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Filters" sheetId="2" r:id="rId5"/>
    <sheet state="visible" name="Main_data" sheetId="3" r:id="rId6"/>
    <sheet state="visible" name="Data" sheetId="4" r:id="rId7"/>
    <sheet state="visible" name="class_rating" sheetId="5" r:id="rId8"/>
    <sheet state="visible" name="Class_recommendations" sheetId="6" r:id="rId9"/>
    <sheet state="visible" name="Ratings_counter" sheetId="7" r:id="rId10"/>
    <sheet state="visible" name="recommendations_by_category" sheetId="8" r:id="rId11"/>
    <sheet state="visible" name="Recommended_or_not" sheetId="9" r:id="rId12"/>
    <sheet state="visible" name="Recommended_with_ratings4_5" sheetId="10" r:id="rId13"/>
    <sheet state="visible" name="Recommended_with_rating_3_or_le" sheetId="11" r:id="rId14"/>
    <sheet state="visible" name="Not_recommended_data_set" sheetId="12" r:id="rId15"/>
    <sheet state="visible" name="Not_recommended_pivot" sheetId="13" r:id="rId16"/>
    <sheet state="visible" name="Recommended_3_or_less_pivot" sheetId="14" r:id="rId17"/>
    <sheet state="visible" name="Customers_ages" sheetId="15" r:id="rId18"/>
    <sheet state="visible" name="Age_analysis" sheetId="16" r:id="rId19"/>
    <sheet state="visible" name="Notes" sheetId="17" r:id="rId20"/>
  </sheets>
  <definedNames>
    <definedName hidden="1" localSheetId="9" name="_xlnm._FilterDatabase">Recommended_with_ratings4_5!$A$1:$K$1801</definedName>
    <definedName hidden="1" localSheetId="10" name="_xlnm._FilterDatabase">Recommended_with_rating_3_or_le!$A$1:$L$129</definedName>
  </definedNames>
  <calcPr/>
  <pivotCaches>
    <pivotCache cacheId="0" r:id="rId21"/>
    <pivotCache cacheId="1" r:id="rId22"/>
    <pivotCache cacheId="2" r:id="rId23"/>
    <pivotCache cacheId="3" r:id="rId24"/>
  </pivotCaches>
</workbook>
</file>

<file path=xl/comments1.xml><?xml version="1.0" encoding="utf-8"?>
<comments xmlns:r="http://schemas.openxmlformats.org/officeDocument/2006/relationships" xmlns="http://schemas.openxmlformats.org/spreadsheetml/2006/main">
  <authors>
    <author/>
  </authors>
  <commentList>
    <comment authorId="0" ref="L12">
      <text>
        <t xml:space="preserve">Enter Age
	-Mohamed A. Abokhoshiem</t>
      </text>
    </comment>
    <comment authorId="0" ref="L10">
      <text>
        <t xml:space="preserve">Enter Age
	-Mohamed A. Abokhoshiem</t>
      </text>
    </comment>
  </commentList>
</comments>
</file>

<file path=xl/sharedStrings.xml><?xml version="1.0" encoding="utf-8"?>
<sst xmlns="http://schemas.openxmlformats.org/spreadsheetml/2006/main" count="10736" uniqueCount="3799">
  <si>
    <t>Number of Reviews</t>
  </si>
  <si>
    <t>Recommendations</t>
  </si>
  <si>
    <t>FILTERS</t>
  </si>
  <si>
    <t>Start Age</t>
  </si>
  <si>
    <t>End Age</t>
  </si>
  <si>
    <t>Rating</t>
  </si>
  <si>
    <t>All</t>
  </si>
  <si>
    <t>Recommended</t>
  </si>
  <si>
    <t>Division</t>
  </si>
  <si>
    <t>rate</t>
  </si>
  <si>
    <t>F</t>
  </si>
  <si>
    <t>recommended</t>
  </si>
  <si>
    <t>G</t>
  </si>
  <si>
    <t>division</t>
  </si>
  <si>
    <t>I</t>
  </si>
  <si>
    <t>start_age</t>
  </si>
  <si>
    <t>C</t>
  </si>
  <si>
    <t>end_age</t>
  </si>
  <si>
    <t>join</t>
  </si>
  <si>
    <t>Where claues</t>
  </si>
  <si>
    <t>Operation_id</t>
  </si>
  <si>
    <t>Clothing_ID</t>
  </si>
  <si>
    <t>Age</t>
  </si>
  <si>
    <t>Title</t>
  </si>
  <si>
    <t>Review_Text</t>
  </si>
  <si>
    <t>Recommended_IND</t>
  </si>
  <si>
    <t>Positive_Feedback_Count</t>
  </si>
  <si>
    <t>Division_Name</t>
  </si>
  <si>
    <t>Department_Name</t>
  </si>
  <si>
    <t>Class_Name</t>
  </si>
  <si>
    <t>Absolutely wonderful - silky and sexy and comfortable</t>
  </si>
  <si>
    <t>Initmates</t>
  </si>
  <si>
    <t>Intimate</t>
  </si>
  <si>
    <t>Intimates</t>
  </si>
  <si>
    <t>Love this dress!  it's sooo pretty.  i happened to find it in a store, and i'm glad i did bc i never would have ordered it online bc it's petite.  i bought a petite and am 5'8".  i love the length on me- hits just a little below the knee.  would definitely be a true midi on someone who is truly petite.</t>
  </si>
  <si>
    <t>General</t>
  </si>
  <si>
    <t>Dresses</t>
  </si>
  <si>
    <t>Some major design flaws</t>
  </si>
  <si>
    <t>I had such high hopes for this dress and really wanted it to work for me. i initially ordered the petite small (my usual size) but i found this to be outrageously small. so small in fact that i could not zip it up! i reordered it in petite medium, which was just ok. overall, the top half was comfortable and fit nicely, but the bottom half had a very tight under layer and several somewhat cheap (net) over layers. imo, a major design flaw was the net over layer sewn directly into the zipper - it c</t>
  </si>
  <si>
    <t>My favorite buy!</t>
  </si>
  <si>
    <t>I love, love, love this jumpsuit. it's fun, flirty, and fabulous! every time i wear it, i get nothing but great compliments!</t>
  </si>
  <si>
    <t>General Petite</t>
  </si>
  <si>
    <t>Bottoms</t>
  </si>
  <si>
    <t>Pants</t>
  </si>
  <si>
    <t>Flattering shirt</t>
  </si>
  <si>
    <t>This shirt is very flattering to all due to the adjustable front tie. it is the perfect length to wear with leggings and it is sleeveless so it pairs well with any cardigan. love this shirt!!!</t>
  </si>
  <si>
    <t>Tops</t>
  </si>
  <si>
    <t>Blouses</t>
  </si>
  <si>
    <t>Not for the very petite</t>
  </si>
  <si>
    <t>I love tracy reese dresses, but this one is not for the very petite. i am just under 5 feet tall and usually wear a 0p in this brand. this dress was very pretty out of the package but its a lot of dress. the skirt is long and very full so it overwhelmed my small frame. not a stranger to alterations, shortening and narrowing the skirt would take away from the embellishment of the garment. i love the color and the idea of the style but it just did not work on me. i returned this dress.</t>
  </si>
  <si>
    <t>Cagrcoal shimmer fun</t>
  </si>
  <si>
    <t>I aded this in my basket at hte last mintue to see what it would look like in person. (store pick up). i went with teh darkler color only because i am so pale :-) hte color is really gorgeous, and turns out it mathced everythiing i was trying on with it prefectly. it is a little baggy on me and hte xs is hte msallet size (bummer, no petite). i decided to jkeep it though, because as i said, it matvehd everything. my ejans, pants, and the 3 skirts i waas trying on (of which i ]kept all ) oops.</t>
  </si>
  <si>
    <t>Knits</t>
  </si>
  <si>
    <t>Shimmer, surprisingly goes with lots</t>
  </si>
  <si>
    <t>I ordered this in carbon for store pick up, and had a ton of stuff (as always) to try on and used this top to pair (skirts and pants). everything went with it. the color is really nice charcoal with shimmer, and went well with pencil skirts, flare pants, etc. my only compaint is it is a bit big, sleeves are long and it doesn't go in petite. also a bit loose for me, but no xxs... so i kept it and wil ldecide later since the light color is already sold out in hte smallest size...</t>
  </si>
  <si>
    <t>Flattering</t>
  </si>
  <si>
    <t>I love this dress. i usually get an xs but it runs a little snug in bust so i ordered up a size. very flattering and feminine with the usual retailer flair for style.</t>
  </si>
  <si>
    <t>Such a fun dress!</t>
  </si>
  <si>
    <t>I'm 5"5' and 125 lbs. i ordered the s petite to make sure the length wasn't too long. i typically wear an xs regular in retailer dresses. if you're less busty (34b cup or smaller), a s petite will fit you perfectly (snug, but not tight). i love that i could dress it up for a party, or down for work. i love that the tulle is longer then the fabric underneath.</t>
  </si>
  <si>
    <t>Dress looks like it's made of cheap material</t>
  </si>
  <si>
    <t>Dress runs small esp where the zipper area runs. i ordered the sp which typically fits me and it was very tight! the material on the top looks and feels very cheap that even just pulling on it will cause it to rip the fabric. pretty disappointed as it was going to be my christmas dress this year! needless to say it will be going back.</t>
  </si>
  <si>
    <t>This dress is perfection! so pretty and flattering.</t>
  </si>
  <si>
    <t>Perfect!!!</t>
  </si>
  <si>
    <t>More and more i find myself reliant on the reviews written by savvy shoppers before me and for the most past, they are right on in their estimation of the product. in the case of this dress-if it had not been for the reveiws-i doubt i would have even tried this. the dress is beautifully made, lined and reminiscent of the old retailer quality. it is lined in the solid periwinkle-colored fabric that matches the outer fabric print. tts and very form-fitting. falls just above the knee and does not rid</t>
  </si>
  <si>
    <t>Runs big</t>
  </si>
  <si>
    <t>Bought the black xs to go under the larkspur midi dress because they didn't bother lining the skirt portion (grrrrrrrrrrr).
my stats are 34a-28/29-36 and the xs fit very smoothly around the chest and was flowy around my lower half, so i would say it's running big.
the straps are very pretty and it could easily be nightwear too.
i'm 5'6" and it came to just below my knees.</t>
  </si>
  <si>
    <t>Pretty party dress with some issues</t>
  </si>
  <si>
    <t>This is a nice choice for holiday gatherings. i like that the length grazes the knee so it is conservative enough for office related gatherings. the size small fit me well - i am usually a size 2/4 with a small bust. in my opinion it runs small and those with larger busts will definitely have to size up (but then perhaps the waist will be too big). the problem with this dress is the quality. the fabrics are terrible. the delicate netting type fabric on the top layer of skirt got stuck in the zip</t>
  </si>
  <si>
    <t>Nice, but not for my body</t>
  </si>
  <si>
    <t>I took these out of the package and wanted them to fit so badly, but i could tell before i put them on that they wouldn't. these are for an hour-glass figure. i am more straight up and down. the waist was way too small for my body shape and even if i sized up, i could tell they would still be tight in the waist and too roomy in the hips - for me. that said, they are really nice. sturdy, linen-like fabric, pretty color, well made. i hope they make someone very happy!</t>
  </si>
  <si>
    <t>You need to be at least average height, or taller</t>
  </si>
  <si>
    <t>Material and color is nice.  the leg opening is very large.  i am 5'1 (100#) and the length hits me right above my ankle.  with a leg opening the size of my waist and hem line above my ankle, and front pleats to make me fluffy, i think you can imagine that it is not a flattering look.  if you are at least average height or taller, this may look good on you.</t>
  </si>
  <si>
    <t>Looks great with white pants</t>
  </si>
  <si>
    <t>Took a chance on this blouse and so glad i did. i wasn't crazy about how the blouse is photographed on the model. i paired it whit white pants and it worked perfectly. crisp and clean is how i would describe it. launders well. fits great. drape is perfect. wear tucked in or out - can't go wrong.</t>
  </si>
  <si>
    <t>Super cute and cozy</t>
  </si>
  <si>
    <t>A flattering, super cozy coat.  will work well for cold, dry days and will look good with jeans or a dressier outfit.  i am 5' 5'', about 135 and the small fits great.</t>
  </si>
  <si>
    <t>Jackets</t>
  </si>
  <si>
    <t>Outerwear</t>
  </si>
  <si>
    <t>Stylish and comfortable</t>
  </si>
  <si>
    <t>I love the look and feel of this tulle dress. i was looking for something different, but not over the top for new year's eve. i'm small chested and the top of this dress is form fitting for a flattering look. once i steamed the tulle, it was perfect! i ordered an xsp. length was perfect too.</t>
  </si>
  <si>
    <t>Cute, crisp shirt</t>
  </si>
  <si>
    <t>If this product was in petite, i would get the petite. the regular is a little long on me but a tailor can do a simple fix on that. 
fits nicely! i'm 5'4, 130lb and pregnant so i bough t medium to grow into. 
the tie can be front or back so provides for some nice flexibility on form fitting.</t>
  </si>
  <si>
    <t>I'm torn!</t>
  </si>
  <si>
    <t>I'm upset because for the price of the dress, i thought it was embroidered! no, that is a print on the fabric. i think i cried a little when i opened the box. it is still ver pretty. i would say it is true to size, it is a tad bit big on me, but i am very tiny, but i can still get away with it. the color is vibrant. the style is unique. skirt portion is pretty poofy. i keep going back and forth on it mainly because of the price, although the quality is definitely there. except i wish it were emb</t>
  </si>
  <si>
    <t>Not what it looks like</t>
  </si>
  <si>
    <t>First of all, this is not pullover styling. there is a side zipper. i wouldn't have purchased it if i knew there was a side zipper because i have a large bust and side zippers are next to impossible for me.
second of all, the tulle feels and looks cheap and the slip has an awkward tight shape underneath.
not at all what is looks like or is described as. sadly will be returning, but i'm sure i will find something to exchange it for!</t>
  </si>
  <si>
    <t>Like it, but don't love it.</t>
  </si>
  <si>
    <t>Cute little dress fits tts. it is a little high waisted. good length for my 5'9 height. i like the dress, i'm just not in love with it. i dont think it looks or feels cheap. it appears just as pictured.</t>
  </si>
  <si>
    <t>Versatile</t>
  </si>
  <si>
    <t>I love this shirt because when i first saw it, i wasn't sure if it was a shirt or dress. since it is see-through if you wear it like a dress you will need a slip or wear it with leggings. i bought a slip, wore the tie in the back, and rocked it with white wedges. you could also wear it as a vest. be careful with the buttons. i haven't had any fall off yet, but i feel like they will. overall it's great for any occasion and it's fun to wear!</t>
  </si>
  <si>
    <t>Falls flat</t>
  </si>
  <si>
    <t>Loved the material, but i didnt really look at how long the dress was before i purchased both a large and a medium. im 5'5" and there was atleast 5" of material at my feet. the gaps in the front are much wider than they look. felt like the dress just fell flat. both were returned. im usually a large and the med fit better. 36d 30 in jeans</t>
  </si>
  <si>
    <t>Lounge</t>
  </si>
  <si>
    <t>Huge disappointment</t>
  </si>
  <si>
    <t>I have been waiting for this sweater coat to ship for weeks and i was so excited for it to arrive. this coat is not true to size and made me look short and squat. the sleeves are very wide (although long). as a light weight fall coat the sleeves don't need to be as wide because you wouldn't be layerng too much underneath. the buttons need to be moved at least three inches in for a nicer fit. i thought about redoing the buttons myself but the sleeves looked even more out of proportion with a tigh</t>
  </si>
  <si>
    <t>Sweaters</t>
  </si>
  <si>
    <t>Loved, but returned</t>
  </si>
  <si>
    <t>The colors weren't what i expected either. the dark blue is much more vibrant and i just couldn't find anything to really go with it. fabric is thick and good quality. has nice weight and movement to it. the skirt just wasn't for me, in the end.</t>
  </si>
  <si>
    <t>Skirts</t>
  </si>
  <si>
    <t>Great shirt!!!</t>
  </si>
  <si>
    <t>I have several of goodhyouman shirts and i get so many compliments on them. especially the one that says forehead kisses are underrated. don't hesitate. buy this shirt. you won't be sorry.....</t>
  </si>
  <si>
    <t>Great layering piece</t>
  </si>
  <si>
    <t>This sweater is so comfy and classic - it balances a quirky hand-knit look with a beautiful color and practical fit. it is a bit cropped and boxy as part of the style, and as others mentioned, there are gaps in the knit that make it see-through. in my opinion this makes it perfect for layering! i like having a longer camisole showing underneath, or wearing it over a little dress. it's warm but still thin enough to fit under a jacket or coat.</t>
  </si>
  <si>
    <t>Beautifully made pants and on trend with the flared crop. so much cuter in person. love these!</t>
  </si>
  <si>
    <t>Cuter in oerson!</t>
  </si>
  <si>
    <t>I never would have given these pants a second look online, in person they are much cuter! the stripes are brighter and the fit more flattering. the crop has a cute flare which is right on trend. this brand has always run small for me, i am 5'8 about 140lbs and carry some chubbiness in the belly. i paired it with a collarless loose navy blazer</t>
  </si>
  <si>
    <t>Love these pants</t>
  </si>
  <si>
    <t>These pants are even better in person. the only downside is that they need to be dry cleaned.</t>
  </si>
  <si>
    <t>Mehh</t>
  </si>
  <si>
    <t>I ordered this 3 months ago, and it finally came off back order. a huge disappointment. the fit wasn&amp;#39;t so much the issue for me. the quality of the wool is subpar. someone else mentioned a &amp;quot;felted wool&amp;quot;...i guess, is that what you call it?  it does literally feel like felt! super thin, itchy, doesn&amp;#39;t drape very well, and feels cheap (made in china). i got it on sale, but still not worth what i paid. definitely going back.</t>
  </si>
  <si>
    <t>Love this dress!</t>
  </si>
  <si>
    <t>This is such a neat dress. the color is great and the fabric is super soft. i am tall so the long length was an added bonus. it definitely needs something underneath since the front gaps. i am going to pair it with a funky tank top, necklaces and boots. super cute!!</t>
  </si>
  <si>
    <t>Lovely!</t>
  </si>
  <si>
    <t>Wouldn't have given them a second look but tried them on in store of a whim. love, love!!</t>
  </si>
  <si>
    <t>This is a comfortable skirt that can span seasons easily. while not the most exciting design, it is a good work skirt that can be paired with many tops.</t>
  </si>
  <si>
    <t>Beautifully cut lightweight coat</t>
  </si>
  <si>
    <t>Just ordered this in a small for me (5'6", 135, size 4) and medium for my mom (5'3", 130, size 8) and it is gorgeous - beautifully draped, all the weight/warmth i'll need for houston fall and winter, looks polished snapped or unsnapped. age-appropriate for both my mom (60's) and myself (30's). will look amazing with skinny jeans or leggings. we ordered the gray which is true to the photos.</t>
  </si>
  <si>
    <t>Super cute and comfy pull over. sizing is accurate. material has a little bit of stretch.</t>
  </si>
  <si>
    <t>Great casual top with flare. looks cute with grey pilcro stet jeans. flattering with peplum in back. nice cut for shoulders and neckline.</t>
  </si>
  <si>
    <t>Pretty and unique. great with jeans or i have worn it to work with slacks and heels. the colors, print, and embroidery are lovely. reasonably priced!</t>
  </si>
  <si>
    <t>This is a beautiful top. it's unique and not so ordinary. i bought my usual medium and i found that it fits tight across my chest. although i had a baby this year and i am nursing, so that could be why. if i bought again i would size up.</t>
  </si>
  <si>
    <t>Soft &amp; lovely</t>
  </si>
  <si>
    <t>This poncho is so cute i love the plaid check design, the colors look like sorbet &amp; cream and it will pair well with a turtleneck and jeans or pencil skirt and heels. i love this look for fall and it can roll right into spring. great buy!!</t>
  </si>
  <si>
    <t>Fine gauge</t>
  </si>
  <si>
    <t>Some things you should know...</t>
  </si>
  <si>
    <t>First, this is thermal ,so naturally i didn't expect super sheer, but it is. really sheer light fabric. i like it, but be prepared for considering who you might run into if you walk around the house in it. second, it is large. i ordered the size 0 and it's a nice oversized fit for my 5'3" 125 pounds. i wouldn't want to go larger. along with being sheer, the fabric is easily stretched, which i don't mind in this case. finally, the color. it looks white on my monitor and shows a colorful blue dot</t>
  </si>
  <si>
    <t>Sleep</t>
  </si>
  <si>
    <t>Beautiful!</t>
  </si>
  <si>
    <t>Tried this on today at my local retailer and had to have it. it is so comfortable and flattering. it's too bad the picture online has the model tucking it into the skirt because you can't see the ruching across the front. a little dressier alternative to a plain tee and reasonably priced for retailer. 5'8"" and i generally wear a 6, the small fit well. will probably be back for the black!</t>
  </si>
  <si>
    <t>Love the two tone design</t>
  </si>
  <si>
    <t>I bought this item from online... the fit on the model looked a little loose but when i got mine it seemed a bit tight! so i took it back to the store &amp; ordered a larger size. for the sale price this is a great top.</t>
  </si>
  <si>
    <t>I love this top. i wear it all the time.  the problem is that you can tell i wear it all the time as the fabric has started to fade.  i'd still recommend it as it is so comfortable.</t>
  </si>
  <si>
    <t>Very comfortable, material is good, cut out on sleeves flattering</t>
  </si>
  <si>
    <t>Love the color!</t>
  </si>
  <si>
    <t>This sweater is perfect for fall...it's roomy, warm, super comfy and the color really pops.</t>
  </si>
  <si>
    <t>Love the embroidery!</t>
  </si>
  <si>
    <t>Really cute top! the embroidery on the collar &amp; bib of this top is beautiful and unique, received lots of compliments &amp; questions about where i got it. i'm rather busty up top and the medium fit well, a small probably would've fit better but it's still super adorable.</t>
  </si>
  <si>
    <t>Cute for fall</t>
  </si>
  <si>
    <t>This is a cute top that can transition easily from summer to fall. it fits well, nice print and it's comfortable. i tried this on in the store, but did not purchase it because the color washed me out. this is not the best color for a blonde. would look much better on a brunette. if this was in a different color i most likely would have purchased it.</t>
  </si>
  <si>
    <t>Love</t>
  </si>
  <si>
    <t>I absolutely love this bib tee! it's probably my favorite retailer purchase of all time. i'm 5'7", 140 pounds and the small was a perfect fit for me. i typically wear either a s or m tops.</t>
  </si>
  <si>
    <t>Love the color and style, but material snags easily</t>
  </si>
  <si>
    <t>Flattering and comfortable</t>
  </si>
  <si>
    <t>Very soft and comfortable. the shirt has an unusual, asymmetrical seam that appears along the front, right-hand side of the garment. (the model is positioned so that you can't see this detail from the picture. i attached a picture that includes the front seam.) i actually like the seam - it creates more visual interest, and adds a little bit of ruching that helps hide my belly. the cowl neck is very well done - there are two layers that form the cowl, and i've found that it means wardrobe malfun</t>
  </si>
  <si>
    <t>Cute top</t>
  </si>
  <si>
    <t>Nice top. armholes are a bit oversized but as an older woman, i'm picky about that. the print is pretty and unusual. it just didn't look great on me. there's a slight peplum in the back that hangs nicely. it's a lightweight tee fabric that's opaque. i tried it on with a black bra which was barely visible. great for warmer climates but there are so many gorgeous tops out now, that i decided to return since summer is winding down. i do recommend.</t>
  </si>
  <si>
    <t>Soft and cute as can be!</t>
  </si>
  <si>
    <t>This is an adorable top that i find to be extremely comfortable. i don't usually buy prints but this one is so feminine and looks great with dark wash jeans. i am a 36d and the medium was a perfect fit.</t>
  </si>
  <si>
    <t>I am pregnant and i thought this would be a great sleep bra. it's soft and fits okay, but it has zero support or shape. i would only buy if you are a b cup or smaller and can get away without support. if i would have seen this is the store, i would have passed over it. however, i was too lazy to return so i am wearing it. it's comfortable so that's a redeeming quality. i would not recommend for larger chested ladies, though!</t>
  </si>
  <si>
    <t>Boring front, great back</t>
  </si>
  <si>
    <t>This tank fit well and i loved the ruffle in the back and how it layed. but the front was not a good look and i will be retuning it.</t>
  </si>
  <si>
    <t>I got this in the petite length, size o, and it fit just right. i like that i didn't have to have it altered in the length; can wear with flats with plenty of clearance to the floor from the bottom hem. my only beef with the design is the height of the waist. i personally think that the elastic waistband looks cheap, and really needs to be concealed with a belt, yet because it sits so high, literally right under the bustline, it's a tricky one to pull off. i have a wide belt that sort of does th</t>
  </si>
  <si>
    <t>Soft and comfortable</t>
  </si>
  <si>
    <t>I've been looking for bralettes that provide some support but not binding/tight for night time and casual wear. this is a light weight bra, could be a little more supportive. pretty color, with nice lines. only downside is the retailer tag on the back - itchy (i need to remove it.)</t>
  </si>
  <si>
    <t>Gorgeous dress!</t>
  </si>
  <si>
    <t>This dress is simply beautiful and stunning. it is so figure flattering and i can't wait to wear it. size small worked for me, and since i'm tall it fell right to my ankle which is perfect for me. i could not be happier with the purchase and the keyhole in the back is a beautiful detail.</t>
  </si>
  <si>
    <t>Itchy tags</t>
  </si>
  <si>
    <t>3 tags sewn in, 2 small (about 1'' long) and 1 huge (about 2'' x 3''). very itchy so i cut them out. then the thread left behind was plasticy and even more itchy! how can you make an intimates item with such itchy tags? not comfortable at all! also - i love bralettes and wear them all the time including to work. i am a b cup. however, this one is so thin and flimsy that it gives no support even to a b cup - so for me this would only be a lounging bralette - if it wasn't so itchy!</t>
  </si>
  <si>
    <t>Must have</t>
  </si>
  <si>
    <t>I recently got this on sale after looking at it forever on my wish list. i'm so happy with it. its very comfortable and just long enough for my torso (5'3). the pattern on the front is very flattering.</t>
  </si>
  <si>
    <t>Cute top! love the brand</t>
  </si>
  <si>
    <t>Very comfortable shirt, light weight top with lovely floral colors. great for spring/summer with white jeans. love everything one september makes!</t>
  </si>
  <si>
    <t>Love this top</t>
  </si>
  <si>
    <t>Loved this top and was really happy to find it on sale!</t>
  </si>
  <si>
    <t>Beautiful top, but delicate! i wore it to school and the straps on my backpack caused some pilling. other than that it is beautiful and vibrant! just make sure you aren't doing/wearing anything that will rub it continuously since the fabric is delicate</t>
  </si>
  <si>
    <t>Super cute and unique top</t>
  </si>
  <si>
    <t>Just received this in the mail, tried it on and am smitten. i'm usually a l, but sometimes i'm a xl (if no stretch), in retailer tops. i bought this one in l and i'm sure glad i did. very flowy, stretchy and comfortable. i also bought the meda lace top from one september and they are very similar expect this is more of a t-shirt and the other is more of a blouse. i almost think i could've gotten a m in this because there is a lot of extra fabric at the chest which is usually never the issue for me</t>
  </si>
  <si>
    <t>Beautiful top</t>
  </si>
  <si>
    <t>Love this top! i kept eyeing it online and wavering on size, since my post-baby body is a little wonky. i went with the xsp, and miraculously, it works perfectly! so, i would say it does run just a little large..... i love the length, and usually do not go with petite sizes at retailer because i like the longer lengths of the regular. but this is perfect on me, and there is give up top, so it looks lovely. and it is very soft and comfortable. this will be a go-to top this season!</t>
  </si>
  <si>
    <t>I wanted to love this top...</t>
  </si>
  <si>
    <t>I really loved this top online and wanted to love it in person. it is soft and the patter is okay in person. the neckline is higher than i am used to. also, there are two buttons in the back that must be unbuttoned in order to wear the top. it is difficult to button them behind your neck with the top on. unfortunately i had to return this item...</t>
  </si>
  <si>
    <t>Great summer fabric!</t>
  </si>
  <si>
    <t>I really wanted this to work. alas, it had a strange fit for me. the straps would not stay up, and it had a weird fit under the breast. it worked standing up, but the minute i sat down it fell off my shoulders. the fabric was beautiful! and i loved that it had pockets.</t>
  </si>
  <si>
    <t>Cute, but massive sweep</t>
  </si>
  <si>
    <t>This top is so cute, but it is massively babydoll shaped (a- line) which is not apparent from the pictures. i measured the xs i have and the chest is about 42" and sweep is over 70". i would definitely keep this top if it hung straighter. the craftsmanship is lovely and fabric is so natural and handwoven looking. i'm thinking about asking my tailor if she can take the sides in, but that might ruin it as the fabric layout is cut and proportioned to this swing style.</t>
  </si>
  <si>
    <t>Short and boxy</t>
  </si>
  <si>
    <t>Why do designers keep making crop tops??!! i can't imagine this would be flattering on anyone, especially someone average height and well endowed on top. i looked like a football player. the pattern and fabric are gorgeous, so if you are like 4' tall and super tiny and can fit xxs this may work? i am between a 6-8 and fit a small and it was huge on me and almost was bigger at the bottom than the top. such a weird cut. there is a cami underneath so if it rides up that will show but that is so 80s</t>
  </si>
  <si>
    <t>Beautiful design</t>
  </si>
  <si>
    <t>I have a short torso and this works well for me. 34c, bought the 0. there's not much stretch to the fabric so it is fitted to my chest, but not in an uncomfortable way. definitely doesn't hang and have extra fabric like on the model. 
zipper goes almost all the way down to the bottom so it's easier to get on and off which makes up for the lack of stretch n the fabric.
unlike another reviewer, i found it went really well with navy pants and i wore it to a business meeting under a blazer. wi</t>
  </si>
  <si>
    <t>I love this top. it is loose and comfortable. it is not sheer so you don't need a cami. it runs a little large so size down if you want a more tailored fit. 1 criticism, it catches on sharp jewelry or belts and can pull if you are not careful.</t>
  </si>
  <si>
    <t>I passed up this dress so many times in the store and finally tried it on today because i wanted a casual dress while traveling in the cape. i was surprised how much cuter it is on than on hanger. i sized down to get a more fitting look and really made a difference for me in style. i was not a fan of the way it looked so loose on model. it looks really cute fitted and a bit sexy even. it is lined and very comfy and can be dressed up a but for work with a cardi. i believe i will get a lot of wear</t>
  </si>
  <si>
    <t>Very very cute but a lot of fabric</t>
  </si>
  <si>
    <t>I am so drawn to baby doll and boxy shirts so i immediately tried this on in the store. i am petite and only 5'2", so usually shirts with a lot of fabric swallow me whole but this one was still cute. there is a lot more fabric than the picture lets on, but i think it is still super cute and flattering. i would definitely check the size chart and read comments to see if someone with your same size description has recommended a specific size for your body type. i am petite and weigh about 110 lbs</t>
  </si>
  <si>
    <t>Runs large in top and waist</t>
  </si>
  <si>
    <t>I would have loved this dress if the bust and waist were just a little more fitted. i am 32c and the top was too big. fit perfectly on hips. the lace material means it cannot be easily altered, so i chose to return the dress. i would have definitely kept it if it were a better fit.</t>
  </si>
  <si>
    <t>Zipper broke</t>
  </si>
  <si>
    <t>The zipper broke on this piece the first time i wore it. very disappointing since i love the design. i'm actually going to try to replace the zipper myself with something stronger, but annoying that it's come to that.</t>
  </si>
  <si>
    <t>Obsessed</t>
  </si>
  <si>
    <t>I usually size up with this brand. small was perfect for me at 135lbs. this top has a luxurious but casual feel and beautiful. i am obsessed and want to wear it everyday. it wears a little long and drapey but a little tight where it rolls up in the arms.</t>
  </si>
  <si>
    <t>So cute...but dry clean?!</t>
  </si>
  <si>
    <t>This dress is adorable - it's a perfect casual look for summer and the quality is nice with the lining (though still overpriced, in my opinion). the tie detail is somewhat adjustable, and i found my normal size s to fit fine (5'7, 128#). where this gets me is the fact that it's dry clean...totally doesn't make sense for a dress that is essentially a fancy tshirt for summer. i might bring it back for that alone, since i originally planned to wear it a lot. :(</t>
  </si>
  <si>
    <t>Elegant classic dress</t>
  </si>
  <si>
    <t>I am usually a petite 6 but since this dress did not come in petites i tried on 4 and it fit. i'm 5'1" -112lbs so dress hit rt below knee -will have it hemmed up a bit do not so overwhelming.
this dress looks stunning on! great vibrant color ( i have dark hair) makes this classic elegant dress look contemporary and stylish. when i tried it on in store, salesperson and others who happen to see it on me raved and told me to grab it! i did and am glad.
i plan to wear it this spring for my daughte</t>
  </si>
  <si>
    <t>Loved this top. great design. comfortable and unique. soft material</t>
  </si>
  <si>
    <t>Cute parka!</t>
  </si>
  <si>
    <t>The rest of the reviewers are right about the color being in accurately pictured. i ordered the dark orange color and i recieved more of a dark cedar brown colored jacket. the print is great, i love it! it's so different than any other jackets ive seen. while the jacket is ã¼ber cute, it is a bit bulky (though the waist tie helps with that) and its not heavy winter appropriate ( it's not waterproof or heavily insulated). for your average winter day though, it will be a fun option! the removable v</t>
  </si>
  <si>
    <t>Just lovely</t>
  </si>
  <si>
    <t>I purchased this top in an antro store last week. the quality is wonderful and the greenish blue color is very unique. the blouse has a beautiful stretchy camsiole that is attached at the shoulders, but can be removed by snaps. i tooks great when worn two different ways. i wore it with the campole out, and it peeks through the blouse at the bottom. it also looks great when the camisole is worn in. my only wish is that it would come in a petite size as it's a touch big at the shoulders and neckli</t>
  </si>
  <si>
    <t>Casual &amp; unique tee</t>
  </si>
  <si>
    <t>I received this shirt in my typical xs and it fits perfectly. i?m not crazy in love with it but i also don?t dislike. the shirt is on the thin side. do i need to wear a cami underneath it, no. my concern is holes. it does remind me of a material that could develop some holes after some wear and washes. with that being said i?ll wash this shirt in cold water and hang dry and hopefully that will prevent holes from developing. the length is fine and i do like the slits in front?it adds a little dim</t>
  </si>
  <si>
    <t>I was really hoping to like this, but it did not look the way it does on the model, at least not on me. the sharkbite hem is much more pronounced and looser. the one in the photo looks like it was pinned back. i am 5'8" and usually wear a medium or large. i got a medium and there was a lot more material on the bottom half than the photo shows. it made me look bigger and was not flattering. material has a nice weave but it's thin and delicate. i bought the (holly) deep olive and the blue. colors</t>
  </si>
  <si>
    <t>Neutral blue</t>
  </si>
  <si>
    <t>I tried this on from the sale section, and they only had a 2 (i usually do 0), and surprisingly, that size was the right fit. it is fitted, with just enough room to eat :-) 
te blue is a light blue, almost neutral, with the white embroidery, i think it looked stylish, and decided to keep it. the peplum part hit just in the right spot, i am short (petite) but my torso is normal size...</t>
  </si>
  <si>
    <t>True to size to large</t>
  </si>
  <si>
    <t>I debated n that as i think it looks loose on the model, but if i was to tighten it, it looks a lot more flattering... i tried on the xs in the store (i usually do that to decide if i need petite), and it looked huge, when we pinched the back to see if xxs would work, it was a lot of fabric, and looser didn't look as good on me... but i like the dress overall, so still recommend. and for those who like the looser look, this is great. i would, however, order eptite for 5'1.5". (115 lbs, 03 dd che</t>
  </si>
  <si>
    <t>Huge</t>
  </si>
  <si>
    <t>Really cute piece, but it's huge. i ordered an xxs petite and it was unfortunately extremely wide and not flattering. returning.</t>
  </si>
  <si>
    <t>Pretty, but not for me...</t>
  </si>
  <si>
    <t>I bought this top online in the burnt orange color and was so excited to get it. when i tried it on, the fit was fine but it just lacked...something. the back was a little bit too long, the front was a little bit too short and it lacked the overall tailored look that i was after. gorgeous fabric and top, but not for me. i wanted something more for $150! bought the velvet tunic instead ;)</t>
  </si>
  <si>
    <t>Sweet flattering dress</t>
  </si>
  <si>
    <t>I love cute summer dresses and this one, especially because it is made out of linen, is unique. it is very well-made with a design that is quite flattering. i am 5 foot 6 and a little curvy with a 38 c bust and i got a size 10. it fits well although it is difficult to zip up because the material has no give. the perfect dress to wear to italy or france! now i just have to book my tickets!</t>
  </si>
  <si>
    <t>This top is so much prettier in real life than it is on the model. the pattern and texture are both lovely, and the peplum is surprisingly flattering. it is definitely on the short side, but i think that gives it a modern look. the fabric does not stretch at all, but i still think it fits tts. if you have a very large chest you may want to go up a size, but otherwise i would order your normal size.</t>
  </si>
  <si>
    <t>Beautifully made, but not versatile</t>
  </si>
  <si>
    <t>This shirt caught my eye because of how beautiful it was. i love the shape, design, and and the color. it's perfect for spring and summer with some white pants. unfortunately, i don't see any possibilities for this shirt to be worn any other way. so far, it doesn't work with any of my jeans, skirts, or shorts. i usually prefer items with more versatility for outfits, so i'm still on the fence if i'm going to keep it or not. with that aside, it seriously is a great quality shirt with a beautiful</t>
  </si>
  <si>
    <t>Casual elegance!</t>
  </si>
  <si>
    <t>Purchased this top online, and when i received it was very pleased.
it has and elegant cut and yet is a casual fabric.
love that the sleeves run longer......ads to the overall look.
also loved the v neckline.........enhances the feel of the overall style.
with various necklaces this top has limitless options!
the color states moss....which i usually think of as greenish brown......i found it to be more of a taupe.
would have liked it to have a green tones, however it is still a fantastic f</t>
  </si>
  <si>
    <t>I usually wear a medium and bought a small. it fit ok, but had no shape and was not flattering. i love baby doll dresses and tops, but this was a tent. my daughter saw me try it on and said "that's a piece of tablecloth." it's going back.</t>
  </si>
  <si>
    <t>I was very excited to order this top in red xs. so cute, but it was huge, shapeless and support thin! it had to go back. i should've looked at other reviews.</t>
  </si>
  <si>
    <t>Pernette henley</t>
  </si>
  <si>
    <t>I am in need of easy comfortable tops for everyday wear. i bought this top mostly because of the cute buttons. when i received it, it looked exactly as it does in the picture online, however, the buttons kept slipping out of their homes because the holes were slightly too big. the shirt fit but was just a tad snug near the upper arms, which would stretch and loosen up throughout the day. it's definitely a comfortable shirt, but it felt more like a pajama top. it's going back.</t>
  </si>
  <si>
    <t>Comfy</t>
  </si>
  <si>
    <t>At first i wasn't sure about it. the neckline is much lower and wavy than i thought. but after wearing it, it really is comfortable. it stretches a lot, so i wear a cami underneath so when i lean forward i'm not showing the world my torso.</t>
  </si>
  <si>
    <t>Simple, stylish, lovely-runs a bit big</t>
  </si>
  <si>
    <t>I find that this brand can be a little bit all-over-the-place with sizes. had i tried this on in person i may have bought it in a small instead of a m. despite being a bit big it still looks great and hides my flaws well. i bought a m in another shirt from them (the seamed scoop neck) and that shirt was a full 2 inches smaller in the bust than this. just something to keep in mind. still a great shirt, love the neutral color.</t>
  </si>
  <si>
    <t>Stunning lace top</t>
  </si>
  <si>
    <t>This top is absolutely stunning. i purchased the white one. just received and it fits nicely-a little on the big side but i believe it looks better that way. this will look great with everything. it is well constructed and looks very unique. love it!</t>
  </si>
  <si>
    <t>Not a fan</t>
  </si>
  <si>
    <t>The fabric felt cheap and i didn't find it to be a flattering top. for reference i am wearing a medium in the photos and my measurements are 38-30-40.</t>
  </si>
  <si>
    <t>Runs big and looked unflattering. i am petite, might work on someone taller.</t>
  </si>
  <si>
    <t>Excited ... but ...</t>
  </si>
  <si>
    <t>I bought this lovely silk/velvet shirt in the &amp;quot;sky&amp;quot; color but it is more on the teal blue side than sky blue, which disappointed me. it is definitely darker than appears in photo. still a luxurious well-made beauty with sassy appeal. it drapes like a snake slithering down your body. it comes with attitude.</t>
  </si>
  <si>
    <t>Beautiful shirt but runs small!</t>
  </si>
  <si>
    <t>Was so excited to order this beautiful shirt!  and the color sky is gorgeous!  but as another reviewer said--it runs small.  it was also way too short.  so sadly i will be returning this.  i gave it 5 stars because it is beautiful and great quality--it just didn't fit me.</t>
  </si>
  <si>
    <t>Beautiful</t>
  </si>
  <si>
    <t>I ordered ivory in xl because this brand tends to run tight if you're well endowed. it's a beautiful color and i love the contrasting plaid lining the inside of the collar and cuffs. haven't decided about keeping it because it looks oversized (but cozy) and it's really long. it almost touches the top of my knees in back. sooooo pretty though.</t>
  </si>
  <si>
    <t>Perfect fall shirt!</t>
  </si>
  <si>
    <t>The shirt is exactly as it is pictured, i have the burnt orange color and love it! i received numerous compliments both paired with jeans and tucked into a fun skirt. it fits true to size, as i normally wear a small in all retailer however it is the slightest bit tight in the shoulders. i would give this top a 5/5.</t>
  </si>
  <si>
    <t>Perfect dress for hot, humid, sticky weather.</t>
  </si>
  <si>
    <t>Poor quality</t>
  </si>
  <si>
    <t>This is so thin and poor quality. especially for the price. it felt like a thin pajama top. the buttons are terrible little shell buttons. this could not have been returned faster.</t>
  </si>
  <si>
    <t>An almost for me...</t>
  </si>
  <si>
    <t>I didn't end up keeping this dress...it just wasn't right for me. it is very cute and fit well but the fabric was very thin (partially lined which is a plus) and the hem line coming up on the sides made it just too short for me. i ordered the petite xs and liked the length in front and back well but the side slit/vent was just too high for my liking. the tie part hit at the perfect spot for me at only 5'4" (~118#). i guess i just didn't "love" it and would rather save my funds for something i ca</t>
  </si>
  <si>
    <t>Beautiful, stunning, cozy top!</t>
  </si>
  <si>
    <t>I read the first review on this and ordered both a small and a medium as i thought this would run small. i have to totally disagree with the reviewer! i find that this top runs true to size or even generous! the sky color is so pretty and this top can be dressed up with some nice heels and a necklace or it can be comfy casual! i usually wear a small in hh brand and this one was true to fit (5"2", broad shoulders, 120 lb)</t>
  </si>
  <si>
    <t>Cute and comfy</t>
  </si>
  <si>
    <t>This dress is comfortable and stylish at the same time. it runs true to size. i'm 5'1" 113 lbs and got the xs petite. wore it once so far for a few hours and got a few compliments on it!</t>
  </si>
  <si>
    <t>Disappointing quality</t>
  </si>
  <si>
    <t>The design/shape of the dress are quite flattering, flirty and feminine. but.... there is no way that the dress i received is new. the color is a faded washed out red and there are black stains all over the belt area. there is no tag... the fabric looks droopy and laundered and is not crisp, stiff or new. i am very disappointed by the quality of the item that i received. undoubtedly this one is going back.
dear retailer - please make sure that you do not send pre-owend clothing articles to</t>
  </si>
  <si>
    <t>Cute tee</t>
  </si>
  <si>
    <t>This one totally worked for me. love the color, length, and style.</t>
  </si>
  <si>
    <t>Very vintage feel</t>
  </si>
  <si>
    <t>Prior reviewer nailed it with the summary of this dress. it definitely needs heels. i'm 5'4", 120#, 34d and this is a size 36. i usually wear a size s or 4 with most retailer stuff.</t>
  </si>
  <si>
    <t>This is the perfect summer dress. it can be dressed up or down. the quality of the linen fabric is very nice. i'm 5'1" and it hit right below my knees. i found it to run true to size. those with a smaller bust might want to go down a size, but the tie in the front can be adjusted. it's lovely.</t>
  </si>
  <si>
    <t>Awkward fitting</t>
  </si>
  <si>
    <t>First, the fabric is beautiful and lovely for spring and summer. i really wanted to like this top, but the fitting is so awkward for me. i typically where a 0/xs, and sized up in the shirt to a size 2. it was very tight and pulled funny across the chest (size 32/a). i also found the cut at the shoulders very narrow (need a strapless bra) and made it look unflattering overall. had to return this one back to the store.</t>
  </si>
  <si>
    <t>Cozy casual - perfect for fall</t>
  </si>
  <si>
    <t>The color is perfect for fall and into winter. only the inside collar on the photo shows the subtle plaid lining. the lining was an unexpected bonus, and adds even more dimension to the shirt if the sleeves are turned up.
the fit is true to size and the 'stressed' velvet fabric is current for this season.
i'm going to enjoy wearing this shirt.</t>
  </si>
  <si>
    <t>The perfect striped t</t>
  </si>
  <si>
    <t>The perfect striped t-shirt, and the cute little buttons down the front are a wonderful accent with each one being different. i love it!</t>
  </si>
  <si>
    <t>Great look and you can wear this vest with almost everything . i normally wear a small but they only had mediums and it fit fine( i like it tied). this will stay in my closet all year round . it does look like it will wrinkle easily but that doesn't bother me . a must buy !</t>
  </si>
  <si>
    <t>This is a great pull over dress that can easily be dressed to wear to work, to a bbq, or to happy hour. i have a large chest which sometimes makes this fit look like a tent but this fabric drapes nicely. the only thing i would note is the neckline was slightly higher on me than for the model.</t>
  </si>
  <si>
    <t>So beautiful! gorgeous orange color!</t>
  </si>
  <si>
    <t>After reading the previous reviews, i ordered a size larger. i am so glad i did it! it fits perfectly! i am 5'4"/115/32dd and went with the s regular. so beautiful! i can't wait to wear it!</t>
  </si>
  <si>
    <t>Lovely top, not lovely shape</t>
  </si>
  <si>
    <t>I was so excited to try out this top since it was such a bargain and neutral. unfortunately, the shape is "a" line and accentuates the hip area a bit more than i find flattering. so, it will be returned.</t>
  </si>
  <si>
    <t>Wonderfully made, poorly designed for busty gals</t>
  </si>
  <si>
    <t>Like others reviewers mentioned on here, this dress is extremely well made. but there were too many cons for me, as well. this would most certainly work on a petite/shorter frame, but for tall, busty, and curvier girls, it just sits wrong on all places unfortunately. the color is lovely along with the nice collar that ties in the back really made this dress stand out.
however, i'm a 36c and found that the arm/shoulder part so large and bulky that is made me look bigger on top. there was entirel</t>
  </si>
  <si>
    <t>I read the previous reviews and had hoped that the exclamations about the color being inaccurate were exaggerated- however they are sadly very true. let me be clear that this is a beautiful, comfortable piece of clothing- when you put it on it feels thick and of very good quality. and while the pattern is interesting and pretty, the "dark orange" color i was expecting is actually a mud brown. i think it's unfortunate that retailer misrepresented such a key element of the jacket, but i digress. the</t>
  </si>
  <si>
    <t>This coat is beautiful! i love the color and the design. it definitely runs a little large. i usually wear a small or a zero and i can wear a small wth a large sweater underneath no problem. i might have wanted an extra small but i just stuck with the small because i needed the coat already. the vest keeps it warm, but the sleeves aren't lined so it's cold unless you have a nice sweater underneath it if you're going to be in cold weather.</t>
  </si>
  <si>
    <t>Cute vest but...</t>
  </si>
  <si>
    <t>Nice vest, pretty olive color, hangs nice but...its just kinda funny. just hangs and really looks odd when tied. i like the laying piece just wished it had more "umph".</t>
  </si>
  <si>
    <t>Great top</t>
  </si>
  <si>
    <t>This top is super comfy and casual. the slit/design in the front gives it more of a stylish look than your average white long sleeve tee. would definitely recommend.</t>
  </si>
  <si>
    <t>Intrepid soul that i am, i washed it in the machine in cold water on a 25 minute cycle, then put it in the dryer for 8 minutes, shook it out, hung it up, and it is just the same as when it went in. doesn't need to be ironed and didn't shrink. yes, the swing is vast, but that is part of its charm. pair it with a fitted piece on the bottom and no one will think that you are actually needing that much material to cover anything! i think it is fun, something i will use for years, wonderfully comfort</t>
  </si>
  <si>
    <t>Just ok</t>
  </si>
  <si>
    <t>It's ok, fit doesn't wow me because of my body. chest is too wide, hips look too narrow. drapes across my back fat in an especially non-flattering way. basically made my square-apple body look more square-apple. great part about this dress is that it's comfy and hides the tummy pooch. construction is poorly done...contrasting liner at v-neck is rolling out on one side only and then doing the same at the hem contralaterally. another negative point is dry clean only. boo. i'm 5'3" 140# 39-28-35 an</t>
  </si>
  <si>
    <t>In my retailer this was hung over in the pj section, and it really has more of a jammie top feel... soft, thin and stretchy. it's super cozy and comfortable and it drapes really nice. mine seems to have stretched out a little, especially the neckline (and the little buttons have a hard time staying closed). i'm happy with it though for what it is - a great, casual day t.</t>
  </si>
  <si>
    <t>Stylish and versatile!</t>
  </si>
  <si>
    <t>I love this vest! there are so many ways to style it...open or tied closed, over a dress or with a tshirt and jeans. i get compliments every time i wear it. it's soft and light enough to add interest to an outfit without being too heavy/hot to wear all day.</t>
  </si>
  <si>
    <t>You'll smile on a humid summer's day</t>
  </si>
  <si>
    <t>This blouse is a perfect creation: perfect-weight cotton, many, many details, and color, all perfectly executed. there's fullness to the body, so this will definitely be easy to wear in hot, humid locations this summer, and it would be easy to pair with many things you have already for a casual yet collected look. there's no mistaking quality when you look at this piece! i bought the medium for my 130#, 34f, size 8 blouse/tee frame. this is the blouse you will have for years, and you will enjoy</t>
  </si>
  <si>
    <t>A new staple for my wardrobe</t>
  </si>
  <si>
    <t>Love this vest! the color looks a little more brown in the picture than it really is--it's a deep forest green that goes great with jeans or black pants. a great piece for polished but casual style, and the fabric has a nice, soft suede-like finish.
if only the was *slightly* higher to hit my true natural waist, it would get that fifth star (but sometimes i wear petite sizes, so that might be the issue here--still looks good tied).</t>
  </si>
  <si>
    <t>Runs short</t>
  </si>
  <si>
    <t>I received the sky color in m online.  am definetly keeping it as it is beautiful.  however i wish they had made it a little less wide and more long.  i am 5 3 and could totally size down to a s but even at my height it would be too short.  i like crop tops and waist hitting tops a lot.  but the shortness on this one just looks like it shrunk in the dryer</t>
  </si>
  <si>
    <t>Feminine alternative to your shapeless puffer</t>
  </si>
  <si>
    <t>I am obsessed with peplum down coats because the ones you usually see have no shape and are extremely unflattering. i was excited for this to arrive. this is quite nice and it looks more feminine than the other down coats out there. the coat itself runs just true to my shirt size but not what i want for a coat. i will be returning this for a size up because i will want to wear a sweater or at least maybe a thicker shirt under this especially for winter or fall. the fabric is decent and the weigh</t>
  </si>
  <si>
    <t>Love. love. love this skirt!!</t>
  </si>
  <si>
    <t>The silhouette and length of this skirt and length are flattering, classic and comfortable! the colors and weight of this skirt make it versatile - could be worn year-round (so long as it's not 100 degrees out - there is a bit of weight to it). it's one of my favorite pieces in my closet. can be styled 20 different ways. pair with a higher-end tee, tank, denim jacket or body-hugging sweater. i sized down.</t>
  </si>
  <si>
    <t>Pretry top</t>
  </si>
  <si>
    <t>Perfect for work or going out. i layered this with the reversible tank in medium pink so it would be work appropriate. it did not feel scratchy to me, maybe because i layered it. great buy especially with the discounts. feel like i lucked out.</t>
  </si>
  <si>
    <t>It's a pretty top, but it runs very short. the back is also pretty see through so i'm not sure i will keep it. it's called off the shoulder but it is so tight when you try and actually wear it off the shoulder. great design, just not sure i will keep it due to length</t>
  </si>
  <si>
    <t>Great classic</t>
  </si>
  <si>
    <t>Ii'm not usually big on lace but this is so unique and versatile that i went for it. looks good dressed up w/a nice top or casual w/a tee. can be worn practically all year. love it!</t>
  </si>
  <si>
    <t>Beautiful, but scratchy</t>
  </si>
  <si>
    <t>My firned tried this on and her first comment was "take it off, it is scratchy", so i didn't bother trying it on. it is, however, beautiful, if you are not sensitive to scratchy material.
fit was true to size.</t>
  </si>
  <si>
    <t>On the fence</t>
  </si>
  <si>
    <t>The stylist had me try this top on off the shoulders, but that was kind of snug, perhaps why it didn't fit right, it is not off the shoulders on this picture. the cut is loose, so it looked big on me, but going smaller would not have worked the way i had it on... may give it another try on. xs was big, so would need to try the xxs next time. but off the shoulders looked nice on the lady who was smaller built next to me!
colors are nice, light, but appropriate for fall (or summer!) light fabri</t>
  </si>
  <si>
    <t>So pretty, a bit long and bigger than what i read</t>
  </si>
  <si>
    <t>Some reviewers found this skirt to be on the smaller side, but for me, it was big,,, too bad the smaller size is sold out (well, all peittes are sold out). the length is also pretty long, below the knee, but in the narrow part still...so able to keep it. the colors are great. i brought it in the store to try on in front fo the stylists, adn they all loved it and told me to keep it... winner for sure!</t>
  </si>
  <si>
    <t>Cute skirt!</t>
  </si>
  <si>
    <t>I purchased this skirt at retailer store in texas. i fell in love since i saw it. the fabric is nice and the colors are pretty and cheerful for this spring/summer !! and it has pockets on the sides! don't we love pockets? very practical and lightweight</t>
  </si>
  <si>
    <t>Very pretty</t>
  </si>
  <si>
    <t>This is a very pretty skirt and the colors are better in real life. sizing was mostly true to size for me, slightly tight in the waist but i have a thicker waist compared to my hips. i'm 5'7 and 138# and ordered a size 4 (i usually size up to a 6 with retailer pencil skirts.) a 6 probably would have fit as well, especially in the waist but didn't want it too big in the hips. length was perfect, to my knees.</t>
  </si>
  <si>
    <t>A beautiful skirt!</t>
  </si>
  <si>
    <t>This skirt is wonderful! the price point seems a bit high for the average office gal, but the quality is impeccable. i really enjoy looking at myself in the mirror when wearing this skirt. it can be dressed up, dressed down, worn during all seasons. the design/pattern is artsy and whimsical without being too "out-there" (unless you want it to be, of course!). the fit is true to size, and the delicate details are just lovely.</t>
  </si>
  <si>
    <t>Gorgeous skirt!</t>
  </si>
  <si>
    <t>Like other reviewers noted, the pics don't do this skirt justice. it is truly beautiful with an intricate lace pattern and rich colors. can't wait to wear this to work!</t>
  </si>
  <si>
    <t>Love this skirt. the detail is amazing. runs small i ordered a 12 i'm usually a 10, but still a little snug.</t>
  </si>
  <si>
    <t>Not impressed...</t>
  </si>
  <si>
    <t>Not keeping this one. the fabric is a bit tacky-looking in person, the cut is odd and it's just not me. fit is fine and there are snaps to keep the neckline flat and shaped, the colors are as shown and it is a good length (falls to top of hip). i simply did not like it. too metallic looking maybe...</t>
  </si>
  <si>
    <t>Fair</t>
  </si>
  <si>
    <t>The top as with most of ap's tops is well stitched. material is very uncomfortable. if you have large bust it is a little divulging. this may prompt you to wear something underneath to look modest and change the shape of the top!</t>
  </si>
  <si>
    <t>Great colors but....</t>
  </si>
  <si>
    <t>I love the metallic colors of this top and figured i could wear it under a ruched jacket and circle skirt for work. welp, that's out the window. this design is poor. for one, this is not a piece for a petite woman with no torso and i don't know how anyone with a longer torso wears t his. this hits above my belly botton on and i got apetite 2. i have no torso. so, without a jacket, i would never wear this. it's very low cut..the back is very low..it's a little loose but i run between a 2 and a 4.</t>
  </si>
  <si>
    <t>Beautiful colors</t>
  </si>
  <si>
    <t>This top is so much better in person. i do not agree with some of the other reviews about the fabric being scratchy. it is not and i have sensitive skin. i love this top and have got lots of compliments.</t>
  </si>
  <si>
    <t>This is a lovely pencil skirt that is well-made and really brightens a work day. like a lot skirts with multiple colors, a lot of tops feel like they should match but you have to try a few that really work with the skirt and your look to get the right impact.</t>
  </si>
  <si>
    <t>Australian sizing!!</t>
  </si>
  <si>
    <t>So  disappointed that no where in the limiting did it mention this suit is australian in size!! i ordered the 10 (i'm usually an 8 but that was sold out) and the suit arrives and doesn't even fir over my hips. -- the label clearly says 10 australian us 6!  gutted that i have to return this suit because of this sizing issue.  the suit looks to be well made and the design is adorable of it only for.</t>
  </si>
  <si>
    <t>Swim</t>
  </si>
  <si>
    <t>I saw this top online and read the reviews so i passed when i went into the store. when i went in again i thought i would give it a try. so glad i did ! it fits great and is way way prettier in person ! i ended up buying it and so glad i did !</t>
  </si>
  <si>
    <t>Vibrant metallic</t>
  </si>
  <si>
    <t>This is a very pretty top with vibrant metallic colors. i would be perfect for a holiday party or going out to dinner. it wasn't as scratchy as i thought it would be based on the reviews, however, it ran a little big. i'm 5.3 and about 130 pounds and i almost always wear a size 6, but the six was too big. i'd recommend sizing down. it was also lower cut than i thought it would be....showed a lot of cleavage (i'm a 34d) so it's not work appropriate. .</t>
  </si>
  <si>
    <t>So sad not mine</t>
  </si>
  <si>
    <t>Love everything about this beautiful coat except the way it fits on me.  it is just perfect in the shoulders but once it flares out at the bottom, i look like a clown costume.  if i size down it will not fit in my shoulders.  perhaps a tailor can install buckles that match the neckline buckle to the sides of the coat to fold in the flare.  on another note the buckle at the neckline feels very hard and fake, not sure if it's real leather.</t>
  </si>
  <si>
    <t>Scratchy, uncomfortable top</t>
  </si>
  <si>
    <t>The title says it all....this fabric of this top is both the best and worst part of the design. the colors are vibrant and the combination of materials (shoulder is a knit, sweater-like navy fabric) is interesting. however, that is where the positive comments end on this one. the top is so scratchy,, stiff, and, frankly, uncomfortable. i cannot imagine wanting to wear it. it could benefit from a lining, and that might have solved the problem of scratchy, itchy fabric.
the stiff fabric of the bo</t>
  </si>
  <si>
    <t>Yes it's scratchy but it can work out!</t>
  </si>
  <si>
    <t>My usual size 6 fits perfectly... yes the metallic fibers on the inside are scratchy. a cami solves that problem. when ordering, i realized i cld not go strapless &amp; wld have to wear a one of my wider strap cami's in navy or black to cover the bra strap area. it was obvious some sort of cover-up swtr or jacket w/b needed &amp; wld cover the strap area anyway. so, i also ordered the 'faux-fur cardi' in the ivory to wear over this top. it's a shrug-like cardi w/ 3/4 slvs. comes in the plum also if you</t>
  </si>
  <si>
    <t>Classy and cute</t>
  </si>
  <si>
    <t>The online picture does not do this skirt justice. it's very pretty and unique in design. i think it should be worn with a tighter shirt that is tucked in unlike the picture. this is truly a pretty pencil skirt.</t>
  </si>
  <si>
    <t>So pretty!</t>
  </si>
  <si>
    <t>I bought this and like other reviews, agree that the quality probably could be better, but i still love it enough to keep. the buckle fell apart, but i was able to fix it and the zipper seems a little weak. it has pilled, but the fabric is textured, so i didn't even notice until i read the other reviews and then looked back at my jacket.  it is a perfect medium coat for 40's &amp; 50's before i am ready to bust out my ugly down north face for winter.  i get compliments every time i wear it!  love!!</t>
  </si>
  <si>
    <t>Just as pictured</t>
  </si>
  <si>
    <t>I bought a petite, size 2. i am 5'3", 111 lb - it fit perfect with a tiny bit of room. looks just like the one pictured. length on me was about 1 inch lower than the model. very bright with multiple colors. has a nice stretch. very cute.</t>
  </si>
  <si>
    <t>Great purchase</t>
  </si>
  <si>
    <t>This will be perfect for the mild fall weather in texas. it's light weight and i love that the top is a little more fitted and the bottom swings out.</t>
  </si>
  <si>
    <t>Antoher beautiful maeve dress!</t>
  </si>
  <si>
    <t>I love the dresses by maeve and this one is no exception. i was pleasantly surprised upon receiving this dress because i wasn't sure about the print size and colors when i saw it online, but the print is beautiful. it's a very simple but elegant style and the ruffle on the back adds an extra touch of interest. i like that it has enough coverage at the top (front and back), the underarms do not fall very low, and it is lined. the a-line skirt will flatter most body types. the fabric and overall q</t>
  </si>
  <si>
    <t>Fun</t>
  </si>
  <si>
    <t>These pants are fun! i use them as sleep pants. i had to size up because the waist band was a little tight for comfort.</t>
  </si>
  <si>
    <t>Comfy and adorable!</t>
  </si>
  <si>
    <t>I ordered this in xs, i'm 5'4", around 115lbs, and it fits perfectly. the material is very soft, but not see-through, and the romper is well-made. i wish it came in other colours, i'd buy more!</t>
  </si>
  <si>
    <t>Beautiful fabric and style</t>
  </si>
  <si>
    <t>I purchased these for something other than sweats to wear for a girls get away weekend. they were so comfortable and flattering, friends told me i could wear them out for dinner.
the fabric is beautiful, and i loved the way they draped. the angled cut on the legs is very cute, and something a bit different. these could be perfect for a hot summer evening dinner, because the fabric is very light and breezy. dress it up with a tank top and ballet flats and you're good to go.</t>
  </si>
  <si>
    <t>Great for summer</t>
  </si>
  <si>
    <t>Love this cream sleeveless top....it goes with everything and you can dress it up or down! this will be a go to top all summer long and probably wear thru the fall as well with a layered sweater, if needed. i typically wear small or medium size and got the medium hoping for a little longer length. i am 5'7, 34c, and overall wt. of approx. 128 lbs...it fits very nicely . thank you retailer!</t>
  </si>
  <si>
    <t>Wonderful but going back</t>
  </si>
  <si>
    <t>This skirt is beautiful (especially the color) and looks well made. however, i am very pear shaped and this skirt is just too straight to be flattering on me. i agree that it runs small but even when i sized up it still wasn't flattering. i imagine that those who were not bestowed with massive hips will look lovely in this.</t>
  </si>
  <si>
    <t>Comfy, casual shirt</t>
  </si>
  <si>
    <t>Happy with this top- slightly thinner material than i was expecting but that'll be fine with our hot summers. got the navy striped one- very pretty and extremely soft. washes well. i do wear an tank underneath though bc the armholes are slightly large and you can see part of my bra.</t>
  </si>
  <si>
    <t>Perfect casual sweater</t>
  </si>
  <si>
    <t>Love the fit of this sweater! it almost fits like a sweatshirt and definitely not as long as on the model. it hits me just below the hips( for ref. im 5-3"). im considering getting all the other colors because its so cute and comfortable. could be dressed up or down. runs true to size-im always a small and this fits perfectly roomy.</t>
  </si>
  <si>
    <t>I love this sweater!! i like sweaters that are narrow on top and taper out so it doesn't look like a sack on me. plus, it is the perfect weight. i wish i would have bought one in a different color because it is so comfortable.</t>
  </si>
  <si>
    <t>Not for me</t>
  </si>
  <si>
    <t>The colors are vivid and perfectly autumnal but the fit is a mess. it was overall too large, the waistline curves up in the front and then falls into small pleats which was maternityish, the waistband was thicker than the dress and sat away from my body and the material was a cheapish poly. had the outer dress been made from the same material as the lining, i would have liked it better. the modesty closure was a plus but the dress was already unraveling when i took it out. #returned</t>
  </si>
  <si>
    <t>Perfect for warmer climates</t>
  </si>
  <si>
    <t>Love this tunic! i am a curvy gal (with a few extra 'curves' in the middle) and this is a perfect top for accentuating the good and masking the negative. i purchased the pink color and it is a gorgeous peachy- pink, a much deeper color than what is portrayed in the picture. i found it true to size. typically i wear a medium or large, depending on the structure and the medium fit well. a little more fitted on top and looser around the waist. i came back to buy another in the ivory but alas, it is</t>
  </si>
  <si>
    <t>Need petite</t>
  </si>
  <si>
    <t>Loved the green color, the cut is super flattering, but alas, i do need hte petite, ti was a bit long and i looked a little lost. unfrotuantely, the color is sold out in petite :-(</t>
  </si>
  <si>
    <t>But i thought this was lace or with texture, it is more a pattern on regular fabric.
colors are nice, there are subtle flowers with bright colors in the pattern, the fit is nice, the 0p fit snugly enough, i don't think there was much give but that was comfortable enough. petite length did end below the knee as shown. i think it would have been nicer shorter but don't want to have to pay extra to ehm so i left that one behind...maybe on sale :-)</t>
  </si>
  <si>
    <t>Completes so many outfits!</t>
  </si>
  <si>
    <t>I like this sweater so much i just bought it in a second color! the pleats make the sweater conform to my shape just enough to be flattering. i wore it over three different dresses this week that might have felt too bare for work or cooler weather. i live in a hot climate so this is the right weight for our cooler months. the metallic threads give it a little bit of flair and the grey color goes with everything. i'm 5'7" size 10-12 and the large fit just right.</t>
  </si>
  <si>
    <t>Size up!</t>
  </si>
  <si>
    <t>Beautiful color,, great quality, and great fit if you size up! i learned my lesson with previous purchases and sized up when i read it runs small. i usually wear a 0/2 and i took a risk and went for the 4. it fits perfectly. i have a 25 in waist.</t>
  </si>
  <si>
    <t>Not as pictured.</t>
  </si>
  <si>
    <t>Online, this looks like a great sweater. i ordered an xxsp and found that this sweater is much wider in the middle than pictured. in fact, i'm pretty sure they pinned the shirt in the back for the picture to make it appear slimmer. unfortunately, this sweater will not work for me, as i am an hourglass shape and this shirt makes me look 20 pounds heavier.</t>
  </si>
  <si>
    <t>Fits strange, flimsy material</t>
  </si>
  <si>
    <t>I was worried about this item when i ordered it because of how it looks in the picture, but i had wishful thinking. i should have gone with my gut! this shirt does not have the same quality as all my other retailer purchases. it is see-through and flimsy. the bottom is just like the picture, it hangs in an odd rumpled way. the top is very flattering though, so it's a shame! if the bottom fit nicer like their other products i could have gotten away with wearing a cami under it to make up for the qu</t>
  </si>
  <si>
    <t>Nice color, love the snap buttons</t>
  </si>
  <si>
    <t>This skirt is a great length and nice piece for fall/winter. i love the color. it fits like a high waisted skirt would which is why i purchased the next size up.</t>
  </si>
  <si>
    <t>Modern comfort</t>
  </si>
  <si>
    <t>This easel caftan is simply amazing! the silhouette fits all sizes and shapes while providing a unique dress.</t>
  </si>
  <si>
    <t>Trend</t>
  </si>
  <si>
    <t>It's gorgeous, but...</t>
  </si>
  <si>
    <t>Just came today: the print is gorgeous.  very bohemian. it's a dressier dress with the chiffon.  on the con side, the chiffon is very delicate, snagged easily while trying on. there's raw edges on the waistband, needed trimming fresh out of the package.  sz 10 fit in the waist, too small for 36d bust; sz 12 fits bust but is big in the waist.  sz 10 ankle length for 5'7", 12 hits the floor.  haven't decided if i'll keep the 12 and try to alter.</t>
  </si>
  <si>
    <t>Runs very small</t>
  </si>
  <si>
    <t>My waist measures 28" and the size 4 is a snug fit. i normally buy size 2 in retailer skirts, but the 2 was unbearably tight. cute skirt though! i like that it's machine washable, and the quality looks good.</t>
  </si>
  <si>
    <t>Pretty</t>
  </si>
  <si>
    <t>I love the fabric and color (i bought the green one). my only complaint is that the base is wider than the picture shows. it looks more fitted on the model. it is more of an a shape (significantly wider at the hips.)</t>
  </si>
  <si>
    <t>Nice but too thin</t>
  </si>
  <si>
    <t>I was minimally torn over whether to return this but ultimately it's going back because the knit is just too thin. i thought it would be cozy and be of normal sweater weight but it's not. and because it's so light, the swing effect doesn't really come off. nothing special.</t>
  </si>
  <si>
    <t>I love the color of this skirt, and the fabric is wonderful. it was a bit longer than anticipated, but fit well.</t>
  </si>
  <si>
    <t>Dress ran very large in every way. beautiful design, lining and quality material. i should have sized down 2 sizes. item is now sold out.</t>
  </si>
  <si>
    <t>Lovely and feminine</t>
  </si>
  <si>
    <t>Finally a "swing top" that doesn't look like a sack on me! i've been wanting to partake of this current style, but everything i've tried so far just looks "dumpy" on me. not this top -- it is very feminine and flattering. i am 5'7" 118 lbs and have a small waist -- and although this is a "swing" style, it still shows my waist and doesn't overpower me. it is also a lovely fabric -- especially in the soft pink which i got. i'm thinking of going back for more colors!</t>
  </si>
  <si>
    <t>A great piece</t>
  </si>
  <si>
    <t>I bought this shirt in the neutral and white and love it. so many people compliment it. i usually pair it with white pants and cute wedges to dress it up (obviously with a statement necklace too). but the greatest thing about this shirt is the fact that you can also dress it down. the material is fabulous but i have not washed it yet so i am not sure if it is going to shrink (which i hope it doesn't because it is one of my favorite pieces). 
unlike the other reviewer i did not think that the</t>
  </si>
  <si>
    <t>Love everything about this skirt</t>
  </si>
  <si>
    <t>Unlike the other reviewers, i did not have any problem with the sizing, fit or length of this skirt. it is a midi skirt so i think it's suppose to be a little bit longer?? for me it fit true to size. for reference i am 5'8", 135 pounds and the size 6 fit perfectly. i think the color is beautiful and the quality is good.</t>
  </si>
  <si>
    <t>Perfect comfy now top!</t>
  </si>
  <si>
    <t>For a now feel, that comfy and well made, this was a great choice!</t>
  </si>
  <si>
    <t>This skirt looks exactly as pictured and fits great. i purchased it a few weeks ago and got lots of compliments on it. however, on the third wear, the side zipper split wide open. needless to say, it was returned.</t>
  </si>
  <si>
    <t>Huuuuge</t>
  </si>
  <si>
    <t>Dang, i got a small and was still swimming in it. it's made of the fabric that increasingly seems to be the fabric of choice for all things t-shirty- soft and thin-ish, a bit translucent. i'd rather wait for something more formfitting and flattering- back it went.</t>
  </si>
  <si>
    <t>Not worth cost</t>
  </si>
  <si>
    <t>Bought this item on sale and was very disappointed in the quality for the cost. fabric feels cheap, like it will snag easily and will stretch out quickly. did not flatter the female form- felt like a burlap sack. gorgeous blue color but not worth the price tag. returned it.</t>
  </si>
  <si>
    <t>Tunic doesn't look like i am covering up</t>
  </si>
  <si>
    <t>Nice weight sweater that allows one to wear leggings or ultra skinny jeans without looking like i'm pregnant (not that there's anything wrong with that) very feminine and light weight enough to wear with a cami underneath and a pretty scarf.</t>
  </si>
  <si>
    <t>Too big</t>
  </si>
  <si>
    <t>I loved this top; it reminded me of one i have from retailer from circa 2008 in black and white; however, on this one, the chest area is too big, in both the 14 and 16, and i even found myself tugging downward on the fabric to keep it in place because the waist is elastic and also too big. i probably need a size 12, but then i fear it would be too short-waisted on me, for i am 5'10". unfortunately, it is not for me. also, the sleeves are much bigger and flouncier than they appear in the photo on t</t>
  </si>
  <si>
    <t>Runs small too bad....</t>
  </si>
  <si>
    <t>I love the rich deep color and the style but once again this brand runs really small in the waist. i am normally a 8/10 in retailer skirts and the size 10 was tight at the waist enough so i could not button it and feel comfortable. the quality is ok, something i feel i would see at another type of discount store. for me this skirt did not work but the color and softness of the fabric was a plus.</t>
  </si>
  <si>
    <t>Great shirt to wear with white pants and wedges. i'm a teacher and this is perfect for warmer months for school or for casual evening out. it runs big but falls in such a way that it doesn't make the wearer look big; it falls elegantly and in a flattering way.
great, versatile shirt.</t>
  </si>
  <si>
    <t>Skirt dimensions are off</t>
  </si>
  <si>
    <t>I loved this skirt on but just the other reviewers, it runs small in the waist throwing off the dimension of the skirt. i ended up getting the 0 despite the fact that it was tighter in the waist because the 2 at this length (with my height) and amount of material became overwhelming on me. it would have looked better in a slightly shorter cut as another reviewer stated as well.</t>
  </si>
  <si>
    <t>Gorgeous top, very nice. detail work, soft and flattering. i don't think its too full on the bottom at all - mine has a loose but pretty straight silhouette. word of warning: soft pink is not pink it is peach with some pink - and definitely not my color. if peach isn't flattering on you, heed this and other reviewers comments they are weighing correctly! i will have to either return for the white or dye the fabric myself to a more flattering shade, bummer that i thought the other reviewers might</t>
  </si>
  <si>
    <t>Love the fabric of this shirt even though it was thinner than i expected. it is soft to the skin and flattering. however i returned it because it is made for women with long torso and shorter shoulders.</t>
  </si>
  <si>
    <t>Comfort &amp; style</t>
  </si>
  <si>
    <t>I have already worn this several times. it is very flattering, lightweight, and easy to wear. dressy but also very soft and comfortable.</t>
  </si>
  <si>
    <t>Very pretty fabric and beautiful color, but i agree with the other reviewer here, the fit is a bit strange. the waist is very small - need to size up at least one size for that to fit - while the rest fits nicely. it's also a little longer than i had expected...sort of looks like it should be a couple inches shorter (and i'm 5'11"!).</t>
  </si>
  <si>
    <t>Classic</t>
  </si>
  <si>
    <t>I was so excited about the arrival of my maza dress. much to my surprise the material was not has structured as i thought it would be from the photos. the fit was very tight and did not fall as nicely as i anticipated. because i loved the classic design i decided to give it another chance so i returned it for the next size up and fell in love, the open sleeve was a nice surprise with a touch if elegance. the front buttons added a bit of old charm and feminine
appeal. while the material was not v</t>
  </si>
  <si>
    <t>My new favorite dress</t>
  </si>
  <si>
    <t>I'm 5'4", 130 lbs. 34 d. i bought the medium. i think i could have gotten the small but i didn't have time to re-order. it fit fine but could have been a little more snug around my top half. i love the length and the fabric.!</t>
  </si>
  <si>
    <t>Not as pictured!</t>
  </si>
  <si>
    <t>The skirt that i received had very little blue or green in it, and was mostly white, yellow and some red. the fit was fine but the quality for the price was not there for me. the lack of quality and the disappointment in the quality equals a return.</t>
  </si>
  <si>
    <t>Autumn fever</t>
  </si>
  <si>
    <t>Ranna designs richly detailed dresses and this is no exception.  looks just like the pictures (colors/cut/drape) with the exception of a modesty hook at the deep v-neck.  sleeves are sheer with an elastic cuff.  this dress does not stretch--the bodice felt very fitted and tight, especially at the waist band.  runs tts or small; if you're busty/broad shouldered, size up.  it has a dreadful side zip, is fully lined and all synthetic fabric (boo!)  i purchased size 10p, my stats 36c/38-27-35/135#.</t>
  </si>
  <si>
    <t>Very small</t>
  </si>
  <si>
    <t>Bought a large, could barely pull up over my butt. runs extremely small. it's cute but if your not a stick figure, this is not the suit for you.</t>
  </si>
  <si>
    <t>Too cute to pass up!</t>
  </si>
  <si>
    <t>Adorable... too chilly now to wear alone &amp; too cute to cover it up! my navy parka or jean jacket will prob be ok w/ it though. size 6 fits me perfectly &amp; looks pretty much on me as in the pic. love plaid &amp; cotton blend tops anyways. ruffles - adorable, &amp; i'm not too big on that but do love this look. when i first removed this top from the packaging it had an odd 'smoky'-like odor, but it's the dye i think. after hanging it for a few days the smell disappeared. i have in mind to wear w/ the pilcr</t>
  </si>
  <si>
    <t>Falling goddess</t>
  </si>
  <si>
    <t>This dress makes you feel like a bohemian goddess.  falls in the right area and absolutely adorable.  the dress is very fragile, handle with care.</t>
  </si>
  <si>
    <t>This is my new favorite top! looks and fits as described.</t>
  </si>
  <si>
    <t>Pretty and comfy</t>
  </si>
  <si>
    <t>Last minute i needed a family-friendly top for a chilly night, so i tried on a couple of flowy sweaters at retailer and this was the keeper. while i found other styles a bit too boxy or bulky for my short torso, this has a nice a-line shape that gave me a slim profile while still being forgiving, plus the detail up top is feminine and i liked not having fabric piled up around my neck. i am usually a small but wanted this to fit like the model so i sized up to a medium and voila, i am a model. just</t>
  </si>
  <si>
    <t>Perfect skirt</t>
  </si>
  <si>
    <t>Love all the colors in this skirt and that i can wear it with a tee and flat sandals or a black jacket and heels. easy piece to wear many ways. great quality too.</t>
  </si>
  <si>
    <t>This tunic trumped any other i have seen this season. the style, with the delicate open stitchwork around the upper chest gave it quite a feminine appeal. i especially love the weight of the fabric being on the light side. won't have to worry about hot flashes like when wearing a thicker fabric! it's warm without being bulky. and to top it off, it was on sale and i was able to grab two colors. this tunic is also age appropriate and flattering for most anyone. extraordinary to say the least.</t>
  </si>
  <si>
    <t>Easy, comfy &amp; cute</t>
  </si>
  <si>
    <t>I needed a dress that was easy to throw on for summer days and this dress is perfect for that. it's flattering, light weight and unique. i've received a handful of compliments while wearing this dress. i am 5' 6" 150 lbs, hourglass figure and typically purchase a small or medium (8-10) and chose a small for this dress. i'd say it's still loose on me- which is what i prefer. the scoop neck and cut out allows you wear a normal bra. however, i've noticed i'm more comfortable wearing a camisole or s</t>
  </si>
  <si>
    <t>The inseam is advertised as 28", but they are more like 38". i was hoping they were for short people, but they are for someone with very long legs, event in my tallest heels, i'd have to get them hemmed! just a warning to my short friends out there. the quality, fit, look was great, but way way way too long.</t>
  </si>
  <si>
    <t>Jeans</t>
  </si>
  <si>
    <t>Gorgeous</t>
  </si>
  <si>
    <t>I love paige brand pants-they are soft, comfortable, and forgiving. i love these, and want them badly. the are still tight all the way to the knee and then go out into a flattering flare-it is difficult to find the perfect fit on something like this-and paige has done a wonderful job for my body.
my store does not carry petite so i tried these on in regular length. they were significantly too long for me (5'3") probably 3-4 inches to long. i am hoping for a sale so i can buy them in petite for</t>
  </si>
  <si>
    <t>This top is really pretty and nice quality. runs big - i went down a size, and its perfect. coloring is more subtle in person than in the photo.</t>
  </si>
  <si>
    <t>Great crop pant</t>
  </si>
  <si>
    <t>So i love pilcro, i wear them all the time and usually size down because they "grow" after wearing them. i tried on my usual size in these and felt like they are too tight, not sure if they will get any looser. the material feels really good, lightweight and the stripes are subtle but cute. not sure if i'll keep them or maybe size up,</t>
  </si>
  <si>
    <t>Cute</t>
  </si>
  <si>
    <t>This is a cute top with jeans for spring and summer, or warmer climates - very fresh and airy. the fabric hangs nicely and although it is lightweight, it is not too thin or see through. ii does not get overly wrinkled either. the style is flattering for most body types and it can be dressed up or down. the v neck is just right: not too deep that you feel like you are showing too much cleavage, but deep enough to be feminine and slimming. i normally wear a size s in retailer tops and blouses</t>
  </si>
  <si>
    <t>Why so long?</t>
  </si>
  <si>
    <t>Petite pants hsould be able to fit short peple, but a 32 inch inseam on pants with buttons at the nottom, can't even gegt them hemmed, what a bummer. my inseam is 27 inchess, so i would need a 5 inch heel. otherwise, gorgeous, and waiat fits true to size. thighs a bit snug for musclea, but stretchy enough to fit. thinking about keeping them, but have to find big plaform heeks...</t>
  </si>
  <si>
    <t>Runs large, bohemian</t>
  </si>
  <si>
    <t>I tried on the petite size in my usual xs, adn i actually have to go down to xxs, i looked overtaken by the shirt. i'm 5'2" and 115lbs)
cut is flowy and not close to the body, sleeves are narrower, but still ok with athletic built.
color: light one is great for gals with darker complexion and hair, but for my pale self, the darker one was better... but can't go wrong, i ordered both colors and liked both of them.
ruffle is a great addition too...</t>
  </si>
  <si>
    <t>Wonderful weight for summer, flattering</t>
  </si>
  <si>
    <t>I tried these on on a whim because i liked the shirt that they were displayed with in the store and was surprised how much i liked them! they are a great lighter weight alternative to the pilcro hyphen chino. great for hot days of summer.
the subtle vertical stripes go with everything and help elongate the leg. overall a really flattering cut. the waist is not too low and does not create muffin top.</t>
  </si>
  <si>
    <t>Light &amp; large</t>
  </si>
  <si>
    <t>The shirt is absolutely cute looking. but that's just that....looks. i'm 5'2" size 6 &amp; wears m to l top. i tried on the medium in the store, it was rather flowing. i liked it. but i didn't like how it fit on the underarm area. it hung very low. so i ordered a petite m. still the same. plus the store the lighting was dark so i didn't realize how see through the shirt was too. had to return it.</t>
  </si>
  <si>
    <t>Must have, right on trend, but still classic</t>
  </si>
  <si>
    <t>These jeans! i tried these on, in addition to the high rise paige denim, and these won out hands down. classic flattering fit from mother, with an element of edginess with the frayed hem. these are long enough on me (i'm 5'5') to cuff at the ankle if i don't want a distressed look on a particular day. they are slightly stretchy like other mother denim but not so much that i would size down. i have muscular calves and thighs, but someone who does not could likely size down and be happy with the a</t>
  </si>
  <si>
    <t>Pretty but runs large!</t>
  </si>
  <si>
    <t>I ordered this top in my usual size and am exchanging it for one size smaller.
it runs very generous, and so the sizing is a little off.
the style and quality are beautiful, so i am anxious to receive the smaller size.</t>
  </si>
  <si>
    <t>Comfortable &amp; stylish crop pants</t>
  </si>
  <si>
    <t>The blush stripes are subtle but they definitely give elongating effect to your legs.
very comfortable pair of crop pants but my calves are definitely feeling tight in there!</t>
  </si>
  <si>
    <t>Cozy sunday!</t>
  </si>
  <si>
    <t>I got a small mauve. the fit is great and the length is perfect for me, just few inches above my knees.
cute and cozy! what more can i aske for!?</t>
  </si>
  <si>
    <t>Not what i expected</t>
  </si>
  <si>
    <t>I have a similar pair of capris from retailer and when i ordered these i thought they were the same in a different color. these are less flattering and i may not keep them.</t>
  </si>
  <si>
    <t>Fun change from the norm</t>
  </si>
  <si>
    <t>Fun detail with the beading and lace! arms are a little longer while the body of the sweatshirt is a little shorter than expected, but that's the style of the piece. the fit was tts with those proportions mind.  the ladies at the store said that if i ordered the size up, it might be a little longer in the body, but that the arms and shoulders would have been the biggest change. the material isn't too thick, so it's a nice lighter layer for fall/spring. really love it!</t>
  </si>
  <si>
    <t>I love the style of this top, and the longer length would be great with leggings and fitted shorts. it's somewhat fitted on the top yet it's a-line shape gives a full swing at the bottom. the ruffled v-neckline is pretty, and i like the longer length of the short sleeves. but with all these attributes, unfortunately they cut the armholes really big, so when you put your arms forward, the sleeves pull against your arms. i was trying to decide if i should keep it anyway, but for $98 dollars i thin</t>
  </si>
  <si>
    <t>Perfect for mediterenian summer</t>
  </si>
  <si>
    <t>Ordered these online and they fit perfectly. i was looking for lightweight pants for hot and humid summer days and this pair is exactly what i needed. the striped pattern is cute and adds some color.</t>
  </si>
  <si>
    <t>Loved this, then washed it twice and it fell apart</t>
  </si>
  <si>
    <t>I loved this dress from the moment i tried it on. so flattering to my postpartum body without being a huge tent. soft fabric, and for a white/lightly striped dress, not sheer. i'm bummed because after washing only twice (followed the instructions to wash) on gentle cycle and low tumble dry, holes started appearing everywhere, both on the cream ribbed hem in the front bottom and all across the chest, in the white part of the fabric only (it looks like the black stripes are holding the holes toget</t>
  </si>
  <si>
    <t>Super flattering</t>
  </si>
  <si>
    <t>I went ahead and ordered a size up based on previous reviews, but i should have ordered my own size, as they're a bit loose around the waist. the pants are adorable and the pinstripes very flattering, so i definitely recommend them!</t>
  </si>
  <si>
    <t>I really want to love this shirt, but the small is just way too big on me. for reference, i'm a 32d (which is why i didn't want to size down much more than a small), 5'6' and 125 and i'm drowning in this. i'm going to try it with different bottoms and ultimately will keep it because i do love the quality. just size down a couple of sizes!!</t>
  </si>
  <si>
    <t>Recommend but not for me</t>
  </si>
  <si>
    <t>Love pilcro, love the stripes and the length - but this particular pair of capris/crops are super tight fitting. i went up a size from my usual and still felt tight. i guess its just the cut/fabric combo. i wanted it to be a slightly less form fitting feel ...... may work for you, however!</t>
  </si>
  <si>
    <t>Love this!</t>
  </si>
  <si>
    <t>This is exactly what i was expecting. cute, comfortable and casual. there are some gold sequins in the scroll work that i didn't see online. they are super pretty in person.</t>
  </si>
  <si>
    <t>Cute but small</t>
  </si>
  <si>
    <t>I tried these on in the store, and they are super cute but run small. i typically wear a size 25 (i'm 5' 5" and 108 lbs.) and they were too tight for me. i like the fabric and the cut; i think they'd be great one size up. (my store didn't have them.)</t>
  </si>
  <si>
    <t>Really nice sweater coat</t>
  </si>
  <si>
    <t>Really nice, substantial, fully lined sweater coat. i love the structured look and the faux-leather piping around the zipper and the pockets. quality seems to be very good. it runs true to size, maybe slightly on the small side (especially for larger hips/busts) so if you are in between sizes, go up. i chose small and it's just right; i wouldn't be able to zip around my hips with xsmall. besides the price, which is why i dropped one star, i cannot really find any fault in this sweater coat.</t>
  </si>
  <si>
    <t>Really pretty, but runs at least a full size small.</t>
  </si>
  <si>
    <t>Perfect</t>
  </si>
  <si>
    <t>I love these pants. i have worn them a number of times already this season. i am 5' so i did have to have them hemmed. i lost the bottom button in the process but there are still 3 or 4 on the pants so i don't think they look odd. i also wear very high boots with these pants so that helps. a crisp white blouse and black leather jacket and i felt like a million bucks!</t>
  </si>
  <si>
    <t>Very cute top</t>
  </si>
  <si>
    <t>I love this tunic the natural color is just that, this is a tunic so the fit is a little large. i kept it and had it altered because i really do love this top</t>
  </si>
  <si>
    <t>Super cute pants</t>
  </si>
  <si>
    <t>These cropped pants are very light weight and super cute. they seem to run just a bit small (i sized up one size from my usual) and don't seem to stretch so a size larger than you generally take may be necessary. the thin pin stripe design is very light in color so they are quite versatile.</t>
  </si>
  <si>
    <t>Cute, casual dress</t>
  </si>
  <si>
    <t>I have this dress on today in white and i am coming back to buy the second color even though pink is not my favorite. great comfy, casual dress that pairs well with a variety of shoes and jewelry to dress it up. highly recommend for summer!</t>
  </si>
  <si>
    <t>Size down! i love this item. it goes perfect with leggings but if you are typically a small you would need to order an extra small and so forth. hopefully once i wash this it will shrink some.</t>
  </si>
  <si>
    <t>Runs big!</t>
  </si>
  <si>
    <t>Cute, swing top that would be flattering on most. i love the print on the white color and it's so soft. doesn't wrinkle easy. but it does run big! i'm usually a s in retailer but i was drowning in it. so, size down!</t>
  </si>
  <si>
    <t>Stylish and understated elegant</t>
  </si>
  <si>
    <t>I purchased this top in a regular small and surprisingly, it fits me very well (i'm 5'2", 34b, 26 waist, 36 hips). the hem falls about two inches longer than shown on the model. i like the v-neck the most because the ruffles are not too much, and it's not too low cut. i purchased the white color because i think the pattern is unique and it's brighter for spring/summer. i think skinny jeans and ankle boots or wedges would make the look very stylish. by the way, the fabric is super soft (but not w</t>
  </si>
  <si>
    <t>Pockets!</t>
  </si>
  <si>
    <t>This skirt is really beautiful but i agree with the other reviewers; it runs very small. i'm typically an 8 or 10. if i get a 10, there is usually a bit of room in the item. i decided to get a 10 in this skirt, just in case. i got it zipped but would have trouble breathing as the evening wore on. the pockets are wonderful and the fabric is weighty and really lovely.</t>
  </si>
  <si>
    <t>Fits like a maternity top</t>
  </si>
  <si>
    <t>Fits well through the shoulders and arms, but there is zero waist, and it just looks like a bunch of extra fabric hanging from the top. super cute, but have to return because of that.</t>
  </si>
  <si>
    <t>From the picture i wasn't sure how it would fit. got in the mail and i love it. fits snug when you first put it on and get looser as you wear it. definitely should of gotten a large.</t>
  </si>
  <si>
    <t>Love this coat!</t>
  </si>
  <si>
    <t>I was hesitant to purchase this coat because of the price, and when i received it i have to admit i was a little disappointed with the quality of the coat. the sleeves are made out of a soft felted material but i can see this pilling easily. other than that, the silhouette of the coat is perfect...not too boxy! it's also not too heavy so that you can wear it through fall and into the first months of winter. i love it!</t>
  </si>
  <si>
    <t>Adorable and flattering</t>
  </si>
  <si>
    <t>This top is very cute. got it in the lighter color. the fit is great and it will go with many things. if size medium were not out of stock in the blue color i would have purchased that one also.</t>
  </si>
  <si>
    <t>Cute, but no go!</t>
  </si>
  <si>
    <t>I really wanted to love this t and was excited to receive it in the mail. i thought i was being realistic in assuming that is would be somewhat sheer given that there doesn't seem to be a woman's white t on the planet that isn't these days, however it was really sheer. the fit was also short and boxy (this coming from a 5'3 woman who is short-waisted) on the plus size the material is extremely soft and the design is cute. maybe if you are younger and don't mind the sheerness it's worth the gambl</t>
  </si>
  <si>
    <t>Pretty denim jacket</t>
  </si>
  <si>
    <t>This is a perfect jacket over any shirt, tee, or dress. jacket is well made and goes with anything!</t>
  </si>
  <si>
    <t>Amazing peach color!</t>
  </si>
  <si>
    <t>I ordered this dress in both colors. the peach color is so beautiful in person. i'm planning to wear this dress for our rehearsal dinner at the end of the summer, if i can hold off until then! definitely worth the price.</t>
  </si>
  <si>
    <t>Perfection.</t>
  </si>
  <si>
    <t>This dress is incredible. i saw a sales girl wearing it in my local retailer and loved it! i bought it in the navy color, it's gorgeous in person, very bright, vibrant colors. i am 5'9 34 c bra 27 inch waist and the s was quite big on my waist. i kept it anyway because the xs has been sold out, and got it taken in a bit. i wore it while vacationing in mexico and it definitely turned heads, if you're thinking about buying this dress, do it, you won't regret it!</t>
  </si>
  <si>
    <t>Nice quality but too short for my tall frame</t>
  </si>
  <si>
    <t>Love the look and quality of this jacket. i&amp;amp;#39;d say it fits true to size but it is way too short for me (i&amp;amp;#39;m just under 6&amp;amp;#39; tall). wish these came in tall sizes!</t>
  </si>
  <si>
    <t>Cute top, but back is more of a jersey material</t>
  </si>
  <si>
    <t>I really love the front of this shirt. however, the back of the shirt is more of a jersey material so it doesn't seem to match the front of the shirt. i still wear it and it looks cute, but it threw me off a bit at first.</t>
  </si>
  <si>
    <t>Absolutely love this dress! fits true to size and makes anyone look fabulous</t>
  </si>
  <si>
    <t>Nice color</t>
  </si>
  <si>
    <t>I liked the color of this top but i didn't really like the ruffled stitching around the middle. it looks like someone just tacked on the bottom half. i bought this for my daughter and she likes it. i think it is comfortable and a good top to knock around in.</t>
  </si>
  <si>
    <t>Perfect jean jacket</t>
  </si>
  <si>
    <t>Per other reviewers, i sized up from a small to a medium and the jacket fits me just right with room for layers. it is short (cropped), but i like where it hits me and is versatile for jeans and dresses.</t>
  </si>
  <si>
    <t>Great asset</t>
  </si>
  <si>
    <t>I have alst year's version,a dn they are essentially the smae, minus some leather parts removed... this jacket is great, the back si a little shorter, so it goes so well with peplum tops an ddresses with higher waists (without looking bigger from the back when the hem is longer and hits where the skirt aprts bulge out). i love hte darker color, i wish it came is super dark rinse...
i usually buy petites, but i never tired on the eptite in this jacket... i am holding myself back to order this on</t>
  </si>
  <si>
    <t>Bought both colors in xs and soooooo glad i did. this dress is absolutely gorgeous in either color... will have (do to the nice quality) and wear (very stylish) for a loooooong time.
a must have for the summer!!!!!!</t>
  </si>
  <si>
    <t>Comfy and fun!</t>
  </si>
  <si>
    <t>Comfy sweatshirt with fun polka dot details. soft and not baggy. a little on the shorter side so i think i will layer a lace cami underneath and it will look even prettier. i'm 5'7", 140 pounds with an athletic, hourglass shape, 32dd. i bought the "2" which equates to a medium since i wanted it a little looser being a sweatshirt (i'm normally an retailer small but i don't think that would have worked in this case as it would have been too fitted). great comfy weekend piece!</t>
  </si>
  <si>
    <t>Great tee</t>
  </si>
  <si>
    <t>I could wear this every day, it is stylish and comfortable</t>
  </si>
  <si>
    <t>Pretty and feminine</t>
  </si>
  <si>
    <t>Pretty top. love the color and the large ruffle. makes it great for layering or with a pretty necklace.</t>
  </si>
  <si>
    <t>Sooooooooo cute!</t>
  </si>
  <si>
    <t>Love this top!
it is a full/ swing top, but the slightly shorter length balances out the fullness perfectly.
i have been wearing it with a contrasting fitted cami and get tons of compliments.
love both colors, and having fun wearing them.
and after one washing the fullness is softer and looks like the pic.
runs true to size and in the arms slightly tight, so i went with my usual med and fits perfect.
if you have issues with sleeve size would recommend going up a size, otherwise very true to size</t>
  </si>
  <si>
    <t>Peplum hem tee</t>
  </si>
  <si>
    <t>The styling of this top is really cute. it fits perfectly on the shoulders and gets bigger at the hem for the baby doll look. my biggest complaint is the quality! it's really cheap and feels like the quality i would expect to see at a cheap retailer. it catches lint like crazy and because the hem is just a pearl edge, it curls really badly. i buy quite a bit from here and this is the worst quality item i have seen in a long time. not worth the $$ if paying full price.</t>
  </si>
  <si>
    <t>Love, love, love this dress. it is very slimming. it hugs you without really touching you. leaving the tie and a few buttons open gives it more of a casual feel.</t>
  </si>
  <si>
    <t>So comfortable and chic</t>
  </si>
  <si>
    <t>I'm 5'3 130# with a 32dd bust. i usually wear small in retailer/ cloth and stone/ running horses. the small fit me fine, but with no room for layers underneath. the small was very snug. would be perfect for california evenings. but, i live in the north east! the medium still has a great shape on me, still fitted at the waist (27inches), but enough room to wear a light sweater or flannel under. the medium still also looks great over my maxi dress.</t>
  </si>
  <si>
    <t>This dress is gorgeous!!! i love it! i bought it to wear to a july wedding. i got the navy and it is so fresh and crisp in color. the sizing is on spot! i slipped it on and it was comfortable, easy and stylish. i am 5'7" and typically xs. it falls exactly as portrayed in the online photos. it is lined in the skirt and the top is stretch jersey in the best weight! i am in love!</t>
  </si>
  <si>
    <t>This shirt is one of my favorite retailer purchases ever! it is well made and is perfect for work or the weekend. the first time i wore it, i received so many compliments!</t>
  </si>
  <si>
    <t>Perfect sweatshirt</t>
  </si>
  <si>
    <t>I want to live in this sweatshirt. it's so comfy, but also well-cut and lays nicely, not boxy at all. i'm typically a 10-12 or l in tops and the 3 is roomy without looking sloppy.</t>
  </si>
  <si>
    <t>Clever white edges</t>
  </si>
  <si>
    <t>I liked this top even though it was a definite 'swing' style. i ended up altering it to remove some of the fullness.
looks great with jeans as well as black pants for a dressier look. very soft and comfortable fabric. wish it was just a little bit longer.</t>
  </si>
  <si>
    <t>After missing out on last year's similar dress, i am so glad i finally purchased this one! it is beautiful in person. i bought to wear to a wedding, but i am curious if others think it might be too white? i bought the peach color. i will keep this dress no matter what. hope they come out with more next season!</t>
  </si>
  <si>
    <t>Like the other reviewer said this top is extremely wide and boxy. it must be pinned in the picture online. it's very frustrating when they do that. thank goodness i didn't pay for shipping! for reference, i'm 5'2 and 135 pounds and bought the xxs, it's going back for sure. i'm trying to lose baby weight, not trying to look pregnant!</t>
  </si>
  <si>
    <t>I read the reviews and because this jacket is pilcro i took a chance. i was thrilled when i rceived this jacket. darker color of denim with weathered edges. i absolutely love it. don't let it get away. great jean jackets are hard to come by.</t>
  </si>
  <si>
    <t>Not much structure, boxy...</t>
  </si>
  <si>
    <t>I wanted to love this sweatshirt, but alas, it is going back. upon opening and unfolding, the first thing i noticed: the dots and not solid. they are sort of distressed looking, with parts of them missing. secondly, it doesn't have a lot of structure. it's soft and kind of floppy but in a weird way. it's just not flattering on me. it looks more like a pajama top than something i would wear out of the house. for reference, i ordered the 3, and i'm usually a 10/12 in tops.</t>
  </si>
  <si>
    <t>Almost perfect denim jacket</t>
  </si>
  <si>
    <t>Love this denim jacket (also have it in white) the reason i didn't give it 5 stars all around is the distressing is just a bit too much (none on the back which is kind of strange). i'd love it even more if it wasn't distressed at all, then it could be dressed up much more for work. but overall it's my favorite, great fit and a bit of stretch so very comfy. please make this in some other denim colors!</t>
  </si>
  <si>
    <t>The cut is brilliant-the wash is subtle-the weight of the denim is sturdy but not stuff-and the stretch is just right. love it. the perfect staple. a scarf in the fall and rolled sleeves in the spring.</t>
  </si>
  <si>
    <t>Love it; the bit of stretch in the denim makes it less stiff than traditional denim.</t>
  </si>
  <si>
    <t>Super nice</t>
  </si>
  <si>
    <t>I love these. i'm between a 29 and 30 and as the 30s were sold out i had to go with the 29s. they fit well. as expected. very nice fabric. good design. have to wear a short shirt or one tucked in. fabric has a bit of stretch which is also nice.</t>
  </si>
  <si>
    <t>I wish it were alless stiff denim. runs small</t>
  </si>
  <si>
    <t>I've been looking at this jacket on line and finally went to the store to try it on. i really liked the styling but the denim was quite stiff. i'd prefer a softer kind of fabric. i wonder if it would soften if it was washed. also, it ran surprisingly small. i usually take an xsmall or small but the small didn't leave me enough room to comfortably bend my arms. the medium worked better. i wonder how others feel about the fabric and and the sizing. i think i'll wait and see if this one goes on sal</t>
  </si>
  <si>
    <t>Terrific denim jacket</t>
  </si>
  <si>
    <t>I lost my favorite denim jacket on a trip a few years ago and haven't found one i really liked again...until now. great quality - just heavy enough but not too heavy, just stretchy enough but not too stretchy, great color/design. no complaints. i read the other reviews and was happy to have ordered one size larger than my normal. i typically take a small but the medium in this is perfect. it is possible i actually like this jacket better than the one i lost several years ago, which is a big endo</t>
  </si>
  <si>
    <t>Beautiful colors and silhouette (i got the navy). the skirt is lined and flows wonderfully when you walk. i've gotten a ton of compliments on it. i'm 5'9" and the high hem falls a few inches below my knee, and the low hem falls to my ankles.</t>
  </si>
  <si>
    <t>Cute versatile culottes</t>
  </si>
  <si>
    <t>I love these culottes and i think they will be everywhere this coming spring / summer. the high waist is perfect and looks great with shorter shirts or tucked-in. the denim is high quality and a nice medium dark color.</t>
  </si>
  <si>
    <t>My new favorite denim jacket</t>
  </si>
  <si>
    <t>I'm glad i listened to the other reviewers...i ordered a large instead of my usual medium. it's roomy enough for a sweater underneath. i love the denim! it's very soft and has some stretch. my other denim jackets are stiff even after years of washing. i also love the darker denim.</t>
  </si>
  <si>
    <t>Favorite jean jacket</t>
  </si>
  <si>
    <t>I'm 5'4" 125 lbs ordered small. fits perfect. super soft denim. love the color love the worn in feel</t>
  </si>
  <si>
    <t>This dress is stunning- vibrant colors and flirty feel to it. i got the small and i am a 34b/27 pants, 132 lbs- great fit. i only question two things- am i tall enough to pull off the extra fabric in the back and what the heck do you where for a bra? those two considerations are why i didn't give it 5 stars.</t>
  </si>
  <si>
    <t>Perfect denim jacket</t>
  </si>
  <si>
    <t>I have been searching for the perfect denim jacket and this it! i love the darker color, more modern day less 80s. it runs a little small. i am always either a s or xs at retailer. lately, their clothes seem to be running a little bigger, so i have been an xs in most tops. when i order online, i never know which size to get. i ordered an xs, however it was very tight in the arms and across the shoulders. i wanted to be able to roll the sleeves up, so i returned it for a s and it fits great. i was</t>
  </si>
  <si>
    <t>I have received so many compliments. it's my favorite</t>
  </si>
  <si>
    <t>Best dress ever!</t>
  </si>
  <si>
    <t>I wore this dress for the first time yesterday... i have never received so many compliments on a dress before! several people even stopped me in the streets of nyc to tell me how beautiful this dress was!
it is an absolute must-have!</t>
  </si>
  <si>
    <t>Stylish jacket</t>
  </si>
  <si>
    <t>I love the pattern on this jacket and enjoy the bell shape. a fun jacket to through on and add quick style to a skinny pants.</t>
  </si>
  <si>
    <t>Adorable!</t>
  </si>
  <si>
    <t>I love this little jean jacket! i am petite and usually get a xxsp , but went for a size up. i'm glad i did. it fits a little snug. the color is true to the photo and the material is a medium to heavy denim. the arm length in the petite size is perfect for me. i love this - over maxi dresses, tanks, etc... adorable jacket - great buy!!</t>
  </si>
  <si>
    <t>Stunning, flattering, and versatile.</t>
  </si>
  <si>
    <t>This dress first caught my eye online. due to the price i resisted. then i saw in store and tried on...i decided to hold off for a sale, but my will was getting thin. once i saw it start to sell out online, i had to take the plunge. i knew this dress was a must have. it is super flattering and comfy! the best of both worlds. i'm small-chested so both the s and m fit, but the seam on the s fit a bit higher, which was more flattering on me, so s is what i got. it can be dressed up or slightly down</t>
  </si>
  <si>
    <t>Pretty blouse!</t>
  </si>
  <si>
    <t>I love this blouse! i just bought it recently and have yet to wear it out other than trying it on. this blouse looked very nice on me which can be challenging. i don't live near an retailer so i have to order online exclusively. i have larger hips (135lbs, 5'6) and finding flattering tops can be tough. sometimes they look amazing online and then once i try them on, they just don't look right. some shirts have a tendency to accentuate my hips too much making me look shorter. this top looked great a</t>
  </si>
  <si>
    <t>Too distressed</t>
  </si>
  <si>
    <t>First i ordered a m. i'm normally a 8-10. the m was too small so i returned and ordered a lg. the lg fits great but there is a huge area of distressing on the shoulder that will turn into a hole. i love this jacket but cannot keep it in its condition. hopefully i will make it to the store soon (there are none w/in an hour of me) and look before i buy.</t>
  </si>
  <si>
    <t>Stunning...</t>
  </si>
  <si>
    <t>I purchased the navy color of this dress. not only did it look good, but felt good as well. since it is for a wedding, i also purchased a white crochet cropped "sweater" to wear over as well, making the perfect dress for the mother of the groom. could not have been happier.</t>
  </si>
  <si>
    <t>This top looks pretty much like it does not the model. the sleeves are a nice length and are not too tight. the fabric is light weight, but not see-through. it does not wrinkle a lot. i've gotten several compliments on it and it goes with lots of different bottoms and will work under jackets too. the v-neck is pretty deep, but doesn't show so much cleavage that you couldn't wear it to work.</t>
  </si>
  <si>
    <t>Runs large and zipper sticks</t>
  </si>
  <si>
    <t>Looks beautiful online but has too much material and the zipper catches on the lace. also runs very large, i am normally a small but would need and xs in this dress</t>
  </si>
  <si>
    <t>Very unflattering</t>
  </si>
  <si>
    <t>True to size on the neckline and arms but extremely large and puffy in the torso. very unflattering cut!</t>
  </si>
  <si>
    <t>Adorable</t>
  </si>
  <si>
    <t>I purchased the floral patterned version and get complimented every time i wear it. i found it to be pretty true to size, even after washing. it's a little sheer, so you'd definitely want to wear a camisole underneath for work. it's a great top for spring/summer!</t>
  </si>
  <si>
    <t>Didn't work for me</t>
  </si>
  <si>
    <t>I thought this top was adorable in the store and online. it just didn't work for me. although it fit, it flares out too much in the front and just wasn't flattering on me. i am 5' 5" and 128 lbs. and ordered the small.</t>
  </si>
  <si>
    <t>Beautiful top!</t>
  </si>
  <si>
    <t>Love this top! made with 100% cotton, a vintage look, and flattering details this top is a winner for me. i think it fits true to size (got my regular size 0) and i did not need the petite and i am fairly short (5'3"). it is somewhat see through, but with wearing a nude bra and not wearing it to work, i think it can be worn without a cami. the perfect lightweight, comfortable, standout piece for the summer time :)</t>
  </si>
  <si>
    <t>Love this blouse</t>
  </si>
  <si>
    <t>I really like this blouse a lot. very very easy to wear!! i wore with pencil skirt to work and with skort as shown similar on model with sandals on weekend. very flattering and great blue color!!! very happy with this purchase. highly recommend. i am 5'6" short torso and my usual 6 worked.</t>
  </si>
  <si>
    <t>Lovely printed blouse</t>
  </si>
  <si>
    <t>I just purchased this beautiful printed blouse in the pink color and love it! i almost always wear a size small at retailer (34d-27-35) and the fit and length are both perfect on me. if you are smaller chested you can easily go down a size. i absolutely had to have this whe i first saw it at the store and noticed how popular it was as i had to order it due to it selling out like hot cakes there. what i like about it is the texture and the ruffles at the front plus the length of the sleeves stop ri</t>
  </si>
  <si>
    <t>Love, love, love!</t>
  </si>
  <si>
    <t>Bought this on a whim and it exceeded my expectations. i didn't know what to expect with the quality of the fabric but this is incredibly soft and warm. haven't worn it outside yet but i can see this already as one of my favorite items. i'm usually an extra-small but the xxs also fits. it's a great buy especially since it's on sale now.</t>
  </si>
  <si>
    <t>Loveee</t>
  </si>
  <si>
    <t>This is an awesome vest - so soft, cozy, and i cannot wait to wear it through fall and winter. for sake of not repeating all the positive aspects that the previous reviewers did, i'll mention the one flaw...no pockets :( still totally worth full price in my mind though.</t>
  </si>
  <si>
    <t>I find that maeve shirts tend to run a little small. i'm usually an 8 but needed this in a 10. this shirt is reallly just perfect. great sleeve length. just the right amount of v neck. beautiful pattern with a vintage feel. i love the combo of stripes, polka dots and sweet flowers.</t>
  </si>
  <si>
    <t>My favorite new blouse</t>
  </si>
  <si>
    <t>This blouse is so pretty. i love the long tie. the pattern is very unique. it is a thin, light weight fabric so you can easily wear it underneath a leather jacket.</t>
  </si>
  <si>
    <t>A standout</t>
  </si>
  <si>
    <t>This is a beautiful blouse...sheer and feminine. i am small busted and slender so i need a size smaller than usual. it is a full top...can't tell exactly how full in the photos but with a small chest there is just too much under the arms. so if your chest is more ample you could prob order your regular size. this is supposed to be a full, shorter fit...i would say the style is going to look better on someone who is a little taller with a medium sized bust rather than someone who is shorter and b</t>
  </si>
  <si>
    <t>The photo of these is truly misleading - they are a beautiful vibrant print - see the close-up photo. they are much longer on a regular person - they come a few inches above my ankle and i am 5'5"there is a neat slit off to the side on the front of each (like a pleat) that really allows a nice flow. these look great with boots, flats and do sit lower on the waste as i think they run slightly large. not lined, but drape beautifully. there are pockets (sewn closed upon purchase) and pack pockets.</t>
  </si>
  <si>
    <t>Disappointing!</t>
  </si>
  <si>
    <t>Like another reviewer mentioned, this shirt is way too short. i'm only 5'2" (xs) and there is no way this top would tuck in like on the model. also, the quality isn't great as it's very thin and there are strings hanging from some of the seams in the front. it's a shame b/c the print is really pretty and there is this cute little bicycle charm on the tag which makes it feel more unique. sadly, it's going back!</t>
  </si>
  <si>
    <t>Better in person</t>
  </si>
  <si>
    <t>I didn't think anything of this top online (i really don't care for how they styled it) but in store it was more interesting. i'm currently anywhere between a 2-4-6 / xs-s-m, depending on the style, 5'3" 120lb 34b. size 2 regular in this top fit me perfectly. for some reason, on me, the sleeves were elongating and flattering (closer to my elbow) and the overall length hit me perfectly at the hip like on the model, the fabric is lightweight and therefore slightly sheer but, due to the color and p</t>
  </si>
  <si>
    <t>Cuter is person</t>
  </si>
  <si>
    <t>Nice fabric and cute design. a little low cut.</t>
  </si>
  <si>
    <t>I absolutely love this sweater!! it's soft, easy to wash, and looks great!</t>
  </si>
  <si>
    <t>Airy and flattering</t>
  </si>
  <si>
    <t>The blue motif is a gorgeous indigo with an interesting pattern. a short tunic that drapes nicely and is flattering. very happy with this purchase. i plan to buy a 2nd for my mom to keep her cool and stylish.</t>
  </si>
  <si>
    <t>Awkward fit</t>
  </si>
  <si>
    <t>I had high hopes for this top. really boxy, short</t>
  </si>
  <si>
    <t>Beautiful color</t>
  </si>
  <si>
    <t>This dress has potential, but it didn't work for me. it runs true to size to a little big, i ordered medium, my usual size for maeve). as for length it fit me as the model (5'9"). the reason i'm not keeping it is that i wish it had some darts in the back to help define the waist a bit,</t>
  </si>
  <si>
    <t>Really good quality tee!</t>
  </si>
  <si>
    <t>I love this tee! the material is thick but not too thick. it's highly flattering- i love that the sleeves are a longer short sleeve to cover up the bingo wings. the shimmer on the front adds something special.</t>
  </si>
  <si>
    <t>I got this top in the black and i love it. the bottom is a silky material that's really beautiful, and the cutout details are really pretty. so many of retailer's sweaters are enormous, but this one fits tts. 
my one complaint is that the bottom white part wrinkles really easily.</t>
  </si>
  <si>
    <t>Not a good fit</t>
  </si>
  <si>
    <t>This top was way too short (i'm only 5'1) and way too wide. the cut of this top was so wide, it looked like a tent on me. i really wanted to love this top because the material and style (sleeves, ruffle) are beautiful, unfortunately there is something wrong with the cut. i've have several blouses made by one fine day, which fit nicely, for some reason this top did not. i ordered in my usual s size, even going to an xs would not work because the cut is wrong.</t>
  </si>
  <si>
    <t>Cutest vest</t>
  </si>
  <si>
    <t>My daughter and i both purchased this vest at an retailer store. this vest is so flattering on and is so much cuter in person than in the online picture. it is chic and stylish and will definitely be a staple for fall and winter.</t>
  </si>
  <si>
    <t>This is a great piece to help ease on in to the chillier days of fall and winter. it's versatile- i can see myself wearing it with plain short or long sleeved tees or even tops with more elaborate padderns or button downs! there's so many options i cannot wait to put this gorgeous piece to use! just as an fyi, the sleeve openings are slightly unfinished and have a frayed effect to them. this may not even be noticeable if you're not looking right up close. for me, this adds to the unique quality</t>
  </si>
  <si>
    <t>Beautiful, vintage feel, delicate beadwork</t>
  </si>
  <si>
    <t>I just got this dress in the mail today and it is even better in person! the description didn't give as much information as i wanted so i'm going to be very detailed in this review. i did take off one star for quality because some of the beads are already loose (two fell off when i picked the dress up for the first time), and i'll have to hand sew others on more tightly. my usual size is a pxs or p0, and there were no petite sizes available. however the size 0 fits perfectly, no alterations need</t>
  </si>
  <si>
    <t>Very interesting design</t>
  </si>
  <si>
    <t>When i received this blouse, ai noticed that there were gold dots all over the blouse and they were very sticky. some of the fabric would stick to these dots. i thought it was because the weather was sticky and humid. however, after hanging on my closet door, the dots are still sticky. i do love the design and fabric so i will try not to let the sticky dots bother me.</t>
  </si>
  <si>
    <t>Fun and flowy</t>
  </si>
  <si>
    <t>Wasn't sure about this top based on reviews, but glad i purchased! pretty print, looks great with denim. very loose, flowy top. hangs a little short, but that's the style of this blouse. fit true to size. i usually wear a 2/4 and xs/sm with 30dd. size small worked for me.</t>
  </si>
  <si>
    <t>Beautiful shirt</t>
  </si>
  <si>
    <t>Ordered the shirt online. beautiful print and good quality material. runs very large - size down 1 may be 2 sizes as the material on the body is very wide. i will be exchanging it in the store.</t>
  </si>
  <si>
    <t>Beautiful fabric</t>
  </si>
  <si>
    <t>This too is so beautiful in person. there is gold dots all over the blouse that are not overwhelming. i love this top with business attire and denim. fits tts.</t>
  </si>
  <si>
    <t>Nice basic piece, will get a lot of wear.</t>
  </si>
  <si>
    <t>I tried this in the store and i like it - nice and soft, good basic design that will pair with many pieces. but i decided to wait because of the price. i'm sure i would get a lot of use out of this top, but ultimately it didn't thrill me enough to make it my top priority purchase. i bought a sweater that was on sale instead. still, a very nice top. i may buy it eventually, especially if it goes on sale.</t>
  </si>
  <si>
    <t>Gorgeous in every way except its length and how it hangs at the bottom. i prefer a shirt i can wear tucked in or out. this one will work well tucked in but not out so i am returning disappointed it was so well done in other particulars.</t>
  </si>
  <si>
    <t>Soft patterned long vest</t>
  </si>
  <si>
    <t>I bought this in a petite size s after trying on the regular size in the store. it was a good move because the proportions in length and width are more flattering. the pattern is busy but works well with patterns in the same color group. it has no finished seams on any edge but that makes it drape nicely. it is a soft, soft fabric, almost fleece-like but not plush.</t>
  </si>
  <si>
    <t>Great piece</t>
  </si>
  <si>
    <t>I love how soft the sweater materials is and that the built in layer piece falls so nicely. i purchased a small in black and have already worn it with jeans and heels for a dinner and with cropped work pants for the office. the bottom piece does wrinkle a lot but you can easily smooth it out. really quality materials and on sale this is quite a steal!</t>
  </si>
  <si>
    <t>Beautiful and timeless</t>
  </si>
  <si>
    <t>I am 5.6", 138 pounds. i purchased this in a size small. it is flowy and not too short. it has a comfortable, but still feminine and beautiful fit. one of my favorite new blouses...the red print is gorgeous</t>
  </si>
  <si>
    <t>Cute top, but not for me</t>
  </si>
  <si>
    <t>This top light and airy, which is perfect for spring. i'm usually into these types of blouses; however, this didn't quite fit right on me. it's a little too boxy and too low cut in the front for some reason. i loved the design and really wanted to like it... i just didn't love it enough to purchase it.</t>
  </si>
  <si>
    <t>So disappointed! please fix it!</t>
  </si>
  <si>
    <t>This blouse is so beautiful - the collar, sleeves, material...everything except the cut! it was like a tent. it needed to be more tapered, which would be easy to do while still maintaining the beautiful breezy flow, and be about two inches longer.
i had been drooling over this top for awhile and was so disappointed! please fix it and then i will buy again. i am 5'4", 140lbs and busty...a small was perfect, with the exception of the massive amount of material.</t>
  </si>
  <si>
    <t>Ruffled buttondown</t>
  </si>
  <si>
    <t>Very pretty blouse. i love the print, and color of the pink floral. tts, i ordered the xs, because of the roomy cut of the blouse. i'm 5'8", 117 lbs. it fit great. the cut is a little wider then pictured, but still cute. not to short as mentioned by another review, and i have a longer torso, i wasn't crazy about the victorian collar, so tucked it under, and it looks great!</t>
  </si>
  <si>
    <t>Exquisite blouse, runs huge</t>
  </si>
  <si>
    <t>I normally wear a large or extra-large; the medium is still very billowy on me. this blouse is ethereal and lovely, though - pretty and funky at the same time. it's sheer but somehow not revealing. perfect for when you want to look composed and cool on the hottest day of the summer.</t>
  </si>
  <si>
    <t>Sweater not a coat</t>
  </si>
  <si>
    <t>Not a coat by any means, merely a thin wool boucle like sweater with a cheap thin synthetic lining ---and i also would never want the lining to be seen by anyone if i were to set the sweater on a chair or be helped in putting the thing on. the length and bulk is hard to layer under anything else and isn't pretty enough for a spring coat..sizing is also 2 sizes larger than anticipated.</t>
  </si>
  <si>
    <t>Soft sweater</t>
  </si>
  <si>
    <t>I saw this in-store, tried it on, and was sold. it is not just super soft but very flattering on. i am petite, 105 lbs and bought the xs in black- the sleeves are short enough that no petite size was needed. i will wear this a lot with both skirts and jeans.</t>
  </si>
  <si>
    <t>Love this. it's heavy/warm, stylish and a great throw on any outfit. oversized style.</t>
  </si>
  <si>
    <t>Could have been cute...</t>
  </si>
  <si>
    <t>The fabric was nothing special (i usually like a cotton/silk blend woven fabric, but this was stiff feeling) and the pattern was cute. but what made me return it was the fact that 1) the rose gold glitter dots are puffy paint. literally. puffy. paint. and 2) the dots were not quite dry on my top when it arrived. parts of the paint came off on my fingers and the top was stuck to itself because of it. i could barely unfold it.
i'm sure this could have been cute, but who wants a top that looks lik</t>
  </si>
  <si>
    <t>Worth the sale price</t>
  </si>
  <si>
    <t>Tts. i'm wearing a small. the black goes with so many of my charlie print pants. washed nicely. layers flat to dry. had to iron the shell underneath. great for casual office.</t>
  </si>
  <si>
    <t>Almost but not quite</t>
  </si>
  <si>
    <t>This top is good quality and cute. it runs large- i'm usually a medium and needed a small. the reason i will be returning it is because it flares out at the bottom on the black which is very unflattering on. it makes me look wide in the waist or like i'm wearing a maternity top. unfortunate because i really liked everything else about it.</t>
  </si>
  <si>
    <t>Nice, runs small and short</t>
  </si>
  <si>
    <t>I'm a pretty solid 10/12 in this brand. i went with the 12 since some thought the top to run small...and i agree. while i can wear it and think it will actually stretch out with wear, it's tight in the shoulders and chest. for the record, those are 2 areas i never have problems with. i'm a 36b and it was flattening my chest. it was also quite short on me. i have a short torso and it was barely hitting below my belly button. the shirt felt more like a size 8 than 12.</t>
  </si>
  <si>
    <t>Amazing sweatercoat!</t>
  </si>
  <si>
    <t>I gave this four stars only because the lining has some polyester (poly/rayon blend) in it and i don't like polyester; still, i couldn't pass it up due to the chic look and the oh so warm feel of the coat. it's like wrapping yourself in a warm blanket and the wine color looks amazing! it's a little on the pricey side. since i consider it more of a sweater than a coat, i would have liked the price better if it was $100 less. it was one of those items that was hard to take off once i put it on. i</t>
  </si>
  <si>
    <t>Great piece for layering</t>
  </si>
  <si>
    <t>I like this sleeveless sweater - it adds warmth and visual interest without adding a lot of bulk. paired with black/white patterns it's pretty versatile (as seen in the pics) - a great staple for a more casual office environment. being a taller girl i love the length on it, and find it's flattering for my curvy figure.</t>
  </si>
  <si>
    <t>Cute but ...</t>
  </si>
  <si>
    <t>This blouse is super cute but oddly sized. i bought a size up and still i squeezed into the top around the bust. the front slit is too low and shows a bit too much cleavage, so this had to go back. i really tried because the fabric is wonderful and the shirt is light and breezy for summer, i just couldn't make it work
.</t>
  </si>
  <si>
    <t>Nice thin sweatshirt</t>
  </si>
  <si>
    <t>I love the sweatshirt 
 clay color is very different it's a nice light fabric with nice detailed edges 
 although it is an oversized piece it hangs and fits well although i am petite
 great light sweatshirt for spring and summer</t>
  </si>
  <si>
    <t>That special lauer</t>
  </si>
  <si>
    <t>Love the patterns and the length.  i basically would agree with all the reviewers including the person who noted no pockets. 
it's really a special piece and on sale, very worth it!</t>
  </si>
  <si>
    <t>Comfy and cute</t>
  </si>
  <si>
    <t>Very comfy and light. can be casual with jeans and boots or dress it up with a nice necklace and pencil skirt.</t>
  </si>
  <si>
    <t>Looks better when tried on; very cute</t>
  </si>
  <si>
    <t>I got the navy stripe version of this shirt and it has a very cute nautical vibe to it. i am either an xs or s in antho, and went with the xs for this shirt as i think the s would be too boxy. normally i would have overlooked this shirt as it's rather unimpressive on the hanger, but it was on sale so i tried it on. very cute when tried on! it fits well across the shoulders but isn't too clingy in the body, which i like. the fabric is very comfortable and the shoulder detail gives it a little mor</t>
  </si>
  <si>
    <t>Romantic print, elegant &amp; beautiful - i love it!</t>
  </si>
  <si>
    <t>Not sure why this shirt is getting bad reviews. i am tall and have a long torso, so perhaps that is the issue for some who find it not so flattering? maybe if your taller it hangs better? i have to say... i love everything about it. it is a fantastic print, it is very flowy but i don't think it's too much in that regard. i think it is fitting with the romantic, girly style of the garment. in my opinion not too short, just right. i took a medium, i am 5'8" and athletic.</t>
  </si>
  <si>
    <t>I love maeve and was so excited for this top which looked like an update from a last season favorite. unfortunately the fabric was stiff, it was tight in the chest and went straight down from there. returned.</t>
  </si>
  <si>
    <t>Positively agree</t>
  </si>
  <si>
    <t>All the rave reviews are true!  this vest is plush and funky and i love wearing it. i'm having fun figuring out different outfits to wear with this. this is a great three season layering piece and i'm thrilled i was able to get it on sale.  my only regret was the lack of a petite selection.</t>
  </si>
  <si>
    <t>I love this top. i got it on sale and am so glad that i did. it is a short too but still super flattering. it isn't too boxy on me.</t>
  </si>
  <si>
    <t>Love the print &amp; style</t>
  </si>
  <si>
    <t>I tried this on the other day at the local store in a size xs/s. although it's wool i didn't notice that is was itchy &amp; usually wool bothers me. i am of small build but i did like the long &amp; oversized look. i admit i am drawn to the print anyways. i noticed the right armhole was larger than the left so i tried on another xs/s - it was the same. probably the armholes will be smaller in the petite sizes. i decided to make other purchases but will order the petite xs/s in a few wks since the invent</t>
  </si>
  <si>
    <t>So cool</t>
  </si>
  <si>
    <t>This has great drape, length, the pattern is super versatile with solids or prints. i am finding the wool to be itchy around the neck, so not sure if i will keep, though i don't seem to want to take it off! has a lightweight, boiled wool texture, contrasting print and design so cool!</t>
  </si>
  <si>
    <t>Modern black and white</t>
  </si>
  <si>
    <t>I was skeptical about this duster and had to see it in person, and it was love at first sight. the black and white makes it versatile, and the pattern makes it interesting and fashion forward. more importantly, the pattern is cleverly designed which doesn't compete with your wardrobe should you wear a bright color or a similar pattern (as shown on model). i purchased the regular xs/s and it fit me fine (i'm 5'2", 34b, 26 waist, and 36 hips) and the hem falls about two inches below my knees. the</t>
  </si>
  <si>
    <t>Subdued sexy</t>
  </si>
  <si>
    <t>Surprisingly flattering on, especially with pants/jeans. extremely figure flattering because it enhances the figure and hides flaws: the pleating enhances the bust, the v-cut provides a touch of a peekaboo (not enough to show cleavage but it's there in a super flattering way), the hem flares out a bit to hide the tummy and enhance the bust even more; the short sleeves are versatile so it can be worn in the office, under a jacket, or just plain for going out. the material is not too thick but not</t>
  </si>
  <si>
    <t>So sexy</t>
  </si>
  <si>
    <t>The top runs small, it is a very sexy and slimming top. i tried in l, it was too small so i have ordered it in xl. i hope it fits because it is very fitted and i am worried that the bottom will roll to the top with a fabric like this. but it is a very sexy, good looking, and slimming top. i love it!!</t>
  </si>
  <si>
    <t>Just okay</t>
  </si>
  <si>
    <t>I was looking for a basic tee, but this one was just ok...the quality is okay, but it us not as soft as i would have liked. unfortunately,  i will be returning this item.</t>
  </si>
  <si>
    <t>One of my favorite pieces for night</t>
  </si>
  <si>
    <t>An excellent going out to dinner, to a lounge, etc. piece. super flattering, sexy, feminine and trendy! can be dressed up or down with some nice accessories. i'm only 5 feet and very wary of jumpsuits, but this was excellent!</t>
  </si>
  <si>
    <t>I would've looked right over this online but i saw it in store and had to try on. the navy and the white were both cute but i tried the navy. i'm usually a m but went with the s b/c it looked better fitted. this shirt has a very vintage feel to it and is slinky and comfy. i can't wait to wear. would look great with white jeans!</t>
  </si>
  <si>
    <t>Elegant and eye-catching</t>
  </si>
  <si>
    <t>This elegant white lace dress attracted compliments everywhere i wore it. it is classic with just the right amount of quirkiness . i like everything about it!</t>
  </si>
  <si>
    <t>Work-appropriate lace</t>
  </si>
  <si>
    <t>I've been looking for the perfect work-appropriate lace dress (for a casual/creative work environment) for a while, and this was just the ticket! the pointed collar and demure shape add some structure to the feminine lace. i rolled the sleeves to a short-sleeve length just to tone done the cutesy factor a tiny bit more (although the sleeves, worn long, are absolutely gorgeous!). the lace isn't exactly the highest quality lace that retailer has ever used, but pretty nonetheless. i'm 5'5 /125 and th</t>
  </si>
  <si>
    <t>Disappointed in the quality of the dress. love the style and especially the colors. the fabric of the body of the dress is very very thin and just poorly made. the top bodice is more substantial. not worth the price tag of $148.00. dress does run short.</t>
  </si>
  <si>
    <t>Soft and cozy</t>
  </si>
  <si>
    <t>Comfy cozy and a bit on the big size, even for an oversized piece. order a size down, even if you want a boxier look. unsure how the fabric will hold up-but if it does it will be a great get.</t>
  </si>
  <si>
    <t>Looks are deceiving</t>
  </si>
  <si>
    <t>This dress is not what i expected. the bottom half is wool-like material-looks like someone has worn it. the top snags easily so you must be careful when wearing jewelry. when i received the dress i noticed there were two small holes under the arms. i wouldn't of paid full price but for the amount, i sewed up the holes and packed it away for winter.</t>
  </si>
  <si>
    <t>Terrific sweater with great detail; runs large</t>
  </si>
  <si>
    <t>I ordered the sweater in a medium but it was too large - so reordered it in the small and it fits perfectly. love the length- it hits mid hip. it is more of an a-line than straight as show in the picture. the detail is fun and the sweater is well made. highly recommend it- i have received lots of compliments on this sweater.</t>
  </si>
  <si>
    <t>Pretty/different style</t>
  </si>
  <si>
    <t>I love this top, it's design is very pretty and like nothing that i have. i think this top runs true to size, i'm usually an xs/s in tops and i went with the s for this one and it fits great. i will say that the top layer of material will snag very easily, so while wearing it you have to be very careful!!</t>
  </si>
  <si>
    <t>Poorly executed</t>
  </si>
  <si>
    <t>This skirt is very short. i ordered my usual xs petite and it was so short that the longest part ended above my ankle. that's quite off because i'm only 5 feet tall, and i wore it pretty low on the hips. it also flares out awkwardly below the knee. there are 2 vertical seems and they exacerbate the jagged appearance of the hem. i was drawn to the edgy style shown in the photo but in person it looks like my 5 year old cut up a skirt. plus, the fabric--while thick and beautiful and stretchy--has a</t>
  </si>
  <si>
    <t>This sweater is of nice quality and has such great detail to it - love the pattern to the knit and the ribbon detail is unique and beautiful. the knit itself is of mid to thicker weight, so definitely appropriate for winter, fall, and cooler spring days. i bought my normal size small and felt like it had more of a slub fit than pictured in the model shot - it was wider down the torso and a little shorter (not tunic length like picture). i'm 5'7" with a longer torso and this hit maybe mid-bum and</t>
  </si>
  <si>
    <t>Great with leggings!</t>
  </si>
  <si>
    <t>I really like the appearance of this item, and it looks pleasing with many different styles of leggings. it does run a little large. i am a "true to size" small, and this hangs on me a little, but i love the design of the back. it is so soft and comfortable!</t>
  </si>
  <si>
    <t>Bad quality.</t>
  </si>
  <si>
    <t>I don't normally review my purchases, but i was so amazed at how poorly this dress was made, i couldn't help myself but to post a review. the neck line isn't even hemmed down so it flaps up. the material is thin and feel cheap. this dress isnt even worth $20 in my opinion. i was expecting a well made, good quality dress for the high price tag.</t>
  </si>
  <si>
    <t>Flattering and fun!</t>
  </si>
  <si>
    <t>Ordered this dress online, and i love it! i was looking for an understated but fun new years dress and this was exactly what i was looking for. the only minor qualm i had about the dress was that the velvet dots that hit where the seams met made the dress look puffier than it should some parts around the waist, but for the most part, the dress fit very well and was very flattering, may just need a little bit of ironing. i am 5'9 and usually am more conscious of how things fit around my hips, and</t>
  </si>
  <si>
    <t>Love love love!</t>
  </si>
  <si>
    <t>I saw this online but it never struck me as something i would wear. however, after seeing it in the store it really caught my eye with its detailing, so i tried it on. what a great decision because it is so much more beautiful in person, and very soft and warm. it's a perfect winter sweater to start the new year. i am 5'-7", 138 lbs. and the medium fit perfectly, though it's a little shorter on me than shown in the photos.</t>
  </si>
  <si>
    <t>Lovely fabric but tiny hips</t>
  </si>
  <si>
    <t>If your hips are bigger than a size 6 us you can't fully close this robe. the model must be wearing the larger of the two sizes to have such a nice oversized fit. the fabric is soft and lux and amazing, but the weird dart in the back and the closure is right over my sadly size 8 hips and butt. if i was taller and thinner i would have kept this and worn it every day.</t>
  </si>
  <si>
    <t>Lovely dress, small top, different color</t>
  </si>
  <si>
    <t>Like the reviewers before me, this dress runs small in the rib cage. i normally take a 12 and am a 32b. the max size that this dress comes in is a 12 so i could only order a 12. it just fit but that is because i am a smaller 12 on the top. there is no wiggle room in the dress. 
that being said, it is a really cute style and shape - rather like a 50's style dress if you will with a sexy back. i am curvy on the bottom and this dress hides the flaws there for sure. however, because it is a fulle</t>
  </si>
  <si>
    <t>Too big/so soft</t>
  </si>
  <si>
    <t>I should have exchanged it for a smaller size, but i wanted to wear it, so my mistake. i tend to wear size 12-14, and the large is entirely too big. it also had piling right out of the bag. but it is just so soft that i tore the tag off and wore it anyway. if you get this, size down for sure.</t>
  </si>
  <si>
    <t>Not sure about this one</t>
  </si>
  <si>
    <t>I'm surprised other reviewers loved this one so much. it's completely different then how it looks on the model. it's much shorter, which others do mention, but it flares a lot. enough to feel maternity-ish on me. it looks fitted on the model. maybe it's my shape, i have a short torso and carry weight in my hips. i ordered an xs too. i will say the material
is very nice and it's well made, but it's going back.</t>
  </si>
  <si>
    <t>Comfy, but not made to last</t>
  </si>
  <si>
    <t>This sweater is fine for the casual days. i bought this in cream and i have to say after one wash it looks old. i'm a huge retailer lover and buy a lot of clothes from them. this is just not the best quality and looks tired after a few wears. very soft, but poor material. not my favorite purchase.</t>
  </si>
  <si>
    <t>Loving these jeans!</t>
  </si>
  <si>
    <t>Great fit! no bagging and sagging and they fit true to size. very cute! for reference, i&amp;#39;m 5&amp;#39;2, 115 lbs and take a 26p. they look just like they do on the model. i highly recommend!</t>
  </si>
  <si>
    <t>Lovely but runs big</t>
  </si>
  <si>
    <t>Just tried 'layered sadie top' and it felt so nice on. good hand feel for both materials but note that the knit on top is a little too delicate for machine wash but can be hand washed. this item is definitely "vanity-sized". i'm 5'1, 113lbs and the xs looked nothing like how it does on the model. it was flowy as depicted but it came down much lower on me and looked a little maternity-esque. highly recommend because it's gorgeous and well made but i would definitely come in and try it out for you</t>
  </si>
  <si>
    <t>Possibly the cutest skirt ever!</t>
  </si>
  <si>
    <t>The length is perfect. the cut of the hemline makes it off the charts cute. i love it w ghillie type flats or booties. pair w a big warm sweater, or a sleek turtleneck, and watch heads turn as you enter the room! i promise! love this skirt.</t>
  </si>
  <si>
    <t>This dress is beautifully constructed. it is very fitted and does run on the small side. it will be a perfect derby dress. the lace is lovely and the pearl buttons are great touch. age appropriate for anyone..a very 
pretty dress. simple, classic and gorgeous!</t>
  </si>
  <si>
    <t>I really wanted this dress to work out, but i was slightly disappointed in the fabric for the sleeves. the fit was accurate. i'm 5'7 and ordered a 6, however, my husband said it looked too little girl like. i did end up returning it :(</t>
  </si>
  <si>
    <t>I got this top to wear with shorts as the color goes with a lot of different prints. the quality is excellent. this top runs very large, as in three (3) sizes too large. for the record i am a 34.25.35 and ordered my regular size the xs and this top makes me like i'm pregnant with twins. also, the layering looks nothing like it does on the model, it looks sloppy, unkept and a general. i think this would still be great for ladies who are bigger in the chest and waist, otherwise it just doesn't wor</t>
  </si>
  <si>
    <t>Sweet little top</t>
  </si>
  <si>
    <t>The color is a very soft peach, and the knit top over the gauze is a very light, summer-weight knit. i can see this being worn casual, or dressed up with a statement necklace and nice skirt / pants.</t>
  </si>
  <si>
    <t>Comfortable and dressy</t>
  </si>
  <si>
    <t>I bought the dress that has the cream skirt with large flowers. i wore it for a wedding and was not only very comfortable with the pockets and the cotton top, i looked good. i got a lot of compliments on the outfit. people thought it was a shirt and blouse rather than a dress. i loved the high low skirt. the sizing was accurate and the dress is easy to clean.</t>
  </si>
  <si>
    <t>Not the best quality</t>
  </si>
  <si>
    <t>I got this dress in hopes of having a really nice winter formal dress. it was not well made at all! the lining didn't line up with the top layer and the waist puffed out in uneven places. i am curvy so a puffy waistline in the last thing i need! the fabric itself is very nice, but just not well made. i do not recommend this dress.</t>
  </si>
  <si>
    <t>Soft, feminine, versatile</t>
  </si>
  <si>
    <t>Soft, comfortable, stylish. i eagerly awaited the arrival of this beautiful sweater and was not disappointed. the sizing was accurate for a perfect fit and i love the feminine detailing and shape of the necklne. the ribbons add an extra touch of style to a sweater that is both casual and elegant at the same time. very versatile.</t>
  </si>
  <si>
    <t>Stylish option good for petites</t>
  </si>
  <si>
    <t>This is my first pair of mcguire jeans, and i like the fabric and fit.  thank goodness for petite sizing!  these 32p fit just right on my hips, with no gap between the waistband and my body.  fits through thigh and hips and pretty slim all the way down.  nice stretch.  of course, the proof will be after wearing a few times and washing.  i will update my review if i do not like them so much after that,</t>
  </si>
  <si>
    <t>Sweet casual</t>
  </si>
  <si>
    <t>Adorable sweater with a loose knit that helps slim down my man-back appearance. cut is tapered to the body but with a soft flare at the bottom hem. not clingy, very soft fabric doesn't accentuate bulges so i am happy about it's forgiving silhouette.</t>
  </si>
  <si>
    <t>A perfect investment</t>
  </si>
  <si>
    <t>I walked into retailer with low hopes of finding a dress for a friend's spring wedding, as a lot of this season's dresses are more casual, but was drawn to this pretty number for multiple reasons: it can certainly be dressed up or down depending upon accessories, the fabric feels incredible, it has pockets, and it's really fun yet classy as heck. typically i wear a 10/m in dresses, but they only had a 12 in store, so i took it and made it work by tightening the sash a bit extra and wearing a bra w</t>
  </si>
  <si>
    <t>This dress is gorgeous!</t>
  </si>
  <si>
    <t>I was able to snatch this dress up just before it sold out (and i see it's now back in stock!). the quality of the fabrics is outstanding, not flimsy at all. the top is stretchy. normally i would wear a 2 at retailer, but the only choice i had was 0 and it fit. i am 5'5" tall, 125 lbs. everything about this dress makes me smile and i can't wait to wear it to my holiday party! don't hesitate if you are on the fence.</t>
  </si>
  <si>
    <t>Great dress, rough zipper</t>
  </si>
  <si>
    <t>I saw this dress online and immediately went to the store to try on! it took three sales asscoaites to help me zip the dress but once it was on it was beautiful! the bodice fits really nicely. true to size. there was extra fabric around the waist bust nothing that made the fit look weird. love love love!!! wearing for christmas eve!</t>
  </si>
  <si>
    <t>I got he green color with gray accent stitching, looks awesome with gray tone leggings. super soft, definitely runs a little big (5'6" 140 lbs i ordered the small) but not in an unflattering way.</t>
  </si>
  <si>
    <t>Cute &amp; comfy top</t>
  </si>
  <si>
    <t>Love this tunic, it's super comfy &amp; cute. i have in cream and love so much i ordered in mint. looks great with jeans and boots</t>
  </si>
  <si>
    <t>Flattering and great buy on sale!</t>
  </si>
  <si>
    <t>I thought this dress was worth reviewing since my opinion differs from many others.
i agree that the fabric is quite thin compared to what you may be used to with byron lars dresses, but the flattering fit and quality (has a nice built in slip) i found to be what you may expect from the brand. if you go in thinking it's more of a spring/summer dress, you will not be disappointed.
however, i find the sizing to be slightly off. i usually wear a 2p (i'm 5'2"), or a 0 regular.
i ordered several size</t>
  </si>
  <si>
    <t>I love this shirt</t>
  </si>
  <si>
    <t>I really love this lace-up shirt, but i only liked it in black on me. i like it open like the model is wearing it, but i had to have it a little more closed because the lace part does go down a ways-and i felt like i was revealing a little too much. i would likely wear it open, but then have to pair it with a cami underneath to feel comfortable. i absolutely love the whole outfit as-pictured, and also reviewed the polka dot pants. i wish the laces were a little longer than they are-if you have i</t>
  </si>
  <si>
    <t>Flimsy</t>
  </si>
  <si>
    <t>I love byron lars dresses, and this design is on-point. the ruffle at the neckline is so pretty, and the dress fits like a dream. however -- the fabric!!! i would have loved it if this dress had a heavier feel. this is, sadly, going back today.</t>
  </si>
  <si>
    <t>Super comfy</t>
  </si>
  <si>
    <t>Love this blouse, it;s super comfy, looks awesome with jeans. this blouse runs true to size i purchased in my normal size small.</t>
  </si>
  <si>
    <t>Pretty pattern, weird fit</t>
  </si>
  <si>
    <t>I fell in love with this dress when i saw it online and due to the "slim fit," i ordered a size up -- a 2 petite up from my normal 0 petite. when i received it, i was surprised about two things: 1) the material was kind of puffy (not bad, just weird), and 2) it was too big on top - rare for a petite size - even though it fit everywhere else. i wanted to love it, but had to return. would be gorgeous for someone else!</t>
  </si>
  <si>
    <t>Easy and stylish</t>
  </si>
  <si>
    <t>I was hesitant based on the reviews, but i'm glad i ordered this dress (in blue). the material is like a french dot texture that is soft but still a bit structured. i had no issues with the fit. it's appropriately just a little oversized. the styling is very mod!</t>
  </si>
  <si>
    <t>Great feature...perfect lacing...do not need to worry that it is too low since there is material behind the bottom of the lacing. like 3/4 length sleeve. gives top the right proportion.</t>
  </si>
  <si>
    <t>Very versatile</t>
  </si>
  <si>
    <t>I purchased this jacket in green, x-small a while back and wasn?t 100% sure about it due to the size. i?m 5?3?, 117 lbs and a 33a and thought it was a little snug so i tried on the small and that was way too big so i kept the xs. i have worn it a few times and it does look great however i can only wear thin tops with it. recently i purchased the black, x-small and this i love. it?s looser then the green so i can get away with thicker tops. 
i do recommend both jackets. they are pricey for what</t>
  </si>
  <si>
    <t>Small boobies only</t>
  </si>
  <si>
    <t>I love this dress, i mean it si really pretty in person, however, the breast area is just too small... i can't wear a bra with it, and my "older" breasts just droop, not flattering. they are barely covered... i am a bit disappointed at that, but if you are smaller up there, i say give it a try... i am 115 lbs, 26.5 ion waist, 30dd and xs petite was great everywhere but chest.
colors and fabric are great, i love that the different colors are different types of fabric... too bad.</t>
  </si>
  <si>
    <t>Love the lace up design!</t>
  </si>
  <si>
    <t>I love the lace up design and bought the red xsp, fabric is a bit thin and mediocre quality, but over all happy with purchase. wish this top came in navy and white as well. even a navy/white stripe would be a fun option too. thanks you for offering this top in a petite size. :)</t>
  </si>
  <si>
    <t>Disappointed</t>
  </si>
  <si>
    <t>I got this shirt in the mail today and was really excited to try it on. other reviewers said that it ran large so i ordered a size down and it fit perfect. i looked in the mirror and noticed the ruffles were misaligned and obviously so. i want to exchange it in the store but seeing that the size is not longer available online, i'm not really sure i'll find another one in my size.</t>
  </si>
  <si>
    <t>Very chic</t>
  </si>
  <si>
    <t>I love this jacket over a dress! it's snug fitting so can't wear anything bulky under it, but super stylish and comfy stretchy material. it's a bit pricey but i get a lot of wear out of it so worth it to me.</t>
  </si>
  <si>
    <t>I'm 5'1 and 110 lbs.  i ordered this in a xsp and i could barely zip it up.  and when i did i couldn't breathe. i tried again and ordered a sp and it's perfect! now i just need somewhere to wear it.</t>
  </si>
  <si>
    <t>Beautiful shirt, hits me a little higher. i'm not sure i'm going to keep it just because i have something similar but its a beautiful top. i'm 5'6" and carrying a little extra baby weight right now so i'm an 8-10 instead of my usual 6-8. i ordered an 8 and it fit well.</t>
  </si>
  <si>
    <t>Beautiful and versatile top!</t>
  </si>
  <si>
    <t>I love this blouse because it's great for work with cardigan over it, and great for going out with skirt, pants or jeans. it is tts and very flattering, light weight, and comfortable.</t>
  </si>
  <si>
    <t>So pretty and soft</t>
  </si>
  <si>
    <t>I happened upon this in my local store despite the fact that it is an online exclusive. i love finding returns so i can see them in person. i loved the soft colors right away. my hesitation was the standup collar but it actually folds down just fine and gives the vest lapels too. it also looks nice belted, left slightly open. i usually wear small or xs in tops and the small fits nicely. it doesn't need to close since there are no built-in fasteners. i will wear it with a long button down shirt o</t>
  </si>
  <si>
    <t>Great for work or fun</t>
  </si>
  <si>
    <t>I found this to fit tts. i sometimes wear petite, but found the petite sizing to be a little off. i have a pretty short torso, but found the petite to be too short. i opted for the regular sizing and got a 6; it fits great. this top is great for work (styled with a cardigan or blazer) or for play. i can see it dressing up or down very easily.</t>
  </si>
  <si>
    <t>Perfect shirt for work or night out.</t>
  </si>
  <si>
    <t>I ordered the mustard yellow in 10 and found the shirt to fit true to size. it works great with a skirt and with jeans but i did need to wear it with high rise jeans otherwise it came right to the top of my normal jeans and i didn't want to risk showing any skin at work. 
the color is amazing and looks good with just about any color bottom so there is a lot of room to have fun with the top. 
being larger on top the ruffles did not bother me at all, but rather act like an accessory - i find</t>
  </si>
  <si>
    <t>Flattering tee</t>
  </si>
  <si>
    <t>I just tried this top in red in xs and i think it's cute. it's fairly fitted in my opinion; the sleeves are pretty snug but there's stretch to them. i was fine with the fabric and the size xs (i'm ~105 lbs, 34aa) even though sometimes i fit better in xspetite. the only downside is that the washing instructions say to remove the tie before machine washing, and i guess that put me off a little (the idea of re-lacing it every time). so i haven't yet bought it. the red is vibrant, tomato red and the</t>
  </si>
  <si>
    <t>The cut of this shirt is lovely and well thought out, the opening for the arm are not too big like some other shirts. i liked the material and the melon/ salmon color which i ordered was more vibrant in person. this does run large so i wished i had ordered one size down.</t>
  </si>
  <si>
    <t>So soft and comfy and fit for yoga!</t>
  </si>
  <si>
    <t>5'6" 113lbs purchased size small in rich navy. so soft and comfy and i like that the cuffs help the pants not ride (even during sleep). i like that the fit is slim but not constricting on legs as all my yoga pants. tested this at my local vinyasa class and it held up without making me too hot (and i sweat a lot).
my biggest complaint is that the fabric pills right out of the packaging. actually their tag says the fabric does this and over time will continue to do this more and more because of i</t>
  </si>
  <si>
    <t>Funky and classy</t>
  </si>
  <si>
    <t>Great looking jacket with attitude. the color is more like a faded black or deep charcoal grey. i'm usually a large petite but this is snug in the chest. luckily it's a knit so i can make it work by zipping it partway and leaving the top half open.</t>
  </si>
  <si>
    <t>Really cute!</t>
  </si>
  <si>
    <t>These jeans are so cute! they are perfect for petites too! i am fit, look way younger than my age and get so many compliments when i wear these jeans. i'm. i'm 5'2", 115 libs and they definitely fit tight in a good way. just like the photo pretty much. they are not small like the white mother ankle fray jeans for sale on the site now. those definitely run smaller so these are true to size with a tight fit.</t>
  </si>
  <si>
    <t>Love. this. jacket.</t>
  </si>
  <si>
    <t>I live in los angeles and this is the perfect beginning of fall jacket! i've worn it with dresses and with jeans. definitely has enough extra room to slip a hoodie or small seater on underneath when it gets colder. it's soft and stylish. the only downside is that the pockets aren't really deep enough to put anything in.</t>
  </si>
  <si>
    <t>Bunches up weirdly in the front</t>
  </si>
  <si>
    <t>I loved this dress as soon as i tried it on, but... it bunched up weird in the front around my hips. i ordered a second size 4, hoping that it would fit better. but same thing. if i tried to go to a size 6 it would be too big every where else. fyi - i'm 5'8" 129lbs and i'm a runner. it's not like i have a huge backside or anything. my guess is sizing is off. i've tried another of his dresses and it fit perfectly.</t>
  </si>
  <si>
    <t>I really like this top. it's super cute - perfect for a football game or fairly casual event. the material is ribbed and is thick enough that you can't see through. i purchased this top in red and initially in petite but ended up returning it for the regular size. i love this top!</t>
  </si>
  <si>
    <t>Red tee</t>
  </si>
  <si>
    <t>Nice tee, true red,3/4 sleeves, lacing is a nice touch. good quality and great sale price.</t>
  </si>
  <si>
    <t>Undecided</t>
  </si>
  <si>
    <t>Feminine and lovely flutters indeed. i am on the fence. i ordered in a petite - had to size down - and something about bust and arm holes not completely right. given the light and airiness of this tank it does not seem right to have to wear a camisole underneath which is what it would need for work wear.</t>
  </si>
  <si>
    <t>Great casual shirt</t>
  </si>
  <si>
    <t>Very nice casual, inexpensive shirt and the laced neckline is great....not too revealing and easily worn tied 
without looking prudish. and of course, open as well</t>
  </si>
  <si>
    <t>So much better irl</t>
  </si>
  <si>
    <t>When i ordered this little jacket i knew i would like it, upon arrival i fell in love. it is a little edgy with leather detailing and with stretch in all the right places, the crop is super flattering. appeared online to be a bit more of a sweatshirt material but it has so much structure and holds its shape!</t>
  </si>
  <si>
    <t>I'm usually an xs for most retailer dresses and shirts. i ordered up per other reviews and got a small. the small fits comfortably around my waist. the chest area is not made for large chests. my 34ds were barely contained. sad to say, i won't be keeping the dress. the layers, fabric, and colors are truly pretty but the design/fit is disappointing.</t>
  </si>
  <si>
    <t>Ultimately unimpressed</t>
  </si>
  <si>
    <t>I really like how this looks on the model, but in real life this top is much tighter. i was hoping for a good layering top and have been playing around with the trend of lace up tops. i bought it without trying on figuring a small would work, but it was much too tight and the lace top reminded me of vans shoes. i returned it, a girl much tinier than myself has it and it is very cute on her. so, best works on a model body type figure than someone with even slight hips.</t>
  </si>
  <si>
    <t>Vibrant red color</t>
  </si>
  <si>
    <t>I got this shirt in red and black. both colors vibrant and material of shirt is nice cotton blend. will get lots of use from both shirts.</t>
  </si>
  <si>
    <t>This is the most flattering shirt--love the fit and color!</t>
  </si>
  <si>
    <t>Looks fine if you don't move your arms.</t>
  </si>
  <si>
    <t>Three strikes and retailer is out for me! i am so disappointed. i really liked this dress and was looking for a fun, distinctive new shift dress. got it, tried it on, took it off, went back to look at the listing online...nowhere does it mention that it has a drop-seam in the shoulders. i guess you can see it if you zoom in closely on the image, but it's not mentioned in the text. who on god's green earth actually looks good with a drop-shoulder?! it hits every woman under 5'10" right in the middl</t>
  </si>
  <si>
    <t>Great plaid!</t>
  </si>
  <si>
    <t>This vest is very warm and soft. it is actually a fleece that almost appears as wool. the plaid is beautiful-a pretty soft pink with the black and charcoal colors. i ordered a size large and the fit is okay. an xl would have been too big under the arms and in the bust area however, i would have liked it a little looser in the bottom half. i kept the large as there is no closure to the vest. it just hangs open.</t>
  </si>
  <si>
    <t>In love with this shirt</t>
  </si>
  <si>
    <t>I love this shirt so much that i've now bought it in 2 colors -- the olive green and the red. probably would have bought it in black too if i didn't already have enough black shirts. it's both a plain and simple tee, but with the fun lace-up detail at the neckline that keeps it from being boring.
it runs true to size but is very fitted. however, due to the thickness of the material, i didn't feel like any unflattering bumps or lumps were being highlighted, despite how close the shirt fit to my</t>
  </si>
  <si>
    <t>Don't try this on, if you don't plan to buy it. it feels amazing!!! i bought the black and it is a lovely charcoal color and matches so much.</t>
  </si>
  <si>
    <t>Perfect!</t>
  </si>
  <si>
    <t>I like the lace-up trend, but most designs are too revealing. this shirt is super sexy, but not immodest. i bought it in black and am now buying another color. to me, the fabric feels soft and thick, very nice.</t>
  </si>
  <si>
    <t>The most comfortable pants ever</t>
  </si>
  <si>
    <t>I have these pants in navy and they're amazing! i cuff the hem in half and they look like joggers. they're ridiculously comfortable and tts but are not very thick so i'm pretty sure ivory would be see through; especially if you wear them during practice.</t>
  </si>
  <si>
    <t>Perfect top for work</t>
  </si>
  <si>
    <t>I got this top in navy and i love it. it's loose and flowy and comfortable, yet dressy enough to wear for work (or dress down with jeans). i'm 5'4", 125lbs and the 6 was a bit large on me. i could've sized down a little but i actually liked the loose fit, and the length was long enough to tuck in if i wanted to. definitely recommend.</t>
  </si>
  <si>
    <t>Overall, i like it, but some sizing issues...</t>
  </si>
  <si>
    <t>I purchased the navy in this top and i really like the design and the style for the price (i believe the navy is on sale). my issue is that i do have to wear either a camisole or a little bralette or bandeau or something under it because it is too low cut in the front on me and the arm holes are ridiculously large. i might have been better off sizing down, but i bought it online, so i just decided to live with it. pretty top, though i do think it runs large.</t>
  </si>
  <si>
    <t>Great shirt. the neckline is super flattering. the fabric has some weight to it. right now i am in a "fat stage"...and it still looked good. it will look even better without the midriff bulge! i bought the shirt in black. i'm thinking of ordering it in red...it's that good.</t>
  </si>
  <si>
    <t>This is a great shirt that goes with everything. it's super sexy and i have to say....the girls look great in it! i bought the black first and went back for the green. the quality of the shirt is great...not cheap and no smell, at least not in my experience,  like was mentioned by another reviewer. i can't say enough about how cute this shirt is!</t>
  </si>
  <si>
    <t>Very pretty, boho chic</t>
  </si>
  <si>
    <t>I purchased this blouse because i love a 70's vibe in my tops. it is a beautiful, colorful top, but the colors weren't flattering on me. having said that, the cut is nice, the fabric is lightweight and flows nicely, and the fit was fine on me. i am a curvy 5'5" with a 36 c cup. go for it if this is a style you like. one other note, i wish it had been a bit longer, but i am older and prefer a little more coverage. it's just a personal preference. i think the picture is an accurate depiction.</t>
  </si>
  <si>
    <t>Great too but not for women who have a large bust.</t>
  </si>
  <si>
    <t>It's hard enough for women to find clothing that will make them look as beautiful as they feel but add a bigger bust size (i'm a 36dd) and it makes it this much harder. i ordered this top because of how beautiful it looked on the model and the price. when it arrived i was so excited! retailer does such a beautiful job with the way they handle their items! it was wrapped beautiful and no damage. i ordered a size 8 knowing that my chest could be a potential problem. the too itself is gorgeous! i did</t>
  </si>
  <si>
    <t>Cute slip but very body hugging</t>
  </si>
  <si>
    <t>Ordered this in white. it is really nice and sexy but very body hugging and unforgiving. perhaps it is my large stomach, but it hugs a bit too much for my liking. yet i think overall the design is very nice so i am keeping it and hoping i can lose some weight in my tum.</t>
  </si>
  <si>
    <t>Lovely romantic blouse</t>
  </si>
  <si>
    <t>This is one of those you have to try it on to appreciate the lovely unique design. it is a very unique, flowing, romantic piece. it is sheer and i would wear a nude camisole underneath. i am normally a size small and bought a size 2 (i tried on a 6 in the store just to see what it looked like, fell in love with the look and the retailer associate recommended i buy a size 2). love it!</t>
  </si>
  <si>
    <t>Extra fabric in back adds a lot</t>
  </si>
  <si>
    <t>I got to try this on today and i really like it. the fabric is a normal t-shirt kind of fabric (i was hoping it would have been kind of special) and the v-neck in the front does go down a ways so that some cleavage is showing. i would feel comfortable wearing it as-is outside of work, but would have to pair it with a cami if i would going to wear it to work. normally, i am not a huge fan of v-neck in the back and it drives me crazy thanks cami's these days are often made with a "versatile" v and</t>
  </si>
  <si>
    <t>A breath of fresh air. spring flowers! easy to wear. very feminine and flattering. looks great with denim, orange, reds , etc. very happy with this purchase.</t>
  </si>
  <si>
    <t>Great sweater dress!</t>
  </si>
  <si>
    <t>Nice fit and flare style, not clingy at all. i got the grey color, petite large, fits perfect. will wear with tights/boots or booties. lots of color options to accessorize with.</t>
  </si>
  <si>
    <t>Pretty blouse</t>
  </si>
  <si>
    <t>This top is soo pretty with a cool edge.
it looks and feels like really good quality.</t>
  </si>
  <si>
    <t>Love, love this flattering dress</t>
  </si>
  <si>
    <t>This dress is flattering in all the right places. it has a gorgeous skirt with a comfortable, form-fitting top. it provides just the right amount of coverage. i love it so much i bought it in two colors!</t>
  </si>
  <si>
    <t>Cute, but cheap</t>
  </si>
  <si>
    <t>When i first opened this dress and tried it on i thought it was adorable. it is very flattering on my hourglass figure and hides my recent baby weight. the problem is the hem. it was already rolling up when i took it out of the package, and i should have noticed and returned it, but i figured the problem would be easily solved by a good ironing. well, it wasn't, and it gets worse every time i wash the dress. it's like the hem isn't constructed properly.</t>
  </si>
  <si>
    <t>Love it.</t>
  </si>
  <si>
    <t>I simply love this jacket. it's comfortable, soft and has a relaxed fit that is easy to wear. i wish i had bought mine while it was on sale.</t>
  </si>
  <si>
    <t>Gorgeous top with a hint of pizazz</t>
  </si>
  <si>
    <t>I love this top! it's easily both day and night-worthy with a splash of sexiness in a front peek-a-boo design. lovely embossed design all over.</t>
  </si>
  <si>
    <t>Else lingerie jardin silk bralette review</t>
  </si>
  <si>
    <t>This bra is extremely comfortable and surprisingly supportive considering the lack of padding or firm material. it also runs large.</t>
  </si>
  <si>
    <t>Super cute and flattering too</t>
  </si>
  <si>
    <t>I love this sweater dress and get compliments every time i wear it.. i bought the navy in size xs. the pattern and colors are just fun and youthful, although you don't have to be young to look good in this dress. the dress is fitted, but the skirt flares, making it flattering if you have hips like me. the material is not too heavy so you can wear this 3 seasons fall, winter, spring. as other reviews have mentioned the dress is short. i am 5'9" so it does hit well above my knees. this isn't an is</t>
  </si>
  <si>
    <t>I bought this in the white, size m (140lbs., 5'8", 34b) because i wanted a baggy fit, which i got, so this is tts. the white is more of an off-white rather than a bright white, which i like because i happen to be looking for an off-white tee. and the shape is good--even in a larger size, this tee nips in at the waist.however, the quality of this tee is lacking, as it is the typical, cheap, marled, slightly see-through material that seems to be everywhere these days and the band on the back of th</t>
  </si>
  <si>
    <t>Fun dress</t>
  </si>
  <si>
    <t>Extremely flattering. an easy dress to wear - good choice for both day and evening</t>
  </si>
  <si>
    <t>Very cute jacket!</t>
  </si>
  <si>
    <t>I took a chance and tried on this jacket today at the store. at first i was worried that it might look boxy on me but as soon as i put it on, it was love at first sight! it's so cute and very comfy! the sleeves are slightly long on me but that's been a recurrent issue regarding all my jackets. i'm only 5'3" about 124 lbs. and it fit me very well. because it's a bit cropped, it makes me look taller. glad the weather is starting to warm up so i can find more excuses to wear it. i didn't need anoth</t>
  </si>
  <si>
    <t>Cute but too large</t>
  </si>
  <si>
    <t>Bought this in an xs and i liked the style of the skirt. it was long enough to wear to work. 
however the waist was too large and would not stay up on my waist. returned.</t>
  </si>
  <si>
    <t>Great, but size down.</t>
  </si>
  <si>
    <t>I ordered this top in the solid navy. the quality seemed very good, and my overall impression was favorable. what i liked was that the top stayed off the shoulders even when i was moving. so many of the on-trend "cold shoulder" tops simply do not stay put with even the slightest movement. unfortunately, this top ran quite a bit large. if you are in between sizes - i definitely recommend sizing down. i've not seen the printed floral option, but the dark navy is lovely and looks chic with white bo</t>
  </si>
  <si>
    <t>Not for the busty</t>
  </si>
  <si>
    <t>Nice fabric, very versatile but the knit top and style accentuates your bust. probably not an issue for most but if your a d or up it's more attention than you may want.</t>
  </si>
  <si>
    <t>Pretty adn flattering</t>
  </si>
  <si>
    <t>I tried on the usual xs in the patterned style, and it fit really nicely. the colors are very nice in person, vibrant. teh cut is flatering and gives a nice definition at the waist i also love the lace up neck detailing. the sleeves flutter out, and will give a bit more volume, if i would change something that would be it. i would make the sleeves more fitter or perhaps shirter with the flutter. i am 115 lbs for reference...</t>
  </si>
  <si>
    <t>Love everything about htis dress</t>
  </si>
  <si>
    <t>I had it on my wish list for a long time, not sure whether i should purchase, i even hesitated when it went on sale, but boy, am i glad i did order it... it is crazy comfortable, flattering, and love that it looks black but is blue... i ordered both xs and xs p and decided to go with the petite as it will look super cute in the fall with boots. not too short (i am 5 foot 1.5)... the fake leather part concerned me at first, but i like it now... nothing bad ot say about it!</t>
  </si>
  <si>
    <t>I tried this on in store and since my usual size 6 wasn't available i tried on a 4. it was a little snug in the upper sleeves and shoulders but was lovely otherwise. i passed on it and waited for it to go on sale to order it online. i got it in my usual size 6 but it seemed to me like it was 2 sizes bigger than the 4. i have decided to keep it but i just wasn't thrilled with the fit.</t>
  </si>
  <si>
    <t>Manette clipdot blouse</t>
  </si>
  <si>
    <t>I agree that this blouse is boxy, but because it's not too long in length it evens it out. any longer or shorter would make it look too boxy. it's great for work to dinner during the week &amp; goes great with jeans too.</t>
  </si>
  <si>
    <t>Runs large</t>
  </si>
  <si>
    <t>Soft cotton in very stylish yet simple style. regrettably, i listened to reviews that said it ran tts and ended up w a baggy long one that won't work even if i shrink it. that will teach me-- always order multiple sizes!</t>
  </si>
  <si>
    <t>Fun mix of colors in the grey version</t>
  </si>
  <si>
    <t>I ordered this dress in size xl in the grey/red/yellow combination. i love everything about this dress. it's comfortable. the colors are cheerful. the proportions of where the stripes are placed works. but, i have to return this dress. it's too short for what i'm comfortable wearing. i saw from the photos that this comes mid-thigh on the taller models. i hoped that would mean it would be more knee-length for me. unfortunately, it's just too short and i'd feel self-conscious. i don't want to deal</t>
  </si>
  <si>
    <t>So pretty and great style</t>
  </si>
  <si>
    <t>I had to order this blouse since it is named after the town i live in. it does not disappoint. the flowers are so pretty and it has great style. there is a little piece in the neckline so it is not too revealing. the sleeves are loose and cover the bra strap underneath. the back has a little bit of elastic so it does not look like a maternity shirt and it gives you some shape. i can't wait for it to warm up and to wear this!</t>
  </si>
  <si>
    <t>Perfect trans top.  skinnies or boyfriend and booties.  love the mixed prints</t>
  </si>
  <si>
    <t>Retailer like it used to be!</t>
  </si>
  <si>
    <t>This top reminds me of the special tops i got "once upon a time"...when retailer adopted a more curatorial approach to their store. this is a beautifully-made top...quite dramatic but comfortable. i've received many compliments each time i've worn it. it has wonderful drapery and movement.</t>
  </si>
  <si>
    <t>Lovely</t>
  </si>
  <si>
    <t>This blouse is so pretty and well made. it will be a new favorite with dark jeans and boots. it is very boho and a lovely blouse to feel dressed up a bit on a jeans day. loose in a flattering way (it does not look like a maternity top). very happy!</t>
  </si>
  <si>
    <t>Cute jacket</t>
  </si>
  <si>
    <t>I love the layered look of this jacket. i got it in navy which matches everything. i think it's a little on the large side for me. i ordered a small. i'm 5'2" 130 lbs. super comfortable. the inner layer is very soft. once you wash it, the outside is soft too. i've already worn mine several times. happy.</t>
  </si>
  <si>
    <t>For the shorter girls</t>
  </si>
  <si>
    <t>I really wanted to love this dress, but it was so short! i'm only 5'6" so i don't consider myself really tall, but the dress only came a couple of inches lower than my butt! way too short for me. my husband asked if it was a shirt or dress haha. but i think this would look adorable on someone a few inches shorter. or someone younger who can pull of a short shirt :)</t>
  </si>
  <si>
    <t>I ordered size small and medium because i can go either way depending on brands. and both look great! there is no significant difference except medium fell about 1 inch longer. i am 5'4" and size small hem fell about 1" above knee. size medium felt tab bit more loose but i thought fabric may stretch a bit after wear so i'm keeping size small. what a beautiful dress! although the body of dress is jersey material, it is lined so there is good coverage. i tend to not like "faux leather" since they</t>
  </si>
  <si>
    <t>Still love it even if...</t>
  </si>
  <si>
    <t>...there's enough room for a small family to live under the chest and trunk area of the blouse! sorry-had to say that! all kidding aside-since it's been thirty plus years ago since we were wearing these, many of us have forgotten what peasant blouses truly fit like. this is no exception- it is very billowy, flouncy, and roomy-more so even than today's peasant styles, i think. it is lovely and quite fitted across the chest -so that's how i ordered my size and it worked. i think if one sizes down</t>
  </si>
  <si>
    <t>Pretty spring flowers</t>
  </si>
  <si>
    <t>This top is so pretty and feminine. the different floral patterns work very well together and add an interesting flare to this unique blouse. the fit is very comfortable yet still very flattering due to the empire waist and flared sleeves. the fit is true to size, i usually wear a size medium or 10 in retailer tops and the size 10 fit quite nicely. this top is a great addition to any spring wardrobe and should transition nicely into summer as well.</t>
  </si>
  <si>
    <t>Very cute, very comfortable. for me aesthetics and comfort must go hand in hand. this dress fits the bill.</t>
  </si>
  <si>
    <t>Boxy</t>
  </si>
  <si>
    <t>Cropped and wide- would look cuter on someone who is more petite. was too wide and cropped for me. very sheer.</t>
  </si>
  <si>
    <t>Cute concept, fits weird</t>
  </si>
  <si>
    <t>The fun colors drew me to this but it sure fit weird. the top was fine but it became a bit tent-like in the waist. the material doesn't feel great either.</t>
  </si>
  <si>
    <t>Nice but short</t>
  </si>
  <si>
    <t>I really like the style of this top, and it's delicate but well made, but i wish it were longer and less boxy. it's nice that it comes with a separate cami to layer, but the cami is very cropped. when i raise my arms you can see a lot of midriff (and the top is see through so a layer underneath is necessary). a longer cami probably wouldn't work because the top is also very short. i'm 5'0'' with an average torso length, and ordered the xxs petite. also, you would have to cut the tag off if you d</t>
  </si>
  <si>
    <t>Pretty top for work days</t>
  </si>
  <si>
    <t>This is a pretty top that is conservative enough for the office, with a modest neckline. there is a little hidden snap or button under the bow at the neck so you don't have to keep fussing with the tie the fit is loose in the waist and high at the neck, so the sheer parts are the only thing to give it a little flirtiness. there is a matching camisole underneath that snaps in at the shoulders. overall, i thought it was nice when i tried it at the store, but it didn't have enough extra "wow" to ge</t>
  </si>
  <si>
    <t>Love this dress</t>
  </si>
  <si>
    <t>Very comfortable and versatile. got lots of compliments.</t>
  </si>
  <si>
    <t>Itchytown</t>
  </si>
  <si>
    <t>Is not a place i want to be, even if the style of a sweater is great.  yes, this sweater is very cropped, but i think it&amp;amp;#39;s definitely intended to be worn off the shoulder to drop the waist a bit.  it&amp;amp;#39;s the itchiness that makes it an immediate &amp;amp;quot;no&amp;amp;quot;, and that&amp;amp;#39;s coming from someone who has serious fiber itch tolerance.</t>
  </si>
  <si>
    <t>Feminine, flattering, versatile</t>
  </si>
  <si>
    <t>The combination of vintage and bohemian styles seems as if it would be flattering on all figure types. and i love the combination of smaller and larger prints. the only thing i didn't like is that on the blouse i received, placement of the larger print on the bodice is asymmetrical (unlike the photo). it might not bother some customers, but it wasn't what i was expecting, so i ordered a new one. i may keep it even if the second one is off, because other than that small thing, i think the top wou</t>
  </si>
  <si>
    <t>Love the fabric &amp; lace on this top. like other reviews said the arm area is tight where the lace meets the fabric which makes the fit uncomfortable. sadly this top is going back. if you have very skinny upper arms this top will fit fine.</t>
  </si>
  <si>
    <t>So cute, but weird fit</t>
  </si>
  <si>
    <t>This dress is really cute in person. however, it did not fit me like it does the model in the pic at all. first of all i'm 5 feet 1 and it was wayyy too short on me. i didn't have the petit on either-- i had the regular xs. it just hits a couple of inches too short for me. i am 50. it would be adorable if i were more comfortable in shorter dresses. i wear short things a lot, but this was just too high on me. it was probably a good 8 inches above my knee. also it flared too dramatically at the wa</t>
  </si>
  <si>
    <t>Awesome top</t>
  </si>
  <si>
    <t>Saw this online and had to try it on when i found it in the store. i usually wear an 8 or a 10 depending on how things run, (i'm a 34 dd), so i tried on both sizes. i really could not see much of a difference between the two and was torn as to which size to get. the 10 was just a tad looser so i went with that one, but seriously i could not find or feel much of a difference. it is a very figure flattering top, and a plus that you can machine wash it. simply awesome!</t>
  </si>
  <si>
    <t>Comfy, cute, and colorful.</t>
  </si>
  <si>
    <t>This knit dress is very comfortable. i liked the various colors used in the stripes. my only issue with it, is that the skirt of the dress flares out oddly and is quite short. in my opinion, this dress, with its sturdy fabric and long sleeves, would appear more proportional with a longer skirt. skirt length, along with horizontal stripes just did not work for me. regrettably, i sent it back.</t>
  </si>
  <si>
    <t>Best fitting dress</t>
  </si>
  <si>
    <t>Love love this dress. fits so great. i normally wouldn't have picked this dress. more preppy than my normal style. fits amazing. my hubby has complimented me more on this dress than anything else i've ever owned. the fit &amp; flare style is super flattering i felt it fit tts.</t>
  </si>
  <si>
    <t>Gorgeous, flattering blouse!</t>
  </si>
  <si>
    <t>This is one of my absolute favorites! the design is perfect, and the fabric is so beautiful. i don't love the coral color, but the mixed pattern is amazing. it runs a little large. i sized down one size and it fit perfectly. it's very flowy and comfortable. it's these unique, special designs that end of being my favorite retailer purchases. i've gotten so many compliments. very highly recommend!</t>
  </si>
  <si>
    <t>Cropped and itchy</t>
  </si>
  <si>
    <t>I'm assuming the model showing the sweater is at least 5'9", it is slightly cropped on her , but it certainly doesn't look super cropped. i'm 5'4" and its super cropped on me. even with high waist jeans.
also, it is incredibly itchy. i even tried it with a cami under but the itchy wool came right through the cami.
too bad, its a cute design, just needs some tweaking.</t>
  </si>
  <si>
    <t>Cute but skip the petite unless you are very short</t>
  </si>
  <si>
    <t>Beautiful colors, especially the pink. i am 5'3" and about 124 lb. i got the small petite but am thinking of exchanging it for the regular xs. not only is it short hem-wise, which i don't really mind, but it is short in the waist. very pretty and good fabric.</t>
  </si>
  <si>
    <t>I love the style of this top. i just wish there were a slimmer version of it. unfortunately, this top doesn't suit my long, slim midsection. it is so wide, it completely hides the waist. i think it would look adorable on a different body type.</t>
  </si>
  <si>
    <t>Elegant and well made</t>
  </si>
  <si>
    <t>This dress caught my eye because i don't have anything like it. i wear between a m &amp; l and preferred the large in this dress because i have a large bust. i usually wear a 10 in slacks and 12 in tops. i love the lace on this dress because it looks very delicate in the picture but it is very heavy and well sewn onto the fabric. it is durable while still looking elegant. i also like that it is in navy and not black. it is also nicely lined. i plan on wearing a colorful scarf with this dress.</t>
  </si>
  <si>
    <t>A beautiful combination of eyelet with a soft fabric which lays beautifully. this does not make you look bigger then you are and i kept tts so the eyelet did not pull. mine fits perfectly. i personally will wear a cami under it as it is a bit sheer for me. it has an almost peacock print to it in colors of brown and tan. the black buttons down the back adds interest and charm. just adore it!</t>
  </si>
  <si>
    <t>Well made</t>
  </si>
  <si>
    <t>This dress looks great on me. it gives a slender appearance which hides a lot and it's easy and comfortable to wear.</t>
  </si>
  <si>
    <t>Beautiful blouse; very flattering</t>
  </si>
  <si>
    <t>Overall, gorgeous blouse; very flattering. i love the sleeves; very unique and also flattering. i love how the blouse is a fit-and-flare from the bust. it's fitted at the bust (but not tight) and drapes with an a-line style. the fit of this blouse is truly flattering to the figure. no issues with inappropriate amounts of cleavage showing or anything. the ties are weighted on the end with metal tubes, which i really like because it makes the strings drape nicely. the back drapes beautifully. i fe</t>
  </si>
  <si>
    <t>Weird color and fit</t>
  </si>
  <si>
    <t>Color is not like photo and fit doesn't work if you're busty</t>
  </si>
  <si>
    <t>Looks better on</t>
  </si>
  <si>
    <t>I first saw this jacket hanging at the store and it didn't look very cute. i saw it again on sale so i decided to try it on. i'm so glad i did! the inside gray material is so soft. i have broad shoulders and this jacket did not hinder my arms at all. it is very comfortable. i bought the x-small and was very surprised at how roomy it was. the sleeves are a tad bit long but the gray inner lining has an elastic cuff so it can be pushed up. not sure if the xx-small would've been too small or if the</t>
  </si>
  <si>
    <t>Good quality material. i got size 10 which is a little too big - size 8 would probably be better. very pretty, feminine top. a little too full in the waist/skirt area.</t>
  </si>
  <si>
    <t>Fun tag sale find</t>
  </si>
  <si>
    <t>For me, the tag sale is an opportunity to take a second look at items that i may have overlooked earlier, to pick up something fun at a good price. i found this dress in two colors in my size in the store! i took my usual xxsp at 32-24.5-32. length is perfect - just above the knee and the top is flattering with not too much fabric in the skirt. overall, this is a really cute staple dress. looking forward to wearing it in the spring. larger busted ladies size up. it is meant to be fitted in the t</t>
  </si>
  <si>
    <t>Great dress</t>
  </si>
  <si>
    <t>I absolutely love everything about this dress. it can be dressed up or down. no complaints.</t>
  </si>
  <si>
    <t>Cute and fun!</t>
  </si>
  <si>
    <t>The horizontal lines on the skirt and top gives the wearer and very nice dress. i am short so i got the 6 petite and it fits perfectly. the fabric is thick and stretchy.</t>
  </si>
  <si>
    <t>The right kind of casual</t>
  </si>
  <si>
    <t>This is a great top to pair with jeans to step a casual night up a notch.</t>
  </si>
  <si>
    <t>Easy jacket</t>
  </si>
  <si>
    <t>Slouchy relaxed fit. well sewn together and hangs well on the body. bottom hem hits upper thigh. good length and soft, easy fabric. light layering option as well. good spring jacket, can be kept on indoors without getting too hot.</t>
  </si>
  <si>
    <t>Great dress or tunic</t>
  </si>
  <si>
    <t>The colors are more vibrant than the photo indicates. indeed, though, the dress is very short and does pair well with leggings and boots.
i like that the dress highlights my hour glass figure, but with a generous nod to my curves with the accommodating skater skirt.
love it! will be easy to wear casually and work appropriate, too. the sale price was a huge bonus.</t>
  </si>
  <si>
    <t>Top coat</t>
  </si>
  <si>
    <t>Top of the line! very well made and on sale to boot. i love the style and received a compliment from my sister when i wore it. i love the layered look.</t>
  </si>
  <si>
    <t>Love, love, love this tunic!</t>
  </si>
  <si>
    <t>Perfect little summer tunic that is very flattering. paired with a skirt, jeans or cropped black pants- this top is perfect! the cut in the front is not overly deep- so a cami is not necessary. i am usually a l or xl or 12 in retailer tops and i have a 10 in this top. so it is sized slightly larger than usual.</t>
  </si>
  <si>
    <t>Sleeves are really small</t>
  </si>
  <si>
    <t>This shirt is really pretty but the sleeves are so small. i normally wear between a 4 to a 6 or a size medium and i could not get this shirt on. i wish it fit but a size large would have been way to long and loose.</t>
  </si>
  <si>
    <t>I love this dress because its very playful and bouncy. it puts me in a light hearted mood when i wear it. i originally wanted to buy the grey color but my store only had the navy, so i tried it on. the navy is brighter and more colorful than it looks on line and the stripes are more varied in color than in the picture - so its quite appealing and vibrant. the lines of the dress are also quite flattering. all in all, its a fun dress!</t>
  </si>
  <si>
    <t>Perfect top!</t>
  </si>
  <si>
    <t>This blouse fit better than i expected. looks great with jeans and is an easy go to top!</t>
  </si>
  <si>
    <t>Comfortable and chic</t>
  </si>
  <si>
    <t>This dress is so comfortable, and i love the unique faux leather skirt and lace design. it really adds a special touch to the dress. i only gave it four stars because the top half is pretty boring...i wish the neckline wasn't so matronly. i'll definitely need a bib necklace or scarf to dress it up. i'm 5'5" and 115 and ordered the xs. i wish the dress cut in a little more at the sides to accentuate an hourglass figure, also. my husband loved it.</t>
  </si>
  <si>
    <t>Perfect balance of classy and sexy</t>
  </si>
  <si>
    <t>I love this top! not sure if i would picked it up in the store; i received it as a gift from my husband. kudos to him as it was a great choice. i love that the sheerness and lace make me feel a little sexy but the long sleeves and camisole offer the modesty i tend to crave. really beautiful and can be worn either with jeans or a dressier skinny pant for a night out. hd in paris never fails to please with their aesthetic and quality.</t>
  </si>
  <si>
    <t>This top is great for spring- it's super light and can be dressed up or down depending on what you're wearing it for. fits true to size and is great quality.</t>
  </si>
  <si>
    <t>Cute fit, perfect length</t>
  </si>
  <si>
    <t>I've admired the various iterations of this dress and finally found one in the sale room, much to my delight! i'm generally a sale shopper, so this doesn't mean i didn't think it was priced well. i have the oatmeal top with yellow/gold/orange pattern on the skirt in xs. the small fits comfortably up top, but on my petite frame, the top just looked too big, so i went with xs. i suppose the straps are a bit confusing, but their easy to figure out if you just look at them for a moment before puttin</t>
  </si>
  <si>
    <t>This dress is comfortable as well as flattering, which does not happen very often!
looks good with navy tights too!</t>
  </si>
  <si>
    <t>Love love love this jacket!! great spring and fall weather.. very stylish!!</t>
  </si>
  <si>
    <t>Cute dress</t>
  </si>
  <si>
    <t>Based on some reviews i decided to get the regular xs, even tho i am an xs petite (5'2, 107 lb, 32c) i found the fit to be flattering -- fitted enough but not too loose or tight. the length is perfect and work appropriate, and the material has some weight to it. the grey one is colorful and cute. the only problem is the bagginess of the arms -- very unflattering. if i push the sleeves up, it hides the bagginess a little, but i would like to have the option to wear the dress with long sleeves., s</t>
  </si>
  <si>
    <t>Great fit</t>
  </si>
  <si>
    <t>I purchased this dress because i have a similar one with a linen skirt from the spring. the skirt on this dress is a heavier fabric and it lays very nicely. the top provides good coverage for my larger chest and i took my typical xs size. i would definitely recommend this purchase.</t>
  </si>
  <si>
    <t>Comfortable and great looking</t>
  </si>
  <si>
    <t>This jacket looked so good and felt so comfortable on- i almost didn't send back the first one that arrived with a little bit of damage at the bottom of the inner zippered sweatshirt, but i did exchange it and am just as happy with the fit and feel of the second one. it hangs well no matter how you fasten the front, or leave it open. great looking, casual but stylish and neat. a good grey, and a good blue.</t>
  </si>
  <si>
    <t>I went to my local store and they only had the blue dress in stock, i had seen it online and i didn't expect to like the blue one. i tried it on anyway, and it was adorable! i struggled to choose, but i ordered the gray one at the store and they shipped it directly to me. it arrived quickly and i love it!</t>
  </si>
  <si>
    <t>Great jacket!</t>
  </si>
  <si>
    <t>This jacket has a nautical look which is a refreshing change for this year. it is double breasted &amp; a stretchy cotton, which i love. i am a big fan of cotton. it appealed to me so much that i ordered both the white &amp; the navy in the regular size small. i am of small build at 5'3", 117# &amp; expected that the sleeves c/b a little long. i avoid ordering petite size jackets b/c sometimes they are snug in the shoulders. ok, so the regular s was a good length at the bottom of my hips, but arms were bagg</t>
  </si>
  <si>
    <t>Beautiful blouse but....</t>
  </si>
  <si>
    <t>Absolutely love this blouse but if your a woman cursed with larger arms for your body size than this is not for you. i couldn't get the lace part of the upper arms past my elbows.
oh well, it's going back!</t>
  </si>
  <si>
    <t>Feminine and pretty</t>
  </si>
  <si>
    <t>This top is gorgeous and versatile. i wear it with jeans and dress it up with a skirt. so happy to have this in my wardrobe.</t>
  </si>
  <si>
    <t>Not a fan - childish</t>
  </si>
  <si>
    <t>I thought that it looked like it belonged on a 15 year-old. i can almost see why they styled the model in what looks like ankle socks....ready for cheerleading. for reference it fits true to size, but is very short. i am 5'2" and tried on a regular small - it was at least 5 inches above my knee.</t>
  </si>
  <si>
    <t>I loved this dress when i saw it. however the fit was way off. i am 5'7" 120 lbs and the small was way too big from the waist down. when the xs arrived i was sure it would be perfect. unfortunately the waist hit way too high, above my rib cage and the dress was too short. it was as if it was a petite size. i was very disappointed as this is such a pretty, easy dress to just throw on for school. unfortunately neither size looked right on me and i had to return both. the material is also not the s</t>
  </si>
  <si>
    <t>The jacket is great, the quality is very good and the fit too, the best part is how it looks !</t>
  </si>
  <si>
    <t>Runs large through the chest...</t>
  </si>
  <si>
    <t>So pretty, but does run large. i am an 8-10 , got the 8 and big through the chest. had to return for this reason. if you are on the busty side it will look fab on you.</t>
  </si>
  <si>
    <t>Love! my new favorite jacket!</t>
  </si>
  <si>
    <t>I was looking for a stylish spring/fall jacket and this one seemed to fit the bill. i was shocked by the quality and softness of the material and construction of this jacket. i could honestly not believe how comfortable and cute this felt and looked on me. i can't wear it enough! i am a short 5'2" but 36d and have 31" waist so i ordered a size m and l to see which would work best. as it turned out the m fit with plenty of room! i am normally a 12/14 so i was surprised by this. if you are on the</t>
  </si>
  <si>
    <t>Lovely blouse!</t>
  </si>
  <si>
    <t>Love the detail and the way it hangs. i sometimes struggle with blousy tops because i have a larger chest, but this one didn't make me look pregnant! i purchased this with the 30% off... i wouldn't have paid full price for it.</t>
  </si>
  <si>
    <t>Love the lace detail</t>
  </si>
  <si>
    <t>I really wanted this to work. for me the arm cutout was too wide. a cap or lace flutter sleeve would've worked . also expected a little more length felt like the petite length.</t>
  </si>
  <si>
    <t>I just received these pants and i am very pleased.  they are a little longer than i expected them to be, but that actually works out well because now i can wear them to the office.</t>
  </si>
  <si>
    <t>Cute and pretty, runs a little wide and short, just slightly. i feel like i have that issue with all retailer clothes though. love the back.</t>
  </si>
  <si>
    <t>Gorgeous dress</t>
  </si>
  <si>
    <t>I was hoping this would go on sale and now it finally has! i loved this dress just as much in person as i have online. the fabric is interesting-it looks almost plastic in the online pictures but don't be fooled, it is still a comfortable fabric. it is almost like lots of diamond pieces were actually sewn together to make this dress and i love it. there is a sipper down the side to make it easier to get into, but also in the back there is bunched up fabric which is made to be ore bendable for th</t>
  </si>
  <si>
    <t>A must buy!!</t>
  </si>
  <si>
    <t>I tried this dress on and felt amazing in it.  i got home and showed my husband my purchases.  i told him i wasn't sure if i should have bought this one and told him to be honest with me.  he said it looked great and he was glad i bought it.  so great for a spring wedding. fits true to size.  i am 125 5'4" c-cup and i bought my normal size 0.  this made my waist look really small.</t>
  </si>
  <si>
    <t>Prety dress that fits true to size</t>
  </si>
  <si>
    <t>Wow the mixed reviews on this dress would make someone not get it at all.
it is true to size. i'm a 6 and the six fit as a glove on me.
the material is not at all stiff. i actually wished it was a bit more structured. but that didn't bother me.
i was able to close the zipper by myself.
i'm 5'7" 144lb 36a.
the top feels confortable to me as well. i don't considered myself curve like jlo but i have hips. the dress does not make me feel bigger at all.
the only down side is that it looks more expens</t>
  </si>
  <si>
    <t>Very nice, just as pictured</t>
  </si>
  <si>
    <t>This is a very nice jumpsuit; reviewers were correct stating that torso is long &amp; fit better a taller person. as soon as i read the reviews i went on and placed an order for size 8, i'm 6ft tall 160lb and it has been very difficult to find a jumpsuit to fit my long torso. this one however turned out to be perfect! true to size and fit, not only that, the fabric is very soft and good quality, very interesting style of the jumpsuit, looks much better in person! i particularly liked cropped, wide-l</t>
  </si>
  <si>
    <t>This top runs super small in the upper arms, shoulder area..could not even stretch out my arms! ...other then that major problem, the length and body fit were perfect...i am true med and/or large in all retailer tops so i tried sizes 10, 12 and neither worked for me due to arm/shoulder fit...disappointed because it really is a beautiful top...</t>
  </si>
  <si>
    <t>Glad i took a chance on these!</t>
  </si>
  <si>
    <t>A nice alternative to jeans, good fit. i like the casual but edgy rocker look they have. will look good with booties and full length boots. i took the same size that i do in all pilcro pants.</t>
  </si>
  <si>
    <t>Adorable top!!</t>
  </si>
  <si>
    <t>I love , love this top !! it looks just like the picture on model. the front is a soft t-shirt and the back is so cute and flattering . super unique and comfortable style.!! i am 5'4 -105 and xs fits perfect.</t>
  </si>
  <si>
    <t>Cute top!</t>
  </si>
  <si>
    <t>This is a very cute and unique top!! i absolutely love the back, which makes up for my indifference of the front. i'm a little heavier in the middle, so it hides it a bit, but the light blue from the back that shows on the sides makes me feel a little wider. it's not perfect, but i like it enough to keep it. i got lots of compliments on it when i wore it. it's very comfortable too. i just wish the front had a little more to it or was a tad longer. overall very happy.</t>
  </si>
  <si>
    <t>This top is so lovely, i was worried of the color on my pale skin, but it is complementary, nice warm tones. yes, it is a tank, but i can see this as a transition piece into fall with a nice blazer, jeans, boots... the xs regular is perfect for me, length is adequate. if i were to go with petite, i might think it is too short. it is flowy, but still has shape, more than a swing top, so very flattering. the back is really cute too, definitely need a strapless for me, due to the thin straps...</t>
  </si>
  <si>
    <t>Comfortable and unique</t>
  </si>
  <si>
    <t>Great pants, like the edginess of the design in the material. kinda rocker like. soft material that's stretchy and hopefully will hold its shape during the day. the color is listed as black but it's more of a dark gray with a slight blue hint.</t>
  </si>
  <si>
    <t>I love these! they are a perfect addition to my fall wardrobe, and just like all other pilcro jeans, they are a great fit and true to size.</t>
  </si>
  <si>
    <t>Fits so well!</t>
  </si>
  <si>
    <t>I often have a hard time finding items that fit true to size, but this top fits perfectly. it is cut really well and very flattering.</t>
  </si>
  <si>
    <t>Stunning special occasion dress</t>
  </si>
  <si>
    <t>I'm surprised i'm the first to review this dress! it is a must for the holidays and any special occasion! it is absolutely gorgeous! it is so feminine and seductive; it's one of those dresses that would be stunning on anyone! it is a quality dress, beautifully made, looks just like the photo. i'm 5'9" &amp; the hemline falls at the top of my knees. the neckline is exquisite &amp; really "makes" the dress. i purchased the black version but if i was younger i'd get it in red as it would garner quite a bit</t>
  </si>
  <si>
    <t>Love this shirt</t>
  </si>
  <si>
    <t>This shirt is very nice quality and looks stunning. it does run tight in the shoulder area and is a bit of a challenge getting off, but as long as i don't rip it one of these times all will be well! it looks so nice on that i overlook that design flaw.</t>
  </si>
  <si>
    <t>Comfortable, soft</t>
  </si>
  <si>
    <t>The material is very soft and it looks just like it does on the model with the exception that it gets a little wrinkly at the hem and turns up at the corners. i like it and have already worn it a few times.</t>
  </si>
  <si>
    <t>Not for us chesty girls!</t>
  </si>
  <si>
    <t>Was drawn to this dress in the store. my location had it displayed well (one mannequin with the dress &amp; a jean jacket...another with the faux fur cardigan). the dress is a very vibrant red. but the fit is not for me. i am busty (34c) with a short torso, and the dress made me look like dolly pardon on top. but there was a lot of room on the bottom. i tried on a size 6 and felt like i needed a size larger on the top and a size smaller on the bottom. having said that, the material is a very good qu</t>
  </si>
  <si>
    <t>Fit is not cute</t>
  </si>
  <si>
    <t>I was really excited about this top since i have others from retailer that are similar in styling. unfortunately, it just didn't work out. i am petite with a short torso and ordered my usual size and it was way too short in the front. the top was also boxy and didn't sit right. it just wasn't flattering. cute top on the hanger, but just not on me.</t>
  </si>
  <si>
    <t>Do not like the front</t>
  </si>
  <si>
    <t>The back of this t-shirt looks cute but the front looks really weird. the material in the back is quite stiff but the grey material is soft, so the front gray area ends up hanging weirdly and looking uneven and messy. i appreciate asymmetrical clothing but to me it looked like a patched up rag from the front. it fits true to size.</t>
  </si>
  <si>
    <t>Not doing anything for me</t>
  </si>
  <si>
    <t>Well, this top just did not do anything for me - it's a very conservative style with the high neckline and blousy fit. you'd need to go a little lower in size if you want any of your figure to show through. i guess it might be good for a church function or some other conservative event, but it was too buttoned-up for my style. i also had a hard time getting it off even though the size i tried on was large for me. i didn't care for the feel of the fabric either, although the lace is nice.</t>
  </si>
  <si>
    <t>Well made. made my hips looks giant. just not my style unfortunately. i'd have to work at preschool or on a ship to pull this off. i'm 5'3 120-123lbssize 6-8. i got the size 6 (not petite cuz they were sold out).</t>
  </si>
  <si>
    <t>Cute outfit</t>
  </si>
  <si>
    <t>I love the color and the style, however it doesn't look as well as the model as i don't have a small waist like the model does. still overall, i love this dress and it is well made and comfortable</t>
  </si>
  <si>
    <t>So good</t>
  </si>
  <si>
    <t>Love this blouse! its so darn cute. the fabric is soft, flows nicely and is just absolutely stunning without being over the top. it falls at the lower part of my hip. the softness of the fabric would make this easy to tuck in. the body of the shirt, sleeves, cuffs and placket are contrasting florals in black and creamy white. the top part is a brownish burgundy color and the flowers/butterflies are embroidered in goldenrod yellow, peach, creamy white, two mauve tones, turquoise and brown. the li</t>
  </si>
  <si>
    <t>I am 5'3" 130 and curvy and this dress fit me perfectly. it's great for parties and weddings (depending on how formal). the only reason i gave it four stars is because the fabric is a little strange; the ribbing for the squares is almost like a pillowy fabric, and it feels a little bit on the cheaper side but luckily it doesn't look cheap. nonetheless, i love this dress and would definitely recommend!</t>
  </si>
  <si>
    <t>Classy little dress</t>
  </si>
  <si>
    <t>Love this dress! just wore it last night to an early valentine's dinner. very classy, simple, but gorgeous. i'm a size 2 in just about everything but i always buy a size 4 in retailer dresses because i'm tall (5'9") and have broad shoulders and a long torso, and sizing up in dresses works better all around. i am also not busty (32b). i did get this in a 4. this dress was a little awkward at first trying to hook and then zip but once i got that down it worked. the hook is right up under your</t>
  </si>
  <si>
    <t>Awkward style</t>
  </si>
  <si>
    <t>Fits very strange. odd cut. does not look well on.</t>
  </si>
  <si>
    <t>This is a beautiful top. it extended longer than i had hoped and a petite size was not available, so i ended up returning it. but it is beautiful and the tassels on the sides make it truly unique.</t>
  </si>
  <si>
    <t>Unique piece / boho chic</t>
  </si>
  <si>
    <t>Love this blouse! i took a chance on ordering it and wasn't sure what i would think. this blouse is fabulous!!! it has a boho-chic flair to it in a sophisticated way. it's one of those "special" pieces from retailer; elegant, quirky, sophisticated.
the details are great, too. of course the embroidery is beautiful; but there are a couple more fun details. the cuffs on the sleeve have multiple buttons; so that you can button them tight or just enough to roll the cuff once. when the cuff is r</t>
  </si>
  <si>
    <t>My favorite black top.</t>
  </si>
  <si>
    <t>This is a timeless top. i loved the overall look of the top and after eyeing it for several days decided to purchase it. warning, the shoulder area is cut small due to the fabric at the top. i am usually a size 12 (because of ddd chest) but i bumped up to a 14 and it was perfect.</t>
  </si>
  <si>
    <t>Love this top! it is super flattering with a long floaty body. i usually wear a 4 but sized up to a 6 due to the reviews and am happy with it but think a 4 would have fit as well.</t>
  </si>
  <si>
    <t>Pretty tank</t>
  </si>
  <si>
    <t>Love tanks and this one is sweet and flowy. great with jeans/shorts or slacks with a jacket for the office. beautiful yellow floral with fun straps in the back that you can wear with a bra. front neckline is cut narrow so bra straps show but with nude or plastic straps it's not that big a deal.</t>
  </si>
  <si>
    <t>Different than the rest !!!</t>
  </si>
  <si>
    <t>This is truly unique top, the  detail around the neck is a nice change!!!</t>
  </si>
  <si>
    <t>Slimmingly perfect!</t>
  </si>
  <si>
    <t>I am 5'2" 125 pounds and i bought the 4p. the fabric is high quality and does not cling at all but instead drapes and in a very flattering way. add that to the cut of this jumpsuit and you have elongating, very flattering lines. i could not be more pleased and regret not having bought this item earlier, since i would have enjoyed wearing it during the holidays. as other reviewers said, it is adorable and a winner.</t>
  </si>
  <si>
    <t>Too bad!</t>
  </si>
  <si>
    <t>Very nice fabric but disappointed in the stitching on the knees. it looks nice but makes the pants very uncomfortable and tight around the knees. too bad because i love the style and hoped they would work!</t>
  </si>
  <si>
    <t>Very cute, snug fit</t>
  </si>
  <si>
    <t>Very cute flowy fit. i am generally a size small, 32-d chest. because the material has no give it fits perfectly (just barely) if it was any smaller or i was any larger it would be too small. very cute design.</t>
  </si>
  <si>
    <t>My store had this and i was so intrigued with its nearly $400 price tag that i decided to play dress up. the colors in person match the colors online, so that was nice to see consistency. overall though, i feel like a dress of that price would need to make me feel like a million bucks, which it did not. most items that fit my slender frame are too short, and this was no exception. the xs fit but i wouldn't be doing much moving, walking or dancing in this dress, which brings me to the question of</t>
  </si>
  <si>
    <t>Surprisingly retro-adorable</t>
  </si>
  <si>
    <t>I saw this online and thought, hmm, no. then saw it in the store, touched it, and the fabric felt so soft. i am normally an 8 petite in cartonnier, but the only sizes available were 4 and 2 regulars in-store. the 4 just looked promising. i thought i'd try it on for laughs. but it is soooo cute i ended up taking it home. the 4 regular fits perfectly on my curvy on the bottom, 5'2, 145 lb figure. my measurements are 34(b)-29-38, and i was shocked how well this fits in a 4 regular! perfect length a</t>
  </si>
  <si>
    <t>Great little transitional piece. i bought the blk/blk floral one &amp; it's not your usual top. sort of quirky &amp; one of a kind looking. i think it's crazy comfortable &amp; i just love it! even its a bit chilly outdoors, toss on a scarf round one's neck &amp; head on out. not the kind of top you'd wear with a jacket.</t>
  </si>
  <si>
    <t>Western look</t>
  </si>
  <si>
    <t>This top has a western look with lots of black and some burgundy shades.  it is very cute and the fabric is soft.</t>
  </si>
  <si>
    <t>Gorgeous quality knit</t>
  </si>
  <si>
    <t>I was lucky enough to get a hold of this intarsia sweater dress after the sale and i wish i had purchased this the first time round. it is absolutely stunning, flattering, comfortable and unique! i am 5'3" and the regular hem fit me just fine at the ankles. i think this dress runs both tts to a bit large so i would size down if your small framed and stay your usual if your busty or broad shouldered. perfectly complements my taupe booties that i already owned and a my taupe maxi sweater that has</t>
  </si>
  <si>
    <t>Wanted to love, but sadly will return.</t>
  </si>
  <si>
    <t>These run very small!! they are also short, almost like a crop pant. the fit was so weird that i won't even exchange for a bigger size.</t>
  </si>
  <si>
    <t>Great top!!</t>
  </si>
  <si>
    <t>I purchased this top in a great sale! fits great,true to size i am xsmall-small for reference, purchased small. i ended up putting a bandeau bra on with it to feel more comfortable. it would be great in the fall with a cardigan/ sweater, or a blazer. super cute to wear alone in summer with jeans!!</t>
  </si>
  <si>
    <t>Lovely but smells like last purchaser's deodorant.</t>
  </si>
  <si>
    <t>I am returning the dress because it smells heavily of the last purchaser's deodorant and perfume. it was actually nauseating to put on. i am disappointed with retailer that i was sold this dress, full price, in this condition. otherwise, the dress is lovely. it is true to size. i am 5'5" 110 lbs and the size 0 was perfect.</t>
  </si>
  <si>
    <t>Interesting but awkward to actually wear</t>
  </si>
  <si>
    <t>First, my husband had to help me zip up in this interesting but awkward design. the materials is nice, but stiff, so the skirt is quite full. the shoulder idea is interesting, but i would not want to spend an evening in it. to me, not up to the usual ms standard.</t>
  </si>
  <si>
    <t>Beautiful, but a few caveats</t>
  </si>
  <si>
    <t>This is as beautiful in person as online, but the length is shorter than the description, and the arms are tight! although i am 5'1", i normally wear regular sizes in retailer just fine; however, the 28" length scared me off, so i ordered a 2p. it says it's 26.25" long, but it's actually just about 24". and my normal sized arms struggled to fit into the sleeves - yikes! but it's gorgeous and was purchased with a gift card, so i will keep :-)</t>
  </si>
  <si>
    <t>Fun jeggings</t>
  </si>
  <si>
    <t>These pants are so soft and so comfortable! i was absolutely in love at first sight. however, i got the petite, because i am 5'3, and they were still a little longer than i like my pants to be. i wanted them to hit right above the ankle, just like the photo, however, they are a tad longer. i still love them and they are still as comfy as ever, so i am gonna deal with the length!!</t>
  </si>
  <si>
    <t>Loved in theory</t>
  </si>
  <si>
    <t>I just tried on this dress in the store, in red, and i loved the off the shoulder design. the color is just as pictured online (a light poppy red). the neckline began a few inches below my collarbone and was super flattering. however, the skirt portion of this dress flared awkwardly at the hips, causing my hips to look much wider than they really are (and also disturbing the otherwise clean lines of the dress). it seemed to me that there was too much fabric at the back portion of the skirt than</t>
  </si>
  <si>
    <t>No shape</t>
  </si>
  <si>
    <t>It looks like you are wearing cargo shorts. really unflattering. avoid buying this skirt</t>
  </si>
  <si>
    <t>Great casual dress to throw on</t>
  </si>
  <si>
    <t>I ordered a petite medium in black, and it fit great great. some of the other reviews said it was tight, but i found it pretty loose and flowy. also felt it was plenty of coverage - wore it to work (casual workplace) and transitioned to happy hour beautifully.</t>
  </si>
  <si>
    <t>Plaid bomb pairs fabulous with everything fall!</t>
  </si>
  <si>
    <t>I had been on the hunt for a plaid bomber to rock this fall and this retailer edition bomber surpassed all of my expectations! it literally pairs great with everything fall.. chokers, boots, dresses; you name it! it also fits very true to size. not too fit to your body, and a little loose, but not too loose.. just like a bomber jacket should! i highly recommend this product.</t>
  </si>
  <si>
    <t>Great staple!</t>
  </si>
  <si>
    <t>I am pear-shaped and often have a hard time finding pants that fit just right. these did the trick!! they are slim in the waist, but have plenty of room for bigger hips. the overall fit is body skimming/hugging, but they are not tight or uncomfortable in any way! and i have no gapping at the waist. the fabric has a slight sheen to it and a little stretch, but they will be a perfect pant for the office. for reference, i am 5'4", 34/26/38, and i got a 6 regular.</t>
  </si>
  <si>
    <t>Perfect fall jacket</t>
  </si>
  <si>
    <t>This jacket is well-made and smart looking. it gave me just the boost i needed today at a difficult meeting. thank you retailer!</t>
  </si>
  <si>
    <t>Perfect fit. did not lose its shape. thicker material. great quality for a great price. definitely  a wardrobe  staple. can be dressed up or down. work (business) appropriate. fits tts. for reference,  i am 5'0", 109lbs, and the 00 petite fits perfect. falls right above ankle like pictured. if they had more colours, i would get them too :)</t>
  </si>
  <si>
    <t>Lounging dress</t>
  </si>
  <si>
    <t>This is a great lounging dress or a great beach cover up. i ordered up a size after reading other reviews. although, i feel like my normal size would have been fine probably. i ordered the black and it is not see through. it's very light weight and comfortable. i may even order in another color just because it's so great to wear around the house.</t>
  </si>
  <si>
    <t>Perfect fit</t>
  </si>
  <si>
    <t>The fit on these pants is just right for me. i have curvy hips and a slender waste and legs. these pants don't gap in the back, as fitted pants often can. easy to dress up or down. the color hasn't held up as well as i hoped, so take care when laundering.</t>
  </si>
  <si>
    <t>Ordered the navy and aqua in medium. the aqua fit a lot tighter than the navy seemed to be a different fabric and less stretchy. loved the color on both but returning the the aqua. normally wear size 6</t>
  </si>
  <si>
    <t>Functional casual dress</t>
  </si>
  <si>
    <t>Very comfortable fabric and fits nicely. i am 5'10" like it states the model is, and it falls shorter on me that viewed, but still looks nice. it will be an easy dress to use for different looks.</t>
  </si>
  <si>
    <t>Best bathing suit!</t>
  </si>
  <si>
    <t>When i tried on this bathing suit, i decided to not try on any others. it was just right! i usually find bathing suit shopping difficult and no fun--as i can never find a suitable bathing suit. this suit looks nice/flattering, and i can also move around in it and it stays in place. i purchased it in the navy and i'm going to order it in another pattern as well. it looks modern and classic; it's a chic style. i'm a size 6 in dresses, and i purchased a size 10 in this bathing suit.</t>
  </si>
  <si>
    <t>I have bought other leggings at retailer and they were fine. these run small. i have to return.</t>
  </si>
  <si>
    <t>Legwear</t>
  </si>
  <si>
    <t>Love love love these leggings and what an amazing price point!!!</t>
  </si>
  <si>
    <t>Overpriced but so comfortable</t>
  </si>
  <si>
    <t>This is a great beach/pool or lounge piece. i debated keeping but couldn't pass up how comfortable it was. hugging without being tight. i will probably only wear it with some sort of layer like a jean jack or tied shirt rather than undone unless on on the beach but it's so comfortable. straps are a bit long.</t>
  </si>
  <si>
    <t>My new favorite swim suit</t>
  </si>
  <si>
    <t>The colors and fit of this suit are even better than described. it is the most comfortable and flattering one-piece i have ever tried on. 
as noted by other reviewers, there is limited support in the chest; this suit will keep you covered but does not provide lift.</t>
  </si>
  <si>
    <t>Perfect suit</t>
  </si>
  <si>
    <t>I had been looking for a one-piece that is fashionable yet practical. fabric is beautiful, fit is impeccable, no complaints on lack of support. i find if you tie it tight up top it's very practical. this was the perfect choice for me. i am 5'3" 120 lbs and ordered the small.</t>
  </si>
  <si>
    <t>Luxurious sleepwear</t>
  </si>
  <si>
    <t>This is a very comfortable and sexy sleep dress, the way it drapes. i can see that the type of fabric is not suitable for out and about activities and can catch on snags, etc. very easily. once i relegated it to the nightgown category it became my favorite item to wear and lounge in.</t>
  </si>
  <si>
    <t>Please restock!!!</t>
  </si>
  <si>
    <t>These sold out in my size 16 before i even knew they existed! (probably a great indication that your in-between and plus-size customers are hungry for more options from you). please restock so i can get in on this apparently-perfect pant!</t>
  </si>
  <si>
    <t>Cute and unique!</t>
  </si>
  <si>
    <t>I love this top! i gave it a four star because i wish it were a tad longer. i am short... 5'-1 and it does work for me, but i do tend to like my tops longer. very cute and airy in the back!</t>
  </si>
  <si>
    <t>Great suit for busy moms!</t>
  </si>
  <si>
    <t>This suit fits like a glove! i've had five kids and am currently nursing my last baby so i was looking for a suit to wear to the beach this summer when i'm just not feeling a bikini. this is it! it's comfortable and not binding easy to nursing and swim in. overall worth the extra splurge. i'm tall too so it was plenty long on my torso.</t>
  </si>
  <si>
    <t>Cute top! the bright red crochet shoulders and back add the perfect pop of color to the light blue pinstriped front. it's a little loose and boxy around the bust area but overall i think it's a flattering shape. i got the regular s and don't find it too short. for reference i'm 5'2", 134 lb, 34b. i often wear petite sizes but due to other reviews mentioning that the top is short i ordered the regular size and am happy with the length and fit.</t>
  </si>
  <si>
    <t>Boxy and short</t>
  </si>
  <si>
    <t>This top looked super cute online but when it came it was super short and boxy. looked like a tent on me. this one went back the same day it came!</t>
  </si>
  <si>
    <t>Comfy easy dress. i bought the black version. fabric is so soft. i wear this around house, but don't hesitate to run out in it if needed. i bought medium so it was roomier and for length since i'm tall. small also fit, but was shorter than i wanted.</t>
  </si>
  <si>
    <t>Wanted to love these...but...meh...</t>
  </si>
  <si>
    <t>Uncertain about sizing i got both the 4 &amp; the 6...both made me look like a no-asser :( neither fit quite right in the leg. both hit at a weird point in my calf, not cute-short, just off. (i'm 5'8" and 125#) to quote my husband, "nope. not feeling these." that said, they feel great on, seem to be made well, but are heading back to an retailer near you :( sigh. the quest continues :)</t>
  </si>
  <si>
    <t>I love this dress for day and night time. the back detail is cute and works well with a racerback bra. it runs big though. i'm normally a small in dresses and the arm holes are too big in the size small on me. it was also generally too big all over. i like the length and the weight of the fabric. i purchased in the off black color.</t>
  </si>
  <si>
    <t>Vibrant, effortless, beautiful</t>
  </si>
  <si>
    <t>I had my reservations given that i'm petite (5'2", 108lbs) and it's midi style. i'm glad that i took a chance. i bought the red motif and it's beautiful. it's wrinkle-free right out of the package. the color is vibrant and the style is classic and effortless. fits true-to-size. great for work with a black tee as shown in the picture.</t>
  </si>
  <si>
    <t>Cute comfortable top. fits well and will look great with skinny jeans.</t>
  </si>
  <si>
    <t>Very cute and comfortable</t>
  </si>
  <si>
    <t>I got the shorts and the blue motif they're really comfortable and will look cute with a tank top for the weekend.   they true to size them usually a size 4 to 6 and i got a small and that works.</t>
  </si>
  <si>
    <t>Shorts</t>
  </si>
  <si>
    <t>I purchased this dress in black and love it. its hot where i live so i am always looking for a lightweight dress that i can throw on either after the pool or out and about. i wore it to an outside concert with sandals and a simple braid, it was perfect! considering ordering it in another color!</t>
  </si>
  <si>
    <t>Great basic pants!</t>
  </si>
  <si>
    <t>Perfect fit! can be dressed up or down! more colors please!</t>
  </si>
  <si>
    <t>Great pant</t>
  </si>
  <si>
    <t>This is a great pant to wear to business and when you just need something more than a jean. not so skinny a 50+ woman can wear comfortably..</t>
  </si>
  <si>
    <t>Great staple</t>
  </si>
  <si>
    <t>These are great pants. i love the fit and the taper of the leg. these will be my "go to" black pants for the fall season!</t>
  </si>
  <si>
    <t>Beach cover-up</t>
  </si>
  <si>
    <t>I got this to wear as a beach cover-up over bathing suits. if you purchased a darker color and were small chested (i.e., you could go braless, since a bra won't work well with the low back and armholes), you might be able to pull this off as a very casual dress. i bought this in a xs in the coral/peach (i'm 5'7", 129 lbs., 32dd) and it's not super see-through, but i'd never be comfortable wearing it as a dress on its own. as a beach cover-up it's cute and comfortable, but as a dress it would be</t>
  </si>
  <si>
    <t>I love the fit of these pants -- they're the perfect slim black pants. however, i wore these pants exactly three times before the seams split the middle of the pant in not just one, but multiple places. disappointed by the workmanship/quality of the product, especially since the pants fit amazingly and don't sag like other slim fitting black pants tend to do. i hope retailer will take this into consideration and improve the quality of future iterations of this product.</t>
  </si>
  <si>
    <t>This is a great casual summer dress. cute as a cover up but in the black you can definitely wear it for daytime. if you're feeling bare throw on a white button down or chambray.</t>
  </si>
  <si>
    <t>What a waste</t>
  </si>
  <si>
    <t>I waited three months for these pants. when they finally arrived, i was mostly pleased. they seemed like the staple pant everyone is raving about. and they should have been.
problem one: they bag out. i got one wear out of them before i needed to wash and hang to dry (regained shape then).
problem two: the crotch split! in the front! i'm a teacher. i sincerely hope no one noticed! i read other reviews about this problem and don't know if i got a bad batch or if a similar fate is awaiting other</t>
  </si>
  <si>
    <t>This is a great silhouette and the red/black plaid will be perfect for fall. it will look great with black bottoms or with jeans. the only reason i gave it 4 instead of 5 stars is that the outer shell fabric (the plaid) is a rayon twill that is a little bit lightweight for the silhouette, so it is bagging out a little around the zipper and the pockets. i'm hoping the quality will hold up. i bought this same jacket in a heavier weight camoflage printed tencel this spring from the same brand, and</t>
  </si>
  <si>
    <t>Wonderful swimsuit</t>
  </si>
  <si>
    <t>This swimsuit fits exactly as i had hoped. i purchased it in the teal dot and it is a little brighter than in the photos, but i ended up liking that better. it is well made with thick (but not too thick) lined material. also, i was initially worried that the deep v-neck may be too deep for my liking, but once i had it on,it looked classic and not showy. i love the suit.</t>
  </si>
  <si>
    <t>Gerat pants</t>
  </si>
  <si>
    <t>I love these pants. i bought as basic pants to dress up or down and they look good with flats or heels. also i like you can wash instead of dry clean.</t>
  </si>
  <si>
    <t>Great pants that don't get baggy</t>
  </si>
  <si>
    <t>These pants are awesome - please make them in other colors besides black and navy!</t>
  </si>
  <si>
    <t>The perfect swimsuit - functional and stunning!</t>
  </si>
  <si>
    <t>This is an amazing swimsuit. i had been on the hunt for the perfect one piece. i wanted something a bit on the modest side, but still sexy, and i hoped for a unique print that would make it stand out. the icing on the cake would be a suit that is functional enough to either lay poolside or scuba dive. enter this swimsuit from retailer. i fell in love with the teal dot print as it's unlike anything else i've seen - it's absolutely spectacular in person. i love the vibrant blue and the chic d</t>
  </si>
  <si>
    <t>I really love these pants. just the right fabric, not too thick. so comfy. i do feel they run a bit big. they stretch out quickly so if you are in between sized, choose the smaller one.</t>
  </si>
  <si>
    <t>Not what i had hoped for...</t>
  </si>
  <si>
    <t>Like others, i finally received my size 6p black pants after months of waiting.  for starters, these pants run small, so i ordered a size up but still in petite, because i adored the red ones i got this past summer.  when the black pants arrived, they were a full three inches shorter than the red ones (which were also 6p), and the fabric did not feel anywhere close to the same quality.  i'm debating ordering the regular length, but i'm not sure i'll bother, based on some of the other reviews.</t>
  </si>
  <si>
    <t>Perfection</t>
  </si>
  <si>
    <t>I had been searching for a swimsuit that flattered my baby bump and this is it - i'm in love! for reference, i am 5'6",170-180, 10-12 or m-l depending on the item. however, i'm currently 19 weeks pregnant so im about 185 and growing - so i went with the xl swimsuit. i have a 36c/38d bust and although there is no true support in the top of this suit, it holds the girls in and the deep plunge is just the right amount of sexy. the bottom has modest coverage, showing just a little bit of cheek. i go</t>
  </si>
  <si>
    <t>Love it!</t>
  </si>
  <si>
    <t>I bought the first skirt at the store. loved it so much i went online and found this one and bought it too!</t>
  </si>
  <si>
    <t>Thick and beautiful sweater!</t>
  </si>
  <si>
    <t>I put this runs small but it's a little more tts, except the arms are very slim! if you like to push your sleeves up like this model, you will have to wait for a while to see if the sweater loosens up. length wise it fit me a bit longer than this model and i'm a petite. the color is also darker and not as red as in this sweaters, which i actually prefer. the sweater is much thicker than my other cashmere sweaters. some of the stitching seems stick out as if the sweater is worn inside out, but th</t>
  </si>
  <si>
    <t>Loungewear, not outdoor wear</t>
  </si>
  <si>
    <t>So i recognized the fact that this dress was likely intended more for lounging than for wearing out and about, but i once had a lot of luck with dresses of this price point (and intent) at retailer, so i had hopes. i was just wanting it to be a great addition for vacations and beach days, but it's honestly so thin i couldn't even see it working that well for that. it's also cut smaller than i was anticipating judging by the way it fits the model; my usual small was way more bodycon than i was anti</t>
  </si>
  <si>
    <t>Love the fabric fit and cut of this skirt. it hits at just the perfect spot but runs a little large and is more flattering when sizing down (atleast on me) .</t>
  </si>
  <si>
    <t>Amazing suit!</t>
  </si>
  <si>
    <t>This is by far the cutest, most glamorous one piece i have ever tried on! it fits perfectly and is flattering in the right places, it doesn't show too much cleavage and is modest enough for family events. absolutely love this suit in navy. wasn't in love with the rest of the patterns, hoping they come out in more solid colors someday soon!</t>
  </si>
  <si>
    <t>Uniform top</t>
  </si>
  <si>
    <t>I don't normally try on tops like this but i liked the product shot so much that i wanted to repeat the outfit. i grabbed a large because it wasa shorter blouse. it was huge. i sized down to the medium and it was still loose but if i were to purchase, it would be that size. the red against the blue was very pretty but i didn't know if felt like a little kid in a uniform. the back did not lie flat, not sure if it was because of my 36d chest or because of the shirt design. it is well made and i th</t>
  </si>
  <si>
    <t>Perfect 24/7</t>
  </si>
  <si>
    <t>I love this ankle length pant. it is so comfortable wear it with a tunic or tee. i can wear this for 3 seasons!</t>
  </si>
  <si>
    <t>Super comfy and great fit!</t>
  </si>
  <si>
    <t>I think this is the first time i've successfully purchased pants online. i normally have to try a bunch of styles and sizes on before i find the right ones. i gave it a shot with these, and bingo! they are great! they are a bit longer on me than on the model, because i am 5'3" and did not order a petite. i still like how they look, hitting just above my ankle. just the right blend of conservative and cool for lecturing in front of college undergrads.</t>
  </si>
  <si>
    <t>Great shorts</t>
  </si>
  <si>
    <t>Such cute, soft and comfortable shorts. can be worn as night wear or out and about.</t>
  </si>
  <si>
    <t>Cute slim pants</t>
  </si>
  <si>
    <t>I saw these in an email and immediately went to the web to look at them. they fit well and have nice slim look. the bottom of the legs seems to fit a little slimmer on me than in the picture, but they aren't too tight.</t>
  </si>
  <si>
    <t>Fabulous</t>
  </si>
  <si>
    <t>Received many compliments the first day i wore them.. amazing fit. disagree with the other post. the
quality is amazing. i wish they had other colors. bought xs</t>
  </si>
  <si>
    <t>Cute and comfortable swimsuit!</t>
  </si>
  <si>
    <t>This is one of the most comfortable swimsuits i own. i purchased it in the turquoise dots print and found that it was colorful and perfect for a beach getaway. the adjustable halter style makes it really comfortable, yet cute. i highly recommend this suit to those looking for a unique, yet whimsical swimsuit style.</t>
  </si>
  <si>
    <t>Lacks support</t>
  </si>
  <si>
    <t>Great swimsuit, love the fabric and pattern. the top lacks support.</t>
  </si>
  <si>
    <t>Easy breezy</t>
  </si>
  <si>
    <t>This dress is the best casual find. goes with everything- flips flops, tennys, jean jacket. feels little sporty and the orange was a cool addition to my closet.</t>
  </si>
  <si>
    <t>Weird fit</t>
  </si>
  <si>
    <t>I tried this on in the store and was disappointed because it looked so fresh and vibrant on the hanger. but it's basically cut for model-sized people only. it's short and wide, and if you have any boobs at all it'll make the back pucker. i can't imagine this will look good on most women.</t>
  </si>
  <si>
    <t>Cute but didn't work for me :(</t>
  </si>
  <si>
    <t>I really wanted this skirt to work but it didn't look very flattering on me. a great midi length and very cool pattern, so hopefully will work for others!</t>
  </si>
  <si>
    <t>Cute pants</t>
  </si>
  <si>
    <t>These are really cute. nice fabric. i love the rise...not to low, not too high. but they are going back. i'm a size 4. i got these in a 4. they fit fine in the waist and bum but they are tight around my calves. also, they were more like "high waters" on me than cropped so a petite in the length probably would have worked better for me had these fit.</t>
  </si>
  <si>
    <t>This top is gorgeous! this is why i love retailer the quality is amazing. i just love how unique this top is. it's a light jean blue and white pin striped shirt with these beautiful red crochet sleeves. i'm a 34ddd i ordered the large and it's perfect. it is a bit shorter probably because of my chest but i was going to wear it with high waisted shorts anyways.  it's a must buy!</t>
  </si>
  <si>
    <t>Great price for</t>
  </si>
  <si>
    <t>Sale price is a great price for a cute cover-up.  so this is not a polite company dress.  this is a "i want to show off my cute underwear/bikini/cross-fit bod while i go get a cold pressed juice in venice" kind of dress.  or you can just wear it at home like i do.  runs small btw, so size up.</t>
  </si>
  <si>
    <t>These fit me really well. i tend to have a problem finding trousers that fit my more muscular legs and my waist. usually, if it fits my legs the waist is too big. the trousers have some stretch for a better fit. the only downside is that i had go them hemmed (bought regular size).</t>
  </si>
  <si>
    <t>Stretches out</t>
  </si>
  <si>
    <t>I am normally between a size 0 and 2, so i ordered these pants in both sizes to make sure i would have a nice pair of black crops to wear to work. the 0 seemed pretty tight all around, so i returned the 0 and kept the 2 even though there was a little bit of room in the waist. of course the size 2 after a few hours of wearing had completely stretched out, was bagging in the crotch area, sliding around on my waist and creasing badly behind the knees. i doubt i will wear these pants more than the o</t>
  </si>
  <si>
    <t>Great material, awkward length</t>
  </si>
  <si>
    <t>The material and construction of the pants are great, but the length is just plain awkward. i'm 5'4" and the regular came to just above my ankles, and looked as though they had shrunk in the wash in a really bad way. a couple of inches longer and they would've been fine, or i could've gotten them in petite and worn them as true ankle-length pants, but the regular just didn't do it for me. also i'm usually a size 6 (5'4", 125lbs) and these were a little baggy around the waist and hips.</t>
  </si>
  <si>
    <t>Love these pants, highly recommend!</t>
  </si>
  <si>
    <t>I often find wearing anything described as 'slim' difficult, but these pants are absolutely wonderful. i bought in a size 12 regular length. they are perfect, both in fit and quality.</t>
  </si>
  <si>
    <t>Great skirt!</t>
  </si>
  <si>
    <t>This midi skirt has a really nice drape with great seasonal colors! can't wait to pair it with my wine color booties!</t>
  </si>
  <si>
    <t>Mixed feelings</t>
  </si>
  <si>
    <t>I ordered these in a size small on sale, thinking that because of the material, they might not fit. they are actually very cute, and fit in the waist/legs, but in the crotch area, as another reviewer mentioned, they could fit a little better. they look fine with a longer top so i decided to keep them.</t>
  </si>
  <si>
    <t>Unique design. love the collar and broad cuffs. the xs regular fits me better than the s petite, which is a bit short.</t>
  </si>
  <si>
    <t>Simple but different.</t>
  </si>
  <si>
    <t>I bought this dress in the cream color. it was sold out online in most sizes but i stumbled upon it in person and immediately had to have it. i'm usually xs or small, and bought the small. they did not have an xs available so i can't compare, but the small was flattering and comfortable. i'm 5'5" 120 (34c) and it falls perfectly at my ankles (no dragging) and looks great with simple, neutral sandals. as some reviewers have mentioned it has some weight to it, so it's probably not great for hot da</t>
  </si>
  <si>
    <t>This is a fabulous style top! highly recommend this top. comfortable material. retailer is consistently tried and true to a classy style!</t>
  </si>
  <si>
    <t>Too short</t>
  </si>
  <si>
    <t>This dress is gorgeous, but i should warn all the tall ladies out there that it fits quite awkwardly. i'm 5'10" and tried both the petite (thinking it would fall more like a midi), and the regular, hoping it would fit like a maxi should. both hit at a very awkward spot on my mid-shin... as much as i loved and wanted it, it looked too weird to justify buying.</t>
  </si>
  <si>
    <t>Love the coral color - so pretty in person. it is slightly lower cut on the chest than i expected. 
this is a great top for the weekends!</t>
  </si>
  <si>
    <t>These are the perfect leggings. they're so soft, and they don't stretch and droop throughout a day of wearing them. i ordered the grey and moss, and they have different textures, which is fun.</t>
  </si>
  <si>
    <t>Itchy</t>
  </si>
  <si>
    <t>This cardigan is very cute in the picture and i really wanted to love it but it just didn't seem worth the price. the material is kind of itchy to me and i wasn't a huge fan of the wide edges in the front. the colour is very nice and feminine.</t>
  </si>
  <si>
    <t>Worth it</t>
  </si>
  <si>
    <t>I never buy anything at retailer full price, but had to get this when i tried it at my local store, especially since it's back ordered for so long. it's very flattering, and super comfortable. fully lined, not see- through at all. elastic waist that's hidden under the sweater top. will be so easy to throw on and dress up for an evening out, or lounge in after a day at the pool or beach. looking at the model pics, i was concerned the arm pit holes came too low, but on me that is not the case. the t</t>
  </si>
  <si>
    <t>So many compliments</t>
  </si>
  <si>
    <t>This sweater is unique and really pretty.  i got so many compliments and i felt really girlie wearing it - it is so fun.</t>
  </si>
  <si>
    <t>Great staple sweater!</t>
  </si>
  <si>
    <t>I just saw this in the store and loved it! it is shorter than pictured on the model, but it's not short. with a long shirt underneath, i'll wear it with leggings. the color is beautiful!! the size does run large - i normally wear a large at retailer, and i got this in a medium. i can't wait to wear it all fall and winter long!</t>
  </si>
  <si>
    <t>Unique and adorable</t>
  </si>
  <si>
    <t>Very fun and comfortable pants that will bring you many compliments. they do fall open when you sit down, though they have liner shorts inside for coverage. they are not appropriate for work but will become a wardrobe favorite.</t>
  </si>
  <si>
    <t>The worst</t>
  </si>
  <si>
    <t>I don't typically write bad reviews, but this dress is so bad and i want to save someone else from buying it. i read the mostly bad reviews and still purchased anyway (my fault i know). the dress is super stiff ( i know denim can be that way and it is possible it would soften up after a few washes). i'm typically a 6/8 and the size small swallowed me, and the xs was big everywhere except through the bust (i ordered both sizes to try). i wouldn't recommend buying this if you are a size 8 or small</t>
  </si>
  <si>
    <t>Fun, casual pant, perfect for summer and early fal</t>
  </si>
  <si>
    <t>These pants! great casual pants, i've received so many compliments! mainly because they are flowy, and the open panels make them different! with the weather so hot, they are perfect for keeping you cool. very pleased with this purchase!</t>
  </si>
  <si>
    <t>Beautiful dress, weird sizing</t>
  </si>
  <si>
    <t>After reviewing the comments for this dress i was really hesitant about buying it online, so i finally went to the store and all of the reviews are 100% true. this dress is amazing in terms of quality, but the sizing makes zero sense. i'm normally a size 12, but based on the reviews i initially tried on a medium. even that was huge, arm holes so long you could see my entire bra. so i tried on the small and that fit perfectly. unfortunately, unless you're normally an 8(maybe) or above in sizing,</t>
  </si>
  <si>
    <t>Started out perfect</t>
  </si>
  <si>
    <t>Loved the style, ordered my normal m- fit tts though i thought i would potentially taper the sides to make less boxy (with a larger bust and shoulders, boxiness is unflattering). the slight boxiness looked perfect with stretchy, fitted business slacks. midday, i held my ipad up to my chest and the velcro from the cover pulled an entire lychnis delicate threads. not just snagged- i had to gently separate the threads from velcro grip. needless to say, it pulled the threads out by at least 1/2 an i</t>
  </si>
  <si>
    <t>Nice basic top...i will get plenty of use out of this! love the neckline.</t>
  </si>
  <si>
    <t>So beautiful!</t>
  </si>
  <si>
    <t>I'd been eyeing this dress since i first saw it in the dress catalog when it came out. when i saw it in person, it was just as beautiful as i remembered! i'm about 140 lbs and usually wear a size s or m, but i tried the s on and decided to size down to an xs, because the linen flowy fabric lays a bit wide when on the body; however, the s would have worked, too! i'd say size down if you prefer your clothes a tiny bit more fitted. the fabric is beautiful and lightweight, even though there is more</t>
  </si>
  <si>
    <t>Perfect layering sweater</t>
  </si>
  <si>
    <t>I have been searching for a pale pink sweater for fall. the color and fit is much prettier than the way it is photographed here. i think it will look great over denim, grey, or olive green dresses and shirts.</t>
  </si>
  <si>
    <t>Don't buy this dress unless you are normally a medium or larger. order it one or two sizes smaller than your normal size. i ordered an xs and it's more like a medium or large.</t>
  </si>
  <si>
    <t>Great casual top</t>
  </si>
  <si>
    <t>I got this in blue and also in white, both size medium. it's a very comfy casual top and i love the horseshoe neckline and front facing seaming which makes it just a bit different. however....i can't figure out why the blue color fits quite a bit smaller than the white. but it does, so consider this when you order, depending upon how you want it to fit. i'm keeping both but will wear the blue in a different way, definitely not with leggings.</t>
  </si>
  <si>
    <t>Great for travel</t>
  </si>
  <si>
    <t>I think the model is wearing a larger size, per the first review. i am 5'2" and 105 lbs and the xs fits about the same in length but not nearly voluminous. so you should order up if that is what you want. this will be perfect for some long summer flights instead of a wrap, since the sleeves will be more convenient and i always look schlumpy rather than elegant in a shawl! if it had some cashmere or another softer fiber i would be totally in love with it.</t>
  </si>
  <si>
    <t>Great neckline &amp; good xl fit</t>
  </si>
  <si>
    <t>I ordered the white solid &amp; the white w/blue stripes versions in size xl. both fit me true to size. the fit matches the model's photos. i got these on sale and they're worth that price. they're great basics to have. the white/blue striped one is my favorite. it such a pretty combo. i love the unique neckline too. fun details for a basic tee.</t>
  </si>
  <si>
    <t>Simple luxury</t>
  </si>
  <si>
    <t>I found this at my local store and ended up buying both colors. the fabric is thicker than a t-shirt. these will go with so many things....jeans to dressy skirts. i normally wear a small but ended up buying the medium (2). the small fit me but was a little too short (for reference i am 5'8"). these will be a staple in my wardrobe all year round. love!</t>
  </si>
  <si>
    <t>Beautiful print, bad fit</t>
  </si>
  <si>
    <t>The colors and print are absolutely beautiful and i'm quite heartbroken that this suit just doesn't fit. i don't have a long torso but the v was just so plunging that i wouldn't feel comfortable leaving the backyard lounge chair in this bathing suit. no matter how much i tied the halter it still revealed a v halfway down to my naval. the strange thing is that there seemed to be too much fabric on top, lots of ruching and thicker straps than i would normally go for, and while i'm only around a b</t>
  </si>
  <si>
    <t>Great slouchy sweater, perfect color</t>
  </si>
  <si>
    <t>This sweater has the perfect slouchy shape for fall. i wish it were a little bit softer and heavier - the fabric is pretty lightweight - but it layers beautifully and will be a staple for me this season.</t>
  </si>
  <si>
    <t>Huge dress</t>
  </si>
  <si>
    <t>The overall styling was great, and the dress is super-cute, if a little thick (it's made of denim, after all). i ordered a size down from my normal, and even then, i was swimming in it. the worst part, and the aspect that will make me return it, is that the arm holes hang down so low that i'd have to wear a tank top under the dress. i'm returning it, though it is really cute and i love this brand. the arm holes killed it for me.</t>
  </si>
  <si>
    <t>Marking down one star because these pants do gape quite a bit when you sit down, though i appreciate the shorts underneath that prevent any indecent exposure. these could have done with a little stitch in the front or side somewhere on the leg to limit that. that said, my other similar (non-retailer) pants that are much worse and are also are bulkier on top, which does not look great at my size/with my body shape. these are more flattering (i love the band on top) and comfortable. i am normally a</t>
  </si>
  <si>
    <t>The tee i have always been looking for!</t>
  </si>
  <si>
    <t>It is seldom that i write a review about a tee, but after receiving the jessa tee in the mail today, i just felt compelled to do so! the deal is, this tee is pricey for sure, but in my opinion, it is worth it! as another reviewer said, the cotton fabric is hefty; in fact, it could also be called a "lightweight sweater." everything about this tee is perfect and classic: the elbow sleeves, the nice neckline, and the semi-boxy, semi-cropped fit. it will go with everything from jeans, to nice slacks</t>
  </si>
  <si>
    <t>The softest leggings</t>
  </si>
  <si>
    <t>These leggings are some of the softest i own. i ordered both the black and the moss and each has a distinct pattern. they are perfect for colder climates and fit me like a glove.</t>
  </si>
  <si>
    <t>Great fall sweater</t>
  </si>
  <si>
    <t>I took this sweater on a recent vacation up north. i wore it 3 evenings because the weather changed from hot to cool. loved the feel of being wrapped in a warm blanket. cocoon cardigan is an apt name. wasn't sure about pink but it is exactly as pictured. this will become a go-to in my sweater wardrobe.</t>
  </si>
  <si>
    <t>Very hip</t>
  </si>
  <si>
    <t>I normally wear a size 2 so i ordered a small and an small petite, i will be keeping the small because the small petite looks like a shirt on me, my height is 5'4". it runs very big underneath the arms as well. the design is so unique i will be keeping it.</t>
  </si>
  <si>
    <t>Still cute despite...</t>
  </si>
  <si>
    <t>This dress is still super cute despite its shortcomings. i agree with other reviewers that it definitely runs large, and very small petite/thinner ladies might feel it's overwhelming. it worked for me in my usual size l though. for reference i'm 5'3 and this hit just above the knee. and while the dress is "roomy," a smaller size would likely have been tighter or pulled on my fuller (36d) chest as there's not much give in that area. i agree that the armpit holes are ridiculous, but a thin camisol</t>
  </si>
  <si>
    <t>So comfy and stylish. love the color, i purchased the indigo/blue. nice fit, relaxed fit....not fitted. might have to get another color. it's fun to have a tee with a different design detail (neckline). i'm 5'7 145-150 lbs and ordered the medium. a smaill probably would have worked too, since my shoulders are a bit narrow. but mediumd is fine:)</t>
  </si>
  <si>
    <t>I love this sweater! it is true to size and not itchy at all. i am 5'5" and i bought the small. other reviews said it wasn't as long as it looks pictures but it is the same length on me as it shows on the model. you can wear this with so many things! i can't wait for fall so i can wear it.</t>
  </si>
  <si>
    <t>Great color!</t>
  </si>
  <si>
    <t>The coral is stunning. the shirt has a slight flare at the bottom that you can't see in the picture, it isn't a straight cut. the sewn edges are rough style making the shirt right for casual wear with jeans, or dressing down something fancier.</t>
  </si>
  <si>
    <t>Nice surprise</t>
  </si>
  <si>
    <t>I received this sweater in last week, when i opened the package i thought for sure that this sweater was going to be itchy , it is not , the styling is great and very flattering for the price this is a great value.</t>
  </si>
  <si>
    <t>More colorways please =d</t>
  </si>
  <si>
    <t>I'm a 110 lb, shorty with a short torso and long arms so the standard xs was huge. i had the opportunity to try on both the xxs petite and xs petite. the xxs petite was almost perfect but i wanted it more flowy - probably best for those that are even shorter and more lightweight than me, othewise, it looks a little too boxy. the petite xs fit me the best and draped nicely, similar to the model in the pink. i had a sweater with this exact silhouette 5+ years ago and wore it to death even though i</t>
  </si>
  <si>
    <t>Love this top!!</t>
  </si>
  <si>
    <t>I bought it in the cream color and loved it so much that i bought it in black too. super cute with jeans! can dress it up too. the only slight negative, if i had to find one, is that i feel like i have to pull it forward, at the neckline every once in a while...it doesn't choke me but just feels like it's heavier in the back so pulls a bit. worth it though! :)</t>
  </si>
  <si>
    <t>New favorite</t>
  </si>
  <si>
    <t>This sweater is like a giant hug. i wore it today and received so many compliments.</t>
  </si>
  <si>
    <t>Everyday winter t updated</t>
  </si>
  <si>
    <t>This is a perfect saturday t shirt for the colder days. great fit; not form fitting with no elastic or rayon, soft cotton with great details. im 5'8 140 ish and the medium fit great. i bought a washed denimy blue in the store but may be coming back for more colors now! the white was to sheer for my taste though</t>
  </si>
  <si>
    <t>Darling and sophisticated</t>
  </si>
  <si>
    <t>I can never resist a peter pan collar, so i bought this top in the ivory. it's so cute! i wore it for the first time today and received many compliments. it's very comfortable, fits well, and looks expensive. highly recommend it!</t>
  </si>
  <si>
    <t>Adorable t-shirt</t>
  </si>
  <si>
    <t>This is absolutely adorable and so flattering! i have the patterned shirt, and i just purchased the white one and the orange one because i like it so much. i am 5 ft. 9" and 155 lbs. and the medium fits nicely. hope this helps!</t>
  </si>
  <si>
    <t>I love this dress. i'm 5'8" and it fits me exactly like the model in the picture. i have slim hips and waist, so that helps. i don't think this would be as flattering on someone curvy. i wish it came in another color i like, i would absolutely buy in another color. i got a medium and it fits like a glove.</t>
  </si>
  <si>
    <t>Layering</t>
  </si>
  <si>
    <t>I bought this a little ago in the denim color. it has become a favorite so much that i bought another in white.</t>
  </si>
  <si>
    <t>Casual comfort with style</t>
  </si>
  <si>
    <t>This is a cool relaxed style with the benefit of an open neckline to add a bit of femininity. i tried on the faded blue and striped colors in the store. the faded blue goes well with the style, but the stripe is cute too. the sleeves are quite long and too tight to roll up, so if you are petite like me you will definitely want to order the petite size- and probably even those you who are in between petites and regular sizes. the sleeves may also be too narrow for some people.</t>
  </si>
  <si>
    <t>Pretty dress, lots of fabric</t>
  </si>
  <si>
    <t>This is a very pretty dress and looks just as it's pictured.  however, there is a lot of fabric - the lower half is very full and runs very large.</t>
  </si>
  <si>
    <t>Surprisingly heavy</t>
  </si>
  <si>
    <t>I wanted to love this dress. the colors are heavenly and it looks light and airy. it isn't, it is very heavy, much too heavy for florida heat. the top layer is a beautiful sand color and while the fabric is nice, the heaviness of the top really weighs the whole dress down. i felt like it added ten pounds to my appearance, easily. back it went, boo hoo. if you are between sizes, i would size down, runs a bit big.</t>
  </si>
  <si>
    <t>Casual and comforable. i love it</t>
  </si>
  <si>
    <t>I was not impressed with this dress online but when i tried it on at the store i fell in love. it's a great summer / fall dress. i love the sweater top and linen bottom. so many compliments on it!</t>
  </si>
  <si>
    <t>Absolutely in love with this shirt. the neckline is extremely flattering, and the shirt naturally comes away from the body.</t>
  </si>
  <si>
    <t>Love the neckline</t>
  </si>
  <si>
    <t>I needed a tee refresher, i had a good feeling about this one so ordered all three colors when they were on a promo, and i'm not disappointed. the neckline is different and works great to emphasize your favorite necklace. the tee holds shape after washing and drying. my favorite is the blue which i like to wear with dark wash jeans as styled on the model. the white has a cream tinge to it and i'm able to wear it with a nude bra without looking indecent. there is a cute little button detail at th</t>
  </si>
  <si>
    <t>Amazingly cute but runs huge!</t>
  </si>
  <si>
    <t>The fabric and detailing of this dress is of superior quality, but unfortunately it runs huge-- you definitely need to wear a tank or cami underneath. i am 5'9 145lbs with massive shoulders/smaller bust and i got the xs petite!</t>
  </si>
  <si>
    <t>Ok suit</t>
  </si>
  <si>
    <t>I think in general it is just hard to buy a bathing suit online, but i really underestimated the v-neck of this suit. i read the reviews and noted it was not recommended for girls with larger size breast. as i'm basically an a cup, i figured i would be fine. the top portion basically has no coverage or hold. even when tied very tight, the top still opened making me feel exposed and like my entire breast would fall out of the suit. needless to say my fiancã© was not a fan of the suit either. even</t>
  </si>
  <si>
    <t>Perfect for cool summer evenings</t>
  </si>
  <si>
    <t>I found this sweater to fit me just as pictured. i am 5'8'', 128lbs and ordered a small. it hits length wise the same as pictured and is just as flowy with a lot of fabric. super cute with a grey top, white skinnys and brown leather sandals. love it!</t>
  </si>
  <si>
    <t>Too cropped</t>
  </si>
  <si>
    <t>This runs small, i got the size 3 which fits like a medium, not a large. its a bit of an aline shaped knit in a beautiful saturated navy. i loved the elbow length sleeves. i have a large 34g bust and although this fit, it came to the top of my waist and i'm short-waisted. it's a great basic for someone less busty or who likes a shorter length.</t>
  </si>
  <si>
    <t>This dress is everything. i'm 5'4, athletic build, 36d and the medium fit me perfectly. the colors are really understated and beautiful and can easily be dressed up or down. i wish the elastic around the waist fell a little lower but that's one of those things only i notice and definitely didn't keep me from falling in love and buying it. can't wait to wear it on vacation next week!</t>
  </si>
  <si>
    <t>I love this cardigan! i ordered the pink and it's a really pretty color. i wish it didn't run so big but xs will be cozy all winter.</t>
  </si>
  <si>
    <t>I purchased in store to avoid shipping costs. my local stores don't carry xxs, so they are mailing it to me. i usually wear an xs, but it was roomier than i cared for and made it look a bit sloppy on me. this tee is more distressed looking in person than online, as well. i wish it were more refined because the neckline is very feminine &amp; interesting; i would have liked the ability to dress it up more. also, the solid blue and coral are lighter in color than they appear on my monitor. the blue st</t>
  </si>
  <si>
    <t>Cute tee with fun neckline</t>
  </si>
  <si>
    <t>Very soft and comfy tee. like the interesting neckline. wish the petite neckline was slightly higher, but sleeves are right length and have great cuffs.</t>
  </si>
  <si>
    <t>Beautiful and unique but didn't work for me</t>
  </si>
  <si>
    <t>Ordered the xsp (5'4" about 118-120#, athletic build)...this was huge all over. big in the armholes, too much fabric hanging in the skirt (cream fabric) front and back, not flattering at all from the sides and as long on me as it shows on the model. i love the idea of this and for the right body type (of course) this will be beautiful. it also would not be a very versatile piece for me...the top sweater part is quite thick (lovely) and heavy. in oklahoma this would not work for very many weeks..</t>
  </si>
  <si>
    <t>Frumpy</t>
  </si>
  <si>
    <t>Love the color, but the fit is just odd and frumpy. the sleeves are shorter than the should be. when i lift my arms, the entire sweater gets lifted. going back.</t>
  </si>
  <si>
    <t>Stinky sweater!</t>
  </si>
  <si>
    <t>Yikes!  quite a smell off of this one- like wet/hot wool.  the color was beautiful, but the sweater is enormous!  strange fit under the arms as well.  this one went back the same day.</t>
  </si>
  <si>
    <t>Nice spin on an everyday t-shirt</t>
  </si>
  <si>
    <t>I love the way this t-shirt fits. the horseshoe opening in front is deep enough to add interest, but not too revealing. will look great with layered, dainty necklaces. the sleeves are nice and long - and i have long arms. the length of the shirt itself could be an inch or two longer, but overall the design is nice. not too tight, not too loose. i'm 5' 5" and 125 lbs - 34c and the small fits me well. fabric is medium weight - could be a little thicker. the brick color is nice and works great with</t>
  </si>
  <si>
    <t>Elegant retro sweater tee</t>
  </si>
  <si>
    <t>This sweater tee is made from a fine but substantial knit which hangs beautifully and flows over imperfections in your figure. the cut is very 1950's through the sleeves and neckline. it's a little cropped and boxy, just so that it hides your belly and accentuates your hips. it looks phenomenal with a crinolined a-line skirt.</t>
  </si>
  <si>
    <t>Beautiful blue, but....</t>
  </si>
  <si>
    <t>The blue is a very flattering color. the fit is not. it does not lay in the back like in the photo on the model. instead, there is a lot of fabric that falls in horizontal folds because it does not fall straight because the sides at the bottom are narrower than the mid section. i think i'm going to return it. the neckline is very nice and faltering. the sleeve at the wrist is kind of constricting, though, and long. it doesn't run big at the chest section, just the mid section, then tapers in at</t>
  </si>
  <si>
    <t>Just perfect!</t>
  </si>
  <si>
    <t>This top has a comfy cozy feel while still being flattering. i especially like the generous neckline--adds a uniqueness to it. great shirt for dressing down, but still feeling feminine. i bought two! my husband always compliments me when i wear it.</t>
  </si>
  <si>
    <t>Comfortable, fashionable, throw on over anything</t>
  </si>
  <si>
    <t>I love this sweater. it has quickly become a staple in my wardrobe. i live in minnesota, so a fashionable throw-on-and-go sweater is essential. this sweater fits the bill. i love how soft and warm it is, the cocoon styling adds a fashionable element while the acrylic/nylon/wool material keep it functional (warm and cozy). i love anything with pockets, which this has. i somewhat disagree with the other reviewers who say this runs small or short. i did not find that to be true for me, and i ordere</t>
  </si>
  <si>
    <t>Can be a bit itchy sometimes, i guess depending on your skin. haven't had a problem with the sweater up to now!</t>
  </si>
  <si>
    <t>This dress is perfect. i'm literally wearing it right now. it's crazy comfortable while still being flattering. it looks and feels high quality, and just barely doesn't hit the floor. it makes me feel like a goddess. plenty of room in the bust area, even for me (36dd), and doesn't show bra straps or underwear. highly recommended!</t>
  </si>
  <si>
    <t>Perfer beige over pink</t>
  </si>
  <si>
    <t>I had tried this on in the beige &amp; loved it but could not find it in my size so i got it in the pink.
did not look at good as the beige.</t>
  </si>
  <si>
    <t>So very disappointed</t>
  </si>
  <si>
    <t>I love retailer and fell in love as soon as i saw this dress online. being 5'10" i love a quality maxi dress and this one did not disappoint. however, being 5'10" also means the top sweater overlay hits me way short. it looks ridiculous. i also thought that this was very heavy for a maxi dress and could not imagine wearing it in 80 degree weather. unfortunately after waiting so long for it's arrival this is going back.</t>
  </si>
  <si>
    <t>Basic with a twist</t>
  </si>
  <si>
    <t>I love this shirt. it would be a fairly basic tee but the neckline makes it fun. it's very soft and comfortable. i bought the white with blue pattern and will probably purchase additional colors.</t>
  </si>
  <si>
    <t>Love this shirt!</t>
  </si>
  <si>
    <t>I love this shirt. the neckline is flattering and the overall feel is very comfy.</t>
  </si>
  <si>
    <t>Perfect dress</t>
  </si>
  <si>
    <t>I wasn't going to purchase this dress because it was given 1 star. however, i ordered it and i was so glad i did!!! i'm 5'1, 105lbs this dress fit me perfectly, it really compliment my petite body. i get so much compliments! it is not easy to order anything for a petite frame but this dress really show off my body without showing too much.</t>
  </si>
  <si>
    <t>Nice, comfy sweater</t>
  </si>
  <si>
    <t>I tried this on in the store and had to have it. this is the kind of sweater that you just want to cozy up with on a nice fall or winter day with a cup of coffee in hand. i love the neutral pink color as it will go with everything. i'm a dress and skirt girl and this will go well with those items. it will cover your bum and i love the dolman sleeves. i highly recommend it!!</t>
  </si>
  <si>
    <t>Bought this today - cant speak to wear - but overall design is so incredibly cute and flattering. i am usually a small or medium, but went with a medium. so different and wearable! white is sheer so opted for a denimy blue color that i dont see listed available online.</t>
  </si>
  <si>
    <t>Scratchy</t>
  </si>
  <si>
    <t>The sweater is cute, but scratchy.</t>
  </si>
  <si>
    <t>Cute, but didnt love</t>
  </si>
  <si>
    <t>It was cute. i didn't keep it because it wasn't soft and hung a bit different than pictured. i thought it would be softer material. it was itchy</t>
  </si>
  <si>
    <t>Great for hot summers</t>
  </si>
  <si>
    <t>I am on the fence about this dress, as you'll see the reasons below, but it is really breathable fabric and extremely comfortable!
_________
pros:
- tons of stretch to the top part. i'm a 36c, so a lot of retailer tops are too snug for women with some bust. however, i fit into a medium here without it being too snug. you could actually go down or up depending on how loose or tight you'd like it to be on you.
- the bottom half, the skirt, feels so nice on the skin. very breezy. it is layered an</t>
  </si>
  <si>
    <t>Love!!</t>
  </si>
  <si>
    <t>I love these tights so much i almost want to buy another few pair and save them for when these wear out. the lining is like clouds on your calves. they're thick enough that you don't need to be totally covered by a tunic but slim enough that they don't add bulk. love, love them!</t>
  </si>
  <si>
    <t>Finally found nice leggings!</t>
  </si>
  <si>
    <t>I am a curvy woman and leggings are new to my world. i am sorry that i did not discover these leggings sooner because they are lovely. they are comfortable and cozy with a great fit. i am 150 lbs and 5'7 and the m/l fit perfectly. i have the black and plum colors. great purchase!</t>
  </si>
  <si>
    <t>Gorgeous on the hanger but not for me</t>
  </si>
  <si>
    <t>I was so in love with this dress when i saw it in the store but so disappointed when i put it on. i am 5'10" with curves and usually buy a large in dresses. this dress looked like a sack on me. the top was way too big and loose making the dress a boxy cut rather than a maxi cut like i was expecting. the dress is lovely to look at on the hanger and feels good on but i don't think it flatters hourglass figures. it was the right length for me unlike many other reviewers. 
obviously, based off the</t>
  </si>
  <si>
    <t>Primula cocoon cardi</t>
  </si>
  <si>
    <t>This is huge. i understand that's the style, but it looked like i was wearing my husband's size xxl. i tried to imagine a really cold day when all that extra fabric would be nice... but then it started to itch, and itch and itch!</t>
  </si>
  <si>
    <t>The fit is not as shown on the website. will be returning.</t>
  </si>
  <si>
    <t>Beautiful, runs very large</t>
  </si>
  <si>
    <t>The detail on this dress is lovely -- it's unusual and well-made from soft fabric. it is big though -- i would usually wear a medium and ordered a petite small. to give you a sense of how large it is, i am currently 33 weeks pregnant, and bought this to wear after the pregnancy. i can actually get it on now, over the considerable baby bump. it doesn't look good, but i can in fact get it on. hoping it won't be way too large post-pregnancy, but it seems to fit fine in the shoulders now. definitely</t>
  </si>
  <si>
    <t>I saw the cream color in size regular small in the "only one left" section at my local store. i had my heart set on this dress all summer but it was sold out, so i was super excited to see it. the color is true cream, like linen color. i was surprised that the dress is very heavy, as heavy as a medium sized coat. i can't understand why it's so heavy because the top is sleeveless and the dress part is pretty sheer. the dress is about 2" pass my feet which i wouldn't mind having it hemmed, but the</t>
  </si>
  <si>
    <t>Super soft and comfortable</t>
  </si>
  <si>
    <t>There's are just what i was looking for! these are perfect in texture and thickness...not too thick but not too thin. super soft fleece on the inside. i both both the black and green...i will most likely but the grey soon enough.</t>
  </si>
  <si>
    <t>Awful if you have any sort of curves!</t>
  </si>
  <si>
    <t>I am floored by the amount of positive reviews on this dress! when i received it, it looked nothing like it does on the model. the bottom looked like dirty sand and was completely wrinkled. if you have anything above a c cup, the top looks completely unflattering. i looked so top heavy in this dress! definitely not worth the price. so disappointed.</t>
  </si>
  <si>
    <t>Adorable, comfortable dress. the denim is super soft with a bit of stretch. please be advised this dress runs very large, especially through the hips. i normally wear a size 12 and the large was swimming on me. i will definitely be exchanging it for a smaller size.</t>
  </si>
  <si>
    <t>Armholes huge</t>
  </si>
  <si>
    <t>This didn't work for me. im normally a m (8/10). got this in xs. that was the correct size for me, i believe. however, the armholes were huge. husband said the top of the dress looked like the autobots symbol from transformers and he wanted me to keep it. but, i sent it back.</t>
  </si>
  <si>
    <t>Modern take on 1950's vibe</t>
  </si>
  <si>
    <t>I am long waisted and 5' 120 lbs. 34c. that being said, i purchased a size s regular and it fit perfectly. a petite would have been far too short. so i would recommend a regular size if you're a petite. also i have a big chest and this was very flattering. because of my chest size i usually do best with a v neck, but this classic peter pan collar looks great! i purchased the black. i agree with one of the reviewers who said that the nude color looked like a mess of a weave. the black and white o</t>
  </si>
  <si>
    <t>Most beautiful sweater that i own!</t>
  </si>
  <si>
    <t>This is a bit pricey, but it's the most beautiful sweater that i own. it fits beautifully, and the material is soft, not itchy, which is important for a sweater with a cowl neck. the cowl sits beautifully, no matter how you "fold" it. and, the pattern both at the neck and the bottom is vibrant and bright, and is just lovely. i ordered a small and it covers my butt, which is perfect for leggings, or even with tights and boots. it's not shapeless, but seems to graze your thighs, and has a mild tur</t>
  </si>
  <si>
    <t>This product i better than the pic. nice fit and a nice throw on with boots nap glad i took a chance one it</t>
  </si>
  <si>
    <t>Imperial garden</t>
  </si>
  <si>
    <t>I bought this a month ago and returned it. but kept thinking about it so ordered it. it arrived on wed and i wore it on thursday as a dress with tights. i got so many compliments on it. it was perfect for the cool weather and was not too warm.
this knitter thinks the quality of the jacquard knit is excellent. yarn used is top notch.</t>
  </si>
  <si>
    <t>No slip and totally sheer dress</t>
  </si>
  <si>
    <t>I just received this in the mail today. first of all there was no slip included and the fabric is totally sheer. the description says "viscose lining" so i assume there was a slip and from the picture it looks like it was a beige color. second of all, it was obviously sent from a store where they lost the slip and it was squished into the smallest possible retailer envelope. the fabric is beautiful but the dress is humongous like the previous reviewers said. i ordered a size smaller than us</t>
  </si>
  <si>
    <t>Amazing</t>
  </si>
  <si>
    <t>I am six feet tall so this will definitely be a tunic with jeans or leggings but if you are shorter it could easily be a dress. lovely pattern with soft cozy fabric. nice weight and hangs well. definitely a keeper!</t>
  </si>
  <si>
    <t>Ordinary for the price</t>
  </si>
  <si>
    <t>I was so excited to order this sweater but was so disappointed when it came. the knit is somewhat stiff and the sleeves are not as bell shaped as pictured on the model. overall i would of kept it if it were much less money, for the price it is just an ordinary sweater with no style.</t>
  </si>
  <si>
    <t>Didn't work on my pear shape</t>
  </si>
  <si>
    <t>After reading the reviews i decided to give this a try, but it just didn't work on me. i'm 5'8, smaller on top, and usually wear m in retailer sizes. this was ok in the shoulder and arm area but a little too snug for me in the hips. also, the diagonal striping made my boobs disappear and the pattern at the bottom emphasized my tummy and rear. not exactly the look i was going for. back it goes.</t>
  </si>
  <si>
    <t>Good basic - but sheer</t>
  </si>
  <si>
    <t>I loved this in the store, but had to order my size. it is true to size - a great length - but the material is very thin and very sheer. i don't think it will carry over into fall - it is more of a summer weight fabric. it is also a little pricey for that same reason - still - its a great basic and i will keep my eye out for it to go on sale.</t>
  </si>
  <si>
    <t>Effortlessly chic!</t>
  </si>
  <si>
    <t>I absolutely love this sweater! first of all, it's extremely comfortable. i have been wearing it around the house all day and have no desire to take it off. it's cute as a casual around the house top, but also adorable dressed up with jeans and boots. it drapes beautifully for an effortless chic look. the color is pretty close to the photo and very nice in person. the possibilities are endless for colors to accessorize and match with. this sweater is definitely cropped in length, which i normall</t>
  </si>
  <si>
    <t>Don't trust anyone</t>
  </si>
  <si>
    <t>Haha, the unifying theme in these reviews seems to be don't trust the picture! i was misled by the neckline, i thought i saw a structured kind of asian-inspired mockneck/funnel thing and instead the top has a foldover cowl which, with my full bust underneath it, refuses to pose as a mockneck for me. overall there isn't much structure here at all. but the print is beautiful and the sweater cozy without being itchy.</t>
  </si>
  <si>
    <t>Sheet</t>
  </si>
  <si>
    <t>Love the shape and cut of this top but it is so sheer you could see my belly button through it. if it was a dark color i would buy it. wore my regular size small. i'm 5'5"130lbs  and 32dd.</t>
  </si>
  <si>
    <t>Happyinpdx</t>
  </si>
  <si>
    <t>Has quickly become one of my 'go to' tops. comfortable, cute, looks just like the picture.</t>
  </si>
  <si>
    <t>Great shirt</t>
  </si>
  <si>
    <t>It is the perfect top to wear in the summer, it is nice and you can be somewhat dressy or super casual. i don't like anything too tight around my stomach and this has a nice flow with just the right amount of material.</t>
  </si>
  <si>
    <t>Couldn't get past the itch factor</t>
  </si>
  <si>
    <t>This is a beautiful tunic. i wanted it to work so much but i couldn't get past the itch factor. also, the sleeves were shorter than i expected. when i wore a light tee underneath, it didn't move well and looked bulky so sadly it went back to the store. if the material doesn't bother you, buy this. would look great w/ tights/leggings and boots.</t>
  </si>
  <si>
    <t>Stunning! just buy a belt with it.</t>
  </si>
  <si>
    <t>I saw this dress in the window at the portland store, and had to try it on. i was a bit horrified at how huge it was once i got it on--sort of like wearing a tent. no shape at all. one of the awesome dressing room attendants brought me a belt, and suddenly it was the most beautiful dress i've ever had on. it's romantic, elegant, feminine... the fabric is so lovely and the flowy sleeves with the lower scooped back just look fantastic. i can't say enough about how amazing it makes me feel. i wore</t>
  </si>
  <si>
    <t>I ordered size large and find it too boxy and long. love the hem, although the top is too long in this size so it's a bit hard to judge how it'll look in the right size. the sleeves are cute and different, a bit wide and flowing. be warned, it's sheer which is more apparent from the side view. i could clearly see the garment cleaning instruction tag through the bottom side hem. has potential but not enough for me to reorder in a smaller size.</t>
  </si>
  <si>
    <t>If only it looked like the photo.....</t>
  </si>
  <si>
    <t>This sweater was a big let down. i am 5'2" so i ordered it in a petite. it was so short that if i lifted my arms, you'd see my bra!! there is no way i could wear it without something under it- even with high waisted bottoms. and the bell sleeves look nothing like the pic. the entire sleeve is just wide, and it continues with little increase into the cuff. it is just short and boxy. it is going back for sure.</t>
  </si>
  <si>
    <t>Not as pretty in person</t>
  </si>
  <si>
    <t>I was excited to see this top in person, but once i got a close up look at it (and also tried it on) i was disappointed. first, the color is much more persimmon orangey in person and that's a hard color to pull off for a lot of people. it just pulls any pink or red in your skin and highlights it. 
second, the top was poorly finished. i had to pick up two to try on because the lace was wonky across the front of the first one i grabbed. so much so that the lace was puckered because it had been</t>
  </si>
  <si>
    <t>Feminine and tts</t>
  </si>
  <si>
    <t>Love this blouse! the top is true to size...i'm generally a m and decided to try a pl which fit great. the pm was just a bit snug...looked fine but i felt a little constricted in the bust area and thought the pl was better for me. i'm 5'1" for reference and curvier on top than on bottom. i wore a nude bra when trying on and it totally worked with this blouse. the lace detail is a bit sheer in some parts near the bust line but nothing too inappropriate. i can't wait to wear it down to dinner for</t>
  </si>
  <si>
    <t>Beautiful blouse</t>
  </si>
  <si>
    <t>This is a beautiful and fashionable blouse. it feels good on as it is made of viscose, it is pretty and feminine. color is great, of course it needs to be your color. i love it and recommend it!!</t>
  </si>
  <si>
    <t>Pretty top</t>
  </si>
  <si>
    <t>I fell in love with this top when i tried it on at the store. it's a great fall piece. it is see-through around the bust, so a nude bra or any color camisole would have to be worn. my only thing is that it seems a little dressy, so i'm wondering how much i'll wear it. i work from home so everything has to be somewhat casual. so, i do recommend it, but i'm undecided as to if i'm going to keep it. for reference, i'm a 34d with a thin upper body and took a size medium.</t>
  </si>
  <si>
    <t>Size down - loose,, flowing material - love it!</t>
  </si>
  <si>
    <t>This dress is light, airy easy and comfortable to wear. i love the colors and pattern. it looks wonderful with or without a belt. i sized down from a 6 to a 4. i position the front of the dress material closer to the neck so it flows longer at the back. although i am a size 6 the under slip fits perfectly in a size 4. i prefer the dress without a belt but it also looks good with a belt or a jacket or long cardigan. 
this dress is a keeper!</t>
  </si>
  <si>
    <t>Warm and chic</t>
  </si>
  <si>
    <t>Very attractive and easy to wear. i wore it the night it arrived and wore it again the next night! i love the colors, the pattern and design. this is a stylish tunic sweater. the sleeves are not full length, which i prefer. the sweater is dense - the weave is tight, making the sweater quite warm, but not too warm.</t>
  </si>
  <si>
    <t>Perfect tank to be dressed up or down</t>
  </si>
  <si>
    <t>Great tank to wear to work or a night out. fits true to size.</t>
  </si>
  <si>
    <t>Stylist at my local retailer recommended i try on this top. as soon as i put it on, i was amazed at how pretty it is. i'm 5'3" and curvy size medium and the fit is true to size. i would say if you are between sizes, you may want to size down. i didn't have any issues with the lace and the slight v-neck falls perfectly on me. no need to wear any cami. 
my only concern was how wrinkled the top was. i requested to have the blouse steamed before i left the store so that i could see if all of the wrin</t>
  </si>
  <si>
    <t>Not only a beautiful knit but can be worn as both tunic and dress on my short frame. it does not look like a sack tent when worn. very soft and flattering. collar is styled well and can be shaped different ways. pattern and color combo is the similar to the exquisite eira dress. i am 5'3" and i chose the regular over petite. i only wish the sleeves were longer.</t>
  </si>
  <si>
    <t>Beautiful sweater!</t>
  </si>
  <si>
    <t>As others have said, this is even prettier in person. beautifully made, colors are really pretty. it's unique and special. in sweaters i go between sizes small and medium, depending on the cut. i went with the small here because the medium had a bit too much fabric around the hips where i don't need it. it doesn't run large, it's just that i wanted it to be closer fit as i'll wear it with skinny jeans or leggings.</t>
  </si>
  <si>
    <t>Wanted to love it - but . . .</t>
  </si>
  <si>
    <t>I wanted to love this. however, the fit was funky and the colors were muted. this is definitely something you must try on in the store. too risky to buy online due to weird fit.</t>
  </si>
  <si>
    <t>Shrinks!!!</t>
  </si>
  <si>
    <t>Ladies this top shrinks!!! i am very disappointed, i was in love with this top and the first time i washed it it shrunk a significant amount. i did not use a dryer, i laid this piece out to dry as i do with the majority of my knit tops and it shrunk. it is a lot shorter and much tighter, especially in my arms. if you love this top i might suggest buying a size up and washing it to fit.</t>
  </si>
  <si>
    <t>I bought this in black. it's a great long length. i have long arms so the sleeve length is great. it's really soft. only issue is seems to sag a little in the middle instead of being flowy. overall a good tunic.</t>
  </si>
  <si>
    <t>I love this top! the sizing was great, and i have already worn it so many times, and received so many compliments! it is great to dress up or down! such a great purchase!</t>
  </si>
  <si>
    <t>Loved this top</t>
  </si>
  <si>
    <t>Purchased in the blue. the color is a little darker than it shows. more of a slate blue. loved the fit. i am tall so it covered perfectly.</t>
  </si>
  <si>
    <t>Very slimming, lovely dress.
a nice addition to your fall/ winter wardrobe.
the embroidery is lovely, fabric soft and comfortable. sized perfectly. 
so happy with this beautiful black dress!!!</t>
  </si>
  <si>
    <t>New fav lbd. i am 5 months postpartum and this dress makes me feel like my old self again. it fits right above the waist, with a bow to cinch the waist. love the fit and flare. the top is warm, great for a cold evening out. and the taffeta really dresses it up. love</t>
  </si>
  <si>
    <t>Very plain on the front</t>
  </si>
  <si>
    <t>This sweater looks soft and flowy on the model, but in the store it is rather stiff lace in the back and very plain in the front. i did not like the ribbing on the front bottom of the sweater because it pulled in places and didn't lie flat. way too expensive for what you are getting.</t>
  </si>
  <si>
    <t>Might be great if you have a bun in the oven!</t>
  </si>
  <si>
    <t>Again, bought this while wearing my retailer colored glasses. i loved the flowiness and color of the dark pink, and was convinced in the dressing room that this top made me look like a chic goddess, mid-vacation on the amalfi coast. i tried it on at home, and it straight up looked like i was wearing a maternity top. since i'm not with child, this one's going back!</t>
  </si>
  <si>
    <t>Pretty but just okay when worn.</t>
  </si>
  <si>
    <t>I love the back detail but doesn't feel that comfortable on. i bought in green. it's fitted so get size larger if you plan to layer up. i'm 107 and bought xs size. i should have ordered the s.</t>
  </si>
  <si>
    <t>I was on the fence about this jumpsuit at first.  i feel the pockets in the back are a little high on my bum.  kind of an unnatural placement.  i sized up so it wasn't so tight fitting at the waist and hips so it made the placement of the back pockets a little better.</t>
  </si>
  <si>
    <t>Great winter tunic</t>
  </si>
  <si>
    <t>Great for layering and staying warm in the winter. definitely stay on the larger size, the fabric has very little give but is comfortable.</t>
  </si>
  <si>
    <t>Not a great design</t>
  </si>
  <si>
    <t>This shirt is not a good look for a gal with hips. the fit at the top is tight (i ordered a small) but there is so much material at the bottom and if you are a little taller (i am 5'7), it hits at a place that is not flattering. i was hoping for something that hung straight down and would be good with leggings. this is not it...also the material is a little stiffer then i was expecting.</t>
  </si>
  <si>
    <t>V-neck t</t>
  </si>
  <si>
    <t>Way to v necked- other than that would be a nice go to top. needs a cami.</t>
  </si>
  <si>
    <t>Super cute- order a size down</t>
  </si>
  <si>
    <t>After reading the reviews, i was hesitant to purchase, but glad i did. i'm usually an xs or s depending on the brand, but i got this in a xxs. it fits perfectly and is so cute. does not look like a bathrobe at all. i love it because it's almost like a cardigan blazer...looks like a blazer but feels like a cardigan!</t>
  </si>
  <si>
    <t>Nice tunic</t>
  </si>
  <si>
    <t>I tried this tunic on in my local retailer store. they do not carry petites, so i tried on a regular small (i'm 5'2", 130lb). the proportions were a bit off. the v-neck fell way too low and there was extra material puckering across the bodice. i definitely think a petite would work better for my height. alas, no petites in-store or online in the color(s) i would purchase. i didn't find the shirt too thin, as some have commented. it's essentially a midweight t-shirt material (but rayon, so beware o</t>
  </si>
  <si>
    <t>Nice casual tunic-dress</t>
  </si>
  <si>
    <t>Comfortable,t eh fabric is very soft. the embroidery adds a little to the otherwise plain black tunic. lace up neck on trend too. 
i ordered the xxs p, as it is likely loose... that was just fine for me, xs p would have been not as flattering. theo nly problem with that is the sleeves then became a little more snug (workout arms). not too snug that i can't wear the dress, but decided not to keep it only because there are way too many things i like at retailer! (and have to pick). in my wish lis</t>
  </si>
  <si>
    <t>Not as bad as previously reviewed</t>
  </si>
  <si>
    <t>I do think the fabric could be a little more substantial for the price, and was disappoitned that even petites, were again, too long... the color is nice enough (neutral), and they definitely look like work pants. they are true to sice, but i could do the low end of my size range.</t>
  </si>
  <si>
    <t>Love the black</t>
  </si>
  <si>
    <t>I bought this in black and it did require me to wear a shirt underneath as it was a little sheer/see through. i usually wear an xs and i wore the same in this top. the black is very pretty and goes well with some skinny jeans.</t>
  </si>
  <si>
    <t>Weird shape.</t>
  </si>
  <si>
    <t>After seeing this on anthto's facebook page i was so excited to order. i ended up going to a store and trying on. i couldn't believe it was the same shirts when i first saw it. i thought this ran quite big. and the shape was odd. lots of material in the middle. i am a mom of 3 young kids and didn't want people to think #4 was on the way.</t>
  </si>
  <si>
    <t>I ordered this sweater in black and thought it was a pretty design and something different in a cardigan. when i tried it on, it was an odd fit and very boxy and unflattering. i wanted to like it and keep it, but i knew i would not wear it so, unfortunately, it went back.</t>
  </si>
  <si>
    <t>Cute but short</t>
  </si>
  <si>
    <t>I ordered the green, black and ivory because i thought they were so cute. the sweater is short but still cute. the ivory one i will return though. it has sparkle that's not noticeable in the online picture plus when it arrived it had a huge snag in the fabric. i'm actually quite surprised they sent it to me in such poor condition.</t>
  </si>
  <si>
    <t>Too long, poor quality</t>
  </si>
  <si>
    <t>I ordered the pink in size xl. the color was pretty. the problem is the material was too thin and tight. it ran at least a size smaller than shown in the photos online.</t>
  </si>
  <si>
    <t>Sent to me damaged</t>
  </si>
  <si>
    <t>I ordered the in the emerald green and it was sent to me with a dime size hole in the sleeve. i am very disappointed, because i love the sweater. by the time it arrived, it was sold out in my size. now, i cannot exchange it for one that is not damaged. if the sweater was not damaged, i would recommend this product.</t>
  </si>
  <si>
    <t>Gold thread</t>
  </si>
  <si>
    <t>This is a very pretty sweater, a bit boxy and short but cute. i am 5'1" and ordered the regular xs in black. the thing i did not like about this sweater was the gold thread through the back lace. i would have kept this if it was plain black lace. just did not like that look.</t>
  </si>
  <si>
    <t>I was obsessed with this dress from the moment i saw it online and was so excited to buy it for my company christmas party. i'm 5'4", 36c, 145lbs and i ordered a 6. the size was great but the whole cut of the dress was completely off for me. i have a fairly short torso but the top portion of the dress (which is a sweater-like material) hit me far too low on my waist to be flattering; the petite may have fixed it, but then the skirt would've been too short. the pleats were cute but flared out too</t>
  </si>
  <si>
    <t>Great tunic</t>
  </si>
  <si>
    <t>This tunic is very pretty in black. it is lighter weight than the picture appears and drapes nicely. i'm 5'2 so i ordered the petite, but would have been ok with the extra length of the regular for when worn with leggings, with jeans the petite length will work well. i recommend using the size chart provided. i general wear an xs, but ordered the s, based on the size chart, it's a perfect fit.</t>
  </si>
  <si>
    <t>Great, special cardigan. fits like a shrug and a little short but is perfect over a tight fitting sheath. great for broad shoulders.</t>
  </si>
  <si>
    <t>Cute cute. simple tank with a little something to add interest.</t>
  </si>
  <si>
    <t>Not for tall ladies</t>
  </si>
  <si>
    <t>This sweater is a cute design but did not work for me. i am 5'9" and this is way to short/cropped and looks awkward. the quality was so so, it looked stretched out in the front. it's getting returned.</t>
  </si>
  <si>
    <t>Lokka tunic</t>
  </si>
  <si>
    <t>Beautiful top, loved the color but shoulders were totally messed up and not sure if it was from
hanging at store or the way it was sewn.</t>
  </si>
  <si>
    <t>I ordered this in two colors, in my regular size. i washed and laid flat to dry....it shrunk like crazy. i held the one i washed up to the other unworn/unwashed one and it was at least two inches shorter. they may both be going back. i am so sad.</t>
  </si>
  <si>
    <t>I purchased this top in blue and liked it so i ordered the red color. i hated the way the second one fit. i'm concerned the blue will not wear well after seeing the way the second one looked!</t>
  </si>
  <si>
    <t>It is so simple but elegant and beautiful! i am 5'3 and 120 lb and extra small fits me perfectly</t>
  </si>
  <si>
    <t>I'm in love!</t>
  </si>
  <si>
    <t>I love this shirtdress. the lace and collar design pops off the black. super comfortable and love that it has pockets! a keeper, this one not going back ever. i am 5'9 and 140 lbs and the 6 fits perfect. the length comes above my knee, so most likely i will be wearing tights or skinny's underneath.</t>
  </si>
  <si>
    <t>Pretty cropped cardigan.</t>
  </si>
  <si>
    <t>This cardigan is nice and the lace at the back is pretty. just be aware that it's definitely a cropped length, which is good for wearing over a dress that you don't want to cover up too much. size up if you want room to layer. the one i tried on at the store had the top button almost falling off, so i didn't buy it.</t>
  </si>
  <si>
    <t>Love but poorly made</t>
  </si>
  <si>
    <t>You guys, i love this so much! however, within one hour of wearing it, the back seam completely ripped. it fit me perfectly... sadly i&amp;#39;ll have to return the damaged item. really sad it&amp;#39;s all sold out too!</t>
  </si>
  <si>
    <t>This velvet has swagger!</t>
  </si>
  <si>
    <t>I love the soft, slouchy feel of this draped yet constructed jacket. don't expect a crisp fit. i'm not a fan of the menswear look so this jacket is the boho answer to a classic blazer. the one-button closure is easy to wear; the hem curves for a more feminine look. i hesitated before ordering (hoping it would turn up at my local retailer). by the time i was ready to order, the green version had sold out. as it turns out, the copper is even better. it was 86 degrees today, but i wore it anyway!</t>
  </si>
  <si>
    <t>Love this shirt with leggings. if you are in between sizes- size down</t>
  </si>
  <si>
    <t>Unusual color. expensive even on sale.</t>
  </si>
  <si>
    <t>Great dress!!</t>
  </si>
  <si>
    <t>I am 5'4" 140 pounds and ordered the 8 petite. it fits perfectly and is very flattering. the embroidery and lace up neckline thing is really awesome. it gives the dress some character... i am also a fan of the roll-up sleeves. i wish it came in other colors because i would certainly order more than one. the one and only potentially negative aspect, and i say potential because i'm not sure if its an issue or not as i haven't worn/washed it yet is it appears to be something that i may have to iron</t>
  </si>
  <si>
    <t>Oh elevenses, i love your pants..the fabrics, the details, the length. i've found elevenses to be classic work pants. reliable, professional, well made. these are none of those things. the cardinal trousers are thin and the rise feels much higher that's it appears in the picture. the red pair are thin, stretchy and cheap. both pairs have to go back. i'm truly sad.</t>
  </si>
  <si>
    <t>Cute basic</t>
  </si>
  <si>
    <t>I can understand the concerns of another reviewer about shrinkage. i have a few retailer tops made of similar fabric and they have shrunk a bit. this too fits very well, but once i wash it, it will likely get a bit smaller. i ordered a small, but plan to size up to a medium. for ref. 32ddd bust, and the small fit perfectly with a camo underneath...the shoulders seem to be cut small. so if you are busty like me, size up.</t>
  </si>
  <si>
    <t>Lokka is lovely</t>
  </si>
  <si>
    <t>The lokka tunic is a perfect go-to top for casual days or nights! pair it with skinny jeans or leggings and you are set! the long sleeves are fitted and long-so they can be bunched at the wrist. i ordered it in both the black and the the pale grey/blue shade. it is a winner.</t>
  </si>
  <si>
    <t>I got two of these when they went on sale because i hate paying $68 for a basic top like this.. but for the sale price they are great! comfortable, lightweight, and flattering. the black is a little sheer, but nothing a tank underneath can't solve. a good buy!</t>
  </si>
  <si>
    <t>I bought this in my usual medium and it fits great (fitted at the shoulder, loose below). it looks great with skinny jeans and can be worn casually or dressed up with accessories.</t>
  </si>
  <si>
    <t>The perfect fall dress</t>
  </si>
  <si>
    <t>Ordered this dress online and wasn't sure about the criss-cross neckline feature but i love it! it's absolutely adorable and unbelievably comfortable. the fabric is very soft and lays nicely without feeling too "baggy" or frumpy. the embroidery is beautiful. i'm wearing it to a fall event in october and pairing it with my favorite cowboy boots, but it would also look great with flats, heels or booties. totally in love with this dress!</t>
  </si>
  <si>
    <t>Adorable, comfortable, flattering; this has it all</t>
  </si>
  <si>
    <t>I was not shopping for a dress and somehow came home with this. in person the material and embroidery are just so stunning that i found myself picking it up. i was sold after trying it on. the material is very soft, both feels and looks extremely high quality. and for a basic shirtdress, it is amazingly flattering. follows curves without clinging to them. i'm 5'4", 123 lbs, usually wear a small in tops/dresses &amp; purchased the size 4, which fit perfectly. i'm slightly chesty (34d) so sometimes ha</t>
  </si>
  <si>
    <t>Love this dress! it is super-flattering, and the embroidery is beautiful.</t>
  </si>
  <si>
    <t>Cute!!</t>
  </si>
  <si>
    <t>I am going to disagree with reviewers who say this runs small. i found it very short and wide. that being said, it is meant to be cropped. i ordered a size small and it fit perfectly, albeit a little short. for reference, i am usually a size 6/medium in retailer shirts and dresses.</t>
  </si>
  <si>
    <t>Beautiful sweater but the material is a bit thinner than i was expecting. but it hangs nicely and the sleeves are nice and long!</t>
  </si>
  <si>
    <t>Absolutely gorgeous skirt! so feminine and curve hugging. wish i hadn't found this so late! want it in every imaginable color, but i will settle for the off white.
please bring this style back!</t>
  </si>
  <si>
    <t>Funky seams</t>
  </si>
  <si>
    <t>Love the design and the gold color, but the seams between knit and lace were a little weird and bunched/weren't smooth. maybe the one i tried on just needed to be ironed or something...</t>
  </si>
  <si>
    <t>Great style!</t>
  </si>
  <si>
    <t>This top is great - lightweight and flattering.
i can wear it to work with skinny white pants or to the grocery store with jeans. 
i purchased another color because i love the first i got so much.</t>
  </si>
  <si>
    <t>Beautiful dress!</t>
  </si>
  <si>
    <t>Can be dressed up or down. the top part is tight, while the bottom has a beautiful skirt. i'm slightly busty and about 5'6" and the size 6 is perfect for me.</t>
  </si>
  <si>
    <t>Not enough structure fo rme</t>
  </si>
  <si>
    <t>The fabric is beautiful, even the lining is lovely. i ordered the green color in a large, as i'm curvy and have long arms. but it just doesn't lay correctly at all - the collar has no structure, even though it's a lapel, and the side vents just pop out - the jacket added about 10lbs, and just looked frumpy. it looks much more tailored on the model. too bad, as i have been looking for a velvet blazer in the color for a long time.</t>
  </si>
  <si>
    <t>Comfortable</t>
  </si>
  <si>
    <t>Love this shirt! i bought the light blue color and its amazing, fits well i love that its long in the back. very comfortable and loose. thinking of buying it in both pinks.</t>
  </si>
  <si>
    <t>Could be a bit shorter</t>
  </si>
  <si>
    <t>Great material. a bit loose in the middle / lower half. doesn't belt well. it could be 3" shorter, considering alterations. i'm 5'7" the model is 5'10", so yeah 3" shorter would be cute!</t>
  </si>
  <si>
    <t>Great cardigan</t>
  </si>
  <si>
    <t>Love this cardigan. fits just as i expected. very structured in the front with a bit of flair in the back.</t>
  </si>
  <si>
    <t>Not worth the $$</t>
  </si>
  <si>
    <t>I loved the cut of these pants and the button accent on the pockets. however, the material was quite thin and the quality was not great- there were multiple snags along the seams. additionally, at 5'8, 130lbs i was swimming in the size 4. i would have tried sizing down if the quality was better.</t>
  </si>
  <si>
    <t>This is a pretty sweater. i ordered the red and it is a plum color, not close to red, but it will work well with black, gray and denim. i found the sweater looks boxy from the front but the back is spectacular. it is very well made. no raw edges or seams that are threatening to unravel. this will be nice for casual holiday dressing. i found a longer tank in white works well under this.</t>
  </si>
  <si>
    <t>Well...it is green</t>
  </si>
  <si>
    <t>This is silly, but the moss is not brown as pictured but olive green. with that "said," i am going more casual, and i love the "flex" of this coat. the shape is beautiful and the lining is fun. i waited two months to get this in close to my size 00. for my style it is a keeper, but this back order situation is not acceptable. don't know whose fault that is?</t>
  </si>
  <si>
    <t>I bought this tunic in black and am seriously considering buying it in more colors. it is so comfortable and very flattering. i am 5'11", so many tunics are more like shirts on me, but this one is the perfect length to wear with leggings or pants. the v neck is a nice, feminine touch and i love the change in material around the edges.</t>
  </si>
  <si>
    <t>Feminine blazer</t>
  </si>
  <si>
    <t>I am 5 feet and 120. i ordered a petite small in moss. i have posted a photo below. it's a pretty green. the lining is pretty. the reason i deducted a star is because the lining is very thin and "slips" a little when putting the jacket on. but it doesn't effect the way the jacket falls and i wear it comfortably. it's floppy, but not sloppy. i was surprised that each side the fabric is like a tulip. it was a nice surprise. i'm curvy and busty. i have zero problem with it being unflattering. the s</t>
  </si>
  <si>
    <t>Adorable top, a little pricey</t>
  </si>
  <si>
    <t>I ordered this shirt to wear with a pair of pants that i had to return - which is one reason the top went back as well. it really is cute and i like the exaggerated key hole in the back. i certainly could have found other things to pair with this top, but it came down to the price. i just didn't think it said $118. hopefully its still around when it goes on sale. its very cute. fits true to size.</t>
  </si>
  <si>
    <t>So comfortable</t>
  </si>
  <si>
    <t>These leggings are soft, comfortable and go with everything. love the way they feel.</t>
  </si>
  <si>
    <t>Huge arm holes</t>
  </si>
  <si>
    <t>Why is it so difficult to find a shirt that doesn't expose half of my bra if i lift my arm? 
this is cute (beyond the arm hole issue) but overpriced. going back.</t>
  </si>
  <si>
    <t>Looks can be deceiving</t>
  </si>
  <si>
    <t>I wanted these culottes to work so much! the fabric is gorgeous, but the size i ordered didn't fit. i'm normally a size 28 in pants, and i ordered a size 8. it was way too tight and made me look like i had a pooch in the zipper area. not what i wanted it to be. had to return them unfortunately.</t>
  </si>
  <si>
    <t>Not as pictured</t>
  </si>
  <si>
    <t>This dress is most definitely not a maxi! barely goes below the knees. also you do not get the cute detail shown on bodice. there are no folds which were an added plus on picture. waist is higher, not at natural waist. very pretty silk though and still cute. just not as pictured.</t>
  </si>
  <si>
    <t>Gorgeous top, straps way too long</t>
  </si>
  <si>
    <t>I just adore this top! it is so comfy and stylish. i wear it with a little purple cardigan and feel like an iris in bloom. like other reviewers have mentioned though, the straps are way too long. i had to cut them down and re-sew to make it wearable. before that it just slouched in front and looked sloppy and awful. i tried layering under it, which looked absurd.</t>
  </si>
  <si>
    <t>Still awesome</t>
  </si>
  <si>
    <t>I read the reviews prior to purchasing but loved the pattern so much i had to have it. i was not disappointed however, had i not read the reviews i would have been. it is true the top of the dress is flat and does not have the detail as shown on the model. it also appears to be disproportionate. i am 5'1 and curvy the bottom fits well but the top is large however rectified by wearing a padded bra. since i ordered the petite i was surprised the dress was above the ankle (usually their items are l</t>
  </si>
  <si>
    <t>Perfect for any season</t>
  </si>
  <si>
    <t>This is more beautiful in person. i love the detail and color. i usually don't like ponchos but this one's shape with the square front definitely sets this apart.</t>
  </si>
  <si>
    <t>I rarely write reviews but had to comment on these pants. these pilcro pants are my favorite for the fall and winter. they fit beautifully and are a great alternative to jeans. the pants are so comfortable and flattering. love the print and they are so versatile as they can be worn as very casual pants and can be dressed up. i am in my 60's and am always looking for clothes that are stylish without being too young looking for a woman my age. retailer is my favorite store!</t>
  </si>
  <si>
    <t>So wanted to love it...</t>
  </si>
  <si>
    <t>Ditto what the first reviewer said, unfortunately. i was so looking forward to receiving this dress but the one received is not the one in the photos. the graphics are fantastic - still love the boats- but the top is not the same and they've added a fabric belt to the finished dress. the fit was perfect except for gapping under the arms (similar, i suspect, to what the first reviewer reported). i was also surprised by the fabric. based on the photos i was expecting something light and semi trans</t>
  </si>
  <si>
    <t>Cute casual shorts</t>
  </si>
  <si>
    <t>I ordered these in both the grey and moss, and i love both. they are very soft, very easy, loose fitting casual shorts. i wear them a bit lower on my waist than pictured, so they hit lower on my leg than on the model, which i prefer in these. i am 5'3, 105 lbs, ordered xs. the dark grey ones feel more versatile, like you could throw on anything with them and go. the moss look cute with white/cream summery tops. they washed well (machine, cold, laid flat to dry), touched up with light steam from</t>
  </si>
  <si>
    <t>Adorable culottes!</t>
  </si>
  <si>
    <t>These culottes are adorable on....if you order up two whole sizes! they run extremely small. fabric is thick, high quality and a beautiful color.</t>
  </si>
  <si>
    <t>Not for big girls :(</t>
  </si>
  <si>
    <t>Quality is fantastic but i feel like a 14 would have barely made it's way around one leg! this pant is way small in terms of sizing and not a style fit for anyone over a 6. a lot of fabric in the legs. nice pant but not for this girl!</t>
  </si>
  <si>
    <t>Love these pants. corduroy leggings that fit like a skinny pant. comfortable. not too stretchy. maintains shape, even with multiple wears between cleaning. pairs nicely with black, neutral, or buttery yellow tops. fun print. received compliments first time i wore them. sizing is just right also. i'm 5'3. usually wear 26 in denim but have to go up a size for super skinny so i ordered a 27p which fits me just fine.</t>
  </si>
  <si>
    <t>A little 'hip-y"</t>
  </si>
  <si>
    <t>Skirt in med fit fine, cute,lightweight, swingy, flirty, fun, almost knee length
i am typically a 10-12
but the pattern which swings up, across, and down made me look wide in the hips as opposed to other clothes i own already
more petite, less curvy girls enjoy!
its going back,sorry!</t>
  </si>
  <si>
    <t>Maybe one i got it's not right?</t>
  </si>
  <si>
    <t>Got the small petite. length is perfect, love the color, super comfy, very pretty. the problem is that you cannot wear a bra because under the armpits is so low that either shows your bra (a lot) or if u wear sans bra you may show your breasts (it's loose all around on top, so very easy to show everything. if i adjust the straps it works but then the waist goes up and it looks like i have a belly. i'm taking to a seamstress to see if she can take in under armpits, if not it's going back. i'm 5',</t>
  </si>
  <si>
    <t>These run small (i am 110 and got a size 4), they were a tad tight on top. the waist fit but felt a little too snug, short from waist to crotch and then bloomed out in a nice but stiff ish material. they are a dark blue animal print. i felt like bozo the clown goes to the jungle. they looked so silly i had to laugh. even with the 20% off, these are going back. not even comfortable to lounge around the house in never mind being seen by anyone in person!</t>
  </si>
  <si>
    <t>Buy these now.</t>
  </si>
  <si>
    <t>These cords are seriously fantastic. worth the price indeed. they are very comfy, have a lot of stretch but do not loose shape! the fun yet muted color design allows an average outfit to have a fun pop. they do run big, i got a 26 and i'm usually a 27. they are also very long! nothing a little trip to tailors can't fix. overall, highly recommended.</t>
  </si>
  <si>
    <t>Different dresses</t>
  </si>
  <si>
    <t>I loved the photo of this dress. upon examination of the dress (and trying it on) after receiving in the mail, the dress shown online is nothing like the dress i received save for the pattern. the dress i received has a side zip as well as a belt and no pleats on the top. the bottom is also cut straight across not as it appears in the photo. turns out it is not as flattering as it should appear.</t>
  </si>
  <si>
    <t>Classic with a twist</t>
  </si>
  <si>
    <t>Beautiful pajama bottoms. i purchased these as a special treat for myself. luckily, i found a review on another site, stating that these run small, before pirchasing. no one wants tight pjs. order a size up! also, i'm 5'8" tall and the length is just right. if you are taller, you may find this style too short. i haven't ordered the top, because i'm not sure of the fit, but i'm guessing it also runs small, based on the photo.</t>
  </si>
  <si>
    <t>I bought this top in my usual size in a small. i'm a 34 d 26 waist. i absolutely love it. i pair it with a red cardigan. very cute.</t>
  </si>
  <si>
    <t>So beautiful!!</t>
  </si>
  <si>
    <t>I love this sweater combo! as a larger woman, i am always looking for flattering tops. the draping in front covers all the right areas! i wish they made them in more colors!</t>
  </si>
  <si>
    <t>Great yarn texture and colors, look closely though</t>
  </si>
  <si>
    <t>I did not realize that this knitted vest had an attached gauzy under-layer. i can see it now in the photo, but i just thought it wasn't part of the actual vest. when the vest arrived i realized sadly that this flowing under-layer was part of the design. i don't know why because the yarn and vest are lovely without it. in my opinion, the under-layer takes away from the beautiful vest. i guess i could have spent some time and removed it, but at that price i just sent it back. too bad because the m</t>
  </si>
  <si>
    <t>So cute</t>
  </si>
  <si>
    <t>This is a perfect fit! i was worried that it would be too short and or boxy. i usually  wear an xs. i have a slightly longer waist though and often xs tops run short or they are overwhelming! this was perfect! it is roomy and long enough without swallowing my frame. it looks nice enough to dress up and wear out and about. great value at the sale price as well!! it is well made and doesn't just look like a run of the mill pullover.</t>
  </si>
  <si>
    <t>Great for tall ladies</t>
  </si>
  <si>
    <t>I like the skirt. that said it is going to the tailor to have some of the fullness taken out. just a lot of material going on, and heavier than you might have imagined. i will wear it fall &amp; winter with white &amp; navy cardigans.</t>
  </si>
  <si>
    <t>Kind of calssic retailer</t>
  </si>
  <si>
    <t>I think this may almost make it back to the more classic pieces retailer used to have. i tried on the xs in store so i ordered the xxs and xs petite... i felt the usual xs was a little big (again, i think retailer is making things bigger...) my verdict is iliked the length on the regular size better and the xxs fit well. but not much difference (the xs petite was a similar size be the arm hole was higher).
colors are very neutral and warm. i like the addition of the inner layer to make this more wh</t>
  </si>
  <si>
    <t>I ordered these in my usual pilcro petite size 6. they were impossible to button, which is interesting 'cause i also ordered the pilcro wide leg chinos in the same size and they fit perfectly, as usual. but it ended up being ok because i don't care for the speckled, slightly rough material or the contrasting piping. back they go!</t>
  </si>
  <si>
    <t>Nice skirt!</t>
  </si>
  <si>
    <t>When i saw this online, i thought it was going to be a thin, summery kind of skirt with a fall pattern to it. it is not thin and wispy, but lined with a nicely weighted navy material and the fabric of the skirt is kind of a thick cotton with a nice swing to it. definitely would work for the fall and cool days or evenings. the zipper pockets look cool too, would definitely recommend!</t>
  </si>
  <si>
    <t>Not petite inseam...</t>
  </si>
  <si>
    <t>I was excited to see these jeans since they came in petite sizes and had a short inseam... unfortunately after ordering/returning several pairs, i found out that these are actually not petite jeans. please beware that if you are ordering these for the shorter inseam, they are actually 28 in... not 24 in as in the description. other than the inseam issues, they fit like typical paige denim.</t>
  </si>
  <si>
    <t>Frayed bottom hem.....</t>
  </si>
  <si>
    <t>This top is super cute, however the bottom hem is all frayed....couldn't really tell that from the pictures. the "flutter" sleeves are too big...looks funny with the fraying...runs a little large as well. loved the color! perfect with white denim!</t>
  </si>
  <si>
    <t>This is not red!</t>
  </si>
  <si>
    <t>I was looking for a shirt of this style. i thought it was very cute, but it is not "red' as advertised. it is really a brick orange-y color, which is definitely not what i wanted. very disappointed. sent it right back.</t>
  </si>
  <si>
    <t>Unfortunately for me but good for someone else...</t>
  </si>
  <si>
    <t>These lightweight, wide leg pilcro summer jeans are really cute, but did not look good on me. i love the fabric-a slightly 'nubby' no stretch chambray that is perfect for hot weather. the waist was a bit large and there was fabric to spare in the hip area. the legs are very wide, adding to the comfort factor of these! the details are really cute-contrasting fabric at the slash front and rear pockets. i got a size ten in these and they were big-i can imagine they will stretch out with wear so it</t>
  </si>
  <si>
    <t>Great for dressing up or down</t>
  </si>
  <si>
    <t>This is a great skirt that could be worn to a wedding or worn more casually with a cool tshirt. it is not too puffy and the inner skirt is stretchy and more fitted. i had to size 1 size down. really nice.</t>
  </si>
  <si>
    <t>Wow!</t>
  </si>
  <si>
    <t>Wow, i can't believe there were some sizes left at my local store. it was on sale and i maxed out with additional discount for black friday week-end. the size 6 fit perfect and i can't wait to wear. this is a gorgeous skirt and will sell out for sure.</t>
  </si>
  <si>
    <t>Georgeous skirt</t>
  </si>
  <si>
    <t>I love the fabric, since it's fall wasn't expecting it to be light. but its not heavy either. just the right balance.
this is one of those classics. i love the collage like pattern of the fabric.
the fit is true to size and looks great with bootie/boots. (dressed up or down).</t>
  </si>
  <si>
    <t>Love at first wear</t>
  </si>
  <si>
    <t>This is one of those 'i need one in every color' kind of shirts. need - not simply want. it is very well constructed. the fabric is the perfect weight and is sooooooo comfortable. the raspberry is a little more dusty rose than pictured online, but it works. i've only had the shirt a couple of day. in addition to wanting to wear it every day, the fabric has not pilled. i'm short-waisted, and i have not had any issue with the high-low hem or cropped length.</t>
  </si>
  <si>
    <t>Lovely and colorful</t>
  </si>
  <si>
    <t>I really like this skirt - so colorful! the interesting pattern and multiple colors will make this a great fall skirt. i can wear it with pink, burgundy, gray, white, black, and probably many more. can't wait for the temps to drop!</t>
  </si>
  <si>
    <t>This was on display when walked into my local retailer, it's just a beautiful in person. my mistake was trying it on, instant love! i tried on my usual size small &amp; it fit perfectly. i would usually wait for something in this price range to go on sale, but i just had to have this. worth the splurge!</t>
  </si>
  <si>
    <t>Fantastic fit!</t>
  </si>
  <si>
    <t>These are the best fitting jeans i've ever owned! no puckering near the crotch, and i don't need to have the waistband taken in. they probably run small.</t>
  </si>
  <si>
    <t>Flirty cocktail dress</t>
  </si>
  <si>
    <t>This dress is so beautiful, the color is even more vibrant in person, a stunning emerald green. it is well made and doesn't go too low under your arm, which sometimes happens with halters. the halter material is a thicker band that gives nice support. the skirt does a little poof near your hips at the top, look at the back view photo online, you can see it there. at first i was surprised by it because i didn't see that on the front view, but then i decided it was fun and flirty. i received numer</t>
  </si>
  <si>
    <t>What a dream!!!</t>
  </si>
  <si>
    <t>These pants are perfect!!! they are exactly what i was looking for, and worth every penny! the fabric is more lightweight than any other sort of denim, but still i think i could wear these any season. they look so cute with simple heels and a classic blouse, but they can be dressed down with nice sneakers and a plain white t! so excited to have these in my closet!! love a good pair of fun pants.</t>
  </si>
  <si>
    <t>Size and function</t>
  </si>
  <si>
    <t>Too big and it's not secure enough to wear for swimming.</t>
  </si>
  <si>
    <t>Looks better on line</t>
  </si>
  <si>
    <t>I received this skirt today and was very disappointed. i don't know what i expected but it is not as i thought. even though the quality is very good and the fit is true to size, i may return it. the fabric of the skirt is just too busy, at least for me. i am just uncertain and even though i have many tops, the colors are just not matching. white looks better than any colored top with this particular print. i am going to try it on one more time and make a definite decision.</t>
  </si>
  <si>
    <t>Sporty and chic</t>
  </si>
  <si>
    <t>This top will be perfect for autumn and even winter down in the southeast. i purchased the "red" and hoped that it was more of a rust color-lucked in! the material is very soft and more on the thinner side for layering-which is alway a plus. i have spare tires in my belly area and this does not grab aholed of them,in fact the stripes do the work and disguise! and the lace up nautical feel brings the attention to my money maker! you won't be disappointed</t>
  </si>
  <si>
    <t>Great little top</t>
  </si>
  <si>
    <t>I ordered this on a whim during retailer days sale and i'm glad i did. it's now one of those shirts that calls my name every morning. i've worn it with denim skinnies and a knee length black knit pencil skirt. so soft and flattering. i got it in the red, but am tempted by the blue!</t>
  </si>
  <si>
    <t>Comfortable, stylish, 70's relived.</t>
  </si>
  <si>
    <t>These pants are 100% true to size (whatever that means anymore...i'm a 26 in paige and ag.  i'm 5''6, weigh around 115, have long legs and i ordered the 0p.  the zero petite are still a little long, with a slight heel they're perfect.  they don't have stretch in them, but do to the fit and fabric...the material does expand, because they're thin and breezy.  i absolutely love them.  can't wait to order other colors of the same style.  these are my new favorite pants.</t>
  </si>
  <si>
    <t>Wonderful skirt</t>
  </si>
  <si>
    <t>I ordered this skirt online in a size 8 but returned for a 10 so it could sit a bit lower.
the fabric is so beautiful and a bit heavier so it can be worn all year long.
so glad i made this purchase.</t>
  </si>
  <si>
    <t>Long pocket equals short leg</t>
  </si>
  <si>
    <t>The wide leg was fun, not too wide, but the long pocket seem to shorten leg so i returned. great for a taller person. bottom &amp; trim cute</t>
  </si>
  <si>
    <t>Better than in the photo</t>
  </si>
  <si>
    <t>Don't pay attention to the less-than-flattering photo. these jeans are super cute and very flattering. they are actually long, not ankle length as the photo implies. high waisted with a 70s bell bottom vibe. nice light denim for year round wear. they fit like a dream.</t>
  </si>
  <si>
    <t>I got this skirt in the dove grey, which is a lovely shade of light grey and silver. it has one layer underneath that is a sparkly silver netting which is really pretty that you can't see in the photo. the other layer is the grey netting. it has a very soft light grey silky cotton liner. i got the petite xs and it fits just as it should. i'm 5'3, 102. the skirt looks just as it is pictured, i think it can be dressy or dressed down a bit. very very pretty and well made. i'm happy with the purchas</t>
  </si>
  <si>
    <t>Great, great top</t>
  </si>
  <si>
    <t>Really loved this - so soft and snuggly. was unsure about ordering shirt size - (s) or jacket size for layering (m). ordered a small. fits perfect! definitely wouldn't have wanted the medium. 5'4, 135 lbs for reference. love this one!!! great find.</t>
  </si>
  <si>
    <t>Love these jeans! they are the perfect relaxed fit; not too baggy, and a straight style. i did size down, because i wanted to wear them as shown. i was afraid that they would ride too low on my hips. glad i did! i usually wear size 29/6 and took a 28 in this pair. the color and denim weight is also great.</t>
  </si>
  <si>
    <t>I ordered this dress for my daughter. she wore it to a wedding and it was beautiful. looks just as it does in photo. fabric is a nice weight and hangs great. my daughter had her hair done and look right out of an retailer catalog. well made true to size beautiful dress!!!!!!!</t>
  </si>
  <si>
    <t>Love love love</t>
  </si>
  <si>
    <t>Layered this with a chunky sweater and a pair of kicks. it can be low key or dressed up with a pair of heels, multi-functionality not just occasional. it&amp;#39;s feminine, funky, and fabulous!! i bought the last one in the store!</t>
  </si>
  <si>
    <t>Lovely prints</t>
  </si>
  <si>
    <t>I saw this skirt online and went to the store immediately to try on. i was a bit disappointed. the size is tts but the prints were prettier online. the material is ok. the regular is long so probably won't look good on a shorter person
if it is still available when the price comes down, i might buy it.</t>
  </si>
  <si>
    <t>Great colors!</t>
  </si>
  <si>
    <t>The colors are richer than shown- very vibrant. this piece is very unique and everthing that i love about retailer! i usually wear a medium in jackets and vest. i tried the small and there was very little difference from the small or the medium fit, so i went a size up, just for a looser look. it is very flattering and will be a great addition to my fall wardrobe!</t>
  </si>
  <si>
    <t>Layer cake</t>
  </si>
  <si>
    <t>An interesting design in a high-quality garment.  fits true to size on me and is great for layering.  very soft knit with the drapey attachment and a collar you can adjust to look the way you want. i feel lucky that i got this on sale but i would've gladly paid full price since this is a three season piece.</t>
  </si>
  <si>
    <t>Great quality but...</t>
  </si>
  <si>
    <t>I was so excited to receive these jeans. typically, wide leg jeans are a no brainer for me--super flattering and in chambray, i thought, they would be stylish and comfortable. but i found these to be verging on mom jean. something about them seems not so cool. maybe the color of the wash, the weight of the fabric? not sure, but they don't lend themselves to current looks. sadly, i will be sending them back.</t>
  </si>
  <si>
    <t>Perfect tee!</t>
  </si>
  <si>
    <t>I bought this tee in all 3 colors, and wish there were more!  fabulous quality, material and style.  can dress up or down; wear with jeans, pants or skirts.  wear alone or layer.  don't miss out on this addition to your wardrobe!</t>
  </si>
  <si>
    <t>Chic and classy</t>
  </si>
  <si>
    <t>I'm very short and thus not usually into maxi skirts since most of them make me look frumpy, but i ordered this skirt based upon all the great reviews. this skirt is more amazing in person. at first, the material feels a bit stiff and the gold is a lot more shiny in person. but, as usual, moulinette knows how to put things together. when worn, everything comes together, the pleats and the length flow beautifully and the gold shimmers in a subtle way. the skirt runs large (i'm 34b, 26 waist, 36 h</t>
  </si>
  <si>
    <t>Very nice</t>
  </si>
  <si>
    <t>Sits at waist, length is perfect for petite, quality is very good, looks very nice on me, very recommend</t>
  </si>
  <si>
    <t>Funky fit</t>
  </si>
  <si>
    <t>I found these to fit odd. i am also use to wearing the skinny jeans so trying a wide leg was a bit weird anyway. the placement of the pockets and the way it hit my waist was awkward and not flattering. i am usually a 8/10 and the 8 fit but just did not look good.</t>
  </si>
  <si>
    <t>Cute jeans! flattering and slimming. tts. the cut of the top makes my butt look flat, but oh well, they are super comfy. they are not as short on me as they look on the model. i'm 5;9"</t>
  </si>
  <si>
    <t>Stunning!</t>
  </si>
  <si>
    <t>Love it! the pants is absolutely beautiful, rich material, it's not your cheap jogger!
i am really considering buying a second pair just in case i used my a little to much.
fits perfect, i am 5'4" 114lbs and purchase the regular small.</t>
  </si>
  <si>
    <t>Pretty, but already piling</t>
  </si>
  <si>
    <t>I loved this dress and it fit great on me: 5'7, 115 lbs, wore an xs. it was a little tighter than i wish, but the s would have been too loose. unfortunately, when i received the dress the arms were already pilling. it is made of a mix of polyester, and while it's machine washable (yay), i can imagine this dress would be pilling very easily, and i wish the fabric was a higher quality for the price, so i returned it.</t>
  </si>
  <si>
    <t>This coat is gorgeous but it runs huge! i am typically a s so that is the size i purchased and it was swimming on me. i sadly had to return for an xs so fingers crossed it fits. the coral color is gorgeous and looks nice with my olive skin. very unique coat and as long as the xs fits i will be one happy lady.</t>
  </si>
  <si>
    <t>Great jeans</t>
  </si>
  <si>
    <t>Purchased these jeans in a 27 and i am usually a 28 in skinny jeans. i got the 26's on but they were snug. these jeans are so comfy and sit higher on the waist. great jeans!</t>
  </si>
  <si>
    <t>Gorgeous!!</t>
  </si>
  <si>
    <t>I purchased the coral version, and the color is wonderful and vibrant. it fit my daughter beautifully, and she is 5'10". i think she will be wearing this coat often, she loves it!!! she is 23 years old and has a professional job, so she will look the part.</t>
  </si>
  <si>
    <t>I'm in love, i'm in love.
this dress was gifted to me, because i was gawking at it so often. i love it!!! i am petite, 5'3" 118 pounds and i could do either the small or extra small. the small was a little more comfortable, because the extra small was a bit tight in the arms-but i went with the extra small anyway. in both cases the neckline showed a small amount of tasteful cleavage and i felt like a model with how many people complimented me on it. many people even took the extra step in compl</t>
  </si>
  <si>
    <t>Cute, but no sale</t>
  </si>
  <si>
    <t>The dress arrived with a few snags and the fabric already pilling. the fabric will only get worse with wear. return. cute concept; poor fabric quality.</t>
  </si>
  <si>
    <t>Pretty pattern, weird texture</t>
  </si>
  <si>
    <t>I love the design and pattern of this top. it runs big so an xs was roomy on me but still cute. the neck is wide. i returned it bc the material of the top isn't for me. the texture is too soft.</t>
  </si>
  <si>
    <t>Lovely and flattering</t>
  </si>
  <si>
    <t>Very comfortable dress, with a gorgeous pattern. it comes with a self liner in navy that is very smoothing - i was worried a figure hugging sweater knit would be unflattering. cut is perfect. i'm a size 10/12 on top and 12/14 on bottom, and the m was the best fit. the neckline is a deep scoop so if you are not busty it may come down too far for comfort.</t>
  </si>
  <si>
    <t>Not flattering on</t>
  </si>
  <si>
    <t>I was so excited when this dress went on sale.  it is very soft and the print is so distinctive.  it is super comfy but not slimming or flattering at all.  i am a curvy girl,  wear a medium 8/10 and this made me look so wide!  the skirt is quit full,  a small would have fit but the top was tight.  so disappointing.</t>
  </si>
  <si>
    <t>This top is stunning. the colors are vivid and it is extremely cozy and soft. however it seems delicate and would need to only be worn once in a while. it is not an everyday top. the material has a cotton candy like appearance. it really is unique and one of a kind.</t>
  </si>
  <si>
    <t>Awesome skirt</t>
  </si>
  <si>
    <t>I love this skirt. i was happy with the quality of the fabric and style. i originally ordered a small, but returned and exchanged for a medium, which fits great. (i typically wear a size 6-8 in pants). i look forward to wearing this skirt to work this fall.</t>
  </si>
  <si>
    <t>Shorter than expected</t>
  </si>
  <si>
    <t>After reading the reviews i placed an order because it was the only top that caught my eye on the entire price downs. lately all my usual l/10 sizes from retailer turn out huge so i ordered a size smaller from what i usually wear. all would have been ok if the top wasn't so darn short. for reference i'm 6 ft tall, 160 lb. it's weird that this top looks completely the opposite of the model on the photo, from a loose looking fit with longer sleeves looking like a stylized sweatshirt that is not what</t>
  </si>
  <si>
    <t>Little green riding hood</t>
  </si>
  <si>
    <t>Was looking for a replacement coat and saw this lovely. tried on large but was more roomy than needed, even for a coat. tried petite version but found it too short for my taste. decided on medium in green and cannot complain. comfy &amp; stylish. more car coat than main winter coat. have been wearing it daily over light layers so far in our mildish nw winter.</t>
  </si>
  <si>
    <t>Great dress for all occasions</t>
  </si>
  <si>
    <t>Another great dress by retailer. i've worn it with tall boots with heels, riding boots and booties...all look really good. i've also added a cream/beige cardigan and even a fuzzy/furry vest. very versatile. the only few things that i would have liked even more is that design of the dress be actual stitching and not just a flat print and also the material does shrink a tat when you wash it. it's a staple and keeper.</t>
  </si>
  <si>
    <t>Love these for fall!</t>
  </si>
  <si>
    <t>These are both adorable and practical?they're versatile enough to dress up or down, and they are just warm enough for fall temperatures. these will definitely be my go-to tights this season.</t>
  </si>
  <si>
    <t>Luv! so comfy</t>
  </si>
  <si>
    <t>Luv these jeans! they felt so comfy the first time i put them on. it's like butter! i'm a 26 but went down a size and wear a belt. they said they r high rise but i can't see how - but no complaints as i can breathe in them :)</t>
  </si>
  <si>
    <t>Soft and unique but short sleeves</t>
  </si>
  <si>
    <t>Love this! easy to dress up and down, has a great length on the torso but the sleeves are about 2-3 inches from my wrist bone, i see why the model has them pushed/rolled up- which is how i wear the shirt now too. but then it's hard to layer under a coat.</t>
  </si>
  <si>
    <t>This is an absolutely gorgeous dress that stands out everywhere i go. it runs true to size and has a slimming effect because of the detail running down the sides.</t>
  </si>
  <si>
    <t>Shapeless</t>
  </si>
  <si>
    <t>5'1'' 43-31-43. i really wanted to love this coat: the material is nice, the green color is dark and rich, it has a hood. however, the cut is bad for me (and probably a lot of other people). the shoulders were cut too wide and impeded movement, and the bust and hips were cut too tight, overall it was just boxy. i have another boiled wool coat that i bought at retailer about 7 years ago and though it's cut oversize like this one, it has a much fuller sweep, so the proportions still seem right. also</t>
  </si>
  <si>
    <t>Divine and comfortable</t>
  </si>
  <si>
    <t>First, i've been in love with this dress for months. when it went on sale i absolutely had to have it! i'm 5'4" and 150 pounds and typically wear large stuff from retailer but after reading other reviews i decided to get the medium. it's more generous than i expected and wonder if i could've even gone with a small. i might try a belt. either way i'm very very happy with the dress. the sleeves are not too long - and i didn't get the petite because i wanted the length in the skirt. the lining makes</t>
  </si>
  <si>
    <t>Must try on</t>
  </si>
  <si>
    <t>The sweater coat is a must try on! it's a great fall to winter coat, that you can leave on all day if you need. i bought the dark green, which is very dark yet gorgeous and have the beautiful coral saved in my cart as well. i am 5'5", 135lbs, 34c, ordered the size small and have plenty of room (did not want it tight and wanted to be able to wear over thick layers).</t>
  </si>
  <si>
    <t>Just purchased this coral coat today. the color is beautiful. the quality is excellent and the coat itself is lightweight,great for travel. great purchase and would recommend buying. going to new york and can't wait to wear it . love, love this coat</t>
  </si>
  <si>
    <t>Pretty color, nice fit, fun t-back</t>
  </si>
  <si>
    <t>I guess this is a true to size, i am usually a 30dd and ordered 32d, fits great. the back is really pretty, so even though it is a tiny bit looser, i decided to keep it...</t>
  </si>
  <si>
    <t>Loose waist</t>
  </si>
  <si>
    <t>I tried these on as a return at my store and sadly, they fit great everywhere ecept at the waist. i had almost 2 inches gaping at the waist... my usual size. the rest of the pant was absolutely awesome though. for reference, i tried n a 25 and am 115 lbs and short... bummer htey don't come in petite or 24...</t>
  </si>
  <si>
    <t>Want go get another in a diff color</t>
  </si>
  <si>
    <t>Saw this in store in coral color and new i had to try. love. it's the perfect, cozy cute sweater, color is beautiful and fit is great. i am 5 5" 135 lbs and i tried both the small and extra small. i went with the xs for a more flattering fit. i love it.</t>
  </si>
  <si>
    <t>Soft but boxy</t>
  </si>
  <si>
    <t>I love the feel and design of this pullover. it is extremely soft and comfy to wear. however, i did find that it runs slightly large, is a bit boxy and the sleeves are a bit lengthy. probably not the best for a petite frame. i am trying to decide if i should keep it though simply for the softness and ease of wearing that it provides.</t>
  </si>
  <si>
    <t>Disappointing fit!</t>
  </si>
  <si>
    <t>I originally got these in a 29 petite and thought they fit great right out of the bag (i'm usually a 6/8).. and within an hour of wearing them (to retailer, actually), the knees had gotten so baggy that they looked absolutely ridiculous; i've never had jeans do this. the salesperson at retailer agreed that they seemed very odd. i exchanged for a 28p at her suggestion, and i just hate them. i'd say the smaller size seems every so slightly small, but nothing major - but the waist actually folds over a</t>
  </si>
  <si>
    <t>Super comfy but very boxy</t>
  </si>
  <si>
    <t>I love this as a lounge-at-home top. the colors and pattern are really pretty, it's soft and warm. very comfy and cozy. but it's also boxy and thick so not a flattering cut.</t>
  </si>
  <si>
    <t>This skirt is not what i was expecting at all. for starters it runs large, i expected it to sit at the natural waist and it is definitely made to do so, but it was a good two inches too big and therefore wouldn't lay flat and gaped at the front. no bueno. my biggest gripe, though, is that the color looks nothing like it does in the picture. they have it paired with an ivory top and the two look like they match so well but do not be fooled, the background color of this skirt is not even close to</t>
  </si>
  <si>
    <t>I really did not need another coat at all, but i couldn't resist. got it in green - it's dark and woodsy,something robin hood and his merry men could wear in the forest to look and feel their most stylish. the structure is just right - this coat is soft, cozy and fluid, but also tailored enough to wear in a business casual environment... equally well-suited to wear on winter eve dog walks, to a football game, or at the coffee shop for a latte at an outside table. works with most of my wardrobe -</t>
  </si>
  <si>
    <t>The fabric is heavy</t>
  </si>
  <si>
    <t>I wanted to love these pants, but they were larger than i expected and the fabric is very heavy. almost like a thick sweater.</t>
  </si>
  <si>
    <t>It pills a little under the arms and picks up lint, but it's totally worth it. this is a fabulous sweater coat. i receive compliments on it wherever i go. so cozy, warm &amp; delicious. not too hot to wear indoors either. it's breathable. love it. bought in green during black friday sale. highly recommend.</t>
  </si>
  <si>
    <t>Omg - wish it came in more colors,,</t>
  </si>
  <si>
    <t>Beautiful fit</t>
  </si>
  <si>
    <t>This dress has a beautiful fit; eyed it for awhile--snatched it up at the dress sale! only drawback was the edging around the neck; on some, the cream-patterned fabric was used and it was distracting. hunted around at stores, but ended up getting lucky with online purchase.</t>
  </si>
  <si>
    <t>Absolutely beautiful. as soon as i saw the color i had to have it. looks great. i am 5 ft 2 in the color is beautiful. excellently made. very comfy. hood is not bulky</t>
  </si>
  <si>
    <t>Very cheap looking material. looks cheap to cost $158.</t>
  </si>
  <si>
    <t>Finally jeans for curves!</t>
  </si>
  <si>
    <t>I've been a fan of the pilcro chinos for years but the jeans have not been the right fit for me - usually wind up too big in the waist to accommodate the hips. well the em is aptly named as they are made to fit a girl! ! i usually wear a 29 and the 29 fit comfortably and i could probably even go down a size. thank you retailer - please make more in this style!</t>
  </si>
  <si>
    <t>A winner!</t>
  </si>
  <si>
    <t>What a well-designed dress! the cut is a slight a-line without adding bulk and the pattern is very slimming. the lining makes this a pretty good option for cooler weather. the neck is pretty wide, as others have noted, but i find that a heavy cream colored scarf is a pretty good accent. it does run a little large. i'm 5'5"/130lbs and went with the xsp.</t>
  </si>
  <si>
    <t>Cozy comfy beautiful top</t>
  </si>
  <si>
    <t>I was initially attracted to the colors</t>
  </si>
  <si>
    <t>Warm and cozy</t>
  </si>
  <si>
    <t>This coat is a perfect fall to winter transition coat. it is surprisingly warm in 50 degree weather, so i'm sure it will be warm enough in 30-40 degree weather with some added layers. the only thing to note is that it is unlined and the material is soft so it may be prone to pilling. can be worn casually, to work, and dressed up.</t>
  </si>
  <si>
    <t>Great dress!</t>
  </si>
  <si>
    <t>I tried this dress on in the store and ended up ordering it online during the dress sale. it is extremely flattering and really accentuates the waist. it is very comfortable, and made of a nice, soft fabric. i am a 34a and it just barely reveals a tiny bit of cleavage so i don't find the neckline too low. i plan to wear it with tights and booties. i am 5' 4" and the regular xs comes to a bit below my knees. going to enjoy wearing this lovely dress!</t>
  </si>
  <si>
    <t>Love this sweater!</t>
  </si>
  <si>
    <t>This is way cuter in person than on model. it is a super soft and fluffy sweater. the colors are so pretty and feminine. i received it as a christmas gift and have already worn it twice. it's perfect with skinny jeans and ugg boots. i vary between xs and small in retailer sweaters. this is a bit boxy so i sized down with the xs and it fits perfect!</t>
  </si>
  <si>
    <t>Washed out looking</t>
  </si>
  <si>
    <t>The colors in this dress are much less vibrant in person. the scoop of the neckline is very wide and deep. i know others have posted that this is a great dress for work, but not in my workplace.</t>
  </si>
  <si>
    <t>I adore this hooded boiled wool sweatercoat in rich, deep green. quality is great aside from the buttons being sawn on very loosely. it's a great outer layer in the warm northern california fall/winter. i'm wearing it today with a short sleeved boiled wool dress in burgundy for pre-christmas eve cocktails and feeling classy, festive, cozy, and warm.</t>
  </si>
  <si>
    <t>Soft and flattering</t>
  </si>
  <si>
    <t>Every year i'm excited when the weather gets cool enough for sweater dresses. i love this one, with the longer length, slimming fit and pattern placement, and cozy soft fabric. delightful, inspires reveries of castles and legends (yes i looked up what "eira" stands for and went with it). highly recommended. fit is generously tts.</t>
  </si>
  <si>
    <t>Soft, flattering, warm and versatile!</t>
  </si>
  <si>
    <t>I adore this sweater coat! i first bought the green color in my normal size online on a whim mostly due to the positive reviews. i was not disappointed at all! this sweater coat is soft boiled wool.. the green color is a deep forest that looks incredible with black, grays and berry colors.
the fit appears to be magical. it manages to be both roomy and figure flattering, which is tricky with my figure (hourglass). i tend to need a defined waist, but somehow this coat manages to be very slimming</t>
  </si>
  <si>
    <t>My holiday dress</t>
  </si>
  <si>
    <t>This sweater dress is lovely, quirky and comfortable. because i have broader shoulders, the neckline was perfect on me, although i probably will end up wearing a scarf to keep my neck warm! the dress skims in a very flattering way. at first i was dissapointed it wasn't more formfitting, but it drapes very nicely. (i usually wear a size four in dresses and chose the small in this dress which was best i think.) it has a built in slip that is a bit flimsy, so i will probably wear a long silk one th</t>
  </si>
  <si>
    <t>Cute and comfortable! i loved the colors and how soft the shirt is!</t>
  </si>
  <si>
    <t>In love</t>
  </si>
  <si>
    <t>So different than anything in my closet. it's wide with a beautiful drape. fabric is soft but substantial. it has the cutest coral color lining the placket and inside of the lower sleeves. i sized down to a medium and could have gone to a small but i love the length and drape which might not translate in fit in the smaller size. so cute on.</t>
  </si>
  <si>
    <t>Close but not quite right</t>
  </si>
  <si>
    <t>I really like these jeans, but order a size down. i'm typically a 14 and these were just too big. they stretch as it is and although they should have a baggier fit, they are just too baggie.</t>
  </si>
  <si>
    <t>Amazing!</t>
  </si>
  <si>
    <t>This jacket is worth every penny! it is light enough to wear when like 55/60 out or good when it is in the 40s with a sweater underneath. the fit and design of the coat is amazing! i love the full collar look - that's my favorite detail of the jacket. loved the green so much, i bought the coral too! i normally wear a 12/14 in clothes and the large was perfect!</t>
  </si>
  <si>
    <t>I ordered this coat in the "pink" color. actually, it is a coal color (papaya) and will be wonderful with gray, black, khaki, and great with animal print accessories. the fit is just as it looks online, no surprises. this coat is attractive buttoned or unbuttoned. the collar is just as attractive buttoned as unbuttoned. the boiled wool is light weight and has some stretch to it. (much softer than the boiled wool geiger jackets, for anyone who remembers them)
one concern: since the wool is light</t>
  </si>
  <si>
    <t>Sweater, not a coat.. but amazing</t>
  </si>
  <si>
    <t>Here's the thing: this is a sweatercoat. it's not a coat. it's not something i'll be able to wear independently by the end of november, though i'm enjoying doing so now. it's boiled wool, and not lined, and though it's cozy and warm enough for a morning walk to the train in the high 40s, its role is going to end up being a mid layer. i'm also enjoying wearing it over both dresses and pants at work, serving as a kind of cardigan/blazer combination.
i purchased the pink, which i saw online first a</t>
  </si>
  <si>
    <t>Best jeans ever! it's so hard to find a good petite jean. you shop and shiop and then pay $30 more to get them altered. the fit and length on these are perfect. love, love, love!!!</t>
  </si>
  <si>
    <t>I really like the sundry brand. however. this is thin and to me out of character for an retailer tee. it look adorable in picture. however the coloring is way off. the navy is almost black it's so dark and the kaki stripe is a green. it's nothing like i had hoped it would be. fabric in very thin and more like a pajama top. so disappointed. it will go back. i do not make it a habit to bash a product. however with tax, shipping and 83.00 price tag. 103.11 is absolutely terrible.</t>
  </si>
  <si>
    <t>Comfortable but not exciting</t>
  </si>
  <si>
    <t>This is a comfortable sweater dress, and the quality of the material seems good. the solid blue strip down the front makes it look very bland. i think it would need some dressing up with a necklace or scarf. i decided to pass.</t>
  </si>
  <si>
    <t>I ordered this in the orange color from online. they were sold out of petite so i ordered medium (regular). i liked it, but just not flattering. i am 5'2" and the coat was too big. sleeves were past my hands. i think because i'm "curvy" the straight cut of coat would not have looked good on me in a size small. it was a nice coat, just not for me.</t>
  </si>
  <si>
    <t>Received these as a christmas gift from my daughter. just wonderful - warm and cozy and cute. size m is just a tad baggy; i'm sure i could have worn small, but no matter. i wear these often and love them! such a treat!</t>
  </si>
  <si>
    <t>Gorgeous!!!</t>
  </si>
  <si>
    <t>Every year around this time, our beloved retailer comes out with a wool sweater coat. i've seen every style over the last five years and this year they have outdone themselves!!! this coat is a dream. not too thin and not too thick...it's the perfect layering piece. the fabric has perfect stretch in it. the colors are lovely (i ended up with the cream color, but i loved the green too!!) in many sweater coats i prefer an xl, but because of the stretch the l was just perfect. i'm 5'8 and it hits wel</t>
  </si>
  <si>
    <t>I tried on this sweater in the store and immediately ordered my size. i got the petite small in natural delivered to my door several days later and am extremely pleased. the fit is roomy enough to layer, but not too large or boxy. the wool is fluffy and luxurious and has terrific appeal. i get compliments every time i wear it..."classic," "fancy," "jackie o." are all terms i heard used to describe my favorite new sweater. the coat is made from a medium weight wool and is probably not meant for e</t>
  </si>
  <si>
    <t>So soft!</t>
  </si>
  <si>
    <t>Super soft and comfortable. runs a little large. very cozy.</t>
  </si>
  <si>
    <t>Love this lightweight coat!</t>
  </si>
  <si>
    <t>Wear the collar down &amp; it favors grace kelly. pull it up and it's an oversized hood. this lightweight cozy piece combines everything i love about a sweater &amp; a coat in one.</t>
  </si>
  <si>
    <t>Soft &amp; warm</t>
  </si>
  <si>
    <t>Warn and super soft. love it !</t>
  </si>
  <si>
    <t>Love at first fit</t>
  </si>
  <si>
    <t>Love the high waist, prewashed softness, and relaxed fit. i normally wear a 27 in pilcro but sized down to a 26. for the first time in ages i have a pair of jeans that won's slide down because of the high waistline. i would never tuck anything in so it doesn't matter that it's high waisted but i don't have to worry about them sliding down over my muffin top. worth every penny.</t>
  </si>
  <si>
    <t>Nice quality</t>
  </si>
  <si>
    <t>Nice jeans, but had to return. too tight in hips/thighs and big in waist.</t>
  </si>
  <si>
    <t>Too much for this sweater</t>
  </si>
  <si>
    <t>Im 5'1" and about 110lbs. ordered the small because i do have some curves- it was huge- more like a large and didnt have much structure at all. the wool was very soft and stretchy. and like others have said- kinda orange- not true coral color. it fit me like a throw blanket- its going back for sure. might purchase again if the petite xs is back in stock and on sale- this should def be under $100.</t>
  </si>
  <si>
    <t>Super comfortable but big</t>
  </si>
  <si>
    <t>I am 5'8 154 pounds and ordered a medium. the coat is a bit bigger than expected and should have gone down a size. i'm keeping this size however because it is incredibly comfortable, roomy and perfect for mild winters. the wool does keep you warm in 50 degree weather.</t>
  </si>
  <si>
    <t>I saw this and tried to wait for it to go on sale, but it sold so fast, i wanted the black and i check everyday until they had my size, i love this coat main because of the wait it goes around the neck since i am not a scarf person, this is very cute, im glad i got it, even at the full price.</t>
  </si>
  <si>
    <t>Love. love. love</t>
  </si>
  <si>
    <t>These joggers are gorgeous--you can even dress them up! the quality and softness is amazing and very expensive looking. the fit is perfect not to mention the fact that they are very flattering.
really, i knew the minute i saw them, i would love them. but, i do have to say that the lovely model
wearing them ---the model with the wine colored shirt and the awesome red bag (i bought that too!!!)and that big smile sold me!. many thanks to retailer--personal stylists carolyn and blair. always so helpfu</t>
  </si>
  <si>
    <t>Warm</t>
  </si>
  <si>
    <t>I love sweater knit dresses and this the first one i've owned with a flare style that works. pattern placement is gorgeously done and is very slimming in a non-obvious way. i think the fabric is soft and warm. i wish the scoop neckline was a tad bit higher from a modesty standpoint. you may want to size down if you're not busty. i am 5'3" and m petite was the perfect length on me. shout out to the reno distribution center for getting this amazing dress to me in 1.5 days?!?!?!!!</t>
  </si>
  <si>
    <t>Owned in 3 sizes 3 colors all great</t>
  </si>
  <si>
    <t>I have this wonderful sweater coat in three sizes (s,sp,m) in the coral, green</t>
  </si>
  <si>
    <t>Oh my goodness! i just received this coat tonight. i love it! it is beautiful and stylish. i got the green which is amazing. i'm 5'2" - weigh 115. ordered both s and xs. i'm keeping the s - more room in case a heavier sweater. get this! it's a classic! you will smile!</t>
  </si>
  <si>
    <t>Strange and wonderful</t>
  </si>
  <si>
    <t>I wasn't sure what to expect with these pants. i couldn't figure out from the pictures what the material would actually be like. is it jersey? is it french terry? is it more traditional sweatshirt-type material? nope, turns out, they're like wearing pants made out of a fuzzy, flecked sweater. or like the thickest, loosest sweater-knit tights ever. surprise! they are the strangest pants i've ever owned, for sure, but i actually really like them. they're super comfortable and cozy warm. slightly i</t>
  </si>
  <si>
    <t>Bautiful lines</t>
  </si>
  <si>
    <t>This dress hung so nicely on my figure (small up top, bigger in the hips) that i couldn't pass it up. the lines are more flattering in person than in the photos. it might run a little small...i'm normally an extra small, but it was a little snug in the arms. however, the small was too big, so i would suggest sticking with your usual size. the saleslady said would stretch a little. i would have loved to try a petite, but the store didn't carry petite sizes. it will be my go-to holiday dress.</t>
  </si>
  <si>
    <t>Best to try on in store</t>
  </si>
  <si>
    <t>I coveted this item since i first saw it on instagram. i finally bought it in coral. it's a beautiful coat, the color is lovely and i like the way the hood makes a cute collar when worn down. the only problem is it looks like a bathrobe on me. i am 5'5" and wear a size 8. i bought a medium, worried a small would not button. the sleeves are far too long. i do not want to go through the trouble of returning, so gave it to my daughter who is four inches taller. it looks cute in her.</t>
  </si>
  <si>
    <t>Cozy cut</t>
  </si>
  <si>
    <t>Love this as a lightweight coat for cool to cold days. i love the squishy soft feel of the material. it works well with sweaters. love the deep pockets which works with my iphone plus and wallet. i love how simple and practical this coat is. the hood when not used as a hood makes a nice collar for the neck and head.</t>
  </si>
  <si>
    <t>Slimming, cute</t>
  </si>
  <si>
    <t>I have broader shoulders and thick arms, this dress does an amazing job slimming my arms and not making me appear top heavy!
i'm 5'4 125 lbs, the xs fit perfectly</t>
  </si>
  <si>
    <t>Beautiful design but not great quality.</t>
  </si>
  <si>
    <t>I'll start with saying that it's a beautiful coat- i get tons of compliments and love the color. it runs a little big but it's meant to have to a slouchy, oversized quality to it. my only complaint is that i've had it for about 3 weeks and already one button has completely fallen off and the two inside fasteners already feel loose and very delicate. there's no extra buttons to replace the old one with and i'm worried more of the coat is going to fall apart. super bummed about the construction qu</t>
  </si>
  <si>
    <t>Worth every penny!</t>
  </si>
  <si>
    <t>This bra is so well made and fits beautifully.</t>
  </si>
  <si>
    <t>Snapped this sweet puppy up at my local retailer-in the sale room!!!!! it is beyond fabulous and the coral color is divine!!!! brightens up the drearriest of days-i did size down. i am short and the small sleeves were way too long on my 5ft3in frame. it runs a bit large but if you were to wear a heavier something under it i could see getting your "normal" size. the quality is great and the style is just lovely. great jacket-love love love</t>
  </si>
  <si>
    <t>Beautiful coat</t>
  </si>
  <si>
    <t>Love this coat - great fall piece! i bought the green color and it looks as shown in the picture. great retailer purchase!</t>
  </si>
  <si>
    <t>I bought it to mainly wear as a coat but i think it'd be great with some leggings and boots as well. if you want a more structured look go a size smaller. i plan on wearing this more as outer wear so i went with large. the coral is beautiful</t>
  </si>
  <si>
    <t>Cute tunic</t>
  </si>
  <si>
    <t>This tunic is very nice. flattering, good design, worn in winter and spring, and fits well. i have a curvy figure, and this fits well. i wish it came in more colors.it does show flaws slightly but fits well and is stretchy.</t>
  </si>
  <si>
    <t>Misleading picture!</t>
  </si>
  <si>
    <t>The top i received was large, really long in length, pockets in the front along the seam, and lots of volume in the back without any princess seams to give it shape. the id #'s matched, but that's about it. returned!</t>
  </si>
  <si>
    <t>Cozy, flattering, and practical</t>
  </si>
  <si>
    <t>At first, i thought this sweater might be too boxy, but fastened at the waist, it's very flattering and the collar is face-framing, and the coral in particular (really more of a mango sorbet shade) is unexpected but cheery for winter.
but the big selling point is the warmth and the giant pockets. brought a new puppy home just after christmas, and this sweater is perfect for layering for late- night trips out with an easy place to stash my phone and treats. bought it in coral and pink.</t>
  </si>
  <si>
    <t>Great sweater!</t>
  </si>
  <si>
    <t>I love this sweater! pros: great shape (it's supposed to be a little oversized looking), great color (i have the ivory and it's beautiful), and fits well (the sweater looks boxy until you put it on and it flows in all the right places). the sweater is not soft. that is my only con. it looks so soft in the photos, but the sweater i received is not at all soft and cozy. it is warm. it will be great for the winter - great pair with leggings, skirts or just jeans.</t>
  </si>
  <si>
    <t>I love this dress. will be wearing it for the first time tomorrow. it fits well. the neck line is a bit low on me. i think it would look best on someone with more of a chest than i have. i will be wearing a winter white infinity scarf with it (as shown on model). i am 5' 6.5" and 120 lbs and the small is just right.</t>
  </si>
  <si>
    <t>Best sweater jacket!</t>
  </si>
  <si>
    <t>Love this sweater jacket! super comfortable and warm. i am 5'2 and i got a xs petite. it fit perfectly both in length and in the sleeve. the green color is super rich and is perfect for the season. it's easy to wear it up and wear it down. i appreciate that it's not super bulky, which was what i was afraid of. my favorite jacket of the season so far.</t>
  </si>
  <si>
    <t>Not for every body type</t>
  </si>
  <si>
    <t>I am 5'6", 130 lbs with an athletic body type and i ordered a size small. these were really baggy in the thigh/quadricep area and made my thighs look bulky. the fabric quality is very nice and i like the idea of them for curvier body types. my son commented that they looked like pajama pants and i agreed.</t>
  </si>
  <si>
    <t>Best for staright figures</t>
  </si>
  <si>
    <t>This is a beautiful dress but if you have any hips at all you may find it difficult to find the right size. i usually wear a 0-2 p and found that that the op was too snug on the bottom while the 2p was too loose on top. ( for reference 32-26-35). so if you are perfectly proportioned it could work for you.
also, note that this is a pencil dress....very slim fitting.....probably best suited for a cocktail party.</t>
  </si>
  <si>
    <t>Cute sweater!</t>
  </si>
  <si>
    <t>Purchased this sweater in the blue color which is a gray/blue. it runs large as the xs is still quite roomy on me in the body. although the arms are more snug. great quality.</t>
  </si>
  <si>
    <t>So happy i ordered this!</t>
  </si>
  <si>
    <t>I bought this as a birthday gift for my daughter, and i am so glad i did. the colors are beautiful, and the material is so soft. i'm sure she's going to love it!</t>
  </si>
  <si>
    <t>Wanted to love it, but just kinda like it</t>
  </si>
  <si>
    <t>So when i saw a sweater with a big llama face on the front of it, i knew it must be mine. i ordered it and eagerly awaited its arrival. while the llama print and color of the sweater are ah-mazing, the fit of the sweater leaves something to be desired. i'm a 36 dd and mostly a size l, so that's what i ordered. it wasn't snug, but it didn't have the cut to pull off the oversized drapey look, so the areas where it was loose looked...strange. the sleeves were really long too, but i could have rolle</t>
  </si>
  <si>
    <t>Lovely top</t>
  </si>
  <si>
    <t>I fell in love with this top (sweater) before it could even be ordered - was on model for pants that were available to order. in any case, i later ordered the blue motif online and the colors are even more beautiful in person. the blue also contains fibers of wine - so very pretty. the gray is a soft shade. the quality is lovely too. the only cons are that the seater is rather heavy, but should be great for colder winter months and the zipper on the back is quite conspicuous. however, that said,</t>
  </si>
  <si>
    <t>Comfy &amp; cute</t>
  </si>
  <si>
    <t>Love the feminine styling of a classic tunic tee! i'll wear it with black leggings this fall. super cute to wear casually or dress up a bit with some jewelry and/or a scarf.</t>
  </si>
  <si>
    <t>This top is full of amazing details. the photos really don't do it justice. it is very flowy and does run large but is so pretty and soft and in beautiful shades of blue. i bought a small and it is fairly long in back on my 5'5" frame but because of the detailing...it just works.</t>
  </si>
  <si>
    <t>Love this sweater</t>
  </si>
  <si>
    <t>Unlike the first three reviews, i loved this sweater. the colors were beautiful and i paired it with green cords. i did not find the sweater to be itchy but very comfortable. fits trus to size.</t>
  </si>
  <si>
    <t>Classically byron lars</t>
  </si>
  <si>
    <t>Great fit even for busty women. ordered an 8 because i usually need the room in the chest area on dresses.(36d-dd) fit nicely without being tight. might have been able to size down but i didn't want to risk being too tight. flattering especially on curves. nice for contemporary office or special occasion. if you like his designs, you won't be disappointed!</t>
  </si>
  <si>
    <t>Great blouse</t>
  </si>
  <si>
    <t>Love this top, purchased it in the coral color now i'm definitely wanting it in the blue since it is such a great blouse for transitioning into fall. the weight of the top it good since i live in south texas so definitely needing lightweight long sleeves for our weather. i'm sure when the time comes adding a long cardigan or blazer over it as needed for the cooler weather it will look great. fit true to size.</t>
  </si>
  <si>
    <t>Absolutely love this suit. the bottoms are very comfortable and covers everything id like it to. it does not ride up at all, which almost never happens with swim suits. i'm going to order this in a different color next season. i paired the bottoms with the peplum top and received many compliments.</t>
  </si>
  <si>
    <t>Awesome dress</t>
  </si>
  <si>
    <t>I just love this dress.  took me ordering a number of sizes- petite and regular to find the best fit.  i might still have the top altered.  i received a lot of compliements.  work it with some black leather wedges for daytime/work.</t>
  </si>
  <si>
    <t>I got the purple color and absolutely love it. i am 5'2" but decided against the petite size and i wanted it to be a bit longer. i also went with the xxs as the xs was a bit too loose on the arm. it was definitely a splurge to buy the sweater but it looked so lovely!</t>
  </si>
  <si>
    <t>Love the color! very soft. unique look. can't wait to wear it this fall</t>
  </si>
  <si>
    <t>Nice</t>
  </si>
  <si>
    <t>I got the rooster version and the colors are simply gorgeous.  i'm not so much into wearing a farm animal image, but the colors are just too striking to pass this up. the sweater is tts, but with a slightly baggy fit. i did not find it scratchy.</t>
  </si>
  <si>
    <t>Really cute and very comfortable. material is thin and sheer. i wear tanks under things anyway, but especially in pink, you would need to. but love the style.</t>
  </si>
  <si>
    <t>Cotton, cotton, love cotton!</t>
  </si>
  <si>
    <t>I love this sweater.  i am 5' 1" and tried on the petite in the store but ended up going with the regular size as i preferred the length.  the overall fit was the same.  i bought the blue which to me is the colour shown here, more a grey and purplish colour, beautiful for fall and much nicer than a straight blue.  i have worn it to work several times and always get a compliment.  this sweater is nice for all ages, it is soft, comfortable and versatile.  it might just be my go to fall sweater.</t>
  </si>
  <si>
    <t>Large and very wide!</t>
  </si>
  <si>
    <t>I ordered this in a small petite and medium petite , and i am a huge fan of a*k. i put tried on the sp. while it fit, it was very long, even for a petite. what i hated about it was that the piping on the top made me look very wide. even a long necklace wouldn't help deter the look. on a positive side, the blue was a very nice, cool color. i am usually a small to medium in a*k (6-8 in tops) and the small fit well in the arms/bodice, just too much fabric for me. returning!</t>
  </si>
  <si>
    <t>Flowy</t>
  </si>
  <si>
    <t>I have the blue color of this top and i love the color variation throughout. it looks very unique and it is going to be a great piece for late summer/early fall. the pleated look on the upper chest is very flattering and adds texture to the top. i am pleased with my purchase!</t>
  </si>
  <si>
    <t>This sweater is perfect for transitioning into fall as it is not too heavy. it's flattering and looks great with jeans.</t>
  </si>
  <si>
    <t>Interesting sweater, good quality</t>
  </si>
  <si>
    <t>I'm an xl but ended up buying this in a size large. i am very pleased with the interesting cable pattern that runs down the front. i also really like that this is cotton, and even though it is heavy and substantial, the thread gauge is a fine weight. while this says i can hand wash the sweater, i'm reluctant to because i'm worried that hand washing will end up stretching the sweater out of shape. i don't care for the heavy gold zipper running down from the neck, but my hair hides that. overall,</t>
  </si>
  <si>
    <t>Nice cotton sweater</t>
  </si>
  <si>
    <t>Bought this is the blue, which is actually a very grey-blue.  i love cotton sweaters and they are not easy to find.  this one has lovely colors and unusual design, but is a bit too full.  that said, i am keeping it for the cotton/linen factor, alone.</t>
  </si>
  <si>
    <t>Quality &amp; cut</t>
  </si>
  <si>
    <t>My perspective is as a sewer so i'm more picky perhaps. this top is poorly made. the fabric pattern is crooked or not consistent in each piece. sewers do this to save $ - squeezing the pieces on the fabric. it looks sloppy. the cut is very full; the bottom edge measures 104" around. for my figure, curvey, at 5'6" and 150lbs, this top is not flattering it looks maternity. perhaps best on a slim figure and with leggings.</t>
  </si>
  <si>
    <t>Not as great as the photos</t>
  </si>
  <si>
    <t>I love mixed media clothing, and this is no exception. i fell in love with this right away, and after being torn between the two colors, opted for the rose. it's very gorgeous in person - midweight and very soft. however, as soon as i put it on, i noticed the knit sides truly flare out; they don't lay nicely like on the model. it could be because of my large chest (36dddd), but everything below the chest seems to widen me. it might work better on someone with a straighter build or smaller chest.</t>
  </si>
  <si>
    <t>Beautiful casual top</t>
  </si>
  <si>
    <t>I've been looking for some new, casual tops and ordered this one for the sky blue color. i'm a size 6 and the small fits great. i don't find the blowzy style overwhelming. i am small boned but i'm 5'8", not a petite. i like it with leggings and skinny jeans ...a nice proportion. however, i can see how this cut may be too much on someone with a smaller frame. i really like it, however i see two drawbacks: the material is a bit thin for fall and it wrinkles very easily (not good for travel). this</t>
  </si>
  <si>
    <t>I got the pink version to layer with spring clothes. i always wear a medium, but sized down to a small based on the other review. the seams are very flattering. the material is very soft. on sale, the price is reasonable.</t>
  </si>
  <si>
    <t>Great tee but kind of short</t>
  </si>
  <si>
    <t>I love this tee but there is a lot of swing/ fabric so it can tend to make you look wide. also, i have a short torso to begin with but this tee is on the short side. i'm still undecided on whether i'm going to keep it b/c it's rayon/ poly and it's hand wash only. and i'm worried that one wash will make it shrink in length and it's already short. rayon knits have a tendency to shrink in length when washed so beware!</t>
  </si>
  <si>
    <t>Pretty but not for me</t>
  </si>
  <si>
    <t>This top reminded me of a maternity top. cute, but better suited for someone smaller chested.</t>
  </si>
  <si>
    <t>I love this shirt so much i am ordering the coral too! the weight of the material makes it hang nicely. there is a lot of material but it lends itself to the flowy style. i got many compliments of this top!</t>
  </si>
  <si>
    <t>Finally a flattering sweater!</t>
  </si>
  <si>
    <t>This sweater is perfect! finally a sweater that doesn't make me look like a huge box!
i bought the blue &amp; it has other colors running through it so i'll be able to wear it with chinos &amp; jeans. very pretty, flattering &amp; i think i'm going to be wearing this a lot.</t>
  </si>
  <si>
    <t>Great dress, not for me</t>
  </si>
  <si>
    <t>I love byron lars. very taken with his fabrics and design concepts and i have ordered several of his dresses but i believe i need to surrender to the fact that they do not work for my body type. the dress is gorgeous in person: all the fabrics are great, the dress is fully lined and lots of nice finishing touches. it is a unique and very striking dress; this one i really wanted. however, it is designed for a woman who is proportionally longer, leaner with a larger bust size than i have. i ordere</t>
  </si>
  <si>
    <t>Farm animal pullover</t>
  </si>
  <si>
    <t>Wanted to love this sweater for its beautiful colors and cute graphic, but the fit is uncomfortably small and it is so itchy i was yelling, "get it off" in the fitting room. bummer.</t>
  </si>
  <si>
    <t>Perfect in all respects</t>
  </si>
  <si>
    <t>True to size for petite person; bought in blue - subtle shading, looks great; paired with your blue straight leg blue "jeans"; perfect outfit for almost all occasions.</t>
  </si>
  <si>
    <t>I wanted to love this sweater, but......</t>
  </si>
  <si>
    <t>This is a beautiful sweater with deep rich colors. i purchased the blue motif. the problem is that the model(s) are small busted, which allows the side panels and front panel to lay nicely and swing in a flattering manner. i am 5'6'', 135 pounds and a 36d. i usually wear a small in antro tops. i purchased this online, and was excited upon it's arrival. when i tried it on, i was horrified. it looked like a babydoll maternity sweater on me. the front did not lay well (flat) at all from the chest d</t>
  </si>
  <si>
    <t>Upscale, unique sweater</t>
  </si>
  <si>
    <t>Spotted this beauty in my local store - hanging (grrr) which made it stretch out. note that it's made of linen, cotton, and acrylic, so it's not heavy, it's weighty. anyways, it seemed to run large just due to gravity, so i ended up ordering it so it wasn't all stretched out. it's got a beautiful a-line cut - perfect for us bottom-heavy gals. love the colored thread woven throughout. worth the extra $.</t>
  </si>
  <si>
    <t>Fun shirt!</t>
  </si>
  <si>
    <t>Okay this shirt is soooo comf. it is super fun and flowy. but it runs large. get one size smaller than you would usually get! so worth the sale price!!!</t>
  </si>
  <si>
    <t>Cute and comfy shirt! tts- got my usual m (i'm a 10) and it has a generous fit but i think it's supposed to. it's actually a silver grey color.</t>
  </si>
  <si>
    <t>Lovely surprise</t>
  </si>
  <si>
    <t>I would highly recommend this top. i usually wear a small petite. but returned the top for an xs petite which fit perfectly. there is a lot of fabric, but if you size down it wasn't an issue for me. i weigh 120lbs and am 5 feet tall. also, i'm busty, 34 d. which worried me with this type of top. not a problem. i will wear a blazer or leather short jacket with this. i am very picky and i was happy with the quality. the fabric is not heavy. it's a fantastic purchase!</t>
  </si>
  <si>
    <t>Petite busty girls rejoice 2</t>
  </si>
  <si>
    <t>I loved this but hesitated to order since i'm petite and busty and assumed it would be an awful mess in the chest area (too tight, gaping etc) but it is great!!! it fits perfectly! there is plenty of room in the chest and the dress is not too long! i ordered a pm and its wonderful. the dress is not see through at all. love it!!!!!</t>
  </si>
  <si>
    <t>Runs a little big. fabric is very soft and comfortable</t>
  </si>
  <si>
    <t>Cute!</t>
  </si>
  <si>
    <t>This top is really cute and i think will be a great transition piece. i'm glad i tried it on in the store as it runs very small. i typically wear a 00 or 0 and bought this in a 2. they didn't have it in stock,so i ordered it and hope it fits.</t>
  </si>
  <si>
    <t>Such a beautiful victorian blouse!</t>
  </si>
  <si>
    <t>I just saw this vintage style blouse at my local store and tried it and think this blouse is amazingly beautiful! it's actually very well made and a tad heftier than i imagined from the picture. there's different strips of gorgeous lace all over including that amazing lace at the collar and bib, the arm holes are just perfect in my regular size small (34d-27-35) so it runs tts and i didn't find this overly blousy myself though that's just part of its charm. you'll need an undershirt or something</t>
  </si>
  <si>
    <t>Paisley silk maxi dress</t>
  </si>
  <si>
    <t>Beautiful dress but have to return. way too big &amp; long for me. medium is the size i wear but i think i would need an extra small.</t>
  </si>
  <si>
    <t>Beautiful top, looks great with black/gray jeans</t>
  </si>
  <si>
    <t>I love this top. the quality is excellent. the blouse is lined and falls nicely.. i like to wear it with a pair of dark gray jeans. the color is described as "orange", but it really has more of a bronze tone. looks very rich and exotic. it's perfect top when you want to wear jeans, but want to dress it up a bit.</t>
  </si>
  <si>
    <t>Gorgeous, high quality, and figure flattering!</t>
  </si>
  <si>
    <t>This swimsuit completely exceeded my expectations! 
i'm 5'2", 140 lbs with an athletic build, and the cut of this swimsuit is ultra slimming! with the way the top wraps it makes my torso look much longer and leaner than it actually is :) i bought the top in a small and the matching bottoms in medium. 
the material is thick, high quality, and the colors are exactly the way they appear online. 
the top is reversible and the alternate side is teal and nude. i feel like i got 4 tops in one sinc</t>
  </si>
  <si>
    <t>Pretty in pink</t>
  </si>
  <si>
    <t>I'm 5'2 around 125 lbs, muscular and petite, so i ordered a petite small and it fits great. the length is perfect, i can wear with heels or dress down with flops. it's lined, which i think most dresses and skirts should be, so i was happy about that. i was pleasantly surprised with the slits up both sides, to show a little leg....sexy. it's not too low cut that you have to wear a cami and ruin the neckline, so that's plus. my only issue was the fabric didn't line up on me the same as the model,</t>
  </si>
  <si>
    <t>This dress is divine!</t>
  </si>
  <si>
    <t>As soon as i saw this dress, i knew i had to have it. i just tried it on and it is beautiful. i feel gorgeous and glamorous! i can't wait to wear this to a special event as it truly deserves that attention.
the silk is soft and the slip underneath is perfect. the tie in the back perfectly cinches the dress and the pleating is a wonderful detail to the look.
i am 5'0", 110, and i purchased the small petite. it's slightly big around the armholes and it kind of poofs / puckers out so i'm going to</t>
  </si>
  <si>
    <t>Cute top, but beware it shrinks!!</t>
  </si>
  <si>
    <t>This top was quite voluminous when i purchased it and i sized down to an xs, however after hand washing it once in cold water it has shrunk significantly. it still fits, but something to be aware of.</t>
  </si>
  <si>
    <t>Runs big, great material but not as pictured</t>
  </si>
  <si>
    <t>I agree with the other reviewers that this runs big. unfortunately there is nothing smaller than an xs so this is going back. i love the lyocell material, i have another skirt with this material and wanted to love this as well but it is too big and with the drawstring pulled tight to fit it doesn't look right. it is not as pictured as well. the skirt i received is a medium blue denim, not the lovely light blue as pictured, another reason why i am returning.</t>
  </si>
  <si>
    <t>Beautiful, cozy sweater</t>
  </si>
  <si>
    <t>I love how soft and cozy this sweater is. the addition of some cashmere in the yarn makes all the difference. the red color is beautiful also, perfect for the holidays. flattering cut in the back (it dips down to cover your bum) and the pointelle details are very pretty. fit was tts</t>
  </si>
  <si>
    <t>Worth thr $$$</t>
  </si>
  <si>
    <t>This top is such a great investment piece. looks classy and is comfortable all at the same time. it is pricey but you will not regret buying this. goes great with light trouser denim or i have the green pilcro khakis. it will he something you will keep in your closet for a long time.</t>
  </si>
  <si>
    <t>Stunning</t>
  </si>
  <si>
    <t>I always end up walking out of an retailer store with something very different than what i thought and this was one. it drapes beautifully and the red color is rich and vibrant, cool tone not orangey. i fell in love with this one in person. it jumped at me in the store, but online i think the outfit that the model is wearing is not my style at all and does not do the item justice. if you like to cover your assets, you will love it.</t>
  </si>
  <si>
    <t>Zipper is short</t>
  </si>
  <si>
    <t>This is a very comfortable, good-looking skirt. fits as shown. the zipper however is rather short, and it takes a bit of squirming to get it over the hips. once on, it's great.  it is not made in the usa, as stated. it is clearly marked "made in mexico" from "globally sourced" materials (i.e. not from the us).</t>
  </si>
  <si>
    <t>I live in south florida so i'm always looking for sundresses that will be flattering (but not too clingy or hot), and that i can take from day to evening with accessories. when i pulled this out of the box and walked around in it, it met all my criteria, and as an added bonus, my husband said, "wow! you look great! where'd you get that dress?" i'm shocked because as an earlier reviewer said, this dress doesn't seem like much - it's not even lined. but it's comfy, flattering (in all the right pla</t>
  </si>
  <si>
    <t>I agree, this dress runs long, but since i love high heels, it falls just right for me. it does seem quite roomy for a medium, which is a pleasant surprise. the fabric, drape and quality are contemporary but i know i'll be wearing this beyond this year for sure.</t>
  </si>
  <si>
    <t>Pretty pink top is great for layering iand alone in the summer and spring</t>
  </si>
  <si>
    <t>My absolute favorite top</t>
  </si>
  <si>
    <t>This shirt fits very true to size, with very soft and comfortable material that hangs just right. wears well and is versatile for many occasions. please come out with more colors so i can purchase them as well!</t>
  </si>
  <si>
    <t>Not perfect but cute shirt!!</t>
  </si>
  <si>
    <t>I bought this in both the taupe and ivory. the beading on the neck line, the tie at the neck and the pleats make this a fun shirt. i bought a size 2 which is normally what i wear at retailer, so i would say it is true to size. i really like the length of the top. it hits mid-hip on me. it is a tad shorter on the sides than i would like but it is still long enough to cover my waistline. i also think the arms are too long so there is kind of a balloon look at my wrists because of it. i bought it to</t>
  </si>
  <si>
    <t>I saw this dress on line and knew i wanted it for the spring/summer season. i ordered it almost immediately and i am so glad i did. the photo on the website doesn't do it justice, there are a lot of pretty pastel colors in the paisley pattern that you just can't see on the computer screen. the wrap styling is a very flattering cut for most figures especially hourglass figures like mine and the dress fit's tts (for reference i am 5'9" and a 36ddd). the silk material is very light and flowy and wi</t>
  </si>
  <si>
    <t>Great color, not so great tailoring</t>
  </si>
  <si>
    <t>I was really looking forward to receiving this blouse in the mail. the color was beautiful in person and the photo does not show the nice beading around the neck. that being said, i was so disappointed in the fit. i ordered a size 00 and the arm length was way too long yet the body of the shirt was way too cropped. cropped enough where you could see skin on the sides. made no sense! hoping to order a few more sizes to see if i can find the right fit. order up for length, down for arm length ...</t>
  </si>
  <si>
    <t>Casual top</t>
  </si>
  <si>
    <t>A little shorter than expected. very billowy, so watch out for wind!
it fits well on the arms and shoulders. not too see through</t>
  </si>
  <si>
    <t>I wanted to love this shirt.</t>
  </si>
  <si>
    <t>I order this shirt because it looked like a shirt you could dress up or down. when i got it the shirt was really wrinkled. therefore, i knew it would have to ironed a lot. it was quite boxy and was shorter in the front then in the back. i didn't realize that this shirt was two different fabrics. overall i think this shirt would be more flattering on a woman that was petite.</t>
  </si>
  <si>
    <t>Love this blouse!</t>
  </si>
  <si>
    <t>Great that it's hand washable because i hate the smell of dry cleaned garmets.</t>
  </si>
  <si>
    <t>Super cute with right body style</t>
  </si>
  <si>
    <t>Top is very wide and flowy. i am petite with large chest so it hung from widest point and was not flattering. would be very cute with the right body shape.</t>
  </si>
  <si>
    <t>I want to the store to try this skirt on. that had only one size m in stock (my size) and it was huge! i ordered an xs and it fits nicely. it's just what i needed for the warm days ahead.</t>
  </si>
  <si>
    <t>Maybe</t>
  </si>
  <si>
    <t>After the reviews about sizing, i ordered the size 16 (am normally size large). interestingly, the tag on the blouse says it's a 14. with all that said, the blouse is cute enough and sizing up gave me enough length (in spite of the higher sides) that i'm considering keeping it. although it's a bit big, it flows nicely and isn't oversized in that wide, crazy way. the sleeves are a bit too big but they're cuffed with a button and can be rolled. the fabric is somewhat crinkled in texture. i got the</t>
  </si>
  <si>
    <t>Super cute</t>
  </si>
  <si>
    <t>I love the style and quality of this blouse. it can easily be dressed up or down. the blouse is completely see through and delicate. still, it is so romantic, feminine, distinctive and timeless.</t>
  </si>
  <si>
    <t>Comfortable and great fit and color. high quality.</t>
  </si>
  <si>
    <t>Shrinks</t>
  </si>
  <si>
    <t>I loved this blouse when i got it and wore it before washing. it fit really well and was flattering. the only time i laundered it i hand- washed it in cold water and hung it to dry. the blouse shrunk at least a full size and in awkward places. the sleeves are now tight and way too short. the overall length shortened by at least 2 inches. the top is so tight in the bust now that the buttons popped open. i'm very disappointed and surprised.i will be returning it as it is unwearable as is.</t>
  </si>
  <si>
    <t>This bunches up too much, and the fabric is even more see through than i expected (so even with a tank top under it, it's not a good look for work). even unbuttoned at the top, i could barely get this over my head!  this one is going back.</t>
  </si>
  <si>
    <t>Cute!!!</t>
  </si>
  <si>
    <t>I haven't worn a halter dress in ages and saw this one and wanted to get it, hoping that it'll fit me. 
i love the swing skirt and the halter. this dress can be easily dressed up or down depending on your mood. there is a side zipper. 
i got s p and it hits me exactly like the dress on the model. it is unlined but with the color of the dress, i don't mind it.</t>
  </si>
  <si>
    <t>Love, love, love this dress!</t>
  </si>
  <si>
    <t>I agree with the other review that the dress runs big and long, but i love it! it's very flattering and i have super high wedges that work great with it. i don't think it runs "super big" but it's slightly big. definitely size down if small busted. i wore it out and got a ton of compliments. it's classy, different and hot!</t>
  </si>
  <si>
    <t>Elegant, timeless and versatile</t>
  </si>
  <si>
    <t>Bought this blouse to wear with high wasted jeans and pants. it lays beautifully and can be dressed up or down. it's somewhat sheer, but i don't plan on wearing a cami under it. perfect for work or going out.</t>
  </si>
  <si>
    <t>I definitely recommend this shirt. it's lights and airy, something you can wear everyday.</t>
  </si>
  <si>
    <t>Ig brought me here</t>
  </si>
  <si>
    <t>Love the way this top layers under my jackets and sweaters! so romantic and pretty. i am not experiencing the over pouf at the waist that a previous reviewer complained about. the fabric is slightly itchy and the top shipped to my house has misshapen shoulder bumps from the store hanger. all the beautiful styling pics done by retailer employees on ig is what made me want this blouse. whatever is going on with the model shot really really really does not represent how cute this top looks. in fact,</t>
  </si>
  <si>
    <t>There is no way this is worth the price. i was deeply disappointed when it arrived. the material is thin and feels cheap. i love the design, and anna sui, but this is just so overpriced.</t>
  </si>
  <si>
    <t>Wanted to love her</t>
  </si>
  <si>
    <t>Beautiful victorian look blouse. runs large and overly blousy on me.</t>
  </si>
  <si>
    <t>This top is really cute and true to size. i like the color and the nice details.</t>
  </si>
  <si>
    <t>Victorian in a good way</t>
  </si>
  <si>
    <t>I'm 5' 0" and 120 pounds. this top is beautiful. it's high neck is so flattering. a nice switch it up for us gals that are older and like neck coverage sometimes. i purchased a small and it is a little longer, but since it has elastic at the waist it's no problem. i will tuck it in my jeans and skirts. the arm holes are perfect. the as far as it being a lot of blouse, i didn't find that at all. but i am busty, 34c or d depending on brand of bra. the color is ivory. omits completely sheer, no lin</t>
  </si>
  <si>
    <t>Tried this blouse on in the store and fell in love with this top. i went down one size since i am a true petite. they were sold out of the petite small, but the regular x-small fit perfect. it is a little short so it's perfect for shorter people,</t>
  </si>
  <si>
    <t>One can never have enough sequins</t>
  </si>
  <si>
    <t>Oh yes. another sequin top to add to my collection. it is sparkly without being glittery- if you know what i mean. can definitely dress down as it is tee shirt- like. lots of options for this one. tts.  much better in person than the online pics.</t>
  </si>
  <si>
    <t>Cute pant</t>
  </si>
  <si>
    <t>Unfortunately i had to size down twice with there pants. great feel, they're soft and the grey is a soft color.</t>
  </si>
  <si>
    <t>Gorgeous fabric</t>
  </si>
  <si>
    <t>The fabric is so beautiful that i am tempted to buy in a large size and have re-made. the waist is tiny. the hips are wide. when it goes to half price, i may be tempted to take it to my favorite alterations lady. the fabric is that exceptionally beautiful.</t>
  </si>
  <si>
    <t>Love these</t>
  </si>
  <si>
    <t>These joggers are soo cute. they fit great!!
i seriously love them!! i have worn them so often
i may have to ban myself from them for a week.
i am 5'4 and the length was perfect for a jogger pant.
i got an xs because the small looked too baggy. 
the xs loosened up a little after wearing them and are perfect.</t>
  </si>
  <si>
    <t>Great fabric but really bad shape</t>
  </si>
  <si>
    <t>If i could sew, i'd take the fabric from this skirt and make it into a different shape (after ordering a bigger size). the fabric is just as it appears online -- totally gorgeous with almost a quilted feel to it. however, this thickness means the skirt sticks out like something judy jetson would wear. it's also too small in my go-to skirt size (and i order a lot at retailer). the waist and hips are small (making the skirt too short as well), but the bottom flares out ridiculously. i ordered two of</t>
  </si>
  <si>
    <t>So much cuter in person and oh so comfy</t>
  </si>
  <si>
    <t>I bought these in the olive green, in the store and will be ordering the gray pair online. i am 5' 9" and 145 lbs, long legs and these are beyond adorable. some people mentioned that they stretched out? i did not find this to be true. what i do know is they can be dressed up or dressed down. they are flattering and perfect for the spring/summer. i would highly recommend and would/will purchase in every color. well done retailer!! one of my most favorite purchases so far this spring.</t>
  </si>
  <si>
    <t>Tx fan</t>
  </si>
  <si>
    <t>I love the flower patterns. they add feminine touch. this legging is well made with good quality spandex. the only cons is the color is not as deep as the picture. when you wearing it and the fabric stretched, the color looks much lighter. other than that, it's a good buy!</t>
  </si>
  <si>
    <t>Beautiful top, but it shrank substantially!</t>
  </si>
  <si>
    <t>This top is gorgeous in both detail in color. it fit great and true to size, but then i hand washed it as instructed on the label and it shrank substantially to the point that it's now too short and needs to be returned.</t>
  </si>
  <si>
    <t>Nice enough</t>
  </si>
  <si>
    <t>I ordered these as i was curious of hte fit on my body type (shorter, thighs)... well, it was ok, but in the end, i dind't keep them as i would be better off wearing jeans on casual day, or "real" joggers (as in jogging material).
cut was ok, not super flattering, but tapered pants only suit stright legs in my opinion.
material was nice enough, din'dt notice wrikling, but i didn't wwear them, jsut tried them on.
grey color was nice.</t>
  </si>
  <si>
    <t>Cute dress but poor design</t>
  </si>
  <si>
    <t>I loved the color and design of this dress but needed to return it because it fit so poorly. the arm holes are entirely too big -- so big that alternations couldn't fix it. maybe it's because i am petite but i think it may be a design flaw.</t>
  </si>
  <si>
    <t>Got the black but the orange it very pretty too the black fabric has a sheen to it; almost like snakeskin. as other reviewers have mentioned, it does run small and the armholes are cut in a bit. overall it is a more interesting than a basic lbd.</t>
  </si>
  <si>
    <t>So sad</t>
  </si>
  <si>
    <t>The print on these leggings is so cool but they are completely see-through. i mean seriously, seriously see-through.</t>
  </si>
  <si>
    <t>Wanted to love it!</t>
  </si>
  <si>
    <t>Was so excited for this top! loved the embroidered detail and the teal green color. i got it in a medium and it was swimming on me. it also had a maternity type feel since there is a lot more material (making it look blousy) than showing on the model (they must have pinned it back in the stock photo).
sadly, it's going back.</t>
  </si>
  <si>
    <t>Can't miss classic!!</t>
  </si>
  <si>
    <t>I was so impressed with the style &amp; boning on the sides for the perfect fit! it's truly a classic staple in your closet for that lbd!!</t>
  </si>
  <si>
    <t>Cute and comfortable</t>
  </si>
  <si>
    <t>I was surprised how soft and comfy the fabric is on this top. when i tried it on, i didn't want to take it off! it's a little bigger than i would like - i got a small, and am usually between xs and s. may have sized down if the top were available.but the fit and cut are flattering.</t>
  </si>
  <si>
    <t>I usually wear a size 8/10 and i needed a large in this skirt. it flows so beautifully!</t>
  </si>
  <si>
    <t>Favorite summer top</t>
  </si>
  <si>
    <t>I love this little number. the quality is terrific, the weight is perfect, and the cut is superb. i love the way it fits and looks in the arms. i ordered my usual xxsp and it is perfect. i like that it is cool and flowy, without looking like maternity attire. i have the bright turquoise and i am going to order another. i was about to order what looks like a yellow one, but i noticed the color is labeled "chartreuse". can anyone tell me if this is more yellow or green in "real life"?</t>
  </si>
  <si>
    <t>Happy girl!</t>
  </si>
  <si>
    <t>One of 3 pair of leggings ordered and the only pair to fit properly! size l was perfect for me. they stretched nicely going on and the beautiful floral design on the legs didn't get distorted or faded looking from the stretch. wearing these makes me happy :)</t>
  </si>
  <si>
    <t>Unusual and eyecatching</t>
  </si>
  <si>
    <t>These leggings are beautiful! so unusual and colorful, comfortable, and flattering. they fit true-to-size with enough stretch to move with you yet retain their shape. the fabric is a bit lighter-weight than ponte but heavy enough to be completely opaque. i would definitely recommend these beautiful leggings to anyone who doesn't mind attracting a little (envious?) attention.</t>
  </si>
  <si>
    <t>Beautiful in blue!</t>
  </si>
  <si>
    <t>I totally love this tank! the yoke detailing is so pretty! i read the other reviews...i feel it fits pretty tts, it's what i expected. i have already worn it several times since it arrived in the mail. i love it so much, i'm ordering it in the turquoise color as well. every time i have worn it, i have received compliments. i've worn it alone with shorts and/or jeans, as well as with a cardigan and dress pants for work. it's soft, comfortable and to echo what another review stated, the material s</t>
  </si>
  <si>
    <t>Gorgeous!</t>
  </si>
  <si>
    <t>Gorgeous cobalt blue color!!!  usually s/m- bought the small (because of larger armholes).  so glad i snatched this one up on sale!  the detail on the top is amazing.</t>
  </si>
  <si>
    <t>I like the idea of the pullover. the quality of is nice; the material is very soft and feels pleasant to the touch.
i expected this sweater to be more flattering though. it is true to size, but the length is strange. it seems a bit too long, yet is too short to look like a longer tunic. or maybe the waistline is a little low... whatever it is, it makes me look like i have short legs.
also, the collar won't stay down, the way it is shown in the picture. but it may work better for someone wi</t>
  </si>
  <si>
    <t>Cute but runs small</t>
  </si>
  <si>
    <t>This dress is attractive but it runs a little small. i'm a small curvy girl who usually wears a 2. this was small in the top and short waisted. i wanted to wear it to a recent event and didn't have time to return it for another size.</t>
  </si>
  <si>
    <t>Not what i thought</t>
  </si>
  <si>
    <t>These leggings were way longer and darker then appeared on model. 
they also were see through or beige color when stretched across hip.
especially for the high cost, there are much better althleisure leggings on the market.</t>
  </si>
  <si>
    <t>Beautiful day to evening skirt</t>
  </si>
  <si>
    <t>A lovely skirt and i'm so glad i found it before the medium sold out! having said that, i expected the medium to run small and that i'd have to squeeze into it but having tried it on this evening it's not the case at all. i nice fit. i might even have fitted into a small, which i think is the only size remaining. the skirt is very spain inspired. very flamenco! i love it! i will say that you'd need a bit of height to wear this skirt due to the length at the back. i'm 5'6" which is tall enough fo</t>
  </si>
  <si>
    <t>Stretch out a whole size</t>
  </si>
  <si>
    <t>First, the good parts: these are adorable in person and (i think) the colors are prettier in person than in the pictures. the green isn't too army green, it's a pretty nice mellow neutral that you could wear with reds, whites, blues, pinks...virtually any color.
the tencel fabric is super soft and comfortable and the drape is nice. they do seem to run a little large, so i'd size down if you're between sizes.
and now, sadly, the bad: these stretch out virtually an entire size after just about a</t>
  </si>
  <si>
    <t>I adore these little joggers. i was immediately drawn to the color (army green) and the little details. i carry all my weight on bottom, so i don't often wear many retailer bottoms (i'm usually a 16). i tried the xl on just to see how they would work and i was pleasantly surprised! they are absolutely perfect. they fit a little baggy, as joggers do, and go with just about everything! mine did loosen a tad, but not like the previous reviewer. i highly recommend these! can't wait to wear these throu</t>
  </si>
  <si>
    <t>Easy fit</t>
  </si>
  <si>
    <t>Love this tank. it has an easy fit that hides my post baby belly with out looking to wide.</t>
  </si>
  <si>
    <t>Gorgeous top!</t>
  </si>
  <si>
    <t>I love this blouse. the lace panels are slightly sheer, but nothing inappropriate. the solid fabric is a lovely sort of heavy crepe. stunning bright cobalt blue color. i'm an xl in retailer and this top fit well in xl; ever so slightly snug at one part on the sleeve but nothing noticeable or uncomfortable. be aware, this did bleed blue when it was soaking and it did drip blue water while it was air drying on the hanger. while this blouse is still wet i would stretch out the sides and sleeves to ge</t>
  </si>
  <si>
    <t>Shape problem</t>
  </si>
  <si>
    <t>This is a beautiful fabric and the skirt is so nice. what is wrong is the cut of the skirt. one side bells out more than the other, giving it an off center look from the front. my legs were not centered.</t>
  </si>
  <si>
    <t>Gorgeous - but.......</t>
  </si>
  <si>
    <t>I so wanted to love this dress! the fabric is gorgeous the styling beautiful and the construction is great - however, the armholes are cut too generously. i am 5'4", 138 pounds and 36d. i ordered the black in a size 10. it fit me perfectly everywhere but the armholes. even with an undergarment, too much is exposed. i am sadly returning this.</t>
  </si>
  <si>
    <t>Hei hei is my favorite line. i am a medium in all of the pants i have ever purchased from this brand.
i ordered these in the green and they arrived today. they fit me as if they were an xxl. i have a similar pair in rust from last summer so i assumed that they would be the same. 
obviously they are going back tomorrow . i'm very disappointed, they are a nice looking jogger and the color is pretty.</t>
  </si>
  <si>
    <t>Just average</t>
  </si>
  <si>
    <t>First of all, the label on this dress is maeve, not nue by shani. second, i just wasn't impressed. the fabric is cool...it has a sort of embossed look to it and it's somewhat shiny, which sets it apart in a good way. but the cut is just boring. the top felt dowdy to me...overall, i was underwhelmed by this dress and returned it.</t>
  </si>
  <si>
    <t>Maternity top</t>
  </si>
  <si>
    <t>I was really wanting a nice white summer blouse to pair with patterned skirts. unfortunately, this fell short as it was huge. not only was it big, it flared at the bottom. it would be perfect if i was sporting a baby bump, but not what i am going for right now. if the tank was a bit slimmer i would have kept it as a tunic.i'm sad that i'll have to return it.</t>
  </si>
  <si>
    <t>Everyday casual and cute</t>
  </si>
  <si>
    <t>I wanted a casual, denim colored skirt for warmer weather without the denim weight  and this skirt fit my needs perfectly.  i'm 5'4, 117lbs and the xs fits me true to size, hitting about 1 1/2 inches above the knee. it's a more modest length for daytime but it definitely needs a slip underneath. the raw edge is subtle (no hanging threads) and unique. i can't speak to the lack of colorfastness but i washed it separately and will be mindful of the possibility .</t>
  </si>
  <si>
    <t>Unusual, cool, fun top</t>
  </si>
  <si>
    <t>I love this top!! the detail on front top of the top is so cute. the length is just right. i hesitated because of the unusual armhole shape but they are really not an issue. also, thanks for finding the top as it wasn't available at distribution center, went of your way!!</t>
  </si>
  <si>
    <t>Gorgeous leggings</t>
  </si>
  <si>
    <t>These leggings are beautiful and different. the material is very stretchy, sort of a spandex feel. panty lines definitely show in the back. i found they run true to size; i wear a size 6/medium/28 in pants or jeans and the size medium fit me great.</t>
  </si>
  <si>
    <t>L space chloe top</t>
  </si>
  <si>
    <t>L space is frustrating. i wear a 0/2 top but with 32d's i tried a large in this bikini top because from past experience with l space they run small. there's just zero support. the tie design helps secure the girls in place, but also flattens them out if you tie it tight enough so you don't spill out.</t>
  </si>
  <si>
    <t>Soft tank for the summer</t>
  </si>
  <si>
    <t>I just purchased this tank in white and blue. i find it to be soft and will be perfect for hot days but also can wear into the fall with a cardigan. it's super comfy but i do find at retailer that it's best to try things on in the store (it's hard to find perfect sizes online since things are cut so differently based on the designer). i got a large and though it's a bit flowy in the tummy area, it fits nicely across my chest (not tight).</t>
  </si>
  <si>
    <t>Fine for a fitness class</t>
  </si>
  <si>
    <t>These were a little baggier than expected and the petite size ran long.</t>
  </si>
  <si>
    <t>Great lightweight summer top that's bra friendly.  i bought the teal color yesterday and wore it today with white skinnies.    i'm sometimes a small and sometimes a medium and was fine with the small on this one</t>
  </si>
  <si>
    <t>Nice top</t>
  </si>
  <si>
    <t>I love love this top. i was on the fence about it since it runs large and is loose fitting, very loose. i tried m, l, and xl. i usually wear xl but bought an l in this. i tried m, it was loose around the mid-section but fitted at the top. i wore them with fitted skinny pants and the top looks amazing. perfect for summer. the armholes also look flattering - not too big. i like turquoise. i didn't find yellow in the store, so bought green and white. it does need some ironing.</t>
  </si>
  <si>
    <t>Pretty much just like picture</t>
  </si>
  <si>
    <t>This pants look pretty much exactly like the picture except these will wrinkle really easily so there is no way they will ever appear as wrinkle free as the pic.
i found the color to be exactly as seen online so i am not sure why others didn't. the material is really light weight so i think these will work well for spring.
overall cute especially for the price. if not on sale, i would not have bought them but the sale price makes these pants awesome.</t>
  </si>
  <si>
    <t>Absolutely beautiful and feminine</t>
  </si>
  <si>
    <t>This is not something i would normal wear but the beauty of the fabric made just give it a try. i am so glad i did. the fit is beautiful slimming feminine fit with just enough flow. i love it and bought it right away. you better get it before it's gone. also it is true to size, i have along torso so sometimes i have issues with jumpers but not this one.</t>
  </si>
  <si>
    <t>These undergarments are comfortable, streamlined, and well made. this bra holds up well without wires. i am a 34b and wear a small. it is a bit tight at first, but form fits after one wear. . after trying one bra and i ordered 4 more. then i researched the brand and bought camis to match. i love how all the colors and styles are interchangeable.</t>
  </si>
  <si>
    <t>Lovely, comfortable and versatile</t>
  </si>
  <si>
    <t>I tried this jumpsuit on in the store and loved it but decided to wait on purchasing it. after it went on sale i jumped on it because i new i would regret not buying it. 
i am tall but most of my height is from my long legs, not in my torso. i seldom find jumpsuits that fit my frame but his one fits perfectly. the fabric is very "flowey" and does not wrinkle. the overall design of this jumpsuit is slightly but not overly baggy. the pattern and pleating make it a perfect item for spring and su</t>
  </si>
  <si>
    <t>I fell in love with this dress the instant i saw it. but was disappointed when i received it. first was the color. i chose the green and it wasn't what i thought. it was a very unnatural shade of artificial grass. when my husband saw it in the package he thought i had ordered a cheap grass hula skirt. the color was that bad. the fit was the next problem. this dress would have fit nicely if they had just added a side zip and made the top more fitted. the top was loose and that added to the flowy</t>
  </si>
  <si>
    <t>I love this jumpsuit and definitely feel too confident in it! the fabric is a great weight- flowy, but still substantial enough. with nude undergarments, i can't see anything. in fact, that is one of the things i love; no special undergarments are required, so it is very comfortable and still very flattering. i typically wear a medium- 135 pounds, 5'4", 34b, 28 waist, 40 hip. i tried the small after seeing some reviews that it ran big. i would have bought it, but the salesperson suggested i try</t>
  </si>
  <si>
    <t>Runs large in arm holes. have to wear bandeau. love this print and flow of dress. loose but still flattering due to arms and shoulders . love the overall look. midi length for this 5'6.5" gal. size s worked best -36c-125lbs</t>
  </si>
  <si>
    <t>Not sure what body type this suit is designed for</t>
  </si>
  <si>
    <t>I was so excited to splurge on a mara hoffman suit and was sorely disappointed when i received this suit in the mail. i'm petite and fairly curvy, so i knew it would likely be a little long in the torso but the whole suit was so oddly shaped, i couldn't imagine anyone it would fit. the square shape in between the halter pieces is awkward, and the pieces that are supposed to hold your chest are super wide and loose.</t>
  </si>
  <si>
    <t>I love this dress. it is so soft and comfortable, perfect for summer!! i wish it came in more colors because i would buy everyone!!</t>
  </si>
  <si>
    <t>Like other reviewers, i'm glad i sized down. this is a cute tunic that is definitely great quality, lightweight chambray. i love that it has pockets, but they do puff a bit at my hips.</t>
  </si>
  <si>
    <t>This is the perfect bralette for comfort; it's soft and fits to form really quickly. i wear a b cup, and it's enough support for me to wear daily doing everything other than heavy exercise. now, at 5 months pregnant it's pretty much perfect to sleep in too. i'm at 35 band, and i'm still wearing it on the loosest closure, but it fits perfectly there for me.</t>
  </si>
  <si>
    <t>Loved but both in my store had quality issues</t>
  </si>
  <si>
    <t>I really wanted this. they had two size small in my local retailer, both were damaged. so disappointing. i don't want to pay shipping for one that hopefully isn't damaged:( in the last year i've had multiple quality control issues with retailer. makes me gun shy. not sure i'm getting what i pay for anymore.</t>
  </si>
  <si>
    <t>Came dirty, but nice fit...</t>
  </si>
  <si>
    <t>I followed the advice of other reviewers and sized down from a s to xs. i was worried about the length of the torso since i'm long in that area, but the xs still worked great. it's a totally adorable jumpsuit with a nice fit. my biggest peeve with this was that it came dirty on the hems...like it had been dragged on the ground somewhere. unfortunately, there were no more xs online once i got it though, so i will keep and try to clean. this is not the first time in recent months that i have recei</t>
  </si>
  <si>
    <t>This dress looks better in person. nice navy with subtle pattern - looks super cute with a really lightweat pale yellow sweater! i thought that wiastband area would hit in a funky spot (my problem area) but it doesnt and looks great. super comfortable and i love this neckline. also has a decent lining so no bra necessary if youre cool with that. i have packed on some "after 50" lbs and wear a 12-14 shirt and 10-12 pant and the large is roomy enough.i received a number of compliments and let's fa</t>
  </si>
  <si>
    <t>Bright &amp; versatile</t>
  </si>
  <si>
    <t>I received this dress as a gift and it has become such a great addition to my wardrobe! i love that i can wear it to work and then out with friends. a great value if you're looking for one special piece that you can get miles out of - you can wear the two pieces separate or together. i love floral and felt this non traditional take on a floral was very refreshing.</t>
  </si>
  <si>
    <t>This would be perfect if only it were lined!!!! i have a high waist and hourglass shape so jumpers are very hard to find that fit my body type. this is a perfect fit for my body shape and when on, it looks like a lovely dress. however, it is not lined and the material is very light and ivory so you see everything. you can't wear a slip so that leaves the option of some sort of bodysuit if you don't want to show the world what you have. i am very tired of all of the light colored clothing not bei</t>
  </si>
  <si>
    <t>Simply awesome. wonderful fit and flatters any body type. looks great booties, flats, or flip flops. must have ...</t>
  </si>
  <si>
    <t>Feminine</t>
  </si>
  <si>
    <t>Although it may not look like it takes on a shape - what a wonderfully flattering jumper. was intrigued from seeing it in the catalog and had to try it on in the store -- i was unsure how the middle would appear. but it fit, wonderfully feminine, looking forward to the summer.</t>
  </si>
  <si>
    <t>Love these!</t>
  </si>
  <si>
    <t>I had been eyeing these for a while, but as they didn't seem very popular, i figured i'd wait for a sale. i finally bought them at the 40% off of sale price (yay!) and i love them. they're extremely comfortable, and very flattering. i'd say they run true to size, but maybe on the smaller end of the size for the waist. the blue pants are more greenish in color than the picture shows, but still beautiful. i'm looking forward to wearing these now and into the spring.</t>
  </si>
  <si>
    <t>I loooove this. my favorite retailer purchase in a while and i buy frequently. ran out of s p while in my basket (there are never enough petites available) so i got the medium. it is big but with this style i can pull it off. it does run a bit large so a s would have been perfect. please make this in more colors/fabrics! i would buy them all!</t>
  </si>
  <si>
    <t>Super cute. pockets would be nice</t>
  </si>
  <si>
    <t>Easy and fun jumper. runs slightly large. i ordered a medium and returned for a small. can be dressed up or down for a variety of occasions. would be perfect if it had pockets.</t>
  </si>
  <si>
    <t>Prettier in person</t>
  </si>
  <si>
    <t>This is such a pretty dress. light and flowy. i got it to wear on hot summer days.</t>
  </si>
  <si>
    <t>I loved this jumpsuit. it fit well on my curvier/athletic frame. i did prefer a belt, which emphasized my shape. unfortunately, it is not lined and a bit sheer. this was a deal breaker for me.</t>
  </si>
  <si>
    <t>I have been dying to try a mara hoffman bathing suit, so i went for this one. unfortunately, the design of the bathing suit is not like what they sent me. the middle where the tops meets the bottom, is squared off, not like that v that it looks like in this photo. it also makes for major side boob/sagging on each side. i was very disappointed.</t>
  </si>
  <si>
    <t>Pretty, but not great</t>
  </si>
  <si>
    <t>This dress was pretty but had a weird fit. the waist droops down in the middle instead of going straight across, which i found unflattering. i ended up returning it.</t>
  </si>
  <si>
    <t>Beautiful summer dress</t>
  </si>
  <si>
    <t>I was unsure about this dress when i first tried it on. the color is gorgeous, it is flowy and beautiful. it hits just below the knee (i am tall), which is something i am not used to. i hadn't decided on it, but my husband loves it and that's all that matters! it is very feminine and pretty. i normally wear a 0, but ordered a 00- it fits just slightly loose, which is the style this dress is going for.</t>
  </si>
  <si>
    <t>Comfy and cute pants</t>
  </si>
  <si>
    <t>I love these pants. i have them in navy and carbon. the navy color seems to run bigger than the carbon. they are very loose like a boyfriend pant in navy. they loosen up as the day goes on as well. super comfy and great for running errands and taking my little one to the park. i can look cute and feel comfy and i can give my yoga pants a break.</t>
  </si>
  <si>
    <t>Very comfortable/relaxed</t>
  </si>
  <si>
    <t>These are super soft and relaxed. i have them in navy and lavender. i am 5'6" and 130 lbs. and ordered them in a 28, which fits loosely, but comfortably.</t>
  </si>
  <si>
    <t>Finally found my staple summer dress!</t>
  </si>
  <si>
    <t>Was so thrilled to receive my dress in the mail. its just what i was looking for, for my staple summer dress. i love how i can wear it with or without the sweater top, and even can pair just the sweater top with my high-waisted shorts!</t>
  </si>
  <si>
    <t>Awkward</t>
  </si>
  <si>
    <t>I really wanted to like his dress, but it was a big miss. big big miss. look at the way the skirt is attached to the dress in the photo. it goes up high on the sides leaving a short bodice. the sequined patterns hit right at my breasts, so it looked like glittery bra cups on the front. the back glittery pattern looked like bird wings on my back. it was far shorter than i expected. overall, it looked like i was desperately trying to be a sexy angel or fairy. bad bad bad.</t>
  </si>
  <si>
    <t>Great fabric but unfortunately it did not look good on me. maybe on a tall person, i'm only 5'4". really wanted to like this...</t>
  </si>
  <si>
    <t>The dress is cute, but i'm somewhat concerned that it will be sheer in the sunlight. i guess we'll have to wait and see!</t>
  </si>
  <si>
    <t>So flattering!</t>
  </si>
  <si>
    <t>I tried this on in the store in a regular medium and the size was fine, just the length. fortunately retailer will ship for free if you need a petite! i'm so excited to get this. i'm 5'1 and a bit busty, and the medium fit perfect. its very flattering and so comfortable! perfect for a hot summer day. or as the cute clerk in the store had it styled with a cropped jean jacket and a fun necklace. the styling idea's are endless. i'm waiting by the mailbox for it to arrive!</t>
  </si>
  <si>
    <t>Why is it so big?</t>
  </si>
  <si>
    <t>This runs really large. i love it! sold out of xs p and xxs p... go figure :( size down if you are slim.</t>
  </si>
  <si>
    <t>Bought this for my daughter. it's adorable on her. we're going to take it in at the waist so it doesn't look so sack-like; then it'll be perfect!</t>
  </si>
  <si>
    <t>I was disappointed with this jumpsuit. when i first saw it in the store, i thought i was going to love it. when i tried it on, the first issue is the fabric is too sheer. i could completely see the outline of my underwear and bra. it also runs way too big! i know the bottom is supposed to be loose and flowy, but the waist needs to be more tapered to off set that, and it's so baggy. the arm holes are also cut very low, so when you lift your arms you can see most of your bra on the sides 
i wante</t>
  </si>
  <si>
    <t>Beautiful, flattering, but runs large</t>
  </si>
  <si>
    <t>Perfect for the summer weddings that i am attending. i am 5-1, 119#, 32dd and usually a sp. i tried on a regular s and xs in the store, and the s was huge. i ended up ordering the regular xs instead of the petite xs when the 20% off sale hit because i liked the extra length. great bra coverage...it is not too long at the armholes, or too low in the back. i will take it up a bit in the top seams just so it doesn't have quite so much decolletage, but it is wearable as is. this is much more of a ro</t>
  </si>
  <si>
    <t>A sales associate found this for me at my local retailer. i probably would have never thought to try it on. i am 5'1'' and normally a size 8 or a medium. the size small was still too large, so i ordered a size small petite. it fits perfectly, looks adorable on, and is so comfortable. i can't wait for the warm weather to wear it!</t>
  </si>
  <si>
    <t>Lovely dress</t>
  </si>
  <si>
    <t>This is a lovely piece, with great shape and details. i think it would really stand out at events. i ended up returning it. i don't have much occasion for cocktail dresses. i had trouble sending it back. it has a slip with the sheer overlay. the slip seemed a bit tight at the bottom hem for the shape of the dress.</t>
  </si>
  <si>
    <t>Odd shape</t>
  </si>
  <si>
    <t>This was so unflattering. the bust was too high so it hit me weird on the boobs. the green was a beautiful, vibrant color but the fabric is so delicate that one wrong move would cause a snag.</t>
  </si>
  <si>
    <t>Didn't try it on</t>
  </si>
  <si>
    <t>I opened the package and the dress is two pieces. it is the skirt part with an orange cami top that the sweater goes over. the sweater was too short for me, as i am busty and would not work. i ordered my normal size and the band around the rib cage did not go from side to side so i didn't try it on.</t>
  </si>
  <si>
    <t>Cute casual summer dress</t>
  </si>
  <si>
    <t>Just purchased this- love how light and airy it is. perfect for throwing on on a warm summer day. it is soft and comfy, but it does run pretty large. i am normally a m, and in this the m was swimming on me. i purchased the s, and still loose and flowy. i wore a strapless bra with it, but will also try a bandeau or tank top.</t>
  </si>
  <si>
    <t>Throw on and go perfection</t>
  </si>
  <si>
    <t>I'm very picky about jumpers, and this one is abolutely perfect! i love how it looks like a dress at first glance. it runs a little big because of the oversized fit it is supposed to have, i sized down because of the armpit area. nude garments and you'll be fine. this is going to sell out fast, don't wait for it to go on sale! (seriously my store is already out of xs's)</t>
  </si>
  <si>
    <t>Nice flowing summer sun dress. i was looking for something very simple and put a colorful kimono over. it. i put a bando under it. i think this dress can be for all ages as my friend in her 20s bought and loves this dress as well.</t>
  </si>
  <si>
    <t>I am 5'-7" and 135 lbs, i bought a medium petite as i wanted the dress to hit at my knees, instead of midi. this dress is easily 2 sizes bigger than expected. the pattern was not flattering on my although i'm sure it would be for others. i was happy with the length...</t>
  </si>
  <si>
    <t>Just a nice dress...</t>
  </si>
  <si>
    <t>This is one of those dresses that is just "nice" and can be one that you go to in a pinch.... it flows very nicely and you can dress it up and down. it's not the best quality in fabric...but if it was all silk you would have paid 3xs. i like it, it fits well...it's not outstanding or unusual. i think it is a bit pricey for what you get...but, it's a "work horse" dress...it will do you right whenever you need it to!</t>
  </si>
  <si>
    <t>This jumpsuit is the epitome of what i love about retailer! unique and absolutely beautiful. i love how it flows and on my petite frame when paired with heels makes me look taller. hopefully the designs for spring/summer are just as beautiful and comfortable as this piece. i plan to rock this with a cute belt and a bolo jacket.</t>
  </si>
  <si>
    <t>Pretty but runs big!!</t>
  </si>
  <si>
    <t>I loved this dress from the moment i saw it! i ordered it immediately, after reading the reviews, and felt confident in my dress size choice...but when it arrived it was big! i am 5'7" 140lbs with an athletic build and i usually wear a 6 or 8 in dresses, so usually a small but sometimes a medium...because if this "in between" that i am, i ordered a small...and it was really too big. so sad...incalled a bunch of stores to try and find an xs but they are sold out everywhere.
style is fun and flir</t>
  </si>
  <si>
    <t>Fun easy dress!</t>
  </si>
  <si>
    <t>This dress is great. it appears just as it does online. its soft, flowy and a thin chambray material. the straps are adjustable which makes it a good fit for all women. i am fuller in my hips and toosh and this dress fell beautifully over them. i tried a large (i normally do l or xl in retailer dresses) and there was plenty of room! i would have probably liked the xl more just because i prefer things oversized. the dress is a midi length, very breezy and airy. its extremely comfortable and very fl</t>
  </si>
  <si>
    <t>I was worried at first that the metal leaves would come off easily. i was pleasantly surprised after a day at disneyland, i don't think i lost even one of them. this dress is super fancy but very comfy.</t>
  </si>
  <si>
    <t>Sleepable jeans</t>
  </si>
  <si>
    <t>These jeans have been the best pair of jeans i have ever worn. you could practically sleep in them, they are so comfortable, brushed softness, and stretch easily. they hug your body in a flattering way, that these jeans are worth the money spent, as you'll have them for a while.</t>
  </si>
  <si>
    <t>Lovely, feminine, needs belt for definition</t>
  </si>
  <si>
    <t>I'd been eyeing this for months, loving the look but afraid it'd be too young for me (i'm 58). i tried it on in the store and loved it, with one caveat: it hangs rather like a sack, so i think it needs a belt for waist definition. with a belt, it looks great. my measurements are 38-30-38 and i wear a medium. oh, and contrary to what other reviewers have said, i don't find that the fabric is too thin or transparent.</t>
  </si>
  <si>
    <t>I really wanted to love this dress. i bought it for a photoshoot that will be outdoors, and thought that the green color would be perfect. it is well made, but the fabric is lighter than expected. the biggest issues was the size. i am 5'7" and typically a size ten. i ordered the ten and it fit like a 14-16. it was huge. if you order this, i would say size down two sizes.</t>
  </si>
  <si>
    <t>Unique, classy</t>
  </si>
  <si>
    <t>Great fit. smooth, comfortable material. wrinkles, but nothing an iron can't fix. beautiful colors, i got both the teal and the black.</t>
  </si>
  <si>
    <t>Pretty dress but oddly cut in the middle</t>
  </si>
  <si>
    <t>This dress is beautiful and would make an excellent party dress for winter. it is well made and the details are pretty. however the waist is cut in sort of a scallop shape, so it is higher on the sizes and dips down in the middle over the stomach. i wear a size l or 10 in dresses at retailer, and it just did not flatter my body type at all. for a thinner, narrow silhouette, i suppose it would look better, like it does on the model. i had to return it.</t>
  </si>
  <si>
    <t>Beautifully constructed dress, runs large</t>
  </si>
  <si>
    <t>I tried this on in the store last night and decided to order it today. it is a really beautifully made and flattering dress, with very interestingly cut seams. the fabric is a distinctive flower pattern that has been overlaid to appear almost abstract. gorgeous and high quality!
fit: i am 5'6" and curvy, usually a size 14/16, and the xl fits quite roomy on me (that's the size i ordered because i like flowy things). so it definitely runs large. usually i have better luck with a-line dress shap</t>
  </si>
  <si>
    <t>Perfect for irish fest and beyond!</t>
  </si>
  <si>
    <t>I bought this dress for its green color and flowy design to wear at an irish fest held in the hot summer. it's perfect! being of irish descent with red hair and fair skin, i love all shades of green, and this green dress is no exception. the color is lovely and eye-catching and cool. as to the sizing, i usually wear a size 8, but to make sure due to the design, i ordered an 8 and a 6. there wasn't a great difference between the two dresses, but the size 6 top was a bit more fitted and looked bet</t>
  </si>
  <si>
    <t>Cute, sweet, flirty, sexy</t>
  </si>
  <si>
    <t>I just bought this at the store. i simply couldn't resist! it is very light and comfortable and could easily be dressed up or dressed down, sandals and a crossbody bag for exploring the city, strappy healed sandals and some flashy jewelry for a garden party or day event, slip on booties and a cardigan for the evening. can't wait to rock it. in terms of sizing, i am 5'5 150 with 36dd bust and some hips and booty. usually i am a size 6-8/m in dresses and pants but in true retailer style, i ended up</t>
  </si>
  <si>
    <t>Great jumpsuit ! even better "in person"; elegant and stylish. i'am 5'7 and 165lb , m fits perfectly! material is not see- throug ( that was my biggest concern). sooo happy that i got it.</t>
  </si>
  <si>
    <t>Nice simple staple</t>
  </si>
  <si>
    <t>I purchased this in the mauve color. beautiful color with tan skin for the summer, but also perfect for fall. the material is very thin but not sheer at all. has quite a bit of drape/swing to it so i sized up to make sure it was long enough. it fits me like it fits the model shown here. i am about 5'4" 115lbs and 32b and am keeping the small.</t>
  </si>
  <si>
    <t>Flowy and flirty for summer flings</t>
  </si>
  <si>
    <t>I originally ordered this in green, and unlike another reviewer, i thought the color was perfect for spring. it is trendy, flattering and fun in green, but perhaps not a color i would wear long-term, so i decided to return it and order it in red and black. i also noted the boxy cut, and if that is what you want, it runs true to size. however, if, like me, you want something a little more form fitting, consider ordering down a size or two (depending on your chest size,) and just carefully shimmy</t>
  </si>
  <si>
    <t>Great dress but not in green</t>
  </si>
  <si>
    <t>Beautiful dress. good quality. tts. i'm 5 feet 120 lbs. ordered my small petite. no issues. however, the green is very bright. the deal killer for me was when my hub said it looked like a starbucks barista's apron! it's going back. i marked yes if you plan on purchasing a black dress it's a yes.</t>
  </si>
  <si>
    <t>A little itchy for me</t>
  </si>
  <si>
    <t>I tried this on in the store - i tried regular medium which was way too big except in the chest where it was really tight. the material was a little itchy on me (but maybe its because the chest was tight). the color is lovely (pink). im sure someone will love it but if you are petite, i would order the petite and maybe size up if you are busty.</t>
  </si>
  <si>
    <t>I tried these on at my local retailer, and was like, no way am i spending almost $300 on a pair of jeans. alas, i could not stop thinking about them. the pictures really don't do them justice. they are a more substantial jean, have a distressed look, without being fragile. and yet they are so soft, so comfortable, you really just don't want to take them off. they do have a bit of stretch, but hold their shape all day long. the length and taper are perfect, in that you can wear them with boots, san</t>
  </si>
  <si>
    <t>Pretty, comfy, casual, dressy</t>
  </si>
  <si>
    <t>I love this dress, i disagree with the review saying it was too sheer. this is a thicker material and doesnt need a slip, it is beautiful and is so comfy. it looks good with heels or sandals. i definately recommend this dress, it would look good on any body type.</t>
  </si>
  <si>
    <t>This top is cute and could be worn to work or casually. being tall, i love how long this shirt is! definitely recommend!</t>
  </si>
  <si>
    <t>I purchased the gorgeous green color. i love that i can wear this with leggings and sandals in warm weather or boots and scarves when it's cooler outside. the best thing is that it has pockets to slip my phone in! the color is very flattering and i get lots of compliments when i wear it!</t>
  </si>
  <si>
    <t>I bought the blue pattern and really have found this print to be very fun and flattering and the tunic style great for work and play. highly recommend!!!</t>
  </si>
  <si>
    <t>Like a baby doll top, with almost an empire waist going on.  feels comfortable and super flowy. i got a size m and i swing between m and l in most brands. the button stitching are a bit loose and will fray after some wears, i can tell. but i'm borderline on taking it back still because there are hidden side pockets! crazy--like it was a fluke or something. would fit a piece of paper or tissues. not keys or phones though.</t>
  </si>
  <si>
    <t>Bryson cowl</t>
  </si>
  <si>
    <t>This is a beautiful sweater -- soft, lovely color and easy to wear. the current photo is more true to the length. i am 5'2" and 128 pounds and ordered the regular sm and it fits just below my hips.</t>
  </si>
  <si>
    <t>Wide</t>
  </si>
  <si>
    <t>I'm 5"0" and weigh 105 lbs. i purchased the xxs and it was super-wide, and big all over. it looked like a pregnancy top and did not lay as nicely as shown on the model. also, not shown on the model is the front is short and the back is very long. this would work better on a taller person. i just find it odd that a xxs is still too big. the quality of the fabric and the print is good and the lace-up in the back is cute.</t>
  </si>
  <si>
    <t>Amazing fit and wash</t>
  </si>
  <si>
    <t>Like other reviewers i was hesitant to spend this much on a pair of jeans. however, i purchased them at  20% off on retailer day and...honestly...they look so good i probably would have paid full price. these jeans are fresh!</t>
  </si>
  <si>
    <t>Elegant and comfortable</t>
  </si>
  <si>
    <t>After reading the reviews, i ordered this dress in an xs and sp. i'm 5' 3" and 120 lbs. the xs was too long and too big on the bottom while being too tight in the chest. the sp fits perfectly. i'm wearing this to a wedding and know that i will get lots of use out of it for many different occasions.</t>
  </si>
  <si>
    <t>So cute!</t>
  </si>
  <si>
    <t>I always look for things to hide "parts" without making my "parts" look even more pronounced. this top is much cuter in person than online. it has floral edging around the neck and lace up area i didn't notice. the length is perfect, the sleeve length is perfect and it makes me feel thin (even though it has stripes!). perfect spring summer top.</t>
  </si>
  <si>
    <t>Great buy!</t>
  </si>
  <si>
    <t>Fit is true to size but keep in mind this dress has a "box-like" fit. i am debating whether to have mine taken in a little under the arms.
the material isn't what i expected but i still love it. the dress has a more textured/thick fabric instead of the light, somewhat silky fabric that the photo portrays.
i am very happy with the color!</t>
  </si>
  <si>
    <t>Bought in 2 patterns!</t>
  </si>
  <si>
    <t>This shirt is easy, breezy, comfy, and stylish - everything i want as a busy mom. all the patterns are beautiful it i went with the blue motif as well as the floral print because they felt fun and easy to wear with jeans or white pants. this definitely fit a full size large for me. i tried my usual s plus xs thinking the shoulders might be too tight, but the xs was perfect. happy to have this beauty in the rotation!</t>
  </si>
  <si>
    <t>Not flattering</t>
  </si>
  <si>
    <t>I've been eyeing this top up in the floral pattern for a while and finally ordered it when i had 15% off. i really don't think it's worth the price and it's not very flattering. i think it would look better on someone less busty - it seemed to accent my bust. it's definitely not my favorite piece and unfortunately i will be returning.</t>
  </si>
  <si>
    <t>This is my first pair of realllly expensive jeans, and they were worth every penny. i love the fit, the distressing, everything about them. they make me feel like i look amazing, which is what good jeans should do! i wear a 31 in pilcro jeans, but based on some reviews went up to a 32 in these and they are perfect. also, i'm 5'6 but the crop length hits at my ankle, which is perfect.</t>
  </si>
  <si>
    <t>Cute with some adjustments</t>
  </si>
  <si>
    <t>Shortened it to knee length and it was perfect. material is soft. comfortable to wear. can be paired with wedges or pumps or flats. fits true to size.</t>
  </si>
  <si>
    <t>Super cute and flattering shirt, the long tunic-style makes it so you can dress it up or down, so cute and comfy!</t>
  </si>
  <si>
    <t>Way cuter in the photo</t>
  </si>
  <si>
    <t>It looks great on the model but not on me. on me, it looked more like a sack of potatoes. the fabric is unexpected for the style in my opinion. it is very thick. i'll be returning it because it is not flattering on me.</t>
  </si>
  <si>
    <t>Go to summer top!</t>
  </si>
  <si>
    <t>This shirt is just so easy breezy! i got the blue motif and love the pattern. the top is loose but it's supposed to fit that way. i have a feeling this will be my go to for the spring summer! i'm about 136lbs and ordered a small.</t>
  </si>
  <si>
    <t>This dress looked gorgeous in the monthly catalog. ordered in hopes to wear in easter. i felt it was frumpy and just ok. color was pretty but overall; i didn't love it like i hoped to.</t>
  </si>
  <si>
    <t>The lady dress</t>
  </si>
  <si>
    <t>If there ever was the perfect feminine dress, this would be it .</t>
  </si>
  <si>
    <t>I'm small (4'11, 98 pounds and 34a) so the regular xs looks like a baby doll dress on me.  i just wear the tunic with a tank top underneath (or i can wear the tunic by itself) and leggings plus a pair of boots.  the top part is slightly baggy so if you want tight fitting, is size down to xxs.  i got the yellow flower and white + grey one and plan to get the navy one soon.  the quality is good and you can machine wash it with cold water.  i plan to use a tide sweater garment bag to wash it (i put</t>
  </si>
  <si>
    <t>Not so flattering top</t>
  </si>
  <si>
    <t>I had reservations about this top based on other reviews, but it looked cute on the model so i took my chances. i have an athletic build--not model-thin, but not dumpy either--and this top made me look very frumpy and matronly. the sleeves were especially unflattering. i purchased it in an ps and might have done better with a pxs.</t>
  </si>
  <si>
    <t>I ordered the black and it was a soft black, which i loved. i felt like the shirt was a little boxy (i was hoping the top would have been a bit more fitted (the arm holes are loose) and the bottom a little longer, but i like it enough that i am keeping it. works well to wear to work.</t>
  </si>
  <si>
    <t>Too much fabric</t>
  </si>
  <si>
    <t>I usually wear a size xs or s in retailer tops, ordered this top in an s and it was so wide on the sides and huge it fit like a tent.  not even remotely flattering.  i thought about ordering it in an xs, however, i could tell the xs was still going to have way too much fabric.  back it goes.</t>
  </si>
  <si>
    <t>I initially purchased this shirt in the grey motif color, size l (my usual size, i'm 5'8" size 14). unfortunately i found the shirt very roomy, but loved the pattern and style. so i ordered a medium and much to my surprise it fit much better. i'm very happy with my purchase.</t>
  </si>
  <si>
    <t>New year party dress</t>
  </si>
  <si>
    <t>I bought the dress in black. it is very elegant with a fun flare, suits my taste. it does run a size too small like other reviewer mentioned. the material has no give at all. i couldn't breathe in my regular size. one size up fits like a glove. it is a perfect party dress to show your free and fun spirit!</t>
  </si>
  <si>
    <t>Wonderful!</t>
  </si>
  <si>
    <t>I agree with the previous comments. the vest runs a little large, so you can easily size down for a more form-fitting fit. it is so soft and the colors are lovely ... will be a welcome addition when the weather turns a little cooler. i am so glad i purchased this vest!</t>
  </si>
  <si>
    <t>Soft, warm and stylish!</t>
  </si>
  <si>
    <t>Fit great - maybe a bit large....i bought a l (typically i go between a large and extra large) and there is room to put a thick sweater on underneath it.  this goes with just about everything!</t>
  </si>
  <si>
    <t>Darling top- runs large and long!</t>
  </si>
  <si>
    <t>I am a solid size 6 in most brands, top and bottom, 5'3" tall, 125#. i have long legs, short torso, and fairly broad shoulders - i almost never wear petite sizes.however, this top in the regular small size could be a maternity dress on me! i am literally swimming in it, and it is quite long. however, i can still make it work, with a cami underneath and leggings or skinny jeans... i like it, did not return, and will buy another color, but will go with petite x-small in the future.</t>
  </si>
  <si>
    <t>This top is such a great color and style. i did have to go a size down, as i typically wear a medium. the style is very forgiving. it looks great with shorts and jeans! it's staple!</t>
  </si>
  <si>
    <t>This top is really cute</t>
  </si>
  <si>
    <t>I just bought this top yesterday in the yellow. i can't wait until it warms up a little more to wear it. it's very comfortable and very cute. i did have to size down. i may get one of the other prints as well.</t>
  </si>
  <si>
    <t>Xl fits great</t>
  </si>
  <si>
    <t>I ordered the yellow/floral version in size xl. it fits me just as shown with the model so it's true to size. it's very comfortable and made well. the floral looks the same in person as in the photos too.</t>
  </si>
  <si>
    <t>European flair</t>
  </si>
  <si>
    <t>I love this dress!! it has a beautiful european flair, and more beautiful in person. i don't agree with the other reviewers that its see through-the fabric is a good quality, and thicker than you would think. the variable length is the best part of the dress. the color looks beautiful with a tan summer glow!</t>
  </si>
  <si>
    <t>Cute summer top</t>
  </si>
  <si>
    <t>Got the flower print and it is really a nice top. covers the butt!. i normally need a xl, but in this top i got a large.</t>
  </si>
  <si>
    <t>Beautiful and versatile, but big...</t>
  </si>
  <si>
    <t>I love the idea, and color, very flattrering and easy to trhrow on, however, i need the petite in this one, and they sold out in the neutral color. it looks too big in eregular sizing, and since it combines xs/s, it is made slightly bigger. material is soft enough.</t>
  </si>
  <si>
    <t>Runs large - order down!</t>
  </si>
  <si>
    <t>I received this in the mail a few days ago, and was so pleased with it except that it was huge! i am normally a 10/12 in most things so i ordered a large. i was swimming in it in all areas - shoulders and bust bothered me most because i need a waist on shirts so i don't look larger than i am. i liked it enough to o ahead and order a size down. i ordered a medium and medium petite because the top is quite long and i think i could get away with wearing it with leggings or tights if i were looking</t>
  </si>
  <si>
    <t>I have received so many compliments on this top. it really looks exactly like it does on the model, and i'm not as thin as she is. i am 5'5" and 134 lbs,, small on top, and bought the small in this top. the v-neck is very flattering and is hangs so nicely that it does not make me look hippy. looks great from all views. i paired it with white pencil pants and wedge heels. also, the black lace detail down the sides looked great when i paired it with black yoga pants and flip flops. the colors are</t>
  </si>
  <si>
    <t>Flattering, comfy top</t>
  </si>
  <si>
    <t>Everyone has said it, so i'll just add my two cents - this is a great, soft, flattering top. i bought two, one in white and one in black, and i have never worn them without getting compliments. i sometimes wear them buttoned up, and sometimes completely unbuttoned to expose tanks or bathing suits. (i live in florida, and these tops make great beach cover ups). i am 5'7" and over 160 but not busty, and the medium was swimming on me, but i think this particular shirt is supposed to be that way. su</t>
  </si>
  <si>
    <t>Amazing retro style</t>
  </si>
  <si>
    <t>Perfect party dress - well constructed, bra hidden at arms and on top, what more can you ask for? i felt like betty draper the moment i put it on. i'm normally a 6, but the 4 (while fitted) looked amazing and didn't pull.</t>
  </si>
  <si>
    <t>I love this shirt! it hides my tummy perfectly without being too baggy! super cute!!</t>
  </si>
  <si>
    <t>Wanted to love...</t>
  </si>
  <si>
    <t>I wanted to love this top, but it unfortunately did not work for me. the material has a nice weight and feel to it, and while i love the pattern, the shape leaves something to be desired. the cap sleeves were a little tight on my arms, and the cut of the sleeves made my arms look big. the body of this shirt reminded me of a loose maternity top. for reference, i am 5'10" 140 lbs and typically a size 6. i wear a small in retailer clothes, and got a small in this top. i think an xs would have been to</t>
  </si>
  <si>
    <t>Wanted to love this</t>
  </si>
  <si>
    <t>The fabric is wonderful, flows nicely and soft. i am 5'7", 145lbs and usually wear between a s and m. i ordered a s in this due to the majority of reviews and found it to fit my shoulders well and length was fine. after reading the reviews i was so excited to get it but for me it actually made me look larger. there was too much material for me on the bottom and it actually made me look like i had a "pooch", never a good thing. i thought of returning for a m as i thought maybe it would have hung</t>
  </si>
  <si>
    <t>Special</t>
  </si>
  <si>
    <t>I bought the tangerine version of this dress for my brother's summer wedding in the south, and i can't wait to wear it. cotton material has a touch almost like linen, but not rough. nice and hearty fabric. tangerine color is beautiful, more salmon than coral. wearing it with a little shoulder shrug and the laika inca shoes?the shoes aren't on the retailer site anymore, but i found them at my local store. just perfect.</t>
  </si>
  <si>
    <t>Perfect for summer</t>
  </si>
  <si>
    <t>I purchased this top in white. it is see through so i wear a tank or cami underneath. i usually wear xs or s in retailer tops and in this one, i purchased the xs, but wish i had bought a s. the problem is the top is just small enough to pull slightly between the top two buttons. for reference, i am 5'6, weigh 128 lbs, 34b bra size, 28 jean size, and small boned. i currently carry most of my weight in my hips and waist. my normal weight is 110-112 lbs and i add this to point out that i am out of sh</t>
  </si>
  <si>
    <t>Fell in love</t>
  </si>
  <si>
    <t>Picture definitely does not do this vest justice.  i saw it on a rack and had to try on and instantly loved the look and feel.  i am 5'9" - 135 lbs - size 6 and the small works for me.  the vest will work with ivory, black, grey, and red underneath.  i love the little bits of fur sticking out of the seams.  the back has fitted seams to give it a trim look.  there are small pockets in the front as well.  definitely worth the 108$ asking price.</t>
  </si>
  <si>
    <t>This dress is great! it fits true to size and the pockets are very unnoticable!
my only note is that the first picture of the dress show the dress to be a bit darker than the actual dress. the dress colour more closely resembles that of the other two photos.</t>
  </si>
  <si>
    <t>Recommended for tan to dark complexions</t>
  </si>
  <si>
    <t>I'm very pale, and on me the rose color looked really washed out. the catalog photo is not an accurate representation. look at the product shot for a truer representation. it's slightly see-through and was too close to the color of my skin. i think it would look delicious on someone who has darker skin, though.</t>
  </si>
  <si>
    <t>Perfect tunic</t>
  </si>
  <si>
    <t>I purchased this in 2 colors. the black which is really actually a dark grey( no complaints) and the cream with black print version. i have worn both at least once a week and receive compliments everytime! looks great with skinny pants or jeans. great alone or layered with a jacket or cardigan. does run on the looser side fyi</t>
  </si>
  <si>
    <t>I ordered this dress in the blood orange and have a few complaints. while it appears to be made with quality, it runs really large. also, in the picture the fabric appears to have a sheen and be somewhat dressy. the actual fabric is just flat cotton. it's a very casual dress, not as dressy as pictured. it's also quite shapeless on. i'm returning it.</t>
  </si>
  <si>
    <t>Can't get enough</t>
  </si>
  <si>
    <t>This is my favorite dress i have ever purchased. as a 6' tall woman, it's hard to find flattering dresses that are long enough for my legs. this dress is classic, comfortable, and truly flattering. i love the blush color and did not have the issues that other people listed for the color being see-through. i can't get enough of this style...i'll be buying it in black too...ooopss :)</t>
  </si>
  <si>
    <t>Disappointing</t>
  </si>
  <si>
    <t>This dress was not what i had hoped! from the online pictures, i had high hopes, but the fit was really wonky and the material seemed cheap. the arm holes were too big and made the dress seem more like a bathing suit cover up than a classy summer dress. needless to say, it's going back!</t>
  </si>
  <si>
    <t>Bought this top in white and blue motif. it fits me great and looks adorable. the only comment is that the holes for the buttons are a little too big but it's an easy fix.
this top looks great dressed up or down. would definitely recommend!</t>
  </si>
  <si>
    <t>Cute and comfy!</t>
  </si>
  <si>
    <t>Just purchased this yesterday in the store and i can't wait to wear it! it is a perfect spring/summer top when you just want to wear something pretty and comfortable! i agree that it is big but that is the style of this shirt. so if you're ok with this look, you will love this shirt! i took my usual medium and the prints are adorable! a great addition to my wardrobe!</t>
  </si>
  <si>
    <t>Great quality!</t>
  </si>
  <si>
    <t>Love this shirt. tried it on in 2 of the colors and both were very flattering. the quality of the shirt is great. worth the price for sure!</t>
  </si>
  <si>
    <t>Love this top! i receive so many compliments wearing it, even from my teenage boys! runs large, but that's the style of it, very flowy. very flattering.</t>
  </si>
  <si>
    <t>Pretty top poor fit</t>
  </si>
  <si>
    <t>I loved this top in the blue and wanted so badly for it to fit however it was very unflattering on my 5'7" frame. the bottom hemline is straight across all around whereas i thought it was longer in the back. i could see this looking great on a really petite frame. runs large, xs fit however wasn't flattering</t>
  </si>
  <si>
    <t>Avoid if you're curvy...</t>
  </si>
  <si>
    <t>Didn't work on this curvy gal.
sizing up would have helped with the button gaps, but the flowy shape of the blouse would have looked too maternity on a larger size.
major pass.</t>
  </si>
  <si>
    <t>The rose color is lighter than the photo of the model in front of the pink building, but on the other photos it does look lighter so i wasn't surprised.  my dress fits very nicely. i love the drop waist, the loose fit at the hips, and the flare of the ruffles.  the back is just like the model too. i thought it may be boxy but it comes in at the waist and goes a-line. perfect. i ordered the xl because it wanted it to be loose like on the model.  i was afraid because of my large dd chest it would</t>
  </si>
  <si>
    <t>Fun top for all seasons</t>
  </si>
  <si>
    <t>I am so happy i purchased this top in 2 colors while it was on sale. i have the navy/white pattern and the green. both are vibrant and fun. i'm 8 months pregnant and these fit me currently. i can see them being a great top for post baby and on as well. i'll probably layer this in the fall and winter with a chambray jacket or a loose knit sweater. my only complaint (which is why i gave 4 stars) the top button comes undone very easily. it also pulls a bit at the top 2 buttons, but i may be able to</t>
  </si>
  <si>
    <t>Very flattering and comfy</t>
  </si>
  <si>
    <t>I'm so short that this could be a dress! runs a little big, but very forgiving. the green color is so vibrant! love love love!</t>
  </si>
  <si>
    <t>Blouse</t>
  </si>
  <si>
    <t>This light blouse is beautiful and true to size. i ordered the black one and love it!
i would recommend this product</t>
  </si>
  <si>
    <t>Stopped in to my local retailer today specifically for this top. i was pleasantly surprised - the green is even more vibrant in person! just gorgeous. typically a size small but based on reviews tried on the extra small. still a tad roomy but portland doesn't carry petite sizing aaaaandidon'twanttopayforshipping... remedy that, retailer portland!</t>
  </si>
  <si>
    <t>Awful fit</t>
  </si>
  <si>
    <t>Wanted to like this top but it looks terrible and does not lay right. the bust line is not tight enough to contrast the rest of the top being flowy. does not give any shape to the body. do not recommend for anyone with a medium to large chest.</t>
  </si>
  <si>
    <t>Great fall piece</t>
  </si>
  <si>
    <t>This sweater poncho is a nice versatile piece to wear in the fall. wear a blouse or tee under for extra warmth for the maine winters. love the side buttons and the uniqueness of this poncho. true to size, great color. lot's of compliments.</t>
  </si>
  <si>
    <t>Love this top. bought it in both color ways. just adorable and washes well. great option for larger ladies. 
retailer needs to provide more xls to be available in the stores. i shop at the pasadena store and see so many women my size shopping right next to me, and there is nothing for us. it is so sad that we want to spend our money with you, but you don't want it.</t>
  </si>
  <si>
    <t>Comfortable style</t>
  </si>
  <si>
    <t>Like the extra details on the neck and back - and it's versatile to wear everywhere</t>
  </si>
  <si>
    <t>Versatile blouse!</t>
  </si>
  <si>
    <t>Agree with other contributer - this is a great piece to snag on sale. i bought this 2 months post partum with the intention of hiding the post baby belly - which is does well! i think it fits true to size (i'm typically l and this l fit well). i can see how certain body types it would look maternity, but i'm short and curvy and the blouse is flattering. it's lightweight, so i plan to add a cardigan in the fall/winter.</t>
  </si>
  <si>
    <t>Lovely but not awesome</t>
  </si>
  <si>
    <t>This dress is a bit scratchy, but overall i liked the fabric well enough. on someone blond and fair, the peach color washes out a bit. the issue for me with the dress is that front is just too short for my height (i'm 5 9 1/2). it looked a bit obscene. 
the small otherwise fit me great. i have broad shoulders, small chest and and slim.</t>
  </si>
  <si>
    <t>Cozy amazingness!!</t>
  </si>
  <si>
    <t>This beauty arrived in my store today...and despite all my gals telling me that i own too many vests, i just had to have this one. i've always wanted a cozy fur or sherpa vest...but i'm curvy and always feel like those add bulk. this one only has sherpa on one side (the softest most cozy sherpa ever) and its not too bulky! the print is even better than it appears online...in fact, the vest almost appears pink online, and its not in person. there is much more variation in color in person! i adore</t>
  </si>
  <si>
    <t>Cute and fun top!</t>
  </si>
  <si>
    <t>I love swing tops. the more swingy, the better! this top is so fun. its a little hard to tell online, but its made of two fabrics. most of the fabric is a thin t-shirt material, and then theres a panel on one side thats more of a silky fabric. its so so cool! the colors are just as they appear online, and the print is fun and edgy. i have larger arms, so i love the length of the sleeves. the other reviewer said it was cropped, but i did not have that experience. in fact i was able to wear mine w</t>
  </si>
  <si>
    <t>Lovely, unique and odd</t>
  </si>
  <si>
    <t>I really wanted to love this dress. two lovely associates paired it with the desideria bib necklace and the black dakota cardigan, which gives the outfit definition and elegance. but the dress by itself would have needed altering to fit my 34-b top. i chose size m because of the length-- the small was 1 1/2 " shorter in front (i am 5'8") in the end, i realized i would probably choose my other favorites from my closet. but it will be stunning on the right person.</t>
  </si>
  <si>
    <t>Cute, but not on me!</t>
  </si>
  <si>
    <t>I read all the reviews and was hoping that this top would work for me, but it did not. i ordered a size smaller than usual and it was still way too big. it was not flattering at all on my curvy frame. overall, it looked more like a maternity top on me then anything else! if you're tall and slender, i think this top would work!</t>
  </si>
  <si>
    <t>I'm still on the fence with this shirt. i have the grey - it almost looks like a cheetah design up close. i'm 5'3"</t>
  </si>
  <si>
    <t>Love it so much</t>
  </si>
  <si>
    <t>I love this dress - originally ordered the medium, which is my normal size, especially because i am tall. the arm holes were gaping, and so i returned for the small. the small is perfect. it fits exactly as on the model, and i didn't have a problem with the color being see-through. it really is so unique but so simple. the color is perfect. 
i took a single star off because it is not lined - for the price, this would have been nice.</t>
  </si>
  <si>
    <t>Adorable top</t>
  </si>
  <si>
    <t>This is a cute top, especially the material design. i like tops that go over my bottom and this does. if i had a problem it is with the sizing. the fact that it was only online so i could not try it on made it difficult to know really what size to get. some reviews said it was true to size and others said go down a size. i did go down a size but it still hangs a little big. but i still love the overall look. i am also petite which is what i ordered.</t>
  </si>
  <si>
    <t>Cute white tee</t>
  </si>
  <si>
    <t>Cute white t-shirt different style but didn't work on my body type so i returned it 
 good price point 
 basic fabric</t>
  </si>
  <si>
    <t>Nice, flowy, comfy top with soft fabric. there's a lot of fabric below the waist - it could probably work as a maternity top - but it drapes nicely rather than looking overwhelming. i do find that the buttons gap a little at the chest, despite the top fitting loosely on me, so i have to wear a layer under it.</t>
  </si>
  <si>
    <t>I've been on the hunt for the perfect dress to wear for my daughter's first birthday party. since we are throwing a traditional korean first birthday, i was looking for a dress you might wear to a daytime wedding or a fancy brunch. i just purchased this dress today in the store and it fits my needs perfectly. 
i disagree with the first reviewer who mentioned that this dress was too sheer. this dress is a thicker fabric so i do not think i will need a slip when wearing it. it does drape nicely</t>
  </si>
  <si>
    <t>A unique one of a kind t shirt</t>
  </si>
  <si>
    <t>I absolutely love this shirt! even though it has a large flowy design it looks wonderful. the print is so unique and will transition to autumn beautifully! i loved it so much i got both colors.</t>
  </si>
  <si>
    <t>I would describe the color as more blush. the fabric does not have a sheen as in the model picture. the fit is much cuter on than hanging. i'm a 36c and the extra small is just a bit tight in the bust, otherwise i like the fit everywhere else. i'm going to order a small and see how it fits. at 5' 3" it's also longer on me than on the model but not a deal breaker. looks kind of 1920's vintage on. my fabric is not see through it's more of a twill fabric but not quite as heavy as that.</t>
  </si>
  <si>
    <t>Size up if busty</t>
  </si>
  <si>
    <t>I agree with the other reviewer that the color isn't as pink in person and more subtle. my thoughts below on some other things:
__________
pros:
- pockets! makes it so fun and chic with the overall style.
- the material is lovely and breathable. i didn't find it sheer at all! of course, i didn't wear it outside the dressing room. the material is thicker but it hangs on the body well.
- runs "mostly" tts. i only tried on the medium and it fit everywhere being slightly tighter in the chest. i</t>
  </si>
  <si>
    <t>Comfy and lovely</t>
  </si>
  <si>
    <t>This shirt is so very pretty in person. the detail on the neckline and the lace up on the back are so cute and give the shirt just a bit of whimsy, making it more unique than your usual flowy t-shirt. it lays perfectly and the material is very soft and comfy. you can wear it casual or dress it up. i may get another one because this is the kind of shirt i will wear constantly!</t>
  </si>
  <si>
    <t>Wanted to love</t>
  </si>
  <si>
    <t>I bought two, one in white and one in blue print and wore the blue print top once and loved it. then i washed it according to the instructions on the tag (in cold gentle cycle and hung to dry). it shrunk up 4" in the length and 2" in the width and now it doesn't fit at all. also, after one wear, the buttons are coming off (before i even put it in the wash) and it's covered in loose threads. the quality is just not there. i'm going to return both and show the sales lady the difference in size on</t>
  </si>
  <si>
    <t>Great denim</t>
  </si>
  <si>
    <t>I usually wear a size 28 &amp; the fit was perfect. highly recommend, many compliments.</t>
  </si>
  <si>
    <t>This dress is so classic!</t>
  </si>
  <si>
    <t>I fell in love with this dress from the moment i saw it in store. i tried it on immediately and knew i had to have it. it fits a little big -- definitely size down. but other than that, i have never felt more beautiful than when i wear this. the color is a perfect blush pink and the drop waist/tiered skirt make you feel downright bridal when wearing it, despite it being the perfect fabric for day. i find that this dress is perfect for those days at work when i have an event later.. it can be dre</t>
  </si>
  <si>
    <t>Sad sack</t>
  </si>
  <si>
    <t>....that's what i look like wearing this dress. a sad, sad, sack. the fabric is less than ideal, and there is no shape to speak of. i love that it has pockets but that's about it. there was just way too much fabric for a petite person. this dress has got to be good on someone, sadly that person was not me.</t>
  </si>
  <si>
    <t>This is a such a cute top. can be dressed up for work or worn more casually. very flattering. i'm 5'6" and 125lb. i was borderline between the xs and s but ended up with the s because it was a tad longer and more 'tunic-y.' bought two colors!</t>
  </si>
  <si>
    <t>Love this top!</t>
  </si>
  <si>
    <t>I loved this top so much i bought it in both colors. size down because it run very large, but it is nice and flowy. i'm 5'11" and slim and the top hung nicely on me.</t>
  </si>
  <si>
    <t>Fits like maternity</t>
  </si>
  <si>
    <t>I wanted to love this, was so excited when i ordered it online. the fabric (blue and white) was beautiful, but the cut was bad. it fit me like a maternity top, and made me look like i was 6 months along. i have a feeling that the models had theirs pinned back, in the back, because it does not lay flat like that in front, it has a lot of fabric with no place to go but up and out. returning.</t>
  </si>
  <si>
    <t>Love!</t>
  </si>
  <si>
    <t>This is a very flattering / soft sweater. the pockets make it so much cuter &amp; do not make me look "thick". highly recommend!</t>
  </si>
  <si>
    <t>I ended up loving this dress</t>
  </si>
  <si>
    <t>I fell in love with this dress when i saw it in the catalog and ordered it immediately. i was a bit disappointed that the dress is a little lighter than the pink showed in the catalog but it didn't deter my liking it because it's still a lovely shade of pink. the fabric takes a bit getting used to though - i thought it would be silkier but it's really a thicker fabric. i ordered a size small and i usually wear size 4. the dress drowned me. so i returned it for an xs, which fit me beautifully. so</t>
  </si>
  <si>
    <t>This is such an adorable tee. the stripes and lace up details are super cute and on trend. i usually take a xxs and that is what i took in this tee. i tried the xs and at 5"1 and 104 pounds it looked a bit loose and long on me. love this tee and highly recommend this one!</t>
  </si>
  <si>
    <t>Order down a size; sooooooooooooo cute!!!</t>
  </si>
  <si>
    <t>This shirt runs large, so order down a size. it is comfortable, cute and great for transitioning from summer into fall. adding jewelry really dresses this top up. can't wait to layer it with kimono, vest, pashminas or wraps. great with sandals or boots. glad i bought both colors. it looks much better on, than in the photo/on hanger. great purchase and can't wait to wear!</t>
  </si>
  <si>
    <t>Beautiful poncho</t>
  </si>
  <si>
    <t>I purchased this poncho online in the cream color. when it arrived i tried it on to decide whether or not to keep it. i immediately went on line and purchased the taupe color , as well. thank goodness it didn't come in 5 more colors! this sweater is so versatile and beautifully detailed, plus it is very soft. you take one look at it and you know the quality! i think you could wear this dressed up or down and it would be perfect either way. i do agree, it is not quite as long as pictured , but pe</t>
  </si>
  <si>
    <t>Love the color</t>
  </si>
  <si>
    <t>The green is a deep, beautiful shade. the fabric and fir is very flattering!</t>
  </si>
  <si>
    <t>Perfect t-shirt</t>
  </si>
  <si>
    <t>Love this white shirt! it fits great and gives you a little breathing room around the waist. this goes with shorts, skirts, and jeans. i will be wearing it all summer</t>
  </si>
  <si>
    <t>I loved this dress on. the material was quite different than expected, almost a canvas-y feel to it. ran a little large, but so cute.</t>
  </si>
  <si>
    <t>I wanted to love it...</t>
  </si>
  <si>
    <t>I really like the look of the top when it is photographed on other people but it just isn't for me. the fabric is stiffer than i would have expected and not very moveable. the fit is not quite right on me. the longer sleeves detract from the look of the shirt. i also generally prefer things a little more form fitting of which this is not. it was not very comfortable for me either, so this was clearly not a win for me.</t>
  </si>
  <si>
    <t>This top is absolutely adorable, fits small on top and then flares out a bit as shown. i bought it months ago and haven't worn it yet though. might try it with white jeans as shown.</t>
  </si>
  <si>
    <t>Too billowy</t>
  </si>
  <si>
    <t>Bought this top at my local store and tried it on as soon as i got home. yikes! it was way too billowy, i looked like i was pregnant. will be trying the next size down on in the store to see if it is billowy.</t>
  </si>
  <si>
    <t>Must see in person</t>
  </si>
  <si>
    <t>Gorgeous baby blue lace is a must see. i received many compliments. my only gripe is that i don't love when shirts have those connecting camisoles (which make it harder to put on) as i would much rather just have a sewn in lining, but it didn't deter me. i am 5'5", 135lbs, 34c, muscular/curvy frame and a size 4 fit perfectly.</t>
  </si>
  <si>
    <t>Super cute poncho to add to my wardrobe.  love the grey color and the material is super soft.  glad i snagged this up for less than $30!</t>
  </si>
  <si>
    <t>Stunning top</t>
  </si>
  <si>
    <t>Great top!! love the fit, it pairs great with dark denim and pearls!! i ordered a 00 and am a 32c cup and 24-25 waist</t>
  </si>
  <si>
    <t>This top/jacket is less red than it appears in the pictures - more of a wine color (as it is labeled) but it is pretty and the gold details are nice.</t>
  </si>
  <si>
    <t>This sweater is a perfect transition piece!  the material is really soft. while it has the shape of a poncho it is cut nicely and doesn't make you look like a big blob.</t>
  </si>
  <si>
    <t>Love!!!</t>
  </si>
  <si>
    <t>I am obsessed with this top. it is even more gorgeous in person.... a real showstopper!</t>
  </si>
  <si>
    <t>Perfect for fall layering</t>
  </si>
  <si>
    <t>Beautiful color and a great lightweight piece for fall layering. the petite sizing was perfect for me. more like a belted kimono. very happy with this purchase</t>
  </si>
  <si>
    <t>It's really cute but seems expensive for the type of fabric. i thought it would be more substantial. got lots of compliments .</t>
  </si>
  <si>
    <t>Beautiful fabric / odd fit</t>
  </si>
  <si>
    <t>Really wanted to love dress but something was off with fit. fabric is lovely and zipper detail nice unfortunately style was not for me.</t>
  </si>
  <si>
    <t>Soft, subtle loveliness</t>
  </si>
  <si>
    <t>This a lovely piece. you have to see it close up to appreciate the subtle details. i typically wear xxsp or xsp, so i did not expect this to fit, but decided to try it because i liked the style. as a petite, many poncho styles overwhelm me and look like tents. not this one. the xxs fit nicely - just the right length and width. i am 5'1" and 108 lbs. i think one of the reasons this has not been popular is because it only shows up when searching on ponchos, and not when you search for sweaters. it</t>
  </si>
  <si>
    <t>Happy top!</t>
  </si>
  <si>
    <t>In the midst of the end-of-winter doldrums, i tried this cute top on. springy. powdery. happy. the lace is soft, not too stiff or scratchy, and lightweight enough to transition nicely into summer. because the cami is a separate piece, i also envision wearing this as a top over a slip-dress with some retro mary janes. the sleeve length makes it fair game for late winter, too. yay!</t>
  </si>
  <si>
    <t>Absolutely love this top. it is beautiful, well made and so unique.</t>
  </si>
  <si>
    <t>Wanted to love it</t>
  </si>
  <si>
    <t>An absolutely gorgeous, but poorly fitting blouse. the bottom part is way too billowy and inconsistent with the fitted top half. got it on sale and still returned it.</t>
  </si>
  <si>
    <t>Great overall, but with it's issues</t>
  </si>
  <si>
    <t>This top is really pretty and i received a lot of compliments on it. i said it ran true to size, but really the torso part runs a little big. if i had sized down, i think it would have been too tight in the arms. the cami that came with it kept falling out, which is no big deal, but be aware that the strings might not hold the cami with the shirt. overall, it's a really pretty blue and the details make it worth it.</t>
  </si>
  <si>
    <t>Cute shirt, but not for me</t>
  </si>
  <si>
    <t>The blue lace with the white top underneath is very pretty. unfortunately i did not like how billowy it was below the bra line.</t>
  </si>
  <si>
    <t>It is definitely pinned back on the model in the photograph. it made my 5 foot frame look short and wide.</t>
  </si>
  <si>
    <t>Not black</t>
  </si>
  <si>
    <t>For reference i am 5'5' 138 lbs with an hourglass figure and my usual small fit perfectly. the problems: 1. this skirt is not black but a charcoal gray/purple. 2. the sipper is reinforces with a stiff boarder on the inside so no matter where i put the waist it sticks straight out making me look like i have a tail under my skirt. in other words, i had a very pointy butt. also the slit or tulip part of the skirt goes all the way up to the waist, it needed to be tacked to the other part of the skir</t>
  </si>
  <si>
    <t>I knew i wanted this top the moment i saw it, so onto my wishlist it went until it went on sale! it fits beautifully in my normal size and i love that it already has a coordinating tank top. i get compliments whenever i wear it- think hd in paris might be my new go-to!</t>
  </si>
  <si>
    <t>This is probably a blouse for curvy women. with that i mean large breasted. i am a 40d and the xl fits well and the cleavage is in the limit of ok for the office. the bottom is a little too large but not too long. however, the fabric feels extremely comfortable and it stretches but it doesn't lose the shape. i am tempted to buy 2 more. if you are thin, you probably need to size down.</t>
  </si>
  <si>
    <t>Soft lightweight and cool</t>
  </si>
  <si>
    <t>This tee is super soft and thin. perfect for hot humid days. i went with the neutral version and it is adorable with chino shorts or jean shorts. i found it ran big.. i purchased in xs and still pretty baggy.</t>
  </si>
  <si>
    <t>Not the same</t>
  </si>
  <si>
    <t>I've been buying stevie ankles for years from retailer and been very happy. the past two pairs i bought had a heavy chemical smell, which i imagine is some kind of starch/chemical to keep the denim stiff. with the first pair, after enough washes to get rid of the bad smell (4), they lost all form and looked terrible since they were washed i couldn't return them. the 2nd pair arrived with the same heavy smell and i returned them. it may be they are made elsewhere now, but it's disappointing.</t>
  </si>
  <si>
    <t>Beautiful dress! excellent detail! loved everything about this dress except for the weight. this dress is very heavy which limits my wearing options in fl. given the fabric, this is a great special occasion dress.</t>
  </si>
  <si>
    <t>I'm so incredibly disappointed. the dress is beautiful but the one i received is torn and has multiple strands of beads missing. poor quality control.</t>
  </si>
  <si>
    <t>Yeh, what she said.....</t>
  </si>
  <si>
    <t>Yep. this is snug, so maybe you might consider upping your normal size. but here's the annoying thing for me...the buttons fell off. not kidding. the first i wore this blouse and two buttons came off. when i looked at the other ones i saw that they all needed to be resewn to keep them attached. what a bother. but i'm doing it because the cotton poplin is nice and the little ruffle is a nice touch that i really like . where am i going to find another? so i'll fix it up the way it should have been</t>
  </si>
  <si>
    <t>My favorite workout leggings</t>
  </si>
  <si>
    <t>These leggings are wonderful. they are incredibly soft, and stay in place when working out.</t>
  </si>
  <si>
    <t>Pretty details</t>
  </si>
  <si>
    <t>I initially tried this on in store and fell in love with the beautiful cut out details and fit. the star design is really cute and unique and the blue color is not see-through at all. i eventually had to buy the blouse online because i could not stop thinking about it. also machine washable is a major plus.</t>
  </si>
  <si>
    <t>Another shirt i really wanted to love. i adore green but so few tops are made in this color. (please make more!!) however, this shirt didn't work for me. i think it's a matter of where your curves live. the shirt was true to size, but my boobs meant i was showing more cleavage than the model, and the top part felt more like a bib than embroidery. sad coz it is lovely and feels lovely on. probably a great shirt for different body types. would love to see more green clothing....</t>
  </si>
  <si>
    <t>Not what i wanted</t>
  </si>
  <si>
    <t>I am reasonably petite, but i like sweaters very oversized and large, so i ordered this sweater in a large. i was very disappointed when the sweater came because while the sleeves and upper chest area were in large, the length of the sweater did not at all increase when the size did. because the lower part of the sweater did not increase in size, the sweater ended up looking very awkward, with the chest and sleeves very large and long but then a very tight and short (waist-length) stomach. i do</t>
  </si>
  <si>
    <t>Weird boobs</t>
  </si>
  <si>
    <t>I wanted to love this dress, and thought it would be perfect for a barn wedding i have coming up. it was allllllmost right but sadly fell short. the bib that hangs over the bust hits in a really unflattering mid point that makes you look wide. nipple tassels effect. plus i would feel the urge to keep pulling it down. did notice some of the puckering others mentioned but didn't bother me, however, the way the lining and the dress line up at the bottom did. so close, so sad</t>
  </si>
  <si>
    <t>Nothing special</t>
  </si>
  <si>
    <t>I ordered the grey/yellow "here comes the sun" shirt. it's cute, but it runs quite large and isn't special enough for the price. meh.</t>
  </si>
  <si>
    <t>Great find.</t>
  </si>
  <si>
    <t>This dress has special written all over it. the poms at the hem and bodice, as well as the rows of black seed beads push are the kind of details that stand out. i like all the varying textures. it looks great with sandals or short boots. fits true to size. a nice sassy length.</t>
  </si>
  <si>
    <t>Wish it was longer length</t>
  </si>
  <si>
    <t>I ordered the light pink version in size xl. the details of the top and the shade of pink are pretty. but, the shirt fits me much shorter than on the model. i'm not quite 5 ft. 6 inches so it should have worked. the material is thin so i was able to stretch it out to give more length. it does look stretched-out now though. i washed it and it shrank a bit so i stretched it again. this is a top that i kept to wear under vests. the pretty colors and the softness of the material make it worth keepin</t>
  </si>
  <si>
    <t>Great summer  dress</t>
  </si>
  <si>
    <t>I found this dress at my local retailer must be a web order return i feel in love with it once i put it on its better in person that online but it does run a little tight in the chest area  it was fine for me as i'm not big busted</t>
  </si>
  <si>
    <t>Looks like a babydoll dress</t>
  </si>
  <si>
    <t>I wanted to love this dress as it would have been perfect for a wedding i have in october however, the fit was awful;. the dress was heavy with a funky liner. it also had these little black straps around the top of the arm/neck that looked out of place. it ran true to size but i have a large chest (32dd) and it was pretty fitted around the area but loose everywhere else. 
sadly, dress had to be returned.</t>
  </si>
  <si>
    <t>Great jeans!</t>
  </si>
  <si>
    <t>I tried these on in-store not intending to buy them (was trying on shirts and needed to see how they would look with jeans!) and loved them! great "medium blue" color and they fit me so nicely (i am 5'2" with actual hips and thighs :) ...the price is a bit high for me though. hoping to find a pair at some point when they are on sale!</t>
  </si>
  <si>
    <t>Beautiful and soft, yet length is deceiving!</t>
  </si>
  <si>
    <t>It is such a cute design and very soft and comfortable, but the picture for this product is very deceiving! it looks like the sweater is fairly long in the pictured product page, but it is considerably short. i am nearly six foot tall, but thought by this picture it would be lengthy, not at all!
it is a beautiful sweater, might work better for a shorter stature.</t>
  </si>
  <si>
    <t>Love the way it looks, but couldn't keep it</t>
  </si>
  <si>
    <t>I ordered this blouse online bc i couldn't find it in my local stores once it was on sale. the fabric is so delicate. the cutouts had already frayed and in some places torn. had to return it.</t>
  </si>
  <si>
    <t>As expected</t>
  </si>
  <si>
    <t>I like this top. yes it is very cropped and fitted but that's the style as shown on the model in the picture. but its true this style may not fits everyone. it probably flatters those of athletic or petite figure more than a full figure. i am 5' 6" 110#. my usual size is xs. the top looks small to me at first so i tried both size xs and s. i took the xs cause i like it look fitted than loose. i wear this top with high waist fitted skirts or pants and it looks great. if this top can be an inch lo</t>
  </si>
  <si>
    <t>Very disappointed. the cutouts started to rip the first time i wore it. i've only worn it twice and i love it but the cut outs are embarrassing.</t>
  </si>
  <si>
    <t>Huge bummer. this top is definitely a crop/midi-top. plus, it's cream, not white like shown in the photos. i'm returning it today.</t>
  </si>
  <si>
    <t>Love this soft sweatshirt. the peplum makes it a little different and the quality is great. go to piece for spring. loose fitting but true to size in shoulders.</t>
  </si>
  <si>
    <t>I was so excited to get this dress. i need it for a wedding, and i thought i had hit the jackpot. the dress arrived with a small tear. the seams are puckered and badly seen.  for an almost $300.00 dress, the quality is terrible. i expect better from retailer. i'm so disappointed.</t>
  </si>
  <si>
    <t>Odd cut</t>
  </si>
  <si>
    <t>This is a very pretty shirt which is too narrow across the back. i need to be able to move my arms freely at work, so this did not work for me. you may be able to size up for a better fit if moving your arms is important to you.</t>
  </si>
  <si>
    <t>Beautiful winter color</t>
  </si>
  <si>
    <t>Beautiful and very feminine look but run big. i m 5ft 105 lbs curvy , size 00 fit me well</t>
  </si>
  <si>
    <t>I really like this jacket. very comfortable, nice material. i like the weight of this jacket, i wore it alone but it will be cute with a t-shirt under it too.</t>
  </si>
  <si>
    <t>Ordered this dress for a summer wedding. it is so cute! true to size, well made with a hint of tulle. super comfortable for moving and dancing. winner!</t>
  </si>
  <si>
    <t>Odd, boxy fit</t>
  </si>
  <si>
    <t>I purchased this shirt in grey. i loved the color and the details, especially the lace on the shoulders. i just found the fit to be off for me. the style certainly calls for a relaxed fit but the small was loose in an unflattering way. had the xs been available i might have considered exchanging for an xs but the s was already a bit short on me. (strange because although i am not petite, i am fairly short wasted.) i also wasn't in love with the neckline. i will continue my search for a weekend-w</t>
  </si>
  <si>
    <t>Very nice top, fits true to size, a little short buy looks nice with jeans or work pants</t>
  </si>
  <si>
    <t>Unflattering</t>
  </si>
  <si>
    <t>It's short and wide. not a good combo for anyone who isn't stick thin.</t>
  </si>
  <si>
    <t>Umm what is this</t>
  </si>
  <si>
    <t>I wish i had read all the reviews before purchasing. the sweater looked liked everything i would be interested in online. once i pulled it out of the bag, my first thought was how could retailer send me a used, washed and shrunken sweater. it is nothing like the picture. it fits like a midriff top, not exaggerating. i'm 5.6, ordered the m, don't waste your shipping money on this.</t>
  </si>
  <si>
    <t>I purchased this sweater in a small . nothing on the web site states it has dolman sleeves! it looked sloppy and made my bust disappear! it went back i hate dolman sleeves.</t>
  </si>
  <si>
    <t>Love this t-shirt. the weight is great for the impending heat and humidity of summer. it looks positively fabulous for casual occasions with pilcro chinos in moss and fuchsia suede pumps.</t>
  </si>
  <si>
    <t>Very delicate</t>
  </si>
  <si>
    <t>Cute top but started disintegrating after two washes. the delicate cutouts in the top tore apart. i machine washed it in the gentle cycle and didn't use the dryer. disappointed to have to discard the top after just buying it.</t>
  </si>
  <si>
    <t>Nice summer t-shirt</t>
  </si>
  <si>
    <t>I purchased the yellow and i am quite happy. it matches a lot of things that i already own. nice summer tee.</t>
  </si>
  <si>
    <t>This shirt will brighten you day</t>
  </si>
  <si>
    <t>I bought the "here comes the sun" version of this shirt. i had to have it. i'm a cervical cancer survivor who is still dealing with some health issues. i recently attended a cancer survivor event where a women talked about her life with cancer. she said that you no longer counts the years of her life, instead she counts her sunny days. i was inspired to do the same. so, i love this shirt. i got it on sale, but it still could've been cheaper.</t>
  </si>
  <si>
    <t>Too delicate</t>
  </si>
  <si>
    <t>I received this as a gift. it is a very pretty top, but the material is sooo delicate that the cutout areas were torn in many spots and where it wasn't torn completely you could see it fraying. the sales associate said they get many returns on this item.</t>
  </si>
  <si>
    <t>Very cute tee!</t>
  </si>
  <si>
    <t>Love this tee! lightweight, airy and comfy. i think it fits true to size. so soft and summery. can't wait to wear it this summer!</t>
  </si>
  <si>
    <t>Beautiful and tailored.</t>
  </si>
  <si>
    <t>This is much more a blouse than a "tee". the detailing is beautiful and the fabric on the back is a more stuff, starched cotton, not stretchy jersey. because of that i felt like this top ran small. i had to size up.</t>
  </si>
  <si>
    <t>Star print is so pretty!</t>
  </si>
  <si>
    <t>I tried this on today and i wish i had taken it home. for me it was true to size, and the star print was perfect. flowy but not in maternity way at all. i'm gonna have to go back for this one!</t>
  </si>
  <si>
    <t>Soft and cute</t>
  </si>
  <si>
    <t>This runs way big.  i would recommend sizing down at least one size.  possibly 2.
i got the design with divers.  it's fun and light for summer.  soft material and very comfy.</t>
  </si>
  <si>
    <t>Although i love the soft feel of the sweater, the zig zag design was very unflattering. also, the length is much shorter than appears in the picture. i will be returning it.</t>
  </si>
  <si>
    <t>Lovely but armholes too revealing for me...</t>
  </si>
  <si>
    <t>Wished this had worked for me! however, i prefer smaller armholes so my bra and skin (not so young anymore) don't show. the beige lining shows at the armholes as well. on the upside, it's very slimming even with the stiff petticoat. so cute! perfect length for me. another caveat -- if your back is not completely symmetrical, as mine isn't, the decorative back straps sit in a wonky position. i'm 98 lbs, 4' 10", and the oop was perfect but for the above objections.</t>
  </si>
  <si>
    <t>Very cute everyday dress</t>
  </si>
  <si>
    <t>The retailer store by me only carried these in the petites, but i've learned to always snag a petite just to see because sometimes the petites fit just as well, if not better, depending on the length of the outfit!
______________
pros:
- looks exactly the same in person as online. color runs true.
- well made, good stitching, solid dress.
- great length in the sleeves.
- fits tts. i'm normally a size 10 or 12 and grabbed the 12p to see how it'd fit. other than being too short in length on my</t>
  </si>
  <si>
    <t>Simply dive-ine!</t>
  </si>
  <si>
    <t>Love the diving beauty version, it is charming without being too "cutsie" which i stay away from. the epitome of summer and that grab and go easy little statement. i find it runs true to size...you could safely size down if need be. love it! thinking of getting the here comes the sun too! tuck it in, tie it in the back or side or great just draping...love the little touch on the sleeve too...nice surprise!</t>
  </si>
  <si>
    <t>A lovely piece to be worn and cherished</t>
  </si>
  <si>
    <t>This is great. on the model it looks largish, but on me it doesn't. if you're curvier like me (5'10", 155, 32e) it may be more fitted. long arms with great wrists. design is just as shown. not a sturdy piece. but not cheap looking in any way. i plan to hand-wash and not drop coffee down the front so i can wear it for a long time. just what i want to wear on certain days, and more colors would be great. thanks, retailer.</t>
  </si>
  <si>
    <t>This is a really flattering tee for my curves. pretty lace details. i purchased the gray and ordered the wine. the pink looked more peach to me in the store. only reason for 4 stars is that the back material wrinkles easily. true to size (large) for me.</t>
  </si>
  <si>
    <t>Comfortable material, fits true to size, love the color and can wear all year round. selected this dress for a fall wedding and its a keeper!</t>
  </si>
  <si>
    <t>I stumbled across this dress at the store and fell in love. it's so bright and cheery but still sophisticated enough for most events. i love that the tulle that gives the skirt a slight flare and body is completely concealed. the dress is well lined and darling. i am small chested so i didn't have an issue with it feeling revealing nor did the lining hang out. i purchased this for my rehearsal and rehearsal dinner for my summer wedding. i look forward to wearing the dress many times after.</t>
  </si>
  <si>
    <t>Sassy maxi</t>
  </si>
  <si>
    <t>I"m not crazy about maxi dresses so when i found this fun print with fringe-it spoke my language. love this dress. feel this dress will work with many seasons. dress falls nicely and feels comfortable. i was worried it would be too long but with a 2 inch heel-its perfect. have paired it with some red dangled earrings that spice it just right.</t>
  </si>
  <si>
    <t>A poor quality dress</t>
  </si>
  <si>
    <t>For the price of this dress, i was expecting something decent. the style is cute, but nothing more. however, the type of the polyester that the dress is made of.... oh my. it is a thick unpleasant material, that will cling to a body when it is hot. i never came across an item at retailer that was made this cheaply.
the tag on the back was hanging at half and the button on the front was ready to come off before i even tried this dress on.
no need to say - it's going back asap.
you should not sel</t>
  </si>
  <si>
    <t>This sweater is short in length</t>
  </si>
  <si>
    <t>I have been wanting this sweater and decided to order. when i received it, there was no tag on the product. it was not in a typical clear bag from retailer and it wasn't packaged nicely. it came from reno, nv. most products i order do not get shipped from there. it is short, and i'm 5'1". most clothes that are short fit me with no problem. this sweater might hit me at the waist, or maybe shorter. i think the color is nice and the sweater is soft but not what i wanted. i am going to return it</t>
  </si>
  <si>
    <t>Signature retailer sweater</t>
  </si>
  <si>
    <t>Fantastic signature retailer styling with this unique statement sweater. the pattern placement has a slimming look on the front and a rear enhancing look from behind. i've been using the super soft removable fur collar as a scarf and stole for my other outfits as well. the length is almost tunic on me, so it looks great with leggings and skinny jeans while buttoned up. if you choose to remove the fur collar the v-neck is very open, so i keep it unbuttoned when i style it that way. knit fabric is s</t>
  </si>
  <si>
    <t>Beautiful and unique dress</t>
  </si>
  <si>
    <t>I purchased this dress for my bridal shower and it was perfect! the details on it are amazing-delicate and lovely! i am 5'11'' and it hit just above my ankles which i loved because i could show off my shoes!</t>
  </si>
  <si>
    <t>Nice dress, fit is ok</t>
  </si>
  <si>
    <t>I love the style of this dress and the color is beautiful and very much like the photo. like previous reviewers mentioned, the top is a little loose in comparison to the bottom. i originally bought a size 4 but then exchanged it for a 2. i tend to be between those sizes. the 2 fits great on bottom but the straps are a bit loose. it might be better for bigger busted ladies!</t>
  </si>
  <si>
    <t>Really soft</t>
  </si>
  <si>
    <t>I bought the design which has now sold out, of the sailboats and waves along the top. the t-shirt is super soft and thin. but, it's not sheer or see-through. very light and cool for hot humid summer days. has some nice stretch as well. a really gentle cotton knit.
this top does run large. maybe that's so it will be cool and not stick to you? thus, i didn't size down because i don't like clothes too form-fitting on super hot days.</t>
  </si>
  <si>
    <t>A little big up top</t>
  </si>
  <si>
    <t>Overall i really like this dress. the color is vibrant &amp; unique. the top of the dress especially the shoulder straps seem loose so i'm getting it tailored.</t>
  </si>
  <si>
    <t>Lovely lace top!</t>
  </si>
  <si>
    <t>Bought this in green at my local store and fell in love with it! i also tried one in pink and it was a bit sheer which is why i opted for the green color instead. very nice and feminine.</t>
  </si>
  <si>
    <t>Skirt flares more than it looks</t>
  </si>
  <si>
    <t>Very cute dress but the skirt flares out more than it looks in the picture. this made my midsection look unflattering from the side. also, for some who is on the flat chested side, you need a good bra or alteration (at least for me). despite what i listed above, i kept the dress since it's a versatile dress for many occasions.</t>
  </si>
  <si>
    <t>Oh, so gorgeous</t>
  </si>
  <si>
    <t>I just couldn't resist this dress! it's blue, it's fun, it's feminine. the color is so vivid and beautiful in person. i was worried that the length would be an issue (i bought a regular size instead of my normal petite), but i feel that it is perfect. it fits great, and i know i will wear it a lot this summer.</t>
  </si>
  <si>
    <t>Love these jeans!</t>
  </si>
  <si>
    <t>Great fit, perfect length! so happy with these jeans. the fabric is pretty stretchy but definitely still has a denim feel. very soft - love these jeans!</t>
  </si>
  <si>
    <t>Beautiful feminine blouse</t>
  </si>
  <si>
    <t>I bought this top at my local retailer in a burgundy color. it is so beautiful and feminine. i want to get it in the other color they had in the store and also this black one available on-line. i bought it in a size 6 and i am 5' 2" , 34d. i sometimes get tops in petite but i felt the reg size fit just fine.</t>
  </si>
  <si>
    <t>Great detail</t>
  </si>
  <si>
    <t>I purchased this item as a gift for my wife and she loves it. the quality for the price is great. soft and comfortable. needs to be washed with care but is worth it</t>
  </si>
  <si>
    <t>Pretty; low cut arm holes</t>
  </si>
  <si>
    <t>Gorgeous fun dress, but the cut in the armholes (6 petite) is really low. so low even a strapless bra peeks above it. there are also lining issues (could have been with just my one choice) where the lining is not stitched well around the armholes so it shows too much. back is stunning. i would say that if you can go bra less this could be so awesome. it didn't work for my body because i have to wear a bra, but i think its a winner for someone.</t>
  </si>
  <si>
    <t>Very pretty - runs large (busty petites rejoice 3)</t>
  </si>
  <si>
    <t>I kept the size 8 of the dress and had to return the 10 as it was too roomy at the arms and chest (which is great!!!). material is nice and not too much material, hangs nice (its a swing). another win!</t>
  </si>
  <si>
    <t>Many compliments - great color and so comfy. most of my dresses from retailer are maeve brand, and i have never been disappointed.</t>
  </si>
  <si>
    <t>Tts and very very sleek and flattering. just love for summer. nice light weight. feel great on and not saggy. nice color addition since my other favorite are lighter shade of blue.</t>
  </si>
  <si>
    <t>Gorgeous turquoise color</t>
  </si>
  <si>
    <t>I really love this this dress, but i agree with the previous reviewer about the belt around the waist-it is a draped piece of fabric that is very figure flattering where it wraps, but one side of the dress has no belt and it shows muffin tops/bulges.i would have loved this if the belt went all the way around. one other point i would like to make is that bra straps are hard to conceal. i bought this dress because of the gorgeous color, but ended up returning it because of the belt and bra strap i</t>
  </si>
  <si>
    <t>Skarlett blue demi convertible bra review</t>
  </si>
  <si>
    <t>This is by far the most comfortable bra i've ever owned. i love the convertible strap feature. it's great for shirts with a back cutout.</t>
  </si>
  <si>
    <t>Much cuter in the picture</t>
  </si>
  <si>
    <t>This top runs small across the top. i was amazed at the material--polyester, i am sure--because the price was so high. it has a sheer layer underneath, which i think would make it hot in the summer. i love this kind of tank but it just did not look as good as it does online.</t>
  </si>
  <si>
    <t>Cute and comfy dress</t>
  </si>
  <si>
    <t>Love this dress. the fabric is super soft and flowy. be aware that the model is a tall gal.... i'm usually a size 8/10 in dresses and purchased a large. returned it for a large petite as it went way past my knees. looks funny if it is below the knee. the petite is perfect.</t>
  </si>
  <si>
    <t>Adorable tank!</t>
  </si>
  <si>
    <t>I bought this tank in the blue popsicle print, and i think it's cuter in person than it is online. the beautiful pastel colors on the popsicles really stand out and make it special. i am normally a size 4-6, and the small fits me perfectly. also, i appreciate that it's lined. i wore it with skinnies, and received lots of compliments. it's the perfect tank for summer!</t>
  </si>
  <si>
    <t>Very pretty but also very roomy. i'm using it as a swimsuit cover up, so it's perfect!</t>
  </si>
  <si>
    <t>Almost</t>
  </si>
  <si>
    <t>I ordered these in my typical size, 26, and they fit everywhere perfectly except the butt. for me, i found them to be too tight in that area. i went to the store and tried on the 27 and they were too big in the waist. i do recommend them though. they are well made, i loved the wash and the length was perfect. being 5'3" they came to the lower ankle and that was fine with me. give them a try, hopefully they work better for you.</t>
  </si>
  <si>
    <t>Lovely feel and color</t>
  </si>
  <si>
    <t>I tried on the xs in the store (115 lbs, 30dd chest, short). fit: i think it is a little big, i would tend to go for a xxs petite in this for me, the length was ok, but would look more flattering in petite. also, the waist was on the looser side. the green color is amazing though, very flattering and springy/summery. the flow of the dress is also very nice. the weird thing is the belt at the waist, it starts a little off from the seam, and doesn't go all the way around, not sure if i love it or</t>
  </si>
  <si>
    <t>Beautiful chemise!</t>
  </si>
  <si>
    <t>This well made chemise is figure flattering and just the right length for me (5'2"). i would wear it as a slip or a nightie. looking forward to wearing it!</t>
  </si>
  <si>
    <t>This is just a fantastic dress! i bought it in my usual m in the blue and it fits like a glove. i love the varying lengths and the adorable sleeves and the substantial knit which feels amazing on the body without revealing any bumps and lumps :) i took the regular length and found it perfect. the front hits about two inches above my knee and the rest hits a bit lower. i'm only 5"1, but i prefer dresses that hit closer to my knee than mini so the regular was perfect for me
definitely a keeper!</t>
  </si>
  <si>
    <t>Perfect ease</t>
  </si>
  <si>
    <t>This dress is perfection it is extremely comfortable and versatile. great for dressing up or down. i am large busted (36g) so was delighted that it stretches as this is a problem for me finding clothing to fit allover. i am petite 5"1 with a curvy figure and a regular medium fit great!</t>
  </si>
  <si>
    <t>Very messy t-shirt</t>
  </si>
  <si>
    <t>I ordered this in the "plum" color, which in real life just looks like a very, very dark brown. that would probably be okay, but the dress is actually about 3 inches shorter than the listed measurements. i ordered the regular length, but the shortest part of the hem hits me only about halfway down my thigh...way, way too short. i am 5'5", for reference. lastly, i think the fabric is just awful quality, especially for this price point. the slight texture makes it want to cling to itself - worn ou</t>
  </si>
  <si>
    <t>Down with drycleaning</t>
  </si>
  <si>
    <t>The price is high and i have to dry clean this? no thanks.</t>
  </si>
  <si>
    <t>Great maxi dress</t>
  </si>
  <si>
    <t>This is a great summer maxi dress. i am 5'4" 120lbs, about a size 4 in dresses, 32dd. i got this in an extra small. i was really happy that on someone my height, it's just a few inches above my ankle, so did not shorten me at all. the straps were a good length, and the waist hit at the right spot. i don't think the waist detail not going all the way around is a big deal, there are the little snaps in the straps for your bra, and skirt is lined. the turquoise color is really pretty and the fabric</t>
  </si>
  <si>
    <t>Bad fit for me</t>
  </si>
  <si>
    <t>This dress had so much promise from the picture. i loved the midi length, color, and fascinating waist detail. i ordered online, so there was no way to try on before purchasing. the fit was disappointing. it fell in an unflattering manner at every point; a tad too low at the waist; a tad too long at the shin. just kind of saggy all around. bummed, but this is not to say it wouldn't fit someone with a different body shape better. the quality of fabric is nice, and the color is lovely.</t>
  </si>
  <si>
    <t>Comfort</t>
  </si>
  <si>
    <t>This dress is super comfortable and the material is so soft. the fit is very flattering and will cover any imperfections if you are heavier and want to hide anything. its more fitted in the top and drapes on the body very nicely. the hem is asymmetrical and the highest part of the hem hits about 2 inches above my knee and i am 5'3.'' i will wear this with tights for work. color is very nice also.</t>
  </si>
  <si>
    <t>Great dress, too short</t>
  </si>
  <si>
    <t>Dress is very pretty, but very short, almost tunic length.</t>
  </si>
  <si>
    <t>Perfect for everyone!!!!</t>
  </si>
  <si>
    <t>I love this dress!!! it's comfortable, flattering and stylish. looks great with flats or boots - awesome with a chunky scarf and tights.</t>
  </si>
  <si>
    <t>I loved this dress on way more than i expected to - the pictures don't do it justice. the fabric is soft and is a really nice weight - heavier than i expected, which makes the dress hang in a really flattering way. the belt doesn't go all the way around, as other reviewers said, but i actually kind of like it that way. i almost didn't try it on based on some of the other reviews, but i'm sooooo glad i did. it's a really cute dress - will look great as is, or with a light cardigan if it's a littl</t>
  </si>
  <si>
    <t>Comfy, runs large</t>
  </si>
  <si>
    <t>I like the style, but i ordered an extra small (i am5'4' 120#) and it was still too loose fitting on me, had to return, hopefully exchange for xxs</t>
  </si>
  <si>
    <t>Super comfy dress</t>
  </si>
  <si>
    <t>I ordered a regular size xs and the length is still fine for me at 5'2". i love the color and the fabric is super soft and comfortable. i'll get a lot of use out of it this summer and the sale price is a great bargain!</t>
  </si>
  <si>
    <t>They keep their shape</t>
  </si>
  <si>
    <t>I'm a big fan of paige jeans. these are perfect for my petite frame. at 5"3' they were ankle length. i tried my normal paige size and ultimately sized up for a better fit at the waist.</t>
  </si>
  <si>
    <t>Don't size up</t>
  </si>
  <si>
    <t>This top is oversized. i normally wear large but thought an xl would be best for sleeping. it's huge. so stick with your normal size or a size down. pretty print. fabric is a bit coarse. undecided about trying a size down because i'm particular and they didn't wow me. also ordered these in the lighter color and they fit the same.</t>
  </si>
  <si>
    <t>Really cute dress, if you can do the handkerchief</t>
  </si>
  <si>
    <t>This is, like many reviewers stated, a very flattering and nice dress. the sleeves were particularly great, because they are slightly longer than most of this type and went past the meaty (for lack of a better word!) part of my arm, only exposing the slimmer bits. it looked great on me, and i imagine it would on most people. i just did not like the handkerchief hem....too young, too trendy? i don't know, when you're in your 40s, you start to feel ridiculous in certain styles! i just didn't feel</t>
  </si>
  <si>
    <t>I am so glad i tried this dress on. it is so chic and beautiful! perfect for an evening out or during the day. i can't believe the price!</t>
  </si>
  <si>
    <t>Worst purchase ever</t>
  </si>
  <si>
    <t>I'm a big retailer buyer- and usually love the dresses, especially the petite xs maxis. this was the worst retailer purchase i have ever made. 
it was humongous and gave me no shape. even if i purchased an xxsp it probably would be the same. i'm small but i mean come on- this would only fit a giantess-- which also makes no sense because it's the petite size. 
do not buy. i'm very upset i have to pay the $5.95 return fee since i ordered this.</t>
  </si>
  <si>
    <t>Not good quality</t>
  </si>
  <si>
    <t>The dress is just ok. i cannot imagine having paid full price for this. i got it for florida vacation. i put it on to wear to church first and spilled a drop of lavender oil on it and it stained!!!! cant get it out. thats punk for a dress that even on sale is like. 
sending back</t>
  </si>
  <si>
    <t>Great summer dress</t>
  </si>
  <si>
    <t>I tried this on in store and was very close to purchasing, but ultimately decided against it because it was too in between causal and dressy to me. i couldn't imagine where i would wear the dress. it was great quality and the green color was very pretty on. you could find a way to wear a bra with the dress.</t>
  </si>
  <si>
    <t>Summer and spring go to tunic</t>
  </si>
  <si>
    <t>I love this! i will sport it in the spring with white capris/ leggings and awesome for a beach cover-up! the fit is comfy the embroidery gives it a feminine touch. i purchased the large but could've gotten away with a slender fit in medium. i am 5'4 170 lbs.</t>
  </si>
  <si>
    <t>Great style</t>
  </si>
  <si>
    <t>I loved this dress and purchased it in my usual m. however, i agree with another reviewer that it is too long for me at least, so i returned this and will buy it in petite instead. if you are shorter (i'm 5'2), the regular length doesn't fall right, the shorter front section falling right at the knee and the longer section falling halfway on my calf . but great style! looking forward to seeing it on me in the petite.</t>
  </si>
  <si>
    <t>Beautiful casual dress</t>
  </si>
  <si>
    <t>Love! highly recommend...usually i wait for sale price but this was worth the extra splurge. so flattering!</t>
  </si>
  <si>
    <t>Perfect and easy to wear dress</t>
  </si>
  <si>
    <t>This is a great dress for all body types. the fabric is substantial and soft.  i sized down for a closer fit, but i could have also bought my usual medium and had the extra space to belt it and wear a looser fit. i busted out the boots, a little early, and the outfit was done.  super easy to wear, dressed up or dressed down.  totally worth the price, i'm glad i didn't wait until it went on sale for fear of selling out.</t>
  </si>
  <si>
    <t>Muumuu</t>
  </si>
  <si>
    <t>Looks fitted on, but this just turned out to be an oversized muumuu on. the fabric also felt cheap.</t>
  </si>
  <si>
    <t>Great fall dress</t>
  </si>
  <si>
    <t>This is a solid well made transistional dress going from late summer to fall. i'm 5'7" and got the medium and it falls a little above my knee. i could see it being very flattering on many body types. i do think you need to accessorize the dress as it is on the bland side. i bought the plum/brown color and am very happy with it.</t>
  </si>
  <si>
    <t>Makes my butt look amazing!!</t>
  </si>
  <si>
    <t>Perfection! i am 5'3"/108 and the size 25 fit me like a glove. beautiful color too!! highly recommend!!</t>
  </si>
  <si>
    <t>Not a halter?</t>
  </si>
  <si>
    <t>Thrilled that this not only fits great on me but i got it at a deep sale price!  all the problems that the negative reviewers had did not apply to me at all.  i'm so glad i gave this a try.  my body is large on top with a square waist, a bit of a tummy, no hips or bum and the medium petite skimmed over all my flaws and made me look more proportionate.  not sure why this is called halter though.  i am 5'3" 36dd, wide torso, size 28 jeans, 140#.</t>
  </si>
  <si>
    <t>Beautiful color and drape</t>
  </si>
  <si>
    <t>Love the style of this dress (length, hem, waist details, material)! i think it looks best on curvy women due to the waist detail only going part way around. it doesn't give the entire waist definition, which is why it would look best on someone who has a naturally defined waist. this is a pretty unique dress, which is one of the reasons i liked it. i agree with one of the previous reviewers about it being hard to conceal your bra straps. unfortunately for me that is a deal breaker because i rea</t>
  </si>
  <si>
    <t>Not a midi on me but still so cute</t>
  </si>
  <si>
    <t>So i got this on sale and the only size they had was a xs petite. i didn't have my hopes very high but i thought i would give it a shot. the dress came today and it fit great. i am 5"6" so the petite came just above my knees but the dress is still adorable. the material and cut is great. this is not what i was looking for but it is a welcome addition.</t>
  </si>
  <si>
    <t>This dress is beautiful. it is longer than it looks on the model (i'm 5/5) but drapes beautifully. it is perfect for a wedding or a special event. i love it!</t>
  </si>
  <si>
    <t>Comfortable and pretty</t>
  </si>
  <si>
    <t>I have mixed feelings about this dress. the color is fantastic. not too bright, not too dark. the material is super soft and comfortable and the length was perfect. i did end up returning this item though as no matter which bra i chose, the straps showed. it just was not hitting my right on the shoulders. i do not like having my bra straps show or constantly be trying to tuck them away (especially at a wedding or work?). this is what ultimately led me to return the dress ? even though it is beau</t>
  </si>
  <si>
    <t>Perfect everyday dress</t>
  </si>
  <si>
    <t>This dress is super soft and really flattering. i'm 5'2" and i tried a regular size m in the store and hated it on me, but decided to order a petite m and give it a try and i love it. it's one i've been wearing a lot with ankle boots and all sorts of jackets. it's great for these fall days that are still warm-ish. would be really cute with tights.</t>
  </si>
  <si>
    <t>Beautiful embroidery</t>
  </si>
  <si>
    <t>This cover up has great potential. i love the embroidery. the colors and design are great. however, it has a number of loose strings. it makes me wonder what might happen when i wash it. the fabric is on the thinner side, but it is not see through. the fabric would be nice for a hot day by the pool. i caught it on sale, so i am keeping it.</t>
  </si>
  <si>
    <t>So cute, but so big!</t>
  </si>
  <si>
    <t>The design of this dress is darling and so unique, and it's very well made. but i agree it's very boxy and overwhelming for a petite frame. i'm 5'3" and ordered the 2, and it was like wearing a hospital gown. if a petite were available i'd have tried that, but this one's going back. shame, too, because it's adorable. the gap in the neckline could easily be stitched or sewn shut, but that's an inconvenience when this dress is already priced so high.</t>
  </si>
  <si>
    <t>Excellent cut and idea,poor fabric c</t>
  </si>
  <si>
    <t>I love the cut and aesthetic of this shirt, but the fabric unfortunately shows even the slightest hint of sweat, which makes it difficult to wear without being self conscious</t>
  </si>
  <si>
    <t>Very cute, runs small</t>
  </si>
  <si>
    <t>Despite other reviewers comments on size - i really wanted this one to work so i ordered it. i'm typically a size xs and d chest and instead i ordered a small. the body of the sit for well but the cups of the suit i'd said for more for a b. (if i lifted my arms i would literally come out of it)</t>
  </si>
  <si>
    <t>Love the sweater. the knit has a rich look and the fit is perfect. i paired it with a printed pencil skirt for an eclectic look. strongly recommend to your wardrobe.</t>
  </si>
  <si>
    <t>Cute shirt but really strange design</t>
  </si>
  <si>
    <t>This is a nice shirt, but i can't keep it. i ordered a 0 and i do have an athletic build with somewhat wider shoulders given how petite i am (usually wear 00 petite in all pants) and i think this size was perfect (fit across the back perfectly) when you lift your arms the way it is cut makes it really tight across the chest and shows your stomach. at the same time, the high low styling makes for a really strange shirt-tail in the back. i'm sure this is the trend but it really does not look cute</t>
  </si>
  <si>
    <t>Too tight and too big at the same time.</t>
  </si>
  <si>
    <t>I'm a 32-a, and i bought a small. i found that the tube portion is pretty tight, but probably needed to keep things up. because there is not a clasp in the front or back, it is really hard to get in and out of. i'd probably be ok with it, but the cups were too big for me. i think i would need to be a c to fill it.
the quality is really nice and the molded cups are a good shape. i wish i could have made it work, because it was really comfortable. i returned it in the end.</t>
  </si>
  <si>
    <t>Best strapless ever</t>
  </si>
  <si>
    <t>Hi ladies,
does this bra take a contortionist to put it on the first time? yes. did my boyfriend laugh at me hysterically while i tried to get it over the girls? yes. however, i am a large chested girl 34d, i bought the large and this is honestly the absolute best, most comfortable, amazing, non hurting/poking best strapless bra i have ever owned. i just bought three more, just in case the first two wear out. i love this, i love how far it comes down on the sides, i love that it doesn't slip do</t>
  </si>
  <si>
    <t>I just got this in the mail &amp; had to immediately write a review. i love it!. i took a risk &amp; ordered the xxs, which i assume is a 00. it fits me perfectly so i would say it runs large. i'm a true dress size 2 but usually wear a 0 or xs in us sizing. the shoulder length from seam to seam is about 14 inches. i'm 32c-24-34. hope this helps!</t>
  </si>
  <si>
    <t>Love it</t>
  </si>
  <si>
    <t>This shirt feels so nice, it's heavier weight and so soft.. i think it's lyocel... such a great drape to the shirt that is so flattering. i am 5'8'' 128lbs and 34c/d and purchased a size 4. found this item to be true to size, if not slightly loose, but i love the flow of it. highly recommend, the green is classic and timeless, very versatile.</t>
  </si>
  <si>
    <t>Love it! the light blue is a gorgeous color. i thought this might be more chambray, but i'm happy it's not. it's also stitched at the top so no awkward accidental peep show or need for annoying tape.</t>
  </si>
  <si>
    <t>Love this top! i bought it last month in the olive green color and love it. great quality fabric, comfortable and can be dressed up or down.</t>
  </si>
  <si>
    <t>This bra runs very small, and is hard to get on and off. i think if i went a size up i would be happier.</t>
  </si>
  <si>
    <t>Much thinner</t>
  </si>
  <si>
    <t>I was so excited to receive this top but was immediately disappointed! it is much thinner than it seems &amp; it almost feels like a cheap top. it's also see-through but i'm not bothered by that. it has a very boxy cut which i like with slimmer bottoms. but overall, i didn't care for this top &amp; expected it to be more structured &amp; stiff rather than flimsy &amp; thin. it's going back...</t>
  </si>
  <si>
    <t>Good luck getting it on!</t>
  </si>
  <si>
    <t>You have to be a contortionist to get this bra on. it slips over your head and i needed my 8yo daughter to help me pull it down past my elbows. ridiculously impractical. why oh why didn't heather give it a hook and loop closure instead?</t>
  </si>
  <si>
    <t>I love this top, i dress it up when i need to be more professional and i dress it down with a pair of cutoffs when it's warm. it is delicate, however, so i try not to wash it too frequently. the front is a bit boxy, which the model demonstrates. the model really encompasses the crisp whiteness of the shirt, the flow of it and the length.</t>
  </si>
  <si>
    <t>Cute but itchy</t>
  </si>
  <si>
    <t>Great fit and design but the wool is too itchy and rough. will need a layer underneath</t>
  </si>
  <si>
    <t>Would love the cut but</t>
  </si>
  <si>
    <t>This was going to be my go to top. i loved the look of the billowy shirt, especially in light blue. when it arrived, i knew it wouldn't work for my body. i'm athletic build with muscular upper arms and a d cup. i tried it on anyway. i really wish it fit. it was snug in the upper arms and pulled a bit in the front. i knew if i ordered a size up the arms would still be tight. it's just the cut of the shirt. this top is best for someone that isn't busty and has slender upper arms.</t>
  </si>
  <si>
    <t>Comfortable strapless</t>
  </si>
  <si>
    <t>While there us no clasp and this bra does require you to pull it over your head, i did not find it to be too difficult. i love that the bra stays in place and that i do not have to constantly pull it up throughout the day! it's quite comfortable too. i wish i had ordered the same bra with the straps too before they sold out of my size!</t>
  </si>
  <si>
    <t>My new favorite pullover</t>
  </si>
  <si>
    <t>Slighty fitted, flattering, very soft and not itchy. the orange is a very nice color.</t>
  </si>
  <si>
    <t>Top gapes open</t>
  </si>
  <si>
    <t>I was looking for an oversized silhouette but this is more like a beach cover-up. the waist does not have elastic or any structure. the top fabric is crossed over but not sewn closed, and because the fit is so loose it just gaps open. the fabric is nice quality but i am returning.</t>
  </si>
  <si>
    <t>Great top to transition to fall!</t>
  </si>
  <si>
    <t>I got tons of compliments when i wore this top out a couple weeks ago. it is a little bit shorter than i thought, and a little bit loose (not "baggy" but just kind of hangs). if you have a larger chest, this may not be super-flattering. the color is really pretty and looked great with dark skinnies. i bought my normal size (after trying on a size down, which was just too short...and i'm 5'2)</t>
  </si>
  <si>
    <t>Nice shirt</t>
  </si>
  <si>
    <t>I loved the color and the style of the sleeves.  it was a bit too short on me and i thought it made me look boxy so i didn't end up keeping it</t>
  </si>
  <si>
    <t>Saw this on the sale rack and decided to try on. i looked like the dancing hypos in the movie fantasia. i am petite and not heavy but this is for very slim and tall people. too much fabric in the peplum part.</t>
  </si>
  <si>
    <t>Amazing product</t>
  </si>
  <si>
    <t>This product is comfortable and stylish. i love the design and the color print. i can dresss it up and dress it down. it goes with everything and also fits great.</t>
  </si>
  <si>
    <t>Best jeans!</t>
  </si>
  <si>
    <t>I got these on sale a few months ago. they are the most comfortable jeans i've ever owned. i'm 5'4 and they are the perfect length for me but i like my jeans a little long.</t>
  </si>
  <si>
    <t>Is this really black?</t>
  </si>
  <si>
    <t>I had this dress in my basket for a long tiem waiting for free shipping. i liekd how it looked on the model. read the reviews, and wasn't sure, so waited... then my usual size sold out, so i decided ot try the smaller size (in petites, otherwsie i would have gotten it in the store :_)) i needed pettie and the smaller size is perfect! the color says black, but it looks more mifnight (aka blue), my friend even said (when i tried it on), you know i laways love anything blue... so don't expect dark</t>
  </si>
  <si>
    <t>Great fall top</t>
  </si>
  <si>
    <t>Love this top for the fall. looks great with dark skinny jean and booties.</t>
  </si>
  <si>
    <t>Love this design it puts a twist on a turtle neck sweater. the only problem i had is that the tie kept coming undone but if you do a double knot the problem is solved! wish i would have bought all the other colors.</t>
  </si>
  <si>
    <t>Loved these!</t>
  </si>
  <si>
    <t>I tried these in store, didn't have much hope as flare usually looks terrible on me (small waist and athletic, fuller legs). but surprisingly these work great. they seem to very good quality and the flare is super cute and on trend. i do think they run a little small. i am almost always a 2/26, but i took these in a 4. they didn't have a 2 in store for me to compare but i think they would have been too tight. highly recommend!</t>
  </si>
  <si>
    <t>Runs a size big unless you want it really boxy. felt the matl was flimsy and would prob pill soon. turquoise was a pretty color but returning this one.</t>
  </si>
  <si>
    <t>I ordered these because i loved the wide cut and overall look. but returned them because they fit weird. too tight around the too high waistline (and normally, i like a high waistline). fit ran small. and the overall quality of the fabric wasn't as nice as i was hoping for. pretty disappointed.</t>
  </si>
  <si>
    <t>Odd dimensions</t>
  </si>
  <si>
    <t>I wanted this tank to work so badly! it was a great deal and so beautiful. unfortunately the top fitted portion ends right below my chest then the shirt flares out so i looked like a cupcake. my belly also showed slightly because the shirt is short. if you have a short torso, this would work great. if not, unfortunately, its not great - tear</t>
  </si>
  <si>
    <t>Not for the well endowed</t>
  </si>
  <si>
    <t>I am 5'8 with curvy, muscular body and 36ddd boobs. the ruffle ends up hitting me right below my breasts and creates the look of being about 6 months pregnant. the beading is beautiful and i wish that it fit.</t>
  </si>
  <si>
    <t>Versatile jacket</t>
  </si>
  <si>
    <t>The sweater coat would be wonderful for cooler weather this fall. i ordered it in medium because the small sizes were sold out. sometimes a medium is the right size depending on the brand. i was disappointed that the coat was so large; i don't think it will work for me even with layers underneath. it's a great design but i may have to return it.</t>
  </si>
  <si>
    <t>Love these pants!!! retailer - please sell more colors and patterns of these! i have a hard time finding work pants that fit right, don't have to be hemmed (i'm 5'3") and aren't boring. this is just enough pattern to be interesting, but still neutral enough to pair with other things. i bought them full price and would happily do so again for another pattern!</t>
  </si>
  <si>
    <t>Ok, lightweight jean</t>
  </si>
  <si>
    <t>I agree with the other reviews that these jeans run big. for my body, straight up and down, i ordered 2 sizes down, but would have ordered one size down had i been able to try them on in the store. the jeans i received were lighter, not blue, and more grey with very noticeable white whiskering. i need a new pair of jearns and i love the cut of these so i am keeping this pair, but, for me, because of the color they are just ok compared to the wow i was expecting from the picture.</t>
  </si>
  <si>
    <t>Great top for everyday wear!</t>
  </si>
  <si>
    <t>This is a very well made top. i love everything about this top! bought it in both colors. i think it's fancy enough to wear out at night or in the daytime with shorts and flip flops. i got it on sale but would have totally paid regular price for it!</t>
  </si>
  <si>
    <t>I wish i hadn't waited so long to buy this! the smalls were sold out in grey by the time i finially did, but the medium ended up being totally fine. perfect for a warmer winter, it is pretty thin so i wouldn't trust it on it's own to keep you warm in cold weather, but easily could be layered! i love the fun aspect of the tie front for this sweater as the front tuck is becoming a little tired in my eyes. i love that you can make it shorter or longer or even tuck it in because the ties aren't sewn</t>
  </si>
  <si>
    <t>Stylish, comfortable and affordable!!!!</t>
  </si>
  <si>
    <t>Love this sweater. i have it in cream and ordering navy. it is comfortable and looks great with pants or a skirt. i do not like my sweaters tight so i have a large and love the fit. i am 5' 4'' and weigh 135 and usually buy medium to large.</t>
  </si>
  <si>
    <t>I love this! seriously would buy again. i wish it was warmer out so i could wear it</t>
  </si>
  <si>
    <t>I love this top. it is very short and hits at a potentially unflattering area if one has wider hips. the fabric and swing to the "skirt" is adorable.</t>
  </si>
  <si>
    <t>Nice fit, nice quality</t>
  </si>
  <si>
    <t>I have a small collection of retailer pants for work, and this pair fit neatly into a hole-- i don't have a fun, patterned pair. i am short (5'2") and definitely needed a petite to get the crop to land in the right spot. my usual 0p fit perfectly up above. the flare seems a bit more pronounced on me than in the picture. the fabric is nice quality, smooth and medium weight with a bit of stretch, and i like the fact that these are machine washable. this gal has other things to do with her life besid</t>
  </si>
  <si>
    <t>This jacket runs very large. i usually wear an xl but probably could fit into a medium. i have long arms, and the sleeves were way past my hands. i love the jacket, but it's just too sloppy.</t>
  </si>
  <si>
    <t>I wanted to like this...</t>
  </si>
  <si>
    <t>I wanted to like this top so so so so badly. so badly in fact, that after the first size didn't fit, i ordered two other sizes to make sure: xl, l, m. none of them worked i really wanted to like this top. the online photo makes the clothing look so flattering and the shirt is just not....at least on me. the shirt online on the model looks slimming and a lot longer than the actual piece of the clothing. the beaded work is very beautiful, but short causing the very poofy peplum to start at the mos</t>
  </si>
  <si>
    <t>Perfect work pants!</t>
  </si>
  <si>
    <t>I love these pants so much i even paid full price for them.  i'm going to order them in navy too.  super cute fit.  cute with flats or heels.</t>
  </si>
  <si>
    <t>Size down</t>
  </si>
  <si>
    <t>I followed the advice of other reviewers and sized down. however, the jacket was still too large. it fit fine in the arms but the body/width of the jacket was huge. also i found the wool material to be extremely itchy. it might work if you are layering it over long sleeves but still make sure to size down at least one or maybe even two sizes.</t>
  </si>
  <si>
    <t>Subtle beauty</t>
  </si>
  <si>
    <t>I stumbled upon this by accident and i thought the turquoise color looks unique so i tried it on, and it was a great fit first time around. i dislike open shoulder blouses because most of them are too open but this one is very sutble which gives it a girl next door sexy look. the material is very soft, the pattern is subtle plaid, and the liner is a plus. size 2 regular fits me very comfortably (i'm 5'2", 34b, 26 waist, 36 hips). i could size down more but i like the relaxed look like on the mod</t>
  </si>
  <si>
    <t>Small in the waist</t>
  </si>
  <si>
    <t>Gorgeous colors on lovely silk skirt. longer on me than in photo, but i'm only 5'4". i usually wear a size 12 or 32" waist jeans, but i could not zip up the large. by several inches. i'm not sure if i can possibly cover the waist and still wear it that way. sad because i've had my eye on this for months:(</t>
  </si>
  <si>
    <t>~~so very retailer~~</t>
  </si>
  <si>
    <t>Absolutely beautiful - 
usually don't leave reviews here, but this top (material, beading, style) is so gorgeous i would be remiss if i didn't. i have a short torso, so the peplum hit me above the belly-button. it's very voluminous, but with the right pants and heels, it is a perfect outfit. as a full-time student, i'm apt to find retailer expensive - but this purchase was so very much worth it. in terms of sizing- i initially got the s to accommodate my bust (30f) but preferred the xs.</t>
  </si>
  <si>
    <t>My new favorite skirt!</t>
  </si>
  <si>
    <t>Very cute! waist is a little big for me but overall a pretty good fit.</t>
  </si>
  <si>
    <t>Bad zipper</t>
  </si>
  <si>
    <t>Beautiful dress with the colors and pleats. i did not have the same problems with the bust area that others did. my biggest complaint is the exposed zipper doesn&amp;#39;t lay flat, even when just hanging on the hanger. when actually on a person the zipper juts out. had to be returned!</t>
  </si>
  <si>
    <t>Tried this on and loved it! chic, lightweight, warm, cute left as is and cuter belted. ended up letting a friend buy it since it was the last one but will be adding to my iso list for sure!</t>
  </si>
  <si>
    <t>Dissapointed</t>
  </si>
  <si>
    <t>I have to confess i had very high hopes for this dress. i was buying it as a stylish, modern alternative to a business suit. i wanted this dress to work as a piece to deliver presentations in or attend faculty functions. tailored, conservative, and edgy at the same time. several hundred dollars dress should meet the aforementioned needs, i thought. but it did not. the best description for the dress is "blah", average.
the material is textures and crinkly, not slick. the top is cream/ivory color</t>
  </si>
  <si>
    <t>I love this shirt! i was surprised by the other reviews. it's boxy, but not unflattering. i get so many compliments on this. a steal for the price.</t>
  </si>
  <si>
    <t>Versatile, great fit, pockets!</t>
  </si>
  <si>
    <t>It's rare to find such a great skirt -- flattering, unique design, substantial (denim-like) fabric, something with pockets! this skirt has everything, including an adjustable buckled waist. i love the slight a-line shape, too. for me it fits true to size (the same size i wear in skirts from other brands). i love the colors -- ivory background, cobalt, periwinkle, orange, blush pink, yellow, black. it will be easy to pair with tees or button-down shirts and cute sandals.</t>
  </si>
  <si>
    <t>Sleeves stretch out</t>
  </si>
  <si>
    <t>I really liked this top when i tried it on but as i wore it the bottom of the sleeves stretched out terrible where they looked worn out from wearing over and over, and since this happened with the first wearing and i paid $88.00 i sent it back. if it hadn't been for that it's a comfy and cute casual top</t>
  </si>
  <si>
    <t>Great fit for curves</t>
  </si>
  <si>
    <t>This skirt fits my curves so well. the adjustable waist is so helpful for getting the perfect fit. it sits high on me, but i have a very long torso so that didn't bother me and actually made the length more flattering for my shorter legs. the colors are vibrant and versatile.</t>
  </si>
  <si>
    <t>Enormous!!</t>
  </si>
  <si>
    <t>I know this product description says oversized but that's an understatement. i ordered a small and tried it on and i looked like a little kid in their father's jacket. i don't even think an xs would have worked. i'm 5'6" and about 135 pounds for reference. i will say that the embroidery on the back is very cool and this jacket is overall a cool concept but it's just way too big.</t>
  </si>
  <si>
    <t>Red "evanthe" dress</t>
  </si>
  <si>
    <t>Agreed with the previous reviewer, this is the same dress as the evanthe dress that came out this summer, but in a rich beautiful red/wine color. the color differences in the pattern are , however, more subtle than the summer version, remaining in one palette. yo u can't tell from the picture, but the back is longer than the front. the neckline is very flattering, i found this one a little more snug than the evanthe (around the rib cage), tried on 00p (size for evanthe) might be better as 0p in</t>
  </si>
  <si>
    <t>Haven't washed well</t>
  </si>
  <si>
    <t>I bought three of these this summer--a mint, ivory, and yellow. when i received them, they looked nice enough in person. i liked the heart motif and the peplum. the problem is the knit was on the cheap side and stretched out. the arms were tighter than i liked but loosened up through the day. but, then the look became more matronly. i wish they had been 3/4 length or a vest. the cheap, outstretched look just didn't work. i ended up donating all of mine after a few wears. they also pilled conside</t>
  </si>
  <si>
    <t>Beautiful, flattering top</t>
  </si>
  <si>
    <t>Ordered this top online, color is a little more gray than green but it is gorgeous, comfortable and flattering, so much so, i am ordering the navy too. great quality , fabulous with jeans .</t>
  </si>
  <si>
    <t>I wear my sunglasses</t>
  </si>
  <si>
    <t>I love this blouse! the colors of the little sunglasses are vibrant against the black background, the buttons on the front are also a coral/peach color and beautifully made. its thin enough to be worn in the summer or fall without making you sweat or freeze. i ordered a medium, which i usually wear in most retailer tops and it fits perfectly. i'm a 36b and can run from an 8 to a 10 in tops. i do recommend trying it on before purchasing if you can, especially for women with a larger bust. th</t>
  </si>
  <si>
    <t>Does not fit well but is beautiful</t>
  </si>
  <si>
    <t>This is such a beautiful dress.  but have to return for the reasons others have noted.  the chest does not fit well.</t>
  </si>
  <si>
    <t>Small-chested women need not apply</t>
  </si>
  <si>
    <t>Girls, this dress is gorgeous.  but if you are an a/b cup, there is just too much fabric in the bust.  the entire dress is pleated from the shoulders down, so a curvier figure would be shown to great advantage in this beautiful number.  alas, i had to send it back and was very sad to do so.</t>
  </si>
  <si>
    <t>Beautiful sweater but not flattering on me</t>
  </si>
  <si>
    <t>Really wanted this to worked for me. ordered the s in ivory (the color i really wanted but xs was sold out) and the xs in cedar.  loved the knit and look and quality but the sweater was boxy and huge even in xs.  not flattering on my petite frame (5'2", 115#).  so disappointed as i've been looking for a non-wool sweater like this.</t>
  </si>
  <si>
    <t>Pop of color</t>
  </si>
  <si>
    <t>This skirt is pleasantly more dynamic in person. the print and colors are really nice and more vibrant than the photos. the cut was spot on and the fabric seems heavy enough to hide imperfections (but not too heavy...) length as shown on model.</t>
  </si>
  <si>
    <t>Dress up or down</t>
  </si>
  <si>
    <t>This top can be dressed up or down, very good quality fabric and colors shown as the photo (blue). i usually wear petite sizes but chose the regular version because i wanted to be able to tuck it in. i think it might be too short otherwise.</t>
  </si>
  <si>
    <t>Awesomesauce!</t>
  </si>
  <si>
    <t>Love the color (cedar). love the style. sleeves are long and wide but that is the style. biggest surprise is that this sweater is not cropped. the length given in the product info is very short. but when i received my normal size (l) the sweater comes to my hips. just right. the fibers are man-made (acrylic) so that makes this sweater not too warm and not itchy. the weave is close enough that i do not need to wear a cami underneath. when the weather gets colder i will add a nice cami under the s</t>
  </si>
  <si>
    <t>Love this!!</t>
  </si>
  <si>
    <t>Love everything about it!! chunky, comfortable, lazy day or dress up with a cool necklace!</t>
  </si>
  <si>
    <t>Lovely but not for me</t>
  </si>
  <si>
    <t>I saw this online and loved it. plus after reading the reviews i thought why not. but if you have a big chest beware. i am a 34ddd and a pretty solid medium. the volumous front of the vest added way to much to me and i sized down to a small. had to return.</t>
  </si>
  <si>
    <t>Great summer print</t>
  </si>
  <si>
    <t>Love, love this clever eyeglass print. i bought the black background with bright sunglass print - perfect for pairing with jeans, shorts or a slender skirt.</t>
  </si>
  <si>
    <t>Great skort</t>
  </si>
  <si>
    <t>Exactly as pictured. great fit. love it.</t>
  </si>
  <si>
    <t>Sweater love!</t>
  </si>
  <si>
    <t>Absolutely love everything about this sweater. i was hesitant to buy because it's so oversized and i was worried it would overwhelm my small frame. but the xs fits great, i love the large knit look and the bell sleeves. pairing with dark denim skinny jeans helped balance out the sweaters oversized shape. wore it work and then to a party and received compliments on it all day.</t>
  </si>
  <si>
    <t>So versitle</t>
  </si>
  <si>
    <t>I wear this vest two ways - over a long sleeve shirt when it's warmer and layered over a shirt and cardigan when it's cooler. it's the perfect amount of warmth when i'm running errands and don't want to wear a heavy coat. love it and plan to wear it a lot!</t>
  </si>
  <si>
    <t>Gorgeous and flexible</t>
  </si>
  <si>
    <t>The quality of this vest is outstanding, and the warmth is exceptional. i have worn it as a jacket on milder days, in work as a warmth layer and brought on vacation to act as both plus a bathrobe. it is a very stylist piece that can be worn open or belted. it runs large by style, but i am 5'1", 100 lbs and i can carry it off.</t>
  </si>
  <si>
    <t>This vest was of excellent weight but it had very little style. it was like a giant piece of felt was cut out with little thought to design or nuance. not for me.</t>
  </si>
  <si>
    <t>Bright spring skirt</t>
  </si>
  <si>
    <t>I love this skirt! it's a denim material, so it's structured, but not too heavy for warm weather. the colors are bright. it may run a bit big, but i didn't have trouble with my usual size. the pockets are actually usable. great for casual and easy to dress up.</t>
  </si>
  <si>
    <t>Love the print of this fabric &amp; the length. the buckles at the waist add a unique look so no belt necessary.</t>
  </si>
  <si>
    <t>W i d e collar</t>
  </si>
  <si>
    <t>I fell for the charcoal one and bought standard size m/l. on first wearing with slim jeans, booties and a long sleeved t, the body of the vest was fine. but with wavy shoulder-length hair, i found the large, wide collar overwhelming at the top. i tried folding the collar under, as in the photo of the gray one, but still too much. i altered it by paring it down by 7 inches at the back neck, and tapering down to meet the lapel at mid-chest. the fabric looks like boiled wool, but is actually a tigh</t>
  </si>
  <si>
    <t>Fun and uniquely dramatically elegant</t>
  </si>
  <si>
    <t>This jacket is my favorite purchase in a while! i used my last month 50th birthday discount on it!
it is of exceptional materials and quality construction. the juxtaposition of the stripes against the beautifully vibrant embroidery on back is stunning! it does run true to size as it is an oversized piece, which adds to its classy dramatic flare! my size medium came in the european size 38. for reference, i am an american size 8-10. 
it is comfortable to wear and can easily accomodate large ful</t>
  </si>
  <si>
    <t>I loved the colors and the feel of the fabric. it was a lovely dress but it fit weird on my 34 dd chest so back it goes. the zipper had one spot where it was tight, right at the widest part of my rib cage. it was fine every where else. too bad.</t>
  </si>
  <si>
    <t>I bought this blouse on sale in a medium because it was the last one left in the store. i usually wear a large, but surprisingly it fit. i'm a woman of color, and the off white and lace looks great with my complexion. i got many compliments on the blouse as i made my way to the register to check out. i can't wait to wear it this spring. i'll have to be careful when wearing this blouse because one good snag with a fingernail, or necklace and the lace will be torn. other than that, i'm very happy</t>
  </si>
  <si>
    <t>Gorgeous shorts</t>
  </si>
  <si>
    <t>These shorts are just beautiful. with that said, they were expensive, but made reasonable when i snagged them in the online sale! they do also run large, and they seem to be made for short-waisted bodies. i will be bringing them back to my local store to (hopefully) exchange for a smaller size. fingers crossed that they still have them in stock!</t>
  </si>
  <si>
    <t>Soft lace and beautiful color</t>
  </si>
  <si>
    <t>I strongly disagree with the previous reviewer. the shirt in our store was featured in all colors.  i chose the burnt orange color to try on and it is was incredibly soft!  i felt like i was wearing a t-shirt with an easy on and easy off feel. the flow of the shirt allows you to wear out or tuck in.  i paired with teal velvet crops and tucked the shirt in for more structure to the outfit. love!!!</t>
  </si>
  <si>
    <t>Love this sweater. fun for fall. soft fabric and runs true to size. will look great with jeans or dress pants.</t>
  </si>
  <si>
    <t>The weave is very loose and chunky which i like but isn't so apparent in the picture. also the sleeves bell more than it looks like on the model. the color is a great caramel and it fit tts. i think it will be great on cooler days.</t>
  </si>
  <si>
    <t>Comfy and classic</t>
  </si>
  <si>
    <t>Love this sweater, do wish i sized up for a little longer length, but works great with high rise pants.  comfy and great color</t>
  </si>
  <si>
    <t>I felt inspired to write a review as soon as i put this on. the vest fits so well, and the thick fabric feels amazing. love the pockets! like the previous reviewer, i feel like i'll be able to wear this with workout clothes or with a dressier outfit. it has an ever so slight racer back, so probably would look weird with sleeveless tops that come all the way to your shoulders, but i can already think about so many ways i want to wear it. the draping in the front also falls really nicely. great bu</t>
  </si>
  <si>
    <t>Ideal fit and feel for gals with curves</t>
  </si>
  <si>
    <t>With my 5'9', hourglass frame, wider hips and having a baby, i wear normally sizes 10/12 (m/l) in most retailer skirts and dresses. however, with this, i was able to fit into an 8; it just sat higher up and was too form fitting for my liking. here are my thoughts:
_________
pros:
- lots of stretch and comfort.
- pockets! always a plus in my book :)
- will go with any top.
- nice length. fit me as in the model.
- very slimming.
- you could probably go down a size if you are slender with not wide hi</t>
  </si>
  <si>
    <t>Madly in love!</t>
  </si>
  <si>
    <t>This is a favulous cape...in fact i would buy another if there were other colors! it is oversized, playful, chic, dramatic and simply put a true statement piece. it will not be flattering to your figure...it is not suppose to...but it will show your true sense of style! wish it had pockets...i may add them for more play.</t>
  </si>
  <si>
    <t>Delaney pullover</t>
  </si>
  <si>
    <t>I saw this sweater online and had to try it. i went to my local retailer to try it on and i'm glad i did. i am usually a xs - s in tops and i thought this fit best in a medium. it's very chunky which is what i was looking for and so soft - not scratchy at all. it has wide bell sleeves, but that's very on trend right now. i am 5'4, 34b and it falls about an inch below the top of my jeans. it's not form fitting but so snugly. i plan on wearing it with dark denim skinnies, booties, and simple jewlery</t>
  </si>
  <si>
    <t>I ordered a small and it is enormous; i usually wear a size 10. it is short but the fullness in the body and the sleeves made me look like a sumo wrestler. also, it is a very heavy knit which would be great for up north but too bulky for atlanta unless the temps are in the 40s. i'm sending it back.</t>
  </si>
  <si>
    <t>Best purchase anywhere lately!</t>
  </si>
  <si>
    <t>These two blouses are probably my best purchases anywhere in some time. fit is perfect, quality is great and both will be worn many times this summer and into the fall. unique from the all other tops i have seen lately.</t>
  </si>
  <si>
    <t>This skirt is really cute and versatile, it can be dressed up or down. i paired it with a black chiffon top for a dressed up look and a denim button down for a casual look. the length is good, and the buckles allow it to be tightened, which is a plus if you have an athletic body.</t>
  </si>
  <si>
    <t>Wish it loved me back!!!!</t>
  </si>
  <si>
    <t>I adore this sweater. it is so soft and cozy. i ordered two because i really need some good winter sweaters that are forgiving on the pooch but not wool (darn allergies). so i ordered this in the white and black (camel is a bad color for me).
tried on the first sweater when they arrived and it was so comfy i didn't want to take it off. then i looked in the mirror. i'm a tall gal, 5' 11" with broad shoulders and i weigh about 165, and this sweater was so unflattering! it just made me look big</t>
  </si>
  <si>
    <t>I love this skirt!</t>
  </si>
  <si>
    <t>I saw the skirt on a display today at my local store. i was attracted by the colors and the display itself. my thoughts, " give it a chance". i bought the size 10 without even trying it on, with the idea that the colors and style had so much potential, i am so pleased with this skirt! the fit is true, although if you like a higher ride on the waist, i would size down. the fabric has just the right amount of stretch to make it super comfortable. i had so many staple items in my wardrobe that i wi</t>
  </si>
  <si>
    <t>Just as cute as expected</t>
  </si>
  <si>
    <t>This shirt is exactly what i expected! it is just as cute as on the website and the fit was great! it's the perfect shirt for summer, loose fitting but in a flattering way. the design makes it very versatile since it can be matched with so many colors!
i highly recommend it!</t>
  </si>
  <si>
    <t>Nice fall dress but needs the right body type</t>
  </si>
  <si>
    <t>The colors of this dress are beautiful and i really wanted to love it but it wasn't cut for my body shape. i think you either need to be curvy to fill out the chest or straight up&amp;down to have it lay flat (as in the model). ordered size 6: 34b, 150 5' 9", tall/slim build. i also think the hi/lo hem of the dress isn't well indicated in the pictures; i'm not a fan of the style and was hoping it would be minimal however the hem is definitely asymmetric.</t>
  </si>
  <si>
    <t>So flipping soft and pretty!</t>
  </si>
  <si>
    <t>This is really cute - it has a boxy look and bell-like sleeves. the knit is chunky and so very soft. i didn't want to take it off. i purchased an xs in black. it's gorgeous. my beige bra shows through so i will need to wear black or a camp underneath. it feels really heavy - in a good way - and it feels like it will be really warm. the black has a velvety look to it. i'm smitten. i should also mention that it did feel cropped to me - i know i read other reviews that said it wasn't cropped. i fee</t>
  </si>
  <si>
    <t>It's a bell</t>
  </si>
  <si>
    <t>Lovely knit and so soft, but the bottom curls up underneath, similar to the bell sleeves. runs oversize too, got xs and it's too bulky and unflattering since the bottom doesn't lay flat. returned!</t>
  </si>
  <si>
    <t>So cute and unique!</t>
  </si>
  <si>
    <t>I saw the black in store and had to try on. it is very, very cute. i would say it fits a bit small. i tried my usual medium and while it fit, it was a little short. id take you could take your regular size or size up. i would not size down in this one. adding to my wish list and hoping it sticks around til sale time!</t>
  </si>
  <si>
    <t>Dream pants do come true</t>
  </si>
  <si>
    <t>Let it be known that i hate shopping for jeans. i recently had my go-to skinny jeans rip by my back pocket and new i needed to get something new &amp; better stat. i have a pair of black ag sateens that i got a few years ago, and i decided to try out this pair. i got them in the mail yesterday, and i never want to part with them! they are perfection. they hit perfectly on my waist; they're incredibly comfortable and basically make you feel like you're wearing the jean equivalent to yoga pants. they</t>
  </si>
  <si>
    <t>Was scared at first to order this product, when i tried it on i was amazed on how good it looks. fits just like the model picture, and the material is awesome.</t>
  </si>
  <si>
    <t>Great dress! wish it came it more colors, would like to buy another one. i am 5'5",125, size small is perfect. unlike one of the previous reviewers, i do not think it is too clingy. maybe she needed to size up.very versital, cute with a jean jacket, or long lightweight scarf, booties, or sandals! .</t>
  </si>
  <si>
    <t>This dress is perfect for spring and early summer. it has some weight to it and so it drapes beautifully. it is very well made and the fabric is good quality. the color is a medium color gray; much prettier than in the picture. i wear a small in most retailer dresses and this fit perfectly in a small. it hugs in all the right places and skims from the hips just like in the picture.. the length was just as it looked on the model. i am 5' 5".</t>
  </si>
  <si>
    <t>Cute &amp; unique</t>
  </si>
  <si>
    <t>This is such a unique and fun dress. i'm so glad i found it and it fits perfectly!</t>
  </si>
  <si>
    <t>Lovely gem!!</t>
  </si>
  <si>
    <t>I've passed this dress by a number of times online, but ordered it on a whim on the mothers day promo. based on the reviews, i ordered my regular size, medium. it fit perfectly. i do think the cut is on the trim side, but it isn't tight or fitted. i probably couldn't eat a big meal in this though as it would probably show in this dress. the fabric is buttery soft! the button placket down the front is very clean and lays flat. there are two side pleats that are a different fabric and are ever so</t>
  </si>
  <si>
    <t>Great twist on a cargo jacket</t>
  </si>
  <si>
    <t>What a unique twist on the traditional cargo jacket! the swing styling on this jacket is so cute---not too full-, you still get a nice silhouette from the front, with the swing in the back this is a fresh take on this staple. it will be a "go-to" piece in my closet!! the quality of the material and tailoring on the jacket is wonderful!!! as other reviewers have commented, it does run large. i am exchanging it for a size down. i can't wait to get it in and wear it!</t>
  </si>
  <si>
    <t>Dear eva</t>
  </si>
  <si>
    <t>You make classy stuff. this skirt is a nice take on a tweed skirt.
colors: can't tell from the picture, but there is red and pink thread as part of the tweed, very fun and happy, yet appropriate colors for fall and winter. the cut is very flattering, the scallop part is interesting though, it is sown at one part of the skirt, in the middle, not sure why. i ordered the 0p, and that fit me like a glove. (26.5 in waist, 35-36 in hips, 115 lbs).
length on the petite was above the knee, like show</t>
  </si>
  <si>
    <t>Cozy sweater in a boxy style</t>
  </si>
  <si>
    <t>This would be great on someone with a slim build. it's very true to size, it hits above the hips and runs pretty straight through the body for a boxy look. i loved the color and pointelle detail but on my thicker build it just sort of hung in a too-casual way. note that it is the kind of cotton that is likely to stretch with wear (and spring back with cleaning).</t>
  </si>
  <si>
    <t>Super cozy</t>
  </si>
  <si>
    <t>This is a steal at the sale price. medium is large on me and i'm generally a large at retailer. so soft.</t>
  </si>
  <si>
    <t>Attractive casual pants, nice texture and color</t>
  </si>
  <si>
    <t>I tried these on at the store and thought the color, texture and style was very nice, but i needed the petite length. so i came online but was disappointed to see that the style is sold out in petite! darn. the regular length hits me just above the ankle, so i suppose it is still do-able, but i hate to pay full price for something that doesn't fit quite right. maybe if it goes on sale i will consider it.</t>
  </si>
  <si>
    <t>Love the blue color. is a bit short, but fine with a tank underneath. i purchased the small, that's what i usually wear.</t>
  </si>
  <si>
    <t>My new fave!</t>
  </si>
  <si>
    <t>This jacket is perfect! the crop length is just right! not to short and the way it is cut longer in the back it really paints a beautiful silhouette on my larger frame. i'm a a 12 typically but broad in the shoulders and larger in the bust 36dd. this jacket is loose fitting and roomy. i could probably have gone with a large, but i'm really happy with the xl as i can layer underneath and it's just super roomy and comfy. the quality of this jacket is great. it will be a staple for years to come. i</t>
  </si>
  <si>
    <t>Wanted to love, but...</t>
  </si>
  <si>
    <t>Tried on this maxi dress recently, hoping i would have a new dress to enjoy but the frabic is just too thin. so sad :(. unfortunately it shows every lump and bump and even wearing spanx while trying on it still showed too much. a full length slip would help but i decided to put it back.</t>
  </si>
  <si>
    <t>Sexy, simple top</t>
  </si>
  <si>
    <t>I love this top. i got a medium in black on sale. i am 5'8'' and 135lbs. the medium fits great. the medium is slightly loose on me through the tummy, which is nice - in my experience, it is not too constraining, contrary to other reviews. however, i think it depends on your body shape; i am a coke-bottle. this will be a wardrobe staple for day to day and going out; note, it is too low-cut for work wear. very happy with my purchase.</t>
  </si>
  <si>
    <t>These are some of my favorite new pants. i am never disappointed by the quality from this brand and they are super comfortable and adorable. a definite must have!</t>
  </si>
  <si>
    <t>Too low cut</t>
  </si>
  <si>
    <t>Gorgeous color and great price, but too low cut and because of the design, a cami's wouldn't work. disappointed</t>
  </si>
  <si>
    <t>I'm surprised by the negative reviews and i'm here to come to its defense! i love this dress! i'm solidly a 0 petite in tracy reese and this fit perfectly. the top isn't snug but it's not roomy enough to say it runs large. just perfectly comfortable. the belt was a little tricky because it has to thread through several loops, but it stays put nicely and fit perfectly without being too snug or uncomfortable. the fitted top with the belt offsets the fit and flare style of the skirt. lace is beauti</t>
  </si>
  <si>
    <t>Cute style but runs big!</t>
  </si>
  <si>
    <t>I have been on the hunt for a replacement cargo jacket for about a year now. i thought this one was going to be it!! ordered it right away. i got it in an xl as retailer coats always seem to run small on me (i am very busty so sometimes the more fitted styles won't even close without a big gap). this is not the case with this jacket. it runs really big - it looks like it could be an xxxl...but the design is great with a zipper and button closures, pockets and cute back cut...the color is slightly</t>
  </si>
  <si>
    <t>Shorter &amp; smaller than picture/ description</t>
  </si>
  <si>
    <t>I bought this online. this looked like a sweater that was accidentally shrunk in the dryer, when i received it.
i will be returning this.</t>
  </si>
  <si>
    <t>A/c is running</t>
  </si>
  <si>
    <t>Received december 23 and 83 degrees in louisiana but weather can change from hot to cold in an hour. this sweater is so soft, so cozy, i'm ready to run the air conditioning! beautiful styling, well-made, and has a generous fit that you may or may not prefer. this will be one of my very favorite garments . luxurious, and i deserve it. i ordered a large, have long arms, and the sleeves do come over hand as shown in photo. it is very loose and flows over my jeans. i am an extremely difficult to ple</t>
  </si>
  <si>
    <t>Absolutely love, love this dress. it is so comfortable and falls perfectly. the material is great and you can dress it up or wear it casually. if it had more colors, i would get it it in any color it came in!!</t>
  </si>
  <si>
    <t>Runs really small</t>
  </si>
  <si>
    <t>This dress is very small in the bust and maxi length on short people (5'3" 36dd). i can't wear a normal bra, i have to use adhesive pasties. the fabric is very smooth, thick and satin like, but fuzzes easily. mine came with minor thread pulls and one strap was sewn on twisted. the pattern in real life is very pink as opposed to the model sample which has more blue landscape. i'd like to hem the dress but i would sacrifice pattern. still very pretty dress. be sure to size up one or two depending</t>
  </si>
  <si>
    <t>Elegant comfort</t>
  </si>
  <si>
    <t>I bought this dress with my birthday gift and i do not regret it! it's so soft and feels like pure comfort but the details, little metal buttons down the front, the vent pleats on the side; make it feel special. i received many compliments and i would urge you to get this one if you are seeking comfort. it was pretty true to size and because i'm an average height i wore a small block heel with it.</t>
  </si>
  <si>
    <t>Order up a size!</t>
  </si>
  <si>
    <t>After reading the reviews about this top being really clingy, i decided to order up a size and purchased a medium. when i took it out of the box today and held it up it looked huge and i thought i had made a mistake. however when i tried it on it actually fit really well! i could see if i had ordered my usual small how it would have clinged to my body in a unflattering way. very happy with the top and thankful for the reviews.</t>
  </si>
  <si>
    <t>Very cute</t>
  </si>
  <si>
    <t>I'm 5'8, 130 and the small fit very nice. i ordered on line and on one of the legs the elastic closure at the bottom snapped. got a new pair at the store. you can dress these up or down. they are fun.</t>
  </si>
  <si>
    <t>Sweater season</t>
  </si>
  <si>
    <t>Ive been on the hunt for big bulky sweaters because winter is coming and i live in the north, i saw this sweater and needed to give it a try. i got it i the mail and its truly gorgeous and extremely well made. this is the type of sweater to wear on a cold snowy day. it runs a little big but thats okay with me because its perfect to snuggle up in. i love this sweater but be aware it is thick and bulky so its not made to make you look like a twig. i like big sweaters and this design flows from sma</t>
  </si>
  <si>
    <t>Stylish and functional</t>
  </si>
  <si>
    <t>Great pair of pants to wear to work, and interview or out to lunch. i got so many compliments the first time i wore these. i'm 5'2" i ordered the burgundy color in a size 0, regular which is what i normally wear and they fit fine. however they were just a tad big in the waist and a tad tight around my calves but other that they're a great pattern pant to have you wont be disappointed!</t>
  </si>
  <si>
    <t>Lovely pants, bad fit</t>
  </si>
  <si>
    <t>I ordered these pants in black and brick. the pattern is great, but the sizing and fit are way off. i usually wear an 8 or a medium in retailer. i ordered these pants in a 10, 12, and 12 petite. the 10 actually fit, but there is no stretch in these fitted pants. they were very uncomfortable to walk or sit in. however, if you're standing up all day and not doing much moving around, these pants are perfect! the print is great in both black and brick. i couldn't decide which one i liked best. wish th</t>
  </si>
  <si>
    <t>Statement dress!</t>
  </si>
  <si>
    <t>This dress did not impress me when i was browsing the website online. when i went to a store, though, the colors struck me as really vibrant and earthy, and i wanted to give it a chance. i tried it on and it fit like a glow! i am a 5'1'', 100 pounds, and got an xxs p which was a perfect fit. the length was great for me (petite size) and did not need altering. the online photo may not do justice to the little details on this dress. definitely a very high quality dress that i would categorize as a</t>
  </si>
  <si>
    <t>Love this top. very easy to wear to lunch or site seeing. the fabric is soft and drapes nicely.</t>
  </si>
  <si>
    <t>Lovely, airy, but a tad big</t>
  </si>
  <si>
    <t>I just received this in the mail and really enjoy it! it's a nice color and very gauzy/ airy. the only think i didn't love is that it's a little bit in the chest area, which is rare considering i'm usually a m in that area.</t>
  </si>
  <si>
    <t>Super cute and flow, perfect for summer</t>
  </si>
  <si>
    <t>I wanted this top ever since i saw it online, it is so me. it's a nice mix of feminine and masculine, you can pair it with a nice pair of jeans or even business pants to dress it up. this will make the perfect summer shirt and it hangs so nicely! i highly recommend this shirt, i would get it before its gone!</t>
  </si>
  <si>
    <t>The fabric is very soft and the fit is formed to the body. low cut, so may want to pair with a cami. great basic for work!</t>
  </si>
  <si>
    <t>I love sundry clothing. this lightweight fleece is the perfect weight. it keeps you warm enough when it's cold, but not hot when it is milder. it's super soft with nice embroidery. size 1 is a great fit for my 5'1" frame. wear it to hang at home or to go out.</t>
  </si>
  <si>
    <t>Gorgeous big floral</t>
  </si>
  <si>
    <t>This is a beautiful dress, considering it is made from polyester. that being said, the material has a nice finish and looks like it could be silk. it's a flattering cut (other than being a tad short-waisted) and hangs well. it was also a bit tight through the bust. unfortunately, if you are on the taller side, it tends to be high waisted and short in length.my daughter is 5'11" and a size 10. the medium fit best, although because of the length, she is reluctantly returning it. sad, because it ha</t>
  </si>
  <si>
    <t>Cozy and warm</t>
  </si>
  <si>
    <t>This sweater is great for cold weather. it is very comfortable and soft. only down side is it is a little boxy.</t>
  </si>
  <si>
    <t>I *loved* the brown color on the model, and i love the wrap style in general. however, i'm not sure if the color looks as goon on me. i first ordered my standard size small (5'7", 137 lbs 32 b), which fit, but exchanged it for the looser fit (medium) shown in the pictures. i really like that the material is a thin, but not see through cotton. it has an extra cotton layer lining in front which is nice. the v isn't too low on me, so i don't *have* to wear a cami under. not really crazy about the s</t>
  </si>
  <si>
    <t>I love them!</t>
  </si>
  <si>
    <t>Love these pants. the design is totally different and that is what i love! i paired these with the velvet red shoes from this site - also on sale. for me these ran true to size.</t>
  </si>
  <si>
    <t>Cute and decent make!</t>
  </si>
  <si>
    <t>Someone returned my size so i got to try it on in store. the cut is very flattering, the material is stretchy. the lace part is nicely made too. overall great piece. the petite waist did hit me a little higher than on model, i have a regular torso and short legs (and overall usually need petite)</t>
  </si>
  <si>
    <t>Pretty but sheer</t>
  </si>
  <si>
    <t>If you care that it's sheer- be forewarned. i probably won't wear a cami under it, as it's not terrible, but worth noting. that said, its lightweight fabric will be perfect for summer and its design is gorgeous boho at its best. it's cut quite generously and i do wish i'd gone down a size.</t>
  </si>
  <si>
    <t>Not quite perfect</t>
  </si>
  <si>
    <t>I really love the look of this jumpsuit, casual but classy. shapely but comfortable. i'm 5'4 and, similar to another reviewer, proportional torso to leg ratio. the legs were longer on me than the model in the picture, but no problem there because they're cuffed.however the arm holes are too big. my bra shows, and the particular one i got came damaged with some of the embroidery coming unraveled on the back. it's also supposed to be dry cleaned and that's annoying for casual wear. returning it.</t>
  </si>
  <si>
    <t>Wanted to love these but didn't</t>
  </si>
  <si>
    <t>I sized up based on other reviews which was good advice. i am typically a size 6 but sized up to a 10. the pants are very unique and i think on the right body type would look amazing. it seems like someone with curves and a small waist might fit these splendidly...but that's not me. i had some extra material puffing about in the zipper region. i also expected the material to be thicker but found it to be more silky.</t>
  </si>
  <si>
    <t>I'm so glad the other reviewer also found these small. literally, the largest size i have ever bought. but the style is really cute, sort of dapper british boy...</t>
  </si>
  <si>
    <t>Maybe not for everyone</t>
  </si>
  <si>
    <t>Got these in the red brick color, and unfortunately had to send them back. these are really cute and i loved the color and pattern, but they ran very small, and the cut between the legs and hips was odd. this may not have been a problem had i gone up at least one size. best to try them on if possible.</t>
  </si>
  <si>
    <t>Could live in this jumpsuit</t>
  </si>
  <si>
    <t>So comfortable, great fit, dress it up with wedges, down with flats,
extremely soft and flattering. i normally wear a xs/s and the small fit perfectly. i'm 5'6" and the length is just slightly cropped.</t>
  </si>
  <si>
    <t>Cute and funky work pants</t>
  </si>
  <si>
    <t>I just purchased these pants in red on sale. i am 5/5", 143 pounds, and the 10 fit perfectly (i am either an 8 or a 10 in pants, depending upon brand). it is really hard for me to find pants that are cute, unique, work-appropriate, and flattering. these pants fit the bill in all aspects. i thought i would prefer the black, but am really glad i got the red.</t>
  </si>
  <si>
    <t>Nice winter dress</t>
  </si>
  <si>
    <t>Great dress, fit perfectly warm for the winter, i live in florida it will be great if we get a winter next year. very comfortable and easy to wear.</t>
  </si>
  <si>
    <t>Great romper but not for all body types!!</t>
  </si>
  <si>
    <t>Tried this romper on in store and wanted to love it but it just didn't fit me right. it'a great romper, cute design, super soft-light fabric and overall a great feel but it doesn't work to well for short girls with any types of hips. i have a very small waist and larger bottom and this romper just was very unflattering. i couldn't get the tie waist to sit anywhere that felt like my natural waist, instead it kept giving me a kangaroo pouch and hung on my upper thighs. sizing up didn't help becaus</t>
  </si>
  <si>
    <t>Being somewhat on the 'fluffy' side, the style is very flattering and forgiving and will be ideal for summer. i am between a size 14 and a 16 and the 14 fits perfectly. light and airy a very nice, simple embroidery in contrasting color. very chic in an effortless way. the armholes are just right--not too big! the color is definitely a creamy ivory. worth the cost because i don't think it will be available for too long.</t>
  </si>
  <si>
    <t>Material was light and comfortable</t>
  </si>
  <si>
    <t>I loved the jumpsuit but unfortunately had to return it due to running a little on the small size.</t>
  </si>
  <si>
    <t>Unique and well made</t>
  </si>
  <si>
    <t>I love these pants! beautiful quality material, soft on the skin. fits well. definitely a tailored fit. true to size. unique design, and really fun!
i am 5 foot 5, and weigh 132 lbs. i am apple shaped, so i was worried these would be too tight around the hips, but they aren't .</t>
  </si>
  <si>
    <t>I really liked this jumpsuit but it just wasn't perfect. the design at the top is a bit stiff compared to the rest of the jumpsuit. i felt the whole thing ran just slightly too large. it was nice - but not amazing.</t>
  </si>
  <si>
    <t>Embroidered gauze romper</t>
  </si>
  <si>
    <t>I love this romper!  i am 5'2 and the medium fit great and wasn't long.  i'm short so i thought i would have to hem this!  it's comfortable and, although, i'm not a huge fan of gauze, the fit was perfect.  i had to
snatch it!</t>
  </si>
  <si>
    <t>Bridgette jogger</t>
  </si>
  <si>
    <t>I&amp;#39;ve been looking for comfortable pants that i could wear to work and at home.  these fit the bill.  i bought these in the holly color for the fall and winter.  they are super soft and very comfortable.  i was worried that they would like dumpy, especially around the seat area, but they fit fine.</t>
  </si>
  <si>
    <t>Perfect pants!!</t>
  </si>
  <si>
    <t>However, i unfortunately followed others advice saying these run small. i had to return/ exchange to a 00p. in turn had to give up the sassy red and settle for black. although they are beautiful trousers in black as well...</t>
  </si>
  <si>
    <t>Received this shirt yesterday and loved it. doesn't look that great online in pics, but it is a unique and beautiful top. the material is a substantial woven cotton so it lays nicely and keeps its shape . i am 5'5 and 128lbs and a small bust size 34a , i usually wear small in shirts but since it is a longer length i didn't want it to tight around my butt.... i am curvy in that area size 6 pants....i ordered the medium and i am so glad i did .. it lifts just like on the model...the only downfall</t>
  </si>
  <si>
    <t>Nice pants if you have super tiny calves</t>
  </si>
  <si>
    <t>Unique print but not great execution. the pant legs are very tight, i have average sized calves and i sized up one size. the hook closure was oddly tight and difficult to clasp. when i first saw the color it looked like burnt sienna or a dried blood color. too bad this didn't work out.</t>
  </si>
  <si>
    <t>Favorite retailer purchase!</t>
  </si>
  <si>
    <t>This dress is absolutely amazing! i am an retailer addict, a good portion of my wardrobe is from retailer. that being said, this is one of my all time favorite purchases! this dress is a beautiful statement. i am tall and curvy and this dress fits like a glove but is very comfortable. the quality of the beading and the fabric is very good. i wore it on my hawaii vacation, and got numerous compliments! don't pass this one up! five stars!</t>
  </si>
  <si>
    <t>Great quality and color but boxy and ill-fitting</t>
  </si>
  <si>
    <t>I wanted to love this sweater. the photo of the model makes it look so soft and warm. i liked the heavy texture and the extra long sleeves. however, after receiving this sweater i tried it on for less than 1 minute. one look in the mirror was enough to make me take it off and return it asap. the knit quickly expanding from small to large right over the bust, combined with the boxy shape was an atrocious combo. it must have added 30lbs to my physique and made my bust look matronly. yikes! this ma</t>
  </si>
  <si>
    <t>Versatile comfortable dress</t>
  </si>
  <si>
    <t>This dress is comfortable and versatile - one could wear it to the office or to a social event, day to night. i didn't find the sizing to run as large as some of the other reviewers did. i felt it was true to size. it is not lined so you would need a slip under it if you wear it with tights or nylons, otherwise the skirt will cling.</t>
  </si>
  <si>
    <t>Sizing issue</t>
  </si>
  <si>
    <t>Such a beautiful print. i sized up to a 14 because it looked like it has a high waist and it does. the waist comes almost to my bra line. unfortunately, there's a huge amount of fabric and it swallowed me. not slimming at all. i felt like i was wearing a curtain.  i loved the slits in the photo but due to the amount of fabric they weren't visible. i'm short and this literally pooled on the ground a few inches. if you're tall and thin, this is a beauty.</t>
  </si>
  <si>
    <t>A size 2 too big</t>
  </si>
  <si>
    <t>I am usually a size 2 in tops. i am very, very rarely a size 0, so upon reading other reviews of this top i decided to order the 2 and assumed it would fit the way a 2 usually does. obviously this is designed to be a loose, flowing top. that's why i wanted to order it. however, the 2 is simply too loose in every direction. my primary gripe is that the arm holes are gaping and falling at the side in a way i don't think it intended.
i do really like the styling and quality, so i am planning on</t>
  </si>
  <si>
    <t>Love these pants!</t>
  </si>
  <si>
    <t>These pants are fantastic! the pattern alone is to die for, but they also have just the right amount of stretch for the perfect fit! i received so many compliments when i wore them i felt like a rock star!</t>
  </si>
  <si>
    <t>Runs small</t>
  </si>
  <si>
    <t>Bought these in 2p and i'm normally 0p in most pants. for reference, i'm 5'1 and 107 lbs and the 2 fit perfect! got many compliments on these pants</t>
  </si>
  <si>
    <t>Fun, true to size</t>
  </si>
  <si>
    <t>Unlike other reviewers, i found these pants to run true to size (in my case, my usual 6) or even a tad roomy. the red pattern is just festive enough for informal holiday parties. i appreciate the belt loops!</t>
  </si>
  <si>
    <t>Beutiful dress</t>
  </si>
  <si>
    <t>Decent quality. i am 5'4" 130 pounds. m is too big. runs slightly large.</t>
  </si>
  <si>
    <t>Very comfy and flattering. cool on a hot day. slightly difficult to use the restroom, though.</t>
  </si>
  <si>
    <t>These pants are so fun. i love the pattern and color. can be dressed up or down. very flattering.
highly recommend trying them on, they were better than i expected them to be</t>
  </si>
  <si>
    <t>Great pattern</t>
  </si>
  <si>
    <t>I bought these on a whim, patterned bottoms aren't normally my thing. i was pleasantly surprised. they fit well, look great and i had lots of compliments.</t>
  </si>
  <si>
    <t>Flowy &amp; fun</t>
  </si>
  <si>
    <t>This jumpsuit is great. i recently had a baby and am still trying to get the last 10 lbs of baby weight off and this jumpsuit is very forgiving and super comfortable. i'm usually a medium &amp; i wasn't sure if i should size up. i ordered the medium and it was the right choice. great light material for summer and nice neckline.</t>
  </si>
  <si>
    <t>I bought this today in a size 2. fits perfect. i am normally a 0 or 2 or xs. the top looks and fits exactly like the picture if you are small chested. because it is not long in the front. i think if you are larger chested the top will stick out too much and be too short in front. it is not super voluminous in front which is a good thing. it does have the volume in the back which gives it a cute shape. it is on the shorter side. very nice material and design as well as details. overall good pick.</t>
  </si>
  <si>
    <t>This dress is absolutely beautiful! it fits like a glove and the material is super soft. so in love with this! i'm 5'2'm and normally a xs/s. the xspwas a better fit in the waist and chest. the arm holes were a bit tighter on me. the sp was way too large.</t>
  </si>
  <si>
    <t>Beautiful patterns and colors, but it sits very high and runs small. i'm normally a size 4 and got the small. zipped all the way, but on the snug side. the skirt sits so high that the fabric coming down was a bit awkward. such a shame because it really is beautiful and looks great on the model probably because she's wearing a belt to hide how high it rides and flares out.</t>
  </si>
  <si>
    <t>Perfect for hourglass</t>
  </si>
  <si>
    <t>I tried on this dress in the store and absolutely fell in love! i'm a bigger gal who is busty and have wider hips. this dress made me look and feel slimmer, and is light to wear. the dress is a perfect length too. i'm 5'11 and this dress hits me right at the ankles. if your looking for a long dress to wear that can be either formal or casual, this one is perfect!</t>
  </si>
  <si>
    <t>Absolutely beautiful and comfortable</t>
  </si>
  <si>
    <t>I decided to try this on just for fun because the colors and design are absolutely gorgeous. here are my thoughts:
_________________
pros:
- the jeweled neckline is lovely! it really helps set the dress apart.
- pockets!!! such an elegant dress to have pockets is a huge plus in my book. :)
- the length is ideal for taller folk.
- it swings beautifully on the body and flares out quite a bit on the bottom. if you're tall as i am, this won't be an issue.
- nicely conservative at the top.
cons:
- i</t>
  </si>
  <si>
    <t>Pretty, but ill fitting</t>
  </si>
  <si>
    <t>I loved this sweater when i saw it online and ordered right away. i purchased a s and the fit was very off. the arms were long (which i don't mind) but the sweater was also super heavy and bulky so it was not at all flattering. i really wanted to love it and it seemed to be of good quality but it i had to return it.</t>
  </si>
  <si>
    <t>Love sundry. great quality. if you want a looser more comfy fit size up!</t>
  </si>
  <si>
    <t>Stunning skirt!</t>
  </si>
  <si>
    <t>Too big on top</t>
  </si>
  <si>
    <t>This just wouldn't lay right on me. the top is really too big. maybe if you're really busty, this is great, but not for me. i know the top is supposed to be a bit blousy, but it was huge and droopy and unflattering (not like in the picture). the arm holes were too big and hung down so you could see my bra, which i really hate and which is way too common lately. the bottom half fit perfectly, so sizing up or down would not have helped. the material is super light and comfy, which i liked very muc</t>
  </si>
  <si>
    <t>This is one of my favorite tops i've ordered. flowing and relaxed with great details at the neck. i get compliments every time i wear it.</t>
  </si>
  <si>
    <t>Best for tall folks</t>
  </si>
  <si>
    <t>This jumpsuit is lovely and comfortable, with gorgeous embroidered detailing, but it really needs to come in petite sizes. at 5'4" with a pretty proportional torso to leg ratio, i found the hem length okay but the top portion way too long. for the waistband to be anywhere near my natural waist, the shoulders would have had to be taken up several inches and the armholes shortened.</t>
  </si>
  <si>
    <t>This dress is stunning! my sister-in-law was hoping to use it as a bridesmaid dress for her wedding and i ordered it for fitting purposes. it fit beautifully on my 5'10" frame. unfortunately she decided against it due to availability and because of the length on the shorter bridesmaids. while it fell to a couple inches above my ankles, it made the shorter girls look shorter. i ended up returning it but am regretting not keeping it now!</t>
  </si>
  <si>
    <t>Classic and timeless</t>
  </si>
  <si>
    <t>I was a little concerned ordering these online without seeing them in person but they do not disappoint! the fabric has a little texture to it that makes them look and feel like a high quality pant. the design is unique and provides visual appeal, and i still feel like i can wear them in my office without looking out of place. i love the high waist on these!</t>
  </si>
  <si>
    <t>Great work skirt</t>
  </si>
  <si>
    <t>This skirt is a nice medium weight and is lined. my normal size 4 fit perfect. i only wish it was available in petites. if you are petite, the skirt is ankle length. but this is a good skirt to wear to work.</t>
  </si>
  <si>
    <t>Runs large and pocket detail is very prominent. wanted a crisper, trouser-like pant--this is not it!</t>
  </si>
  <si>
    <t>Pirate sleeves</t>
  </si>
  <si>
    <t>The beadwork is gorgeous, but the sleeves are so puffy, it looks as though you're wearing shoulder pads. the fabric of the shirt isn't that fabulous either.</t>
  </si>
  <si>
    <t>These trousers are wonderful. the fabric is comfortable and does have a little give to it.</t>
  </si>
  <si>
    <t>Why did i order this?</t>
  </si>
  <si>
    <t>I really wanted to not like the top for that price, but ti looks really good, the beading makes the shirt stunning... i ordered the 0p, not sure what size to get, and it is just fine. the length is almost too short, but isn't. the rest of the shirt fits nicely. the shoulder are wide, like poofing out a bit, perhaps that is hwy some people thought it looked large? the beading work is beautiful also a little sheer, but not crazy. debating whether to keep it but right now i love it. also, teh colla</t>
  </si>
  <si>
    <t>Very pretty top, comfortable and soft but looks nice enough for work!</t>
  </si>
  <si>
    <t>Normally i am a size 10 or 12 but i sized down to a small. still very swingy and beautiful. i bought the pink and the taupe as well. the colors are beautiful and have great texture to hide stains!</t>
  </si>
  <si>
    <t>Cute &amp; comfortable</t>
  </si>
  <si>
    <t>I was a little surprised when i received this dress, as it is little more than an a-line tube with elastic casing at the top and a cute knotted detail at the bust. i guess i expected the bust to be lined at least. it is unlined, and a relatively thin jersey knit. it wasn't see through, for it is black, but i expected a heavier fabric. i would never have paid full price for this, but at the sale price it is very cute and comfortable. it is also flattering and the fit is true to size. the a-line t</t>
  </si>
  <si>
    <t>This shirt is so great. it's beautiful and functional. i received countless compliments the first time i wore it. i'm looking forward to wearing it again! worth the steep price, though it was hard to justify.</t>
  </si>
  <si>
    <t>Cute blouse!</t>
  </si>
  <si>
    <t>Very pretty blouse. it does run quite large, i am usually an xs-s or 0-4 and purchased the 0. i could probably have gone to a 00. for reference i am 5'4" 118 lbs 34b/c. it says that it is dry clean only, however i washed in in delicate cycle with cold water and threw in the dryer for a little bit. it came out perfect! i was hoping to shrink it and it only shrunk a tiny bit. i was hoping for it to shrink more but it is fine. no need to even iron it! i was lucky enough to get it on sale, i don't t</t>
  </si>
  <si>
    <t>Nice idea</t>
  </si>
  <si>
    <t>The blue was a great color and i like the idea of a reversible top. however the xs was just swimming on me. this looks much more fitted in the pictures. my favorite workout top is from this brand and it is fitted and held up for 6 months. where are the fitted tops?? i'll keep looking.</t>
  </si>
  <si>
    <t>Loved it but big</t>
  </si>
  <si>
    <t>This runs really big. i usually wear s or m so i got a small but i need the xs in this top and it is sold out. i don't have a store close by (about an hour away) and i hate paying shipping for returns! i will either have to plan a trip to the store or try to exchange for size over the phone. i debated keeping the small but it is really too big .... i love the style though!</t>
  </si>
  <si>
    <t>Love the color and stretch</t>
  </si>
  <si>
    <t>I am always looking for a nice denim skirt and this one is great the pale pink is perfect and the stretch is awesome. i wore wedges with it and a nice romantic top and it looked great. i originally got a 8 and a 10 and kept the 8 because of the stretch it fit perfectly. nice length and great quality</t>
  </si>
  <si>
    <t>Color better in person</t>
  </si>
  <si>
    <t>I purchased this top in the taupe color, and it is much prettier in person than it photographs online. it runs about a half size too large, and sits slightly off the shoulders. fun casual top for the fall.</t>
  </si>
  <si>
    <t>Cute but no shape or support up top</t>
  </si>
  <si>
    <t>This is not worth $128. it looks cute on but....there is no support in the bust area. just a slight tuck in the fabric -it also is very flowy which is great and it is comfortable but for the price and the thinness and lack of meatiness to the fabric itself i cannot recommend and will be returning. i'll look for something else. i haven't bought from retailer in a dogs age and i hope the quality hasn't slipped - i will look for another option.</t>
  </si>
  <si>
    <t>Great top!</t>
  </si>
  <si>
    <t>I got this top in an xs and the fit is great. the top is a little darker than pictured. it looks great with white, kaki and denim.</t>
  </si>
  <si>
    <t>Shoulders are puffy</t>
  </si>
  <si>
    <t>This is a beautiful beaded shirt. the quality seems good. i just didn't like the shoulders. they are pleated and puffy. the picture doesn't really show them very well. also the collar is a little floppy. i was hoping it would have an option to stand up but that is not the case. the beading is well done and looks to be stable. i just thought it ran a little large and the shoulders looked puffy. i returned it.</t>
  </si>
  <si>
    <t>I was pleasantly surprised with the fit of this top! at 5' 6", i'm rather busty, short waisted, and full-figured. i ordered my usual size 16, and the fit is a flattering, 'almost' empire silhouette. i was worried about the back being too long for my body shape, but it works great. the embroidery and construction make this a really special piece.</t>
  </si>
  <si>
    <t>Beautiful details, but not quite right</t>
  </si>
  <si>
    <t>I've been adoring this online and while in store i happened upon this blouse and tried it on. the material was sturdy and the beading oh-so lovely, but on my frame it looked terrible. (i normally wear size m/10 in retailer clothes). as another reviewer mentioned, this blouse has rather puffy sleeves which aren't evident in the photo of the model. as well, i also didn't love the collar, which doesn't quite lay flat. if i were to buy this i would have to wait for it to go on sale and then get the po</t>
  </si>
  <si>
    <t>Fits like a glove</t>
  </si>
  <si>
    <t>This skirt is a rare find. slimming, flowing, and best of all, it finally sits on my waist and not on my hips, while hugging the hips in all the right places for the streamlined and sexy look. the fabric is substantial, yet soft, so no weird sticking out sides. the color is delicious very pale-tea-rose, better in person that the picture here, and is fresh for summer. nice length for office. easy to pair with either fitting or loose top/s and jackets. i also got a distressed denim pilcro west to</t>
  </si>
  <si>
    <t>Extremely disappointed with this top. it runs extremely large. i'm 5'2, 130 lbs, 34c and usually wear between a 0-2 &amp; xs-s tops at retailer. i ordered a 0 and it looked like a maternity top on me. the bottom half of the top flared out and did not fit close to the body at all. fabric was also a gauze-like material that was not soft. unfortunately, i will be returning.</t>
  </si>
  <si>
    <t>Why floreat? so perfect, yet so wrong!</t>
  </si>
  <si>
    <t>Tried this lovely with high waste, wide leg, black flowy pants. everything i could hope for and more, but not quite!
size: blindly ordered size 6. i'm usually a small, occasionally xs in retailer brands like floreat and akemi+kin. i'm 5'5" tall, 130 lbs, 34d, 35-29-37, long torso, narrow shoulders, and short arms.
fit: size 6 had just enough space through the bust. the lace edged sleeves were roomy and just reached my wrists. the shoulders were just right. extra fabric ballooned out around t</t>
  </si>
  <si>
    <t>Fabulous top</t>
  </si>
  <si>
    <t>Fabric is soft, body runs a bit big but falls nicely. length is great for leggings or skinny jeans. overall, wonderful tee shirt!</t>
  </si>
  <si>
    <t>The skirt is a little longer than i expected, it hits me at my calf, i considered having it shorten knee length but believe that may takeaway some of the aesthetic so i'm going to wear it as it. the quality is quite nice and the color is lovely, very feminine. nice skirt for a picnic</t>
  </si>
  <si>
    <t>Cute pants!</t>
  </si>
  <si>
    <t>I tried these on in the store and didn't buy them with the other items in my 'yes' pile. i couldn't stop thinking about them and ended up ordering them. they are so cute. the fabric is a nice weight. they have little stretch.</t>
  </si>
  <si>
    <t>Love it but runs large!</t>
  </si>
  <si>
    <t>I was glad that i was able to get this shirt which is really more of a spring/summer item, but i found it wide in the body and the shoulders.</t>
  </si>
  <si>
    <t>Add to your collection</t>
  </si>
  <si>
    <t>It's hard to go wrong with the charlie's, especially in this fabric, keep them coming!! i wrote a review on the brush strokes as well. they fit pretty true to size, i'd say try both your usual size and one size down as well, they stretch out a little, so if they feel a little tight keep that in mind. because of the texture of these pants you can wear so many more colors than just usual black and white trouser fabric. try wearing a burnt orange, green, or pink (the isabella sinclair grid wrap but</t>
  </si>
  <si>
    <t>Another winner</t>
  </si>
  <si>
    <t>Can't go wrong with these new charlie's by cartonnier. they fit amazingly. the fabric is a textured cotton but doesn't seem to wrinkle. just shook them out of the bag yesterday. the fabric description says cotton and spandex so they have some give (just a little) but are not going to stretch out after wearing for an hour. paired it with all sorts of different tops. side zip is slimming. lined pockets. substantial fabric. nothing bad to say. if you haven't tried a pair of charlies you should. you</t>
  </si>
  <si>
    <t>Wear now along, wear later with a sweater</t>
  </si>
  <si>
    <t>Ordered the pink in a small, but it ran big...the xs was perfect for my 5'6' medium frame. it is comfortable and the fabric has an interesting texture. looks great with chinos or jeans. might need to get the other color.</t>
  </si>
  <si>
    <t>Just beautiful, but...</t>
  </si>
  <si>
    <t>When i first pulled this shirt from the box i thought it was a for sure winner. the beading was stunning, it was just so elegant and the details are perfection. "till i tried it on and had some reservations. the sleeves (at the top) were very poofy and just would not lay in a flattering way unless they were rolled above my elbow to tighten them. and as a taller gal, i wish it were a tad longer (in the model shot, looks a bit short from the back view). i fear tucking it would loosen the bead work</t>
  </si>
  <si>
    <t>This is a really great top. it looks fantastic on. while it is a bigger fit, its so flattering. i get tons of compliments every time i wear it.</t>
  </si>
  <si>
    <t>I ordered this shirt last week, it's beautiful!!!!! it's even prettier than the photo. i'm 5.3 120lbs ,i ordered the petite 6 and it fit perfectly!!!! i wish it came in more colors, i'd order another one in a minute!</t>
  </si>
  <si>
    <t>Stunning, just wasn't quite right for my needs</t>
  </si>
  <si>
    <t>So i actually loved this skirt (the tea rose color and coppery gold buttons were perfect together) and it's rare to find something that's simultaneously so form-fitting and comfortable.... but i hold a lot of my weight in my butt and thighs, and i just felt like it was a little too sexy for work (especially with that long slit - i might feel differently if it didn't have that slit, because then i could at least pair it with a cute oversized cardigan to tone things down a bit for the office). if</t>
  </si>
  <si>
    <t>Very cute top but runs very very big ! im5 ft 5 in tall, 120 lbs. i ordered the xs but it was so big it looked like a maternity top.. sadly returned the top. otherwise the top was made of good quality fabric.</t>
  </si>
  <si>
    <t>I love this vest. get compliments every time i wear it. it's stretchy too :). unfortunately i got ranch dressing on it and spot treated it with shout and now the spot is gone but the color faded there. so little tip don't spill on it lol. my fault though so still 5 stars!</t>
  </si>
  <si>
    <t>Very sheer and not as form fitting</t>
  </si>
  <si>
    <t>I have been eyeing this piece for months now! i broke down and bought it when they finally had my size in stock. i am 5 '4 and 110 lbs and have a very small chest so i ordered an xs. i think the top is too baggy for me. yes, the top and bottoms fit overall, but it doesn't look as nice and form fitting like it does on the model. it is very sheer--which is the thing that discourages me the most. i love the concept of this piece but the execution could use some work, which i am willing to work on s</t>
  </si>
  <si>
    <t>Beautiful fabric!</t>
  </si>
  <si>
    <t>This top is everything i wanted it to be. the fabric is beautiful, and the fit is flowy and comfortable. i would love to own a u-neckline version.</t>
  </si>
  <si>
    <t>Great summer t</t>
  </si>
  <si>
    <t>Great t. great lightweight, almost linen like fabric. a bit on the sheer side, but love the fit and the neckline!</t>
  </si>
  <si>
    <t>Nice styling!</t>
  </si>
  <si>
    <t>I bought this for my mother and she really loves it. it is a bit on the large side for her but have decided to keep it. the quality seems very good and great styling for a washable item! i actually like it so much i may order one for myself!</t>
  </si>
  <si>
    <t>Great staple with unique touches!</t>
  </si>
  <si>
    <t>I order this sweater in black - size small - and i just love it. i'm a slender 5' 9" 130 lbs and the small is perfect in for me. while it has the classic cardigan look and a slightly oversized "boyfriend" feel to it, the rounded front hem, hip pockets, and buttons that end slightly above the bottom hem (where the rounded hem begins) are unique touches i appreciate and love in retailer's clothing. the weight was slightly heavier than i expected and better quality, but it is perfect for my minneapol</t>
  </si>
  <si>
    <t>Flattering fit and neckline. too thin to wear without a cami or tank underneath (for me), but i was expecting that. great go-to tee.</t>
  </si>
  <si>
    <t>Quality and whimsy</t>
  </si>
  <si>
    <t>I've been looking at these for some time and i finally pulled the trigger. i'm glad i did because these tights are such a fun accessory to add to my wardrobe. they add just enough whimsy to classic dresses and skirts. these are not your everyday thin stretchy tights. they remind me of the tights i would wear in the winter as a little girl; they are really sweater tights. i think this aspect is great, but they do not have as much give as other tights. i am petite, about 5'3" 112 lbs and the small</t>
  </si>
  <si>
    <t>This top runs very large</t>
  </si>
  <si>
    <t>I expected the waist to be cinched like it appears on the model but it isn't. i ordered the xs and i'm swimming in it (i'm 5'4" and 120 lb). would suggest ordering a few sizes down to avoid looking like you're wrapped in grandma's table runner.</t>
  </si>
  <si>
    <t>Flattering and comfortable!</t>
  </si>
  <si>
    <t>I love this top. i am always looking for tops that are comfortable and work as basics. the material is super soft and not too clingy. it feels like pajamas, but looks very polished. i am a little wide in the stomach and bust, but this didn't look boxy. i got these in all 3 colors.</t>
  </si>
  <si>
    <t>Audrey hepburn</t>
  </si>
  <si>
    <t>This was what i was looking for ! the little stripes ,black and white color,the shape of the jacket and skirt together....well perfect. kind of. i purchased this entire ensemble. the skirt was going to be shortened because well i'm short. no problem ,this is a common occurrence for me. but the jacket would not work for me. the sleeves were way too tight for my muscular arms. there was no way the adorable shirt would fit in there. the shirt is adorable by the way. all of these pieces are made ver</t>
  </si>
  <si>
    <t>Beautiful but has flaws</t>
  </si>
  <si>
    <t>This top is just as beautiful in person as online. however, it has two issues for me. 1. it is too short. this might work if you have a short torso, but it would forever show my stomach. 2. the fabric has way too much static cling. no matter what i tried, it just clung to my stomach and flared out at the sides. not attractive. in short, if you have a short torso and don't mind battling the static, this truly is a beautiful top.</t>
  </si>
  <si>
    <t>Add a little fun!</t>
  </si>
  <si>
    <t>These tights are so cute and can add some fun to any outfit. i paired with a mustard mini, denim shirt and desert boots! they do run small. i am a size 4 and had to get the m/l</t>
  </si>
  <si>
    <t>Great autumn sweater!</t>
  </si>
  <si>
    <t>I love retailer sweaters, in fact, i believe all my sweaters are from retailer! this cardigan is really nice and i'm so glad i bought it. it will work well with skirts, dresses, pants... it's well made and soft and comfy. highly recommended!</t>
  </si>
  <si>
    <t>I really wanted to love this shirt. the fit was great, and the fabric just felt beautiful. luxurious, soft and flowing. but the collar was frayed... in addition, the little keyhole area fabric also had to be carefully handled to make it look smooth and not like bad workmanship. i put it aside to return it, then this morning went to have another look at it, wanting to talk myself back into it. but i can't overlook the fact i'd be ordering a new shirt that would look time-worn. it may be only this</t>
  </si>
  <si>
    <t>Wish it looked as cute in person</t>
  </si>
  <si>
    <t>This cardi is cuter in the stock photos. in person, the colors are a bit more drab. stock photos also don't show quite how much of a swing shape this has. it is very soft, though. returned it!</t>
  </si>
  <si>
    <t>The material is cheap and looks torn. not as nice as the picture.</t>
  </si>
  <si>
    <t>Relaxed, flowing fit</t>
  </si>
  <si>
    <t>Order a size down. i ordered a small from catalog and returned it to the store for an xs.
run large in the chest and down. the fit is more flowing than form fitting. nice material, not itchy at all.</t>
  </si>
  <si>
    <t>This is a really nice top, especially for the price. i am 5'6", 34dd, 140 lbs and normally wear a medium in dolan tops. in this top i purchased size small since the gathered front provides ample room for my bust. some reviewers have found this top to be on the "boxy" side. i can see that if you don't size down as i did. i found the medium to have too much fabric and look very baggy whereas the small was perfect. i do wish this top was a tad bit longer and less sheer, though. white tops should be</t>
  </si>
  <si>
    <t>Cardigan love</t>
  </si>
  <si>
    <t>This cardigan runs slightly large as it is boxy, which i love. the color is exactly as pictured and it is soooo soft! can't wait to wear it with a t-shirt and jeans!</t>
  </si>
  <si>
    <t>Soft and relaxed fit</t>
  </si>
  <si>
    <t>I bought this shirt in the rust color along with the blue/black sweater skirt after seeing it on display in the store. not sure i would have ever put those 2 together but i love the outfit. i'm not much of a shirt-tucker, either, but this shirt works either way. tucked in a skirt or more casual with jeans. my only criticism is the static cling in the front, as mentioned by another reviewer. i had thought of getting it in white, but if it's shear, then maybe not. haven't been wearing a tank under</t>
  </si>
  <si>
    <t>Pretty and nicely cut</t>
  </si>
  <si>
    <t>The bright poppy red is gorgeous and the cut flattering and interesting. i'm usually between a m and l in tops but went with a s in this one because it looked too sloppy in my usual size. i'm a 32-34 d with arms that aren't tiny, and it's a bit tight across the shoulders when i reach forward but not enough to be a problem. in the smaller size it skims my hips nicely but isn't as long as pictured on the model. i would suggest pear-shaped girls size down if in-between. it is sheer but not so much</t>
  </si>
  <si>
    <t>I wanted to love them</t>
  </si>
  <si>
    <t>Adorable foxes, i was smitten in the store but the fix is bizarre and the foxes don't come up very high so you're limited in the length you can wear. i bought the m/l based on salesperson advice and i can't imagine trying anything smaller, i usually wear a size s or 4 bottom, these were super snug. back to the store they went.</t>
  </si>
  <si>
    <t>Flattering and easy</t>
  </si>
  <si>
    <t>I tried this top because i loved the not so simple, simpleness of it. however, it was a miss for me. loved the fit and style, which i'd say is pretty true to size, i just didn't love the color on me. i went for the orange one and the color was a bit too bright for my liking. cute top though! for reference i'm a usually small, i'm 5'4" and a small fit perfectly.</t>
  </si>
  <si>
    <t>Not a white tee</t>
  </si>
  <si>
    <t>Ordered the "white" tee, but when it arrived today, i was surprised by how cream it looked.the cut is nice and as other reviewers mentioned, it is on the sheer side. still on the fence of whether or not i'll keep it.</t>
  </si>
  <si>
    <t>Generously sized</t>
  </si>
  <si>
    <t>I am short, on the heavy side. 5'1" 156 lbs. i always wear large petite. this beautiful blouse swallows me. lots of fabric on the front side of the shirt, causing a boxy look. i could totally do a mp if not sp. i am going to try and exchange..
beautiful blouse, great quality, breathable fabric. colors are deep and rich. so comfy.. highly recommend.</t>
  </si>
  <si>
    <t>Nice structure</t>
  </si>
  <si>
    <t>Good structure and quality; a bit large and wish i had ordered something a bit brighter! (i ordered the white tee.)</t>
  </si>
  <si>
    <t>Adore the rust color in this top. very pretty rust color. would go with a lot of stuff. my only small pet peeve with the shirt is the opening under the hook and eye. i have been wearing a seamless tank underneath. but everything else about the blouse fits so perfect, drapes nicely that i think the opening is a minor thing that a tank top can fix. beautiful on. felt that it fit tts. i'm usually a 34b, got an xs in this top.</t>
  </si>
  <si>
    <t>Darker in person</t>
  </si>
  <si>
    <t>This sweater is thicker and darker than it appears online. i thought it would be more of a blush color, but it's more dark gray and brown. it wasn't that flattering on me as a cardigan. looked a little cuter all buttoned up, but ultimately i am not keeping because of the color.</t>
  </si>
  <si>
    <t>Capsule wardrobe staple</t>
  </si>
  <si>
    <t>I like to have a capsule wardrobe for all seasons so that when i travel, or just for everyday, i have a multitude of options with a few good quality pieces. i am not a fan of 'dry clean only' items, so anything that i can find that i can at least hand wash with good results and is within my color palette and sense of style is always a great find. this light weight cardi can work for multiple seasons easily, it is a tad boxy, but it actually works for me (5'4, 34c, 125 lbs) i can wear it with a c</t>
  </si>
  <si>
    <t>Relaxed fit</t>
  </si>
  <si>
    <t>This sweater is far more slouchy and relaxed in fit than in it seems in the photograph. definitely size down. honestly, i kinda love it anyways! the inside is so very soft, and it's perfect for a sleek errand-running or hiking kind of day!</t>
  </si>
  <si>
    <t>This is a cute work jacket, as well as paired with jeans.  flattering. very soft.  only con is this is thick with a soft cotton lining, so not great for summer in az, but will get plenty of use this fall. typically 6-8 on the top, i went with medium.  not tight in the arms as other reviewer noted.</t>
  </si>
  <si>
    <t>Great all around top</t>
  </si>
  <si>
    <t>I have this top in orange and white. it is a great top to throw on with jeans. don't put it in the dryer, will shrink.</t>
  </si>
  <si>
    <t>The best layering piece</t>
  </si>
  <si>
    <t>This vest is perfect. it is a great layering piece to be worn with jeans, slacks or a skirt. it has a substantial weight without being restrictive. i made the purchase based on the other positive reviews and it was "love at first sight."</t>
  </si>
  <si>
    <t>Cute shirt</t>
  </si>
  <si>
    <t>The material is more like a great tee for the sleeves and the back, so it is so comfortable. i agree with the previous review, i am not thrilled about the hook and eye, but it still looks cute with a tank under it. i bought it in black and i am ordering it as well in white. it looks great with skinny jeans or pants.</t>
  </si>
  <si>
    <t>Such cute tights! i saw them and had to have them. they are a thick knit - very good quality. the color is a dark navy and the little foxes and a nice pop of color. i get lots of compliments on them.</t>
  </si>
  <si>
    <t>Cute sweater, runs large</t>
  </si>
  <si>
    <t>This is a very cute, casual sweater. i originally ordered a size medium but i had to send it back because it was way too large all over. i recently received the size small and i'm going to keep it. it is still a roomy fit but the overall design of the sweater is a relaxed fit. the color combination and texture of this sweater is lovely.</t>
  </si>
  <si>
    <t>The alternative to the green cargo jacket</t>
  </si>
  <si>
    <t>I love layering this over basic tees (or graphic ones like the wild west tee) - it adds just the right amount of edge. currently building my pin collection to add on (vintage turquoise and rock music to be exact).</t>
  </si>
  <si>
    <t>Classic and trendy</t>
  </si>
  <si>
    <t>Classic and stylish. trendy with the blocking...rich colors, soft and comfy. i typically wear s and s was perfect. i love this sweater.</t>
  </si>
  <si>
    <t>Need petite sizing</t>
  </si>
  <si>
    <t>These tights are so cute, but the sizing leaves much to be desired. i guess they are true to size since they are labeled s/m.
i'm 5'0" with shorter legs than torso, and i suppose i'm lucky that i have muscular (read: large) quads/thighs to suck up some of the fabric, otherwise these might have just bunched up at my ankles.
the other thing i don't love about them is the feel of the fabric - it's more sweater-like (and not a soft sweater) than stretchy. maybe that was the intent, but i find tigh</t>
  </si>
  <si>
    <t>Nice fabric, great color, would be lovely ... on someone with a straight-and-narrow body type. for ladies with curves, take a pass--too much like maternity wear, and not in that elegantly slouchy kind of way. the straight-up "is she or isn't she" kind of way.</t>
  </si>
  <si>
    <t>Really cute</t>
  </si>
  <si>
    <t>This bra is just as cute in person as it is in the pic! i can tell it's pretty well made and i love that it has a lot of little details like on the straps and the cute front-closure and lacy racerback. it also fits pretty true to size, which is a must for me because i often get bras that leave my boobs spilling out. however, this bra isn't the comfiest even though it looks like it would be pretty comfy in the picture.the style doesn't look too stiff or anything and the size i got isn't too tight</t>
  </si>
  <si>
    <t>I love this top!!! i just had a baby and it is difficult to balance classy with comfortable with out looking sloppy. this top is perfect. it may run a tiny bit big but for the most part it is true to size. great for busty girls (36dd).</t>
  </si>
  <si>
    <t>Bright and airy!</t>
  </si>
  <si>
    <t>The color of this top is a bit more vibrant than online. material is light, but i can wear a beige bra underneath and not need a cami. fit was true to size for me and detail at the neckline is flattering. a keeper for me!</t>
  </si>
  <si>
    <t>Cute little cardi</t>
  </si>
  <si>
    <t>I had to have this when i saw it in a store. i was drawn to the shape and the neutral colors. i wore it for the first time today with a black tank. on me it looks best unbuttoned. it looks good with pants. the small fit best although the arms are a little tight at the upper arms. i have muscles so i don't think i could wear it with any top with sleeves.</t>
  </si>
  <si>
    <t>Color</t>
  </si>
  <si>
    <t>The color is as pictured, like a deep coral. very comfy and great drape.</t>
  </si>
  <si>
    <t>So fun!</t>
  </si>
  <si>
    <t>These fox tights are so very cute and fun! how can you not smile when wearing these tights designed with the cutest foxes all over! they are warm too! these go great under dresses or tunics and i always get compliments when wearing them! they are a real attention getter!</t>
  </si>
  <si>
    <t>Nice vest</t>
  </si>
  <si>
    <t>I really like this vest. personally, i think it is difficult to find vests that fit properly. this is a good one. fabric and color good. the photo is very representative of the color. no surprises there. arm holes are not too big which is often a problem. the detail on the back gives it some added interest. the only thing i would mention that could be a negative is that it is short, especially in the back. again the picture is representative but do pay attention to the length and be certain that</t>
  </si>
  <si>
    <t>Much cuter in person</t>
  </si>
  <si>
    <t>I didn't pay much attn to this online. i'm not much on front hook &amp; tie closures. well, saw today at the local store &amp; decided to try on both the s &amp; m. i am usually a s in tops, but the m was only a bit more roomy &amp; longer than the s, so i went with the size m. i thought the styling of it paired well w/ the pilcro cord skinnys i had on. looked much better than the pics online. i have other pilcro skinny cords &amp; jeans in vs colors so i think this top will work out well for me. love the 3/4 sleev</t>
  </si>
  <si>
    <t>Good everyday shirt</t>
  </si>
  <si>
    <t>I'm glad this was on sale because i would not have purchased it at full price due to the strange fit in the sleeve. the shirt has a slight raglan sleeve, but the sleeves do not fit loosely, they kind of twist under the armpit area. i do not have large arms, so i am ok with straightening out the knit sleeves, but they do not fit right. i also was surprised at the unfinished edge along the neckline. it is messy and tacky looking, but i think that is how it was meant to be. my recommendation to buy</t>
  </si>
  <si>
    <t>Does not fit as expected</t>
  </si>
  <si>
    <t>Note to photographers: please don't cinch the wait of a blouse to make something look tailored when it isn't. this could have been a real win if it had been more simply executed. i'm petite, way too much fabric. returned.</t>
  </si>
  <si>
    <t>Fell in love with this a soon as i saw it in store. it is soft and can eaisly be dressed up or down. wore it to work already and got so many compliments. 
unfortunately when i saw it in store they didn't have it in stock. the very helpful gentlemen at the irvine, ca location checked online but it was sold out in my size. so he checked the stores that carried it. i called one and the mailed it to me. customer service in store is great!</t>
  </si>
  <si>
    <t>Lovely embroidery with a classic look, great addition to your wardrobe.</t>
  </si>
  <si>
    <t>Lovely material</t>
  </si>
  <si>
    <t>At first, i thought this top was going to be stiff. i am pleasantly surprised by how soft and flowy this blouse is. it's lovely cream color with beautiful lace details. i appreciate the lining inside the bodice which means i can potentially go bra-less when it's hot! i'm 5'2'', 135lb and retailer size s usually gives me plenty of room because i have a small upper body. but i feel this top is slight short on me. that might be because i didn't wear it off-the-shoulder but had it hang from the top of</t>
  </si>
  <si>
    <t>Green not as pictured</t>
  </si>
  <si>
    <t>I honestly never even tried this on - i ordered it and when it arrived it was not the kelly green color pictured, it was more of a dark bland green color. love the brand and very soft but had to return.</t>
  </si>
  <si>
    <t>Perfect jean. these jeans are comfortable, the length is great, and the rise, at least for me, is spot on. my torso is fairly straight - not a lot of the hourglass thing going on - and somehow these jeans feel like they were made for me. thank you pilcro.</t>
  </si>
  <si>
    <t>Love this jacket!</t>
  </si>
  <si>
    <t>This is going to be my go to all season. looks great with a sweater dress and boots also looks great with cords!</t>
  </si>
  <si>
    <t>Terrible!</t>
  </si>
  <si>
    <t>This skirt was horrible on me. it was loose in the waist, tight in the hips and poofed out like crazy at the tiered part on the bottom. the material also felt cheap and clingy. i guess the fit is tts, but it's hard to tell given how strange the cut was.</t>
  </si>
  <si>
    <t>I love this and instantly felt sexier when i put it on, yet with the longer sleeves and looseness felt i could wear it casually. 
i will say that i have to often keep adjusting/pulling the top neckline down. it seems to want to revert to above-the-shoulders position. 
the fabric and quality feels nice and it was a great purchase for me!</t>
  </si>
  <si>
    <t>I just received my duster . i love it! the coat is as pictured. the fabric is medium weight denim with some stretch. it feels like a denim coat that you have worn for years. i'm 5'8" and the duster hits mid-calf. i'm a curvy size 14-16 and the xl fits perfectly. the only issue that might arise is that the sleeves are long; they fit me perfectly but i have long arms. this will be my new go to coat for fall.</t>
  </si>
  <si>
    <t>Nice little top</t>
  </si>
  <si>
    <t>The design is graceful and both my kids said it was a keeper "pretty," even the boy child.
somehow i feel it makes my tummy look bigger than it is, maybe with the belt on my jeans.</t>
  </si>
  <si>
    <t>My new favorite jeans</t>
  </si>
  <si>
    <t>These jeans are an even dark color that can be dressed up. the material is soft and they fit perfect. they are mid rise which is a little different for me as i mostly where low rise. the only problem is that they are really long. i am 5'9" and they are too long for me which never happens. so i need to get them hemmed and wont be wearing them for a few more weeks. i look forward to rocking them with a pair of booties or heels.</t>
  </si>
  <si>
    <t>Off the shoulder elastic issues</t>
  </si>
  <si>
    <t>The problem with off the shoulder tops is that the neckline is totally elastisized , therefore upon any movement of your arms the top pops above your shoulders making it go from stylish to matronly . the only elastic should be right at the shoulders , the rest of the neckline should be a simple finished hem. .</t>
  </si>
  <si>
    <t>A cute top. slightly tight in the upper area. debated returning but decided to keep as the top is unique and i know that i will wear it frequently. aleardy thinking of way to wear all year around! runs small</t>
  </si>
  <si>
    <t>Unlike the other reviews, i love this skirt. the lining is a nice stretchy material, as is the eyelet overlay, making it a really easy to wear, and comfortable skirt while still looking polished and professional.   
i bought it so that its slim fitting, more like a pencil skirt. 
i've only worn it to work dressed up, with boots, but suspect i'll get a lot of use in the summer with flip flops and a tee shirt. 
i highly recommend it, and think it's a great price. 
it is longer than on the mode</t>
  </si>
  <si>
    <t>The best boy short</t>
  </si>
  <si>
    <t>I love panties. i love the prettiest, softest, most adore-worthy panties i can find. these are my favorite boy shorts--i can always put them on and feel pretty. no weird tight spots and the lace has a perfect amount of stretch. im a mom and my body isn't perfect anymore, but these panties give me confidence, with perfect coverage. i choose them more often than any other in my lingerie drawer. my only warning: wash these pretties as delicates, or the lovely lace colors will fade.</t>
  </si>
  <si>
    <t>A little long</t>
  </si>
  <si>
    <t>I can't figure out if this skirt is supposed to be high-waisted (if so, it's too big but the length works), or if it's supposed to sit on my hips (fits well but too long). but the material is really comfortable, and the design is different in a good way.</t>
  </si>
  <si>
    <t>Good skirt</t>
  </si>
  <si>
    <t>I'm glad i got this skirt because it's prettier in person than in the picture. fiance loves it so that's a bonus. it's tts although it's longer than shown on the picture. very high quality and looks expensive. i'm very happy with this purchase.</t>
  </si>
  <si>
    <t>Nice, but not for me</t>
  </si>
  <si>
    <t>This is a very nice dress. the jersey is soft and high quality. the construction appears solid. the color is very pretty, and looks in real life just like it does on my computer. the cut and draping just don't work for me. there's just too much draping, too much fabric. it overwhelmed me and made me look bigger than i am. i have a feeling this would be much more flattering on a curvier figure than my own. this dress seemed to be trying to accentuate curves i don't really have (especially in the</t>
  </si>
  <si>
    <t>I tried this on in-store and would have purchased if it have been a better price, it wasn't something i could justify spending $100 bucks on. it's cute and was surprisingly comfortable but again, not worth the asking price. i will buy when it goes on sale.</t>
  </si>
  <si>
    <t>One of the best denim dusters!!</t>
  </si>
  <si>
    <t>I was out of town when my coat arrived, and was so excited to get home and try it on!!  i haven't worn it yet, but we've now got the weather for it...and i can't wait!  i'm 5'7" and heavier than i'd like, but the xl fit perfectly!</t>
  </si>
  <si>
    <t>Good but runs very small</t>
  </si>
  <si>
    <t>Retailer sizes are all over the place. i fell in love with this top, and tried it a couple of times to see if it would work. unfortunately i have to send it back. the design and colors are very good. the side slits are very high, right up to the waist, but the top still looks good. unfortunately it is very small. it still fits because of the long side slits, and is not that tight at the top due to sleeveless, but the fit just wasn't as flattering. it does seem to run 1-2 sizes small, so i a</t>
  </si>
  <si>
    <t>Fits beautifully. perfect for spring and summer. the cut of this skirt gives your figure a wonderful shape. the quality of the material is excellent.  this item is perfect for to dress up for a date night or wear slightly more casually for a brunch.</t>
  </si>
  <si>
    <t>Runs small, stiff top</t>
  </si>
  <si>
    <t>I ordered this in my usual size 0 and couldn't finish zipping up the top, but also couldn't fill in the boobs. i am 5'7, 116 lbs, 32a. it is very cute, but the top was pretty stiff and unless it draped on you correctly, could probably be bothersome. i was disappointed in the quality of the skirt- no lining, simple cotton/polyester. i will probably return, try the size up, but was disappointed compared to how excited i was for it. i did like that it had pockets, and would be a fun dress to wear f</t>
  </si>
  <si>
    <t>Great fit, alluring</t>
  </si>
  <si>
    <t>I love this dress so much. the fabric on top is not something i would have chosen-it is thick and almost an elastic kind of feel. but i have grown to appreciate that since this dress is not amenable to most bras. i think the fabric would be thick enough on top to actually just do without one. otherwise you would have to go with a strapless-and the right kind of strapless, with this dress.
when they say it flares it really does-and much more than i was expecting. the bottom part of the skirt f</t>
  </si>
  <si>
    <t>Lovely pattern</t>
  </si>
  <si>
    <t>Timeless skirt. just don't like the placement of the slit, so maybe i'll sew it up.</t>
  </si>
  <si>
    <t>Omg! back is see-through!!</t>
  </si>
  <si>
    <t>I was so excited about this skirt and pairing it with a cute blouse for the warmer weather. as i took out the skirt out of the package and flipped it around, the back has mesh strips that are see through! there is also no lining to go with this skirt. if you go back to the "back view" picture on the website and zoom in closely, you can see the model's black underwear.</t>
  </si>
  <si>
    <t>Nice color and cut but runs very big so size down. will need to send back due to on line only. i am hoping one size smaller does the trick.</t>
  </si>
  <si>
    <t>I love the style of this dress, but unfortunately, it runs very small. i normally wear a size 8. i ordered a 10 and the dress was closer to a size 6. disappointed that i had to return it. also, the seams were poorly done and threads hung out everywhere on the hem.</t>
  </si>
  <si>
    <t>Fit works for some and for others</t>
  </si>
  <si>
    <t>This dress did not work for me. i tried it in my bigger size 6 since i am coming off winter weight gain. the dress fit tts but was squishing the breasts like tight bandages. i have smaller chest and the stretch bodycon fabric of the bodice made me look flat-chested. the straps did not sit flat on shoulders, i assume because they were not pulled tight enough by the chest. the dress was uncomfortable and felt strange on. but i can see how others with more curves on top will love the support of the</t>
  </si>
  <si>
    <t>Flattering top</t>
  </si>
  <si>
    <t>When i first tried this top on, i didn't like it because the chest just spilled open. i saw it on someone else and it was so flattering i gave it another try. i bought it in both the red and the black, and plan to put a stitch or safety pin through the top to keep it closed. it is very slimming and hides tummy/muffin top issues. i plan to wear it with the stretchy knee length maeve pencil skirts all summer, along with shorts and pants. give this one a try!</t>
  </si>
  <si>
    <t>This skirt is great to wear to work. nice medium weight. being cotton, it doesn't get to hot. skirt is lined. nice flattering shape. my normal size 4 fit perfect. love the godets. comfortable. doesn't get all wrinkled from sitting. nice royal blue color.</t>
  </si>
  <si>
    <t>Beautiful skirt - get ready for compliments</t>
  </si>
  <si>
    <t>I get so many compliments with this skirt! i love almost everything about it. i gave it 4 stars instead of 5 because i find the slit a little annoying. i think it's maybe a little too long (or short, i can't figure it out) but i couldn't pass up this skirt because the pattern is so pretty.
fits true to size, soft fabric, very cute.</t>
  </si>
  <si>
    <t>The dress was great! the zipper was just a little tough but over all a very classic, feminine piece.</t>
  </si>
  <si>
    <t>Surprisingly nice in person</t>
  </si>
  <si>
    <t>/my friend and i both tried on this shirt just to see how it fit and because it was blue. we were surprised how pretty it si on. a little see-through though, but hte cut hits in the right places (i guess we are not too endowed). she ended up buying it so i passed but very feminie work piece.</t>
  </si>
  <si>
    <t>Not for my body type</t>
  </si>
  <si>
    <t>Love this button down, but i couldn't make it work. i'm 5'4", 32b, and usually buy tops in a regular xs or s. i bought this top in a small and it was loose fitting which i liked, but too long for me causing the pleats to flare out more than i liked. the shirt is also pretty sheer, wear a skin colored bra unless you want it noticed. the material was soft and looked like good quality.</t>
  </si>
  <si>
    <t>Not like the photo at all</t>
  </si>
  <si>
    <t>I thought from the picture this would be a light floaty top. when it arrived, the fabric was a heavy knit and the neckline sagged very low. on me (granted i'm a pear) the bottom layer hugged my tummy and rear in a very unflattering way. the only thing i liked was the color. back it went.</t>
  </si>
  <si>
    <t>Too low and very big armholes!</t>
  </si>
  <si>
    <t>Tried this on at my local retailer, the red color is pretty but not a "true" red. the fabric has a nice weight to it not the usual thin stuff that retailer seems to offer these days. two big problems though- the top is very low cut and i could see it "opening" up to the world! and the armholes are cut so big and low that you could see the sides of my bra, this is a deal-breaker for me, it can't be fixed.</t>
  </si>
  <si>
    <t>Red in xl is pretty</t>
  </si>
  <si>
    <t>I ordered one of the xl in the red version. the fit is true to size. it matches the model's photos. the color is much prettier in person. it looks washed-out on my computer. but, in person, it's a nice light red. the quality of the material is okay. not as good as with the floral version of this style (florascura tank). the layers are flattering for my pear-shape. it definitely needs a tank underneath though. not worth full-price in my opinion but worth getting on sale.</t>
  </si>
  <si>
    <t>Adorable dress. could hardly get the zipper up in my very typical size 4. i will order a 6 and am hoping it will work out!</t>
  </si>
  <si>
    <t>This dress is very cute and fits quite well. you don't have to wear a bra with it, which is awesome, and it has delightful pockets. the downside is that the fabric on the top half is a little weird. it is very heavy and stiff. also, the inside has some fraying and the quality does not seem to be the best. i'm keeping it though.</t>
  </si>
  <si>
    <t>Unique dress</t>
  </si>
  <si>
    <t>I love the unique design of this dress.  it also has a nice thick material.  the top part runs small.  i'm normally between size 6 and 8.  i bought this dress in size 10 and the top part is still snug, whilst size 12 is too loose.  the bottom part has a nice flowy material with pockets.  since the top part is snug, it will best not to wear a bra plus the thick material will provide a nice support.  the down side of this dress is that the straps are running long.  i have a short torso, so there's</t>
  </si>
  <si>
    <t>This top isn't so much on the hanger but very cute once you try it. the neckline is really cut low so a pin or stitch is necessary. the length on the regular is perfect for my shorter body. if you have a long torso it might not work for you. love how the layers conceal but do not overwhelm your body.  i purchased my regular size medium in black. for reference: 5'6", 145 lbs, 34dd.</t>
  </si>
  <si>
    <t>Love love love this skirt. i walked into retailer in august not looking to buy this skirt even though i saw it in the catalog and thought it was cute. once i tried it on i fell in love. i purchased both black and blue. super flattering and true to size. its a must have for sure.</t>
  </si>
  <si>
    <t>The design on this dress is so cute. it runs really small. i had to go up from my normal size 4 to a 6. i am not well endowed so the top was great on me. it's looks great on once k got a size that works.</t>
  </si>
  <si>
    <t>Love this skirt!!!</t>
  </si>
  <si>
    <t>This skirt is everything i love about retailer. the fit, style and quality are amazing. i feel like a am wearing a piece of art. it is so unique and fits perfectly. way to go retailer!!</t>
  </si>
  <si>
    <t>Gorgeous skirt. runs a bit big.  well made. perfect for the office and super comfy.</t>
  </si>
  <si>
    <t>Wish it fit better for me</t>
  </si>
  <si>
    <t>I wish that it had fit me better as the feel of the fabric and the color were great! regrettably, i am sending it back as the v opening is too low for my tastes and the fabric on the left of the first layer drapes weird on me. i am usually a s or m and in this top the s was plenty of length and room, would be swimming in a m. the fabric was soft and felt great against your skin and not thin as some fabrics can be. the color was just as shown and beautiful. hope it works for some of you out there</t>
  </si>
  <si>
    <t>Lovely top!</t>
  </si>
  <si>
    <t>This is one of the best date night tops i've seen in a while. i'm 5'6, 120 lbs and the xs is perfect. the fit is spot on and the fabric feels nice. i will need a teeny tiny safety pin to keep the front closed, but i do that often so i don't see it as a design flaw.</t>
  </si>
  <si>
    <t>Despite being a knit, this skirt holds its shape and is absolutely perfect. it goes with everything and is extremely comfortable.</t>
  </si>
  <si>
    <t>Surprisingly flattering...plus pockets!!!</t>
  </si>
  <si>
    <t>I tried this dress on in my local retailer and was pleasantly surprised. it fit!!!...and looked cute. as other reviewers have mentioned, it runs small, but it is super stretchy, especially in the top portion. with that said, it accommodated my bust! i have a 32g bust, and it possess a problem for me when i try to buy dresses. the top of this dress is pure elastic, so it works. the dress stretches on top, but comes back inward on the body?so i can show off my curves. i have no idea what bra i can w</t>
  </si>
  <si>
    <t>Unexpected delight! great top that can be dressed up or down. the only con is a little small through the bust.</t>
  </si>
  <si>
    <t>Very flattering fit</t>
  </si>
  <si>
    <t>Love this shirt, very flattering fit on my pear shape. also accommodates my larger 32dd bust without straining on the buttons. ever so slightly sheer fabric, but no cami needed if wearing a nude bra.</t>
  </si>
  <si>
    <t>Lovely top that runs very large</t>
  </si>
  <si>
    <t>The color, design and fabric of this top (got it in the red) were just as i expected, but as the owner of several deletta brand tops, i was very surprised to find that my usual size small runs very large in this tank. not only did the front dip too low but so did the arm holes, and the top just hangs on me. it was so big for a small that it almost made me think it had been mislabeled and was really a size large. 
bummed to return it because i really love the color and the style. will try an x-s</t>
  </si>
  <si>
    <t>Beautiful drape, very deep v</t>
  </si>
  <si>
    <t>I bought this yesterday and love it. it drapes beautifully. it's a little fancy but versatile enough that you could wear it for semi-casual occasions. the first tier hits at the natural waist, while the second tier hits at about hip height. this is very flattering for the waist, while still being drape-y and a bit loose. i thought this fit a little bigger than to size. i am currently postpartum boobed so i am 5'4", 135 lbs and 34dd and the s fit great. (i am currently a s in other retailer tops).</t>
  </si>
  <si>
    <t>Unique spin to classic button down</t>
  </si>
  <si>
    <t>I have been wanting to incorporate button down blouses into my wardrobe for months but hadn't found any that caught my eye. leave it to retailer to supply the best alternative to a classic look. i love everything from the bottom flare to the way it cinches my waist. i would say this is perfectly appropriate for a business setting while still giving you individual style.</t>
  </si>
  <si>
    <t>So great - but quality not amazing</t>
  </si>
  <si>
    <t>So, so cute. totally flattering. but the seams don't lie flat and there are loose threads all over the place. i've had issues with quality from retailer for a while (random holes in things) and was disappointed this fit that bill. i'm keeping it anyway because it's so cute!</t>
  </si>
  <si>
    <t>Super flattering! my mom and i both bought this, and we have very different body types. (we both had to size up a bit, as i have a large chest, and she has a large ribcage.) i got a size 10 (i'm normally a size 8), and she got a 12. it was much easier to zip up without bras on, and it seems to have been designed to not need a bra. my mom is pretty short (5"2'), so she's going to get her straps shortened. for reference, i'm about 5'9". hope this helps!</t>
  </si>
  <si>
    <t>Fun &amp; flirty take on preppy look</t>
  </si>
  <si>
    <t>I bought the grey and white plaid shirt in a large. i'm 165, 36d and the top closes without gaping - even when i push my shoulders back. it's kind of sheer, so will wear a cami underneath. the waist nips in right where it should - giving a trim silhouette. adorable and fun top, without being cutesy. love tylho tops!</t>
  </si>
  <si>
    <t>Super cute and flattering!</t>
  </si>
  <si>
    <t>Pretty spring/summer top</t>
  </si>
  <si>
    <t>First, i love this top overall. it is simple and classic and has a flattering, forgiving cut. i agree there is a major design flaw as other reviewers have mentioned. the v-neck is so deep and falls so low you need to wear a camisole underneath. instead i chose to take a stitch at the neckline to keep it together where i wanted it, and that worked beautifully. i think the top should have included either a small button or snap to hold the neckline up properly or should have been stitched together</t>
  </si>
  <si>
    <t>Perfect fit for broad shoulders</t>
  </si>
  <si>
    <t>Based on previous reviews i ordered this shirt in both a small and medium. i have fairly broad shoulders, and thought i might not fit my usual small (if it helps for reference, i am 5'6", 123 lbs, and wear a 32c bra). i first tried on the small and didn't even bother opening the medium. i have a hard time finding blouses that fit in the torso without pulling at the bust (i think this is more related to my wide shoulders as opposed to actual bra size). with this blouse the buttons don't pull at a</t>
  </si>
  <si>
    <t>Absolute steal at sale price</t>
  </si>
  <si>
    <t>This top is adorable, especially the grey check. timeless staple, with a modern &amp; cute update. i agree with 2nd reviewer; i don't think this blouse pulls or is tight in the chest. i'm also a 34d, i got a small, it fits perfectly &amp; i wear it all the time - i think it's great for every season. very flattering, the peplum hits at just the right spot and defines the waist. i get compliments all the time. i pair it with cropped sweaters when it's cold. the grey does seem a bit higher quality; the blu</t>
  </si>
  <si>
    <t>Buy this skit- it's everything that retailer used to be. great pice, work appopriate, and it fits great.</t>
  </si>
  <si>
    <t>Wow im really glad i didn't listen to the negative reviews! in ordered this top in the black and red and i have to say this is one of my favorite tops! the neck line i agree does need to be secured. i wish they would have added a snap. it's fine though as i don't mind sewing it closed. this top is worth it! i'm 5'2 108 lbs and small chested. so for slim girls i think this is perfect!</t>
  </si>
  <si>
    <t>Great basic</t>
  </si>
  <si>
    <t>I really like this shirt. the material was a little heavier cotton than i expected in looking at the picture which is good otherwise it could look like you slept in the shirt. it is something that is going to wrinkle when you wear it so if that is bothersome then pass on this shirt. it's a bit longer which i also like because it will work by itself or under a jacket or sweater.</t>
  </si>
  <si>
    <t>Colorful &amp; lovely</t>
  </si>
  <si>
    <t>I found this skirt to run tts - i am a size 16 and the bought the xl. it is so soft and comfortable and the colors are so much prettier in person. i paired it with a black turtle neck and black dolce vita booties that i snagged on sale at my local retailer. happy girl!</t>
  </si>
  <si>
    <t>Beautiful sweater</t>
  </si>
  <si>
    <t>This sweater is comfortable yet still work appropriate. the ruffled shoulders adds a feminine touch.</t>
  </si>
  <si>
    <t>Great idea, okay execution</t>
  </si>
  <si>
    <t>I have a shorter torso and so i usually love dresses that hit right at my waist- so this dress seemed perfect! 
i ordered a size 2 petite, which fit very well. the regular two (in picture) was not as well made. the straps didn't fit as well. they were less of an "x" and way more fabric. petite fit great. i think this dress is really fun but not very mature. i returned it because it didn't feel adult enough for the event.</t>
  </si>
  <si>
    <t>Great buy on sale</t>
  </si>
  <si>
    <t>Just picked this up in black in the store. on the hanger it looks like just another v-neck tank, but it is quite flattering on. however, the v-neck is quite exaggerated and loose, i will be pinning it so it doesn't sag open. :)</t>
  </si>
  <si>
    <t>Just like the photo!!</t>
  </si>
  <si>
    <t>I love jeans!!! especially this pair. perfect fit, hugs in all the right places. perfect length! worn it 3x already! and it gets better every time you wear it. goes great with a cute too!</t>
  </si>
  <si>
    <t>This dress is made of a very thick material both on the top and bottom, making it very flattering. lots of compliments!</t>
  </si>
  <si>
    <t>This is a nice lightweight summer top to wear with a pair of shorts. it is low cut though - lower than i expected so i wear a tank underneath it. the layers are flattering.</t>
  </si>
  <si>
    <t>Odd fit</t>
  </si>
  <si>
    <t>This shirt was so weird?it does not fit like the photo at all. there seems to be missing a stitch or something at the top as it is wide open until the bottom/where it meets the other layer. i could wear a tank/camisole underneath, but it still just did not fit right. i do not have a large chest, but this was ridiculous. beyond that, the red color was just okay. even though i purchased this on sale, it was not worth the price and i returned.</t>
  </si>
  <si>
    <t>Just...weird</t>
  </si>
  <si>
    <t>I saw this dress and immediately started daydreaming about wearing it while honeymooning in italy along the amalfi coast or the cinque terre with my husband. and then i tried this dress on and immediately woke up. the cut is a disaster, the quality is terrible, and the dress just plain didn't work. the strips of elastic were sewn unevenly, giving the appearance that there was one large breast and one non-existent breast. the neckline was so long that it had to have the elastic run over the outsi</t>
  </si>
  <si>
    <t>So different in a good way!</t>
  </si>
  <si>
    <t>This blouse is pretty sheer, but perfect for a summer day. good coverage in the front and under arms on the sides for limited bra exposure, and a very cute opening in on the lower back.</t>
  </si>
  <si>
    <t>Droopy front, heavy fabric</t>
  </si>
  <si>
    <t>Right out of the bag, this top didn't really match the one pictured here (it is the right top, though). the fabric was heavy and felt "damp" -- the way something feels coming out of the wash. very odd.
and the fit is nothing like what's shown on the model. the "v" is not fitted or nicely wrapped (or even tacked in place) -- it was just two loose, droopy pieces so most of my bra was showing no matter how many times i put the pieces back where they belonged (i'm neither "flat chested" nor "busty"</t>
  </si>
  <si>
    <t>I love this dress! perfect for both work and play and can be worn in all seasons thanks to the sleeves.</t>
  </si>
  <si>
    <t>Feminine, romantic skirt</t>
  </si>
  <si>
    <t>This skirt caught my eye immediately. i love the beautiful patterns and colors. i'm currently pairing it with a charcoal grey top, which works well. the only slight concern is the material is a little poofy. i still love it, and definitely recommend this standout piece.</t>
  </si>
  <si>
    <t>I was surprised and impressed by how well made this top is. it looks and feels expensive and of good quality. it is a very flattering fit for someone like me who is small on top and wider at the hips area. i look forward to wearing this top all through the fall/winter/holiday seasons!</t>
  </si>
  <si>
    <t>Too shortwaisted</t>
  </si>
  <si>
    <t>So cute and so adorable but too short for my body in size small. i'm going to try a size medium.
fabric is a nice weight cotton. lining is good, sleeves are a not too tight.</t>
  </si>
  <si>
    <t>It really is such a cute romper. took it on s trip to italy and it was airy and comfortable. that is in till i washed it. i'm in europe so there aren't dryers... washed it in cold water, line-dried it and it shrunk. significantly. it still fits but the top doesn't blouse over like it previously did. and the shorts feel really short. so disappointed. my advice would be to hand wash it in very cold water</t>
  </si>
  <si>
    <t>Beautiful, flattering dress. love that you can where a bra without having to be concerned about straps showing. very happy with purchase. highly recommend.</t>
  </si>
  <si>
    <t>I'm so excited about this dress! it's perfect for the summer. the material is so soft and lightweight, with a great lining. i ordered a small petite and it fits great! the ruching in the front isn't overdone, so you don't have to worry about adding bulk in the midsection. no problem with my bra (32dd) showing in the back either.</t>
  </si>
  <si>
    <t>If only</t>
  </si>
  <si>
    <t>I was really happy when i saw this romper online and ordered it right away. unfortunately being larger chested i thought i would size up to a medium. bad choice. now i have a beautiful romper that is too big for me. i will be getting this one tailored.</t>
  </si>
  <si>
    <t>Cute... if you're planning to hold it on</t>
  </si>
  <si>
    <t>This romper is cute, well-made and true to size, but i haven't figured it out how to put this on without having someone tie the back ties. which pretty much means that going to the bathroom is not an option while you have this romper on. not sure what the designers were thinking here. i'm returning this one.</t>
  </si>
  <si>
    <t>High in back</t>
  </si>
  <si>
    <t>This is a beautiful sweater, but if came up weirdly high on me in back, higher than it looks on the model. she must have on high waisted pants.</t>
  </si>
  <si>
    <t>Not for me...</t>
  </si>
  <si>
    <t>Super long even at 5'7" and a little too voluminous for my taste. incredibly comfortable and beautiful pattern though. i'm having a hard time imagining there getting much use for me, so even at the sale price they're going back.</t>
  </si>
  <si>
    <t>I was so excited to order this dress, had the perfect red shoes to go with it. unfortunately i could have been nine months pregnant and still wear the small. i am 5'4/118lb and it was like a maternity dress. sad to send it back.</t>
  </si>
  <si>
    <t>Love them!</t>
  </si>
  <si>
    <t>These are the most comfortable pants i own. i bought them in the gold, green, and gray (which really does look more like a grayish purple). the gold is my favorite - it goes with so many things! i was just checking to see if there were any other colors - would love them in black and a burgundy. i'm about 125 lbs,, 5 foot 7, and the 28 is a perfect fit. the saleswoman warned that they would stretch out, but i haven't found that to be a real problem.</t>
  </si>
  <si>
    <t>Great w/ black crops</t>
  </si>
  <si>
    <t>Glad i got this on sale. it is more yellow than the photo &amp; short. it is also heavy with a sueded interior. would have given more stars if it was less boxy &amp; longer.</t>
  </si>
  <si>
    <t>Love these pants! super comfortable, but feel high quality. i am usually a size 2 and the xs fits perfectly.</t>
  </si>
  <si>
    <t>Lining makes all the difference</t>
  </si>
  <si>
    <t>130 lb, 5'5, 32dd. ordered xs. this dress is a bit outside my normal retailer style, but i love tracy reese designs and it had good reviews so i decided to give it a try. i could not be more pleased with this decision. as some of the other reviewers have said, the dress is very well made. the lining in particular is excellent- it is a soft mesh that prevents the dress from clinging, without adding bulk in the hot summer weather. i typically wear more structured dresses, but the lining on this dres</t>
  </si>
  <si>
    <t>Great material and design!</t>
  </si>
  <si>
    <t>As most other reviewers stated, the skirt does run a bit large and long. however, it is nothing a tailor can't fix! i plan on getting it taken in to fit higher up on my waist to make it both smaller and hit closer to below my knees rather than mid-calf. the elegance of the skirt can be dressed up or down depending on what top/shoes you pair it with. it feels well made and the coloring is much better in person than in the picture!</t>
  </si>
  <si>
    <t>Really wanted to like it, but...</t>
  </si>
  <si>
    <t>I really wanted to like this dress and was so disappointed when it came in the mail. if you have any sort of hips, the light pattern in the middle doesn't do you any favors. this made my hips look soooo wide! and the seaming and gathering in the middle was just off. if it was one continuous piece of fabric it might look better. with the seam, the pattern was cut up and looked pieced together. that just drew too much attention to my stomach and hips. it had to go back.</t>
  </si>
  <si>
    <t>The maxi dress i've been looking for</t>
  </si>
  <si>
    <t>The first reviewer summed up many of my thoughts exactly. i don't like to go without a bra and this dress with its slightly wider, almost cap-sleeve straps solves my problem perfectly. i love this neckline and wish i'd see it in more maxi dresses! the crossover and cutouts in the back mimic the lines of a traditional indian sari blouse and skirt, again without sacrificing bra coverage. just a beautiful and inspired design - definitely a standout in the sea of summer maxi dresses i've seen. i lov</t>
  </si>
  <si>
    <t>Gorgeus dress</t>
  </si>
  <si>
    <t>I love the bohemian look and fell in love when i saw this dress when i saw it online. it's pricey but i am holding on to it because it's really beautiful. i got a medium. i'm 5'2", medium built. it's just perfect. i'm tempted to get the petite but with petite, the top gets to be too short so i think i'll stick with regular size. my family loved it! the quality and detail in the dress is just gorgeous! you can easily dress this up or down.</t>
  </si>
  <si>
    <t>High hopes, but tiny and flimsy</t>
  </si>
  <si>
    <t>I am almost always an xs in bottoms (sz 0-2) but literally couldn't get the stretchy waistband (no zip or fastening) in xs up my hips. in addition, the "brocade" is a very lightweight polyestery, tinselly weave--does not suggest quality. as others have noted, it also runs short; i'm 5'3'' and this was a little below knee length on me, not ankle-length. i've had luck with retailer's sale section in the past, including some items that didn't always start off with the best reviews, but have no regret</t>
  </si>
  <si>
    <t>This dress is extremely comfortable and easy to wear with a bra. the back is great and the length is perfect for me. it's flattering, but the pattern (being light in color across the middle) isn't particularly flattering on your waist. that being said though, the gathering in front is great for hiding bumps and whatnot (after 3 kids that's important to me). lightweight and great for summer. 5'8", 135lbs and the size s fit perfectly.</t>
  </si>
  <si>
    <t>I love this top! fits true to size. tunic length, thin comfy fabric, adorable subtle print. the perfect top!</t>
  </si>
  <si>
    <t>5-star fantastic!</t>
  </si>
  <si>
    <t>This is my first ever review! these pants are 5-star fantastic. ordering additional colors because i love these so much and am finding i want to wear them every day. i initially ordered the bronze color which is superb, just beautiful. i was worried it might be too bright to wear to work, or be a different hue in real life, but they look just like the picture. to my happy surprise they dress up easily. it's a really rich color that i have been able to pull off at work with long sweaters and boot</t>
  </si>
  <si>
    <t>I feel like an indian goddess in this dress! lots of swing to it!</t>
  </si>
  <si>
    <t>Loved, but unsure about quality</t>
  </si>
  <si>
    <t>I loved this dress the minute i tried it on and am actually really sad that i had to return it. however, the embroidery was unraveling in several places before i'd even worn it, so i thought it would probably only get worse. too bad because it's gorgeous and flattering!</t>
  </si>
  <si>
    <t>This romper originally caught my eye in the beginning of the summer with the sweet back bow detail. i had originally planned to purchase for a trip to paris in june, but waited until the last minute and my size wasn't immediately available at my local store. i had honestly forgotten about the romper until i noticed it recently in the sale section ... at that price i couldn't pass it up. again it wasn't available in my size at the store location, but they were able to ship it w/in a few days. i p</t>
  </si>
  <si>
    <t>Beautiful unique top</t>
  </si>
  <si>
    <t>Love the unique details and neutral color scheme. top is boxy but i liked the way it looked on my 5'2" 115 lb. frame. it's comfortable and well made. thicker material.  seems to be holding up fine after one washing.  looks great with skinny jeans.  highly recommend!</t>
  </si>
  <si>
    <t>Lovely skirt, runs a bit large.</t>
  </si>
  <si>
    <t>Lovely assemblage of prints, looks great in motion. but the waistband runs a touch large. if you're between sizes, maybe size down.</t>
  </si>
  <si>
    <t>The little details are just beautiful. the embroidery and tassels are so cute. loose fitting just floats over the body. feels very light.</t>
  </si>
  <si>
    <t>I really loved this top the minute i put it on. read the other reviews but it really worked for me. i am 5'3", 36dd, athletic build and the m fit perfectly with a nice roomy fit. top will be perfect for my upcoming trip to tahoe. plan to wear with light denim, dark denim, and black cropped denim bottoms. even looks great with a culottes or denim skirt. the weight is really nice and it washed nicely. i washed on delicate, and laid flat to dry. a little pressing and good as new. it has a nice boze</t>
  </si>
  <si>
    <t>Sizing is all over the map!</t>
  </si>
  <si>
    <t>If you happen to get a size that fits you, you will love these leggings. they are true to size when the quality control works. i got 2 pair, both in size 28 - one fits perfectly and the other fits like my mothers high waisted jeans! the material is very soft and comfortable. also, not sure who named these colors, but the grey is really light purple and the dark grey is dark purple.</t>
  </si>
  <si>
    <t>Gorgeous maxi dress</t>
  </si>
  <si>
    <t>Flattering dress that looks great on. the back cut out shows some skin while still covering up a bra. the petite size fits true to size</t>
  </si>
  <si>
    <t>Cute leggings for cooler days, but be aware of fit</t>
  </si>
  <si>
    <t>I've been wanting to add some cords to my wardrobe and had to give these a try. i ordered the blue color on-line in size 31. i'm somewhat in-between size 30 and 31 in jeans right now, so i thought i'd be on the safe side and go up. i ended up keeping these and i'm happy with my purchase, although i do feel like the cut of the leggings is a bit off for me. i am a proportional hour-glass shape and i found these leggings to be quite snug in the thigh, while being oversized in the waist.
in the end,</t>
  </si>
  <si>
    <t>I really wanted the dark grey, but it has been sold out in my size for many months. i finally ended up with the navy. i think they are much cuter in person, the color nicer also. i think the cuffs have been folded under in some of the pictures of the models making the shape look just a tad odd. i got my usual size, and the fit was perfect. they stretch just enough. i would get the second pair in a heartbeat.</t>
  </si>
  <si>
    <t>Great dress but...</t>
  </si>
  <si>
    <t>Loved this dress and ordered it based on glowing reviews. ordered size large because i weigh 155 pounds and have a large 34g bust. the dress skimmed nicely over my body but the baby doll style fit loosely and made me look really wide from the side. i probably could have sized down for a better fit, but it might have just emphasized my bust. the fabric has a substantial weight and it's lined. best as a fall, winter dress. the embroidery is beautiful. i disliked the intense black color around my f</t>
  </si>
  <si>
    <t>I ordered a petite small. i'm 5'3, 135 lbs and 34b and the length was perfect and the fit was great. like the previous reviews. love you can wear a bra with it.</t>
  </si>
  <si>
    <t>This dress is perfect!</t>
  </si>
  <si>
    <t>I love this dress so much! i got petite and the length was perfect. it was so soft and so pretty. perfect for a wedding.</t>
  </si>
  <si>
    <t>I adore this dress.</t>
  </si>
  <si>
    <t>Soft, comfy, flattering, just a beautiful dress. it works for any occasion. i can't express how much i love it!</t>
  </si>
  <si>
    <t>I'm a 32ddd and this top fit perfect. i wore it with boyfriend jeans and flats. the material is nice and perfect for fall</t>
  </si>
  <si>
    <t>Super adorable!</t>
  </si>
  <si>
    <t>The romper is well made and just plain cute. i bought it the second i saw it and don't regret my impulse buy one bit. 135 5'5" and the small fit perfectly.</t>
  </si>
  <si>
    <t>I have been searching for great bra friendly maxis and the design and colors of this one are exactly what i was looking for. i love how the front and back dip down and the open back with crossover detail is really sleek looking.  overall, it's tts, but the chest is a little low cut, so some will want to size up for extra coverage.  the fabric is a silky jersey made of mostly rayon (95%) and spandex (5%) with a mesh nylon/spandex lining from the top through where the cream color ends at the botto</t>
  </si>
  <si>
    <t>Sleeves too tight</t>
  </si>
  <si>
    <t>Ordered a l and xl, the sleeves were so tight on both sizes but the rest of the shirt was wide and loose. the tight sleeves were not proportional with the rest of the shirt. both sizes had to be returned.</t>
  </si>
  <si>
    <t>Dreamy bohemian maxi</t>
  </si>
  <si>
    <t>I'd give this dress 6 stars if i could, it's possibly the best dress i've bought at retailer in 12 years of shopping there.  the fit is fantastic with the ruching around the waist adding camouflage  for anyone with a bit of a tummy. the cross back stamps hide a bra effortlessly (even those wide supportive bra straps that larger cupped women need to wear), the mature rial is soft and silky to the touch, the fit is true to size, the pattern is bohemian and elegant -- not hippy dippy at all. i'm 5'6"</t>
  </si>
  <si>
    <t>Beautiful! ...but not for a long torso</t>
  </si>
  <si>
    <t>Hahaha! as gorgeous as this piece is, i look absolutely ridiculous in it. i am 5'7'' 115 lbs but have a long torso and so the crotch area is, well, a little unflattering to say the least:) i am really sad because i shy away from shorts due to my year round pale skin, but this fabric and color worked really well for me. the length of the shorts is also nice and the back is beautiful! i've never had a romper and i was truly hoping this one would be the one for me. it is all round perfect...if you</t>
  </si>
  <si>
    <t>Huge!!</t>
  </si>
  <si>
    <t>This dress had beautiful details, and the material was better than i expected; however, it was huge! it completed swallowed me. i am 5'1 about 106 pounds with quite a bit of muscle. i ordered a 00p and it still looked like a sack.</t>
  </si>
  <si>
    <t>Tassels :(</t>
  </si>
  <si>
    <t>I wanted to love this, as it seemed like a fun and carefree take on a little black dress.
but how did i not see that this has tassels? but they're there, a whole row of them - look hear the bottom of the skirt part, between the colorful stripes and the lacy area. that's a deal breaker for me - i really can't stand the way these look, and they're not the sort of thing you can easily remove.
the fabric, though nice quality, has no stretch at all. i wasn't expecting stretch, but i'd just say</t>
  </si>
  <si>
    <t>This might be one of my new go to tops. looks cute with jeans and a sweater or alone. the arms are snug but not uncomfortable and i think it adds to the shirt.</t>
  </si>
  <si>
    <t>Great autumn dress</t>
  </si>
  <si>
    <t>I needed a dress to go to a reunion party(not hs) and this fit the bill perfectly. it fits perfectly and its short but not too short. it is a great work dress or change your accessories and its  perfect for out to dinner.</t>
  </si>
  <si>
    <t>Great legging cord!!</t>
  </si>
  <si>
    <t>These are really great legging style cords. you can wear them without worrying about covering your bum in my opinion! they are not too bulky at all which you might expect in a corduroy pant. they are a tad loose in the waist area unfortunately but fit me well in the thighs, so i don't think sizing down would work for me. i bought the bronze, and it's a very versatile color! darker than the picture, but still a good color. i feel it will be perfect for fall and spring especially. i'll wear it all</t>
  </si>
  <si>
    <t>Nice fitting cords-bronze</t>
  </si>
  <si>
    <t>These cords are soft, comfy and my normal size 32 for tts. the length was fine for my 5'9 height. i really like the bronze color, it is almost a yellow.</t>
  </si>
  <si>
    <t>I really like this pullover. the design is beautiful, and i love the asymmetrical hem. my own complaint is that the fit is a bit boxy on me because i'm large-chested. it's more drapey than tailored. but it's not overwhelming and doesn't cancel out how much i like it overall.</t>
  </si>
  <si>
    <t>The flow and feel of the material is really nice, however, i think it runs large. i ordered a small, and i have exchanged it for an xs, which i am hoping fits a bit better. i wanted the pants to be a bit more fitted around the hips and flow from there.</t>
  </si>
  <si>
    <t>Bohoranna rhapsody</t>
  </si>
  <si>
    <t>This cute dress is swingy and chock full of fun little details.  love the embroidery, colors, crochet lace, tassels, wide sleeves.  don't like that it's all polyester and some embroidery is unraveling so i don't know what to do about that.  size down if your petite or slender.  i'm a med-large (135# 36c 38-27-35) and medium fit great at the bodice/shoulders.  hem hits my knees in regular size.</t>
  </si>
  <si>
    <t>Another tracy reese winner</t>
  </si>
  <si>
    <t>I can't get enough of maxi dresses and i can't resist tracy reese. this stunning dress caught my eye immediately, but i was worried that the back cut out at the waist would make my backside look flatter. i'm so glad i took the plunge to buy before it sold out. this dress fits perfectly, it's flattering to my figure, the print is beautiful, the fabric and drape do not cling to my figure flaws and i'm just so happy! for sizing reference here are my stats: 5'3" 140# 36dd and i purchased the medium</t>
  </si>
  <si>
    <t>True to size. length is perfect for 5'8"-5'9". soft fabric. not too low cut in the front, but not all covered up either. ruching is subtle and does not add bulk. skirt portion skims curves, neither clinging to them nor poufing out from them. strap design is perfect, covers bra while revealing a touch of skin. comfortable and effortless to wear, very very pretty.</t>
  </si>
  <si>
    <t>Beautiful dress</t>
  </si>
  <si>
    <t>This dress is so pretty. i loved the details on it. the material was ok. would have prefered a softer material so the bottom part of the dress would have been more flattering. unfortunately, it did not fit me right. i'm 5-2",34c, 28, 37 and the 4p fit ok. it hit just above my knees so the length was fine. what i did not like was that it was a little too loose around my waist making me look pregnant so unfortunately i had to send it back. i'm so sad cause this is a really pretty dress. you can dr</t>
  </si>
  <si>
    <t>Cute but a little maternity looking</t>
  </si>
  <si>
    <t>I'm keeping this top bc it was on sale but it does look a little maternity! i wore with super skinny white jeans and 3" casual heel. i'm short so i needed a little more height to slim me but if your tall and and slender this might work better for you?</t>
  </si>
  <si>
    <t>I feel like an indian princess in this dress! it isn't very forgiving, make sure you don't mind showing some skin - but there's some subtle rouching right at the spot where most of us wish we could hide at all times. great colors; boyfriend loves it.</t>
  </si>
  <si>
    <t>Exquisite</t>
  </si>
  <si>
    <t>Absolutely love this dress. i saw it online and didn't give it much thought and then saw it in the store and it was amazing. the photos really do not do it justice. the embroarding detail at the bottom is beyond beautiful in person. i agree that if you don't want skin showing you will need a black bra or black cami to over the delegate lace down the front and back of the dress. got this for fall/winter in fl and cannot wait to wear it, perfect holiday party dress!</t>
  </si>
  <si>
    <t>Ingenious mix of line and detail: ranna gill!</t>
  </si>
  <si>
    <t>This dress is my personal introduction to talented indian designer, ranna gill. i just love this gorgeous, free- spirited dress! i bought the regular medium for my 5'1", 34f, size 8 figure. it works very well. i will want to wear a black cami, as i'm not comfortable with some cleavage showing (maybe 3/4") and the open lines of lacy, small holes down the front and back. you might not mind showing more skin though and not need a cami. the top is not very see-through, and the skirt is lined. the re</t>
  </si>
  <si>
    <t>Not as shown</t>
  </si>
  <si>
    <t>I agree with the previous reviewer that the length is not at all what is shown in the picture. much shorter than that. and while the overall detail of the skirt is very nice, the elastic waistband makes it look cheap considering the price...</t>
  </si>
  <si>
    <t>Great dress, even better in person!</t>
  </si>
  <si>
    <t>This dress is great, and looks even prettier in person, the colors are more vibrant. the ruching is very forgiving for the belly and the length is perfect. most maxi's are too long on me, but i ordered a ps and it fit perfect. my only complaint is that it is very low cut, which i was unaware of standing up, but when i sat down at a dinner party, well, let's just say i gave everyone a show :(. recommend wearing a cami or something underneath.</t>
  </si>
  <si>
    <t>Flows nicely</t>
  </si>
  <si>
    <t>I love this shirt. i'm 5' 4", 110lbs, just had 3rd baby so not into tight fighting clothes at the moment. love the loose yet flattering fit of this shirt. the sleeves are not too tight on me and i love the length.</t>
  </si>
  <si>
    <t>I ordered these pants after seeing the good reviews, but i don't agree. these are going back. i ordered a small. i'm 5'5" and 135 pounds. i am usually between a small and a medium in pants, but the small in these pants is huge. i could definitely fit into an xs. but i also don't think they are very flattering and don't like the feel of the fabric. it's too bad. i love the idea of these.</t>
  </si>
  <si>
    <t>In love with this dress!!!!</t>
  </si>
  <si>
    <t>This dress is so pretty- the colors are vibrant, beautiful pattern, the ruched part in the center hides the tummy!!! the neck line was too low for me, so had to wear a red cami underneath which hid the skin showing parts in the back around the waist. so instead of skin color, it was now red- even more prettier! no body could tell!! got so many compliments!!!</t>
  </si>
  <si>
    <t>Nice knit button up</t>
  </si>
  <si>
    <t>I was pleasantly surprised when this arrived. it hangs in a flattering way and the red has a nice soft hue. i couldn't believe what a great deal i got while on sale.</t>
  </si>
  <si>
    <t>Funky fun</t>
  </si>
  <si>
    <t>These crops are very well proportioned and fun. the graphic pattern is spot on trend and the unusual silhouette can spice up your pants options.
i am a fan of cartonnier and these particular pants were surprisingly generously cut in comparison to most of the styles i have. i usually need to order cropped pants in tall, but these worked with the regular inseam.</t>
  </si>
  <si>
    <t>Perfect summer pants!</t>
  </si>
  <si>
    <t>The linen- cotton blend breathes so well for a hot summer day! the design on the waistline is super cute and yes they are a little long in the leg but that can be a plus+ for vertically challenged girls like me. wedges and platforms are perfect to show off the soft drape of the pant legs. now that they're on sale, i'm snatching up other colors, like white and light khaki- already have the seersucker blue pair!</t>
  </si>
  <si>
    <t>Belle of the ball</t>
  </si>
  <si>
    <t>I wore this dress to a party once and haven't been able to find an outfit that can top it!</t>
  </si>
  <si>
    <t>Cute and very soft, but the elastic wasn't sewn in right. i took them out of the wash and the waistband was a twisted mess. disappointing for more expensive loungewear.</t>
  </si>
  <si>
    <t>I love these pants! comfortable, light and can be dressed up for work and down for the weekend. the color is a little more saturated in person, but can't really complain about that too much!</t>
  </si>
  <si>
    <t>I loved this top, however had to return as it does run small. by the time it arrived they were sold out in the larger size. like the quality of cloth and stone, however their products do run a size small.</t>
  </si>
  <si>
    <t>Just a perfect pair!</t>
  </si>
  <si>
    <t>As a lazy one, i have to confess i barely leave any reviews even though i rely on the reviews from others to make my online order decision. yes! i owe a big "thank you" to anyone who wrote a helpful and honest reviews here :) and thank you!! now it is my time to pay back to the community. this pair of jeans are just perfect - perfect design, perfect fit and perfect material, soft, cozy and hip with a good spirit.. i don't want to take it off once i put on! i am 108 pounds and 5' 3" ordered size</t>
  </si>
  <si>
    <t>Super cute but not for me</t>
  </si>
  <si>
    <t>I am just over 5'8"and i found that these pants hit me in a weird spot on my torso, almost creating a muffin top that i don't normally have. in addition, they were too short on me to give the chic and modern look of cropped ankle pants. on my frame, they fit more like capris from the late 1990s. both the construction and execution of the pants are otherwise fantastic.</t>
  </si>
  <si>
    <t>Great day/night pants</t>
  </si>
  <si>
    <t>Adorable and amazing quality. true to size. i ordered a 6 and fit perfect.</t>
  </si>
  <si>
    <t>Great for spring</t>
  </si>
  <si>
    <t>Love these pants. super light and great color. they are a bit long though</t>
  </si>
  <si>
    <t>Very nice top. flattering and goes with everything. i bought the medium in the green but would have needed the large in the white as the white was a little see through and showed more of my flaws. i agree with the other reviewer in that this top has good button placement.</t>
  </si>
  <si>
    <t>Beautiful - if you're pregnant with twins.</t>
  </si>
  <si>
    <t>This is a gorgeous top. very well made with a classy design. it fits true to size from the lower chest up. however, at about the mid-belly range, the shirt widens out and basically allows a 5 month twin pregnancy to comfortably fit in. size xs. i was so sad. for the price, i can't justify taking it for alterations. it would have been the perfect top.</t>
  </si>
  <si>
    <t>Beautiful dress, fits poorly</t>
  </si>
  <si>
    <t>I purchased this and another eva franco dress during retailer's recent 20% off sale. i was looking for dresses that were work appropriate, but that would also transition well to happy hour or date night. they both seemed to be just what i was looking for. i ordered a 4 regular and a 6 regular, as i am usually in between sizes. the 4 was definitely too small. the 6 fit, technically, but was very ill fitting. not only is the dress itself short, but it is very short-waisted. i am only 5'3", but it fe</t>
  </si>
  <si>
    <t>Surprised this shirt is still available !</t>
  </si>
  <si>
    <t>This shirt has such a fun twist on an otherwise basic jean shirt! i bought this shirt on a whim despite having a closet full of denim shirts... and i'm glad i did! the fabric is the same cloth</t>
  </si>
  <si>
    <t>I'd rather pay property taxes than buy this one!</t>
  </si>
  <si>
    <t>Disappointment city with this one and i am so lucky i had a coupon because if i would have paid the full $128 they are asking, i would be a tad skewed. not just thin material but thin and cheap feeling. doesn't itch but i seriously expected a lot more from retailer. i have noted the name of the designer and have promised myself to never buy this label again. big loser.</t>
  </si>
  <si>
    <t>I first bought the red &amp; green at the store. when they went on sale bought the blue &amp; ivory. love, love ,love these shirts! they go great with a skirt or jeans. so happy i got them. the fabric is stretchy, but still fits very nicely. what a great buy, hope to see more of this style again.</t>
  </si>
  <si>
    <t>Ok, but didn't love the length (on me)</t>
  </si>
  <si>
    <t>These jeans are well-made, the cut is decently flattering, but on more muscular thighs, it would look nicer if the cuff was a bit higher. the petite on me was just below the ankle, so it just looks like i folded my jeans because they were too long. if you are taller or have longer legs (mine are short on my short height), then i think these would be great. i dind't find them particularly small, but htey were snug (muscular thighs). overall, ok but returning them. (25 p ordered, 115 lbs, 26.5 in</t>
  </si>
  <si>
    <t>Nice but stil la tad long in eptite</t>
  </si>
  <si>
    <t>Iordered hte petite after trying the rregualr size in the store, and i will have to wear heels with the pants... or get them hemmed... the color choices are all great, i wanted navy, but i have a pair of grey ones that look similar, so i deciced on the netural if my size is stil lavaialble in yellow at sale time, i will be grabbing those as well.
i went with 25, my typical size lately (115 lbs)</t>
  </si>
  <si>
    <t>Perfect except runs way too small</t>
  </si>
  <si>
    <t>I ordered these in my usual size and could barely get them on. they fit ike tight leggings. they have spandex that is comfortable and they will probably stretch as you wear them,. i exchanged for the next size up, because the style is great for year -round and the quality excellent. i live 2 hours from a store, i would either order up at least one size or try them on in store.</t>
  </si>
  <si>
    <t>I love love love the fit in the corduroy, so thought about grabbing these jeans as well. they fit much pretty well, just the color wasn't quite right. i'm really picky about the blueness of my jeans, and these don't quite match the coloring in the photo. still debating whether to keep them. love the cuff styling and straight leg fit!</t>
  </si>
  <si>
    <t>I love this shirt, it's easy to belt. i just wish it was tighter.</t>
  </si>
  <si>
    <t>The perfect pant for warmer weather</t>
  </si>
  <si>
    <t>Finding pants off the rack that fit me is always a challenge - i'm petite (5' 1'), a bit curvy and short-waisted, so many of today's low-rise styles just do not work for me. however, these pants are a better cut and come pretty close to a perfect fit - comfortable and flattering, too. i've actually had pretty good luck with pilcro pants. i always have some gapping in the waist, but it's not much of an issue with these. more than likely whatever top i wear will hide that part. i was advised by th</t>
  </si>
  <si>
    <t>Great pants!</t>
  </si>
  <si>
    <t>I absolutely love these pants! i have been searching for a pair of linen pants for quite a few years but have never really found a pair that looked good on me until now. i have usually found linen pants to lack shape and end up making me look frumpy but i really love the fabric. well, these pants actually have some structure to them and are still super comfy and soft. i bought the neutral color which is acutually a very fine tan and white pinstripe which makes the pants a bit more classy. i love</t>
  </si>
  <si>
    <t>These are the most comfortable, happening pants i have ever owned! they are extremely flattering and slimming at the waist. i am a size 4 and bought the 4, and they fit perfectly. they are a bit long, but after washing and drying on low, mine shrunk enough that i can wear them with flats or flip flops, and not just heels. my 2 teenage daughters have complimented me on them saying how "modern" they look. i bought them in navy and just ordered the grey yesterday. i might go into my local store and</t>
  </si>
  <si>
    <t>Great jean</t>
  </si>
  <si>
    <t>I love these jeans, well,i have not worn them out yet so not sure if they will stretch, but just in terms of fit and cut, i really like them. i normally wear ch or ag in 25 or 26. i got these in 25 and they fit perfectly. i love the stretch, great color, not too thin, very comfie. i was worried about too much flare, but not a problem. they are very long, but i am only 5"2 and i will be hemming them about 8 inches .</t>
  </si>
  <si>
    <t>Truly beautiful dress</t>
  </si>
  <si>
    <t>I'm an avid retailer shopper.
i bought this dress for my niece, her style tends to run 
bohemian/gothic.
the style, fabric and overall design/quality of this dress, is something i felt she would like (even though the color is not black).
she loves it - perfect fit. she accessorized it with her usual biker/moto jacket,boots, etc.
but it looks awesome on her!</t>
  </si>
  <si>
    <t>This dress is absolutely beautiful. i was hesitant to purchase it due to the price, but i just couldn't resist. it's so flowy and comfortable. it's quite long on me; i'm 5'5 and have to wear heels so that it doesn't drag, but could easily be fixed with alerations. i wore this to a wedding and received so many compliments.</t>
  </si>
  <si>
    <t>Square</t>
  </si>
  <si>
    <t>Short and wide. the color and print are so pretty, but the shape isn't flattering, at least not to me. might work better on a teen?</t>
  </si>
  <si>
    <t>Off the grid</t>
  </si>
  <si>
    <t>Kicky looking pants, that i got at a bargain basement steal. i'd be kicking myself if i didn't buy them. can't wait to wear them once it warms up. they'll look great with a lightweight, boxy sweater and flats. i tried on the 4 and the 2 and the 2 is perfect. the fabric has a nice, fluid feel to it. i always swore to my husband i'd never wear plaids, but i guess i lied.</t>
  </si>
  <si>
    <t>Like, don't love</t>
  </si>
  <si>
    <t>I'm keeping this blouse anyway. i purchased the olive and it's such a great color. i live in a warm climate and really don't need long sleeves, but since the color is so great and pairs well with a lot, i will keep it.</t>
  </si>
  <si>
    <t>My favorite spring pants</t>
  </si>
  <si>
    <t>I absolutely love these pants. i got the yellow and it is a beautiful, soft color. the fabric is soft and flowing. i am 5'1", 102 lb and the 0 petite fit perfectly. some stated they are too long even in petite but i disagree. the patch pockets are darling. don't hesitate to try these pants out!</t>
  </si>
  <si>
    <t>I was excited to try something by this designer and decided to order size large. unfortunately, this top just looked very odd. cute from the front but it wings out in the back where the sleeves meet the arms. the fabric makes an odd poof in that area. i do have a large bust and it didn't pull anywhere in the front. i expected it to be soft and drapey but the cotton feels very coarse and doesn't drape well. it covered my behind in back. unfortunately it made me look wide from the side view. i hav</t>
  </si>
  <si>
    <t>Can't resist hot air balloons!</t>
  </si>
  <si>
    <t>I am powerless to resist hot air balloons and had to get these the moment they popped up! the pjs are charming and comfortable. the material feels very satiny. it's hard to tell, but there are small white dots in the midst of the champagne colored background. true to size.</t>
  </si>
  <si>
    <t>Dreamy pants</t>
  </si>
  <si>
    <t>These pants are exactly what i expected. true to size and color were perfect! they feel so good to wear and love the detail in the sewing. perfect office attire or night out for dinner. just add a fancier blouse. ta da :)
would highly recommend them.</t>
  </si>
  <si>
    <t>Perfect summer crop</t>
  </si>
  <si>
    <t>I will be living in these this summer! i couldn't find them in my local store, so i was pleasantly surprised when i received my grey pair from my online order. the fabric feels so comfortable with just the right amount of stretch and the cut is very complimentary to those of us with athletic thighs. i was so pleased that i bought a black pair and discovered they look adorable with my tall boots and a black boxy sweater. they've already become my "go to" pants. everyone should have a fun pair of</t>
  </si>
  <si>
    <t>Nice summer pants.</t>
  </si>
  <si>
    <t>1. i'm 5'5" tall, 143 lbs, and 38-32-40 and my normal size 10s fit me perfectly.</t>
  </si>
  <si>
    <t>Gorgeous dress. perfect for something special. paired with black heels. runs a touch large. i normally wear a small (5'6 and 140 pounds) but i'm expecting so i sized up to a medium and it's very roomy. the sleeves do cap out a little too much but it's just so pretty i don't care! def a keeper.</t>
  </si>
  <si>
    <t>Awesome versatile jeans</t>
  </si>
  <si>
    <t>The perfect jeans for daytime and bending down with the kids or dressing up later for night. i love that the cuff isn't sewn, so you can choose to roll them down too. with just the right amount of stretch, they are extremely flattering. they are definitely my new favorite pair this season!</t>
  </si>
  <si>
    <t>Love! but more tall options, please!</t>
  </si>
  <si>
    <t>These pants are so great. i am 5'10 and the talls are actually a hair too long. but no complaints! just wish they made every color available in tall. i had been waiting for new colors to get a second pair and was disappointed they are only offered in regular length. but overall these pants are super comfortable and great for work. as far as sizing goes, i wear a 29 in the pilcro cord leggings and wear a 12 in these.</t>
  </si>
  <si>
    <t>Great pants, a tad long in petite</t>
  </si>
  <si>
    <t>I love these pants and have two colors from last season. they are well-made and versatile. however, given the amount they stretch and the summer season for sandals, 30.5 is a tad long for petite. i'll have them hemmed an inch to keep them from dragging on the floor. also, i wish the coral and green came in petite.</t>
  </si>
  <si>
    <t>Comfy and flattering</t>
  </si>
  <si>
    <t>Love all pilcro, this is no exception. very flattering. slim fit but not skin tight. comfy!</t>
  </si>
  <si>
    <t>Great shirt, excellent details</t>
  </si>
  <si>
    <t>I am so glad i waited for this to go on sale! this shirt is incredibly soft, with great detail on the fading. i ordered a medium (5'10", 160 lbs) and it fits perfectly.</t>
  </si>
  <si>
    <t>Nice length in tall.  order up one size: cut slim in body.  fabric lightweight bordering on flimsy.</t>
  </si>
  <si>
    <t>The retailer store had mostly white left of these pilcro linen pants so i tried them on. the main reason i did not leave the store with them is because i could see the washing tag inside the pants as clear as day. the white pants were just too see-through and i was really looking for some casual items to wear to the office. if it was at least lined, these pants would have come home with me. otherwise, i think the fit was tts.</t>
  </si>
  <si>
    <t>Great take on a classic!</t>
  </si>
  <si>
    <t>I had been looking for a chambray shirt, but am not a fan of the typical button-down style. this shirt is very versatile, but is far more interesting with the lace up neckline. i received multiple compliments the first time i wore it. the material is incredibly soft, but i haven't laundered it yet, so i am not sure how it will holdup.</t>
  </si>
  <si>
    <t>Very cute, very, very cute</t>
  </si>
  <si>
    <t>These pants are flattering and comfortable, plus they are cute, cute, cute. i'm a little too conservative to wear them with a striped top, but with a solid black or ivory/off white top they are perfect. can be work appropriate with a blazer or twin set or "girlfriends'" lunch appropriate with a tee or turtleneck. highly recommend</t>
  </si>
  <si>
    <t>Gorgeous detailing</t>
  </si>
  <si>
    <t>I never write reviews but this dress is so fantastic i felt compelled to write one. it has unbelievably gorgeous detailing, from delicate beading and sequins on the bodice to the three layers of the skirt: slip, floral pattern, pleats. i literally feel like a princess/ greek muse in this dress. can't recommend it enough. true to size; i'm 5'7" and 133 lb and got a size 4.</t>
  </si>
  <si>
    <t>Very unflattering dress</t>
  </si>
  <si>
    <t>This dress looks lovely on the model, but it looks just awful on me!
i am 5'4" and curvy. the shoulders are cut w/ a weird shape. instead of a cap sleeve, it is like a pointy cap on the side and stuck out on my shoulders. it looks like i am ready to get beamed into space.
the material is nice and the sequins are pretty, but the cut of the dress is unflattering.</t>
  </si>
  <si>
    <t>These are great quality and hang very nice. tts. i'm 5'6" and about 130lbs and the 2 fit and hit just above the ankle.</t>
  </si>
  <si>
    <t>Super cute wear well</t>
  </si>
  <si>
    <t>I ordered the neutral in a 2p. i had to hem them. i 5' about 110lbs. i wore them to wore. they wore beautifully with some wrinkling to be expected with linen. but they didn't look like i slept in them. i ordered another pair same size right after the first pair came and tried them on to find the fit tighter than the first pair. a bit disappointed. debating if they'll stay or get returned. i see the notes about stretching. overall a nice pant for the money.</t>
  </si>
  <si>
    <t>Almost.</t>
  </si>
  <si>
    <t>It's pretty, floaty, feminine; the photos don't do justice to the prettiness. but the photos also don't show an asymmetrical hem. i understood it runs small so i got two sizes, to be safe, and even my larger size was strangely short-waisted, and i'm short-waisted to start with. maybe i could've lived with that, but both the dresses i received have an uneven hem unlike any i've ever worn or seen before. it's not longer on just the sides; the hem is longer in one spot on the front, and one in the</t>
  </si>
  <si>
    <t>Perfect shirt</t>
  </si>
  <si>
    <t>I own this shirt in dark green,
navy, and white.
it is perfect. it drapes in such a flattering way, nice weight.
it shows curves in all the right ways but does not fit too snug, emphasizing every flaw.
and finally... the buttons are placed perfectly so that you don't have to choose between extremely conservative or way too provocative (bra showing).
well done!</t>
  </si>
  <si>
    <t>Sizing is off</t>
  </si>
  <si>
    <t>I like the feel and color of this blouse. however, i was very disappointed with the sizing. i usually wear medium so i ordered medium for this blouse, it fits way too big. it is a bummer because the "curve" is not even visible when i wear it.</t>
  </si>
  <si>
    <t>Fun but not perfect</t>
  </si>
  <si>
    <t>I love these jeans and have been wearing them a lot now that the weather is turning a bit cooler in my area. i like that the cuff is not sewn in, so you can wear them with a cuff like pictured, or fully unrolled/down. they are a bit higher-waisted than i prefer - kind of an awkward waist height in my opinion. and they are very stretchy. i was torn between two sizes so i went with the larger. i wasn't sure of how to mark how they fit because they are somewhat fitted/slim in the thigh area, but th</t>
  </si>
  <si>
    <t>Very cute. i received many compliments when i wore it. fits true to size (petite 2) with some good stretch in it. i am 5'3 and it was slightly longer than that on the model. it is a little odd that the buttons are all not the same. but perhaps that is part of its charm and it is not noticeable. it is very comfortable and the pictures are representative of what it looks like.</t>
  </si>
  <si>
    <t>Just right</t>
  </si>
  <si>
    <t>I ordered this in a size s, my usual size and it fits great. i love the color, style and fit of the dress. the only criticism i can think of is the braided trim on the skirt hits right at my hip and kind of, ever so slightly, poofs out a bit and i wish it had pockets. other than that it's pretty darn cute and i got it at a great price of under $40. so i will wear it as much as i can until it gets cooler. because of the rich color, i can probably wear with cute sweater and booties into the fall!</t>
  </si>
  <si>
    <t>This is a great basic t that works with shorts, pants, or a skirt.</t>
  </si>
  <si>
    <t>Would be great but...</t>
  </si>
  <si>
    <t>Such a cute skirt- but impossible to get on. ordered in an xs (i have a 25/26 waist) but could barely get it past my knees to step into. if you have any hips at all, unfortunately this skirt won't work. i was tempted to size up but once i got it on it fit great in the waist and already had too much material to size up to a small.</t>
  </si>
  <si>
    <t>Perfect every day neutral</t>
  </si>
  <si>
    <t>So glad i ordered this dress. it fits true to size and is extra soft. i was unsure about the color, but it looks nicer in person. the fabric is a mid weight that hangs nicely. this will go great with leggings or tights and wear into spring.</t>
  </si>
  <si>
    <t>It was very pretty,but it ran very big , sadly i had to return it.</t>
  </si>
  <si>
    <t>Wanted to like it</t>
  </si>
  <si>
    <t>I thought this dress was very cute on the model, however it was way too tight across the chest for me. going up a size would mean it would be too roomy everywhere else. also, fabric wasn't great.</t>
  </si>
  <si>
    <t>Try on before purchasing</t>
  </si>
  <si>
    <t>I like many of you had the same issues. i tried my normal size of xs and s and couldn't get it on. the sales associate looked at it and went and got several size small and they all fit differently. some fit normal and others did not, so i would try on first. i love it when it fits correctly</t>
  </si>
  <si>
    <t>I've had my eye on this for awhile, glad it was still in stock.  really great deep wine color, soft.  more texture and detail than i had appreciated in the picture.  love.</t>
  </si>
  <si>
    <t>Ugh.  i was so excited to get this dress and for 30% off.  this dress is adorable.  unfortunately the top part is super tight around my girls.  otherwise the fit was perfect.  very disappointed in the top of this dress.</t>
  </si>
  <si>
    <t>Not your everyday cardi</t>
  </si>
  <si>
    <t>You will love this cardigan. very well made with beautiful details. the sleeves have the same detail as the collar and the back. has darker flecks that will go well with dark pants or cords or jeans. you will love this cardi! wish it came in more springy colors. i only gave it a lower rating for quality because the first one i tried on had a sleeve that was much tighter than the other sleeve. the replacement was fine!!</t>
  </si>
  <si>
    <t>Really cute skirt, but difficult to get on! i had to shimmy it over my hips due to the lack of a much needed zipper. i am not very curvy, so if you got them, forget it! i sent back the xs - hope the small is a little roomier because it will make a pretty summer skirt.</t>
  </si>
  <si>
    <t>Flawed</t>
  </si>
  <si>
    <t>Cute skirt but i agree with the other reviewer. you can't get it on! i tried my skinny daughter tried no go!</t>
  </si>
  <si>
    <t>This is a beautiful sweater! it is not too heavy and the variation in knit from front to back makes not the same old boring sweater. the color is gorgeous.</t>
  </si>
  <si>
    <t>Awkward shape</t>
  </si>
  <si>
    <t>I would definitely only recommend this top to girls who are smaller chested. it fits in the shoulders/arms, and then flares out too much at the bottom, almost looks like a maternity top. the material is very nice however - both soft, and feels like it will hold up through multiple washes.</t>
  </si>
  <si>
    <t>I just love this dress! the color, the quality, the design - all great! sizing can be tricky however. i sized down due to reading the other reviews, and i'm glad i did - it fits perfectly! this dress does not have a zipper on top, so if you have broad shoulders it might be a little harder to squeeze into.</t>
  </si>
  <si>
    <t>I purchased this sweet little cami in all three colors (the black for some reason only available to order in store). the fabric is luxurious and smooth to the touch! i've purchased other silk shells by eloise and would say this one runs small. i'm 5'2" 125lbs 34c and and typically wear an xs at retailer. this tank was too tight in the chest and i sized up to a small which fixed the problem. i can't wait to make my jeans and bomber jackets for fall just a little more special with these babies!</t>
  </si>
  <si>
    <t>Most comfortable fabric i've ever worn</t>
  </si>
  <si>
    <t>I originally bought this dress in another color back when retailer was doing the 25% off dresses promotion a few months ago. i had seen it on a store associate at my local store and absolutely loved it, but hemmed and hawed at the original price. it was a splurge even at 25% off, but as soon as i put it on i was in love. this dress is so soft. i wore it to see some old friends, and after every hug i received a comment about how unbelievably soft it was! the material is thick enough to have a decen</t>
  </si>
  <si>
    <t>Cute skirt in theory</t>
  </si>
  <si>
    <t>This looked like such a cute, casual skirt when i picked it up but like other reviewers have said, it runs small. i'm usually a xs in retailer skirts but they only had a small to try on. i was able to get it on but did notice it was snug pulling on past my hips. however once on, i couldn't figure out how i'd wear this. i wouldn't pair this with a flowy top but tucking something in didn't seem like a good idea either. between the pleats and elastic waist it will make almost anyone look like they ha</t>
  </si>
  <si>
    <t>This shirt is perfect for me. i have very small shoulders, but i am pear shaped. so the flare on the bottom is welcomed for my body type. i bought 2 colors. i have a similar shirt from retailer a few years ago that was multicolor which i wear all the time, so i am thankful they have repeated this design. also i did get this on sale which is a more realistic price for the quality of this shirt.</t>
  </si>
  <si>
    <t>Can't get it on</t>
  </si>
  <si>
    <t>I thought it was only me and immediately assumed i needed to go on a diet when i attempted to put this adorable skirt on. it got stuck at my hips. i'm a very consistent size small in dresses and skirts. i actually thought about putting it on over my head but that was impossible. its going back. now i see the other reviews and am relieved that its the skirt and not me! wish i had read them before purchasing. retailer is going to get a lot of returns on this one.</t>
  </si>
  <si>
    <t>Flattering and versatile</t>
  </si>
  <si>
    <t>I ordered this winth some trepidation as the dress looked a bit baggy on the model. i don't typically buy this style of dress because many times, they are unflattering on me. i'm 5'6" and 130 lbs, in very good shape. the small was perfect for me. a size up would've resulted in a baggier look. the length is perfect, above my knee; not too short, but short enough so i don't look frumpy. the dress drapes beautifully, and i can wear it with tights and boots now, and capri tights and wedge sandals in</t>
  </si>
  <si>
    <t>Ugh. this skirt is beautiful and so well made, but i sized up to a 0 from my usual 00 based on reviews, and it's too large, and now my size is all sold out! if it were the right size it would fit beautifully! i'm pretty much a stick, (5'5, 105lbs) and it does poof out at the hips, making me look a little curvier, which might be an issue for some. but the quality is amazing, and this piece will spruce up most outfits !</t>
  </si>
  <si>
    <t>Wide and long</t>
  </si>
  <si>
    <t>Been on the hunt for jammie's so gave these a shot. ordered my normal size large. fit well in the waist but i don't like the super wide legs. and they're too long. pretty color and pattern, however, the fabric isn't as soft or cozy as i hoped. i'm retired and wanted pajamas to lounge in all day. these missed the mark for me.</t>
  </si>
  <si>
    <t>Halfway lovely</t>
  </si>
  <si>
    <t>Facing the mirror--near perfection. high waist emphasizes the narrowest part of the frame--pleats nicely hide any stomach flaws. color is an eye-catching deep mustardy perfection and the interlocking button pattern is creative and beautiful. the problem is the walk away. from that view, the skirt waist finishes just where there's a bit of extra flesh. the cut is more of a long a-line--fairly boxy--and the heaviness of the cotton maintains that structure, so while the look as you approach walking</t>
  </si>
  <si>
    <t>Great t-shirt for everyday use</t>
  </si>
  <si>
    <t>I'm: 34a, 125 lbs, 5'8"
purchased: small
i was going back and forth between xs and s. i decided on small because it fit better in my arms, didn't feel as tight. the xs fit well in the torso area and didn't have as much fabric as the small. the small also had a longer shirt tail. 
if you don't have as much mass in the arms, get the xs. if you have some muscle or extra mass in the arms, it's better to go with the small.</t>
  </si>
  <si>
    <t>So bizarre!</t>
  </si>
  <si>
    <t>I bought this skirt a month or so ago and only wore it for the first time yesterday. i thought the design was fluid, summer appropriate, and easy like sunday morning. i enjoyed wearing it so much that i went on to the retailer site today to order it in another color. and lo and behold i saw all the reviews on the sizing/fit. i totally respect other reviewers, so i questioned why that had not been my experience when i wore it yesterday, so much so that i went and put it on again, sans issues.i am n</t>
  </si>
  <si>
    <t>Good idea, wrong color.</t>
  </si>
  <si>
    <t>Cute design with interesting details. i felt it ran a bit large. i'm 5'8", 135 lbs, an 8 was too big and baggy. my biggest complaint with this skirt is the color. it's just not flattering.</t>
  </si>
  <si>
    <t>Another huge dress...</t>
  </si>
  <si>
    <t>Okay, i get the idea of the loose swing dresses but i have a couple that do it well without looking like a moo-moo. i ordered my "typical" pxs. the length was good and the color beautiful. i like the details of the dress but it was huge and not in a flattering swingy drapey way. i was undecided if i should try the pxxs as the pxs was so large that i don't know if the pxxs would fix this problem for me. i will still be thinking about it.</t>
  </si>
  <si>
    <t>An absolute hit - if you buy the right print</t>
  </si>
  <si>
    <t>Dear creatures always has sizing issues. they run the gamut of bust-problems. i'd been salivating for this dress for a long time so i really did my homework. at 5'7", 130-135 lbs, 34c, 28" waist - typically a 4 in dresses... i bought the small. each dress is cut from the same fabric, leaving each dress's color swatch placement to be randomly determined. as a result, i've seen some dresses have only pink, purple, and green. i lucked out and got every color represented. so the dress you see may no</t>
  </si>
  <si>
    <t>Girls with hips - size up!</t>
  </si>
  <si>
    <t>Fell in love with this the moment it arrived in stores. whimsical but work--appropriate. i'm typically a 4 in dresses. i would say this skirt runs tts; however, the front pleats will create a pouch-y stomach if you have a small waist and a lucious anything-below-your-waist. size up one size to avoid this. the waist size will be loose, but it will allow the pleats to lay flat. absolutely lovely with a mock neck sleeveless top. also great with solid white, black, or printed blouses. not a true pen</t>
  </si>
  <si>
    <t>Would be cute if i could get it on</t>
  </si>
  <si>
    <t>This skirt is very pretty, but not only does it run small but only a small portion of the waistband is elasticized, so there's very little stretch. for those of us with a significant difference in our waist and hip measurements, there's no way to get this skirt on past the hips.</t>
  </si>
  <si>
    <t>This skirt is beautiful...the color is definitely more a greeny-gold then a true yellow gold...nice quality fabric, has some stretch, big pockets with cute lining, buttons are adorable, perfect knee length, sits higher on the waist. because it's not lined and the pockets are big, the pocket line is visible on my thigh area, so i am going up a size just so i don't see that...if you have less curves, your regular size should be perfect. it has so much character, but it!!</t>
  </si>
  <si>
    <t>Mustard</t>
  </si>
  <si>
    <t>1. i'm 5'5" tall, 145 lbs, and 38-32-40. i'm normally a size 10, but i took a 12 in this skirt.
2. it's comfortable and has pockets that you can really put your hands in.
3. sits at high waist. hem hits below the knee.
4. i didn't like the buttons. they are very round and stick out quite far. they are also mismatched. i would have liked them better if they were flatter.
5. i also didn't like the mustard color. it's unflattering to me.</t>
  </si>
  <si>
    <t>This is a very classy sweater/jacket. it is a beautiful color. i had not even noticed it until it was on sale, and then read all the favorable reviews. it can be dressy or casual as seen in this photo! so glad i got it!</t>
  </si>
  <si>
    <t>This is a great basic tee (purchased in navy) but fits much larger than it appears on the model. the arms/chest area fit fine but it really billows out below. the front is shorter and the back is longer than i would've expected. i thought this would be great for summer, but it's really too long in the back to wear with shorts. it does, however, look great with skinny jeans.</t>
  </si>
  <si>
    <t>Gorgeous sweater</t>
  </si>
  <si>
    <t>I absolutely love this gorgeous cardigan. i will wear it for years to come!!</t>
  </si>
  <si>
    <t>Beautiful skirt!</t>
  </si>
  <si>
    <t>I tried this skirt in my usual size s, and although it fit, it was too short for my liking and made my hips look wide b/c of the way it billowed out. the size m looked much better- hit me right below the knee in the front. (i'm 5'2") my skirt is much more high-low than the picture. also, it sits much lower on my waist, which i like. i bought the blue, and with the color variations, it is gorgeous- reminds me of a chambray or denim coloring. i rolled it up to take on vacation, and it traveled rea</t>
  </si>
  <si>
    <t>Beautiful skirt</t>
  </si>
  <si>
    <t>I love this skirt! it is a lovely and soft gauze layer with lining underneath. i live where the summer"s are hot and humid and this skirt keeps me cool when everything else just sticks to me. it is, for sure, very limited because it does not have a zipper.... if you cannot get this over your hips or over your shoulders and bust, this is not the skirt for you. the elastic waistband is really strong and really highlights your waist, but yes, i am petite and i struggle to get it on. once it is on,</t>
  </si>
  <si>
    <t>I adore this dress, the perfect summer dress that you can dress up or down. the color is vibrant and the fabric flows and feels fantastic against your skin. i love that you can still wear a strapless bra with it, but with the adjustable shoulder ties you can have it go as low as you want for a more sexy look. the bottom hem is this super cute fringe, so fun and feminine. and while it is a loose fitting dress i did not feel like my figure was drowned out by the fullness of the fabric. this dress</t>
  </si>
  <si>
    <t>One of the things i love most about this dress is that the straps are adjustable. you can tie them as loose or tight as you like. like other reviewers mentioned, the color of this dress is vibrant and the fringe at the bottom is the perfect detail retailer is famous for doing! i am 5'5 105 lbs and lately all of the dresses i have been buying at retailer have been xsp. i have never worn petites before, so i don't know if retailer is just making their dresses a little bigger, but i definitely have neede</t>
  </si>
  <si>
    <t>Effortless style</t>
  </si>
  <si>
    <t>Love the deep purple color of this cardi sweater - long and drapey looks great with leggings skinnies and jeans. my only problem is the way the loose stitching around the cuffs is makes it worrisome. wore once and already starting to get a hole. still a great piece.</t>
  </si>
  <si>
    <t>Yes, this top runs large and it doesn't show your curves, but it's still really cute and fun to wear. i first purchased the beautiful sage color, and after getting compliments, i also ordered the navy version. these tops are easy to wear, have an interesting detail at the neck, and could be layered. cozy, comfortable, stylish. love mine!</t>
  </si>
  <si>
    <t>Small</t>
  </si>
  <si>
    <t>I agree with the other reviews - runs small. would have been perfect if it actually was comfortable. waistband doesn't stretch all the way around. bummer.</t>
  </si>
  <si>
    <t>Love it!!</t>
  </si>
  <si>
    <t>This swimsuit is aaaahmazing. seafolly is an australian brand and their sizing is way off, luckily i already own a one piece by them so i knew what size to order. i am usually a 0 or a 2, chest size 34 d, and i ordered a 6 in this and it fits perfectly. taking it out of the package i wasn't sure if it would fit, but it did! the keyhole is pretty open, and the shape of the sides and high neck make some cleavage happen. i got it in black and it's really sohpisticated, but still sexy and cool. i ca</t>
  </si>
  <si>
    <t>I typically wear an xs to s in tops and purchased an xs for a less flowy fit.  this top has a luxurious feel and the green color is really beautiful (more matte than shiny).  perfect piece to wear under a jacket or blazer.</t>
  </si>
  <si>
    <t>Gorgeous green color</t>
  </si>
  <si>
    <t>Great piece just wish it fit a bit more blousy rather than cami</t>
  </si>
  <si>
    <t>A staple!</t>
  </si>
  <si>
    <t>This top! it is so simple, but so great at the same time! it does run large, and i'm not a skinny girl... but it has a style that is certainly meant to flow away from the body as it goes down. i find the top portion very flattering and the looser bottom section doesn't take away from that. i have been wearing the olive green with fitting dark jeans and a flannel or oversized soft, washed-jean button down shirt over it for the cool spring weather. it's casual, but so comfy. it's great for loungin</t>
  </si>
  <si>
    <t>Uhhhmmmazing!</t>
  </si>
  <si>
    <t>Color, style, adjustability, easy fit, flattering!  yes on so many levels!  oh wait it's on sale!  fantastic, magnificent and pretty!  i bought medium and in 39-28-35</t>
  </si>
  <si>
    <t>It's a lovely and unexpected sweater. a few things to keep in mind- 
- the knit details are beautiful- the pictures don't do it justice.
- it's pretty lightweight.
- the color is a little darker than the picture shown- it's a very dark plum
- it runs bigger- this is the only retailer sweater where the sleeves of a m are a little to long. 
- the style is decidedly casual and "slouchy". it looks great with jeans, but don't plan to dress up an outfit with this piece.</t>
  </si>
  <si>
    <t>Mission impossible</t>
  </si>
  <si>
    <t>What an adorable and frustrating skirt! i'm not a large person: 32d-26-36. and i ordered my normal size small. this is a pull on skirt, and the waist opening could not accommodate either my shoulders or my hips. in most retailer clothes, i'm either a size 2 or 4; i have to agree with the other reviewer. there is no way to put this item on.</t>
  </si>
  <si>
    <t>Too bulky</t>
  </si>
  <si>
    <t>This sweater was huge, it hung down to my calves! it also is really bulky and scratchy, it feels as if you are wearing an old wool blanket. i think it is only made for really tall and skinny people. i'm 5'2" and weigh 120lbs. and i ordered a size s, and i was swimming in it. the fabric is very thick, i may be great if you live in alaska or the arctic. it adds about 20lbs to your body frame.......</t>
  </si>
  <si>
    <t>Great skirt</t>
  </si>
  <si>
    <t>Fit is tts and comfortable. the color didn't suit mine but if the color works for you then grab it because it's a beauty</t>
  </si>
  <si>
    <t>I have been searching for a comfortable pair of flared jeans to wear with tennis shoes or flats. i have tried several different brands and these are amazing! they are super soft and comfortable with just the right amount of stretch. the coloring is excellent for the casual look i am going for. the pocket detailing is cute and helps to flatter your bottom. i am 5'2" so these were very long but nothing a good seamstress can't fix. i will note that cutting of that much of the bottom will reduce som</t>
  </si>
  <si>
    <t>This top is just adorable. i'm usually between an xs and a small and i went with the small and it's a little more roomy. i wanted it to be long enough. the colors are beautiful and it's a must have.</t>
  </si>
  <si>
    <t>Gorgeous linen blend tee. purchased in grey and white. classic timeless staples. fits baggy which i love. for reference i am 32a 5'1 105 lbs. love love love!</t>
  </si>
  <si>
    <t>Greenhouse tank</t>
  </si>
  <si>
    <t>I loved this top . it is beautiful.</t>
  </si>
  <si>
    <t>Pleasing spring floral print</t>
  </si>
  <si>
    <t>The picture doesn't do it justice. i am wearing it right now with cream pants to work with a cardigan i also purchased from retailer and it looks amazing. the fit is true to size. i am large chested but it fit comfortable...i did go up a size so it is a little longer than i like but i think if i had picked my normal size it would have been a little too snug at the chest. still looks amazing. i feel very feminine in this blouse. good quality material.</t>
  </si>
  <si>
    <t>Gorgeous spring blouse!</t>
  </si>
  <si>
    <t>So stunning, i had to have it for my spring wardrobe! fits true to size and fits well in the bust and is looser on the bottom. the model weara it just as it fits on me. if you have a large bust you may need to size up as the fabric isn't stretchy.</t>
  </si>
  <si>
    <t>Gorgeous vintage glamour</t>
  </si>
  <si>
    <t>Besides being my favorite color to wear, this dress oozes vintage glamour while not looking like a costume. the fabric is super silky and will need a professional steaming to get out any wrinkles. the fit is not what i'm used to, because it fits in a 1940s type of way, and when i took it to my tailor, she ensured me that it is the perfect fit. the bodice is a bit looser than contemporary pieces, but is perfect for a night out.</t>
  </si>
  <si>
    <t>Fun summer dress.</t>
  </si>
  <si>
    <t>Cute dress that is perfect for a casual summer wedding or brunch with friends. i love the material and that the dress is lined. it is very comfortable and it has pockets. this is definitely more of a ?golden? yellow vs. a soft yellow. my only complaint is that i wish it were cinched more right below the bust. it would give the dress (and me) more shape. i would say this dress is true to size but if you have a larger chest, you will likely want to size up. if you have a small chest, i would proba</t>
  </si>
  <si>
    <t>Material</t>
  </si>
  <si>
    <t>Material is hard to wear a bra under it</t>
  </si>
  <si>
    <t>Very soft fabric. does begin to ball up due to boucle material, very common</t>
  </si>
  <si>
    <t>These jeans hug in all the right places. the high waist accentuates my body and makes my legs look a mile long! the jeans will need a trip to the tailor to be hemmed, pooling even with my highest heels.</t>
  </si>
  <si>
    <t>Loved the way these felt but like the previous reviewer said it did run slightly large. i am usually a size 6 or m and the legs were a little baggy w/the medium. since the m is sold out i'm going to try and see if they shrink in the dryer. the color and design of the ankle is different from other leggings which is a plus. i'm 5'7" and they are the perfect length.</t>
  </si>
  <si>
    <t>Beautiful shortt dress</t>
  </si>
  <si>
    <t>Beautiful dress! perfect mid length dress for the colder months. i tried a size 2 regular first (my normal dress size) but it was a little baggy, so the 0 fit perfectly.</t>
  </si>
  <si>
    <t>The pleats on the bib make this look like something from chloe sevigny's wardrobe on the set of big love. and the shoulders are cut for an offensive lineman.</t>
  </si>
  <si>
    <t>Love this dress!!!</t>
  </si>
  <si>
    <t>I absolutely love this dress. i feel it's the perfect year-round piece. looks super cute with boots or booties. even with a cute baggy sweater over it. i am usually a small or medium, depending on brand. i'm a small with this one. and i actually like it worn without the button fastened in the back, it just worked better that way. it is not see-thru, though is a light material. i live in fl so i can wear year round. but up north, with tights and boots, you can too. so worth the price!</t>
  </si>
  <si>
    <t>Recommended for certain body types</t>
  </si>
  <si>
    <t>Other reviews are correct. but this has potential to look as good as on the model - structure and quality of the cotton are very flattering. makes legs look miles long. however this fits very tight, allows no room for extra tummy, hips, booty, or thighs. i ordered a s (i'm usually a 4) - was able to get it on (step into it from the top), but felt a little self conscious about how tight the fit was. if there was an m, would have definitely sized up, as i really liked the look.</t>
  </si>
  <si>
    <t>Perfect flare</t>
  </si>
  <si>
    <t>I have been hunting for a pair of high rise flares that have significant width at the bottom and these are perfect. i love the vintage silhouette and how they make your legs look a mile long and i adore how they open wide enough to cover my shoes, not to mention being long enough for me to wear a 3.5" heel and still skim the ground. for reference, i'm 5'8 140lbs with super long legs and straight athletic build. i sized up to a 30 which is usually for me in ag jeans so for the brand, they run tts</t>
  </si>
  <si>
    <t>Excellent dress</t>
  </si>
  <si>
    <t>Beautiful, unique, colors perfect for winter. i received so many compliments at two holiday parties. and on sale, this is a no-brainer</t>
  </si>
  <si>
    <t>The picture online doesn't do this pretty dress justice. i'm curvy, and always searching for dresses that don't make me look like a sack of potatoes. its pin tucks at the bust give it a little shape, and the print is much more vibrant in person. will look great with tights and a black blazer for dinners out.</t>
  </si>
  <si>
    <t>Perfection !</t>
  </si>
  <si>
    <t>Received this dress yesterday, love it!
my initial hesitation in ordering this dress, even though it is my fav color....was rather bright for sept..
but loved it and decided to order and wear it next spring.
delighted to open the package and see that the dress is much darker than in the pics...more of a jade green.
it is still a summer fabric/style, however the darker color will be perfect for the warmer fall days ahead.
this dress is beautifully made, superior workmanship, and the fabric i</t>
  </si>
  <si>
    <t>In agreement with other reviewers...</t>
  </si>
  <si>
    <t>This is a beautiful dress with unfortunate design flaws at the bodice of the dress. the fit at hips and length is perfect, falling just to my knee (i'm 5'5" 142 lbs.) and grazing my hips. in that regard the fit is spectacular. but the bodice seems cut very oddly, which would require tayloring to correct. the armholes are large and flared at the bottom which leaves 'wings' just under the arms that stick out. since this dress has a side zip, to correct that would seem a major undertaking. the stra</t>
  </si>
  <si>
    <t>Soooo pretty</t>
  </si>
  <si>
    <t>This dress is sure to become one of my favorites! i ordered it online and the colors are even prettier in person; very vivid! it is a little light for the climate where i live right now but, i'm sure that as soon as it gets a little warmer i will be wearing it often. i can't wait!</t>
  </si>
  <si>
    <t>Review for fit only</t>
  </si>
  <si>
    <t>Nice but i thought these ran big. me: 28-29' waist, 36" hips, athletic thighs. usually a medium in leggings but these size mediums were a bit baggy to my surprise. hoping to exchange for a size down as they are pretty, the ankle detail is fun and decently made.</t>
  </si>
  <si>
    <t>I absolutely love this dress! i wore it with taupe tights and suede boots and got so many compliments. i have also worn it over leggings, and can see myself wearing it in the warmer months with sandals. even though the material is somewhat thin, i did not have to wear a cami with it. the fabric pattern is really cute!</t>
  </si>
  <si>
    <t>Beautiful shade of pink, very low-cut</t>
  </si>
  <si>
    <t>I bought the pink, which is a vibrant but not neon shade of deep reddish pink. love it. i love how the flutter of the sleeves is balanced with a slimmer fitting body, which keeps it from looking frumpy. i did order a size down to achieve this look. i prefer a more tailored look so this suits me while satisfying my desire for a little whimsy now and then. my only issue is that it's too low cut. trying to decide if i just need to wear it with a lower-cut bra or if this requires a cami. i hate laye</t>
  </si>
  <si>
    <t>I got the pink color, which is really vibrant and beautiful in person. this top is low cut, so if you don't like to show much cleavage plan to wear it over a cami.
i'm 5'5 145lbs, 37-29-39. got a size medium. it fits okay in the bust area, but is much looser than i would prefer below the bust. i will either return or exchange for a small to see if the fit is better.</t>
  </si>
  <si>
    <t>I love sanctuary clothing. this parka is on the lighter side, good for this mild east coast winter. it is water repellent. the length hits me on my upper thigh and the sleeves are long ( good for longer limbs). i received many compliments.</t>
  </si>
  <si>
    <t>Very flattering, not too short, beautiful. i'm 5.6, 36d, usually wear m in dresses, wide hips. the 8 fit very nicely.</t>
  </si>
  <si>
    <t>Very flattering!</t>
  </si>
  <si>
    <t>Finally a white top that is not see through! this tank is very form fitting and flattering, but does not hug too tight. i am neither large nor small breasted and love the way the v-neck fits on me. for reference, i am 5'2, 105#, 32c and i got the xxs.</t>
  </si>
  <si>
    <t>A step up!</t>
  </si>
  <si>
    <t>Very pleasantly surprised by this top! it's looser, but in a flowy not baggy way. i ordered the m. the
vee is just right on me, tasteful but just low enough. love the sleeve length
ordered thinking another black tee , but it's going to be well used,and great for evenings.</t>
  </si>
  <si>
    <t>Beautiful, soft and cozy</t>
  </si>
  <si>
    <t>As one would expect from boucle, this sweater is incredibly soft, warm and cozy without being heavy. i fell in love with it when i first saw it and got it in white color. it's beautiful, goes with casual and work clothing (belt helps with the latter styling), and it didn't leave lint on the dark skirt i wore with it to work! i usually wear xs or s and found this sweater to be still roomy in xs, with sleeves being a bit long. i hope it won't stretch with wear as boucles sometimes do - that's my o</t>
  </si>
  <si>
    <t>Extra fabric</t>
  </si>
  <si>
    <t>There is a lot of fabric here! the legs fit me fine, but they are long and when you roll them up it creates a bunching of fabric in an awkward area. i've also found that they don't stay rolled up in the back, especially if you sit down. it's a shame since the fabric is soft and comfortable. maybe sizing down would've helped, but i doubt that would've fixed the problem of the cuffs staying rolled up.</t>
  </si>
  <si>
    <t>Well made. beautiful colors</t>
  </si>
  <si>
    <t>Gorgeous dress! fits true to size with high quality material. the colors are stunning.</t>
  </si>
  <si>
    <t>Awesome pair of high waisted jeans</t>
  </si>
  <si>
    <t>These jeans are awesome! i usually wear a 26 in ag jeans as they tend to stretch, but i ordered a 27p because i am only 5'1 and these are a flare style. i have a small waist but a larger booty, and these jeans hug me in all the right places. they also have a great dark color and are super classy so you can dress them up if need be. the only thing i didn't like was the length. even with the petite size i have to wear wedges so they don't drag on the ground. but, this is an issue i have with most</t>
  </si>
  <si>
    <t>One of the most beautiful dresses i have ever seen</t>
  </si>
  <si>
    <t>I purchased this dress online after two reviews and i am so glad i did. this is a work of art and beauty and will be my go to dress for spring and summer weddings, special occasions and other events. i am so glad the arms are covered with lace and flowers. this is spectacular.</t>
  </si>
  <si>
    <t>Even on sale, this was just too pricey for what it is, which is a glorified tank. i liked the straps, but it hangs very wide off your chest.</t>
  </si>
  <si>
    <t>Very cute, but impossible to put on</t>
  </si>
  <si>
    <t>I wrote item ran large, but that was true only in length. it would be long for someone 5'10" . however the bigger issue is getting it on. the style and quality are quite nice, but it does have some issues.</t>
  </si>
  <si>
    <t>I'm either a medium or large in retailer tops. i was able to wear a medium in this top. the color is vibrant and the material is soft and light. it will be a great spring and summer top. can't wait to wear it.</t>
  </si>
  <si>
    <t>Love it. stylish but comfortable and low key</t>
  </si>
  <si>
    <t>This dress runs large so i sized down. when it arrived i looked at it and thought the fabric was ugly and boring for a dress. it sat there for about two weeks till i tried it on. i love it! it is so comfortable and is so cute how the pockets hang. all it need is some long necklaces or a scarf to complete the look. i get complements on it everytime i wear it. my only complaint is that it peels under the arms a little bit.</t>
  </si>
  <si>
    <t>Such a beautiful well fitting dress !</t>
  </si>
  <si>
    <t>This dress is amazing ! the colors in person are so vibrant and yet organic somehow at the same time. perhaps this is because the fabric has a really nice depth and texture to it. i got this dress for a summer wedding and it's casual yet dressy at the same time. 
re: fit - the best thing about this dress - is a fit ! it's so incredibly flattering on, it fits like a glove. it just hugs your figure in the most flattering way, especially if you have an hourglass figure. the fit is true to size -</t>
  </si>
  <si>
    <t>Love the pockets! fits loose, but lies nicely. comfy but able to be dressed up or down. great versatile dress.</t>
  </si>
  <si>
    <t>This t-shirt does a great job of elevating the basic t-shirt in to one with a touch of flair. i typically wear a medium but luckily read earlier reviews and went with the small.</t>
  </si>
  <si>
    <t>Absolutely gorgeous!</t>
  </si>
  <si>
    <t>I'm so happy to add this lovely and unusual dress to my fall wardrobe. i absolutely fell in love with it the moment i tried it on. i wear a two or four, depending on the designer, and the two fit me perfectly. another reviewer said it's special occasion only, but i like it so much, i'll wear it more often. with that said, it's a wonderful go-to dress for the holiday season.</t>
  </si>
  <si>
    <t>Very cute but...</t>
  </si>
  <si>
    <t>I ordered a 6p in this dress so it wld fall above my knees &amp; be slightly smaller than a regular 6. sometimes a regular size 4 works, sometimes a 6. typically a regular size 6 is big on me. i am 5'3", 118#, 36c. just recd the 6p in the mail. the first thing i noticed is that it's s a knit fabric that looks &amp; feels like polyester although says 'cotton' on the inside label. i think it wld be a bit warm in hot weather, but that is just my observation. the main problem is that it is too big on each s</t>
  </si>
  <si>
    <t>I love the colors of this dress, and i waited for the sale since it isn't really good for work. i wear size 6 in hd all the time, but this one doesn't fit at all on the top. the bust is cut for someone really curvy, but the bottom is for someone really straight. i don't know what they were using for a model, but this has to be tried on before purchased. the material is also rough, and there is no lining to protect you from that. i love my hd dresses for style and functionality, but this one is j</t>
  </si>
  <si>
    <t>Fun and flirty</t>
  </si>
  <si>
    <t>I love this dress! tried it on at the store. they only had medium. while i'm usually always a medium, it fit perfectly but pulled at the bust (i'm a 38). i ordered a large online the next day. i have it now and i am extremely pleased. the pattern is unique, the length falls just above the knee and has s sexy flirtiness to it. the back button is key as it gives some contour to the dress. the side pockets are an awesome touch. you can wear this dress any season. i'm wearing it with ankle boots and</t>
  </si>
  <si>
    <t>Very well made - runs large!</t>
  </si>
  <si>
    <t>This dress is adorable and well made. this brand runs on the large side. i ordered an xs and the tag says 'p" on it. it's not petite. it ran large through the hips and will need alteration. i'm keeping it because it is really cute and is well made. the material is knit and soft - very comfortable. i'm surprised nobody has reviewed this item. i probably will not buy this brand again only because it runs large.</t>
  </si>
  <si>
    <t>This dress is adorable!!</t>
  </si>
  <si>
    <t>This dress is so cute. i love that it has pockets. it looks great with sandels, and also ballet flats. it is airy, and run true to size. i wear a small, and it fit perfect. i even bought the other navy, and cream dress. you will wear this dress over, and over. just roll up the sleeves, and throw it on, and your ready. just love it!!!!</t>
  </si>
  <si>
    <t>Good concept, poor product</t>
  </si>
  <si>
    <t>I loved the aesthetic but as a true hourglass shape, i was frustrated that it didn't have a little more give as i tried to pull it over my head. the fabric was stiff, and seemed to be lace over cotton? not entirely sure. i couldn't get past the feeling off the material.</t>
  </si>
  <si>
    <t>Great features:pockets,lace in front</t>
  </si>
  <si>
    <t>I purchased the green print which has so many patterns and colors which makes this dress have a very interesting look. i love that it has a drop waist because it is so flattering to most body types.the other thing i liked was that this dress came in petite sizes, perfect for me.</t>
  </si>
  <si>
    <t>I thought the quality of the fabric was good and liked the idea of wearing it, either with opening in front or back. it was a little larger then i was expecting and i wish it had a closure, (hook and eye or snap) at the top. it has three places in the back to tie together and when i tied them in a bow they came loose easily. overall glad i bought it.</t>
  </si>
  <si>
    <t>Tried it on a whim. love it.</t>
  </si>
  <si>
    <t>Went to the store in search of a butter dish. tried this dress on a was shocked at how comfortable, versatile and all over appealing this dress is. i'm 5'10" and the medium hits at my knees.  as always i think the quality could be better. it's not something that will last for years.</t>
  </si>
  <si>
    <t>Cute but....</t>
  </si>
  <si>
    <t>I saw this top on sale and tried it on right away. my normal medium was too big, so i purchased the small in the rose color. wore it with a shimmery kimono and cream colored pilcro boyfriend jeans. wow, what an outfit!!!!
then i washed it according to directions, and sadly it shrunk into a crop peplum tank. i was so disappointed. i wished i had read the reviews beforehand.</t>
  </si>
  <si>
    <t>Great casual dress!</t>
  </si>
  <si>
    <t>This is my second dress from this designer. it is very comfortable, stylish, and looks great with sandals/wedges. i would have given it 5 stars but the neckline was a little lower than i expected and the length was a little longer. i am still keeping it though and expect to wear it spring, summer, and fall.</t>
  </si>
  <si>
    <t>I'm 5'4, 125 lbs, &amp; have a 36 c/d bust; the xs fits great.
i wash everything in cold &amp; line dry... this was no exception. when i took it out of the washer i knew immediately :( i've pulled it back into shape &amp; hung it up, but we'll see.
 dry clean if you want to keep it</t>
  </si>
  <si>
    <t>Effortlessly cool</t>
  </si>
  <si>
    <t>I will preface this review by stating that this item was available only in one size at my local retailer. they have a section of dresses mostly offered online that are in store for you to touch, see, try on and order through the store (which is much appreciated). i am normally a size 0-2/xs in retailer clothes and i will typically order a petite when available. the option my store had to try on was a regular medium which is what i have pictured here.
i mostly wanted to try it on just to get a fee</t>
  </si>
  <si>
    <t>I love this top, wish they had it in more colors, i would buy more!</t>
  </si>
  <si>
    <t>Lovely and so flattering</t>
  </si>
  <si>
    <t>I purchased this with some hesitation, having read that some people thought it was unflattering. but i couldn't resist the sale price, and i love a low-maintenance work top and doesn't require ironing. this fits the bill perfectly. it's made of high quality fabric, there's a soft inner lining with a side zip closure, and it has a pretty narrow profile so initially i found it a little snug to wiggle into (i got a small), but once on it fit perfectly, and is so flattering i can't imagine why other</t>
  </si>
  <si>
    <t>I wanted to love these. the fabric was soft and they were good quality but they fit differently than the hyphen chinos and were too small. sadly, i had to return them.</t>
  </si>
  <si>
    <t>It's gorgeous</t>
  </si>
  <si>
    <t>Should've ordered a larger size. it runs a bit tight around the top and the zipper isn't that helpful.</t>
  </si>
  <si>
    <t>Beautiful but big</t>
  </si>
  <si>
    <t>This was my first tiny shirtdress purchase after seeing the past few patterns/seasons. for me the last few were a little too busy, but something about both patterns this season felt right for summer. i'm 5'7", 128# and found my usual s to be too long in length and in sleeve length (the sleeves being a problem that i never have). going to try to exchange for an xs because it really is a lovely piece in both colors (though i slightly prefer the green because it feels more tropical/exotic for summe</t>
  </si>
  <si>
    <t>Dream dress</t>
  </si>
  <si>
    <t>I'm 5'6 and between 100-105lbs. buying clothes from retailer is always a stuggle because i have a petite frame but i don't fall into the petite height range. i usually order a petite size and just deal with the shorter length, which is hard when you're all limbs. i purchased a 0r and i'm in love with the fit! the top of the dress fits under my arms perfectly! the waist of the dress also hits nicely. usually the waist of regular sized dresses falls below my natural waistline due to my short</t>
  </si>
  <si>
    <t>Flowy, functional ,dressy</t>
  </si>
  <si>
    <t>I love the ease of this dress. the style can be dressed up or down. the straps are inset a little which doesn't work for every body type. the thin material can get caught and snag easily but otherwise this dress is a simple chic addition to my closet. the length is just right, not too long like some other maxi dresses. the lining underneath ends at the perfect length as well. the top part is lined well so it can be worn with or without a bra. i am normally a 4 or 6 in dresses. the waistband hits</t>
  </si>
  <si>
    <t>Dig this top but a little different from what i was expecting. the outside is indeed a bit stiff and scratchy but it is lined ... but definitely would've appreciated a softer fabric. however, the cut is cute and flattering and the pattern is adorable so it's staying in my closet. perhaps not the thing to wear to snuggle up with someone though!</t>
  </si>
  <si>
    <t>I purchased this based on previous reviews. the quality of the dress and the print is excellent. the dress fit me perfect in the front however there were so much extra fabric in the back that it made me look extremely large. i understand it's a shirt dress however the back would need to be taken in like 6 inches. for someone who is looking for a more boxy full coverage dress this is more for them</t>
  </si>
  <si>
    <t>Very flattering</t>
  </si>
  <si>
    <t>I usually don't even consider this style of shirt, but i was intrigued by its soft fabric and texture. honestly, i love this shirt! it is so flattering and a perfect staple for any closet! i can wait to wear it out and about!</t>
  </si>
  <si>
    <t>I am between a xs and s but figured i would order down based on the reviews. well, it's still huge. i have about 5 inches that i can take in from the side. i have ordered the xxs and am hoping it will look more flattering. i love the colors and design, but as it is it does not do anything for me. for reference i am 124 lbs, 32d, 5'5".</t>
  </si>
  <si>
    <t>Runs big in bust</t>
  </si>
  <si>
    <t>The first reviewer said it was small in the bust, but the 0p i ordered fit everywhere, rib cage and all, but was gaping at the bust (in the back). i would say overall it was true to size but if i sized down, it would be too snug in the rib cage. i am 30dd for reference there and waist is 26.5 inches,
otherwise, the make is very pretty, i like the texture in the fabric, the color is very pretty as well. embroidery seemed high quality, but i decided to pass on it, even on sale, since it didn't</t>
  </si>
  <si>
    <t>Finally saw it in person</t>
  </si>
  <si>
    <t>I had my eye on this for a while, and my store finally got it in (in tmie for the 40% off sweaters). too bad hte petite size was already sold out by then, however good thing isthe xs stil lfit me in a nice way. i wil lnever know about petite, decided to jsut purchase as is (they don't have xxs either#. the fit is on hte looser comfortable side. the red color is rich, and the design is subtle, adn will nto fall apart, so it add some interest to an otherwise typical pullover. will look nice with j</t>
  </si>
  <si>
    <t>Go to dress</t>
  </si>
  <si>
    <t>This is a great dress for those days where you just want to throw something on but still look put together. it hangs so well and feels so comfortable yet it has a style that is a combination of bohemian and part sophisticated . the colors are muted but they work so well. i wear it with flat strap sandals and have also paired it with wedges. i receive tons of compliments and have to make sure my daughter doesn't try to borrow it. would highly recommend.</t>
  </si>
  <si>
    <t>Too big!</t>
  </si>
  <si>
    <t>I wear a size 4 and i ordered the small for this top. it is huge and gave me a maternity-look that i wasn't going for. i was hoping for a loose, body-skimming fit as shown on the model in the picture but that wasn't happening with this top.</t>
  </si>
  <si>
    <t>Love this layering piece! a little low cut for my personal comfort, but a tank underneath works great.</t>
  </si>
  <si>
    <t>I originally purchased a small after reading some of the reviews. although it did fit, i felt it was just slightly snug across the chest and upper arms. i returned for a medium (my usual size) and it was perfect. it had the same look and flow as what you see in the model pics. i love love love that it is long-sleeved and has pockets!!!!! i went ahead and ordered the other print as well! i wore the first one to work with some knee high boots and got many compliments. highly recommend!</t>
  </si>
  <si>
    <t>Absolutely beautiful</t>
  </si>
  <si>
    <t>Love love love this dress.  fits like a glove. beautiful details. amazing quality. i'm so happy with this dress and know i'll have it for years. :)</t>
  </si>
  <si>
    <t>This jacket is gorgeous! the design is visually very interesting. the fabric is light enough that i can wear it to work and keep it on all day.</t>
  </si>
  <si>
    <t>Love this sweater! the abstract floral design adds an understated romantic touch, the red is a beautiful rich red, and the cotton is super soft and comfy. i've tried it on with pencil skirts and jeans, and it looks great with both. i'm considering buying it in the off white too, but it does have some cons. one is the waist band hits me where it does on the model and if you look closely you can see where the sweater poof out over the band a bit--it does that on me too, unless i turn the band up t</t>
  </si>
  <si>
    <t>Love this sweater!!</t>
  </si>
  <si>
    <t>I am totally in love with this sweater!! it is lightweight, comfortable, and very versatile. throw on a pair of jeans and it is casual. throw on dark slacks or a skirt and it is dressy. the design does not become the focus of the sweater but rather takes it up a notch making it a fun piece to wear. the color is not a light red, but rather a rich cabernet wine color. this sweater is well on its way to becoming one of my all time favorites!!</t>
  </si>
  <si>
    <t>I was very nervous to buy this top, but because it was on such an excellent sale i went for it- tops like this usually end in me showing a ridiculous amount of cleavage or not being able to zip (i am a 32ddd) it past my waist. i ordered a small based on the other reviews and it fits perfectly! the wrap top is perfect and shows off my curves without showing too much. the fabric is very unique and the whole top is lined with a nice nylon/cotton blend so it is very soft and comfortable to wear. def</t>
  </si>
  <si>
    <t>A bit big</t>
  </si>
  <si>
    <t>I really loved the colors in this dress and was looking for a long sleeve dress. this style may just be big fitting but the sleeves were way too long and the dress was just shapeless on me. i usually wear a small or a size 4 in clothing and the size small in this dress was way too big. the x-small may have been a better fit but this dress was on backorder and i just received it right before we are going on a trip. there's no time to order the x-small but maybe i can look at it again when we retu</t>
  </si>
  <si>
    <t>Gorgeous top but very high-waisted</t>
  </si>
  <si>
    <t>I love everything about this blouse except for one thing: the peplum just hits way too high up on the body, and i am only 5'4". 106 and ordered a regular size 2 (not petite) which fits perfectly except for this. it is made of a beautiful textured fabric and is very nice quality. i adore peplums and own many and like the peplum to begin near the waist. however, others may not mind the higher waist and in that case it may work for them. i really hated to send it back it was so pretty but it just w</t>
  </si>
  <si>
    <t>Too cute but ...</t>
  </si>
  <si>
    <t>Super cute, flattering design but the material is itchy so it's going back:(</t>
  </si>
  <si>
    <t>Surprisingly amazing</t>
  </si>
  <si>
    <t>I tried this on at the store in the regular size it came in and thought maybe it has some potential is i ordered it for me in a petite since that's what i am. i ignored the package when i first got it thinking it wouldn't really look right but omg, it's 100% amazing and flattering. wear it with skinny jeans, leggings, jeggings, whatever and it's just super awesome on dressed up or down. i'd buy this over and over again without a doubt.</t>
  </si>
  <si>
    <t>The most versatile top.</t>
  </si>
  <si>
    <t>I bought this shirt to wear to work (i'm a teacher). this shirt is so amazing. i'm able to pair it with work pants to dress it up, and in denim to dress it down. the cut is incredible, with the peplum waist coming right below my breasts a little above my waist. the length is perfect, and it just seems to create the most perfect shape. the material is high quality, and i just love the fabric texture. it's very soft, and gives a tiny bit of stretch, but not much. i did size up in this shirt (i'm u</t>
  </si>
  <si>
    <t>My go-to shirt</t>
  </si>
  <si>
    <t>I honestly bought this shirt on a whim the other day in my local retailer. i was drawn to the color and the swing. first of all, this shirt is incredibly soft and lightweight. i love the flow of the loose peplum. the straps are nicely placed, because they're wider and accentuate my arms (and cover my bra straps). i love the little v neck detail. it shows a little cleavage when bent or hunched over, but the top stays conservative when truly upright. i wore this shirt 3 days in a row last week, and</t>
  </si>
  <si>
    <t>Comfortable, relaxed fit. i am very top heavy and the generous cut of this dress worked well!</t>
  </si>
  <si>
    <t>Versatile!</t>
  </si>
  <si>
    <t>This top is comfortable and flattering. i really like the simplicity- a wearable basic summer top, with a cute twist, just enough to make it contemporary, but not overstated.</t>
  </si>
  <si>
    <t>Beautiful dress - runs huge!</t>
  </si>
  <si>
    <t>I fell in love with this dress online and went to try on in the store. i'm 5'6, 128 lbs with some boobs, usually a s or size 4. i tried on the s and xs, and ended up buying the xs - and i've never worn an xs in my life. it is long and loose, hanging right at my knees. the body is roomy, and i am thinking of having it taken in a couple of inches at the waist. there is pleating in the front that begins just below my natural waist and extends out to the hips, plus pockets (!!!). the sleeves are lon</t>
  </si>
  <si>
    <t>Great dress with a little help added!</t>
  </si>
  <si>
    <t>This dress is comfortable and the pattern is really nice with some good attention to detail on the lace trim and pockets. i ordered this in my usual pxs (i am 5'2"), but this definitely runs very large. it is a shirt style dress so i didn't expect it to be fitted, but off the hanger it was just too shapeless and sack-like for me. i really wanted it to work, so i took it to my tailor and she added a beautiful navy rope-like tie attached to both sides in the back of the dress. it looks amazing, an</t>
  </si>
  <si>
    <t>Super sweater</t>
  </si>
  <si>
    <t>This will be a favorite sweater this winter. it has a loose but flattering fit. i purchased the red (a deep rusty red), and it fits me exactly as it does the model pictured...slightly loose but flattering, mid hip, open neckline. you can't tell in the picture, but the neckline is rolled. i am 5'2", 140 lbs., just a bit fluffy. the small fits me perfectly. i think that you could size down from your regular size if you prefer a closer fit. the sleeves are at the top of my hands, just below the wri</t>
  </si>
  <si>
    <t>Poor fabric quality</t>
  </si>
  <si>
    <t>Looks great in the picture but when i got this in the mail the fabric was so stiff! shaking it out did nothing-almost like it was dipped in drying glue. i got this for $10 which is so cheap and i still returned it!</t>
  </si>
  <si>
    <t>A hit!</t>
  </si>
  <si>
    <t>I bought this dress in the green. it runs big - i usually take a s and had to return for xs - i am 5'5" and 125. it flows beautifully and can be dressed up with heels or worn completely casual with flip flops. worth every penny!!</t>
  </si>
  <si>
    <t>Beautiful dress--if you can figure out your size!</t>
  </si>
  <si>
    <t>For a brand called "tiny"--this dress was really big. i ordered my usual m and it was like a sack--virtually no shape to it at all. i haven't been a small in many decades, so i'm really hesitant to order it again. i'm afraid i'll be like goldilocks--"too big!", "too small!"--but i'm probably going to give it a whirl because the green print is so pretty, and i l like that it has sleeves to protect from sun. and pockets! lots of good qualities, just putting them together in a wearable size seems t</t>
  </si>
  <si>
    <t>This tank runs very true to size. i ordered my usual size 8, which fits like a glove. couldn't go any smaller. very pretty fabric which is lined above the peplum. i personally like the higher peplum, but it's a personal choice. great purchase!</t>
  </si>
  <si>
    <t>Versatile vest</t>
  </si>
  <si>
    <t>I love the black and grey version of the vest but decided too try it in plum. the plum color is used only on the lapels and inside of the garment. it has no finished seams but it is like a soft boiled wool so it wouldn't ravel. the seam in the waistline area breaks up the design and adds more interest.</t>
  </si>
  <si>
    <t>Bought for my sister, she loves it!</t>
  </si>
  <si>
    <t>This was a christmas gift to my sister. she liked it so much she wore it the day after opening it. very cute design, lovely deep red color. only thing to look out for is the potential of fabric to snag - looks like it may do so easily if wearing long jewelry. may run a bit large, but the medium for her well (slightly loose fitting garment). she is 5'7 and would probably wear a large in a typical shirt.</t>
  </si>
  <si>
    <t>Nice design but quality isses</t>
  </si>
  <si>
    <t>I tried this jacket on and it was definitely cute but a couple things to note. it's a wool acrylic blend and it was already starting to pill from being tried on in the store. also, it's unlined. i thought the price point was high given its fibers and unlined. given its hem, i wonder how much longevity the piece has and how quickly it might start to look dated too.</t>
  </si>
  <si>
    <t>I absolutely adore this shirt!!! the pinkish rosey color is beautiful and ended up being better than i had imagined. i will say that the shirt is a bit more casual than i thought it was going to be, the way it hangs or something..not really sure. nonetheless, it is perfect. can be dressed up or down, which is the best quality to have in any piece of clothing! i can tell i'm going to get a lot of wear out of it.</t>
  </si>
  <si>
    <t>This dress looked super cute in the picture and on the model. i ordered the petite style and it was still so big and way too loose. no shape whatsoever! i unfortunately had to return it. i love loose dresses but this one was way too big, loose and had no shape at all.</t>
  </si>
  <si>
    <t>Very versatile top! i feel like i could dress it up or down. fits very nice and the material is soft.</t>
  </si>
  <si>
    <t>Love this wool seamed vest</t>
  </si>
  <si>
    <t>I feel fabulous in this plum and charcoal vest. i am 5/9" and the m'l is the perfect length and size. i was initially attracted by the external seams (and color) and was delighted with the silhouette and soft structure of the wool blend fabric. it is versatile and yet a kind of signature piece that i will wear with joy. .</t>
  </si>
  <si>
    <t>Good summer tank</t>
  </si>
  <si>
    <t>This will be a great summer staple.  good fit and very comfortable.  may go back and buy another color</t>
  </si>
  <si>
    <t>This dress is a vintage 20s drop hem style, not meant to be tight to form.  that said, the bottom is loose so may want to size down.  5'2, 145 lbs= s.  i bought the neutral- navy pattern and it is absolutely gorgeus!  hints of peach and beautiful lace detail.  i literally got compliments all day long- from friends and strangers.  i paired it with a dark denim jacket.  absolute must have for sale price.</t>
  </si>
  <si>
    <t>Shrinks, shrinks, shrinks</t>
  </si>
  <si>
    <t>I purchased this top in the rose and steel blue colors even though the majority of reviews says it shrinks even when you wash per the instructions. i called the local retailer store first to see if it could be returned if this happened and they said yes, no problem. well the reviews are correct. i washed just the rose colored top so i could compare it to the steel blue if it did shrink. i am returning them this evening. i will not take the time or spend the money to dry clean a tank. it is made ve</t>
  </si>
  <si>
    <t>This dress is very flattering. i am writing a review to share my experience regarding sizing. i am 5'7" and wear 34a.  i tried on a size 0 that was at the store as a return and there was about a 3 inch gap to get the side zip closed. although i  normally wear a size 2, i ordered size 4 because of my experience with the dress at the store.  the size 4 is slightly big across the bust but looks ok. i think the size 2 would've been too tight.</t>
  </si>
  <si>
    <t>Love this sweater! great for work. very soft and comfortable. color is gorgeous!</t>
  </si>
  <si>
    <t>Upholstery fabric</t>
  </si>
  <si>
    <t>Super thick material and it's lined with cotton so as not to be scratchy on the skin. it looks cute on, hopefully it will soften over time. almost thick like upholstery fabric.</t>
  </si>
  <si>
    <t>Short dress? long sleeves? yes, please!</t>
  </si>
  <si>
    <t>I love tiny's aesthetic--sweet, feminine, yet always with a slightly sexy edge. this dress doesn't disappoint! during 90% of the year, i'm always cold. finding cute dresses with long-sleeves is almost as challenging as finding a unicorn. this dress is near casual perfection. i plan to wear it on breezy summer nights on a cruise to greece i have coming up. it would also be a perfect spring/fall dress before the seasons change or could be worn in winder with tights and a cardigan. see, near perfec</t>
  </si>
  <si>
    <t>Great top, runs a little short</t>
  </si>
  <si>
    <t>Love peplums and love this top! the quality and fabric is beautiful. i did have to size up because it ran a little too short on me, but otherwise great top. really cute to pair with a statement necklace as well!</t>
  </si>
  <si>
    <t>I've already worn this dress 4 times and i bought 3 weeks ago. easy to wear, comfortable and flattering. i love and wish it was available it more patterns.</t>
  </si>
  <si>
    <t>Great classic look for fall</t>
  </si>
  <si>
    <t>I was really drawn to this burgundy color on this sweater, but wasn't all that impressed with the style. as soon i tried it on, wow it is very flattering. the color is gorgeous, i can see myself using it with jeans, pencil skirts, pants. for reference it does run large, i am usually a x large but i got a large and fits beautifully.</t>
  </si>
  <si>
    <t>Love this dress! it's even prettier in person. i found the sizing a little bit on the large side, but i read that many others had the opposite problem, particularly in the bust where i'm small/average for my size. even though it's a little big on me, it looks and feels great.</t>
  </si>
  <si>
    <t>Has anybody washed this shirt a second time? just curious if it continues to shrink.</t>
  </si>
  <si>
    <t>This dress is beautiful in person. i am 5'1 and was afraid it would be too long but it was perfect. i only need 2 inch heel and it will be fine.  details on the flowers are really nice. one more plus it machine washable.</t>
  </si>
  <si>
    <t>I love, love, love this absolutely stunning dress. the only problem was that the zipper was very difficult to maneuver, and when it finally went up, the watch it was attached the lining of the dress made a bump in the dress, which was very unflattering on an otherwise very flattering dress. i tried on multiple versions of this dress and had the same design issue with each. i ended up returning it because it bothered me so much.</t>
  </si>
  <si>
    <t>Poor shape for my body type</t>
  </si>
  <si>
    <t>Purchased because i wanted a deep red sweater, and this one was the perfect color. unfortunately i am on the curvier side, with 34g chest, 155lbs 5' 5", and the med was too big, (i usually wear m or l at retailer.) also the fit ended up being boxy on my body type.</t>
  </si>
  <si>
    <t>Its a keeper</t>
  </si>
  <si>
    <t>I'm not usually a fan of simple crewneck sweaters but this one has some nice added details that make it a keeper. the dark red oxblood color is really nice (it manages to be a red sweater without feeling overly holiday), the detailing at shoulder/chest is interesting yet subtle enough to not be distracting and doesn't feel bulky at all, the dropped shoulder seams are done correctly and without the body becoming boxy. it does feel like it might run a tad bit large, but only very slightly, not eno</t>
  </si>
  <si>
    <t>Weird fit in the bust</t>
  </si>
  <si>
    <t>I own many retailer dresses but the sizing can be odd. i usually wear a size 4-6 and i have a floreat maxi dress size 4 that works well. i am 34c and based on the reviews i decided to order a size 6. the dress fits well except for he bust area that is very snug/couldn't even get the zipper up. i will probably have to order a size 10 to be able to close the zipper on the bust area but it will be huge everywhere else.the fabric seems very delicate and may develop runs easily. it's a shame because th</t>
  </si>
  <si>
    <t>Cute style, very wide</t>
  </si>
  <si>
    <t>Great coat. love the length but it definitely runs big. i got a m even though i would normally be a l and it's roomy. fabric has pulles under the arms after 1 wear but overall quality is good. very warm. great look for work w. black pants.</t>
  </si>
  <si>
    <t>Great coat</t>
  </si>
  <si>
    <t>I got this coat to throw over slacks at work with the ac, and it's perfect. the picture online is less flattering than in person. found that the medium was too large in shoulders and arm length, small was right for 140lb, 5'8", typical size 6.</t>
  </si>
  <si>
    <t>This dress is adorable. i found it to be true to size, but i do have a small bust so perhaps that helped with the sizing issue the other reviewer encountered. i love the embroidery throughout, it beautifully constructed and feels lush. i'm 5'9" and the dress falls to my ankles, but that's ok because it will look beautiful with heels or flats. i love the dress and cant wait to wear but gave it a 4-star rating because of the side zipper. it is extremely hard to zip up past your waist because of th</t>
  </si>
  <si>
    <t>Loved it, but...</t>
  </si>
  <si>
    <t>I fell in love with this cute top, however after reading reviews, i am going to return it. seems there is a problem with it shrinking after following washing instructions. who wants to dry clean a tank top? not me, sadly. too bad. style was cute and color was awesome.</t>
  </si>
  <si>
    <t>Love the fabric, so soft and comfortable. it gives a very flattering silhouette. love those pants.</t>
  </si>
  <si>
    <t>Very unfortunate</t>
  </si>
  <si>
    <t>This dress is so beautiful in person! but the quality was very upsetting. i had two buttons come off before even putting it on. i was so excited to get his dress for my wedding shower and then i couldn't wear it :(</t>
  </si>
  <si>
    <t>Rust not red</t>
  </si>
  <si>
    <t>But if that works for you it is a cute pattern. this is a lighter weight sweater but good for fall.</t>
  </si>
  <si>
    <t>Runs small in bust</t>
  </si>
  <si>
    <t>I wanted this dress so bad for a trip to hawaii. i sized up when i saw the side zip because i'm a little larger in the top than bottom, but whoa... even when sizing up, i think i would have needed to size up like 3x to get this to work. the dress is adorable, and if you have a smaller bust, it will work for you... so sad it wouldn't work for me.</t>
  </si>
  <si>
    <t>Great style, not so great workmanship</t>
  </si>
  <si>
    <t>This vest is soft, flattering, and versatile. but both pockets were sewn incorrectly, with broken seams on the bottoms so if you used them, things would fall out. i'm keeping it but had to pay a seamstress to fix it. for the price, i'd expect better quality. recommended conditionally..</t>
  </si>
  <si>
    <t>That unique retailer dress</t>
  </si>
  <si>
    <t>This dress is gorgeous- it's one of those retailer dresses that i find worth the price because of how unique and beautiful it is! i found it to fit tts. although the zipper does take a good tug to get over the fabric seam, it fits perfectly. if you have a bigger chest (d+), i would foresee this dress being too snug. however, i am a c and it fits just right! i wore it to a backyard wedding with flat sandals and simple gold hoops, but i love the idea of styling it with a jacket and some wedges or bo</t>
  </si>
  <si>
    <t>I am normally a size 4/6p in all things retailer but read the reviews and opted to go petite on the maxi and size up. i went with the 8p and even with a 32d bust, had no trouble zipping and it fit beautifully. the band is a tad loose, but any tighter wouldn't have fit in the bust. this dress hangs beautifully and is incredibly flattering, especially for those of us with an athletic build.</t>
  </si>
  <si>
    <t>I've received so many complements when i wear this tunic. it's so comfortable and fits great. the fabric is light and feels good against my skin. this is, by far, my most favorite purchase from retailer and i wear it all the time with my leggings. love, love, love this tunic/dress!!</t>
  </si>
  <si>
    <t>I wanted to love this top. the color is wonderful in the pink and the material is silky soft. it is huge though, i am a 34 dd and bought my usual small! i am going to exchange for an xs and am hoping it fits.</t>
  </si>
  <si>
    <t>Love, love, love</t>
  </si>
  <si>
    <t>I tried this top on at store and didn't want to buy at full price even though it made my heart skip a beat with how adorable it was. it is even cuter on. so when i saw it finally went on sale and i got an additional 20% off i immediately ordered!!!! it is flowy, comfortable and fun. wore it today layered with a black turtleneck and long black vest.</t>
  </si>
  <si>
    <t>Lovely, but it is tight in the chest.</t>
  </si>
  <si>
    <t>I have to agree with another reviewer that this runs slightly small. i'm 5'8, an athletic pear with narrow shoulders, 34c, and usually a 6 in tops at retailer. since the top looks a little short on the model, i sized up to an 8, since i'd rather have it be flowy and a little longer. i'm very glad i did because it hits at my low hip, and if it were any smaller, it'd be too tight in my chest. since it doesn't stretch, you need some space for your arms to move. if i could do it again, i'd actually si</t>
  </si>
  <si>
    <t>I ordered the gray/plum colorway and while i'm disappointed in the large percent acrylic fabrication, the vest is very soft and warm. the unfinished raw seams add visual interest and i'm tempted to remove all the care tags and wear this inside out for a different look. i am worried that excess pilling will be an issue so i will update my review if the quality deteriorates beyond a simple lint shave.</t>
  </si>
  <si>
    <t>Another tiny success</t>
  </si>
  <si>
    <t>Tiny are experts at making busy bohemian shirtdresses that look casual but retain a feminine drape.  it skims over my trouble spots without adding bulk.  this is my fourth dress from this label and it does not disappoint.  for my frame and style i chose tts but those of slender &amp; petite builds may want to size down.  for reference i am 5'3" 140# 36dd.</t>
  </si>
  <si>
    <t>Bummed out</t>
  </si>
  <si>
    <t>Embroidered tulips look like they were plucked when comparing the dresses in the product photos. took a chance any way, came out disappointed because i couldn't zip up the bodice. i hate side zips and when you pair a cheap zipper with delicate material, recipe for disaster! i am top and back heavy so though i lost weight and went down a cup size, my back is too wide for the 12p. for reference i'm 135# 36d 38/28/35.</t>
  </si>
  <si>
    <t>Love it- super cute. can wear it to work with blazer or out at night. i'm 5'3" and got a size small, a little shorter in the front but that seems to be style, fits great</t>
  </si>
  <si>
    <t>Not kind to curves</t>
  </si>
  <si>
    <t>Wanted to love this top, and could imagine lots of outfits with it. the wide shoulders made my arms/shoulders look big. the ruching and extra flap landed at an odd place, accentuating my belly. it did arrive very wrinkled, although a previous reviewer said she found it to be a wrinkle free garment. maybe that made the look worse. overall i felt that it made me look 15 lbs heavier than i am, so back it goes. i am 5'7", 160lbs, 34dddd, and the size large was the correct size.</t>
  </si>
  <si>
    <t>Perfectly adorable!!!!!</t>
  </si>
  <si>
    <t>This is the perfect dress! for summer, fall, winter or spring, it is flattering and looks cute with booties, flip flops, brogues or barefoot! runs a teeny bit large - i wear a small to medium and the small is perfect! i might just buy the other color it comes in!!!!</t>
  </si>
  <si>
    <t>Cute top....but shrinks horribly!</t>
  </si>
  <si>
    <t>I bought this top and it ran huge, i had to get an extra small. well then i wash it according to the instructions and it shrunk horribly! like its so small now my 3 yr old could probably wear it! i'm so sad, i really liked this top....but for it to shrink after one wear is not acceptable.</t>
  </si>
  <si>
    <t>Great tank</t>
  </si>
  <si>
    <t>For me to buy a tank top it better be special and this is. flattering without being skintight, it camouflages that little back bacon you sometimes get from a bra. the v-neck is low and is the same in the back. great length, super soft and the best part is you can wear a bra! i haven't washed this yet, but based on other reviews i'll probably hand wash and air dry. the only issue is the tag flops out every now and then.</t>
  </si>
  <si>
    <t>Flattering a comfortable</t>
  </si>
  <si>
    <t>This top looks just as it does on the model and it fit just as they said it would. i needed a nice shirt to wear with jeans and camouflage my new-mommy tummy and this was perfect! it's really comfortable and fun, too!</t>
  </si>
  <si>
    <t>I love everything about this top! the fabric, the color, the fit! great top for spring and summer!</t>
  </si>
  <si>
    <t>Fabric is very stiff....</t>
  </si>
  <si>
    <t>I had hopes for this shirt but was disappointed in the fabric...it's very stiff and heavy for a summer blouse. will be returning it.</t>
  </si>
  <si>
    <t>I usually wear petite which this was not so a little big for me. but nice color and good quality, but pricey for what it is. it's more like a $45 sweater not $100+</t>
  </si>
  <si>
    <t>Effortless</t>
  </si>
  <si>
    <t>Another reviewer said it best, "i love the way this dress makes me feel." i couldn't agree more. the lines are perfect and effortless. 
with all the different reviews on size, i went into the store to try it on. i am usually always a s or m at retailer and a s fit perfectly. i think sizing down any more takes away from the casual look of the dress. i am 5' 5", 130, and have a small bust.</t>
  </si>
  <si>
    <t>Beautiful color, pretty design, nice fabric</t>
  </si>
  <si>
    <t>I got this in the wine, which is a beautiful color. the design is nice and looks expensive (but i'm not sure how it will hold up), the fabric is very nice, medium weight and drapes well. it is a little boxy but would be nice to layer over a button down.</t>
  </si>
  <si>
    <t>Chic</t>
  </si>
  <si>
    <t>Love this. can be a jacket or blazer syle. fits well.</t>
  </si>
  <si>
    <t>The colors, style and fit were great. this dress you could wear on many different occasions. all around great piece to own!</t>
  </si>
  <si>
    <t>Too much pep in this peplum...</t>
  </si>
  <si>
    <t>I love a good peplum top, and was so excited when it arrived, but was sad to find the flare on the peplum was a little too much. i'm not sure why it was so unflattering, because in every other way, it fit like a dream, but it seemed like either there was too much or too little fabric around the waist to have it hang properly. it had to go back.</t>
  </si>
  <si>
    <t>This top is super cute and is very flattering. however, i have trouble getting in and out of it. there is one zipper on the side but it almost seems like it needs to go higher up in order to help you put it on and take it off.</t>
  </si>
  <si>
    <t>This dress is very striking, especially in the green color way i purchased. flow and loose, very feminine but not "cute". well made and very much in style this season. i returned it because it wasn't quite suitable for me-1 size up would have been a better. fit overall.</t>
  </si>
  <si>
    <t>Great fabric</t>
  </si>
  <si>
    <t>I ordered my usual size small and it was very large on my 5'5", 112# frame.  my daughter loved it so she scored.  i ordered another one in xs, perfect though the sleeves run long! i have long arms.  can be dressy or casual.</t>
  </si>
  <si>
    <t>The perfect purple piece</t>
  </si>
  <si>
    <t>I got the dark purple color of this top and it is perfect! i wear it all the time. it's comfortable and it's cute! plus if it gets cold i can throw a warm sweater on top of it.</t>
  </si>
  <si>
    <t>Gorgeous and flattering dress by maeve</t>
  </si>
  <si>
    <t>This dress looks beautiful on. it's very flattering and comfortable to wear. it runs true to maeve's dress sizing which for me means in these dresses i always get one size larger than what i normally wear. on my 5'3" height the regular was just above the knee. great for giving you the illusion of the figure you want even if you don't have it naturally !</t>
  </si>
  <si>
    <t>I am returning. i really liked the appearance in the photo and i love aqua, but the biggest problem for me is the shape. it's pretty boxy and it's hard to tell from the photo, but it has a batwing shape. i also wish the lighter portion were more ivory (less yellow in it), but that's based on what looks better against my skin tone. i found it to run true to size, but i thought it was unflattering (made me look wide).</t>
  </si>
  <si>
    <t>Great every day long-sleeved tee</t>
  </si>
  <si>
    <t>I absolutely love this tee! i normally don't buy two of the same thing, but i bought it in both black and mauve during a december sale. i ordered a size small, and it fits tts. it can be worn with leggings or skinny jeans/cords. i love pairing it with skinny jeans and boots best. it's very slimming and so soft.</t>
  </si>
  <si>
    <t>This tee is amazing! it is so soft and comfortable. and is great for those of us who are tall, it has great length! i went with a medium because i didn't want it too tight. i really hope that retailer restocks soon because i want to buy one in every color!</t>
  </si>
  <si>
    <t>Super comfortable!! i am 34 weeks pregnant and i works great for me now and i think it will be perfect post baby also!</t>
  </si>
  <si>
    <t>Best basic ever</t>
  </si>
  <si>
    <t>Like the other reviewers, this is my new favorite tee. it's so freaking soft, and the ribbon down the back just gives a little added flare. pure+good has been one of my staple brands for basics for a while, and i will definitely be buying more colors in this. the length is perfect for leggings, and it would be cute with jeans too.</t>
  </si>
  <si>
    <t>Perfect until washed</t>
  </si>
  <si>
    <t>Loved this shirt so much that i bought in 3 colors. love the luxurious feel of the silky, flowing fabric that flatters in all the best ways. however, after washing per instructions, the fabric lost its good qualities and turned into a blah, pilled mess that gathers at the seams (especially the bottom seam). tried dry cleaning another shirt and it came out the same way as washing. looks like a cheap, lackluster layering top now and definitely won't last another season. so disappointed - if you ca</t>
  </si>
  <si>
    <t>Cute top and flattering to wear. fits nicely and i'd say true to size. can't wait to wear it.</t>
  </si>
  <si>
    <t>It breaks my heart to say this but i had to return for shape issues. i am not a fan of dolman sleeves (they make me look big and bulky) and i wished i would have known that prior to purchasing. it is unfortunate because it is a really beautiful knit and quality. i could see this working better on someone tall and thin.</t>
  </si>
  <si>
    <t>Love it but. . .</t>
  </si>
  <si>
    <t>At 5'5" (almost), 122lbs., i always wear a size small. however this dress runs large (no, i am not smaller than i was 6 months ago) and it looked like a dumpy sack on me. too bad, i really wanted it to fit! it is a slightly heavier fabric than anticipated, and would be an excellent travel dress. i may try the xs. . .</t>
  </si>
  <si>
    <t>Well fitting bra, comfortable (not itchy), lace doesn't show through tops.</t>
  </si>
  <si>
    <t>Soft &amp; versatile tee</t>
  </si>
  <si>
    <t>Purchased in the light grey and was so excited, i wore it the very next day. the back detailing and pocket make it more unique than a regular tee and the fabric is slightly heavy (in a good way) so it hangs beautifully. easily can be dressed up or down. new favorite tee!</t>
  </si>
  <si>
    <t>Need them all!</t>
  </si>
  <si>
    <t>Ordered this on a whim while taking advantage of a promotion, and now need one in every color! the weight and cut is perfect for fall/winter/summer - not too heavy, but not sheer/tissue thin; fitted enough to look super cute with leggings or skinny jeans. fabric has a nice quality feel to it - i have similar shirts from the past that have held up well in the wash. i'm anticipating the same with this.</t>
  </si>
  <si>
    <t>Best. tee. ever.</t>
  </si>
  <si>
    <t>Oh my! i love this tee. it is super soft. i love how it doesn't look like a sack with no shape. i can't wait to get more colors. i am tall plus have a long torso and it still is long enough for me so this is definitely a win!</t>
  </si>
  <si>
    <t>Love, but different colors fit differently</t>
  </si>
  <si>
    <t>I love these joggers. they are stylish, comfortable and high quality. my one complaint is that the sizing appears different for different colors. 
i got them in the green/moss color,. i immediately wore them casually with flats, a t, &amp; a long silver necklace. that night, i literally just changed into a long, flowy silk cami and high suede black shoes with the joggers and wore them out- feeling comfy and pulled together (favorite combination). 
i loved them so much i decided to try the othe</t>
  </si>
  <si>
    <t>Lovely color</t>
  </si>
  <si>
    <t>I ordered this as it was either in stylist pick or top rated, cant' remember which, but i must say, ti was very nice on. a little loose, but the petite sizes are sold out, so i ordered the xs (petite might have been too short...) the cut is feminine, not figure hugging, but still flattering. i can see wearing this in the fall with boots and a cardigan, not just summer with sandals, so i decided to keep it.
 115 lbs, 30dd, 26.5 in waist.</t>
  </si>
  <si>
    <t>Comfort and style to the max!</t>
  </si>
  <si>
    <t>Love this shirt. i am 5'8 and have a slender torso and the small fits perfectly. i love that it's long so you can wear it as a single shirt or use it as an extra layer. i also have a grey druzy necklace to dress this puppy up. purchased it in black and this will be a new staple.</t>
  </si>
  <si>
    <t>Nice but 5% spandex makes it a bit clingy</t>
  </si>
  <si>
    <t>This top is much nicer than expected.....the fabric and style are great. i am a size small or medium, and got the small. from the front, it was great. not so much from the back for me. i'm larger on top than bottom and the 5% spandex made it too clingy around the dreaded bra fat area. i don't wear spanx. i wish retailer would be more specific with the fabric content. if i'd known it was 5% spandex, i would have ordered a size medium. i am thinking about doing this because the top is really</t>
  </si>
  <si>
    <t>Cute...</t>
  </si>
  <si>
    <t>This jacket was a gift for my daughter,it fit like a glove and she loved it !</t>
  </si>
  <si>
    <t>Confortable - simple</t>
  </si>
  <si>
    <t>This top is so soft and comfortable. i bought it on sale, so would i have paid $60 for it . . . . not sure. fits true to size, what can i say its a simple top, well made and so soft.</t>
  </si>
  <si>
    <t>Didn't fit well for me, awkward and dull</t>
  </si>
  <si>
    <t>I ordered this and hoped it would be a fun &amp; whimsical sweater for this winter. instead, it's just strange. it didn't fit well. too short in the overall length &amp; in the sleeves. the shades of the yarn were drab. it also didn't seem made to last. it looked like it would pill/snag in a short amount of time. i returned it. i'd love to see a style similar to this executed better in the future. having a unique sleeve is a cute idea.</t>
  </si>
  <si>
    <t>Luxurious basic tee</t>
  </si>
  <si>
    <t>I love simplicity in clothing and this tee fits the bill! i put it on and instantly feel basic elegance.</t>
  </si>
  <si>
    <t>Awesome shirt</t>
  </si>
  <si>
    <t>I am 5'10", 130 pounds. a medium is a perfect fit for me. i love it! not so sheer that i feel that i need to wear a cami underneath, sleeves are long, and it is so, so, so soft. the scoop neck shows just the right amount without being too revealing. i am buying one in every color.</t>
  </si>
  <si>
    <t>Fits great! love soft material. love with skinny jeans brown boots</t>
  </si>
  <si>
    <t>I really like this dress. i'm 5'8" and about 135 so i bought a small. i am small chested, so i plan on wearing a bandeau bra underneath it because the arm holes are a little low. the material is very nice though. perfect for dressing up with cute jewelry!</t>
  </si>
  <si>
    <t>I bought this dress in a sm for a cruise i'm taking soon. i don't have much of a waist, kind of straight like a board, and this dress is very flattering on my figure. the skirt fits snug and the top drapes nicely over my waist. very pretty and flowy. i bought the multi color stripe dress and the vertical stripes enhance the beauty of the dress.</t>
  </si>
  <si>
    <t>Lovely detail</t>
  </si>
  <si>
    <t>I was pleasantly surprised when i tried this on. i tried it because of the detail but didn't hold out much hope because it looked frumpy on the hanger. i was very wrong. it fits beautifully. it drapes nicely, hugs the shoulders perfectly and doesn't droop open due to the embellishments. there is a tiny closure where the fabric crosses in the front so you are not exposed. i liked that feature very much. the sleeves are 3/4 on me, but i like it - nice change of pace. this is a very different style</t>
  </si>
  <si>
    <t>Comfortable top</t>
  </si>
  <si>
    <t>This top feels great on. it just drapes well and isn't clingy. i refused to buy maternity tops, because i wanted to wear the tops after pregnancy. though i bought this top post pregnancy it would have worked great because of the length.</t>
  </si>
  <si>
    <t>Favorite go to top</t>
  </si>
  <si>
    <t>Comfortable casual, hip. i have the black &amp; white color which is a bit thicker than the other colors which i prefer as i recently had a baby and need a little extra fabric. i wish the fabric was a bit softer but the cut is so flattering there was no way i was sending it back. i wish the other colors were in the same thicker fabric and i would have ordered more. my new go to top. the black ribbon on the back is my favorite part.</t>
  </si>
  <si>
    <t>This dress is gorgeous in the photograph. and very pretty when it arrived, however, it is very dark in color. you would only notice the blue in bright light or perhaps outside in the sun. the fit was small. i could not get the tie around the waist to look right and feel comfortable, so sadly i had to return it. 
i applaud retailer for the excellent and attractive packaging. that was almost enough to sell the dress. it came in a very nice white box inside a larger box. tissue paper and fol</t>
  </si>
  <si>
    <t>Cutest ever!</t>
  </si>
  <si>
    <t>This is one of the cutest tops i've ever gotten from retailer. the material is very soft and flowing. it fits true to size and hange beautifully. love it. i should have gotten he turquoise one too!</t>
  </si>
  <si>
    <t>Love this shirt. it fits great and can be easily layered!</t>
  </si>
  <si>
    <t>Agree with the other reviewers. this top is excellent. great length, weight &amp; bounce to it, flattering without being clingy. i'm 5'10" with a long torso, so i'm always in the market for tops with longer hemlines and decent material without being too tight or clingy. this one i love! i bought it in black, then went back for the turquoise, then two more... if that doesn't tell you what a great shirt this is, i don't know what will.</t>
  </si>
  <si>
    <t>Too long</t>
  </si>
  <si>
    <t>Great color, soft fabric, but waaaaay too long. more like a night shirt than a t-shirt.</t>
  </si>
  <si>
    <t>Oversized and unflattering</t>
  </si>
  <si>
    <t>I was hoping to find a slimming and cozy sweater, unfortunately this one was baggy and material was really bulky. one of those occasions where i would have never purchased this in person but online you can't quite tell the style and fit. i returned this item.</t>
  </si>
  <si>
    <t>I need one in every color. so super soft.</t>
  </si>
  <si>
    <t>Very pretty blouse with nice detail. needs to be worn with a camisole however.</t>
  </si>
  <si>
    <t>Got this shirt on sale and i hope they restock so i can buy more. super comfy and flattering at the same time. i have some extra baby weight and it camouflages that well. i'm normally a 6-8 but i'm an 8-10 right now and the medium was perfect. i'm 5'6" and its plenty long enough to wear with leggings. a great shirt and i'll be sure to watch out for this one to come back. please restock!</t>
  </si>
  <si>
    <t>Easy to wear.  the fabric is super soft and the shape is very flattering.   i really like the shirt hem at the bottom.</t>
  </si>
  <si>
    <t>Love these pajama bottoms. they are so comfortable and the print is fun and unique. i highly recommend. they run true to size and have a great length. they look short on the model but mine are perfect.</t>
  </si>
  <si>
    <t>I almost never take the time to write reviews but this shirt is amazing... it's a super soft, stretchy, substantial fabric that is incredibly flattering. it falls perfectly and is insanely comfortable. i am 5'5" 120 lbs and usually wear an xs or s in retailer tops... i went with the xs and it is a perfect fit. love it so much i bought it in 4 colors... i am now completely broke but these shirts will be in constant rotation.</t>
  </si>
  <si>
    <t>Very pretty top</t>
  </si>
  <si>
    <t>This is a beautiful top, however, my top did not match the one in the picture, it's so odd, the stripes are completely different, it's ok, because it's very pretty, but i do like the one pictured better. it's too short on me for leggings and boots, but it's great with skinny jeans. very pretty and soft material.</t>
  </si>
  <si>
    <t>I am so glad i had read the other reviews of this jacket which prompted me to order. great fit and cut with a hint of stretch, nice styling details, great vintage color. i wasn't in love with the price but after receiving the jacket i would gladly pay the price again. will definitely be in my wardrobe rotation for years to come!</t>
  </si>
  <si>
    <t>Everyday staple</t>
  </si>
  <si>
    <t>This shirt is amazingly soft and has such a great cut, especially for me being curvy. i love to pair this with cute leggings or tight ankle jeans with my boots. recently wore on a casual date with the hubby and he loved it paired with my dark brown leather jacket and dark jeans. 
only reason i gave it 4 stars was that the shirt tends to stretch out a little at the bottom is seems as you wear it throughout the day - it is still a great shirt and if possible i would buy more. 
need to bring</t>
  </si>
  <si>
    <t>Pretty but...</t>
  </si>
  <si>
    <t>This shirt is pretty but wasn't worth the price in my opinion. the shirt does a pretty decent job of staying closed at least, and the embroidering is pretty, but i could tell the material wouldn't last very long.
also i like my shirts loose fitting, but this one looks more boxy than flowy. i'd probably still buy it if it were cheaper.</t>
  </si>
  <si>
    <t>This shirt looks and feels fabulous. i got black and white and received a ton of compliments. wore with boots and leggings and fun jewelry.</t>
  </si>
  <si>
    <t>This is the perfect casual top to wear alone or layered with a cardigan. love it!</t>
  </si>
  <si>
    <t>I love joggers, best style to come along in awhile. i think these are well made and i like the fabric. i just wish the leg were cut a bit slimmer but that's just a matter of preference. i definitely like them and will keep and wear.</t>
  </si>
  <si>
    <t>Ok, but...</t>
  </si>
  <si>
    <t>Gorgeous detail on the sleeve. adorable pattern. unfortunately, it is a little too cropped &amp; it's not actually sleeves. it's a cape style. wasn't expecting, but still really cute.</t>
  </si>
  <si>
    <t>Beautiful colors. lightweight flannel, so a great pair of sleep pants that can be worn year round. i ordered a s, my typical size, which turned out to be quite large on me. hopefully the xs will fit better.</t>
  </si>
  <si>
    <t>Run don't walk to buy this</t>
  </si>
  <si>
    <t>Although i wish this was not so dark blue for summer, it is the most fabulous cut, super sexy with the tie neckline and love the side pockets... and did i mention the fabric is ridiculously soft? i just wish it was more of a blue denim blue but nonetheless, i could not walk away from the store without this. i am 5'9, 142 lbs and medium fit me perfect for length in the leg.</t>
  </si>
  <si>
    <t>Want to like it....</t>
  </si>
  <si>
    <t>This is soooo much more cropped than it looks in the picture. the fabric is super soft and design is cute. i really wanted to like this, but it just doesn't fit as shown. the back is halfway up by back and i am shortwaisted...</t>
  </si>
  <si>
    <t>What happened?</t>
  </si>
  <si>
    <t>I purchased this item in the gray heather color and loved it so much i wanted to buy every other color. the fabric was cottony and felt very soft and cushy against my skin, and the gray color was from the combination of black and white fibers. i ordered the light gray and the red online and could not wait for them to arrive. but the other colors were not even in the same material, but a very shiny and synthetic feeling fabric, with just a single color weave that did not have the same feel or tex</t>
  </si>
  <si>
    <t>Perfect long sleeve tee!</t>
  </si>
  <si>
    <t>I've been looking for a staple long-sleeve tee for a while now, and i think i've found it! i bought this tee in my usual retailer size of medium and the fit is perfect. the material is soft, the cut highlights an hourglass figure without clinging in the wrong places. the sleeves are long enough, which can sometimes be a problem for me. the length is perfect to wear with leggings without being too long. i'll be back for more colors!</t>
  </si>
  <si>
    <t>Adorable but not really a cardigan more a capelet</t>
  </si>
  <si>
    <t>I gave this 4 stars instead of five because the picture really does give you the impression that this "cardigan" has sleeves but actually it's a cape with a few stitches above the wrist. it's also quite short, i'm only 5 5" and it hits me above my waist. this picture was clearly shot with the front pulled down, i bet if we saw the back it would be high above her waist. also, one of the buttons fell off the first time i wore it. i heard it fall thankfully so it was easy enough to sew back on but</t>
  </si>
  <si>
    <t>I love this top, it's long enough to to wear with leggings and the ribbon in the back really dresses it up. the only negative is that the material pulls easy and only on the space dye color, not the solids but i still love it! for reference i ordered xs and it fits perfectly i am 5'2 125lbs</t>
  </si>
  <si>
    <t>I purchased this shell in black. the embellishments and construction of the top are of a good quality, like as shown. i am 5'4", 120# and typically purchase an xs. this ran a bit bigger than i was expecting from the reviews, but i am overall happy with the top. the center slit may be too revealing for those with a smaller bust.</t>
  </si>
  <si>
    <t>This dress will unfortunately be returned...so cute online and looks like a sack in person.  runs very large, arm holes are very low.  not flattering.</t>
  </si>
  <si>
    <t>Just received this and absolutely love it! i tried the vienne cardigan in the store and i assumed this one would fit the same (since online exclusive), which it does. this one though has the whimsical left grey sleeve with trees, a fence and sheep on the sleeve - very cute. it's a traditional knit design with a twist of modern design being the cape style. it is a bit cropped but fits well and the hood lays nicely. there were a few too many stray threads when i received that i needed to cut off.</t>
  </si>
  <si>
    <t>Only suits smaller chest</t>
  </si>
  <si>
    <t>If you have any cleavage this dress will look awful. the ties drop pretty low &amp; look trashy over cleavage. recommend otherwise - good fabric cool look</t>
  </si>
  <si>
    <t>What i liked:
1. midweight fabric. it's not lined and when i read polyester in the description, i was worried that it might be thin, but this is a stretchy midweight fabric.
2. pretty pretty print
what i did not like:
1. i don't know what dress the model is wearing, but this was an empire waist dress on me. i'm 5'7". because it was empire waist, the long hem makes this look like a maternity dress on me.
2. the sleeves are cut oddly. they look too wide for the dress, even on this model.
3</t>
  </si>
  <si>
    <t>AVERAGE of Rating</t>
  </si>
  <si>
    <t>SUM of Recommended_IND</t>
  </si>
  <si>
    <t>COUNTA of Rating</t>
  </si>
  <si>
    <t>COUNTA of Recommended_IND</t>
  </si>
  <si>
    <t>Feed_back</t>
  </si>
  <si>
    <t>COUNTA of Feed_back</t>
  </si>
  <si>
    <t>Size issue----</t>
  </si>
  <si>
    <t>----</t>
  </si>
  <si>
    <t>Size issue-Fabric issue---</t>
  </si>
  <si>
    <t>Size issue--Style issue--</t>
  </si>
  <si>
    <t>-Fabric issue---</t>
  </si>
  <si>
    <t>Size issue-Fabric issue-Style issue--</t>
  </si>
  <si>
    <t>Size issue----Matching Awareness issue</t>
  </si>
  <si>
    <t>--Style issue--</t>
  </si>
  <si>
    <t>-Fabric issue-Style issue--</t>
  </si>
  <si>
    <t/>
  </si>
  <si>
    <t>Size issue-Fabric issue---Matching Awareness issue</t>
  </si>
  <si>
    <t>Size issue-Fabric issue--Price issue-</t>
  </si>
  <si>
    <t>Size issue--Style issue--Matching Awareness issue</t>
  </si>
  <si>
    <t>--Style issue--Matching Awareness issue</t>
  </si>
  <si>
    <t>----Matching Awareness issue</t>
  </si>
  <si>
    <t>Size issue--Style issue-Price issue-</t>
  </si>
  <si>
    <t>-Fabric issue-Style issue-Price issue-</t>
  </si>
  <si>
    <t>Size issue-Fabric issue-Style issue--Matching Awareness issue</t>
  </si>
  <si>
    <t>Size issue--Style issue-Price issue-Matching Awareness issue</t>
  </si>
  <si>
    <t>-Fabric issue--Price issue-</t>
  </si>
  <si>
    <t>-Fabric issue---Matching Awareness issue</t>
  </si>
  <si>
    <t>---Price issue-Matching Awareness issue</t>
  </si>
  <si>
    <t>---Price issue-</t>
  </si>
  <si>
    <t>Size issue---Price issue-</t>
  </si>
  <si>
    <t>Contributions</t>
  </si>
  <si>
    <t>Age categories</t>
  </si>
  <si>
    <t>From 1 to 5</t>
  </si>
  <si>
    <t>Recommendation</t>
  </si>
  <si>
    <t>0 For not recommended</t>
  </si>
  <si>
    <t>1 For recommended</t>
  </si>
  <si>
    <t>What to do?</t>
  </si>
  <si>
    <t>recommended or not by catergory</t>
  </si>
  <si>
    <t>Division Name</t>
  </si>
  <si>
    <t>Department Name</t>
  </si>
  <si>
    <t>Class Name</t>
  </si>
  <si>
    <t>rating by category</t>
  </si>
  <si>
    <t>linking divisions and subdivisions based on recommendations and rating</t>
  </si>
  <si>
    <t>text analysis</t>
  </si>
  <si>
    <t>title</t>
  </si>
  <si>
    <t>review text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</si>
</sst>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b/>
      <color rgb="FFFFFFFF"/>
      <name val="Arial"/>
      <scheme val="minor"/>
    </font>
    <font>
      <b/>
      <color theme="0"/>
      <name val="Arial"/>
      <scheme val="minor"/>
    </font>
    <font>
      <b/>
      <color theme="1"/>
      <name val="Arial"/>
      <scheme val="minor"/>
    </font>
    <font>
      <sz val="11.0"/>
      <color rgb="FF000000"/>
      <name val="Inconsolata"/>
    </font>
    <font>
      <b/>
      <color theme="1"/>
      <name val="Arial"/>
    </font>
    <font>
      <color theme="1"/>
      <name val="Arial"/>
    </font>
  </fonts>
  <fills count="9">
    <fill>
      <patternFill patternType="none"/>
    </fill>
    <fill>
      <patternFill patternType="lightGray"/>
    </fill>
    <fill>
      <patternFill patternType="solid">
        <fgColor rgb="FFCCCCCC"/>
        <bgColor rgb="FFCCCCCC"/>
      </patternFill>
    </fill>
    <fill>
      <patternFill patternType="solid">
        <fgColor rgb="FFA2C4C9"/>
        <bgColor rgb="FFA2C4C9"/>
      </patternFill>
    </fill>
    <fill>
      <patternFill patternType="solid">
        <fgColor rgb="FF134F5C"/>
        <bgColor rgb="FF134F5C"/>
      </patternFill>
    </fill>
    <fill>
      <patternFill patternType="solid">
        <fgColor rgb="FF666666"/>
        <bgColor rgb="FF666666"/>
      </patternFill>
    </fill>
    <fill>
      <patternFill patternType="solid">
        <fgColor rgb="FFEAD1DC"/>
        <bgColor rgb="FFEAD1DC"/>
      </patternFill>
    </fill>
    <fill>
      <patternFill patternType="solid">
        <fgColor rgb="FFFFFFFF"/>
        <bgColor rgb="FFFFFFFF"/>
      </patternFill>
    </fill>
    <fill>
      <patternFill patternType="solid">
        <fgColor rgb="FF999999"/>
        <bgColor rgb="FF999999"/>
      </patternFill>
    </fill>
  </fills>
  <borders count="2">
    <border/>
    <border>
      <bottom style="thin">
        <color rgb="FFFFFFFF"/>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Fill="1" applyFont="1"/>
    <xf borderId="0" fillId="3" fontId="1" numFmtId="0" xfId="0" applyAlignment="1" applyFill="1" applyFont="1">
      <alignment horizontal="center"/>
    </xf>
    <xf borderId="0" fillId="2" fontId="1" numFmtId="0" xfId="0" applyAlignment="1" applyFont="1">
      <alignment horizontal="center"/>
    </xf>
    <xf borderId="0" fillId="4" fontId="2" numFmtId="0" xfId="0" applyAlignment="1" applyFill="1" applyFont="1">
      <alignment horizontal="left" readingOrder="0"/>
    </xf>
    <xf borderId="0" fillId="5" fontId="3" numFmtId="0" xfId="0" applyAlignment="1" applyFill="1" applyFont="1">
      <alignment horizontal="left" readingOrder="0"/>
    </xf>
    <xf borderId="1" fillId="6" fontId="4" numFmtId="0" xfId="0" applyAlignment="1" applyBorder="1" applyFill="1" applyFont="1">
      <alignment horizontal="right" readingOrder="0"/>
    </xf>
    <xf borderId="0" fillId="0" fontId="1" numFmtId="0" xfId="0" applyAlignment="1" applyFont="1">
      <alignment readingOrder="0"/>
    </xf>
    <xf borderId="0" fillId="0" fontId="1" numFmtId="0" xfId="0" applyFont="1"/>
    <xf borderId="0" fillId="7" fontId="5" numFmtId="0" xfId="0" applyFill="1" applyFont="1"/>
    <xf borderId="0" fillId="0" fontId="6" numFmtId="0" xfId="0" applyAlignment="1" applyFont="1">
      <alignment horizontal="center" shrinkToFit="0" vertical="top" wrapText="1"/>
    </xf>
    <xf borderId="0" fillId="0" fontId="6" numFmtId="0" xfId="0" applyAlignment="1" applyFont="1">
      <alignment horizontal="center" readingOrder="0" shrinkToFit="0" vertical="top" wrapText="1"/>
    </xf>
    <xf borderId="0" fillId="0" fontId="7" numFmtId="0" xfId="0" applyAlignment="1" applyFont="1">
      <alignment vertical="top"/>
    </xf>
    <xf borderId="0" fillId="0" fontId="7" numFmtId="0" xfId="0" applyAlignment="1" applyFont="1">
      <alignment horizontal="center" vertical="top"/>
    </xf>
    <xf borderId="0" fillId="7" fontId="5" numFmtId="0" xfId="0" applyFont="1"/>
    <xf borderId="0" fillId="0" fontId="1" numFmtId="0" xfId="0" applyAlignment="1" applyFont="1">
      <alignment shrinkToFit="0" wrapText="1"/>
    </xf>
    <xf borderId="0" fillId="8" fontId="1" numFmtId="0" xfId="0" applyAlignment="1" applyFill="1" applyFont="1">
      <alignment shrinkToFit="0" wrapText="1"/>
    </xf>
    <xf borderId="0" fillId="8" fontId="1" numFmtId="0" xfId="0" applyAlignment="1" applyFont="1">
      <alignment readingOrder="0"/>
    </xf>
  </cellXfs>
  <cellStyles count="1">
    <cellStyle xfId="0" name="Normal" builtinId="0"/>
  </cellStyles>
  <dxfs count="2">
    <dxf>
      <font/>
      <fill>
        <patternFill patternType="solid">
          <fgColor rgb="FFF4C7C3"/>
          <bgColor rgb="FFF4C7C3"/>
        </patternFill>
      </fill>
      <border/>
    </dxf>
    <dxf>
      <font/>
      <fill>
        <patternFill patternType="solid">
          <fgColor theme="8"/>
          <bgColor theme="8"/>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pivotCacheDefinition" Target="pivotCache/pivotCacheDefinition2.xml"/><Relationship Id="rId10" Type="http://schemas.openxmlformats.org/officeDocument/2006/relationships/worksheet" Target="worksheets/sheet7.xml"/><Relationship Id="rId21" Type="http://schemas.openxmlformats.org/officeDocument/2006/relationships/pivotCacheDefinition" Target="pivotCache/pivotCacheDefinition1.xml"/><Relationship Id="rId13" Type="http://schemas.openxmlformats.org/officeDocument/2006/relationships/worksheet" Target="worksheets/sheet10.xml"/><Relationship Id="rId24" Type="http://schemas.openxmlformats.org/officeDocument/2006/relationships/pivotCacheDefinition" Target="pivotCache/pivotCacheDefinition4.xml"/><Relationship Id="rId12" Type="http://schemas.openxmlformats.org/officeDocument/2006/relationships/worksheet" Target="worksheets/sheet9.xml"/><Relationship Id="rId23" Type="http://schemas.openxmlformats.org/officeDocument/2006/relationships/pivotCacheDefinition" Target="pivotCache/pivotCacheDefinition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class recommendations</a:t>
            </a:r>
          </a:p>
        </c:rich>
      </c:tx>
      <c:overlay val="0"/>
    </c:title>
    <c:plotArea>
      <c:layout/>
      <c:barChart>
        <c:barDir val="bar"/>
        <c:ser>
          <c:idx val="0"/>
          <c:order val="0"/>
          <c:tx>
            <c:strRef>
              <c:f>Class_recommendations!$B$1</c:f>
            </c:strRef>
          </c:tx>
          <c:spPr>
            <a:solidFill>
              <a:schemeClr val="accent1"/>
            </a:solidFill>
            <a:ln cmpd="sng">
              <a:solidFill>
                <a:srgbClr val="000000"/>
              </a:solidFill>
            </a:ln>
          </c:spPr>
          <c:cat>
            <c:strRef>
              <c:f>Class_recommendations!$A$2:$A$20</c:f>
            </c:strRef>
          </c:cat>
          <c:val>
            <c:numRef>
              <c:f>Class_recommendations!$B$2:$B$20</c:f>
              <c:numCache/>
            </c:numRef>
          </c:val>
        </c:ser>
        <c:axId val="1830755779"/>
        <c:axId val="382939990"/>
      </c:barChart>
      <c:catAx>
        <c:axId val="183075577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2939990"/>
      </c:catAx>
      <c:valAx>
        <c:axId val="38293999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0755779"/>
        <c:crosses val="max"/>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Recommendations</a:t>
            </a:r>
          </a:p>
        </c:rich>
      </c:tx>
      <c:overlay val="0"/>
    </c:title>
    <c:plotArea>
      <c:layout/>
      <c:barChart>
        <c:barDir val="col"/>
        <c:grouping val="percentStacked"/>
        <c:ser>
          <c:idx val="0"/>
          <c:order val="0"/>
          <c:tx>
            <c:strRef>
              <c:f>recommendations_by_category!$B$1:$B$2</c:f>
            </c:strRef>
          </c:tx>
          <c:spPr>
            <a:solidFill>
              <a:schemeClr val="accent1"/>
            </a:solidFill>
            <a:ln cmpd="sng">
              <a:solidFill>
                <a:srgbClr val="000000"/>
              </a:solidFill>
            </a:ln>
          </c:spPr>
          <c:cat>
            <c:strRef>
              <c:f>recommendations_by_category!$A$3:$A$5</c:f>
            </c:strRef>
          </c:cat>
          <c:val>
            <c:numRef>
              <c:f>recommendations_by_category!$B$3:$B$5</c:f>
              <c:numCache/>
            </c:numRef>
          </c:val>
        </c:ser>
        <c:ser>
          <c:idx val="1"/>
          <c:order val="1"/>
          <c:tx>
            <c:strRef>
              <c:f>recommendations_by_category!$C$1:$C$2</c:f>
            </c:strRef>
          </c:tx>
          <c:spPr>
            <a:solidFill>
              <a:schemeClr val="accent2"/>
            </a:solidFill>
            <a:ln cmpd="sng">
              <a:solidFill>
                <a:srgbClr val="000000"/>
              </a:solidFill>
            </a:ln>
          </c:spPr>
          <c:cat>
            <c:strRef>
              <c:f>recommendations_by_category!$A$3:$A$5</c:f>
            </c:strRef>
          </c:cat>
          <c:val>
            <c:numRef>
              <c:f>recommendations_by_category!$C$3:$C$5</c:f>
              <c:numCache/>
            </c:numRef>
          </c:val>
        </c:ser>
        <c:ser>
          <c:idx val="2"/>
          <c:order val="2"/>
          <c:tx>
            <c:strRef>
              <c:f>recommendations_by_category!$D$1:$D$2</c:f>
            </c:strRef>
          </c:tx>
          <c:spPr>
            <a:solidFill>
              <a:schemeClr val="accent3"/>
            </a:solidFill>
            <a:ln cmpd="sng">
              <a:solidFill>
                <a:srgbClr val="000000"/>
              </a:solidFill>
            </a:ln>
          </c:spPr>
          <c:cat>
            <c:strRef>
              <c:f>recommendations_by_category!$A$3:$A$5</c:f>
            </c:strRef>
          </c:cat>
          <c:val>
            <c:numRef>
              <c:f>recommendations_by_category!$D$3:$D$5</c:f>
              <c:numCache/>
            </c:numRef>
          </c:val>
        </c:ser>
        <c:ser>
          <c:idx val="3"/>
          <c:order val="3"/>
          <c:tx>
            <c:strRef>
              <c:f>recommendations_by_category!$E$1:$E$2</c:f>
            </c:strRef>
          </c:tx>
          <c:spPr>
            <a:solidFill>
              <a:schemeClr val="accent4"/>
            </a:solidFill>
            <a:ln cmpd="sng">
              <a:solidFill>
                <a:srgbClr val="000000"/>
              </a:solidFill>
            </a:ln>
          </c:spPr>
          <c:cat>
            <c:strRef>
              <c:f>recommendations_by_category!$A$3:$A$5</c:f>
            </c:strRef>
          </c:cat>
          <c:val>
            <c:numRef>
              <c:f>recommendations_by_category!$E$3:$E$5</c:f>
              <c:numCache/>
            </c:numRef>
          </c:val>
        </c:ser>
        <c:ser>
          <c:idx val="4"/>
          <c:order val="4"/>
          <c:tx>
            <c:strRef>
              <c:f>recommendations_by_category!$F$1:$F$2</c:f>
            </c:strRef>
          </c:tx>
          <c:spPr>
            <a:solidFill>
              <a:schemeClr val="accent5"/>
            </a:solidFill>
            <a:ln cmpd="sng">
              <a:solidFill>
                <a:srgbClr val="000000"/>
              </a:solidFill>
            </a:ln>
          </c:spPr>
          <c:cat>
            <c:strRef>
              <c:f>recommendations_by_category!$A$3:$A$5</c:f>
            </c:strRef>
          </c:cat>
          <c:val>
            <c:numRef>
              <c:f>recommendations_by_category!$F$3:$F$5</c:f>
              <c:numCache/>
            </c:numRef>
          </c:val>
        </c:ser>
        <c:ser>
          <c:idx val="5"/>
          <c:order val="5"/>
          <c:tx>
            <c:strRef>
              <c:f>recommendations_by_category!$G$1:$G$2</c:f>
            </c:strRef>
          </c:tx>
          <c:spPr>
            <a:solidFill>
              <a:schemeClr val="accent6"/>
            </a:solidFill>
            <a:ln cmpd="sng">
              <a:solidFill>
                <a:srgbClr val="000000"/>
              </a:solidFill>
            </a:ln>
          </c:spPr>
          <c:cat>
            <c:strRef>
              <c:f>recommendations_by_category!$A$3:$A$5</c:f>
            </c:strRef>
          </c:cat>
          <c:val>
            <c:numRef>
              <c:f>recommendations_by_category!$G$3:$G$5</c:f>
              <c:numCache/>
            </c:numRef>
          </c:val>
        </c:ser>
        <c:overlap val="100"/>
        <c:axId val="129856715"/>
        <c:axId val="808753704"/>
      </c:barChart>
      <c:catAx>
        <c:axId val="1298567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Division_Name</a:t>
                </a:r>
              </a:p>
            </c:rich>
          </c:tx>
          <c:overlay val="0"/>
        </c:title>
        <c:numFmt formatCode="General" sourceLinked="1"/>
        <c:majorTickMark val="none"/>
        <c:minorTickMark val="none"/>
        <c:spPr/>
        <c:txPr>
          <a:bodyPr/>
          <a:lstStyle/>
          <a:p>
            <a:pPr lvl="0">
              <a:defRPr b="0">
                <a:solidFill>
                  <a:srgbClr val="000000"/>
                </a:solidFill>
                <a:latin typeface="+mn-lt"/>
              </a:defRPr>
            </a:pPr>
          </a:p>
        </c:txPr>
        <c:crossAx val="808753704"/>
      </c:catAx>
      <c:valAx>
        <c:axId val="8087537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856715"/>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Not recommended feed backs</a:t>
            </a:r>
          </a:p>
        </c:rich>
      </c:tx>
      <c:overlay val="0"/>
    </c:title>
    <c:plotArea>
      <c:layout/>
      <c:barChart>
        <c:barDir val="bar"/>
        <c:ser>
          <c:idx val="0"/>
          <c:order val="0"/>
          <c:tx>
            <c:strRef>
              <c:f>Not_recommended_pivot!$B$1</c:f>
            </c:strRef>
          </c:tx>
          <c:spPr>
            <a:solidFill>
              <a:schemeClr val="accent1"/>
            </a:solidFill>
            <a:ln cmpd="sng">
              <a:solidFill>
                <a:srgbClr val="000000"/>
              </a:solidFill>
            </a:ln>
          </c:spPr>
          <c:cat>
            <c:strRef>
              <c:f>Not_recommended_pivot!$A$2:$A$24</c:f>
            </c:strRef>
          </c:cat>
          <c:val>
            <c:numRef>
              <c:f>Not_recommended_pivot!$B$2:$B$24</c:f>
              <c:numCache/>
            </c:numRef>
          </c:val>
        </c:ser>
        <c:axId val="234528889"/>
        <c:axId val="1748204098"/>
      </c:barChart>
      <c:catAx>
        <c:axId val="23452888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48204098"/>
      </c:catAx>
      <c:valAx>
        <c:axId val="174820409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4528889"/>
        <c:crosses val="max"/>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Recommended with rating 3 or less</a:t>
            </a:r>
          </a:p>
        </c:rich>
      </c:tx>
      <c:overlay val="0"/>
    </c:title>
    <c:plotArea>
      <c:layout/>
      <c:barChart>
        <c:barDir val="bar"/>
        <c:ser>
          <c:idx val="0"/>
          <c:order val="0"/>
          <c:tx>
            <c:strRef>
              <c:f>Recommended_3_or_less_pivot!$B$1</c:f>
            </c:strRef>
          </c:tx>
          <c:spPr>
            <a:solidFill>
              <a:schemeClr val="accent1"/>
            </a:solidFill>
            <a:ln cmpd="sng">
              <a:solidFill>
                <a:srgbClr val="000000"/>
              </a:solidFill>
            </a:ln>
          </c:spPr>
          <c:cat>
            <c:strRef>
              <c:f>Recommended_3_or_less_pivot!$A$2:$A$17</c:f>
            </c:strRef>
          </c:cat>
          <c:val>
            <c:numRef>
              <c:f>Recommended_3_or_less_pivot!$B$2:$B$17</c:f>
              <c:numCache/>
            </c:numRef>
          </c:val>
        </c:ser>
        <c:axId val="1792420180"/>
        <c:axId val="724065185"/>
      </c:barChart>
      <c:catAx>
        <c:axId val="179242018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24065185"/>
      </c:catAx>
      <c:valAx>
        <c:axId val="7240651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2420180"/>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Contributions vs. Age</a:t>
            </a:r>
          </a:p>
        </c:rich>
      </c:tx>
      <c:overlay val="0"/>
    </c:title>
    <c:plotArea>
      <c:layout/>
      <c:barChart>
        <c:barDir val="col"/>
        <c:ser>
          <c:idx val="0"/>
          <c:order val="0"/>
          <c:tx>
            <c:strRef>
              <c:f>Age_analysis!$B$1</c:f>
            </c:strRef>
          </c:tx>
          <c:spPr>
            <a:solidFill>
              <a:schemeClr val="accent1"/>
            </a:solidFill>
            <a:ln cmpd="sng">
              <a:solidFill>
                <a:srgbClr val="000000"/>
              </a:solidFill>
            </a:ln>
          </c:spPr>
          <c:cat>
            <c:strRef>
              <c:f>Age_analysis!$A$2:$A$67</c:f>
            </c:strRef>
          </c:cat>
          <c:val>
            <c:numRef>
              <c:f>Age_analysis!$B$2:$B$67</c:f>
              <c:numCache/>
            </c:numRef>
          </c:val>
        </c:ser>
        <c:axId val="349859999"/>
        <c:axId val="660379851"/>
      </c:barChart>
      <c:catAx>
        <c:axId val="3498599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660379851"/>
      </c:catAx>
      <c:valAx>
        <c:axId val="6603798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Contributions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985999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Rating counter</a:t>
            </a:r>
          </a:p>
        </c:rich>
      </c:tx>
      <c:overlay val="0"/>
    </c:title>
    <c:plotArea>
      <c:layout/>
      <c:barChart>
        <c:barDir val="col"/>
        <c:ser>
          <c:idx val="0"/>
          <c:order val="0"/>
          <c:tx>
            <c:strRef>
              <c:f>Ratings_counter!$B$1</c:f>
            </c:strRef>
          </c:tx>
          <c:spPr>
            <a:solidFill>
              <a:schemeClr val="accent1"/>
            </a:solidFill>
            <a:ln cmpd="sng">
              <a:solidFill>
                <a:srgbClr val="000000"/>
              </a:solidFill>
            </a:ln>
          </c:spPr>
          <c:cat>
            <c:strRef>
              <c:f>Ratings_counter!$A$2:$A$6</c:f>
            </c:strRef>
          </c:cat>
          <c:val>
            <c:numRef>
              <c:f>Ratings_counter!$B$2:$B$6</c:f>
              <c:numCache/>
            </c:numRef>
          </c:val>
        </c:ser>
        <c:axId val="1953130133"/>
        <c:axId val="178682848"/>
      </c:barChart>
      <c:catAx>
        <c:axId val="19531301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Rating</a:t>
                </a:r>
              </a:p>
            </c:rich>
          </c:tx>
          <c:overlay val="0"/>
        </c:title>
        <c:numFmt formatCode="General" sourceLinked="1"/>
        <c:majorTickMark val="none"/>
        <c:minorTickMark val="none"/>
        <c:spPr/>
        <c:txPr>
          <a:bodyPr/>
          <a:lstStyle/>
          <a:p>
            <a:pPr lvl="0">
              <a:defRPr b="0">
                <a:solidFill>
                  <a:srgbClr val="000000"/>
                </a:solidFill>
                <a:latin typeface="+mn-lt"/>
              </a:defRPr>
            </a:pPr>
          </a:p>
        </c:txPr>
        <c:crossAx val="178682848"/>
      </c:catAx>
      <c:valAx>
        <c:axId val="1786828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313013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rating</a:t>
            </a:r>
          </a:p>
        </c:rich>
      </c:tx>
      <c:overlay val="0"/>
    </c:title>
    <c:plotArea>
      <c:layout/>
      <c:barChart>
        <c:barDir val="bar"/>
        <c:grouping val="stacked"/>
        <c:ser>
          <c:idx val="0"/>
          <c:order val="0"/>
          <c:tx>
            <c:strRef>
              <c:f>class_rating!$B$1:$B$2</c:f>
            </c:strRef>
          </c:tx>
          <c:spPr>
            <a:solidFill>
              <a:schemeClr val="accent1"/>
            </a:solidFill>
            <a:ln cmpd="sng">
              <a:solidFill>
                <a:srgbClr val="000000"/>
              </a:solidFill>
            </a:ln>
          </c:spPr>
          <c:cat>
            <c:strRef>
              <c:f>class_rating!$A$3:$A$20</c:f>
            </c:strRef>
          </c:cat>
          <c:val>
            <c:numRef>
              <c:f>class_rating!$B$3:$B$20</c:f>
              <c:numCache/>
            </c:numRef>
          </c:val>
        </c:ser>
        <c:ser>
          <c:idx val="1"/>
          <c:order val="1"/>
          <c:tx>
            <c:strRef>
              <c:f>class_rating!$C$1:$C$2</c:f>
            </c:strRef>
          </c:tx>
          <c:spPr>
            <a:solidFill>
              <a:schemeClr val="accent2"/>
            </a:solidFill>
            <a:ln cmpd="sng">
              <a:solidFill>
                <a:srgbClr val="000000"/>
              </a:solidFill>
            </a:ln>
          </c:spPr>
          <c:cat>
            <c:strRef>
              <c:f>class_rating!$A$3:$A$20</c:f>
            </c:strRef>
          </c:cat>
          <c:val>
            <c:numRef>
              <c:f>class_rating!$C$3:$C$20</c:f>
              <c:numCache/>
            </c:numRef>
          </c:val>
        </c:ser>
        <c:ser>
          <c:idx val="2"/>
          <c:order val="2"/>
          <c:tx>
            <c:strRef>
              <c:f>class_rating!$D$1:$D$2</c:f>
            </c:strRef>
          </c:tx>
          <c:spPr>
            <a:solidFill>
              <a:schemeClr val="accent3"/>
            </a:solidFill>
            <a:ln cmpd="sng">
              <a:solidFill>
                <a:srgbClr val="000000"/>
              </a:solidFill>
            </a:ln>
          </c:spPr>
          <c:cat>
            <c:strRef>
              <c:f>class_rating!$A$3:$A$20</c:f>
            </c:strRef>
          </c:cat>
          <c:val>
            <c:numRef>
              <c:f>class_rating!$D$3:$D$20</c:f>
              <c:numCache/>
            </c:numRef>
          </c:val>
        </c:ser>
        <c:overlap val="100"/>
        <c:axId val="1689797620"/>
        <c:axId val="354604424"/>
      </c:barChart>
      <c:catAx>
        <c:axId val="168979762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54604424"/>
      </c:catAx>
      <c:valAx>
        <c:axId val="3546044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9797620"/>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Recommendations</a:t>
            </a:r>
          </a:p>
        </c:rich>
      </c:tx>
      <c:overlay val="0"/>
    </c:title>
    <c:plotArea>
      <c:layout>
        <c:manualLayout>
          <c:xMode val="edge"/>
          <c:yMode val="edge"/>
          <c:x val="0.16577722886029408"/>
          <c:y val="0.23809523809523808"/>
          <c:w val="0.5372045419730394"/>
          <c:h val="0.33630952380952384"/>
        </c:manualLayout>
      </c:layout>
      <c:barChart>
        <c:barDir val="col"/>
        <c:grouping val="percentStacked"/>
        <c:ser>
          <c:idx val="0"/>
          <c:order val="0"/>
          <c:tx>
            <c:strRef>
              <c:f>recommendations_by_category!$B$1:$B$2</c:f>
            </c:strRef>
          </c:tx>
          <c:spPr>
            <a:solidFill>
              <a:schemeClr val="accent1"/>
            </a:solidFill>
            <a:ln cmpd="sng">
              <a:solidFill>
                <a:srgbClr val="000000"/>
              </a:solidFill>
            </a:ln>
          </c:spPr>
          <c:cat>
            <c:strRef>
              <c:f>recommendations_by_category!$A$3:$A$5</c:f>
            </c:strRef>
          </c:cat>
          <c:val>
            <c:numRef>
              <c:f>recommendations_by_category!$B$3:$B$5</c:f>
              <c:numCache/>
            </c:numRef>
          </c:val>
        </c:ser>
        <c:ser>
          <c:idx val="1"/>
          <c:order val="1"/>
          <c:tx>
            <c:strRef>
              <c:f>recommendations_by_category!$C$1:$C$2</c:f>
            </c:strRef>
          </c:tx>
          <c:spPr>
            <a:solidFill>
              <a:schemeClr val="accent2"/>
            </a:solidFill>
            <a:ln cmpd="sng">
              <a:solidFill>
                <a:srgbClr val="000000"/>
              </a:solidFill>
            </a:ln>
          </c:spPr>
          <c:cat>
            <c:strRef>
              <c:f>recommendations_by_category!$A$3:$A$5</c:f>
            </c:strRef>
          </c:cat>
          <c:val>
            <c:numRef>
              <c:f>recommendations_by_category!$C$3:$C$5</c:f>
              <c:numCache/>
            </c:numRef>
          </c:val>
        </c:ser>
        <c:ser>
          <c:idx val="2"/>
          <c:order val="2"/>
          <c:tx>
            <c:strRef>
              <c:f>recommendations_by_category!$D$1:$D$2</c:f>
            </c:strRef>
          </c:tx>
          <c:spPr>
            <a:solidFill>
              <a:schemeClr val="accent3"/>
            </a:solidFill>
            <a:ln cmpd="sng">
              <a:solidFill>
                <a:srgbClr val="000000"/>
              </a:solidFill>
            </a:ln>
          </c:spPr>
          <c:cat>
            <c:strRef>
              <c:f>recommendations_by_category!$A$3:$A$5</c:f>
            </c:strRef>
          </c:cat>
          <c:val>
            <c:numRef>
              <c:f>recommendations_by_category!$D$3:$D$5</c:f>
              <c:numCache/>
            </c:numRef>
          </c:val>
        </c:ser>
        <c:ser>
          <c:idx val="3"/>
          <c:order val="3"/>
          <c:tx>
            <c:strRef>
              <c:f>recommendations_by_category!$E$1:$E$2</c:f>
            </c:strRef>
          </c:tx>
          <c:spPr>
            <a:solidFill>
              <a:schemeClr val="accent4"/>
            </a:solidFill>
            <a:ln cmpd="sng">
              <a:solidFill>
                <a:srgbClr val="000000"/>
              </a:solidFill>
            </a:ln>
          </c:spPr>
          <c:cat>
            <c:strRef>
              <c:f>recommendations_by_category!$A$3:$A$5</c:f>
            </c:strRef>
          </c:cat>
          <c:val>
            <c:numRef>
              <c:f>recommendations_by_category!$E$3:$E$5</c:f>
              <c:numCache/>
            </c:numRef>
          </c:val>
        </c:ser>
        <c:ser>
          <c:idx val="4"/>
          <c:order val="4"/>
          <c:tx>
            <c:strRef>
              <c:f>recommendations_by_category!$F$1:$F$2</c:f>
            </c:strRef>
          </c:tx>
          <c:spPr>
            <a:solidFill>
              <a:schemeClr val="accent5"/>
            </a:solidFill>
            <a:ln cmpd="sng">
              <a:solidFill>
                <a:srgbClr val="000000"/>
              </a:solidFill>
            </a:ln>
          </c:spPr>
          <c:cat>
            <c:strRef>
              <c:f>recommendations_by_category!$A$3:$A$5</c:f>
            </c:strRef>
          </c:cat>
          <c:val>
            <c:numRef>
              <c:f>recommendations_by_category!$F$3:$F$5</c:f>
              <c:numCache/>
            </c:numRef>
          </c:val>
        </c:ser>
        <c:ser>
          <c:idx val="5"/>
          <c:order val="5"/>
          <c:tx>
            <c:strRef>
              <c:f>recommendations_by_category!$G$1:$G$2</c:f>
            </c:strRef>
          </c:tx>
          <c:spPr>
            <a:solidFill>
              <a:schemeClr val="accent6"/>
            </a:solidFill>
            <a:ln cmpd="sng">
              <a:solidFill>
                <a:srgbClr val="000000"/>
              </a:solidFill>
            </a:ln>
          </c:spPr>
          <c:cat>
            <c:strRef>
              <c:f>recommendations_by_category!$A$3:$A$5</c:f>
            </c:strRef>
          </c:cat>
          <c:val>
            <c:numRef>
              <c:f>recommendations_by_category!$G$3:$G$5</c:f>
              <c:numCache/>
            </c:numRef>
          </c:val>
        </c:ser>
        <c:overlap val="100"/>
        <c:axId val="384786785"/>
        <c:axId val="1106956699"/>
      </c:barChart>
      <c:catAx>
        <c:axId val="3847867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6956699"/>
      </c:catAx>
      <c:valAx>
        <c:axId val="11069566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4786785"/>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Contributions vs. Age</a:t>
            </a:r>
          </a:p>
        </c:rich>
      </c:tx>
      <c:overlay val="0"/>
    </c:title>
    <c:plotArea>
      <c:layout/>
      <c:barChart>
        <c:barDir val="col"/>
        <c:ser>
          <c:idx val="0"/>
          <c:order val="0"/>
          <c:tx>
            <c:strRef>
              <c:f>Age_analysis!$B$1</c:f>
            </c:strRef>
          </c:tx>
          <c:spPr>
            <a:solidFill>
              <a:schemeClr val="accent1"/>
            </a:solidFill>
            <a:ln cmpd="sng">
              <a:solidFill>
                <a:srgbClr val="000000"/>
              </a:solidFill>
            </a:ln>
          </c:spPr>
          <c:cat>
            <c:strRef>
              <c:f>Age_analysis!$A$2:$A$67</c:f>
            </c:strRef>
          </c:cat>
          <c:val>
            <c:numRef>
              <c:f>Age_analysis!$B$2:$B$67</c:f>
              <c:numCache/>
            </c:numRef>
          </c:val>
        </c:ser>
        <c:axId val="1908747450"/>
        <c:axId val="723356887"/>
      </c:barChart>
      <c:catAx>
        <c:axId val="19087474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723356887"/>
      </c:catAx>
      <c:valAx>
        <c:axId val="7233568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874745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Not recommended- feed back</a:t>
            </a:r>
          </a:p>
        </c:rich>
      </c:tx>
      <c:overlay val="0"/>
    </c:title>
    <c:plotArea>
      <c:layout>
        <c:manualLayout>
          <c:xMode val="edge"/>
          <c:yMode val="edge"/>
          <c:x val="0.545863309352518"/>
          <c:y val="0.14583333333333331"/>
          <c:w val="0.42535971223021585"/>
          <c:h val="0.7588541666666667"/>
        </c:manualLayout>
      </c:layout>
      <c:barChart>
        <c:barDir val="bar"/>
        <c:ser>
          <c:idx val="0"/>
          <c:order val="0"/>
          <c:tx>
            <c:strRef>
              <c:f>Not_recommended_pivot!$B$1</c:f>
            </c:strRef>
          </c:tx>
          <c:spPr>
            <a:solidFill>
              <a:schemeClr val="accent1"/>
            </a:solidFill>
            <a:ln cmpd="sng">
              <a:solidFill>
                <a:srgbClr val="000000"/>
              </a:solidFill>
            </a:ln>
          </c:spPr>
          <c:cat>
            <c:strRef>
              <c:f>Not_recommended_pivot!$A$2:$A$24</c:f>
            </c:strRef>
          </c:cat>
          <c:val>
            <c:numRef>
              <c:f>Not_recommended_pivot!$B$2:$B$24</c:f>
              <c:numCache/>
            </c:numRef>
          </c:val>
        </c:ser>
        <c:axId val="1034500055"/>
        <c:axId val="806106170"/>
      </c:barChart>
      <c:catAx>
        <c:axId val="103450005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06106170"/>
      </c:catAx>
      <c:valAx>
        <c:axId val="8061061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Feedback 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4500055"/>
        <c:crosses val="max"/>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Recommended with rating 3 or less</a:t>
            </a:r>
          </a:p>
        </c:rich>
      </c:tx>
      <c:overlay val="0"/>
    </c:title>
    <c:plotArea>
      <c:layout>
        <c:manualLayout>
          <c:xMode val="edge"/>
          <c:yMode val="edge"/>
          <c:x val="0.5997983870967739"/>
          <c:y val="0.1437562940584088"/>
          <c:w val="0.3668346774193548"/>
          <c:h val="0.7518630412890231"/>
        </c:manualLayout>
      </c:layout>
      <c:barChart>
        <c:barDir val="bar"/>
        <c:ser>
          <c:idx val="0"/>
          <c:order val="0"/>
          <c:tx>
            <c:strRef>
              <c:f>Recommended_3_or_less_pivot!$B$1</c:f>
            </c:strRef>
          </c:tx>
          <c:spPr>
            <a:solidFill>
              <a:schemeClr val="accent1"/>
            </a:solidFill>
            <a:ln cmpd="sng">
              <a:solidFill>
                <a:srgbClr val="000000"/>
              </a:solidFill>
            </a:ln>
          </c:spPr>
          <c:cat>
            <c:strRef>
              <c:f>Recommended_3_or_less_pivot!$A$2:$A$17</c:f>
            </c:strRef>
          </c:cat>
          <c:val>
            <c:numRef>
              <c:f>Recommended_3_or_less_pivot!$B$2:$B$17</c:f>
              <c:numCache/>
            </c:numRef>
          </c:val>
        </c:ser>
        <c:axId val="1882235018"/>
        <c:axId val="1575899159"/>
      </c:barChart>
      <c:catAx>
        <c:axId val="188223501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75899159"/>
      </c:catAx>
      <c:valAx>
        <c:axId val="15758991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2235018"/>
        <c:crosses val="max"/>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rating</a:t>
            </a:r>
          </a:p>
        </c:rich>
      </c:tx>
      <c:overlay val="0"/>
    </c:title>
    <c:plotArea>
      <c:layout/>
      <c:barChart>
        <c:barDir val="bar"/>
        <c:grouping val="stacked"/>
        <c:ser>
          <c:idx val="0"/>
          <c:order val="0"/>
          <c:tx>
            <c:strRef>
              <c:f>class_rating!$B$1:$B$2</c:f>
            </c:strRef>
          </c:tx>
          <c:spPr>
            <a:solidFill>
              <a:schemeClr val="accent1"/>
            </a:solidFill>
            <a:ln cmpd="sng">
              <a:solidFill>
                <a:srgbClr val="000000"/>
              </a:solidFill>
            </a:ln>
          </c:spPr>
          <c:cat>
            <c:strRef>
              <c:f>class_rating!$A$3:$A$20</c:f>
            </c:strRef>
          </c:cat>
          <c:val>
            <c:numRef>
              <c:f>class_rating!$B$3:$B$20</c:f>
              <c:numCache/>
            </c:numRef>
          </c:val>
        </c:ser>
        <c:ser>
          <c:idx val="1"/>
          <c:order val="1"/>
          <c:tx>
            <c:strRef>
              <c:f>class_rating!$C$1:$C$2</c:f>
            </c:strRef>
          </c:tx>
          <c:spPr>
            <a:solidFill>
              <a:schemeClr val="accent2"/>
            </a:solidFill>
            <a:ln cmpd="sng">
              <a:solidFill>
                <a:srgbClr val="000000"/>
              </a:solidFill>
            </a:ln>
          </c:spPr>
          <c:cat>
            <c:strRef>
              <c:f>class_rating!$A$3:$A$20</c:f>
            </c:strRef>
          </c:cat>
          <c:val>
            <c:numRef>
              <c:f>class_rating!$C$3:$C$20</c:f>
              <c:numCache/>
            </c:numRef>
          </c:val>
        </c:ser>
        <c:ser>
          <c:idx val="2"/>
          <c:order val="2"/>
          <c:tx>
            <c:strRef>
              <c:f>class_rating!$D$1:$D$2</c:f>
            </c:strRef>
          </c:tx>
          <c:spPr>
            <a:solidFill>
              <a:schemeClr val="accent3"/>
            </a:solidFill>
            <a:ln cmpd="sng">
              <a:solidFill>
                <a:srgbClr val="000000"/>
              </a:solidFill>
            </a:ln>
          </c:spPr>
          <c:cat>
            <c:strRef>
              <c:f>class_rating!$A$3:$A$20</c:f>
            </c:strRef>
          </c:cat>
          <c:val>
            <c:numRef>
              <c:f>class_rating!$D$3:$D$20</c:f>
              <c:numCache/>
            </c:numRef>
          </c:val>
        </c:ser>
        <c:overlap val="100"/>
        <c:axId val="584519680"/>
        <c:axId val="263994425"/>
      </c:barChart>
      <c:catAx>
        <c:axId val="58451968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Class_Name</a:t>
                </a:r>
              </a:p>
            </c:rich>
          </c:tx>
          <c:overlay val="0"/>
        </c:title>
        <c:numFmt formatCode="General" sourceLinked="1"/>
        <c:majorTickMark val="none"/>
        <c:minorTickMark val="none"/>
        <c:spPr/>
        <c:txPr>
          <a:bodyPr/>
          <a:lstStyle/>
          <a:p>
            <a:pPr lvl="0">
              <a:defRPr b="0">
                <a:solidFill>
                  <a:srgbClr val="000000"/>
                </a:solidFill>
                <a:latin typeface="+mn-lt"/>
              </a:defRPr>
            </a:pPr>
          </a:p>
        </c:txPr>
        <c:crossAx val="263994425"/>
      </c:catAx>
      <c:valAx>
        <c:axId val="26399442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4519680"/>
        <c:crosses val="max"/>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Rating counter</a:t>
            </a:r>
          </a:p>
        </c:rich>
      </c:tx>
      <c:overlay val="0"/>
    </c:title>
    <c:plotArea>
      <c:layout/>
      <c:barChart>
        <c:barDir val="col"/>
        <c:ser>
          <c:idx val="0"/>
          <c:order val="0"/>
          <c:tx>
            <c:strRef>
              <c:f>Ratings_counter!$B$1</c:f>
            </c:strRef>
          </c:tx>
          <c:spPr>
            <a:solidFill>
              <a:schemeClr val="accent1"/>
            </a:solidFill>
            <a:ln cmpd="sng">
              <a:solidFill>
                <a:srgbClr val="000000"/>
              </a:solidFill>
            </a:ln>
          </c:spPr>
          <c:cat>
            <c:strRef>
              <c:f>Ratings_counter!$A$2:$A$6</c:f>
            </c:strRef>
          </c:cat>
          <c:val>
            <c:numRef>
              <c:f>Ratings_counter!$B$2:$B$6</c:f>
              <c:numCache/>
            </c:numRef>
          </c:val>
        </c:ser>
        <c:axId val="160283800"/>
        <c:axId val="128384460"/>
      </c:barChart>
      <c:catAx>
        <c:axId val="1602838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Rating</a:t>
                </a:r>
              </a:p>
            </c:rich>
          </c:tx>
          <c:overlay val="0"/>
        </c:title>
        <c:numFmt formatCode="General" sourceLinked="1"/>
        <c:majorTickMark val="none"/>
        <c:minorTickMark val="none"/>
        <c:spPr/>
        <c:txPr>
          <a:bodyPr/>
          <a:lstStyle/>
          <a:p>
            <a:pPr lvl="0">
              <a:defRPr b="0">
                <a:solidFill>
                  <a:srgbClr val="000000"/>
                </a:solidFill>
                <a:latin typeface="+mn-lt"/>
              </a:defRPr>
            </a:pPr>
          </a:p>
        </c:txPr>
        <c:crossAx val="128384460"/>
      </c:catAx>
      <c:valAx>
        <c:axId val="1283844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283800"/>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28575</xdr:rowOff>
    </xdr:from>
    <xdr:ext cx="2590800" cy="35242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333375</xdr:colOff>
      <xdr:row>0</xdr:row>
      <xdr:rowOff>28575</xdr:rowOff>
    </xdr:from>
    <xdr:ext cx="2124075" cy="16002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447675</xdr:colOff>
      <xdr:row>0</xdr:row>
      <xdr:rowOff>28575</xdr:rowOff>
    </xdr:from>
    <xdr:ext cx="2705100" cy="35242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533400</xdr:colOff>
      <xdr:row>0</xdr:row>
      <xdr:rowOff>28575</xdr:rowOff>
    </xdr:from>
    <xdr:ext cx="2600325" cy="16002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333375</xdr:colOff>
      <xdr:row>7</xdr:row>
      <xdr:rowOff>190500</xdr:rowOff>
    </xdr:from>
    <xdr:ext cx="2247900" cy="19240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0</xdr:colOff>
      <xdr:row>17</xdr:row>
      <xdr:rowOff>114300</xdr:rowOff>
    </xdr:from>
    <xdr:ext cx="5295900" cy="304800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5</xdr:col>
      <xdr:colOff>333375</xdr:colOff>
      <xdr:row>17</xdr:row>
      <xdr:rowOff>114300</xdr:rowOff>
    </xdr:from>
    <xdr:ext cx="4724400" cy="304800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876300</xdr:colOff>
      <xdr:row>0</xdr:row>
      <xdr:rowOff>0</xdr:rowOff>
    </xdr:from>
    <xdr:ext cx="7943850" cy="4686300"/>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695325</xdr:colOff>
      <xdr:row>0</xdr:row>
      <xdr:rowOff>19050</xdr:rowOff>
    </xdr:from>
    <xdr:ext cx="7658100" cy="4962525"/>
    <xdr:graphicFrame>
      <xdr:nvGraphicFramePr>
        <xdr:cNvPr id="12" name="Chart 1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85725</xdr:colOff>
      <xdr:row>0</xdr:row>
      <xdr:rowOff>19050</xdr:rowOff>
    </xdr:from>
    <xdr:ext cx="4305300" cy="4495800"/>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923925</xdr:colOff>
      <xdr:row>1</xdr:row>
      <xdr:rowOff>38100</xdr:rowOff>
    </xdr:from>
    <xdr:ext cx="5353050" cy="5314950"/>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0</xdr:row>
      <xdr:rowOff>123825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5</xdr:row>
      <xdr:rowOff>28575</xdr:rowOff>
    </xdr:from>
    <xdr:ext cx="7019925" cy="4333875"/>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2208" sheet="Data"/>
  </cacheSource>
  <cacheFields>
    <cacheField name="Operation_id" numFmtId="0">
      <sharedItems containsSemiMixedTypes="0" containsString="0" containsNumber="1" containsInteger="1">
        <n v="0.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n v="1001.0"/>
        <n v="1002.0"/>
        <n v="1003.0"/>
        <n v="1004.0"/>
        <n v="1005.0"/>
        <n v="1006.0"/>
        <n v="1007.0"/>
        <n v="1008.0"/>
        <n v="1009.0"/>
        <n v="1010.0"/>
        <n v="1011.0"/>
        <n v="1012.0"/>
        <n v="1013.0"/>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n v="1070.0"/>
        <n v="1071.0"/>
        <n v="1072.0"/>
        <n v="1073.0"/>
        <n v="1074.0"/>
        <n v="1075.0"/>
        <n v="1076.0"/>
        <n v="1077.0"/>
        <n v="1078.0"/>
        <n v="1079.0"/>
        <n v="1080.0"/>
        <n v="1081.0"/>
        <n v="1082.0"/>
        <n v="1083.0"/>
        <n v="1084.0"/>
        <n v="1085.0"/>
        <n v="1086.0"/>
        <n v="1087.0"/>
        <n v="1088.0"/>
        <n v="1089.0"/>
        <n v="1090.0"/>
        <n v="1091.0"/>
        <n v="1092.0"/>
        <n v="1093.0"/>
        <n v="1094.0"/>
        <n v="1095.0"/>
        <n v="1096.0"/>
        <n v="1097.0"/>
        <n v="1098.0"/>
        <n v="1099.0"/>
        <n v="1100.0"/>
        <n v="1101.0"/>
        <n v="1102.0"/>
        <n v="1103.0"/>
        <n v="1104.0"/>
        <n v="1105.0"/>
        <n v="1106.0"/>
        <n v="1107.0"/>
        <n v="1108.0"/>
        <n v="1109.0"/>
        <n v="1110.0"/>
        <n v="1111.0"/>
        <n v="1112.0"/>
        <n v="1113.0"/>
        <n v="1114.0"/>
        <n v="1115.0"/>
        <n v="1116.0"/>
        <n v="1117.0"/>
        <n v="1118.0"/>
        <n v="1119.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n v="1200.0"/>
        <n v="1201.0"/>
        <n v="1202.0"/>
        <n v="1203.0"/>
        <n v="1204.0"/>
        <n v="1205.0"/>
        <n v="1206.0"/>
        <n v="1207.0"/>
        <n v="1208.0"/>
        <n v="1209.0"/>
        <n v="1210.0"/>
        <n v="1211.0"/>
        <n v="1212.0"/>
        <n v="1213.0"/>
        <n v="1214.0"/>
        <n v="1215.0"/>
        <n v="1216.0"/>
        <n v="1217.0"/>
        <n v="1218.0"/>
        <n v="1219.0"/>
        <n v="1220.0"/>
        <n v="1221.0"/>
        <n v="1222.0"/>
        <n v="1223.0"/>
        <n v="1224.0"/>
        <n v="1225.0"/>
        <n v="1226.0"/>
        <n v="1227.0"/>
        <n v="1228.0"/>
        <n v="1229.0"/>
        <n v="1230.0"/>
        <n v="1231.0"/>
        <n v="1232.0"/>
        <n v="1233.0"/>
        <n v="1234.0"/>
        <n v="1235.0"/>
        <n v="1236.0"/>
        <n v="1237.0"/>
        <n v="1238.0"/>
        <n v="1239.0"/>
        <n v="1240.0"/>
        <n v="1241.0"/>
        <n v="1242.0"/>
        <n v="1243.0"/>
        <n v="1244.0"/>
        <n v="1245.0"/>
        <n v="1246.0"/>
        <n v="1247.0"/>
        <n v="1248.0"/>
        <n v="1249.0"/>
        <n v="1250.0"/>
        <n v="1251.0"/>
        <n v="1252.0"/>
        <n v="1253.0"/>
        <n v="1254.0"/>
        <n v="1255.0"/>
        <n v="1256.0"/>
        <n v="1257.0"/>
        <n v="1258.0"/>
        <n v="1259.0"/>
        <n v="1260.0"/>
        <n v="1261.0"/>
        <n v="1262.0"/>
        <n v="1263.0"/>
        <n v="1264.0"/>
        <n v="1265.0"/>
        <n v="1266.0"/>
        <n v="1267.0"/>
        <n v="1268.0"/>
        <n v="1269.0"/>
        <n v="1270.0"/>
        <n v="1271.0"/>
        <n v="1272.0"/>
        <n v="1273.0"/>
        <n v="1274.0"/>
        <n v="1275.0"/>
        <n v="1276.0"/>
        <n v="1277.0"/>
        <n v="1278.0"/>
        <n v="1279.0"/>
        <n v="1280.0"/>
        <n v="1281.0"/>
        <n v="1282.0"/>
        <n v="1283.0"/>
        <n v="1284.0"/>
        <n v="1285.0"/>
        <n v="1286.0"/>
        <n v="1287.0"/>
        <n v="1288.0"/>
        <n v="1289.0"/>
        <n v="1290.0"/>
        <n v="1291.0"/>
        <n v="1292.0"/>
        <n v="1293.0"/>
        <n v="1294.0"/>
        <n v="1295.0"/>
        <n v="1296.0"/>
        <n v="1297.0"/>
        <n v="1298.0"/>
        <n v="1299.0"/>
        <n v="1300.0"/>
        <n v="1301.0"/>
        <n v="1302.0"/>
        <n v="1303.0"/>
        <n v="1304.0"/>
        <n v="1305.0"/>
        <n v="1306.0"/>
        <n v="1307.0"/>
        <n v="1308.0"/>
        <n v="1309.0"/>
        <n v="1310.0"/>
        <n v="1311.0"/>
        <n v="1312.0"/>
        <n v="1313.0"/>
        <n v="1314.0"/>
        <n v="1315.0"/>
        <n v="1316.0"/>
        <n v="1317.0"/>
        <n v="1318.0"/>
        <n v="1319.0"/>
        <n v="1320.0"/>
        <n v="1321.0"/>
        <n v="1322.0"/>
        <n v="1323.0"/>
        <n v="1324.0"/>
        <n v="1325.0"/>
        <n v="1326.0"/>
        <n v="1327.0"/>
        <n v="1328.0"/>
        <n v="1329.0"/>
        <n v="1330.0"/>
        <n v="1331.0"/>
        <n v="1332.0"/>
        <n v="1333.0"/>
        <n v="1334.0"/>
        <n v="1335.0"/>
        <n v="1336.0"/>
        <n v="1337.0"/>
        <n v="1338.0"/>
        <n v="1339.0"/>
        <n v="1340.0"/>
        <n v="1341.0"/>
        <n v="1342.0"/>
        <n v="1343.0"/>
        <n v="1344.0"/>
        <n v="1345.0"/>
        <n v="1346.0"/>
        <n v="1347.0"/>
        <n v="1348.0"/>
        <n v="1349.0"/>
        <n v="1350.0"/>
        <n v="1351.0"/>
        <n v="1352.0"/>
        <n v="1353.0"/>
        <n v="1354.0"/>
        <n v="1355.0"/>
        <n v="1356.0"/>
        <n v="1357.0"/>
        <n v="1358.0"/>
        <n v="1359.0"/>
        <n v="1360.0"/>
        <n v="1361.0"/>
        <n v="1362.0"/>
        <n v="1363.0"/>
        <n v="1364.0"/>
        <n v="1365.0"/>
        <n v="1366.0"/>
        <n v="1367.0"/>
        <n v="1368.0"/>
        <n v="1369.0"/>
        <n v="1370.0"/>
        <n v="1371.0"/>
        <n v="1372.0"/>
        <n v="1373.0"/>
        <n v="1374.0"/>
        <n v="1375.0"/>
        <n v="1376.0"/>
        <n v="1377.0"/>
        <n v="1378.0"/>
        <n v="1379.0"/>
        <n v="1380.0"/>
        <n v="1381.0"/>
        <n v="1382.0"/>
        <n v="1383.0"/>
        <n v="1384.0"/>
        <n v="1385.0"/>
        <n v="1386.0"/>
        <n v="1387.0"/>
        <n v="1388.0"/>
        <n v="1389.0"/>
        <n v="1390.0"/>
        <n v="1391.0"/>
        <n v="1392.0"/>
        <n v="1393.0"/>
        <n v="1394.0"/>
        <n v="1395.0"/>
        <n v="1396.0"/>
        <n v="1397.0"/>
        <n v="1398.0"/>
        <n v="1399.0"/>
        <n v="1400.0"/>
        <n v="1401.0"/>
        <n v="1402.0"/>
        <n v="1403.0"/>
        <n v="1404.0"/>
        <n v="1405.0"/>
        <n v="1406.0"/>
        <n v="1407.0"/>
        <n v="1408.0"/>
        <n v="1409.0"/>
        <n v="1410.0"/>
        <n v="1411.0"/>
        <n v="1412.0"/>
        <n v="1413.0"/>
        <n v="1414.0"/>
        <n v="1415.0"/>
        <n v="1416.0"/>
        <n v="1417.0"/>
        <n v="1418.0"/>
        <n v="1419.0"/>
        <n v="1420.0"/>
        <n v="1421.0"/>
        <n v="1422.0"/>
        <n v="1423.0"/>
        <n v="1424.0"/>
        <n v="1425.0"/>
        <n v="1426.0"/>
        <n v="1427.0"/>
        <n v="1428.0"/>
        <n v="1429.0"/>
        <n v="1430.0"/>
        <n v="1431.0"/>
        <n v="1432.0"/>
        <n v="1433.0"/>
        <n v="1434.0"/>
        <n v="1435.0"/>
        <n v="1436.0"/>
        <n v="1437.0"/>
        <n v="1438.0"/>
        <n v="1439.0"/>
        <n v="1440.0"/>
        <n v="1441.0"/>
        <n v="1442.0"/>
        <n v="1443.0"/>
        <n v="1444.0"/>
        <n v="1445.0"/>
        <n v="1446.0"/>
        <n v="1447.0"/>
        <n v="1448.0"/>
        <n v="1449.0"/>
        <n v="1450.0"/>
        <n v="1451.0"/>
        <n v="1452.0"/>
        <n v="1453.0"/>
        <n v="1454.0"/>
        <n v="1455.0"/>
        <n v="1456.0"/>
        <n v="1457.0"/>
        <n v="1458.0"/>
        <n v="1459.0"/>
        <n v="1460.0"/>
        <n v="1461.0"/>
        <n v="1462.0"/>
        <n v="1463.0"/>
        <n v="1464.0"/>
        <n v="1465.0"/>
        <n v="1466.0"/>
        <n v="1467.0"/>
        <n v="1468.0"/>
        <n v="1469.0"/>
        <n v="1470.0"/>
        <n v="1471.0"/>
        <n v="1472.0"/>
        <n v="1473.0"/>
        <n v="1474.0"/>
        <n v="1475.0"/>
        <n v="1476.0"/>
        <n v="1477.0"/>
        <n v="1478.0"/>
        <n v="1479.0"/>
        <n v="1480.0"/>
        <n v="1481.0"/>
        <n v="1482.0"/>
        <n v="1483.0"/>
        <n v="1484.0"/>
        <n v="1485.0"/>
        <n v="1486.0"/>
        <n v="1487.0"/>
        <n v="1488.0"/>
        <n v="1489.0"/>
        <n v="1490.0"/>
        <n v="1491.0"/>
        <n v="1492.0"/>
        <n v="1493.0"/>
        <n v="1494.0"/>
        <n v="1495.0"/>
        <n v="1496.0"/>
        <n v="1497.0"/>
        <n v="1498.0"/>
        <n v="1499.0"/>
        <n v="1500.0"/>
        <n v="1501.0"/>
        <n v="1502.0"/>
        <n v="1503.0"/>
        <n v="1504.0"/>
        <n v="1505.0"/>
        <n v="1506.0"/>
        <n v="1507.0"/>
        <n v="1508.0"/>
        <n v="1509.0"/>
        <n v="1510.0"/>
        <n v="1511.0"/>
        <n v="1512.0"/>
        <n v="1513.0"/>
        <n v="1514.0"/>
        <n v="1515.0"/>
        <n v="1516.0"/>
        <n v="1517.0"/>
        <n v="1518.0"/>
        <n v="1519.0"/>
        <n v="1520.0"/>
        <n v="1521.0"/>
        <n v="1522.0"/>
        <n v="1523.0"/>
        <n v="1524.0"/>
        <n v="1525.0"/>
        <n v="1526.0"/>
        <n v="1527.0"/>
        <n v="1528.0"/>
        <n v="1529.0"/>
        <n v="1530.0"/>
        <n v="1531.0"/>
        <n v="1532.0"/>
        <n v="1533.0"/>
        <n v="1534.0"/>
        <n v="1535.0"/>
        <n v="1536.0"/>
        <n v="1537.0"/>
        <n v="1538.0"/>
        <n v="1539.0"/>
        <n v="1540.0"/>
        <n v="1541.0"/>
        <n v="1542.0"/>
        <n v="1543.0"/>
        <n v="1544.0"/>
        <n v="1545.0"/>
        <n v="1546.0"/>
        <n v="1547.0"/>
        <n v="1548.0"/>
        <n v="1549.0"/>
        <n v="1550.0"/>
        <n v="1551.0"/>
        <n v="1552.0"/>
        <n v="1553.0"/>
        <n v="1554.0"/>
        <n v="1555.0"/>
        <n v="1556.0"/>
        <n v="1557.0"/>
        <n v="1558.0"/>
        <n v="1559.0"/>
        <n v="1560.0"/>
        <n v="1561.0"/>
        <n v="1562.0"/>
        <n v="1563.0"/>
        <n v="1564.0"/>
        <n v="1565.0"/>
        <n v="1566.0"/>
        <n v="1567.0"/>
        <n v="1568.0"/>
        <n v="1569.0"/>
        <n v="1570.0"/>
        <n v="1571.0"/>
        <n v="1572.0"/>
        <n v="1573.0"/>
        <n v="1574.0"/>
        <n v="1575.0"/>
        <n v="1576.0"/>
        <n v="1577.0"/>
        <n v="1578.0"/>
        <n v="1579.0"/>
        <n v="1580.0"/>
        <n v="1581.0"/>
        <n v="1582.0"/>
        <n v="1583.0"/>
        <n v="1584.0"/>
        <n v="1585.0"/>
        <n v="1586.0"/>
        <n v="1587.0"/>
        <n v="1588.0"/>
        <n v="1589.0"/>
        <n v="1590.0"/>
        <n v="1591.0"/>
        <n v="1592.0"/>
        <n v="1593.0"/>
        <n v="1594.0"/>
        <n v="1595.0"/>
        <n v="1596.0"/>
        <n v="1597.0"/>
        <n v="1598.0"/>
        <n v="1599.0"/>
        <n v="1600.0"/>
        <n v="1601.0"/>
        <n v="1602.0"/>
        <n v="1603.0"/>
        <n v="1604.0"/>
        <n v="1605.0"/>
        <n v="1606.0"/>
        <n v="1607.0"/>
        <n v="1608.0"/>
        <n v="1609.0"/>
        <n v="1610.0"/>
        <n v="1611.0"/>
        <n v="1612.0"/>
        <n v="1613.0"/>
        <n v="1614.0"/>
        <n v="1615.0"/>
        <n v="1616.0"/>
        <n v="1617.0"/>
        <n v="1618.0"/>
        <n v="1619.0"/>
        <n v="1620.0"/>
        <n v="1621.0"/>
        <n v="1622.0"/>
        <n v="1623.0"/>
        <n v="1624.0"/>
        <n v="1625.0"/>
        <n v="1626.0"/>
        <n v="1627.0"/>
        <n v="1628.0"/>
        <n v="1629.0"/>
        <n v="1630.0"/>
        <n v="1631.0"/>
        <n v="1632.0"/>
        <n v="1633.0"/>
        <n v="1634.0"/>
        <n v="1635.0"/>
        <n v="1636.0"/>
        <n v="1637.0"/>
        <n v="1638.0"/>
        <n v="1639.0"/>
        <n v="1640.0"/>
        <n v="1641.0"/>
        <n v="1642.0"/>
        <n v="1643.0"/>
        <n v="1644.0"/>
        <n v="1645.0"/>
        <n v="1646.0"/>
        <n v="1647.0"/>
        <n v="1648.0"/>
        <n v="1649.0"/>
        <n v="1650.0"/>
        <n v="1651.0"/>
        <n v="1652.0"/>
        <n v="1653.0"/>
        <n v="1654.0"/>
        <n v="1655.0"/>
        <n v="1656.0"/>
        <n v="1657.0"/>
        <n v="1658.0"/>
        <n v="1659.0"/>
        <n v="1660.0"/>
        <n v="1661.0"/>
        <n v="1662.0"/>
        <n v="1663.0"/>
        <n v="1664.0"/>
        <n v="1665.0"/>
        <n v="1666.0"/>
        <n v="1667.0"/>
        <n v="1668.0"/>
        <n v="1669.0"/>
        <n v="1670.0"/>
        <n v="1671.0"/>
        <n v="1672.0"/>
        <n v="1673.0"/>
        <n v="1674.0"/>
        <n v="1675.0"/>
        <n v="1676.0"/>
        <n v="1677.0"/>
        <n v="1678.0"/>
        <n v="1679.0"/>
        <n v="1680.0"/>
        <n v="1681.0"/>
        <n v="1682.0"/>
        <n v="1683.0"/>
        <n v="1684.0"/>
        <n v="1685.0"/>
        <n v="1686.0"/>
        <n v="1687.0"/>
        <n v="1688.0"/>
        <n v="1689.0"/>
        <n v="1690.0"/>
        <n v="1691.0"/>
        <n v="1692.0"/>
        <n v="1693.0"/>
        <n v="1694.0"/>
        <n v="1695.0"/>
        <n v="1696.0"/>
        <n v="1697.0"/>
        <n v="1698.0"/>
        <n v="1699.0"/>
        <n v="1700.0"/>
        <n v="1701.0"/>
        <n v="1702.0"/>
        <n v="1703.0"/>
        <n v="1704.0"/>
        <n v="1705.0"/>
        <n v="1706.0"/>
        <n v="1707.0"/>
        <n v="1708.0"/>
        <n v="1709.0"/>
        <n v="1710.0"/>
        <n v="1711.0"/>
        <n v="1712.0"/>
        <n v="1713.0"/>
        <n v="1714.0"/>
        <n v="1715.0"/>
        <n v="1716.0"/>
        <n v="1717.0"/>
        <n v="1718.0"/>
        <n v="1719.0"/>
        <n v="1720.0"/>
        <n v="1721.0"/>
        <n v="1722.0"/>
        <n v="1723.0"/>
        <n v="1724.0"/>
        <n v="1725.0"/>
        <n v="1726.0"/>
        <n v="1727.0"/>
        <n v="1728.0"/>
        <n v="1729.0"/>
        <n v="1730.0"/>
        <n v="1731.0"/>
        <n v="1732.0"/>
        <n v="1733.0"/>
        <n v="1734.0"/>
        <n v="1735.0"/>
        <n v="1736.0"/>
        <n v="1737.0"/>
        <n v="1738.0"/>
        <n v="1739.0"/>
        <n v="1740.0"/>
        <n v="1741.0"/>
        <n v="1742.0"/>
        <n v="1743.0"/>
        <n v="1744.0"/>
        <n v="1745.0"/>
        <n v="1746.0"/>
        <n v="1747.0"/>
        <n v="1748.0"/>
        <n v="1749.0"/>
        <n v="1750.0"/>
        <n v="1751.0"/>
        <n v="1752.0"/>
        <n v="1753.0"/>
        <n v="1754.0"/>
        <n v="1755.0"/>
        <n v="1756.0"/>
        <n v="1757.0"/>
        <n v="1758.0"/>
        <n v="1759.0"/>
        <n v="1760.0"/>
        <n v="1761.0"/>
        <n v="1762.0"/>
        <n v="1763.0"/>
        <n v="1764.0"/>
        <n v="1765.0"/>
        <n v="1766.0"/>
        <n v="1767.0"/>
        <n v="1768.0"/>
        <n v="1769.0"/>
        <n v="1770.0"/>
        <n v="1771.0"/>
        <n v="1772.0"/>
        <n v="1773.0"/>
        <n v="1774.0"/>
        <n v="1775.0"/>
        <n v="1776.0"/>
        <n v="1777.0"/>
        <n v="1778.0"/>
        <n v="1779.0"/>
        <n v="1780.0"/>
        <n v="1781.0"/>
        <n v="1782.0"/>
        <n v="1783.0"/>
        <n v="1784.0"/>
        <n v="1785.0"/>
        <n v="1786.0"/>
        <n v="1787.0"/>
        <n v="1788.0"/>
        <n v="1789.0"/>
        <n v="1790.0"/>
        <n v="1791.0"/>
        <n v="1792.0"/>
        <n v="1793.0"/>
        <n v="1794.0"/>
        <n v="1795.0"/>
        <n v="1796.0"/>
        <n v="1797.0"/>
        <n v="1798.0"/>
        <n v="1799.0"/>
        <n v="1800.0"/>
        <n v="1801.0"/>
        <n v="1802.0"/>
        <n v="1803.0"/>
        <n v="1804.0"/>
        <n v="1805.0"/>
        <n v="1806.0"/>
        <n v="1807.0"/>
        <n v="1808.0"/>
        <n v="1809.0"/>
        <n v="1810.0"/>
        <n v="1811.0"/>
        <n v="1812.0"/>
        <n v="1813.0"/>
        <n v="1814.0"/>
        <n v="1815.0"/>
        <n v="1816.0"/>
        <n v="1817.0"/>
        <n v="1818.0"/>
        <n v="1819.0"/>
        <n v="1820.0"/>
        <n v="1821.0"/>
        <n v="1822.0"/>
        <n v="1823.0"/>
        <n v="1824.0"/>
        <n v="1825.0"/>
        <n v="1826.0"/>
        <n v="1827.0"/>
        <n v="1828.0"/>
        <n v="1829.0"/>
        <n v="1830.0"/>
        <n v="1831.0"/>
        <n v="1832.0"/>
        <n v="1833.0"/>
        <n v="1834.0"/>
        <n v="1835.0"/>
        <n v="1836.0"/>
        <n v="1837.0"/>
        <n v="1838.0"/>
        <n v="1839.0"/>
        <n v="1840.0"/>
        <n v="1841.0"/>
        <n v="1842.0"/>
        <n v="1843.0"/>
        <n v="1844.0"/>
        <n v="1845.0"/>
        <n v="1846.0"/>
        <n v="1847.0"/>
        <n v="1848.0"/>
        <n v="1849.0"/>
        <n v="1850.0"/>
        <n v="1851.0"/>
        <n v="1852.0"/>
        <n v="1853.0"/>
        <n v="1854.0"/>
        <n v="1855.0"/>
        <n v="1856.0"/>
        <n v="1857.0"/>
        <n v="1858.0"/>
        <n v="1859.0"/>
        <n v="1860.0"/>
        <n v="1861.0"/>
        <n v="1862.0"/>
        <n v="1863.0"/>
        <n v="1864.0"/>
        <n v="1865.0"/>
        <n v="1866.0"/>
        <n v="1867.0"/>
        <n v="1868.0"/>
        <n v="1869.0"/>
        <n v="1870.0"/>
        <n v="1871.0"/>
        <n v="1872.0"/>
        <n v="1873.0"/>
        <n v="1874.0"/>
        <n v="1875.0"/>
        <n v="1876.0"/>
        <n v="1877.0"/>
        <n v="1878.0"/>
        <n v="1879.0"/>
        <n v="1880.0"/>
        <n v="1881.0"/>
        <n v="1882.0"/>
        <n v="1883.0"/>
        <n v="1884.0"/>
        <n v="1885.0"/>
        <n v="1886.0"/>
        <n v="1887.0"/>
        <n v="1888.0"/>
        <n v="1889.0"/>
        <n v="1890.0"/>
        <n v="1891.0"/>
        <n v="1892.0"/>
        <n v="1893.0"/>
        <n v="1894.0"/>
        <n v="1895.0"/>
        <n v="1896.0"/>
        <n v="1897.0"/>
        <n v="1898.0"/>
        <n v="1899.0"/>
        <n v="1900.0"/>
        <n v="1901.0"/>
        <n v="1902.0"/>
        <n v="1903.0"/>
        <n v="1904.0"/>
        <n v="1905.0"/>
        <n v="1906.0"/>
        <n v="1907.0"/>
        <n v="1908.0"/>
        <n v="1909.0"/>
        <n v="1910.0"/>
        <n v="1911.0"/>
        <n v="1912.0"/>
        <n v="1913.0"/>
        <n v="1914.0"/>
        <n v="1915.0"/>
        <n v="1916.0"/>
        <n v="1917.0"/>
        <n v="1918.0"/>
        <n v="1919.0"/>
        <n v="1920.0"/>
        <n v="1921.0"/>
        <n v="1922.0"/>
        <n v="1923.0"/>
        <n v="1924.0"/>
        <n v="1925.0"/>
        <n v="1926.0"/>
        <n v="1927.0"/>
        <n v="1928.0"/>
        <n v="1929.0"/>
        <n v="1930.0"/>
        <n v="1931.0"/>
        <n v="1932.0"/>
        <n v="1933.0"/>
        <n v="1934.0"/>
        <n v="1935.0"/>
        <n v="1936.0"/>
        <n v="1937.0"/>
        <n v="1938.0"/>
        <n v="1939.0"/>
        <n v="1940.0"/>
        <n v="1941.0"/>
        <n v="1942.0"/>
        <n v="1943.0"/>
        <n v="1944.0"/>
        <n v="1945.0"/>
        <n v="1946.0"/>
        <n v="1947.0"/>
        <n v="1948.0"/>
        <n v="1949.0"/>
        <n v="1950.0"/>
        <n v="1951.0"/>
        <n v="1952.0"/>
        <n v="1953.0"/>
        <n v="1954.0"/>
        <n v="1955.0"/>
        <n v="1956.0"/>
        <n v="1957.0"/>
        <n v="1958.0"/>
        <n v="1959.0"/>
        <n v="1960.0"/>
        <n v="1961.0"/>
        <n v="1962.0"/>
        <n v="1963.0"/>
        <n v="1964.0"/>
        <n v="1965.0"/>
        <n v="1966.0"/>
        <n v="1967.0"/>
        <n v="1968.0"/>
        <n v="1969.0"/>
        <n v="1970.0"/>
        <n v="1971.0"/>
        <n v="1972.0"/>
        <n v="1973.0"/>
        <n v="1974.0"/>
        <n v="1975.0"/>
        <n v="1976.0"/>
        <n v="1977.0"/>
        <n v="1978.0"/>
        <n v="1979.0"/>
        <n v="1980.0"/>
        <n v="1981.0"/>
        <n v="1982.0"/>
        <n v="1983.0"/>
        <n v="1984.0"/>
        <n v="1985.0"/>
        <n v="1986.0"/>
        <n v="1987.0"/>
        <n v="1988.0"/>
        <n v="1989.0"/>
        <n v="1990.0"/>
        <n v="1991.0"/>
        <n v="1992.0"/>
        <n v="1993.0"/>
        <n v="1994.0"/>
        <n v="1995.0"/>
        <n v="1996.0"/>
        <n v="1997.0"/>
        <n v="1998.0"/>
        <n v="1999.0"/>
        <n v="2000.0"/>
        <n v="2001.0"/>
        <n v="2002.0"/>
        <n v="2003.0"/>
        <n v="2004.0"/>
        <n v="2005.0"/>
        <n v="2006.0"/>
        <n v="2007.0"/>
        <n v="2008.0"/>
        <n v="2009.0"/>
        <n v="2010.0"/>
        <n v="2011.0"/>
        <n v="2012.0"/>
        <n v="2013.0"/>
        <n v="2014.0"/>
        <n v="2015.0"/>
        <n v="2016.0"/>
        <n v="2017.0"/>
        <n v="2018.0"/>
        <n v="2019.0"/>
        <n v="2020.0"/>
        <n v="2021.0"/>
        <n v="2022.0"/>
        <n v="2023.0"/>
        <n v="2024.0"/>
        <n v="2025.0"/>
        <n v="2026.0"/>
        <n v="2027.0"/>
        <n v="2028.0"/>
        <n v="2029.0"/>
        <n v="2030.0"/>
        <n v="2031.0"/>
        <n v="2032.0"/>
        <n v="2033.0"/>
        <n v="2034.0"/>
        <n v="2035.0"/>
        <n v="2036.0"/>
        <n v="2037.0"/>
        <n v="2038.0"/>
        <n v="2039.0"/>
        <n v="2040.0"/>
        <n v="2041.0"/>
        <n v="2042.0"/>
        <n v="2043.0"/>
        <n v="2044.0"/>
        <n v="2045.0"/>
        <n v="2046.0"/>
        <n v="2047.0"/>
        <n v="2048.0"/>
        <n v="2049.0"/>
        <n v="2050.0"/>
        <n v="2051.0"/>
        <n v="2052.0"/>
        <n v="2053.0"/>
        <n v="2054.0"/>
        <n v="2055.0"/>
        <n v="2056.0"/>
        <n v="2057.0"/>
        <n v="2058.0"/>
        <n v="2059.0"/>
        <n v="2060.0"/>
        <n v="2061.0"/>
        <n v="2062.0"/>
        <n v="2063.0"/>
        <n v="2064.0"/>
        <n v="2065.0"/>
        <n v="2066.0"/>
        <n v="2067.0"/>
        <n v="2068.0"/>
        <n v="2069.0"/>
        <n v="2070.0"/>
        <n v="2071.0"/>
        <n v="2072.0"/>
        <n v="2073.0"/>
        <n v="2074.0"/>
        <n v="2075.0"/>
        <n v="2076.0"/>
        <n v="2077.0"/>
        <n v="2078.0"/>
        <n v="2079.0"/>
        <n v="2080.0"/>
        <n v="2081.0"/>
        <n v="2082.0"/>
        <n v="2083.0"/>
        <n v="2084.0"/>
        <n v="2085.0"/>
        <n v="2086.0"/>
        <n v="2087.0"/>
        <n v="2088.0"/>
        <n v="2089.0"/>
        <n v="2090.0"/>
        <n v="2091.0"/>
        <n v="2092.0"/>
        <n v="2093.0"/>
        <n v="2094.0"/>
        <n v="2095.0"/>
        <n v="2096.0"/>
        <n v="2097.0"/>
        <n v="2098.0"/>
        <n v="2099.0"/>
        <n v="2100.0"/>
        <n v="2101.0"/>
        <n v="2102.0"/>
        <n v="2103.0"/>
        <n v="2104.0"/>
        <n v="2105.0"/>
        <n v="2106.0"/>
        <n v="2107.0"/>
        <n v="2108.0"/>
        <n v="2109.0"/>
        <n v="2110.0"/>
        <n v="2111.0"/>
        <n v="2112.0"/>
        <n v="2113.0"/>
        <n v="2114.0"/>
        <n v="2115.0"/>
        <n v="2116.0"/>
        <n v="2117.0"/>
        <n v="2118.0"/>
        <n v="2119.0"/>
        <n v="2120.0"/>
        <n v="2121.0"/>
        <n v="2122.0"/>
        <n v="2123.0"/>
        <n v="2124.0"/>
        <n v="2125.0"/>
        <n v="2126.0"/>
        <n v="2127.0"/>
        <n v="2128.0"/>
        <n v="2129.0"/>
        <n v="2130.0"/>
        <n v="2131.0"/>
        <n v="2132.0"/>
        <n v="2133.0"/>
        <n v="2134.0"/>
        <n v="2135.0"/>
        <n v="2136.0"/>
        <n v="2137.0"/>
        <n v="2138.0"/>
        <n v="2139.0"/>
        <n v="2140.0"/>
        <n v="2141.0"/>
        <n v="2142.0"/>
        <n v="2143.0"/>
        <n v="2144.0"/>
        <n v="2145.0"/>
        <n v="2146.0"/>
        <n v="2147.0"/>
        <n v="2148.0"/>
        <n v="2149.0"/>
        <n v="2150.0"/>
        <n v="2151.0"/>
        <n v="2152.0"/>
        <n v="2153.0"/>
        <n v="2154.0"/>
        <n v="2155.0"/>
        <n v="2156.0"/>
        <n v="2157.0"/>
        <n v="2158.0"/>
        <n v="2159.0"/>
        <n v="2160.0"/>
        <n v="2161.0"/>
        <n v="2162.0"/>
        <n v="2163.0"/>
        <n v="2164.0"/>
        <n v="2165.0"/>
        <n v="2166.0"/>
        <n v="2167.0"/>
        <n v="2168.0"/>
        <n v="2169.0"/>
        <n v="2170.0"/>
        <n v="2171.0"/>
        <n v="2172.0"/>
        <n v="2173.0"/>
        <n v="2174.0"/>
        <n v="2175.0"/>
        <n v="2176.0"/>
        <n v="2177.0"/>
        <n v="2178.0"/>
        <n v="2179.0"/>
        <n v="2180.0"/>
        <n v="2181.0"/>
        <n v="2182.0"/>
        <n v="2183.0"/>
        <n v="2184.0"/>
        <n v="2185.0"/>
        <n v="2186.0"/>
        <n v="2187.0"/>
        <n v="2188.0"/>
        <n v="2189.0"/>
        <n v="2190.0"/>
        <n v="2191.0"/>
        <n v="2192.0"/>
        <n v="2193.0"/>
        <n v="2194.0"/>
        <n v="2195.0"/>
        <n v="2196.0"/>
        <n v="2197.0"/>
        <n v="2198.0"/>
        <n v="2199.0"/>
        <n v="2200.0"/>
        <n v="2201.0"/>
        <n v="2202.0"/>
        <n v="2203.0"/>
        <n v="2204.0"/>
        <n v="2205.0"/>
        <n v="2206.0"/>
      </sharedItems>
    </cacheField>
    <cacheField name="Clothing_ID" numFmtId="0">
      <sharedItems containsSemiMixedTypes="0" containsString="0" containsNumber="1" containsInteger="1">
        <n v="767.0"/>
        <n v="1080.0"/>
        <n v="1077.0"/>
        <n v="1049.0"/>
        <n v="847.0"/>
        <n v="858.0"/>
        <n v="1095.0"/>
        <n v="1065.0"/>
        <n v="853.0"/>
        <n v="1120.0"/>
        <n v="697.0"/>
        <n v="949.0"/>
        <n v="1003.0"/>
        <n v="684.0"/>
        <n v="4.0"/>
        <n v="1060.0"/>
        <n v="1002.0"/>
        <n v="862.0"/>
        <n v="910.0"/>
        <n v="89.0"/>
        <n v="823.0"/>
        <n v="1104.0"/>
        <n v="368.0"/>
        <n v="1078.0"/>
        <n v="845.0"/>
        <n v="822.0"/>
        <n v="850.0"/>
        <n v="866.0"/>
        <n v="1081.0"/>
        <n v="1082.0"/>
        <n v="836.0"/>
        <n v="1072.0"/>
        <n v="863.0"/>
        <n v="1133.0"/>
        <n v="861.0"/>
        <n v="966.0"/>
        <n v="1196.0"/>
        <n v="923.0"/>
        <n v="126.0"/>
        <n v="1008.0"/>
        <n v="829.0"/>
        <n v="828.0"/>
        <n v="1126.0"/>
        <n v="1011.0"/>
        <n v="523.0"/>
        <n v="1020.0"/>
        <n v="895.0"/>
        <n v="670.0"/>
        <n v="329.0"/>
        <n v="868.0"/>
        <n v="1094.0"/>
        <n v="596.0"/>
        <n v="1098.0"/>
        <n v="1075.0"/>
        <n v="305.0"/>
        <n v="647.0"/>
        <n v="1025.0"/>
        <n v="815.0"/>
        <n v="1066.0"/>
        <n v="840.0"/>
        <n v="1026.0"/>
        <n v="1030.0"/>
        <n v="872.0"/>
        <n v="1115.0"/>
        <n v="1018.0"/>
        <n v="824.0"/>
        <n v="878.0"/>
        <n v="984.0"/>
        <n v="1182.0"/>
        <n v="565.0"/>
        <n v="1024.0"/>
        <n v="1131.0"/>
        <n v="831.0"/>
        <n v="1089.0"/>
        <n v="844.0"/>
        <n v="936.0"/>
        <n v="907.0"/>
        <n v="1103.0"/>
        <n v="580.0"/>
        <n v="859.0"/>
        <n v="127.0"/>
        <n v="902.0"/>
        <n v="995.0"/>
        <n v="1086.0"/>
        <n v="746.0"/>
        <n v="1035.0"/>
        <n v="1036.0"/>
        <n v="1083.0"/>
        <n v="964.0"/>
        <n v="967.0"/>
        <n v="149.0"/>
        <n v="234.0"/>
        <n v="724.0"/>
        <n v="833.0"/>
        <n v="204.0"/>
        <n v="841.0"/>
        <n v="948.0"/>
        <n v="1044.0"/>
        <n v="820.0"/>
        <n v="1037.0"/>
        <n v="875.0"/>
        <n v="835.0"/>
        <n v="1079.0"/>
        <n v="252.0"/>
        <n v="634.0"/>
        <n v="985.0"/>
        <n v="1059.0"/>
        <n v="117.0"/>
        <n v="838.0"/>
        <n v="620.0"/>
        <n v="943.0"/>
        <n v="886.0"/>
        <n v="1087.0"/>
        <n v="873.0"/>
        <n v="745.0"/>
        <n v="937.0"/>
        <n v="1110.0"/>
        <n v="1137.0"/>
        <n v="1165.0"/>
        <n v="245.0"/>
        <n v="945.0"/>
        <n v="805.0"/>
        <n v="1105.0"/>
        <n v="969.0"/>
        <n v="975.0"/>
        <n v="548.0"/>
        <n v="594.0"/>
        <n v="1055.0"/>
        <n v="2.0"/>
        <n v="299.0"/>
        <n v="1010.0"/>
        <n v="754.0"/>
        <n v="1164.0"/>
        <n v="860.0"/>
        <n v="952.0"/>
        <n v="832.0"/>
        <n v="1015.0"/>
        <n v="1111.0"/>
        <n v="80.0"/>
        <n v="1028.0"/>
        <n v="1047.0"/>
        <n v="1033.0"/>
        <n v="154.0"/>
        <n v="1140.0"/>
        <n v="158.0"/>
        <n v="1154.0"/>
        <n v="1022.0"/>
        <n v="1145.0"/>
        <n v="854.0"/>
        <n v="909.0"/>
        <n v="1172.0"/>
        <n v="864.0"/>
        <n v="1099.0"/>
        <n v="1001.0"/>
        <n v="738.0"/>
        <n v="987.0"/>
        <n v="1076.0"/>
        <n v="877.0"/>
        <n v="1068.0"/>
        <n v="691.0"/>
        <n v="777.0"/>
        <n v="992.0"/>
        <n v="927.0"/>
        <n v="993.0"/>
        <n v="197.0"/>
        <n v="1042.0"/>
        <n v="59.0"/>
        <n v="235.0"/>
        <n v="720.0"/>
        <n v="1204.0"/>
        <n v="940.0"/>
        <n v="979.0"/>
        <n v="865.0"/>
        <n v="819.0"/>
        <n v="867.0"/>
        <n v="825.0"/>
        <n v="708.0"/>
        <n v="946.0"/>
        <n v="1074.0"/>
        <n v="230.0"/>
        <n v="837.0"/>
        <n v="442.0"/>
        <n v="744.0"/>
        <n v="775.0"/>
        <n v="1175.0"/>
        <n v="411.0"/>
        <n v="839.0"/>
        <n v="1027.0"/>
        <n v="977.0"/>
        <n v="912.0"/>
        <n v="947.0"/>
        <n v="424.0"/>
        <n v="485.0"/>
        <n v="603.0"/>
        <n v="1122.0"/>
        <n v="1201.0"/>
        <n v="996.0"/>
        <n v="1046.0"/>
        <n v="942.0"/>
        <n v="1051.0"/>
        <n v="115.0"/>
        <n v="1053.0"/>
        <n v="1013.0"/>
        <n v="857.0"/>
        <n v="434.0"/>
        <n v="178.0"/>
        <n v="899.0"/>
        <n v="914.0"/>
        <n v="225.0"/>
        <n v="970.0"/>
        <n v="398.0"/>
        <n v="431.0"/>
        <n v="830.0"/>
        <n v="769.0"/>
        <n v="888.0"/>
        <n v="34.0"/>
        <n v="921.0"/>
        <n v="994.0"/>
        <n v="481.0"/>
        <n v="1054.0"/>
        <n v="903.0"/>
        <n v="371.0"/>
        <n v="898.0"/>
        <n v="1146.0"/>
        <n v="206.0"/>
        <n v="1009.0"/>
        <n v="1092.0"/>
        <n v="1016.0"/>
        <n v="1197.0"/>
        <n v="807.0"/>
        <n v="793.0"/>
        <n v="321.0"/>
        <n v="1116.0"/>
        <n v="1097.0"/>
        <n v="164.0"/>
        <n v="1134.0"/>
        <n v="63.0"/>
        <n v="896.0"/>
        <n v="911.0"/>
        <n v="160.0"/>
        <n v="1052.0"/>
        <n v="876.0"/>
        <n v="146.0"/>
        <n v="870.0"/>
        <n v="1102.0"/>
      </sharedItems>
    </cacheField>
    <cacheField name="Age" numFmtId="0">
      <sharedItems containsSemiMixedTypes="0" containsString="0" containsNumber="1" containsInteger="1">
        <n v="33.0"/>
        <n v="34.0"/>
        <n v="60.0"/>
        <n v="50.0"/>
        <n v="47.0"/>
        <n v="49.0"/>
        <n v="39.0"/>
        <n v="24.0"/>
        <n v="53.0"/>
        <n v="44.0"/>
        <n v="41.0"/>
        <n v="32.0"/>
        <n v="55.0"/>
        <n v="31.0"/>
        <n v="28.0"/>
        <n v="46.0"/>
        <n v="21.0"/>
        <n v="36.0"/>
        <n v="65.0"/>
        <n v="29.0"/>
        <n v="38.0"/>
        <n v="59.0"/>
        <n v="40.0"/>
        <n v="23.0"/>
        <n v="67.0"/>
        <n v="48.0"/>
        <n v="43.0"/>
        <n v="52.0"/>
        <n v="56.0"/>
        <n v="66.0"/>
        <n v="61.0"/>
        <n v="57.0"/>
        <n v="58.0"/>
        <n v="37.0"/>
        <n v="27.0"/>
        <n v="62.0"/>
        <n v="68.0"/>
        <n v="51.0"/>
        <n v="83.0"/>
        <n v="69.0"/>
        <n v="54.0"/>
        <n v="63.0"/>
        <n v="71.0"/>
        <n v="30.0"/>
        <n v="35.0"/>
        <n v="64.0"/>
        <n v="42.0"/>
        <n v="22.0"/>
        <n v="26.0"/>
        <n v="72.0"/>
        <n v="25.0"/>
        <n v="45.0"/>
        <n v="74.0"/>
        <n v="70.0"/>
        <n v="20.0"/>
        <n v="80.0"/>
        <n v="93.0"/>
        <n v="82.0"/>
        <n v="77.0"/>
        <n v="85.0"/>
        <n v="73.0"/>
        <n v="78.0"/>
        <n v="79.0"/>
        <n v="19.0"/>
        <n v="76.0"/>
        <n v="84.0"/>
      </sharedItems>
    </cacheField>
    <cacheField name="Title" numFmtId="0">
      <sharedItems containsBlank="1">
        <m/>
        <s v="Some major design flaws"/>
        <s v="My favorite buy!"/>
        <s v="Flattering shirt"/>
        <s v="Not for the very petite"/>
        <s v="Cagrcoal shimmer fun"/>
        <s v="Shimmer, surprisingly goes with lots"/>
        <s v="Flattering"/>
        <s v="Such a fun dress!"/>
        <s v="Dress looks like it's made of cheap material"/>
        <s v="Perfect!!!"/>
        <s v="Runs big"/>
        <s v="Pretty party dress with some issues"/>
        <s v="Nice, but not for my body"/>
        <s v="You need to be at least average height, or taller"/>
        <s v="Looks great with white pants"/>
        <s v="Super cute and cozy"/>
        <s v="Stylish and comfortable"/>
        <s v="Cute, crisp shirt"/>
        <s v="I'm torn!"/>
        <s v="Not what it looks like"/>
        <s v="Like it, but don't love it."/>
        <s v="Versatile"/>
        <s v="Falls flat"/>
        <s v="Huge disappointment"/>
        <s v="Loved, but returned"/>
        <s v="Great shirt!!!"/>
        <s v="Great layering piece"/>
        <s v="Cuter in oerson!"/>
        <s v="Love these pants"/>
        <s v="Mehh"/>
        <s v="Love this dress!"/>
        <s v="Lovely!"/>
        <s v="Beautifully cut lightweight coat"/>
        <s v="Soft &amp; lovely"/>
        <s v="Some things you should know..."/>
        <s v="Beautiful!"/>
        <s v="Love the two tone design"/>
        <s v="Love the color!"/>
        <s v="Love the embroidery!"/>
        <s v="Cute for fall"/>
        <s v="Love"/>
        <s v="Flattering and comfortable"/>
        <s v="Cute top"/>
        <s v="Soft and cute as can be!"/>
        <s v="Boring front, great back"/>
        <s v="Soft and comfortable"/>
        <s v="Gorgeous dress!"/>
        <s v="Itchy tags"/>
        <s v="Must have"/>
        <s v="Cute top! love the brand"/>
        <s v="Love this top"/>
        <s v="Super cute and unique top"/>
        <s v="Beautiful top"/>
        <s v="I wanted to love this top..."/>
        <s v="Great summer fabric!"/>
        <s v="Cute, but massive sweep"/>
        <s v="Short and boxy"/>
        <s v="Beautiful design"/>
        <s v="Very very cute but a lot of fabric"/>
        <s v="Runs large in top and waist"/>
        <s v="Zipper broke"/>
        <s v="Obsessed"/>
        <s v="So cute...but dry clean?!"/>
        <s v="Elegant classic dress"/>
        <s v="Cute parka!"/>
        <s v="Just lovely"/>
        <s v="Casual &amp; unique tee"/>
        <s v="Neutral blue"/>
        <s v="True to size to large"/>
        <s v="Huge"/>
        <s v="Pretty, but not for me..."/>
        <s v="Sweet flattering dress"/>
        <s v="Beautifully made, but not versatile"/>
        <s v="Casual elegance!"/>
        <s v="Pernette henley"/>
        <s v="Comfy"/>
        <s v="Simple, stylish, lovely-runs a bit big"/>
        <s v="Stunning lace top"/>
        <s v="Not a fan"/>
        <s v="Excited ... but ..."/>
        <s v="Beautiful shirt but runs small!"/>
        <s v="Beautiful"/>
        <s v="Perfect fall shirt!"/>
        <s v="Poor quality"/>
        <s v="An almost for me..."/>
        <s v="Beautiful, stunning, cozy top!"/>
        <s v="Cute and comfy"/>
        <s v="Disappointing quality"/>
        <s v="Cute tee"/>
        <s v="Very vintage feel"/>
        <s v="Awkward fitting"/>
        <s v="Cozy casual - perfect for fall"/>
        <s v="The perfect striped t"/>
        <s v="So beautiful! gorgeous orange color!"/>
        <s v="Lovely top, not lovely shape"/>
        <s v="Wonderfully made, poorly designed for busty gals"/>
        <s v="Cute vest but..."/>
        <s v="Great top"/>
        <s v="Just ok"/>
        <s v="Stylish and versatile!"/>
        <s v="You'll smile on a humid summer's day"/>
        <s v="A new staple for my wardrobe"/>
        <s v="Runs short"/>
        <s v="Feminine alternative to your shapeless puffer"/>
        <s v="Love. love. love this skirt!!"/>
        <s v="Pretry top"/>
        <s v="Great classic"/>
        <s v="Beautiful, but scratchy"/>
        <s v="On the fence"/>
        <s v="So pretty, a bit long and bigger than what i read"/>
        <s v="Cute skirt!"/>
        <s v="Very pretty"/>
        <s v="A beautiful skirt!"/>
        <s v="Gorgeous skirt!"/>
        <s v="Not impressed..."/>
        <s v="Fair"/>
        <s v="Great colors but...."/>
        <s v="Beautiful colors"/>
        <s v="Australian sizing!!"/>
        <s v="Vibrant metallic"/>
        <s v="So sad not mine"/>
        <s v="Scratchy, uncomfortable top"/>
        <s v="Yes it's scratchy but it can work out!"/>
        <s v="Classy and cute"/>
        <s v="So pretty!"/>
        <s v="Just as pictured"/>
        <s v="Great purchase"/>
        <s v="Antoher beautiful maeve dress!"/>
        <s v="Fun"/>
        <s v="Comfy and adorable!"/>
        <s v="Beautiful fabric and style"/>
        <s v="Great for summer"/>
        <s v="Wonderful but going back"/>
        <s v="Comfy, casual shirt"/>
        <s v="Perfect casual sweater"/>
        <s v="Not for me"/>
        <s v="Perfect for warmer climates"/>
        <s v="Need petite"/>
        <s v="Completes so many outfits!"/>
        <s v="Size up!"/>
        <s v="Not as pictured."/>
        <s v="Fits strange, flimsy material"/>
        <s v="Nice color, love the snap buttons"/>
        <s v="Modern comfort"/>
        <s v="It's gorgeous, but..."/>
        <s v="Runs very small"/>
        <s v="Pretty"/>
        <s v="Nice but too thin"/>
        <s v="Lovely and feminine"/>
        <s v="A great piece"/>
        <s v="Love everything about this skirt"/>
        <s v="Perfect comfy now top!"/>
        <s v="Huuuuge"/>
        <s v="Not worth cost"/>
        <s v="Tunic doesn't look like i am covering up"/>
        <s v="Too big"/>
        <s v="Runs small too bad...."/>
        <s v="Skirt dimensions are off"/>
        <s v="Comfort &amp; style"/>
        <s v="Classic"/>
        <s v="My new favorite dress"/>
        <s v="Not as pictured!"/>
        <s v="Autumn fever"/>
        <s v="Very small"/>
        <s v="Too cute to pass up!"/>
        <s v="Falling goddess"/>
        <s v="Pretty and comfy"/>
        <s v="Perfect skirt"/>
        <s v="Easy, comfy &amp; cute"/>
        <s v="Gorgeous"/>
        <s v="Great crop pant"/>
        <s v="Cute"/>
        <s v="Why so long?"/>
        <s v="Runs large, bohemian"/>
        <s v="Wonderful weight for summer, flattering"/>
        <s v="Light &amp; large"/>
        <s v="Must have, right on trend, but still classic"/>
        <s v="Pretty but runs large!"/>
        <s v="Comfortable &amp; stylish crop pants"/>
        <s v="Cozy sunday!"/>
        <s v="Not what i expected"/>
        <s v="Fun change from the norm"/>
        <s v="Perfect for mediterenian summer"/>
        <s v="Loved this, then washed it twice and it fell apart"/>
        <s v="Super flattering"/>
        <s v="Recommend but not for me"/>
        <s v="Love this!"/>
        <s v="Cute but small"/>
        <s v="Really nice sweater coat"/>
        <s v="Perfect"/>
        <s v="Very cute top"/>
        <s v="Super cute pants"/>
        <s v="Cute, casual dress"/>
        <s v="Runs big!"/>
        <s v="Stylish and understated elegant"/>
        <s v="Pockets!"/>
        <s v="Fits like a maternity top"/>
        <s v="Love this coat!"/>
        <s v="Adorable and flattering"/>
        <s v="Cute, but no go!"/>
        <s v="Pretty denim jacket"/>
        <s v="Amazing peach color!"/>
        <s v="Perfection."/>
        <s v="Nice quality but too short for my tall frame"/>
        <s v="Cute top, but back is more of a jersey material"/>
        <s v="Nice color"/>
        <s v="Perfect jean jacket"/>
        <s v="Great asset"/>
        <s v="Comfy and fun!"/>
        <s v="Great tee"/>
        <s v="Pretty and feminine"/>
        <s v="Sooooooooo cute!"/>
        <s v="Peplum hem tee"/>
        <s v="So comfortable and chic"/>
        <s v="Perfect sweatshirt"/>
        <s v="Clever white edges"/>
        <s v="Not much structure, boxy..."/>
        <s v="Almost perfect denim jacket"/>
        <s v="Super nice"/>
        <s v="I wish it were alless stiff denim. runs small"/>
        <s v="Terrific denim jacket"/>
        <s v="Cute versatile culottes"/>
        <s v="My new favorite denim jacket"/>
        <s v="Favorite jean jacket"/>
        <s v="Perfect denim jacket"/>
        <s v="Best dress ever!"/>
        <s v="Stylish jacket"/>
        <s v="Adorable!"/>
        <s v="Stunning, flattering, and versatile."/>
        <s v="Pretty blouse!"/>
        <s v="Too distressed"/>
        <s v="Stunning..."/>
        <s v="Runs large and zipper sticks"/>
        <s v="Very unflattering"/>
        <s v="Adorable"/>
        <s v="Didn't work for me"/>
        <s v="Beautiful top!"/>
        <s v="Love this blouse"/>
        <s v="Lovely printed blouse"/>
        <s v="Love, love, love!"/>
        <s v="Loveee"/>
        <s v="My favorite new blouse"/>
        <s v="A standout"/>
        <s v="Disappointing!"/>
        <s v="Better in person"/>
        <s v="Cuter is person"/>
        <s v="Airy and flattering"/>
        <s v="Awkward fit"/>
        <s v="Beautiful color"/>
        <s v="Really good quality tee!"/>
        <s v="Not a good fit"/>
        <s v="Cutest vest"/>
        <s v="Beautiful, vintage feel, delicate beadwork"/>
        <s v="Very interesting design"/>
        <s v="Fun and flowy"/>
        <s v="Beautiful shirt"/>
        <s v="Beautiful fabric"/>
        <s v="Nice basic piece, will get a lot of wear."/>
        <s v="Soft patterned long vest"/>
        <s v="Great piece"/>
        <s v="Beautiful and timeless"/>
        <s v="Cute top, but not for me"/>
        <s v="So disappointed! please fix it!"/>
        <s v="Ruffled buttondown"/>
        <s v="Exquisite blouse, runs huge"/>
        <s v="Sweater not a coat"/>
        <s v="Soft sweater"/>
        <s v="Could have been cute..."/>
        <s v="Worth the sale price"/>
        <s v="Almost but not quite"/>
        <s v="Nice, runs small and short"/>
        <s v="Amazing sweatercoat!"/>
        <s v="Great piece for layering"/>
        <s v="Cute but ..."/>
        <s v="Nice thin sweatshirt"/>
        <s v="That special lauer"/>
        <s v="Comfy and cute"/>
        <s v="Looks better when tried on; very cute"/>
        <s v="Romantic print, elegant &amp; beautiful - i love it!"/>
        <s v="Positively agree"/>
        <s v="Love the print &amp; style"/>
        <s v="So cool"/>
        <s v="Modern black and white"/>
        <s v="Subdued sexy"/>
        <s v="So sexy"/>
        <s v="Just okay"/>
        <s v="One of my favorite pieces for night"/>
        <s v="Elegant and eye-catching"/>
        <s v="Work-appropriate lace"/>
        <s v="Soft and cozy"/>
        <s v="Looks are deceiving"/>
        <s v="Terrific sweater with great detail; runs large"/>
        <s v="Pretty/different style"/>
        <s v="Poorly executed"/>
        <s v="Great with leggings!"/>
        <s v="Bad quality."/>
        <s v="Flattering and fun!"/>
        <s v="Love love love!"/>
        <s v="Lovely fabric but tiny hips"/>
        <s v="Lovely dress, small top, different color"/>
        <s v="Too big/so soft"/>
        <s v="Not sure about this one"/>
        <s v="Comfy, but not made to last"/>
        <s v="Loving these jeans!"/>
        <s v="Lovely but runs big"/>
        <s v="Possibly the cutest skirt ever!"/>
        <s v="Sweet little top"/>
        <s v="Comfortable and dressy"/>
        <s v="Not the best quality"/>
        <s v="Soft, feminine, versatile"/>
        <s v="Stylish option good for petites"/>
        <s v="Sweet casual"/>
        <s v="A perfect investment"/>
        <s v="This dress is gorgeous!"/>
        <s v="Great dress, rough zipper"/>
        <s v="Cute &amp; comfy top"/>
        <s v="Flattering and great buy on sale!"/>
        <s v="I love this shirt"/>
        <s v="Flimsy"/>
        <s v="Super comfy"/>
        <s v="Pretty pattern, weird fit"/>
        <s v="Easy and stylish"/>
        <s v="Very versatile"/>
        <s v="Small boobies only"/>
        <s v="Love the lace up design!"/>
        <s v="Disappointed"/>
        <s v="Very chic"/>
        <s v="Beautiful and versatile top!"/>
        <s v="So pretty and soft"/>
        <s v="Great for work or fun"/>
        <s v="Perfect shirt for work or night out."/>
        <s v="Flattering tee"/>
        <s v="So soft and comfy and fit for yoga!"/>
        <s v="Funky and classy"/>
        <s v="Really cute!"/>
        <s v="Love. this. jacket."/>
        <s v="Bunches up weirdly in the front"/>
        <s v="Red tee"/>
        <s v="Undecided"/>
        <s v="Great casual shirt"/>
        <s v="So much better irl"/>
        <s v="Ultimately unimpressed"/>
        <s v="Vibrant red color"/>
        <s v="Looks fine if you don't move your arms."/>
        <s v="Great plaid!"/>
        <s v="In love with this shirt"/>
        <s v="Perfect!"/>
        <s v="The most comfortable pants ever"/>
        <s v="Perfect top for work"/>
        <s v="Overall, i like it, but some sizing issues..."/>
        <s v="Very pretty, boho chic"/>
        <s v="Great too but not for women who have a large bust."/>
        <s v="Cute slip but very body hugging"/>
        <s v="Lovely romantic blouse"/>
        <s v="Extra fabric in back adds a lot"/>
        <s v="Great sweater dress!"/>
        <s v="Pretty blouse"/>
        <s v="Love, love this flattering dress"/>
        <s v="Cute, but cheap"/>
        <s v="Love it."/>
        <s v="Gorgeous top with a hint of pizazz"/>
        <s v="Else lingerie jardin silk bralette review"/>
        <s v="Super cute and flattering too"/>
        <s v="Fun dress"/>
        <s v="Very cute jacket!"/>
        <s v="Cute but too large"/>
        <s v="Great, but size down."/>
        <s v="Not for the busty"/>
        <s v="Pretty adn flattering"/>
        <s v="Love everything about htis dress"/>
        <s v="Manette clipdot blouse"/>
        <s v="Runs large"/>
        <s v="Fun mix of colors in the grey version"/>
        <s v="So pretty and great style"/>
        <s v="Retailer like it used to be!"/>
        <s v="Lovely"/>
        <s v="Cute jacket"/>
        <s v="For the shorter girls"/>
        <s v="Still love it even if..."/>
        <s v="Pretty spring flowers"/>
        <s v="Boxy"/>
        <s v="Cute concept, fits weird"/>
        <s v="Nice but short"/>
        <s v="Pretty top for work days"/>
        <s v="Love this dress"/>
        <s v="Itchytown"/>
        <s v="Feminine, flattering, versatile"/>
        <s v="So cute, but weird fit"/>
        <s v="Awesome top"/>
        <s v="Comfy, cute, and colorful."/>
        <s v="Best fitting dress"/>
        <s v="Gorgeous, flattering blouse!"/>
        <s v="Cropped and itchy"/>
        <s v="Cute but skip the petite unless you are very short"/>
        <s v="Elegant and well made"/>
        <s v="Well made"/>
        <s v="Beautiful blouse; very flattering"/>
        <s v="Weird color and fit"/>
        <s v="Looks better on"/>
        <s v="Fun tag sale find"/>
        <s v="Great dress"/>
        <s v="Cute and fun!"/>
        <s v="The right kind of casual"/>
        <s v="Easy jacket"/>
        <s v="Great dress or tunic"/>
        <s v="Top coat"/>
        <s v="Love, love, love this tunic!"/>
        <s v="Sleeves are really small"/>
        <s v="Perfect top!"/>
        <s v="Comfortable and chic"/>
        <s v="Perfect balance of classy and sexy"/>
        <s v="Cute fit, perfect length"/>
        <s v="Cute dress"/>
        <s v="Great fit"/>
        <s v="Comfortable and great looking"/>
        <s v="Great jacket!"/>
        <s v="Beautiful blouse but...."/>
        <s v="Feminine and pretty"/>
        <s v="Not a fan - childish"/>
        <s v="Runs large through the chest..."/>
        <s v="Love! my new favorite jacket!"/>
        <s v="Lovely blouse!"/>
        <s v="Love the lace detail"/>
        <s v="Gorgeous dress"/>
        <s v="A must buy!!"/>
        <s v="Prety dress that fits true to size"/>
        <s v="Very nice, just as pictured"/>
        <s v="Glad i took a chance on these!"/>
        <s v="Adorable top!!"/>
        <s v="Cute top!"/>
        <s v="Comfortable and unique"/>
        <s v="Fits so well!"/>
        <s v="Stunning special occasion dress"/>
        <s v="Love this shirt"/>
        <s v="Comfortable, soft"/>
        <s v="Not for us chesty girls!"/>
        <s v="Fit is not cute"/>
        <s v="Do not like the front"/>
        <s v="Not doing anything for me"/>
        <s v="Cute outfit"/>
        <s v="So good"/>
        <s v="Classy little dress"/>
        <s v="Awkward style"/>
        <s v="Unique piece / boho chic"/>
        <s v="My favorite black top."/>
        <s v="Pretty tank"/>
        <s v="Different than the rest !!!"/>
        <s v="Slimmingly perfect!"/>
        <s v="Too bad!"/>
        <s v="Very cute, snug fit"/>
        <s v="Surprisingly retro-adorable"/>
        <s v="Western look"/>
        <s v="Gorgeous quality knit"/>
        <s v="Wanted to love, but sadly will return."/>
        <s v="Great top!!"/>
        <s v="Lovely but smells like last purchaser's deodorant."/>
        <s v="Interesting but awkward to actually wear"/>
        <s v="Beautiful, but a few caveats"/>
        <s v="Fun jeggings"/>
        <s v="Loved in theory"/>
        <s v="No shape"/>
        <s v="Great casual dress to throw on"/>
        <s v="Plaid bomb pairs fabulous with everything fall!"/>
        <s v="Great staple!"/>
        <s v="Perfect fall jacket"/>
        <s v="Lounging dress"/>
        <s v="Perfect fit"/>
        <s v="Functional casual dress"/>
        <s v="Best bathing suit!"/>
        <s v="Overpriced but so comfortable"/>
        <s v="My new favorite swim suit"/>
        <s v="Perfect suit"/>
        <s v="Luxurious sleepwear"/>
        <s v="Please restock!!!"/>
        <s v="Cute and unique!"/>
        <s v="Great suit for busy moms!"/>
        <s v="Boxy and short"/>
        <s v="Wanted to love these...but...meh..."/>
        <s v="Vibrant, effortless, beautiful"/>
        <s v="Very cute and comfortable"/>
        <s v="Great basic pants!"/>
        <s v="Great pant"/>
        <s v="Great staple"/>
        <s v="Beach cover-up"/>
        <s v="What a waste"/>
        <s v="Wonderful swimsuit"/>
        <s v="Gerat pants"/>
        <s v="Great pants that don't get baggy"/>
        <s v="The perfect swimsuit - functional and stunning!"/>
        <s v="Not what i had hoped for..."/>
        <s v="Perfection"/>
        <s v="Love it!"/>
        <s v="Thick and beautiful sweater!"/>
        <s v="Loungewear, not outdoor wear"/>
        <s v="Amazing suit!"/>
        <s v="Uniform top"/>
        <s v="Perfect 24/7"/>
        <s v="Super comfy and great fit!"/>
        <s v="Great shorts"/>
        <s v="Cute slim pants"/>
        <s v="Fabulous"/>
        <s v="Cute and comfortable swimsuit!"/>
        <s v="Lacks support"/>
        <s v="Easy breezy"/>
        <s v="Weird fit"/>
        <s v="Cute but didn't work for me :("/>
        <s v="Cute pants"/>
        <s v="Great price for"/>
        <s v="Stretches out"/>
        <s v="Great material, awkward length"/>
        <s v="Love these pants, highly recommend!"/>
        <s v="Great skirt!"/>
        <s v="Mixed feelings"/>
        <s v="Simple but different."/>
        <s v="Too short"/>
        <s v="Itchy"/>
        <s v="Worth it"/>
        <s v="So many compliments"/>
        <s v="Great staple sweater!"/>
        <s v="Unique and adorable"/>
        <s v="The worst"/>
        <s v="Fun, casual pant, perfect for summer and early fal"/>
        <s v="Beautiful dress, weird sizing"/>
        <s v="Started out perfect"/>
        <s v="So beautiful!"/>
        <s v="Perfect layering sweater"/>
        <s v="Great casual top"/>
        <s v="Great for travel"/>
        <s v="Great neckline &amp; good xl fit"/>
        <s v="Simple luxury"/>
        <s v="Beautiful print, bad fit"/>
        <s v="Great slouchy sweater, perfect color"/>
        <s v="Huge dress"/>
        <s v="The tee i have always been looking for!"/>
        <s v="The softest leggings"/>
        <s v="Great fall sweater"/>
        <s v="Very hip"/>
        <s v="Still cute despite..."/>
        <s v="Great color!"/>
        <s v="Nice surprise"/>
        <s v="More colorways please =d"/>
        <s v="Love this top!!"/>
        <s v="New favorite"/>
        <s v="Everyday winter t updated"/>
        <s v="Darling and sophisticated"/>
        <s v="Adorable t-shirt"/>
        <s v="Casual comfort with style"/>
        <s v="Pretty dress, lots of fabric"/>
        <s v="Surprisingly heavy"/>
        <s v="Casual and comforable. i love it"/>
        <s v="Love the neckline"/>
        <s v="Amazingly cute but runs huge!"/>
        <s v="Ok suit"/>
        <s v="Perfect for cool summer evenings"/>
        <s v="Too cropped"/>
        <s v="Cute tee with fun neckline"/>
        <s v="Beautiful and unique but didn't work for me"/>
        <s v="Frumpy"/>
        <s v="Stinky sweater!"/>
        <s v="Nice spin on an everyday t-shirt"/>
        <s v="Elegant retro sweater tee"/>
        <s v="Beautiful blue, but...."/>
        <s v="Just perfect!"/>
        <s v="Comfortable, fashionable, throw on over anything"/>
        <s v="Perfer beige over pink"/>
        <s v="So very disappointed"/>
        <s v="Basic with a twist"/>
        <s v="Love this shirt!"/>
        <s v="Perfect dress"/>
        <s v="Nice, comfy sweater"/>
        <s v="Scratchy"/>
        <s v="Cute, but didnt love"/>
        <s v="Great for hot summers"/>
        <s v="Love!!"/>
        <s v="Finally found nice leggings!"/>
        <s v="Gorgeous on the hanger but not for me"/>
        <s v="Primula cocoon cardi"/>
        <s v="Beautiful, runs very large"/>
        <s v="Super soft and comfortable"/>
        <s v="Awful if you have any sort of curves!"/>
        <s v="Armholes huge"/>
        <s v="Modern take on 1950's vibe"/>
        <s v="Most beautiful sweater that i own!"/>
        <s v="Imperial garden"/>
        <s v="No slip and totally sheer dress"/>
        <s v="Amazing"/>
        <s v="Ordinary for the price"/>
        <s v="Didn't work on my pear shape"/>
        <s v="Good basic - but sheer"/>
        <s v="Effortlessly chic!"/>
        <s v="Don't trust anyone"/>
        <s v="Sheet"/>
        <s v="Happyinpdx"/>
        <s v="Great shirt"/>
        <s v="Couldn't get past the itch factor"/>
        <s v="Stunning! just buy a belt with it."/>
        <s v="If only it looked like the photo....."/>
        <s v="Not as pretty in person"/>
        <s v="Feminine and tts"/>
        <s v="Beautiful blouse"/>
        <s v="Pretty top"/>
        <s v="Size down - loose,, flowing material - love it!"/>
        <s v="Warm and chic"/>
        <s v="Perfect tank to be dressed up or down"/>
        <s v="Beautiful sweater!"/>
        <s v="Wanted to love it - but . . ."/>
        <s v="Shrinks!!!"/>
        <s v="Loved this top"/>
        <s v="Very plain on the front"/>
        <s v="Might be great if you have a bun in the oven!"/>
        <s v="Pretty but just okay when worn."/>
        <s v="Great winter tunic"/>
        <s v="Not a great design"/>
        <s v="V-neck t"/>
        <s v="Super cute- order a size down"/>
        <s v="Nice tunic"/>
        <s v="Nice casual tunic-dress"/>
        <s v="Not as bad as previously reviewed"/>
        <s v="Love the black"/>
        <s v="Weird shape."/>
        <s v="Cute but short"/>
        <s v="Too long, poor quality"/>
        <s v="Sent to me damaged"/>
        <s v="Gold thread"/>
        <s v="Great tunic"/>
        <s v="Not for tall ladies"/>
        <s v="Lokka tunic"/>
        <s v="I'm in love!"/>
        <s v="Pretty cropped cardigan."/>
        <s v="Love but poorly made"/>
        <s v="This velvet has swagger!"/>
        <s v="Great dress!!"/>
        <s v="Cute basic"/>
        <s v="Lokka is lovely"/>
        <s v="The perfect fall dress"/>
        <s v="Adorable, comfortable, flattering; this has it all"/>
        <s v="Cute!!"/>
        <s v="Funky seams"/>
        <s v="Beautiful dress!"/>
        <s v="Not enough structure fo rme"/>
        <s v="Comfortable"/>
        <s v="Could be a bit shorter"/>
        <s v="Great cardigan"/>
        <s v="Not worth the $$"/>
        <s v="Well...it is green"/>
        <s v="Feminine blazer"/>
        <s v="Adorable top, a little pricey"/>
        <s v="So comfortable"/>
        <s v="Huge arm holes"/>
        <s v="Looks can be deceiving"/>
        <s v="Not as pictured"/>
        <s v="Gorgeous top, straps way too long"/>
        <s v="Still awesome"/>
        <s v="Perfect for any season"/>
        <s v="So wanted to love it..."/>
        <s v="Cute casual shorts"/>
        <s v="Adorable culottes!"/>
        <s v="Not for big girls :("/>
        <s v="A little 'hip-y&quot;"/>
        <s v="Maybe one i got it's not right?"/>
        <s v="Buy these now."/>
        <s v="Different dresses"/>
        <s v="Classic with a twist"/>
        <s v="So beautiful!!"/>
        <s v="Great yarn texture and colors, look closely though"/>
        <s v="So cute"/>
        <s v="Great for tall ladies"/>
        <s v="Kind of calssic retailer"/>
        <s v="Nice skirt!"/>
        <s v="Not petite inseam..."/>
        <s v="Frayed bottom hem....."/>
        <s v="This is not red!"/>
        <s v="Unfortunately for me but good for someone else..."/>
        <s v="Great for dressing up or down"/>
        <s v="Wow!"/>
        <s v="Georgeous skirt"/>
        <s v="Love at first wear"/>
        <s v="Lovely and colorful"/>
        <s v="Fantastic fit!"/>
        <s v="Flirty cocktail dress"/>
        <s v="What a dream!!!"/>
        <s v="Size and function"/>
        <s v="Looks better on line"/>
        <s v="Sporty and chic"/>
        <s v="Great little top"/>
        <s v="Comfortable, stylish, 70's relived."/>
        <s v="Wonderful skirt"/>
        <s v="Long pocket equals short leg"/>
        <s v="Better than in the photo"/>
        <s v="Great, great top"/>
        <s v="Love love love"/>
        <s v="Lovely prints"/>
        <s v="Great colors!"/>
        <s v="Layer cake"/>
        <s v="Great quality but..."/>
        <s v="Perfect tee!"/>
        <s v="Chic and classy"/>
        <s v="Very nice"/>
        <s v="Funky fit"/>
        <s v="Stunning!"/>
        <s v="Pretty, but already piling"/>
        <s v="Great jeans"/>
        <s v="Gorgeous!!"/>
        <s v="Cute, but no sale"/>
        <s v="Pretty pattern, weird texture"/>
        <s v="Lovely and flattering"/>
        <s v="Not flattering on"/>
        <s v="Awesome skirt"/>
        <s v="Shorter than expected"/>
        <s v="Little green riding hood"/>
        <s v="Great dress for all occasions"/>
        <s v="Love these for fall!"/>
        <s v="Luv! so comfy"/>
        <s v="Soft and unique but short sleeves"/>
        <s v="Shapeless"/>
        <s v="Divine and comfortable"/>
        <s v="Must try on"/>
        <s v="Pretty color, nice fit, fun t-back"/>
        <s v="Loose waist"/>
        <s v="Want go get another in a diff color"/>
        <s v="Soft but boxy"/>
        <s v="Disappointing fit!"/>
        <s v="Super comfy but very boxy"/>
        <s v="The fabric is heavy"/>
        <s v="Beautiful fit"/>
        <s v="Finally jeans for curves!"/>
        <s v="A winner!"/>
        <s v="Cozy comfy beautiful top"/>
        <s v="Warm and cozy"/>
        <s v="Great dress!"/>
        <s v="Love this sweater!"/>
        <s v="Washed out looking"/>
        <s v="Soft and flattering"/>
        <s v="Soft, flattering, warm and versatile!"/>
        <s v="My holiday dress"/>
        <s v="In love"/>
        <s v="Close but not quite right"/>
        <s v="Amazing!"/>
        <s v="Sweater, not a coat.. but amazing"/>
        <s v="Comfortable but not exciting"/>
        <s v="Gorgeous!!!"/>
        <s v="So soft!"/>
        <s v="Love this lightweight coat!"/>
        <s v="Soft &amp; warm"/>
        <s v="Love at first fit"/>
        <s v="Nice quality"/>
        <s v="Too much for this sweater"/>
        <s v="Super comfortable but big"/>
        <s v="Love. love. love"/>
        <s v="Warm"/>
        <s v="Owned in 3 sizes 3 colors all great"/>
        <s v="Strange and wonderful"/>
        <s v="Bautiful lines"/>
        <s v="Best to try on in store"/>
        <s v="Cozy cut"/>
        <s v="Slimming, cute"/>
        <s v="Beautiful design but not great quality."/>
        <s v="Worth every penny!"/>
        <s v="Beautiful coat"/>
        <s v="Cute tunic"/>
        <s v="Misleading picture!"/>
        <s v="Cozy, flattering, and practical"/>
        <s v="Great sweater!"/>
        <s v="Best sweater jacket!"/>
        <s v="Not for every body type"/>
        <s v="Best for staright figures"/>
        <s v="Cute sweater!"/>
        <s v="So happy i ordered this!"/>
        <s v="Wanted to love it, but just kinda like it"/>
        <s v="Lovely top"/>
        <s v="Comfy &amp; cute"/>
        <s v="Love this sweater"/>
        <s v="Classically byron lars"/>
        <s v="Great blouse"/>
        <s v="Awesome dress"/>
        <s v="Nice"/>
        <s v="Cotton, cotton, love cotton!"/>
        <s v="Large and very wide!"/>
        <s v="Flowy"/>
        <s v="Interesting sweater, good quality"/>
        <s v="Nice cotton sweater"/>
        <s v="Quality &amp; cut"/>
        <s v="Not as great as the photos"/>
        <s v="Beautiful casual top"/>
        <s v="Great tee but kind of short"/>
        <s v="Pretty but not for me"/>
        <s v="Finally a flattering sweater!"/>
        <s v="Great dress, not for me"/>
        <s v="Farm animal pullover"/>
        <s v="Perfect in all respects"/>
        <s v="I wanted to love this sweater, but......"/>
        <s v="Upscale, unique sweater"/>
        <s v="Fun shirt!"/>
        <s v="Lovely surprise"/>
        <s v="Petite busty girls rejoice 2"/>
        <s v="Cute!"/>
        <s v="Such a beautiful victorian blouse!"/>
        <s v="Paisley silk maxi dress"/>
        <s v="Beautiful top, looks great with black/gray jeans"/>
        <s v="Gorgeous, high quality, and figure flattering!"/>
        <s v="Pretty in pink"/>
        <s v="This dress is divine!"/>
        <s v="Cute top, but beware it shrinks!!"/>
        <s v="Runs big, great material but not as pictured"/>
        <s v="Beautiful, cozy sweater"/>
        <s v="Worth thr $$$"/>
        <s v="Stunning"/>
        <s v="Zipper is short"/>
        <s v="My absolute favorite top"/>
        <s v="Not perfect but cute shirt!!"/>
        <s v="Great color, not so great tailoring"/>
        <s v="Casual top"/>
        <s v="I wanted to love this shirt."/>
        <s v="Love this blouse!"/>
        <s v="Super cute with right body style"/>
        <s v="Maybe"/>
        <s v="Super cute"/>
        <s v="Shrinks"/>
        <s v="Cute!!!"/>
        <s v="Love, love, love this dress!"/>
        <s v="Elegant, timeless and versatile"/>
        <s v="Ig brought me here"/>
        <s v="Wanted to love her"/>
        <s v="Victorian in a good way"/>
        <s v="One can never have enough sequins"/>
        <s v="Cute pant"/>
        <s v="Gorgeous fabric"/>
        <s v="Love these"/>
        <s v="Great fabric but really bad shape"/>
        <s v="So much cuter in person and oh so comfy"/>
        <s v="Tx fan"/>
        <s v="Beautiful top, but it shrank substantially!"/>
        <s v="Nice enough"/>
        <s v="Cute dress but poor design"/>
        <s v="So sad"/>
        <s v="Wanted to love it!"/>
        <s v="Can't miss classic!!"/>
        <s v="Cute and comfortable"/>
        <s v="Favorite summer top"/>
        <s v="Happy girl!"/>
        <s v="Unusual and eyecatching"/>
        <s v="Beautiful in blue!"/>
        <s v="Gorgeous!"/>
        <s v="Cute but runs small"/>
        <s v="Not what i thought"/>
        <s v="Beautiful day to evening skirt"/>
        <s v="Stretch out a whole size"/>
        <s v="Easy fit"/>
        <s v="Gorgeous top!"/>
        <s v="Shape problem"/>
        <s v="Gorgeous - but......."/>
        <s v="Just average"/>
        <s v="Maternity top"/>
        <s v="Everyday casual and cute"/>
        <s v="Unusual, cool, fun top"/>
        <s v="Gorgeous leggings"/>
        <s v="L space chloe top"/>
        <s v="Soft tank for the summer"/>
        <s v="Fine for a fitness class"/>
        <s v="Nice top"/>
        <s v="Pretty much just like picture"/>
        <s v="Absolutely beautiful and feminine"/>
        <s v="Lovely, comfortable and versatile"/>
        <s v="Not sure what body type this suit is designed for"/>
        <s v="Loved but both in my store had quality issues"/>
        <s v="Came dirty, but nice fit..."/>
        <s v="Bright &amp; versatile"/>
        <s v="Feminine"/>
        <s v="Love these!"/>
        <s v="Super cute. pockets would be nice"/>
        <s v="Prettier in person"/>
        <s v="Pretty, but not great"/>
        <s v="Beautiful summer dress"/>
        <s v="Comfy and cute pants"/>
        <s v="Very comfortable/relaxed"/>
        <s v="Finally found my staple summer dress!"/>
        <s v="Awkward"/>
        <s v="So flattering!"/>
        <s v="Why is it so big?"/>
        <s v="Beautiful, flattering, but runs large"/>
        <s v="Lovely dress"/>
        <s v="Odd shape"/>
        <s v="Didn't try it on"/>
        <s v="Cute casual summer dress"/>
        <s v="Throw on and go perfection"/>
        <s v="Just a nice dress..."/>
        <s v="Pretty but runs big!!"/>
        <s v="Fun easy dress!"/>
        <s v="Sleepable jeans"/>
        <s v="Lovely, feminine, needs belt for definition"/>
        <s v="Unique, classy"/>
        <s v="Pretty dress but oddly cut in the middle"/>
        <s v="Beautifully constructed dress, runs large"/>
        <s v="Perfect for irish fest and beyond!"/>
        <s v="Cute, sweet, flirty, sexy"/>
        <s v="Nice simple staple"/>
        <s v="Flowy and flirty for summer flings"/>
        <s v="Great dress but not in green"/>
        <s v="A little itchy for me"/>
        <s v="Pretty, comfy, casual, dressy"/>
        <s v="Bryson cowl"/>
        <s v="Wide"/>
        <s v="Amazing fit and wash"/>
        <s v="Elegant and comfortable"/>
        <s v="So cute!"/>
        <s v="Great buy!"/>
        <s v="Bought in 2 patterns!"/>
        <s v="Not flattering"/>
        <s v="Cute with some adjustments"/>
        <s v="Way cuter in the photo"/>
        <s v="Go to summer top!"/>
        <s v="The lady dress"/>
        <s v="Not so flattering top"/>
        <s v="Too much fabric"/>
        <s v="New year party dress"/>
        <s v="Wonderful!"/>
        <s v="Soft, warm and stylish!"/>
        <s v="Darling top- runs large and long!"/>
        <s v="This top is really cute"/>
        <s v="Xl fits great"/>
        <s v="European flair"/>
        <s v="Cute summer top"/>
        <s v="Beautiful and versatile, but big..."/>
        <s v="Runs large - order down!"/>
        <s v="Flattering, comfy top"/>
        <s v="Amazing retro style"/>
        <s v="Wanted to love..."/>
        <s v="Wanted to love this"/>
        <s v="Special"/>
        <s v="Perfect for summer"/>
        <s v="Fell in love"/>
        <s v="Recommended for tan to dark complexions"/>
        <s v="Perfect tunic"/>
        <s v="Can't get enough"/>
        <s v="Disappointing"/>
        <s v="Cute and comfy!"/>
        <s v="Great quality!"/>
        <s v="Pretty top poor fit"/>
        <s v="Avoid if you're curvy..."/>
        <s v="Fun top for all seasons"/>
        <s v="Very flattering and comfy"/>
        <s v="Blouse"/>
        <s v="Awful fit"/>
        <s v="Great fall piece"/>
        <s v="Comfortable style"/>
        <s v="Versatile blouse!"/>
        <s v="Lovely but not awesome"/>
        <s v="Cozy amazingness!!"/>
        <s v="Cute and fun top!"/>
        <s v="Lovely, unique and odd"/>
        <s v="Cute, but not on me!"/>
        <s v="Love it so much"/>
        <s v="Adorable top"/>
        <s v="Cute white tee"/>
        <s v="A unique one of a kind t shirt"/>
        <s v="Size up if busty"/>
        <s v="Comfy and lovely"/>
        <s v="Wanted to love"/>
        <s v="Great denim"/>
        <s v="This dress is so classic!"/>
        <s v="Sad sack"/>
        <s v="Love this top!"/>
        <s v="Fits like maternity"/>
        <s v="Love!"/>
        <s v="I ended up loving this dress"/>
        <s v="Order down a size; sooooooooooooo cute!!!"/>
        <s v="Beautiful poncho"/>
        <s v="Love the color"/>
        <s v="Perfect t-shirt"/>
        <s v="I wanted to love it..."/>
        <s v="Too billowy"/>
        <s v="Must see in person"/>
        <s v="Stunning top"/>
        <s v="Love!!!"/>
        <s v="Perfect for fall layering"/>
        <s v="Beautiful fabric / odd fit"/>
        <s v="Soft, subtle loveliness"/>
        <s v="Happy top!"/>
        <s v="Wanted to love it"/>
        <s v="Great overall, but with it's issues"/>
        <s v="Cute shirt, but not for me"/>
        <s v="Not black"/>
        <s v="Soft lightweight and cool"/>
        <s v="Not the same"/>
        <s v="Yeh, what she said....."/>
        <s v="My favorite workout leggings"/>
        <s v="Pretty details"/>
        <s v="Not what i wanted"/>
        <s v="Weird boobs"/>
        <s v="Nothing special"/>
        <s v="Great find."/>
        <s v="Wish it was longer length"/>
        <s v="Great summer  dress"/>
        <s v="Looks like a babydoll dress"/>
        <s v="Great jeans!"/>
        <s v="Beautiful and soft, yet length is deceiving!"/>
        <s v="Love the way it looks, but couldn't keep it"/>
        <s v="As expected"/>
        <s v="Odd cut"/>
        <s v="Beautiful winter color"/>
        <s v="Odd, boxy fit"/>
        <s v="Unflattering"/>
        <s v="Umm what is this"/>
        <s v="Very delicate"/>
        <s v="Nice summer t-shirt"/>
        <s v="This shirt will brighten you day"/>
        <s v="Too delicate"/>
        <s v="Very cute tee!"/>
        <s v="Beautiful and tailored."/>
        <s v="Star print is so pretty!"/>
        <s v="Soft and cute"/>
        <s v="Lovely but armholes too revealing for me..."/>
        <s v="Very cute everyday dress"/>
        <s v="Simply dive-ine!"/>
        <s v="A lovely piece to be worn and cherished"/>
        <s v="Sassy maxi"/>
        <s v="A poor quality dress"/>
        <s v="This sweater is short in length"/>
        <s v="Signature retailer sweater"/>
        <s v="Beautiful and unique dress"/>
        <s v="Nice dress, fit is ok"/>
        <s v="Really soft"/>
        <s v="A little big up top"/>
        <s v="Lovely lace top!"/>
        <s v="Skirt flares more than it looks"/>
        <s v="Oh, so gorgeous"/>
        <s v="Love these jeans!"/>
        <s v="Beautiful feminine blouse"/>
        <s v="Great detail"/>
        <s v="Pretty; low cut arm holes"/>
        <s v="Very pretty - runs large (busty petites rejoice 3)"/>
        <s v="Gorgeous turquoise color"/>
        <s v="Skarlett blue demi convertible bra review"/>
        <s v="Much cuter in the picture"/>
        <s v="Cute and comfy dress"/>
        <s v="Adorable tank!"/>
        <s v="Almost"/>
        <s v="Lovely feel and color"/>
        <s v="Beautiful chemise!"/>
        <s v="Perfect ease"/>
        <s v="Very messy t-shirt"/>
        <s v="Down with drycleaning"/>
        <s v="Great maxi dress"/>
        <s v="Bad fit for me"/>
        <s v="Comfort"/>
        <s v="Great dress, too short"/>
        <s v="Perfect for everyone!!!!"/>
        <s v="Comfy, runs large"/>
        <s v="Super comfy dress"/>
        <s v="They keep their shape"/>
        <s v="Don't size up"/>
        <s v="Really cute dress, if you can do the handkerchief"/>
        <s v="Worst purchase ever"/>
        <s v="Not good quality"/>
        <s v="Great summer dress"/>
        <s v="Summer and spring go to tunic"/>
        <s v="Great style"/>
        <s v="Beautiful casual dress"/>
        <s v="Perfect and easy to wear dress"/>
        <s v="Muumuu"/>
        <s v="Great fall dress"/>
        <s v="Makes my butt look amazing!!"/>
        <s v="Not a halter?"/>
        <s v="Beautiful color and drape"/>
        <s v="Not a midi on me but still so cute"/>
        <s v="Comfortable and pretty"/>
        <s v="Perfect everyday dress"/>
        <s v="Beautiful embroidery"/>
        <s v="So cute, but so big!"/>
        <s v="Excellent cut and idea,poor fabric c"/>
        <s v="Very cute, runs small"/>
        <s v="Cute shirt but really strange design"/>
        <s v="Too tight and too big at the same time."/>
        <s v="Best strapless ever"/>
        <s v="Love it"/>
        <s v="Much thinner"/>
        <s v="Good luck getting it on!"/>
        <s v="Cute but itchy"/>
        <s v="Would love the cut but"/>
        <s v="Comfortable strapless"/>
        <s v="My new favorite pullover"/>
        <s v="Top gapes open"/>
        <s v="Great top to transition to fall!"/>
        <s v="Nice shirt"/>
        <s v="Amazing product"/>
        <s v="Best jeans!"/>
        <s v="Is this really black?"/>
        <s v="Great fall top"/>
        <s v="Loved these!"/>
        <s v="Odd dimensions"/>
        <s v="Not for the well endowed"/>
        <s v="Versatile jacket"/>
        <s v="Ok, lightweight jean"/>
        <s v="Great top for everyday wear!"/>
        <s v="Stylish, comfortable and affordable!!!!"/>
        <s v="Nice fit, nice quality"/>
        <s v="I wanted to like this..."/>
        <s v="Perfect work pants!"/>
        <s v="Size down"/>
        <s v="Subtle beauty"/>
        <s v="Small in the waist"/>
        <s v="~~so very retailer~~"/>
        <s v="My new favorite skirt!"/>
        <s v="Bad zipper"/>
        <s v="Dissapointed"/>
        <s v="Versatile, great fit, pockets!"/>
        <s v="Sleeves stretch out"/>
        <s v="Great fit for curves"/>
        <s v="Enormous!!"/>
        <s v="Red &quot;evanthe&quot; dress"/>
        <s v="Haven't washed well"/>
        <s v="Beautiful, flattering top"/>
        <s v="I wear my sunglasses"/>
        <s v="Does not fit well but is beautiful"/>
        <s v="Small-chested women need not apply"/>
        <s v="Beautiful sweater but not flattering on me"/>
        <s v="Pop of color"/>
        <s v="Dress up or down"/>
        <s v="Awesomesauce!"/>
        <s v="Love this!!"/>
        <s v="Lovely but not for me"/>
        <s v="Great summer print"/>
        <s v="Great skort"/>
        <s v="Sweater love!"/>
        <s v="So versitle"/>
        <s v="Gorgeous and flexible"/>
        <s v="Bright spring skirt"/>
        <s v="W i d e collar"/>
        <s v="Fun and uniquely dramatically elegant"/>
        <s v="Gorgeous shorts"/>
        <s v="Soft lace and beautiful color"/>
        <s v="Comfy and classic"/>
        <s v="Ideal fit and feel for gals with curves"/>
        <s v="Madly in love!"/>
        <s v="Delaney pullover"/>
        <s v="Best purchase anywhere lately!"/>
        <s v="Wish it loved me back!!!!"/>
        <s v="I love this skirt!"/>
        <s v="Just as cute as expected"/>
        <s v="Nice fall dress but needs the right body type"/>
        <s v="So flipping soft and pretty!"/>
        <s v="It's a bell"/>
        <s v="So cute and unique!"/>
        <s v="Dream pants do come true"/>
        <s v="Cute &amp; unique"/>
        <s v="Lovely gem!!"/>
        <s v="Great twist on a cargo jacket"/>
        <s v="Dear eva"/>
        <s v="Cozy sweater in a boxy style"/>
        <s v="Super cozy"/>
        <s v="Attractive casual pants, nice texture and color"/>
        <s v="My new fave!"/>
        <s v="Wanted to love, but..."/>
        <s v="Sexy, simple top"/>
        <s v="Too low cut"/>
        <s v="Cute style but runs big!"/>
        <s v="Shorter &amp; smaller than picture/ description"/>
        <s v="A/c is running"/>
        <s v="Runs really small"/>
        <s v="Elegant comfort"/>
        <s v="Order up a size!"/>
        <s v="Very cute"/>
        <s v="Sweater season"/>
        <s v="Stylish and functional"/>
        <s v="Lovely pants, bad fit"/>
        <s v="Statement dress!"/>
        <s v="Lovely, airy, but a tad big"/>
        <s v="Super cute and flow, perfect for summer"/>
        <s v="Gorgeous big floral"/>
        <s v="Cozy and warm"/>
        <s v="I love them!"/>
        <s v="Cute and decent make!"/>
        <s v="Pretty but sheer"/>
        <s v="Not quite perfect"/>
        <s v="Wanted to love these but didn't"/>
        <s v="Maybe not for everyone"/>
        <s v="Could live in this jumpsuit"/>
        <s v="Cute and funky work pants"/>
        <s v="Nice winter dress"/>
        <s v="Great romper but not for all body types!!"/>
        <s v="Material was light and comfortable"/>
        <s v="Unique and well made"/>
        <s v="Embroidered gauze romper"/>
        <s v="Bridgette jogger"/>
        <s v="Perfect pants!!"/>
        <s v="Nice pants if you have super tiny calves"/>
        <s v="Favorite retailer purchase!"/>
        <s v="Great quality and color but boxy and ill-fitting"/>
        <s v="Versatile comfortable dress"/>
        <s v="Sizing issue"/>
        <s v="A size 2 too big"/>
        <s v="Love these pants!"/>
        <s v="Runs small"/>
        <s v="Fun, true to size"/>
        <s v="Beutiful dress"/>
        <s v="Great pattern"/>
        <s v="Flowy &amp; fun"/>
        <s v="Perfect for hourglass"/>
        <s v="Absolutely beautiful and comfortable"/>
        <s v="Pretty, but ill fitting"/>
        <s v="Stunning skirt!"/>
        <s v="Too big on top"/>
        <s v="Best for tall folks"/>
        <s v="Classic and timeless"/>
        <s v="Great work skirt"/>
        <s v="Pirate sleeves"/>
        <s v="Why did i order this?"/>
        <s v="Cute &amp; comfortable"/>
        <s v="Cute blouse!"/>
        <s v="Nice idea"/>
        <s v="Loved it but big"/>
        <s v="Love the color and stretch"/>
        <s v="Color better in person"/>
        <s v="Cute but no shape or support up top"/>
        <s v="Great top!"/>
        <s v="Shoulders are puffy"/>
        <s v="Beautiful details, but not quite right"/>
        <s v="Fits like a glove"/>
        <s v="Why floreat? so perfect, yet so wrong!"/>
        <s v="Fabulous top"/>
        <s v="Cute pants!"/>
        <s v="Love it but runs large!"/>
        <s v="Add to your collection"/>
        <s v="Another winner"/>
        <s v="Wear now along, wear later with a sweater"/>
        <s v="Just beautiful, but..."/>
        <s v="Stunning, just wasn't quite right for my needs"/>
        <s v="Very sheer and not as form fitting"/>
        <s v="Beautiful fabric!"/>
        <s v="Great summer t"/>
        <s v="Nice styling!"/>
        <s v="Great staple with unique touches!"/>
        <s v="Quality and whimsy"/>
        <s v="This top runs very large"/>
        <s v="Flattering and comfortable!"/>
        <s v="Audrey hepburn"/>
        <s v="Beautiful but has flaws"/>
        <s v="Add a little fun!"/>
        <s v="Great autumn sweater!"/>
        <s v="Wish it looked as cute in person"/>
        <s v="Relaxed, flowing fit"/>
        <s v="Cardigan love"/>
        <s v="Soft and relaxed fit"/>
        <s v="Pretty and nicely cut"/>
        <s v="I wanted to love them"/>
        <s v="Flattering and easy"/>
        <s v="Not a white tee"/>
        <s v="Generously sized"/>
        <s v="Nice structure"/>
        <s v="Darker in person"/>
        <s v="Capsule wardrobe staple"/>
        <s v="Relaxed fit"/>
        <s v="Great all around top"/>
        <s v="The best layering piece"/>
        <s v="Cute shirt"/>
        <s v="Cute sweater, runs large"/>
        <s v="The alternative to the green cargo jacket"/>
        <s v="Classic and trendy"/>
        <s v="Need petite sizing"/>
        <s v="Really cute"/>
        <s v="Bright and airy!"/>
        <s v="Cute little cardi"/>
        <s v="Color"/>
        <s v="So fun!"/>
        <s v="Nice vest"/>
        <s v="Much cuter in person"/>
        <s v="Good everyday shirt"/>
        <s v="Does not fit as expected"/>
        <s v="Lovely material"/>
        <s v="Green not as pictured"/>
        <s v="Love this jacket!"/>
        <s v="Terrible!"/>
        <s v="Nice little top"/>
        <s v="My new favorite jeans"/>
        <s v="Off the shoulder elastic issues"/>
        <s v="The best boy short"/>
        <s v="A little long"/>
        <s v="Good skirt"/>
        <s v="Nice, but not for me"/>
        <s v="One of the best denim dusters!!"/>
        <s v="Good but runs very small"/>
        <s v="Runs small, stiff top"/>
        <s v="Great fit, alluring"/>
        <s v="Lovely pattern"/>
        <s v="Omg! back is see-through!!"/>
        <s v="Fit works for some and for others"/>
        <s v="Flattering top"/>
        <s v="Beautiful skirt - get ready for compliments"/>
        <s v="Surprisingly nice in person"/>
        <s v="Not for my body type"/>
        <s v="Not like the photo at all"/>
        <s v="Too low and very big armholes!"/>
        <s v="Red in xl is pretty"/>
        <s v="Unique dress"/>
        <s v="Love this skirt!!!"/>
        <s v="Wish it fit better for me"/>
        <s v="Lovely top!"/>
        <s v="Surprisingly flattering...plus pockets!!!"/>
        <s v="Very flattering fit"/>
        <s v="Lovely top that runs very large"/>
        <s v="Beautiful drape, very deep v"/>
        <s v="Unique spin to classic button down"/>
        <s v="So great - but quality not amazing"/>
        <s v="Fun &amp; flirty take on preppy look"/>
        <s v="Pretty spring/summer top"/>
        <s v="Perfect fit for broad shoulders"/>
        <s v="Absolute steal at sale price"/>
        <s v="Great basic"/>
        <s v="Colorful &amp; lovely"/>
        <s v="Beautiful sweater"/>
        <s v="Great idea, okay execution"/>
        <s v="Great buy on sale"/>
        <s v="Just like the photo!!"/>
        <s v="Odd fit"/>
        <s v="Just...weird"/>
        <s v="So different in a good way!"/>
        <s v="Droopy front, heavy fabric"/>
        <s v="Feminine, romantic skirt"/>
        <s v="Too shortwaisted"/>
        <s v="If only"/>
        <s v="Cute... if you're planning to hold it on"/>
        <s v="High in back"/>
        <s v="Not for me..."/>
        <s v="Love them!"/>
        <s v="Great w/ black crops"/>
        <s v="Lining makes all the difference"/>
        <s v="Great material and design!"/>
        <s v="Really wanted to like it, but..."/>
        <s v="The maxi dress i've been looking for"/>
        <s v="Gorgeus dress"/>
        <s v="High hopes, but tiny and flimsy"/>
        <s v="5-star fantastic!"/>
        <s v="Loved, but unsure about quality"/>
        <s v="Beautiful unique top"/>
        <s v="Lovely skirt, runs a bit large."/>
        <s v="Sizing is all over the map!"/>
        <s v="Gorgeous maxi dress"/>
        <s v="Cute leggings for cooler days, but be aware of fit"/>
        <s v="Great dress but..."/>
        <s v="This dress is perfect!"/>
        <s v="I adore this dress."/>
        <s v="Super adorable!"/>
        <s v="Sleeves too tight"/>
        <s v="Dreamy bohemian maxi"/>
        <s v="Beautiful! ...but not for a long torso"/>
        <s v="Huge!!"/>
        <s v="Tassels :("/>
        <s v="Great autumn dress"/>
        <s v="Great legging cord!!"/>
        <s v="Nice fitting cords-bronze"/>
        <s v="Bohoranna rhapsody"/>
        <s v="Another tracy reese winner"/>
        <s v="Beautiful dress"/>
        <s v="Cute but a little maternity looking"/>
        <s v="Exquisite"/>
        <s v="Ingenious mix of line and detail: ranna gill!"/>
        <s v="Not as shown"/>
        <s v="Great dress, even better in person!"/>
        <s v="Flows nicely"/>
        <s v="In love with this dress!!!!"/>
        <s v="Nice knit button up"/>
        <s v="Funky fun"/>
        <s v="Perfect summer pants!"/>
        <s v="Belle of the ball"/>
        <s v="Just a perfect pair!"/>
        <s v="Super cute but not for me"/>
        <s v="Great day/night pants"/>
        <s v="Great for spring"/>
        <s v="Beautiful - if you're pregnant with twins."/>
        <s v="Beautiful dress, fits poorly"/>
        <s v="Surprised this shirt is still available !"/>
        <s v="I'd rather pay property taxes than buy this one!"/>
        <s v="Ok, but didn't love the length (on me)"/>
        <s v="Nice but stil la tad long in eptite"/>
        <s v="Perfect except runs way too small"/>
        <s v="The perfect pant for warmer weather"/>
        <s v="Great pants!"/>
        <s v="Great jean"/>
        <s v="Truly beautiful dress"/>
        <s v="Square"/>
        <s v="Off the grid"/>
        <s v="Like, don't love"/>
        <s v="My favorite spring pants"/>
        <s v="Can't resist hot air balloons!"/>
        <s v="Dreamy pants"/>
        <s v="Perfect summer crop"/>
        <s v="Nice summer pants."/>
        <s v="Awesome versatile jeans"/>
        <s v="Love! but more tall options, please!"/>
        <s v="Great pants, a tad long in petite"/>
        <s v="Comfy and flattering"/>
        <s v="Great shirt, excellent details"/>
        <s v="Great take on a classic!"/>
        <s v="Very cute, very, very cute"/>
        <s v="Gorgeous detailing"/>
        <s v="Very unflattering dress"/>
        <s v="Super cute wear well"/>
        <s v="Almost."/>
        <s v="Perfect shirt"/>
        <s v="Sizing is off"/>
        <s v="Fun but not perfect"/>
        <s v="Just right"/>
        <s v="Would be great but..."/>
        <s v="Perfect every day neutral"/>
        <s v="Wanted to like it"/>
        <s v="Try on before purchasing"/>
        <s v="Not your everyday cardi"/>
        <s v="Flawed"/>
        <s v="Awkward shape"/>
        <s v="Most comfortable fabric i've ever worn"/>
        <s v="Cute skirt in theory"/>
        <s v="Can't get it on"/>
        <s v="Flattering and versatile"/>
        <s v="Wide and long"/>
        <s v="Halfway lovely"/>
        <s v="Great t-shirt for everyday use"/>
        <s v="So bizarre!"/>
        <s v="Good idea, wrong color."/>
        <s v="Another huge dress..."/>
        <s v="An absolute hit - if you buy the right print"/>
        <s v="Girls with hips - size up!"/>
        <s v="Would be cute if i could get it on"/>
        <s v="Mustard"/>
        <s v="Gorgeous sweater"/>
        <s v="Beautiful skirt!"/>
        <s v="Beautiful skirt"/>
        <s v="Effortless style"/>
        <s v="Small"/>
        <s v="Love it!!"/>
        <s v="Gorgeous green color"/>
        <s v="A staple!"/>
        <s v="Uhhhmmmazing!"/>
        <s v="Mission impossible"/>
        <s v="Too bulky"/>
        <s v="Great skirt"/>
        <s v="Greenhouse tank"/>
        <s v="Pleasing spring floral print"/>
        <s v="Gorgeous spring blouse!"/>
        <s v="Gorgeous vintage glamour"/>
        <s v="Fun summer dress."/>
        <s v="Material"/>
        <s v="Beautiful shortt dress"/>
        <s v="Love this dress!!!"/>
        <s v="Recommended for certain body types"/>
        <s v="Perfect flare"/>
        <s v="Excellent dress"/>
        <s v="Perfection !"/>
        <s v="In agreement with other reviewers..."/>
        <s v="Soooo pretty"/>
        <s v="Review for fit only"/>
        <s v="Beautiful shade of pink, very low-cut"/>
        <s v="Very flattering!"/>
        <s v="A step up!"/>
        <s v="Beautiful, soft and cozy"/>
        <s v="Extra fabric"/>
        <s v="Well made. beautiful colors"/>
        <s v="Awesome pair of high waisted jeans"/>
        <s v="One of the most beautiful dresses i have ever seen"/>
        <s v="Very cute, but impossible to put on"/>
        <s v="Love it. stylish but comfortable and low key"/>
        <s v="Such a beautiful well fitting dress !"/>
        <s v="Absolutely gorgeous!"/>
        <s v="Very cute but..."/>
        <s v="Fun and flirty"/>
        <s v="Very well made - runs large!"/>
        <s v="This dress is adorable!!"/>
        <s v="Good concept, poor product"/>
        <s v="Great features:pockets,lace in front"/>
        <s v="Tried it on a whim. love it."/>
        <s v="Cute but...."/>
        <s v="Great casual dress!"/>
        <s v="Effortlessly cool"/>
        <s v="Lovely and so flattering"/>
        <s v="It's gorgeous"/>
        <s v="Beautiful but big"/>
        <s v="Dream dress"/>
        <s v="Flowy, functional ,dressy"/>
        <s v="Very flattering"/>
        <s v="Runs big in bust"/>
        <s v="Finally saw it in person"/>
        <s v="Go to dress"/>
        <s v="Too big!"/>
        <s v="Absolutely beautiful"/>
        <s v="Love this sweater!!"/>
        <s v="A bit big"/>
        <s v="Gorgeous top but very high-waisted"/>
        <s v="Too cute but ..."/>
        <s v="Surprisingly amazing"/>
        <s v="The most versatile top."/>
        <s v="My go-to shirt"/>
        <s v="Versatile!"/>
        <s v="Beautiful dress - runs huge!"/>
        <s v="Great dress with a little help added!"/>
        <s v="Super sweater"/>
        <s v="Poor fabric quality"/>
        <s v="A hit!"/>
        <s v="Beautiful dress--if you can figure out your size!"/>
        <s v="Versatile vest"/>
        <s v="Bought for my sister, she loves it!"/>
        <s v="Nice design but quality isses"/>
        <s v="Love this wool seamed vest"/>
        <s v="Good summer tank"/>
        <s v="Shrinks, shrinks, shrinks"/>
        <s v="Upholstery fabric"/>
        <s v="Short dress? long sleeves? yes, please!"/>
        <s v="Great top, runs a little short"/>
        <s v="Great classic look for fall"/>
        <s v="Poor shape for my body type"/>
        <s v="Its a keeper"/>
        <s v="Weird fit in the bust"/>
        <s v="Cute style, very wide"/>
        <s v="Great coat"/>
        <s v="Loved it, but..."/>
        <s v="Very unfortunate"/>
        <s v="Rust not red"/>
        <s v="Runs small in bust"/>
        <s v="Great style, not so great workmanship"/>
        <s v="That unique retailer dress"/>
        <s v="Love, love, love"/>
        <s v="Lovely, but it is tight in the chest."/>
        <s v="Another tiny success"/>
        <s v="Bummed out"/>
        <s v="Not kind to curves"/>
        <s v="Perfectly adorable!!!!!"/>
        <s v="Cute top....but shrinks horribly!"/>
        <s v="Great tank"/>
        <s v="Flattering a comfortable"/>
        <s v="Fabric is very stiff...."/>
        <s v="Effortless"/>
        <s v="Beautiful color, pretty design, nice fabric"/>
        <s v="Chic"/>
        <s v="Too much pep in this peplum..."/>
        <s v="Great fabric"/>
        <s v="The perfect purple piece"/>
        <s v="Gorgeous and flattering dress by maeve"/>
        <s v="Great every day long-sleeved tee"/>
        <s v="Best basic ever"/>
        <s v="Perfect until washed"/>
        <s v="Love it but. . ."/>
        <s v="Soft &amp; versatile tee"/>
        <s v="Need them all!"/>
        <s v="Best. tee. ever."/>
        <s v="Love, but different colors fit differently"/>
        <s v="Lovely color"/>
        <s v="Comfort and style to the max!"/>
        <s v="Nice but 5% spandex makes it a bit clingy"/>
        <s v="Cute..."/>
        <s v="Confortable - simple"/>
        <s v="Didn't fit well for me, awkward and dull"/>
        <s v="Luxurious basic tee"/>
        <s v="Awesome shirt"/>
        <s v="Lovely detail"/>
        <s v="Comfortable top"/>
        <s v="Favorite go to top"/>
        <s v="Cutest ever!"/>
        <s v="Too long"/>
        <s v="Oversized and unflattering"/>
        <s v="Very pretty top"/>
        <s v="Everyday staple"/>
        <s v="Pretty but..."/>
        <s v="Ok, but..."/>
        <s v="Run don't walk to buy this"/>
        <s v="Want to like it...."/>
        <s v="What happened?"/>
        <s v="Perfect long sleeve tee!"/>
        <s v="Adorable but not really a cardigan more a capelet"/>
        <s v="Only suits smaller chest"/>
      </sharedItems>
    </cacheField>
    <cacheField name="Review_Text" numFmtId="0">
      <sharedItems containsBlank="1">
        <s v="Absolutely wonderful - silky and sexy and comfortable"/>
        <s v="Love this dress!  it's sooo pretty.  i happened to find it in a store, and i'm glad i did bc i never would have ordered it online bc it's petite.  i bought a petite and am 5'8&quot;.  i love the length on me- hits just a little below the knee.  would definitel"/>
        <s v="I had such high hopes for this dress and really wanted it to work for me. i initially ordered the petite small (my usual size) but i found this to be outrageously small. so small in fact that i could not zip it up! i reordered it in petite medium, which w"/>
        <s v="I love, love, love this jumpsuit. it's fun, flirty, and fabulous! every time i wear it, i get nothing but great compliments!"/>
        <s v="This shirt is very flattering to all due to the adjustable front tie. it is the perfect length to wear with leggings and it is sleeveless so it pairs well with any cardigan. love this shirt!!!"/>
        <s v="I love tracy reese dresses, but this one is not for the very petite. i am just under 5 feet tall and usually wear a 0p in this brand. this dress was very pretty out of the package but its a lot of dress. the skirt is long and very full so it overwhelmed m"/>
        <s v="I aded this in my basket at hte last mintue to see what it would look like in person. (store pick up). i went with teh darkler color only because i am so pale :-) hte color is really gorgeous, and turns out it mathced everythiing i was trying on with it p"/>
        <s v="I ordered this in carbon for store pick up, and had a ton of stuff (as always) to try on and used this top to pair (skirts and pants). everything went with it. the color is really nice charcoal with shimmer, and went well with pencil skirts, flare pants, "/>
        <s v="I love this dress. i usually get an xs but it runs a little snug in bust so i ordered up a size. very flattering and feminine with the usual retailer flair for style."/>
        <s v="I'm 5&quot;5' and 125 lbs. i ordered the s petite to make sure the length wasn't too long. i typically wear an xs regular in retailer dresses. if you're less busty (34b cup or smaller), a s petite will fit you perfectly (snug, but not tight). i love that i cou"/>
        <s v="Dress runs small esp where the zipper area runs. i ordered the sp which typically fits me and it was very tight! the material on the top looks and feels very cheap that even just pulling on it will cause it to rip the fabric. pretty disappointed as it was"/>
        <s v="This dress is perfection! so pretty and flattering."/>
        <s v="More and more i find myself reliant on the reviews written by savvy shoppers before me and for the most past, they are right on in their estimation of the product. in the case of this dress-if it had not been for the reveiws-i doubt i would have even trie"/>
        <s v="Bought the black xs to go under the larkspur midi dress because they didn't bother lining the skirt portion (grrrrrrrrrrr).&#10;my stats are 34a-28/29-36 and the xs fit very smoothly around the chest and was flowy around my lower half, so i would say it's run"/>
        <s v="This is a nice choice for holiday gatherings. i like that the length grazes the knee so it is conservative enough for office related gatherings. the size small fit me well - i am usually a size 2/4 with a small bust. in my opinion it runs small and those "/>
        <s v="I took these out of the package and wanted them to fit so badly, but i could tell before i put them on that they wouldn't. these are for an hour-glass figure. i am more straight up and down. the waist was way too small for my body shape and even if i size"/>
        <s v="Material and color is nice.  the leg opening is very large.  i am 5'1 (100#) and the length hits me right above my ankle.  with a leg opening the size of my waist and hem line above my ankle, and front pleats to make me fluffy, i think you can imagine tha"/>
        <s v="Took a chance on this blouse and so glad i did. i wasn't crazy about how the blouse is photographed on the model. i paired it whit white pants and it worked perfectly. crisp and clean is how i would describe it. launders well. fits great. drape is perfect"/>
        <s v="A flattering, super cozy coat.  will work well for cold, dry days and will look good with jeans or a dressier outfit.  i am 5' 5'', about 135 and the small fits great."/>
        <s v="I love the look and feel of this tulle dress. i was looking for something different, but not over the top for new year's eve. i'm small chested and the top of this dress is form fitting for a flattering look. once i steamed the tulle, it was perfect! i or"/>
        <s v="If this product was in petite, i would get the petite. the regular is a little long on me but a tailor can do a simple fix on that. &#10;&#10;fits nicely! i'm 5'4, 130lb and pregnant so i bough t medium to grow into. &#10;&#10;the tie can be front or back so provides for"/>
        <s v="I'm upset because for the price of the dress, i thought it was embroidered! no, that is a print on the fabric. i think i cried a little when i opened the box. it is still ver pretty. i would say it is true to size, it is a tad bit big on me, but i am very"/>
        <s v="First of all, this is not pullover styling. there is a side zipper. i wouldn't have purchased it if i knew there was a side zipper because i have a large bust and side zippers are next to impossible for me.&#10;&#10;second of all, the tulle feels and looks cheap "/>
        <s v="Cute little dress fits tts. it is a little high waisted. good length for my 5'9 height. i like the dress, i'm just not in love with it. i dont think it looks or feels cheap. it appears just as pictured."/>
        <s v="I love this shirt because when i first saw it, i wasn't sure if it was a shirt or dress. since it is see-through if you wear it like a dress you will need a slip or wear it with leggings. i bought a slip, wore the tie in the back, and rocked it with white"/>
        <s v="Loved the material, but i didnt really look at how long the dress was before i purchased both a large and a medium. im 5'5&quot; and there was atleast 5&quot; of material at my feet. the gaps in the front are much wider than they look. felt like the dress just fell"/>
        <s v="I have been waiting for this sweater coat to ship for weeks and i was so excited for it to arrive. this coat is not true to size and made me look short and squat. the sleeves are very wide (although long). as a light weight fall coat the sleeves don't nee"/>
        <s v="The colors weren't what i expected either. the dark blue is much more vibrant and i just couldn't find anything to really go with it. fabric is thick and good quality. has nice weight and movement to it. the skirt just wasn't for me, in the end."/>
        <s v="I have several of goodhyouman shirts and i get so many compliments on them. especially the one that says forehead kisses are underrated. don't hesitate. buy this shirt. you won't be sorry....."/>
        <s v="This sweater is so comfy and classic - it balances a quirky hand-knit look with a beautiful color and practical fit. it is a bit cropped and boxy as part of the style, and as others mentioned, there are gaps in the knit that make it see-through. in my opi"/>
        <s v="Beautifully made pants and on trend with the flared crop. so much cuter in person. love these!"/>
        <s v="I never would have given these pants a second look online, in person they are much cuter! the stripes are brighter and the fit more flattering. the crop has a cute flare which is right on trend. this brand has always run small for me, i am 5'8 about 140lb"/>
        <s v="These pants are even better in person. the only downside is that they need to be dry cleaned."/>
        <s v="I ordered this 3 months ago, and it finally came off back order. a huge disappointment. the fit wasn&amp;#39;t so much the issue for me. the quality of the wool is subpar. someone else mentioned a &amp;quot;felted wool&amp;quot;...i guess, is that what you call it?  "/>
        <s v="This is such a neat dress. the color is great and the fabric is super soft. i am tall so the long length was an added bonus. it definitely needs something underneath since the front gaps. i am going to pair it with a funky tank top, necklaces and boots. s"/>
        <s v="Wouldn't have given them a second look but tried them on in store of a whim. love, love!!"/>
        <s v="This is a comfortable skirt that can span seasons easily. while not the most exciting design, it is a good work skirt that can be paired with many tops."/>
        <s v="Just ordered this in a small for me (5'6&quot;, 135, size 4) and medium for my mom (5'3&quot;, 130, size 8) and it is gorgeous - beautifully draped, all the weight/warmth i'll need for houston fall and winter, looks polished snapped or unsnapped. age-appropriate fo"/>
        <s v="Super cute and comfy pull over. sizing is accurate. material has a little bit of stretch."/>
        <s v="Great casual top with flare. looks cute with grey pilcro stet jeans. flattering with peplum in back. nice cut for shoulders and neckline."/>
        <s v="Pretty and unique. great with jeans or i have worn it to work with slacks and heels. the colors, print, and embroidery are lovely. reasonably priced!"/>
        <s v="This is a beautiful top. it's unique and not so ordinary. i bought my usual medium and i found that it fits tight across my chest. although i had a baby this year and i am nursing, so that could be why. if i bought again i would size up."/>
        <s v="This poncho is so cute i love the plaid check design, the colors look like sorbet &amp; cream and it will pair well with a turtleneck and jeans or pencil skirt and heels. i love this look for fall and it can roll right into spring. great buy!!"/>
        <s v="First, this is thermal ,so naturally i didn't expect super sheer, but it is. really sheer light fabric. i like it, but be prepared for considering who you might run into if you walk around the house in it. second, it is large. i ordered the size 0 and it'"/>
        <s v="Tried this on today at my local retailer and had to have it. it is so comfortable and flattering. it's too bad the picture online has the model tucking it into the skirt because you can't see the ruching across the front. a little dressier alternative to "/>
        <s v="I bought this item from online... the fit on the model looked a little loose but when i got mine it seemed a bit tight! so i took it back to the store &amp; ordered a larger size. for the sale price this is a great top."/>
        <s v="I love this top. i wear it all the time.  the problem is that you can tell i wear it all the time as the fabric has started to fade.  i'd still recommend it as it is so comfortable."/>
        <s v="Very comfortable, material is good, cut out on sleeves flattering"/>
        <s v="This sweater is perfect for fall...it's roomy, warm, super comfy and the color really pops."/>
        <s v="Really cute top! the embroidery on the collar &amp; bib of this top is beautiful and unique, received lots of compliments &amp; questions about where i got it. i'm rather busty up top and the medium fit well, a small probably would've fit better but it's still su"/>
        <s v="This is a cute top that can transition easily from summer to fall. it fits well, nice print and it's comfortable. i tried this on in the store, but did not purchase it because the color washed me out. this is not the best color for a blonde. would look mu"/>
        <s v="I absolutely love this bib tee! it's probably my favorite retailer purchase of all time. i'm 5'7&quot;, 140 pounds and the small was a perfect fit for me. i typically wear either a s or m tops."/>
        <s v="Love the color and style, but material snags easily"/>
        <s v="Very soft and comfortable. the shirt has an unusual, asymmetrical seam that appears along the front, right-hand side of the garment. (the model is positioned so that you can't see this detail from the picture. i attached a picture that includes the front "/>
        <s v="Nice top. armholes are a bit oversized but as an older woman, i'm picky about that. the print is pretty and unusual. it just didn't look great on me. there's a slight peplum in the back that hangs nicely. it's a lightweight tee fabric that's opaque. i tri"/>
        <s v="This is an adorable top that i find to be extremely comfortable. i don't usually buy prints but this one is so feminine and looks great with dark wash jeans. i am a 36d and the medium was a perfect fit."/>
        <s v="I am pregnant and i thought this would be a great sleep bra. it's soft and fits okay, but it has zero support or shape. i would only buy if you are a b cup or smaller and can get away without support. if i would have seen this is the store, i would have p"/>
        <s v="This tank fit well and i loved the ruffle in the back and how it layed. but the front was not a good look and i will be retuning it."/>
        <s v="I got this in the petite length, size o, and it fit just right. i like that i didn't have to have it altered in the length; can wear with flats with plenty of clearance to the floor from the bottom hem. my only beef with the design is the height of the wa"/>
        <s v="I've been looking for bralettes that provide some support but not binding/tight for night time and casual wear. this is a light weight bra, could be a little more supportive. pretty color, with nice lines. only downside is the retailer tag on the back - i"/>
        <s v="This dress is simply beautiful and stunning. it is so figure flattering and i can't wait to wear it. size small worked for me, and since i'm tall it fell right to my ankle which is perfect for me. i could not be happier with the purchase and the keyhole i"/>
        <s v="3 tags sewn in, 2 small (about 1'' long) and 1 huge (about 2'' x 3''). very itchy so i cut them out. then the thread left behind was plasticy and even more itchy! how can you make an intimates item with such itchy tags? not comfortable at all! also - i lo"/>
        <s v="I recently got this on sale after looking at it forever on my wish list. i'm so happy with it. its very comfortable and just long enough for my torso (5'3). the pattern on the front is very flattering."/>
        <s v="Very comfortable shirt, light weight top with lovely floral colors. great for spring/summer with white jeans. love everything one september makes!"/>
        <s v="Loved this top and was really happy to find it on sale!"/>
        <s v="Beautiful top, but delicate! i wore it to school and the straps on my backpack caused some pilling. other than that it is beautiful and vibrant! just make sure you aren't doing/wearing anything that will rub it continuously since the fabric is delicate"/>
        <s v="Just received this in the mail, tried it on and am smitten. i'm usually a l, but sometimes i'm a xl (if no stretch), in retailer tops. i bought this one in l and i'm sure glad i did. very flowy, stretchy and comfortable. i also bought the meda lace top fr"/>
        <s v="Love this top! i kept eyeing it online and wavering on size, since my post-baby body is a little wonky. i went with the xsp, and miraculously, it works perfectly! so, i would say it does run just a little large..... i love the length, and usually do not g"/>
        <s v="I really loved this top online and wanted to love it in person. it is soft and the patter is okay in person. the neckline is higher than i am used to. also, there are two buttons in the back that must be unbuttoned in order to wear the top. it is difficul"/>
        <s v="I really wanted this to work. alas, it had a strange fit for me. the straps would not stay up, and it had a weird fit under the breast. it worked standing up, but the minute i sat down it fell off my shoulders. the fabric was beautiful! and i loved that i"/>
        <s v="This top is so cute, but it is massively babydoll shaped (a- line) which is not apparent from the pictures. i measured the xs i have and the chest is about 42&quot; and sweep is over 70&quot;. i would definitely keep this top if it hung straighter. the craftsmanshi"/>
        <s v="Why do designers keep making crop tops??!! i can't imagine this would be flattering on anyone, especially someone average height and well endowed on top. i looked like a football player. the pattern and fabric are gorgeous, so if you are like 4' tall and "/>
        <s v="I have a short torso and this works well for me. 34c, bought the 0. there's not much stretch to the fabric so it is fitted to my chest, but not in an uncomfortable way. definitely doesn't hang and have extra fabric like on the model. &#10;&#10;zipper goes almost "/>
        <s v="I love this top. it is loose and comfortable. it is not sheer so you don't need a cami. it runs a little large so size down if you want a more tailored fit. 1 criticism, it catches on sharp jewelry or belts and can pull if you are not careful."/>
        <s v="I passed up this dress so many times in the store and finally tried it on today because i wanted a casual dress while traveling in the cape. i was surprised how much cuter it is on than on hanger. i sized down to get a more fitting look and really made a "/>
        <s v="I am so drawn to baby doll and boxy shirts so i immediately tried this on in the store. i am petite and only 5'2&quot;, so usually shirts with a lot of fabric swallow me whole but this one was still cute. there is a lot more fabric than the picture lets on, bu"/>
        <s v="I would have loved this dress if the bust and waist were just a little more fitted. i am 32c and the top was too big. fit perfectly on hips. the lace material means it cannot be easily altered, so i chose to return the dress. i would have definitely kept "/>
        <s v="The zipper broke on this piece the first time i wore it. very disappointing since i love the design. i'm actually going to try to replace the zipper myself with something stronger, but annoying that it's come to that."/>
        <s v="I usually size up with this brand. small was perfect for me at 135lbs. this top has a luxurious but casual feel and beautiful. i am obsessed and want to wear it everyday. it wears a little long and drapey but a little tight where it rolls up in the arms."/>
        <s v="This dress is adorable - it's a perfect casual look for summer and the quality is nice with the lining (though still overpriced, in my opinion). the tie detail is somewhat adjustable, and i found my normal size s to fit fine (5'7, 128#). where this gets m"/>
        <s v="I am usually a petite 6 but since this dress did not come in petites i tried on 4 and it fit. i'm 5'1&quot; -112lbs so dress hit rt below knee -will have it hemmed up a bit do not so overwhelming.&#10;&#10;this dress looks stunning on! great vibrant color ( i have dar"/>
        <s v="Loved this top. great design. comfortable and unique. soft material"/>
        <s v="The rest of the reviewers are right about the color being in accurately pictured. i ordered the dark orange color and i recieved more of a dark cedar brown colored jacket. the print is great, i love it! it's so different than any other jackets ive seen. w"/>
        <s v="I purchased this top in an antro store last week. the quality is wonderful and the greenish blue color is very unique. the blouse has a beautiful stretchy camsiole that is attached at the shoulders, but can be removed by snaps. i tooks great when worn two"/>
        <s v="I received this shirt in my typical xs and it fits perfectly. i?m not crazy in love with it but i also don?t dislike. the shirt is on the thin side. do i need to wear a cami underneath it, no. my concern is holes. it does remind me of a material that coul"/>
        <s v="I was really hoping to like this, but it did not look the way it does on the model, at least not on me. the sharkbite hem is much more pronounced and looser. the one in the photo looks like it was pinned back. i am 5'8&quot; and usually wear a medium or large."/>
        <s v="I tried this on from the sale section, and they only had a 2 (i usually do 0), and surprisingly, that size was the right fit. it is fitted, with just enough room to eat :-) &#10;te blue is a light blue, almost neutral, with the white embroidery, i think it lo"/>
        <s v="I debated n that as i think it looks loose on the model, but if i was to tighten it, it looks a lot more flattering... i tried on the xs in the store (i usually do that to decide if i need petite), and it looked huge, when we pinched the back to see if xx"/>
        <s v="Really cute piece, but it's huge. i ordered an xxs petite and it was unfortunately extremely wide and not flattering. returning."/>
        <s v="I bought this top online in the burnt orange color and was so excited to get it. when i tried it on, the fit was fine but it just lacked...something. the back was a little bit too long, the front was a little bit too short and it lacked the overall tailor"/>
        <s v="I love cute summer dresses and this one, especially because it is made out of linen, is unique. it is very well-made with a design that is quite flattering. i am 5 foot 6 and a little curvy with a 38 c bust and i got a size 10. it fits well although it is"/>
        <s v="This top is so much prettier in real life than it is on the model. the pattern and texture are both lovely, and the peplum is surprisingly flattering. it is definitely on the short side, but i think that gives it a modern look. the fabric does not stretch"/>
        <m/>
        <s v="This shirt caught my eye because of how beautiful it was. i love the shape, design, and and the color. it's perfect for spring and summer with some white pants. unfortunately, i don't see any possibilities for this shirt to be worn any other way. so far, "/>
        <s v="Purchased this top online, and when i received it was very pleased.&#10;it has and elegant cut and yet is a casual fabric.&#10;love that the sleeves run longer......ads to the overall look.&#10;also loved the v neckline.........enhances the feel of the overall style."/>
        <s v="I usually wear a medium and bought a small. it fit ok, but had no shape and was not flattering. i love baby doll dresses and tops, but this was a tent. my daughter saw me try it on and said &quot;that's a piece of tablecloth.&quot; it's going back."/>
        <s v="I was very excited to order this top in red xs. so cute, but it was huge, shapeless and support thin! it had to go back. i should've looked at other reviews."/>
        <s v="I am in need of easy comfortable tops for everyday wear. i bought this top mostly because of the cute buttons. when i received it, it looked exactly as it does in the picture online, however, the buttons kept slipping out of their homes because the holes "/>
        <s v="At first i wasn't sure about it. the neckline is much lower and wavy than i thought. but after wearing it, it really is comfortable. it stretches a lot, so i wear a cami underneath so when i lean forward i'm not showing the world my torso."/>
        <s v="I find that this brand can be a little bit all-over-the-place with sizes. had i tried this on in person i may have bought it in a small instead of a m. despite being a bit big it still looks great and hides my flaws well. i bought a m in another shirt fro"/>
        <s v="This top is absolutely stunning. i purchased the white one. just received and it fits nicely-a little on the big side but i believe it looks better that way. this will look great with everything. it is well constructed and looks very unique. love it!"/>
        <s v="The fabric felt cheap and i didn't find it to be a flattering top. for reference i am wearing a medium in the photos and my measurements are 38-30-40."/>
        <s v="Runs big and looked unflattering. i am petite, might work on someone taller."/>
        <s v="I bought this lovely silk/velvet shirt in the &amp;quot;sky&amp;quot; color but it is more on the teal blue side than sky blue, which disappointed me. it is definitely darker than appears in photo. still a luxurious well-made beauty with sassy appeal. it drapes l"/>
        <s v="Was so excited to order this beautiful shirt!  and the color sky is gorgeous!  but as another reviewer said--it runs small.  it was also way too short.  so sadly i will be returning this.  i gave it 5 stars because it is beautiful and great quality--it ju"/>
        <s v="I ordered ivory in xl because this brand tends to run tight if you're well endowed. it's a beautiful color and i love the contrasting plaid lining the inside of the collar and cuffs. haven't decided about keeping it because it looks oversized (but cozy) a"/>
        <s v="The shirt is exactly as it is pictured, i have the burnt orange color and love it! i received numerous compliments both paired with jeans and tucked into a fun skirt. it fits true to size, as i normally wear a small in all retailer however it is the sligh"/>
        <s v="Perfect dress for hot, humid, sticky weather."/>
        <s v="This is so thin and poor quality. especially for the price. it felt like a thin pajama top. the buttons are terrible little shell buttons. this could not have been returned faster."/>
        <s v="I didn't end up keeping this dress...it just wasn't right for me. it is very cute and fit well but the fabric was very thin (partially lined which is a plus) and the hem line coming up on the sides made it just too short for me. i ordered the petite xs an"/>
        <s v="I read the first review on this and ordered both a small and a medium as i thought this would run small. i have to totally disagree with the reviewer! i find that this top runs true to size or even generous! the sky color is so pretty and this top can be "/>
        <s v="This dress is comfortable and stylish at the same time. it runs true to size. i'm 5'1&quot; 113 lbs and got the xs petite. wore it once so far for a few hours and got a few compliments on it!"/>
        <s v="The design/shape of the dress are quite flattering, flirty and feminine. but.... there is no way that the dress i received is new. the color is a faded washed out red and there are black stains all over the belt area. there is no tag... the fabric looks d"/>
        <s v="This one totally worked for me. love the color, length, and style."/>
        <s v="Prior reviewer nailed it with the summary of this dress. it definitely needs heels. i'm 5'4&quot;, 120#, 34d and this is a size 36. i usually wear a size s or 4 with most retailer stuff."/>
        <s v="This is the perfect summer dress. it can be dressed up or down. the quality of the linen fabric is very nice. i'm 5'1&quot; and it hit right below my knees. i found it to run true to size. those with a smaller bust might want to go down a size, but the tie in "/>
        <s v="First, the fabric is beautiful and lovely for spring and summer. i really wanted to like this top, but the fitting is so awkward for me. i typically where a 0/xs, and sized up in the shirt to a size 2. it was very tight and pulled funny across the chest ("/>
        <s v="The color is perfect for fall and into winter. only the inside collar on the photo shows the subtle plaid lining. the lining was an unexpected bonus, and adds even more dimension to the shirt if the sleeves are turned up.&#10;the fit is true to size and the '"/>
        <s v="The perfect striped t-shirt, and the cute little buttons down the front are a wonderful accent with each one being different. i love it!"/>
        <s v="Great look and you can wear this vest with almost everything . i normally wear a small but they only had mediums and it fit fine( i like it tied). this will stay in my closet all year round . it does look like it will wrinkle easily but that doesn't bothe"/>
        <s v="This is a great pull over dress that can easily be dressed to wear to work, to a bbq, or to happy hour. i have a large chest which sometimes makes this fit look like a tent but this fabric drapes nicely. the only thing i would note is the neckline was sli"/>
        <s v="After reading the previous reviews, i ordered a size larger. i am so glad i did it! it fits perfectly! i am 5'4&quot;/115/32dd and went with the s regular. so beautiful! i can't wait to wear it!"/>
        <s v="I was so excited to try out this top since it was such a bargain and neutral. unfortunately, the shape is &quot;a&quot; line and accentuates the hip area a bit more than i find flattering. so, it will be returned."/>
        <s v="Like others reviewers mentioned on here, this dress is extremely well made. but there were too many cons for me, as well. this would most certainly work on a petite/shorter frame, but for tall, busty, and curvier girls, it just sits wrong on all places un"/>
        <s v="I read the previous reviews and had hoped that the exclamations about the color being inaccurate were exaggerated- however they are sadly very true. let me be clear that this is a beautiful, comfortable piece of clothing- when you put it on it feels thick"/>
        <s v="This coat is beautiful! i love the color and the design. it definitely runs a little large. i usually wear a small or a zero and i can wear a small wth a large sweater underneath no problem. i might have wanted an extra small but i just stuck with the sma"/>
        <s v="Nice vest, pretty olive color, hangs nice but...its just kinda funny. just hangs and really looks odd when tied. i like the laying piece just wished it had more &quot;umph&quot;."/>
        <s v="This top is super comfy and casual. the slit/design in the front gives it more of a stylish look than your average white long sleeve tee. would definitely recommend."/>
        <s v="Intrepid soul that i am, i washed it in the machine in cold water on a 25 minute cycle, then put it in the dryer for 8 minutes, shook it out, hung it up, and it is just the same as when it went in. doesn't need to be ironed and didn't shrink. yes, the swi"/>
        <s v="It's ok, fit doesn't wow me because of my body. chest is too wide, hips look too narrow. drapes across my back fat in an especially non-flattering way. basically made my square-apple body look more square-apple. great part about this dress is that it's co"/>
        <s v="In my retailer this was hung over in the pj section, and it really has more of a jammie top feel... soft, thin and stretchy. it's super cozy and comfortable and it drapes really nice. mine seems to have stretched out a little, especially the neckline (and"/>
        <s v="I love this vest! there are so many ways to style it...open or tied closed, over a dress or with a tshirt and jeans. i get compliments every time i wear it. it's soft and light enough to add interest to an outfit without being too heavy/hot to wear all da"/>
        <s v="This blouse is a perfect creation: perfect-weight cotton, many, many details, and color, all perfectly executed. there's fullness to the body, so this will definitely be easy to wear in hot, humid locations this summer, and it would be easy to pair with m"/>
        <s v="Love this vest! the color looks a little more brown in the picture than it really is--it's a deep forest green that goes great with jeans or black pants. a great piece for polished but casual style, and the fabric has a nice, soft suede-like finish.&#10;&#10;if o"/>
        <s v="I received the sky color in m online.  am definetly keeping it as it is beautiful.  however i wish they had made it a little less wide and more long.  i am 5 3 and could totally size down to a s but even at my height it would be too short.  i like crop to"/>
        <s v="I am obsessed with peplum down coats because the ones you usually see have no shape and are extremely unflattering. i was excited for this to arrive. this is quite nice and it looks more feminine than the other down coats out there. the coat itself runs j"/>
        <s v="The silhouette and length of this skirt and length are flattering, classic and comfortable! the colors and weight of this skirt make it versatile - could be worn year-round (so long as it's not 100 degrees out - there is a bit of weight to it). it's one o"/>
        <s v="Perfect for work or going out. i layered this with the reversible tank in medium pink so it would be work appropriate. it did not feel scratchy to me, maybe because i layered it. great buy especially with the discounts. feel like i lucked out."/>
        <s v="It's a pretty top, but it runs very short. the back is also pretty see through so i'm not sure i will keep it. it's called off the shoulder but it is so tight when you try and actually wear it off the shoulder. great design, just not sure i will keep it d"/>
        <s v="Ii'm not usually big on lace but this is so unique and versatile that i went for it. looks good dressed up w/a nice top or casual w/a tee. can be worn practically all year. love it!"/>
        <s v="My firned tried this on and her first comment was &quot;take it off, it is scratchy&quot;, so i didn't bother trying it on. it is, however, beautiful, if you are not sensitive to scratchy material.&#10;fit was true to size."/>
        <s v="The stylist had me try this top on off the shoulders, but that was kind of snug, perhaps why it didn't fit right, it is not off the shoulders on this picture. the cut is loose, so it looked big on me, but going smaller would not have worked the way i had "/>
        <s v="Some reviewers found this skirt to be on the smaller side, but for me, it was big,,, too bad the smaller size is sold out (well, all peittes are sold out). the length is also pretty long, below the knee, but in the narrow part still...so able to keep it. "/>
        <s v="I purchased this skirt at retailer store in texas. i fell in love since i saw it. the fabric is nice and the colors are pretty and cheerful for this spring/summer !! and it has pockets on the sides! don't we love pockets? very practical and lightweight"/>
        <s v="This is a very pretty skirt and the colors are better in real life. sizing was mostly true to size for me, slightly tight in the waist but i have a thicker waist compared to my hips. i'm 5'7 and 138# and ordered a size 4 (i usually size up to a 6 with ret"/>
        <s v="This skirt is wonderful! the price point seems a bit high for the average office gal, but the quality is impeccable. i really enjoy looking at myself in the mirror when wearing this skirt. it can be dressed up, dressed down, worn during all seasons. the d"/>
        <s v="Like other reviewers noted, the pics don't do this skirt justice. it is truly beautiful with an intricate lace pattern and rich colors. can't wait to wear this to work!"/>
        <s v="Love this skirt. the detail is amazing. runs small i ordered a 12 i'm usually a 10, but still a little snug."/>
        <s v="Not keeping this one. the fabric is a bit tacky-looking in person, the cut is odd and it's just not me. fit is fine and there are snaps to keep the neckline flat and shaped, the colors are as shown and it is a good length (falls to top of hip). i simply d"/>
        <s v="The top as with most of ap's tops is well stitched. material is very uncomfortable. if you have large bust it is a little divulging. this may prompt you to wear something underneath to look modest and change the shape of the top!"/>
        <s v="I love the metallic colors of this top and figured i could wear it under a ruched jacket and circle skirt for work. welp, that's out the window. this design is poor. for one, this is not a piece for a petite woman with no torso and i don't know how anyone"/>
        <s v="This top is so much better in person. i do not agree with some of the other reviews about the fabric being scratchy. it is not and i have sensitive skin. i love this top and have got lots of compliments."/>
        <s v="This is a lovely pencil skirt that is well-made and really brightens a work day. like a lot skirts with multiple colors, a lot of tops feel like they should match but you have to try a few that really work with the skirt and your look to get the right imp"/>
        <s v="So  disappointed that no where in the limiting did it mention this suit is australian in size!! i ordered the 10 (i'm usually an 8 but that was sold out) and the suit arrives and doesn't even fir over my hips. -- the label clearly says 10 australian us 6!"/>
        <s v="I saw this top online and read the reviews so i passed when i went into the store. when i went in again i thought i would give it a try. so glad i did ! it fits great and is way way prettier in person ! i ended up buying it and so glad i did !"/>
        <s v="This is a very pretty top with vibrant metallic colors. i would be perfect for a holiday party or going out to dinner. it wasn't as scratchy as i thought it would be based on the reviews, however, it ran a little big. i'm 5.3 and about 130 pounds and i al"/>
        <s v="Love everything about this beautiful coat except the way it fits on me.  it is just perfect in the shoulders but once it flares out at the bottom, i look like a clown costume.  if i size down it will not fit in my shoulders.  perhaps a tailor can install "/>
        <s v="The title says it all....this fabric of this top is both the best and worst part of the design. the colors are vibrant and the combination of materials (shoulder is a knit, sweater-like navy fabric) is interesting. however, that is where the positive comm"/>
        <s v="My usual size 6 fits perfectly... yes the metallic fibers on the inside are scratchy. a cami solves that problem. when ordering, i realized i cld not go strapless &amp; wld have to wear a one of my wider strap cami's in navy or black to cover the bra strap ar"/>
        <s v="The online picture does not do this skirt justice. it's very pretty and unique in design. i think it should be worn with a tighter shirt that is tucked in unlike the picture. this is truly a pretty pencil skirt."/>
        <s v="I bought this and like other reviews, agree that the quality probably could be better, but i still love it enough to keep. the buckle fell apart, but i was able to fix it and the zipper seems a little weak. it has pilled, but the fabric is textured, so i "/>
        <s v="I bought a petite, size 2. i am 5'3&quot;, 111 lb - it fit perfect with a tiny bit of room. looks just like the one pictured. length on me was about 1 inch lower than the model. very bright with multiple colors. has a nice stretch. very cute."/>
        <s v="This will be perfect for the mild fall weather in texas. it's light weight and i love that the top is a little more fitted and the bottom swings out."/>
        <s v="I love the dresses by maeve and this one is no exception. i was pleasantly surprised upon receiving this dress because i wasn't sure about the print size and colors when i saw it online, but the print is beautiful. it's a very simple but elegant style and"/>
        <s v="These pants are fun! i use them as sleep pants. i had to size up because the waist band was a little tight for comfort."/>
        <s v="I ordered this in xs, i'm 5'4&quot;, around 115lbs, and it fits perfectly. the material is very soft, but not see-through, and the romper is well-made. i wish it came in other colours, i'd buy more!"/>
        <s v="I purchased these for something other than sweats to wear for a girls get away weekend. they were so comfortable and flattering, friends told me i could wear them out for dinner.&#10;&#10;the fabric is beautiful, and i loved the way they draped. the angled cut on"/>
        <s v="Love this cream sleeveless top....it goes with everything and you can dress it up or down! this will be a go to top all summer long and probably wear thru the fall as well with a layered sweater, if needed. i typically wear small or medium size and got th"/>
        <s v="This skirt is beautiful (especially the color) and looks well made. however, i am very pear shaped and this skirt is just too straight to be flattering on me. i agree that it runs small but even when i sized up it still wasn't flattering. i imagine that t"/>
        <s v="Happy with this top- slightly thinner material than i was expecting but that'll be fine with our hot summers. got the navy striped one- very pretty and extremely soft. washes well. i do wear an tank underneath though bc the armholes are slightly large and"/>
        <s v="Love the fit of this sweater! it almost fits like a sweatshirt and definitely not as long as on the model. it hits me just below the hips( for ref. im 5-3&quot;). im considering getting all the other colors because its so cute and comfortable. could be dressed"/>
        <s v="I love this sweater!! i like sweaters that are narrow on top and taper out so it doesn't look like a sack on me. plus, it is the perfect weight. i wish i would have bought one in a different color because it is so comfortable."/>
        <s v="The colors are vivid and perfectly autumnal but the fit is a mess. it was overall too large, the waistline curves up in the front and then falls into small pleats which was maternityish, the waistband was thicker than the dress and sat away from my body a"/>
        <s v="Love this tunic! i am a curvy gal (with a few extra 'curves' in the middle) and this is a perfect top for accentuating the good and masking the negative. i purchased the pink color and it is a gorgeous peachy- pink, a much deeper color than what is portra"/>
        <s v="Loved the green color, the cut is super flattering, but alas, i do need hte petite, ti was a bit long and i looked a little lost. unfrotuantely, the color is sold out in petite :-("/>
        <s v="But i thought this was lace or with texture, it is more a pattern on regular fabric.&#10;&#10;colors are nice, there are subtle flowers with bright colors in the pattern, the fit is nice, the 0p fit snugly enough, i don't think there was much give but that was co"/>
        <s v="I like this sweater so much i just bought it in a second color! the pleats make the sweater conform to my shape just enough to be flattering. i wore it over three different dresses this week that might have felt too bare for work or cooler weather. i live"/>
        <s v="Beautiful color,, great quality, and great fit if you size up! i learned my lesson with previous purchases and sized up when i read it runs small. i usually wear a 0/2 and i took a risk and went for the 4. it fits perfectly. i have a 25 in waist."/>
        <s v="Online, this looks like a great sweater. i ordered an xxsp and found that this sweater is much wider in the middle than pictured. in fact, i'm pretty sure they pinned the shirt in the back for the picture to make it appear slimmer. unfortunately, this swe"/>
        <s v="I was worried about this item when i ordered it because of how it looks in the picture, but i had wishful thinking. i should have gone with my gut! this shirt does not have the same quality as all my other retailer purchases. it is see-through and flimsy."/>
        <s v="This skirt is a great length and nice piece for fall/winter. i love the color. it fits like a high waisted skirt would which is why i purchased the next size up."/>
        <s v="This easel caftan is simply amazing! the silhouette fits all sizes and shapes while providing a unique dress."/>
        <s v="Just came today: the print is gorgeous.  very bohemian. it's a dressier dress with the chiffon.  on the con side, the chiffon is very delicate, snagged easily while trying on. there's raw edges on the waistband, needed trimming fresh out of the package.  "/>
        <s v="My waist measures 28&quot; and the size 4 is a snug fit. i normally buy size 2 in retailer skirts, but the 2 was unbearably tight. cute skirt though! i like that it's machine washable, and the quality looks good."/>
        <s v="I love the fabric and color (i bought the green one). my only complaint is that the base is wider than the picture shows. it looks more fitted on the model. it is more of an a shape (significantly wider at the hips.)"/>
        <s v="I was minimally torn over whether to return this but ultimately it's going back because the knit is just too thin. i thought it would be cozy and be of normal sweater weight but it's not. and because it's so light, the swing effect doesn't really come off"/>
        <s v="I love the color of this skirt, and the fabric is wonderful. it was a bit longer than anticipated, but fit well."/>
        <s v="Dress ran very large in every way. beautiful design, lining and quality material. i should have sized down 2 sizes. item is now sold out."/>
        <s v="Finally a &quot;swing top&quot; that doesn't look like a sack on me! i've been wanting to partake of this current style, but everything i've tried so far just looks &quot;dumpy&quot; on me. not this top -- it is very feminine and flattering. i am 5'7&quot; 118 lbs and have a smal"/>
        <s v="I bought this shirt in the neutral and white and love it. so many people compliment it. i usually pair it with white pants and cute wedges to dress it up (obviously with a statement necklace too). but the greatest thing about this shirt is the fact that y"/>
        <s v="Unlike the other reviewers, i did not have any problem with the sizing, fit or length of this skirt. it is a midi skirt so i think it's suppose to be a little bit longer?? for me it fit true to size. for reference i am 5'8&quot;, 135 pounds and the size 6 fit "/>
        <s v="For a now feel, that comfy and well made, this was a great choice!"/>
        <s v="This skirt looks exactly as pictured and fits great. i purchased it a few weeks ago and got lots of compliments on it. however, on the third wear, the side zipper split wide open. needless to say, it was returned."/>
        <s v="Dang, i got a small and was still swimming in it. it's made of the fabric that increasingly seems to be the fabric of choice for all things t-shirty- soft and thin-ish, a bit translucent. i'd rather wait for something more formfitting and flattering- back"/>
        <s v="Bought this item on sale and was very disappointed in the quality for the cost. fabric feels cheap, like it will snag easily and will stretch out quickly. did not flatter the female form- felt like a burlap sack. gorgeous blue color but not worth the pric"/>
        <s v="Nice weight sweater that allows one to wear leggings or ultra skinny jeans without looking like i'm pregnant (not that there's anything wrong with that) very feminine and light weight enough to wear with a cami underneath and a pretty scarf."/>
        <s v="I loved this top; it reminded me of one i have from retailer from circa 2008 in black and white; however, on this one, the chest area is too big, in both the 14 and 16, and i even found myself tugging downward on the fabric to keep it in place because the"/>
        <s v="I love the rich deep color and the style but once again this brand runs really small in the waist. i am normally a 8/10 in retailer skirts and the size 10 was tight at the waist enough so i could not button it and feel comfortable. the quality is ok, some"/>
        <s v="Great shirt to wear with white pants and wedges. i'm a teacher and this is perfect for warmer months for school or for casual evening out. it runs big but falls in such a way that it doesn't make the wearer look big; it falls elegantly and in a flattering"/>
        <s v="I loved this skirt on but just the other reviewers, it runs small in the waist throwing off the dimension of the skirt. i ended up getting the 0 despite the fact that it was tighter in the waist because the 2 at this length (with my height) and amount of "/>
        <s v="Gorgeous top, very nice. detail work, soft and flattering. i don't think its too full on the bottom at all - mine has a loose but pretty straight silhouette. word of warning: soft pink is not pink it is peach with some pink - and definitely not my color. "/>
        <s v="Love the fabric of this shirt even though it was thinner than i expected. it is soft to the skin and flattering. however i returned it because it is made for women with long torso and shorter shoulders."/>
        <s v="I have already worn this several times. it is very flattering, lightweight, and easy to wear. dressy but also very soft and comfortable."/>
        <s v="Very pretty fabric and beautiful color, but i agree with the other reviewer here, the fit is a bit strange. the waist is very small - need to size up at least one size for that to fit - while the rest fits nicely. it's also a little longer than i had expe"/>
        <s v="I was so excited about the arrival of my maza dress. much to my surprise the material was not has structured as i thought it would be from the photos. the fit was very tight and did not fall as nicely as i anticipated. because i loved the classic design i"/>
        <s v="I'm 5'4&quot;, 130 lbs. 34 d. i bought the medium. i think i could have gotten the small but i didn't have time to re-order. it fit fine but could have been a little more snug around my top half. i love the length and the fabric.!"/>
        <s v="The skirt that i received had very little blue or green in it, and was mostly white, yellow and some red. the fit was fine but the quality for the price was not there for me. the lack of quality and the disappointment in the quality equals a return."/>
        <s v="Ranna designs richly detailed dresses and this is no exception.  looks just like the pictures (colors/cut/drape) with the exception of a modesty hook at the deep v-neck.  sleeves are sheer with an elastic cuff.  this dress does not stretch--the bodice fel"/>
        <s v="Bought a large, could barely pull up over my butt. runs extremely small. it's cute but if your not a stick figure, this is not the suit for you."/>
        <s v="Adorable... too chilly now to wear alone &amp; too cute to cover it up! my navy parka or jean jacket will prob be ok w/ it though. size 6 fits me perfectly &amp; looks pretty much on me as in the pic. love plaid &amp; cotton blend tops anyways. ruffles - adorable, &amp; "/>
        <s v="This dress makes you feel like a bohemian goddess.  falls in the right area and absolutely adorable.  the dress is very fragile, handle with care."/>
        <s v="This is my new favorite top! looks and fits as described."/>
        <s v="Last minute i needed a family-friendly top for a chilly night, so i tried on a couple of flowy sweaters at retailer and this was the keeper. while i found other styles a bit too boxy or bulky for my short torso, this has a nice a-line shape that gave me a"/>
        <s v="Love all the colors in this skirt and that i can wear it with a tee and flat sandals or a black jacket and heels. easy piece to wear many ways. great quality too."/>
        <s v="This tunic trumped any other i have seen this season. the style, with the delicate open stitchwork around the upper chest gave it quite a feminine appeal. i especially love the weight of the fabric being on the light side. won't have to worry about hot fl"/>
        <s v="I needed a dress that was easy to throw on for summer days and this dress is perfect for that. it's flattering, light weight and unique. i've received a handful of compliments while wearing this dress. i am 5' 6&quot; 150 lbs, hourglass figure and typically pu"/>
        <s v="The inseam is advertised as 28&quot;, but they are more like 38&quot;. i was hoping they were for short people, but they are for someone with very long legs, event in my tallest heels, i'd have to get them hemmed! just a warning to my short friends out there. the q"/>
        <s v="I love paige brand pants-they are soft, comfortable, and forgiving. i love these, and want them badly. the are still tight all the way to the knee and then go out into a flattering flare-it is difficult to find the perfect fit on something like this-and p"/>
        <s v="This top is really pretty and nice quality. runs big - i went down a size, and its perfect. coloring is more subtle in person than in the photo."/>
        <s v="So i love pilcro, i wear them all the time and usually size down because they &quot;grow&quot; after wearing them. i tried on my usual size in these and felt like they are too tight, not sure if they will get any looser. the material feels really good, lightweight "/>
        <s v="This is a cute top with jeans for spring and summer, or warmer climates - very fresh and airy. the fabric hangs nicely and although it is lightweight, it is not too thin or see through. ii does not get overly wrinkled either. the style is flattering for m"/>
        <s v="Petite pants hsould be able to fit short peple, but a 32 inch inseam on pants with buttons at the nottom, can't even gegt them hemmed, what a bummer. my inseam is 27 inchess, so i would need a 5 inch heel. otherwise, gorgeous, and waiat fits true to size."/>
        <s v="I tried on the petite size in my usual xs, adn i actually have to go down to xxs, i looked overtaken by the shirt. i'm 5'2&quot; and 115lbs)&#10;&#10;cut is flowy and not close to the body, sleeves are narrower, but still ok with athletic built.&#10;&#10;color: light one is g"/>
        <s v="I tried these on on a whim because i liked the shirt that they were displayed with in the store and was surprised how much i liked them! they are a great lighter weight alternative to the pilcro hyphen chino. great for hot days of summer.&#10;the subtle verti"/>
        <s v="The shirt is absolutely cute looking. but that's just that....looks. i'm 5'2&quot; size 6 &amp; wears m to l top. i tried on the medium in the store, it was rather flowing. i liked it. but i didn't like how it fit on the underarm area. it hung very low. so i order"/>
        <s v="These jeans! i tried these on, in addition to the high rise paige denim, and these won out hands down. classic flattering fit from mother, with an element of edginess with the frayed hem. these are long enough on me (i'm 5'5') to cuff at the ankle if i do"/>
        <s v="I ordered this top in my usual size and am exchanging it for one size smaller.&#10;it runs very generous, and so the sizing is a little off.&#10;the style and quality are beautiful, so i am anxious to receive the smaller size."/>
        <s v="The blush stripes are subtle but they definitely give elongating effect to your legs.&#10;&#10;very comfortable pair of crop pants but my calves are definitely feeling tight in there!"/>
        <s v="I got a small mauve. the fit is great and the length is perfect for me, just few inches above my knees.&#10;cute and cozy! what more can i aske for!?"/>
        <s v="I have a similar pair of capris from retailer and when i ordered these i thought they were the same in a different color. these are less flattering and i may not keep them."/>
        <s v="Fun detail with the beading and lace! arms are a little longer while the body of the sweatshirt is a little shorter than expected, but that's the style of the piece. the fit was tts with those proportions mind.  the ladies at the store said that if i orde"/>
        <s v="I love the style of this top, and the longer length would be great with leggings and fitted shorts. it's somewhat fitted on the top yet it's a-line shape gives a full swing at the bottom. the ruffled v-neckline is pretty, and i like the longer length of t"/>
        <s v="Ordered these online and they fit perfectly. i was looking for lightweight pants for hot and humid summer days and this pair is exactly what i needed. the striped pattern is cute and adds some color."/>
        <s v="I loved this dress from the moment i tried it on. so flattering to my postpartum body without being a huge tent. soft fabric, and for a white/lightly striped dress, not sheer. i'm bummed because after washing only twice (followed the instructions to wash)"/>
        <s v="I went ahead and ordered a size up based on previous reviews, but i should have ordered my own size, as they're a bit loose around the waist. the pants are adorable and the pinstripes very flattering, so i definitely recommend them!"/>
        <s v="I really want to love this shirt, but the small is just way too big on me. for reference, i'm a 32d (which is why i didn't want to size down much more than a small), 5'6' and 125 and i'm drowning in this. i'm going to try it with different bottoms and ult"/>
        <s v="Love pilcro, love the stripes and the length - but this particular pair of capris/crops are super tight fitting. i went up a size from my usual and still felt tight. i guess its just the cut/fabric combo. i wanted it to be a slightly less form fitting fee"/>
        <s v="This is exactly what i was expecting. cute, comfortable and casual. there are some gold sequins in the scroll work that i didn't see online. they are super pretty in person."/>
        <s v="I tried these on in the store, and they are super cute but run small. i typically wear a size 25 (i'm 5' 5&quot; and 108 lbs.) and they were too tight for me. i like the fabric and the cut; i think they'd be great one size up. (my store didn't have them.)"/>
        <s v="Really nice, substantial, fully lined sweater coat. i love the structured look and the faux-leather piping around the zipper and the pockets. quality seems to be very good. it runs true to size, maybe slightly on the small side (especially for larger hips"/>
        <s v="Really pretty, but runs at least a full size small."/>
        <s v="I love these pants. i have worn them a number of times already this season. i am 5' so i did have to have them hemmed. i lost the bottom button in the process but there are still 3 or 4 on the pants so i don't think they look odd. i also wear very high bo"/>
        <s v="I love this tunic the natural color is just that, this is a tunic so the fit is a little large. i kept it and had it altered because i really do love this top"/>
        <s v="These cropped pants are very light weight and super cute. they seem to run just a bit small (i sized up one size from my usual) and don't seem to stretch so a size larger than you generally take may be necessary. the thin pin stripe design is very light i"/>
        <s v="I have this dress on today in white and i am coming back to buy the second color even though pink is not my favorite. great comfy, casual dress that pairs well with a variety of shoes and jewelry to dress it up. highly recommend for summer!"/>
        <s v="Size down! i love this item. it goes perfect with leggings but if you are typically a small you would need to order an extra small and so forth. hopefully once i wash this it will shrink some."/>
        <s v="Cute, swing top that would be flattering on most. i love the print on the white color and it's so soft. doesn't wrinkle easy. but it does run big! i'm usually a s in retailer but i was drowning in it. so, size down!"/>
        <s v="I purchased this top in a regular small and surprisingly, it fits me very well (i'm 5'2&quot;, 34b, 26 waist, 36 hips). the hem falls about two inches longer than shown on the model. i like the v-neck the most because the ruffles are not too much, and it's not"/>
        <s v="This skirt is really beautiful but i agree with the other reviewers; it runs very small. i'm typically an 8 or 10. if i get a 10, there is usually a bit of room in the item. i decided to get a 10 in this skirt, just in case. i got it zipped but would have"/>
        <s v="Fits well through the shoulders and arms, but there is zero waist, and it just looks like a bunch of extra fabric hanging from the top. super cute, but have to return because of that."/>
        <s v="From the picture i wasn't sure how it would fit. got in the mail and i love it. fits snug when you first put it on and get looser as you wear it. definitely should of gotten a large."/>
        <s v="I was hesitant to purchase this coat because of the price, and when i received it i have to admit i was a little disappointed with the quality of the coat. the sleeves are made out of a soft felted material but i can see this pilling easily. other than th"/>
        <s v="This top is very cute. got it in the lighter color. the fit is great and it will go with many things. if size medium were not out of stock in the blue color i would have purchased that one also."/>
        <s v="I really wanted to love this t and was excited to receive it in the mail. i thought i was being realistic in assuming that is would be somewhat sheer given that there doesn't seem to be a woman's white t on the planet that isn't these days, however it was"/>
        <s v="This is a perfect jacket over any shirt, tee, or dress. jacket is well made and goes with anything!"/>
        <s v="I ordered this dress in both colors. the peach color is so beautiful in person. i'm planning to wear this dress for our rehearsal dinner at the end of the summer, if i can hold off until then! definitely worth the price."/>
        <s v="This dress is incredible. i saw a sales girl wearing it in my local retailer and loved it! i bought it in the navy color, it's gorgeous in person, very bright, vibrant colors. i am 5'9 34 c bra 27 inch waist and the s was quite big on my waist. i kept it "/>
        <s v="Love the look and quality of this jacket. i&amp;amp;#39;d say it fits true to size but it is way too short for me (i&amp;amp;#39;m just under 6&amp;amp;#39; tall). wish these came in tall sizes!"/>
        <s v="I really love the front of this shirt. however, the back of the shirt is more of a jersey material so it doesn't seem to match the front of the shirt. i still wear it and it looks cute, but it threw me off a bit at first."/>
        <s v="Absolutely love this dress! fits true to size and makes anyone look fabulous"/>
        <s v="I liked the color of this top but i didn't really like the ruffled stitching around the middle. it looks like someone just tacked on the bottom half. i bought this for my daughter and she likes it. i think it is comfortable and a good top to knock around "/>
        <s v="Per other reviewers, i sized up from a small to a medium and the jacket fits me just right with room for layers. it is short (cropped), but i like where it hits me and is versatile for jeans and dresses."/>
        <s v="I have alst year's version,a dn they are essentially the smae, minus some leather parts removed... this jacket is great, the back si a little shorter, so it goes so well with peplum tops an ddresses with higher waists (without looking bigger from the back"/>
        <s v="Bought both colors in xs and soooooo glad i did. this dress is absolutely gorgeous in either color... will have (do to the nice quality) and wear (very stylish) for a loooooong time.&#10;&#10;a must have for the summer!!!!!!"/>
        <s v="Comfy sweatshirt with fun polka dot details. soft and not baggy. a little on the shorter side so i think i will layer a lace cami underneath and it will look even prettier. i'm 5'7&quot;, 140 pounds with an athletic, hourglass shape, 32dd. i bought the &quot;2&quot; whi"/>
        <s v="I could wear this every day, it is stylish and comfortable"/>
        <s v="Pretty top. love the color and the large ruffle. makes it great for layering or with a pretty necklace."/>
        <s v="Love this top!&#10;it is a full/ swing top, but the slightly shorter length balances out the fullness perfectly.&#10;i have been wearing it with a contrasting fitted cami and get tons of compliments.&#10;love both colors, and having fun wearing them.&#10;and after one wa"/>
        <s v="The styling of this top is really cute. it fits perfectly on the shoulders and gets bigger at the hem for the baby doll look. my biggest complaint is the quality! it's really cheap and feels like the quality i would expect to see at a cheap retailer. it c"/>
        <s v="Love, love, love this dress. it is very slimming. it hugs you without really touching you. leaving the tie and a few buttons open gives it more of a casual feel."/>
        <s v="I'm 5'3 130# with a 32dd bust. i usually wear small in retailer/ cloth and stone/ running horses. the small fit me fine, but with no room for layers underneath. the small was very snug. would be perfect for california evenings. but, i live in the north ea"/>
        <s v="This dress is gorgeous!!! i love it! i bought it to wear to a july wedding. i got the navy and it is so fresh and crisp in color. the sizing is on spot! i slipped it on and it was comfortable, easy and stylish. i am 5'7&quot; and typically xs. it falls exactly"/>
        <s v="This shirt is one of my favorite retailer purchases ever! it is well made and is perfect for work or the weekend. the first time i wore it, i received so many compliments!"/>
        <s v="I want to live in this sweatshirt. it's so comfy, but also well-cut and lays nicely, not boxy at all. i'm typically a 10-12 or l in tops and the 3 is roomy without looking sloppy."/>
        <s v="I liked this top even though it was a definite 'swing' style. i ended up altering it to remove some of the fullness.&#10;looks great with jeans as well as black pants for a dressier look. very soft and comfortable fabric. wish it was just a little bit longer."/>
        <s v="After missing out on last year's similar dress, i am so glad i finally purchased this one! it is beautiful in person. i bought to wear to a wedding, but i am curious if others think it might be too white? i bought the peach color. i will keep this dress n"/>
        <s v="Like the other reviewer said this top is extremely wide and boxy. it must be pinned in the picture online. it's very frustrating when they do that. thank goodness i didn't pay for shipping! for reference, i'm 5'2 and 135 pounds and bought the xxs, it's go"/>
        <s v="I read the reviews and because this jacket is pilcro i took a chance. i was thrilled when i rceived this jacket. darker color of denim with weathered edges. i absolutely love it. don't let it get away. great jean jackets are hard to come by."/>
        <s v="I wanted to love this sweatshirt, but alas, it is going back. upon opening and unfolding, the first thing i noticed: the dots and not solid. they are sort of distressed looking, with parts of them missing. secondly, it doesn't have a lot of structure. it'"/>
        <s v="Love this denim jacket (also have it in white) the reason i didn't give it 5 stars all around is the distressing is just a bit too much (none on the back which is kind of strange). i'd love it even more if it wasn't distressed at all, then it could be dre"/>
        <s v="The cut is brilliant-the wash is subtle-the weight of the denim is sturdy but not stuff-and the stretch is just right. love it. the perfect staple. a scarf in the fall and rolled sleeves in the spring."/>
        <s v="Love it; the bit of stretch in the denim makes it less stiff than traditional denim."/>
        <s v="I love these. i'm between a 29 and 30 and as the 30s were sold out i had to go with the 29s. they fit well. as expected. very nice fabric. good design. have to wear a short shirt or one tucked in. fabric has a bit of stretch which is also nice."/>
        <s v="I've been looking at this jacket on line and finally went to the store to try it on. i really liked the styling but the denim was quite stiff. i'd prefer a softer kind of fabric. i wonder if it would soften if it was washed. also, it ran surprisingly smal"/>
        <s v="I lost my favorite denim jacket on a trip a few years ago and haven't found one i really liked again...until now. great quality - just heavy enough but not too heavy, just stretchy enough but not too stretchy, great color/design. no complaints. i read the"/>
        <s v="Beautiful colors and silhouette (i got the navy). the skirt is lined and flows wonderfully when you walk. i've gotten a ton of compliments on it. i'm 5'9&quot; and the high hem falls a few inches below my knee, and the low hem falls to my ankles."/>
        <s v="I love these culottes and i think they will be everywhere this coming spring / summer. the high waist is perfect and looks great with shorter shirts or tucked-in. the denim is high quality and a nice medium dark color."/>
        <s v="I'm glad i listened to the other reviewers...i ordered a large instead of my usual medium. it's roomy enough for a sweater underneath. i love the denim! it's very soft and has some stretch. my other denim jackets are stiff even after years of washing. i a"/>
        <s v="I'm 5'4&quot; 125 lbs ordered small. fits perfect. super soft denim. love the color love the worn in feel"/>
        <s v="This dress is stunning- vibrant colors and flirty feel to it. i got the small and i am a 34b/27 pants, 132 lbs- great fit. i only question two things- am i tall enough to pull off the extra fabric in the back and what the heck do you where for a bra? thos"/>
        <s v="I have been searching for the perfect denim jacket and this it! i love the darker color, more modern day less 80s. it runs a little small. i am always either a s or xs at retailer. lately, their clothes seem to be running a little bigger, so i have been a"/>
        <s v="I have received so many compliments. it's my favorite"/>
        <s v="I wore this dress for the first time yesterday... i have never received so many compliments on a dress before! several people even stopped me in the streets of nyc to tell me how beautiful this dress was!&#10;it is an absolute must-have!"/>
        <s v="I love the pattern on this jacket and enjoy the bell shape. a fun jacket to through on and add quick style to a skinny pants."/>
        <s v="I love this little jean jacket! i am petite and usually get a xxsp , but went for a size up. i'm glad i did. it fits a little snug. the color is true to the photo and the material is a medium to heavy denim. the arm length in the petite size is perfect fo"/>
        <s v="This dress first caught my eye online. due to the price i resisted. then i saw in store and tried on...i decided to hold off for a sale, but my will was getting thin. once i saw it start to sell out online, i had to take the plunge. i knew this dress was "/>
        <s v="I love this blouse! i just bought it recently and have yet to wear it out other than trying it on. this blouse looked very nice on me which can be challenging. i don't live near an retailer so i have to order online exclusively. i have larger hips (135lbs"/>
        <s v="First i ordered a m. i'm normally a 8-10. the m was too small so i returned and ordered a lg. the lg fits great but there is a huge area of distressing on the shoulder that will turn into a hole. i love this jacket but cannot keep it in its condition. hop"/>
        <s v="I purchased the navy color of this dress. not only did it look good, but felt good as well. since it is for a wedding, i also purchased a white crochet cropped &quot;sweater&quot; to wear over as well, making the perfect dress for the mother of the groom. could not"/>
        <s v="This top looks pretty much like it does not the model. the sleeves are a nice length and are not too tight. the fabric is light weight, but not see-through. it does not wrinkle a lot. i've gotten several compliments on it and it goes with lots of differen"/>
        <s v="Looks beautiful online but has too much material and the zipper catches on the lace. also runs very large, i am normally a small but would need and xs in this dress"/>
        <s v="True to size on the neckline and arms but extremely large and puffy in the torso. very unflattering cut!"/>
        <s v="I purchased the floral patterned version and get complimented every time i wear it. i found it to be pretty true to size, even after washing. it's a little sheer, so you'd definitely want to wear a camisole underneath for work. it's a great top for spring"/>
        <s v="I thought this top was adorable in the store and online. it just didn't work for me. although it fit, it flares out too much in the front and just wasn't flattering on me. i am 5' 5&quot; and 128 lbs. and ordered the small."/>
        <s v="Love this top! made with 100% cotton, a vintage look, and flattering details this top is a winner for me. i think it fits true to size (got my regular size 0) and i did not need the petite and i am fairly short (5'3&quot;). it is somewhat see through, but with"/>
        <s v="I really like this blouse a lot. very very easy to wear!! i wore with pencil skirt to work and with skort as shown similar on model with sandals on weekend. very flattering and great blue color!!! very happy with this purchase. highly recommend. i am 5'6&quot;"/>
        <s v="I just purchased this beautiful printed blouse in the pink color and love it! i almost always wear a size small at retailer (34d-27-35) and the fit and length are both perfect on me. if you are smaller chested you can easily go down a size. i absolutely h"/>
        <s v="Bought this on a whim and it exceeded my expectations. i didn't know what to expect with the quality of the fabric but this is incredibly soft and warm. haven't worn it outside yet but i can see this already as one of my favorite items. i'm usually an ext"/>
        <s v="This is an awesome vest - so soft, cozy, and i cannot wait to wear it through fall and winter. for sake of not repeating all the positive aspects that the previous reviewers did, i'll mention the one flaw...no pockets :( still totally worth full price in "/>
        <s v="I find that maeve shirts tend to run a little small. i'm usually an 8 but needed this in a 10. this shirt is reallly just perfect. great sleeve length. just the right amount of v neck. beautiful pattern with a vintage feel. i love the combo of stripes, po"/>
        <s v="This blouse is so pretty. i love the long tie. the pattern is very unique. it is a thin, light weight fabric so you can easily wear it underneath a leather jacket."/>
        <s v="This is a beautiful blouse...sheer and feminine. i am small busted and slender so i need a size smaller than usual. it is a full top...can't tell exactly how full in the photos but with a small chest there is just too much under the arms. so if your chest"/>
        <s v="The photo of these is truly misleading - they are a beautiful vibrant print - see the close-up photo. they are much longer on a regular person - they come a few inches above my ankle and i am 5'5&quot;there is a neat slit off to the side on the front of each ("/>
        <s v="Like another reviewer mentioned, this shirt is way too short. i'm only 5'2&quot; (xs) and there is no way this top would tuck in like on the model. also, the quality isn't great as it's very thin and there are strings hanging from some of the seams in the fron"/>
        <s v="I didn't think anything of this top online (i really don't care for how they styled it) but in store it was more interesting. i'm currently anywhere between a 2-4-6 / xs-s-m, depending on the style, 5'3&quot; 120lb 34b. size 2 regular in this top fit me perfec"/>
        <s v="Nice fabric and cute design. a little low cut."/>
        <s v="I absolutely love this sweater!! it's soft, easy to wash, and looks great!"/>
        <s v="The blue motif is a gorgeous indigo with an interesting pattern. a short tunic that drapes nicely and is flattering. very happy with this purchase. i plan to buy a 2nd for my mom to keep her cool and stylish."/>
        <s v="I had high hopes for this top. really boxy, short"/>
        <s v="This dress has potential, but it didn't work for me. it runs true to size to a little big, i ordered medium, my usual size for maeve). as for length it fit me as the model (5'9&quot;). the reason i'm not keeping it is that i wish it had some darts in the back "/>
        <s v="I love this tee! the material is thick but not too thick. it's highly flattering- i love that the sleeves are a longer short sleeve to cover up the bingo wings. the shimmer on the front adds something special."/>
        <s v="I got this top in the black and i love it. the bottom is a silky material that's really beautiful, and the cutout details are really pretty. so many of retailer's sweaters are enormous, but this one fits tts. &#10;&#10;my one complaint is that the bottom white pa"/>
        <s v="This top was way too short (i'm only 5'1) and way too wide. the cut of this top was so wide, it looked like a tent on me. i really wanted to love this top because the material and style (sleeves, ruffle) are beautiful, unfortunately there is something wro"/>
        <s v="My daughter and i both purchased this vest at an retailer store. this vest is so flattering on and is so much cuter in person than in the online picture. it is chic and stylish and will definitely be a staple for fall and winter."/>
        <s v="This is a great piece to help ease on in to the chillier days of fall and winter. it's versatile- i can see myself wearing it with plain short or long sleeved tees or even tops with more elaborate padderns or button downs! there's so many options i cannot"/>
        <s v="I just got this dress in the mail today and it is even better in person! the description didn't give as much information as i wanted so i'm going to be very detailed in this review. i did take off one star for quality because some of the beads are already"/>
        <s v="When i received this blouse, ai noticed that there were gold dots all over the blouse and they were very sticky. some of the fabric would stick to these dots. i thought it was because the weather was sticky and humid. however, after hanging on my closet d"/>
        <s v="Wasn't sure about this top based on reviews, but glad i purchased! pretty print, looks great with denim. very loose, flowy top. hangs a little short, but that's the style of this blouse. fit true to size. i usually wear a 2/4 and xs/sm with 30dd. size sma"/>
        <s v="Ordered the shirt online. beautiful print and good quality material. runs very large - size down 1 may be 2 sizes as the material on the body is very wide. i will be exchanging it in the store."/>
        <s v="This too is so beautiful in person. there is gold dots all over the blouse that are not overwhelming. i love this top with business attire and denim. fits tts."/>
        <s v="I tried this in the store and i like it - nice and soft, good basic design that will pair with many pieces. but i decided to wait because of the price. i'm sure i would get a lot of use out of this top, but ultimately it didn't thrill me enough to make it"/>
        <s v="Gorgeous in every way except its length and how it hangs at the bottom. i prefer a shirt i can wear tucked in or out. this one will work well tucked in but not out so i am returning disappointed it was so well done in other particulars."/>
        <s v="I bought this in a petite size s after trying on the regular size in the store. it was a good move because the proportions in length and width are more flattering. the pattern is busy but works well with patterns in the same color group. it has no finishe"/>
        <s v="I love how soft the sweater materials is and that the built in layer piece falls so nicely. i purchased a small in black and have already worn it with jeans and heels for a dinner and with cropped work pants for the office. the bottom piece does wrinkle a"/>
        <s v="I am 5.6&quot;, 138 pounds. i purchased this in a size small. it is flowy and not too short. it has a comfortable, but still feminine and beautiful fit. one of my favorite new blouses...the red print is gorgeous"/>
        <s v="This top light and airy, which is perfect for spring. i'm usually into these types of blouses; however, this didn't quite fit right on me. it's a little too boxy and too low cut in the front for some reason. i loved the design and really wanted to like it"/>
        <s v="This blouse is so beautiful - the collar, sleeves, material...everything except the cut! it was like a tent. it needed to be more tapered, which would be easy to do while still maintaining the beautiful breezy flow, and be about two inches longer.&#10;&#10;i had "/>
        <s v="Very pretty blouse. i love the print, and color of the pink floral. tts, i ordered the xs, because of the roomy cut of the blouse. i'm 5'8&quot;, 117 lbs. it fit great. the cut is a little wider then pictured, but still cute. not to short as mentioned by anoth"/>
        <s v="I normally wear a large or extra-large; the medium is still very billowy on me. this blouse is ethereal and lovely, though - pretty and funky at the same time. it's sheer but somehow not revealing. perfect for when you want to look composed and cool on th"/>
        <s v="Not a coat by any means, merely a thin wool boucle like sweater with a cheap thin synthetic lining ---and i also would never want the lining to be seen by anyone if i were to set the sweater on a chair or be helped in putting the thing on. the length and "/>
        <s v="I saw this in-store, tried it on, and was sold. it is not just super soft but very flattering on. i am petite, 105 lbs and bought the xs in black- the sleeves are short enough that no petite size was needed. i will wear this a lot with both skirts and jea"/>
        <s v="Love this. it's heavy/warm, stylish and a great throw on any outfit. oversized style."/>
        <s v="The fabric was nothing special (i usually like a cotton/silk blend woven fabric, but this was stiff feeling) and the pattern was cute. but what made me return it was the fact that 1) the rose gold glitter dots are puffy paint. literally. puffy. paint. and"/>
        <s v="Tts. i'm wearing a small. the black goes with so many of my charlie print pants. washed nicely. layers flat to dry. had to iron the shell underneath. great for casual office."/>
        <s v="This top is good quality and cute. it runs large- i'm usually a medium and needed a small. the reason i will be returning it is because it flares out at the bottom on the black which is very unflattering on. it makes me look wide in the waist or like i'm "/>
        <s v="I'm a pretty solid 10/12 in this brand. i went with the 12 since some thought the top to run small...and i agree. while i can wear it and think it will actually stretch out with wear, it's tight in the shoulders and chest. for the record, those are 2 area"/>
        <s v="I gave this four stars only because the lining has some polyester (poly/rayon blend) in it and i don't like polyester; still, i couldn't pass it up due to the chic look and the oh so warm feel of the coat. it's like wrapping yourself in a warm blanket and"/>
        <s v="I like this sleeveless sweater - it adds warmth and visual interest without adding a lot of bulk. paired with black/white patterns it's pretty versatile (as seen in the pics) - a great staple for a more casual office environment. being a taller girl i lov"/>
        <s v="This blouse is super cute but oddly sized. i bought a size up and still i squeezed into the top around the bust. the front slit is too low and shows a bit too much cleavage, so this had to go back. i really tried because the fabric is wonderful and the sh"/>
        <s v="I love the sweatshirt &#10; clay color is very different it's a nice light fabric with nice detailed edges &#10; although it is an oversized piece it hangs and fits well although i am petite&#10; great light sweatshirt for spring and summer"/>
        <s v="Love the patterns and the length.  i basically would agree with all the reviewers including the person who noted no pockets. &#10;it's really a special piece and on sale, very worth it!"/>
        <s v="Very comfy and light. can be casual with jeans and boots or dress it up with a nice necklace and pencil skirt."/>
        <s v="I got the navy stripe version of this shirt and it has a very cute nautical vibe to it. i am either an xs or s in antho, and went with the xs for this shirt as i think the s would be too boxy. normally i would have overlooked this shirt as it's rather uni"/>
        <s v="Not sure why this shirt is getting bad reviews. i am tall and have a long torso, so perhaps that is the issue for some who find it not so flattering? maybe if your taller it hangs better? i have to say... i love everything about it. it is a fantastic prin"/>
        <s v="I love maeve and was so excited for this top which looked like an update from a last season favorite. unfortunately the fabric was stiff, it was tight in the chest and went straight down from there. returned."/>
        <s v="All the rave reviews are true!  this vest is plush and funky and i love wearing it. i'm having fun figuring out different outfits to wear with this. this is a great three season layering piece and i'm thrilled i was able to get it on sale.  my only regret"/>
        <s v="I love this top. i got it on sale and am so glad that i did. it is a short too but still super flattering. it isn't too boxy on me."/>
        <s v="I tried this on the other day at the local store in a size xs/s. although it's wool i didn't notice that is was itchy &amp; usually wool bothers me. i am of small build but i did like the long &amp; oversized look. i admit i am drawn to the print anyways. i notic"/>
        <s v="This has great drape, length, the pattern is super versatile with solids or prints. i am finding the wool to be itchy around the neck, so not sure if i will keep, though i don't seem to want to take it off! has a lightweight, boiled wool texture, contrast"/>
        <s v="I was skeptical about this duster and had to see it in person, and it was love at first sight. the black and white makes it versatile, and the pattern makes it interesting and fashion forward. more importantly, the pattern is cleverly designed which doesn"/>
        <s v="Surprisingly flattering on, especially with pants/jeans. extremely figure flattering because it enhances the figure and hides flaws: the pleating enhances the bust, the v-cut provides a touch of a peekaboo (not enough to show cleavage but it's there in a "/>
        <s v="The top runs small, it is a very sexy and slimming top. i tried in l, it was too small so i have ordered it in xl. i hope it fits because it is very fitted and i am worried that the bottom will roll to the top with a fabric like this. but it is a very sex"/>
        <s v="I was looking for a basic tee, but this one was just ok...the quality is okay, but it us not as soft as i would have liked. unfortunately,  i will be returning this item."/>
        <s v="An excellent going out to dinner, to a lounge, etc. piece. super flattering, sexy, feminine and trendy! can be dressed up or down with some nice accessories. i'm only 5 feet and very wary of jumpsuits, but this was excellent!"/>
        <s v="I would've looked right over this online but i saw it in store and had to try on. the navy and the white were both cute but i tried the navy. i'm usually a m but went with the s b/c it looked better fitted. this shirt has a very vintage feel to it and is "/>
        <s v="This elegant white lace dress attracted compliments everywhere i wore it. it is classic with just the right amount of quirkiness . i like everything about it!"/>
        <s v="I've been looking for the perfect work-appropriate lace dress (for a casual/creative work environment) for a while, and this was just the ticket! the pointed collar and demure shape add some structure to the feminine lace. i rolled the sleeves to a short-"/>
        <s v="Disappointed in the quality of the dress. love the style and especially the colors. the fabric of the body of the dress is very very thin and just poorly made. the top bodice is more substantial. not worth the price tag of $148.00. dress does run short."/>
        <s v="Comfy cozy and a bit on the big size, even for an oversized piece. order a size down, even if you want a boxier look. unsure how the fabric will hold up-but if it does it will be a great get."/>
        <s v="This dress is not what i expected. the bottom half is wool-like material-looks like someone has worn it. the top snags easily so you must be careful when wearing jewelry. when i received the dress i noticed there were two small holes under the arms. i wou"/>
        <s v="I ordered the sweater in a medium but it was too large - so reordered it in the small and it fits perfectly. love the length- it hits mid hip. it is more of an a-line than straight as show in the picture. the detail is fun and the sweater is well made. hi"/>
        <s v="I love this top, it's design is very pretty and like nothing that i have. i think this top runs true to size, i'm usually an xs/s in tops and i went with the s for this one and it fits great. i will say that the top layer of material will snag very easily"/>
        <s v="This skirt is very short. i ordered my usual xs petite and it was so short that the longest part ended above my ankle. that's quite off because i'm only 5 feet tall, and i wore it pretty low on the hips. it also flares out awkwardly below the knee. there "/>
        <s v="This sweater is of nice quality and has such great detail to it - love the pattern to the knit and the ribbon detail is unique and beautiful. the knit itself is of mid to thicker weight, so definitely appropriate for winter, fall, and cooler spring days. "/>
        <s v="I really like the appearance of this item, and it looks pleasing with many different styles of leggings. it does run a little large. i am a &quot;true to size&quot; small, and this hangs on me a little, but i love the design of the back. it is so soft and comfortab"/>
        <s v="I don't normally review my purchases, but i was so amazed at how poorly this dress was made, i couldn't help myself but to post a review. the neck line isn't even hemmed down so it flaps up. the material is thin and feel cheap. this dress isnt even worth "/>
        <s v="Ordered this dress online, and i love it! i was looking for an understated but fun new years dress and this was exactly what i was looking for. the only minor qualm i had about the dress was that the velvet dots that hit where the seams met made the dress"/>
        <s v="I saw this online but it never struck me as something i would wear. however, after seeing it in the store it really caught my eye with its detailing, so i tried it on. what a great decision because it is so much more beautiful in person, and very soft and"/>
        <s v="If your hips are bigger than a size 6 us you can't fully close this robe. the model must be wearing the larger of the two sizes to have such a nice oversized fit. the fabric is soft and lux and amazing, but the weird dart in the back and the closure is ri"/>
        <s v="Like the reviewers before me, this dress runs small in the rib cage. i normally take a 12 and am a 32b. the max size that this dress comes in is a 12 so i could only order a 12. it just fit but that is because i am a smaller 12 on the top. there is no wig"/>
        <s v="I should have exchanged it for a smaller size, but i wanted to wear it, so my mistake. i tend to wear size 12-14, and the large is entirely too big. it also had piling right out of the bag. but it is just so soft that i tore the tag off and wore it anyway"/>
        <s v="I'm surprised other reviewers loved this one so much. it's completely different then how it looks on the model. it's much shorter, which others do mention, but it flares a lot. enough to feel maternity-ish on me. it looks fitted on the model. maybe it's m"/>
        <s v="This sweater is fine for the casual days. i bought this in cream and i have to say after one wash it looks old. i'm a huge retailer lover and buy a lot of clothes from them. this is just not the best quality and looks tired after a few wears. very soft, b"/>
        <s v="Great fit! no bagging and sagging and they fit true to size. very cute! for reference, i&amp;#39;m 5&amp;#39;2, 115 lbs and take a 26p. they look just like they do on the model. i highly recommend!"/>
        <s v="Just tried 'layered sadie top' and it felt so nice on. good hand feel for both materials but note that the knit on top is a little too delicate for machine wash but can be hand washed. this item is definitely &quot;vanity-sized&quot;. i'm 5'1, 113lbs and the xs loo"/>
        <s v="The length is perfect. the cut of the hemline makes it off the charts cute. i love it w ghillie type flats or booties. pair w a big warm sweater, or a sleek turtleneck, and watch heads turn as you enter the room! i promise! love this skirt."/>
        <s v="This dress is beautifully constructed. it is very fitted and does run on the small side. it will be a perfect derby dress. the lace is lovely and the pearl buttons are great touch. age appropriate for anyone..a very &#10;pretty dress. simple, classic and gorg"/>
        <s v="I really wanted this dress to work out, but i was slightly disappointed in the fabric for the sleeves. the fit was accurate. i'm 5'7 and ordered a 6, however, my husband said it looked too little girl like. i did end up returning it :("/>
        <s v="I got this top to wear with shorts as the color goes with a lot of different prints. the quality is excellent. this top runs very large, as in three (3) sizes too large. for the record i am a 34.25.35 and ordered my regular size the xs and this top makes "/>
        <s v="The color is a very soft peach, and the knit top over the gauze is a very light, summer-weight knit. i can see this being worn casual, or dressed up with a statement necklace and nice skirt / pants."/>
        <s v="I bought the dress that has the cream skirt with large flowers. i wore it for a wedding and was not only very comfortable with the pockets and the cotton top, i looked good. i got a lot of compliments on the outfit. people thought it was a shirt and blous"/>
        <s v="I got this dress in hopes of having a really nice winter formal dress. it was not well made at all! the lining didn't line up with the top layer and the waist puffed out in uneven places. i am curvy so a puffy waistline in the last thing i need! the fabri"/>
        <s v="Soft, comfortable, stylish. i eagerly awaited the arrival of this beautiful sweater and was not disappointed. the sizing was accurate for a perfect fit and i love the feminine detailing and shape of the necklne. the ribbons add an extra touch of style to "/>
        <s v="This is my first pair of mcguire jeans, and i like the fabric and fit.  thank goodness for petite sizing!  these 32p fit just right on my hips, with no gap between the waistband and my body.  fits through thigh and hips and pretty slim all the way down.  "/>
        <s v="Adorable sweater with a loose knit that helps slim down my man-back appearance. cut is tapered to the body but with a soft flare at the bottom hem. not clingy, very soft fabric doesn't accentuate bulges so i am happy about it's forgiving silhouette."/>
        <s v="I walked into retailer with low hopes of finding a dress for a friend's spring wedding, as a lot of this season's dresses are more casual, but was drawn to this pretty number for multiple reasons: it can certainly be dressed up or down depending upon acce"/>
        <s v="I was able to snatch this dress up just before it sold out (and i see it's now back in stock!). the quality of the fabrics is outstanding, not flimsy at all. the top is stretchy. normally i would wear a 2 at retailer, but the only choice i had was 0 and i"/>
        <s v="I saw this dress online and immediately went to the store to try on! it took three sales asscoaites to help me zip the dress but once it was on it was beautiful! the bodice fits really nicely. true to size. there was extra fabric around the waist bust not"/>
        <s v="I got he green color with gray accent stitching, looks awesome with gray tone leggings. super soft, definitely runs a little big (5'6&quot; 140 lbs i ordered the small) but not in an unflattering way."/>
        <s v="Love this tunic, it's super comfy &amp; cute. i have in cream and love so much i ordered in mint. looks great with jeans and boots"/>
        <s v="I thought this dress was worth reviewing since my opinion differs from many others.&#10;i agree that the fabric is quite thin compared to what you may be used to with byron lars dresses, but the flattering fit and quality (has a nice built in slip) i found to"/>
        <s v="I really love this lace-up shirt, but i only liked it in black on me. i like it open like the model is wearing it, but i had to have it a little more closed because the lace part does go down a ways-and i felt like i was revealing a little too much. i wou"/>
        <s v="I love byron lars dresses, and this design is on-point. the ruffle at the neckline is so pretty, and the dress fits like a dream. however -- the fabric!!! i would have loved it if this dress had a heavier feel. this is, sadly, going back today."/>
        <s v="Love this blouse, it;s super comfy, looks awesome with jeans. this blouse runs true to size i purchased in my normal size small."/>
        <s v="I fell in love with this dress when i saw it online and due to the &quot;slim fit,&quot; i ordered a size up -- a 2 petite up from my normal 0 petite. when i received it, i was surprised about two things: 1) the material was kind of puffy (not bad, just weird), and"/>
        <s v="I was hesitant based on the reviews, but i'm glad i ordered this dress (in blue). the material is like a french dot texture that is soft but still a bit structured. i had no issues with the fit. it's appropriately just a little oversized. the styling is v"/>
        <s v="Great feature...perfect lacing...do not need to worry that it is too low since there is material behind the bottom of the lacing. like 3/4 length sleeve. gives top the right proportion."/>
        <s v="I purchased this jacket in green, x-small a while back and wasn?t 100% sure about it due to the size. i?m 5?3?, 117 lbs and a 33a and thought it was a little snug so i tried on the small and that was way too big so i kept the xs. i have worn it a few time"/>
        <s v="I love this dress, i mean it si really pretty in person, however, the breast area is just too small... i can't wear a bra with it, and my &quot;older&quot; breasts just droop, not flattering. they are barely covered... i am a bit disappointed at that, but if you ar"/>
        <s v="I love the lace up design and bought the red xsp, fabric is a bit thin and mediocre quality, but over all happy with purchase. wish this top came in navy and white as well. even a navy/white stripe would be a fun option too. thanks you for offering this t"/>
        <s v="I got this shirt in the mail today and was really excited to try it on. other reviewers said that it ran large so i ordered a size down and it fit perfect. i looked in the mirror and noticed the ruffles were misaligned and obviously so. i want to exchange"/>
        <s v="I love this jacket over a dress! it's snug fitting so can't wear anything bulky under it, but super stylish and comfy stretchy material. it's a bit pricey but i get a lot of wear out of it so worth it to me."/>
        <s v="I'm 5'1 and 110 lbs.  i ordered this in a xsp and i could barely zip it up.  and when i did i couldn't breathe. i tried again and ordered a sp and it's perfect! now i just need somewhere to wear it."/>
        <s v="Beautiful shirt, hits me a little higher. i'm not sure i'm going to keep it just because i have something similar but its a beautiful top. i'm 5'6&quot; and carrying a little extra baby weight right now so i'm an 8-10 instead of my usual 6-8. i ordered an 8 an"/>
        <s v="I love this blouse because it's great for work with cardigan over it, and great for going out with skirt, pants or jeans. it is tts and very flattering, light weight, and comfortable."/>
        <s v="I happened upon this in my local store despite the fact that it is an online exclusive. i love finding returns so i can see them in person. i loved the soft colors right away. my hesitation was the standup collar but it actually folds down just fine and g"/>
        <s v="I found this to fit tts. i sometimes wear petite, but found the petite sizing to be a little off. i have a pretty short torso, but found the petite to be too short. i opted for the regular sizing and got a 6; it fits great. this top is great for work (sty"/>
        <s v="I ordered the mustard yellow in 10 and found the shirt to fit true to size. it works great with a skirt and with jeans but i did need to wear it with high rise jeans otherwise it came right to the top of my normal jeans and i didn't want to risk showing a"/>
        <s v="I just tried this top in red in xs and i think it's cute. it's fairly fitted in my opinion; the sleeves are pretty snug but there's stretch to them. i was fine with the fabric and the size xs (i'm ~105 lbs, 34aa) even though sometimes i fit better in xspe"/>
        <s v="The cut of this shirt is lovely and well thought out, the opening for the arm are not too big like some other shirts. i liked the material and the melon/ salmon color which i ordered was more vibrant in person. this does run large so i wished i had ordere"/>
        <s v="5'6&quot; 113lbs purchased size small in rich navy. so soft and comfy and i like that the cuffs help the pants not ride (even during sleep). i like that the fit is slim but not constricting on legs as all my yoga pants. tested this at my local vinyasa class an"/>
        <s v="Great looking jacket with attitude. the color is more like a faded black or deep charcoal grey. i'm usually a large petite but this is snug in the chest. luckily it's a knit so i can make it work by zipping it partway and leaving the top half open."/>
        <s v="These jeans are so cute! they are perfect for petites too! i am fit, look way younger than my age and get so many compliments when i wear these jeans. i'm. i'm 5'2&quot;, 115 libs and they definitely fit tight in a good way. just like the photo pretty much. th"/>
        <s v="I live in los angeles and this is the perfect beginning of fall jacket! i've worn it with dresses and with jeans. definitely has enough extra room to slip a hoodie or small seater on underneath when it gets colder. it's soft and stylish. the only downside"/>
        <s v="I loved this dress as soon as i tried it on, but... it bunched up weird in the front around my hips. i ordered a second size 4, hoping that it would fit better. but same thing. if i tried to go to a size 6 it would be too big every where else. fyi - i'm 5"/>
        <s v="I really like this top. it's super cute - perfect for a football game or fairly casual event. the material is ribbed and is thick enough that you can't see through. i purchased this top in red and initially in petite but ended up returning it for the regu"/>
        <s v="Nice tee, true red,3/4 sleeves, lacing is a nice touch. good quality and great sale price."/>
        <s v="Feminine and lovely flutters indeed. i am on the fence. i ordered in a petite - had to size down - and something about bust and arm holes not completely right. given the light and airiness of this tank it does not seem right to have to wear a camisole und"/>
        <s v="Very nice casual, inexpensive shirt and the laced neckline is great....not too revealing and easily worn tied &#10;without looking prudish. and of course, open as well"/>
        <s v="When i ordered this little jacket i knew i would like it, upon arrival i fell in love. it is a little edgy with leather detailing and with stretch in all the right places, the crop is super flattering. appeared online to be a bit more of a sweatshirt mate"/>
        <s v="I'm usually an xs for most retailer dresses and shirts. i ordered up per other reviews and got a small. the small fits comfortably around my waist. the chest area is not made for large chests. my 34ds were barely contained. sad to say, i won't be keeping "/>
        <s v="I really like how this looks on the model, but in real life this top is much tighter. i was hoping for a good layering top and have been playing around with the trend of lace up tops. i bought it without trying on figuring a small would work, but it was m"/>
        <s v="I got this shirt in red and black. both colors vibrant and material of shirt is nice cotton blend. will get lots of use from both shirts."/>
        <s v="This is the most flattering shirt--love the fit and color!"/>
        <s v="Three strikes and retailer is out for me! i am so disappointed. i really liked this dress and was looking for a fun, distinctive new shift dress. got it, tried it on, took it off, went back to look at the listing online...nowhere does it mention that it h"/>
        <s v="This vest is very warm and soft. it is actually a fleece that almost appears as wool. the plaid is beautiful-a pretty soft pink with the black and charcoal colors. i ordered a size large and the fit is okay. an xl would have been too big under the arms an"/>
        <s v="I love this shirt so much that i've now bought it in 2 colors -- the olive green and the red. probably would have bought it in black too if i didn't already have enough black shirts. it's both a plain and simple tee, but with the fun lace-up detail at the"/>
        <s v="Don't try this on, if you don't plan to buy it. it feels amazing!!! i bought the black and it is a lovely charcoal color and matches so much."/>
        <s v="I like the lace-up trend, but most designs are too revealing. this shirt is super sexy, but not immodest. i bought it in black and am now buying another color. to me, the fabric feels soft and thick, very nice."/>
        <s v="I have these pants in navy and they're amazing! i cuff the hem in half and they look like joggers. they're ridiculously comfortable and tts but are not very thick so i'm pretty sure ivory would be see through; especially if you wear them during practice."/>
        <s v="I got this top in navy and i love it. it's loose and flowy and comfortable, yet dressy enough to wear for work (or dress down with jeans). i'm 5'4&quot;, 125lbs and the 6 was a bit large on me. i could've sized down a little but i actually liked the loose fit,"/>
        <s v="I purchased the navy in this top and i really like the design and the style for the price (i believe the navy is on sale). my issue is that i do have to wear either a camisole or a little bralette or bandeau or something under it because it is too low cut"/>
        <s v="Great shirt. the neckline is super flattering. the fabric has some weight to it. right now i am in a &quot;fat stage&quot;...and it still looked good. it will look even better without the midriff bulge! i bought the shirt in black. i'm thinking of ordering it in re"/>
        <s v="This is a great shirt that goes with everything. it's super sexy and i have to say....the girls look great in it! i bought the black first and went back for the green. the quality of the shirt is great...not cheap and no smell, at least not in my experien"/>
        <s v="I purchased this blouse because i love a 70's vibe in my tops. it is a beautiful, colorful top, but the colors weren't flattering on me. having said that, the cut is nice, the fabric is lightweight and flows nicely, and the fit was fine on me. i am a curv"/>
        <s v="It's hard enough for women to find clothing that will make them look as beautiful as they feel but add a bigger bust size (i'm a 36dd) and it makes it this much harder. i ordered this top because of how beautiful it looked on the model and the price. when"/>
        <s v="Ordered this in white. it is really nice and sexy but very body hugging and unforgiving. perhaps it is my large stomach, but it hugs a bit too much for my liking. yet i think overall the design is very nice so i am keeping it and hoping i can lose some we"/>
        <s v="This is one of those you have to try it on to appreciate the lovely unique design. it is a very unique, flowing, romantic piece. it is sheer and i would wear a nude camisole underneath. i am normally a size small and bought a size 2 (i tried on a 6 in the"/>
        <s v="I got to try this on today and i really like it. the fabric is a normal t-shirt kind of fabric (i was hoping it would have been kind of special) and the v-neck in the front does go down a ways so that some cleavage is showing. i would feel comfortable wea"/>
        <s v="A breath of fresh air. spring flowers! easy to wear. very feminine and flattering. looks great with denim, orange, reds , etc. very happy with this purchase."/>
        <s v="Nice fit and flare style, not clingy at all. i got the grey color, petite large, fits perfect. will wear with tights/boots or booties. lots of color options to accessorize with."/>
        <s v="This top is soo pretty with a cool edge.&#10;it looks and feels like really good quality."/>
        <s v="This dress is flattering in all the right places. it has a gorgeous skirt with a comfortable, form-fitting top. it provides just the right amount of coverage. i love it so much i bought it in two colors!"/>
        <s v="When i first opened this dress and tried it on i thought it was adorable. it is very flattering on my hourglass figure and hides my recent baby weight. the problem is the hem. it was already rolling up when i took it out of the package, and i should have "/>
        <s v="I simply love this jacket. it's comfortable, soft and has a relaxed fit that is easy to wear. i wish i had bought mine while it was on sale."/>
        <s v="I love this top! it's easily both day and night-worthy with a splash of sexiness in a front peek-a-boo design. lovely embossed design all over."/>
        <s v="This bra is extremely comfortable and surprisingly supportive considering the lack of padding or firm material. it also runs large."/>
        <s v="I love this sweater dress and get compliments every time i wear it.. i bought the navy in size xs. the pattern and colors are just fun and youthful, although you don't have to be young to look good in this dress. the dress is fitted, but the skirt flares,"/>
        <s v="I bought this in the white, size m (140lbs., 5'8&quot;, 34b) because i wanted a baggy fit, which i got, so this is tts. the white is more of an off-white rather than a bright white, which i like because i happen to be looking for an off-white tee. and the shap"/>
        <s v="Extremely flattering. an easy dress to wear - good choice for both day and evening"/>
        <s v="I took a chance and tried on this jacket today at the store. at first i was worried that it might look boxy on me but as soon as i put it on, it was love at first sight! it's so cute and very comfy! the sleeves are slightly long on me but that's been a re"/>
        <s v="Bought this in an xs and i liked the style of the skirt. it was long enough to wear to work. &#10;however the waist was too large and would not stay up on my waist. returned."/>
        <s v="I ordered this top in the solid navy. the quality seemed very good, and my overall impression was favorable. what i liked was that the top stayed off the shoulders even when i was moving. so many of the on-trend &quot;cold shoulder&quot; tops simply do not stay put"/>
        <s v="Nice fabric, very versatile but the knit top and style accentuates your bust. probably not an issue for most but if your a d or up it's more attention than you may want."/>
        <s v="I tried on the usual xs in the patterned style, and it fit really nicely. the colors are very nice in person, vibrant. teh cut is flatering and gives a nice definition at the waist i also love the lace up neck detailing. the sleeves flutter out, and will "/>
        <s v="I had it on my wish list for a long time, not sure whether i should purchase, i even hesitated when it went on sale, but boy, am i glad i did order it... it is crazy comfortable, flattering, and love that it looks black but is blue... i ordered both xs an"/>
        <s v="I tried this on in store and since my usual size 6 wasn't available i tried on a 4. it was a little snug in the upper sleeves and shoulders but was lovely otherwise. i passed on it and waited for it to go on sale to order it online. i got it in my usual s"/>
        <s v="I agree that this blouse is boxy, but because it's not too long in length it evens it out. any longer or shorter would make it look too boxy. it's great for work to dinner during the week &amp; goes great with jeans too."/>
        <s v="Soft cotton in very stylish yet simple style. regrettably, i listened to reviews that said it ran tts and ended up w a baggy long one that won't work even if i shrink it. that will teach me-- always order multiple sizes!"/>
        <s v="I ordered this dress in size xl in the grey/red/yellow combination. i love everything about this dress. it's comfortable. the colors are cheerful. the proportions of where the stripes are placed works. but, i have to return this dress. it's too short for "/>
        <s v="I had to order this blouse since it is named after the town i live in. it does not disappoint. the flowers are so pretty and it has great style. there is a little piece in the neckline so it is not too revealing. the sleeves are loose and cover the bra st"/>
        <s v="Perfect trans top.  skinnies or boyfriend and booties.  love the mixed prints"/>
        <s v="This top reminds me of the special tops i got &quot;once upon a time&quot;...when retailer adopted a more curatorial approach to their store. this is a beautifully-made top...quite dramatic but comfortable. i've received many compliments each time i've worn it. it "/>
        <s v="This blouse is so pretty and well made. it will be a new favorite with dark jeans and boots. it is very boho and a lovely blouse to feel dressed up a bit on a jeans day. loose in a flattering way (it does not look like a maternity top). very happy!"/>
        <s v="I love the layered look of this jacket. i got it in navy which matches everything. i think it's a little on the large side for me. i ordered a small. i'm 5'2&quot; 130 lbs. super comfortable. the inner layer is very soft. once you wash it, the outside is soft "/>
        <s v="I really wanted to love this dress, but it was so short! i'm only 5'6&quot; so i don't consider myself really tall, but the dress only came a couple of inches lower than my butt! way too short for me. my husband asked if it was a shirt or dress haha. but i thi"/>
        <s v="I ordered size small and medium because i can go either way depending on brands. and both look great! there is no significant difference except medium fell about 1 inch longer. i am 5'4&quot; and size small hem fell about 1&quot; above knee. size medium felt tab bi"/>
        <s v="...there's enough room for a small family to live under the chest and trunk area of the blouse! sorry-had to say that! all kidding aside-since it's been thirty plus years ago since we were wearing these, many of us have forgotten what peasant blouses trul"/>
        <s v="This top is so pretty and feminine. the different floral patterns work very well together and add an interesting flare to this unique blouse. the fit is very comfortable yet still very flattering due to the empire waist and flared sleeves. the fit is true"/>
        <s v="Very cute, very comfortable. for me aesthetics and comfort must go hand in hand. this dress fits the bill."/>
        <s v="Cropped and wide- would look cuter on someone who is more petite. was too wide and cropped for me. very sheer."/>
        <s v="The fun colors drew me to this but it sure fit weird. the top was fine but it became a bit tent-like in the waist. the material doesn't feel great either."/>
        <s v="I really like the style of this top, and it's delicate but well made, but i wish it were longer and less boxy. it's nice that it comes with a separate cami to layer, but the cami is very cropped. when i raise my arms you can see a lot of midriff (and the "/>
        <s v="This is a pretty top that is conservative enough for the office, with a modest neckline. there is a little hidden snap or button under the bow at the neck so you don't have to keep fussing with the tie the fit is loose in the waist and high at the neck, s"/>
        <s v="Very comfortable and versatile. got lots of compliments."/>
        <s v="Is not a place i want to be, even if the style of a sweater is great.  yes, this sweater is very cropped, but i think it&amp;amp;#39;s definitely intended to be worn off the shoulder to drop the waist a bit.  it&amp;amp;#39;s the itchiness that makes it an immedi"/>
        <s v="The combination of vintage and bohemian styles seems as if it would be flattering on all figure types. and i love the combination of smaller and larger prints. the only thing i didn't like is that on the blouse i received, placement of the larger print on"/>
        <s v="Love the fabric &amp; lace on this top. like other reviews said the arm area is tight where the lace meets the fabric which makes the fit uncomfortable. sadly this top is going back. if you have very skinny upper arms this top will fit fine."/>
        <s v="This dress is really cute in person. however, it did not fit me like it does the model in the pic at all. first of all i'm 5 feet 1 and it was wayyy too short on me. i didn't have the petit on either-- i had the regular xs. it just hits a couple of inches"/>
        <s v="Saw this online and had to try it on when i found it in the store. i usually wear an 8 or a 10 depending on how things run, (i'm a 34 dd), so i tried on both sizes. i really could not see much of a difference between the two and was torn as to which size "/>
        <s v="This knit dress is very comfortable. i liked the various colors used in the stripes. my only issue with it, is that the skirt of the dress flares out oddly and is quite short. in my opinion, this dress, with its sturdy fabric and long sleeves, would appea"/>
        <s v="Love love this dress. fits so great. i normally wouldn't have picked this dress. more preppy than my normal style. fits amazing. my hubby has complimented me more on this dress than anything else i've ever owned. the fit &amp; flare style is super flattering "/>
        <s v="This is one of my absolute favorites! the design is perfect, and the fabric is so beautiful. i don't love the coral color, but the mixed pattern is amazing. it runs a little large. i sized down one size and it fit perfectly. it's very flowy and comfortabl"/>
        <s v="I'm assuming the model showing the sweater is at least 5'9&quot;, it is slightly cropped on her , but it certainly doesn't look super cropped. i'm 5'4&quot; and its super cropped on me. even with high waist jeans.&#10;also, it is incredibly itchy. i even tried it with "/>
        <s v="Beautiful colors, especially the pink. i am 5'3&quot; and about 124 lb. i got the small petite but am thinking of exchanging it for the regular xs. not only is it short hem-wise, which i don't really mind, but it is short in the waist. very pretty and good fab"/>
        <s v="I love the style of this top. i just wish there were a slimmer version of it. unfortunately, this top doesn't suit my long, slim midsection. it is so wide, it completely hides the waist. i think it would look adorable on a different body type."/>
        <s v="This dress caught my eye because i don't have anything like it. i wear between a m &amp; l and preferred the large in this dress because i have a large bust. i usually wear a 10 in slacks and 12 in tops. i love the lace on this dress because it looks very del"/>
        <s v="A beautiful combination of eyelet with a soft fabric which lays beautifully. this does not make you look bigger then you are and i kept tts so the eyelet did not pull. mine fits perfectly. i personally will wear a cami under it as it is a bit sheer for me"/>
        <s v="This dress looks great on me. it gives a slender appearance which hides a lot and it's easy and comfortable to wear."/>
        <s v="Overall, gorgeous blouse; very flattering. i love the sleeves; very unique and also flattering. i love how the blouse is a fit-and-flare from the bust. it's fitted at the bust (but not tight) and drapes with an a-line style. the fit of this blouse is trul"/>
        <s v="Color is not like photo and fit doesn't work if you're busty"/>
        <s v="I first saw this jacket hanging at the store and it didn't look very cute. i saw it again on sale so i decided to try it on. i'm so glad i did! the inside gray material is so soft. i have broad shoulders and this jacket did not hinder my arms at all. it i"/>
        <s v="Good quality material. i got size 10 which is a little too big - size 8 would probably be better. very pretty, feminine top. a little too full in the waist/skirt area."/>
        <s v="For me, the tag sale is an opportunity to take a second look at items that i may have overlooked earlier, to pick up something fun at a good price. i found this dress in two colors in my size in the store! i took my usual xxsp at 32-24.5-32. length is per"/>
        <s v="I absolutely love everything about this dress. it can be dressed up or down. no complaints."/>
        <s v="The horizontal lines on the skirt and top gives the wearer and very nice dress. i am short so i got the 6 petite and it fits perfectly. the fabric is thick and stretchy."/>
        <s v="This is a great top to pair with jeans to step a casual night up a notch."/>
        <s v="Slouchy relaxed fit. well sewn together and hangs well on the body. bottom hem hits upper thigh. good length and soft, easy fabric. light layering option as well. good spring jacket, can be kept on indoors without getting too hot."/>
        <s v="The colors are more vibrant than the photo indicates. indeed, though, the dress is very short and does pair well with leggings and boots.&#10;&#10;i like that the dress highlights my hour glass figure, but with a generous nod to my curves with the accommodating s"/>
        <s v="Top of the line! very well made and on sale to boot. i love the style and received a compliment from my sister when i wore it. i love the layered look."/>
        <s v="Perfect little summer tunic that is very flattering. paired with a skirt, jeans or cropped black pants- this top is perfect! the cut in the front is not overly deep- so a cami is not necessary. i am usually a l or xl or 12 in retailer tops and i have a 10"/>
        <s v="This shirt is really pretty but the sleeves are so small. i normally wear between a 4 to a 6 or a size medium and i could not get this shirt on. i wish it fit but a size large would have been way to long and loose."/>
        <s v="I love this dress because its very playful and bouncy. it puts me in a light hearted mood when i wear it. i originally wanted to buy the grey color but my store only had the navy, so i tried it on. the navy is brighter and more colorful than it looks on l"/>
        <s v="This blouse fit better than i expected. looks great with jeans and is an easy go to top!"/>
        <s v="This dress is so comfortable, and i love the unique faux leather skirt and lace design. it really adds a special touch to the dress. i only gave it four stars because the top half is pretty boring...i wish the neckline wasn't so matronly. i'll definitely "/>
        <s v="I love this top! not sure if i would picked it up in the store; i received it as a gift from my husband. kudos to him as it was a great choice. i love that the sheerness and lace make me feel a little sexy but the long sleeves and camisole offer the modes"/>
        <s v="This top is great for spring- it's super light and can be dressed up or down depending on what you're wearing it for. fits true to size and is great quality."/>
        <s v="I've admired the various iterations of this dress and finally found one in the sale room, much to my delight! i'm generally a sale shopper, so this doesn't mean i didn't think it was priced well. i have the oatmeal top with yellow/gold/orange pattern on t"/>
        <s v="This dress is comfortable as well as flattering, which does not happen very often!&#10;looks good with navy tights too!"/>
        <s v="Love love love this jacket!! great spring and fall weather.. very stylish!!"/>
        <s v="Based on some reviews i decided to get the regular xs, even tho i am an xs petite (5'2, 107 lb, 32c) i found the fit to be flattering -- fitted enough but not too loose or tight. the length is perfect and work appropriate, and the material has some weight"/>
        <s v="I purchased this dress because i have a similar one with a linen skirt from the spring. the skirt on this dress is a heavier fabric and it lays very nicely. the top provides good coverage for my larger chest and i took my typical xs size. i would definite"/>
        <s v="This jacket looked so good and felt so comfortable on- i almost didn't send back the first one that arrived with a little bit of damage at the bottom of the inner zippered sweatshirt, but i did exchange it and am just as happy with the fit and feel of the"/>
        <s v="I went to my local store and they only had the blue dress in stock, i had seen it online and i didn't expect to like the blue one. i tried it on anyway, and it was adorable! i struggled to choose, but i ordered the gray one at the store and they shipped i"/>
        <s v="This jacket has a nautical look which is a refreshing change for this year. it is double breasted &amp; a stretchy cotton, which i love. i am a big fan of cotton. it appealed to me so much that i ordered both the white &amp; the navy in the regular size small. i "/>
        <s v="Absolutely love this blouse but if your a woman cursed with larger arms for your body size than this is not for you. i couldn't get the lace part of the upper arms past my elbows.&#10;&#10;oh well, it's going back!"/>
        <s v="This top is gorgeous and versatile. i wear it with jeans and dress it up with a skirt. so happy to have this in my wardrobe."/>
        <s v="I thought that it looked like it belonged on a 15 year-old. i can almost see why they styled the model in what looks like ankle socks....ready for cheerleading. for reference it fits true to size, but is very short. i am 5'2&quot; and tried on a regular small "/>
        <s v="I loved this dress when i saw it. however the fit was way off. i am 5'7&quot; 120 lbs and the small was way too big from the waist down. when the xs arrived i was sure it would be perfect. unfortunately the waist hit way too high, above my rib cage and the dre"/>
        <s v="The jacket is great, the quality is very good and the fit too, the best part is how it looks !"/>
        <s v="So pretty, but does run large. i am an 8-10 , got the 8 and big through the chest. had to return for this reason. if you are on the busty side it will look fab on you."/>
        <s v="I was looking for a stylish spring/fall jacket and this one seemed to fit the bill. i was shocked by the quality and softness of the material and construction of this jacket. i could honestly not believe how comfortable and cute this felt and looked on me"/>
        <s v="Love the detail and the way it hangs. i sometimes struggle with blousy tops because i have a larger chest, but this one didn't make me look pregnant! i purchased this with the 30% off... i wouldn't have paid full price for it."/>
        <s v="I really wanted this to work. for me the arm cutout was too wide. a cap or lace flutter sleeve would've worked . also expected a little more length felt like the petite length."/>
        <s v="I just received these pants and i am very pleased.  they are a little longer than i expected them to be, but that actually works out well because now i can wear them to the office."/>
        <s v="Cute and pretty, runs a little wide and short, just slightly. i feel like i have that issue with all retailer clothes though. love the back."/>
        <s v="I was hoping this would go on sale and now it finally has! i loved this dress just as much in person as i have online. the fabric is interesting-it looks almost plastic in the online pictures but don't be fooled, it is still a comfortable fabric. it is al"/>
        <s v="I tried this dress on and felt amazing in it.  i got home and showed my husband my purchases.  i told him i wasn't sure if i should have bought this one and told him to be honest with me.  he said it looked great and he was glad i bought it.  so great for"/>
        <s v="Wow the mixed reviews on this dress would make someone not get it at all.&#10;it is true to size. i'm a 6 and the six fit as a glove on me.&#10;the material is not at all stiff. i actually wished it was a bit more structured. but that didn't bother me.&#10;i was able"/>
        <s v="This is a very nice jumpsuit; reviewers were correct stating that torso is long &amp; fit better a taller person. as soon as i read the reviews i went on and placed an order for size 8, i'm 6ft tall 160lb and it has been very difficult to find a jumpsuit to f"/>
        <s v="This top runs super small in the upper arms, shoulder area..could not even stretch out my arms! ...other then that major problem, the length and body fit were perfect...i am true med and/or large in all retailer tops so i tried sizes 10, 12 and neither wo"/>
        <s v="A nice alternative to jeans, good fit. i like the casual but edgy rocker look they have. will look good with booties and full length boots. i took the same size that i do in all pilcro pants."/>
        <s v="I love , love this top !! it looks just like the picture on model. the front is a soft t-shirt and the back is so cute and flattering . super unique and comfortable style.!! i am 5'4 -105 and xs fits perfect."/>
        <s v="This is a very cute and unique top!! i absolutely love the back, which makes up for my indifference of the front. i'm a little heavier in the middle, so it hides it a bit, but the light blue from the back that shows on the sides makes me feel a little wid"/>
        <s v="This top is so lovely, i was worried of the color on my pale skin, but it is complementary, nice warm tones. yes, it is a tank, but i can see this as a transition piece into fall with a nice blazer, jeans, boots... the xs regular is perfect for me, length"/>
        <s v="Great pants, like the edginess of the design in the material. kinda rocker like. soft material that's stretchy and hopefully will hold its shape during the day. the color is listed as black but it's more of a dark gray with a slight blue hint."/>
        <s v="I love these! they are a perfect addition to my fall wardrobe, and just like all other pilcro jeans, they are a great fit and true to size."/>
        <s v="I often have a hard time finding items that fit true to size, but this top fits perfectly. it is cut really well and very flattering."/>
        <s v="I'm surprised i'm the first to review this dress! it is a must for the holidays and any special occasion! it is absolutely gorgeous! it is so feminine and seductive; it's one of those dresses that would be stunning on anyone! it is a quality dress, beauti"/>
        <s v="This shirt is very nice quality and looks stunning. it does run tight in the shoulder area and is a bit of a challenge getting off, but as long as i don't rip it one of these times all will be well! it looks so nice on that i overlook that design flaw."/>
        <s v="The material is very soft and it looks just like it does on the model with the exception that it gets a little wrinkly at the hem and turns up at the corners. i like it and have already worn it a few times."/>
        <s v="Was drawn to this dress in the store. my location had it displayed well (one mannequin with the dress &amp; a jean jacket...another with the faux fur cardigan). the dress is a very vibrant red. but the fit is not for me. i am busty (34c) with a short torso, a"/>
        <s v="I was really excited about this top since i have others from retailer that are similar in styling. unfortunately, it just didn't work out. i am petite with a short torso and ordered my usual size and it was way too short in the front. the top was also box"/>
        <s v="The back of this t-shirt looks cute but the front looks really weird. the material in the back is quite stiff but the grey material is soft, so the front gray area ends up hanging weirdly and looking uneven and messy. i appreciate asymmetrical clothing bu"/>
        <s v="Well, this top just did not do anything for me - it's a very conservative style with the high neckline and blousy fit. you'd need to go a little lower in size if you want any of your figure to show through. i guess it might be good for a church function o"/>
        <s v="Well made. made my hips looks giant. just not my style unfortunately. i'd have to work at preschool or on a ship to pull this off. i'm 5'3 120-123lbssize 6-8. i got the size 6 (not petite cuz they were sold out)."/>
        <s v="I love the color and the style, however it doesn't look as well as the model as i don't have a small waist like the model does. still overall, i love this dress and it is well made and comfortable"/>
        <s v="Love this blouse! its so darn cute. the fabric is soft, flows nicely and is just absolutely stunning without being over the top. it falls at the lower part of my hip. the softness of the fabric would make this easy to tuck in. the body of the shirt, sleev"/>
        <s v="I am 5'3&quot; 130 and curvy and this dress fit me perfectly. it's great for parties and weddings (depending on how formal). the only reason i gave it four stars is because the fabric is a little strange; the ribbing for the squares is almost like a pillowy fa"/>
        <s v="Love this dress! just wore it last night to an early valentine's dinner. very classy, simple, but gorgeous. i'm a size 2 in just about everything but i always buy a size 4 in retailer dresses because i'm tall (5'9&quot;) and have broad shoulders and a long tor"/>
        <s v="Fits very strange. odd cut. does not look well on."/>
        <s v="This is a beautiful top. it extended longer than i had hoped and a petite size was not available, so i ended up returning it. but it is beautiful and the tassels on the sides make it truly unique."/>
        <s v="Love this blouse! i took a chance on ordering it and wasn't sure what i would think. this blouse is fabulous!!! it has a boho-chic flair to it in a sophisticated way. it's one of those &quot;special&quot; pieces from retailer; elegant, quirky, sophisticated.&#10;the de"/>
        <s v="This is a timeless top. i loved the overall look of the top and after eyeing it for several days decided to purchase it. warning, the shoulder area is cut small due to the fabric at the top. i am usually a size 12 (because of ddd chest) but i bumped up to"/>
        <s v="Love this top! it is super flattering with a long floaty body. i usually wear a 4 but sized up to a 6 due to the reviews and am happy with it but think a 4 would have fit as well."/>
        <s v="Love tanks and this one is sweet and flowy. great with jeans/shorts or slacks with a jacket for the office. beautiful yellow floral with fun straps in the back that you can wear with a bra. front neckline is cut narrow so bra straps show but with nude or "/>
        <s v="This is truly unique top, the  detail around the neck is a nice change!!!"/>
        <s v="I am 5'2&quot; 125 pounds and i bought the 4p. the fabric is high quality and does not cling at all but instead drapes and in a very flattering way. add that to the cut of this jumpsuit and you have elongating, very flattering lines. i could not be more please"/>
        <s v="Very nice fabric but disappointed in the stitching on the knees. it looks nice but makes the pants very uncomfortable and tight around the knees. too bad because i love the style and hoped they would work!"/>
        <s v="Very cute flowy fit. i am generally a size small, 32-d chest. because the material has no give it fits perfectly (just barely) if it was any smaller or i was any larger it would be too small. very cute design."/>
        <s v="My store had this and i was so intrigued with its nearly $400 price tag that i decided to play dress up. the colors in person match the colors online, so that was nice to see consistency. overall though, i feel like a dress of that price would need to mak"/>
        <s v="I saw this online and thought, hmm, no. then saw it in the store, touched it, and the fabric felt so soft. i am normally an 8 petite in cartonnier, but the only sizes available were 4 and 2 regulars in-store. the 4 just looked promising. i thought i'd try"/>
        <s v="Great little transitional piece. i bought the blk/blk floral one &amp; it's not your usual top. sort of quirky &amp; one of a kind looking. i think it's crazy comfortable &amp; i just love it! even its a bit chilly outdoors, toss on a scarf round one's neck &amp; head on"/>
        <s v="This top has a western look with lots of black and some burgundy shades.  it is very cute and the fabric is soft."/>
        <s v="I was lucky enough to get a hold of this intarsia sweater dress after the sale and i wish i had purchased this the first time round. it is absolutely stunning, flattering, comfortable and unique! i am 5'3&quot; and the regular hem fit me just fine at the ankle"/>
        <s v="These run very small!! they are also short, almost like a crop pant. the fit was so weird that i won't even exchange for a bigger size."/>
        <s v="I purchased this top in a great sale! fits great,true to size i am xsmall-small for reference, purchased small. i ended up putting a bandeau bra on with it to feel more comfortable. it would be great in the fall with a cardigan/ sweater, or a blazer. supe"/>
        <s v="I am returning the dress because it smells heavily of the last purchaser's deodorant and perfume. it was actually nauseating to put on. i am disappointed with retailer that i was sold this dress, full price, in this condition. otherwise, the dress is love"/>
        <s v="First, my husband had to help me zip up in this interesting but awkward design. the materials is nice, but stiff, so the skirt is quite full. the shoulder idea is interesting, but i would not want to spend an evening in it. to me, not up to the usual ms s"/>
        <s v="This is as beautiful in person as online, but the length is shorter than the description, and the arms are tight! although i am 5'1&quot;, i normally wear regular sizes in retailer just fine; however, the 28&quot; length scared me off, so i ordered a 2p. it says it"/>
        <s v="These pants are so soft and so comfortable! i was absolutely in love at first sight. however, i got the petite, because i am 5'3, and they were still a little longer than i like my pants to be. i wanted them to hit right above the ankle, just like the pho"/>
        <s v="I just tried on this dress in the store, in red, and i loved the off the shoulder design. the color is just as pictured online (a light poppy red). the neckline began a few inches below my collarbone and was super flattering. however, the skirt portion of"/>
        <s v="It looks like you are wearing cargo shorts. really unflattering. avoid buying this skirt"/>
        <s v="I ordered a petite medium in black, and it fit great great. some of the other reviews said it was tight, but i found it pretty loose and flowy. also felt it was plenty of coverage - wore it to work (casual workplace) and transitioned to happy hour beautif"/>
        <s v="I had been on the hunt for a plaid bomber to rock this fall and this retailer edition bomber surpassed all of my expectations! it literally pairs great with everything fall.. chokers, boots, dresses; you name it! it also fits very true to size. not too fi"/>
        <s v="I am pear-shaped and often have a hard time finding pants that fit just right. these did the trick!! they are slim in the waist, but have plenty of room for bigger hips. the overall fit is body skimming/hugging, but they are not tight or uncomfortable in "/>
        <s v="This jacket is well-made and smart looking. it gave me just the boost i needed today at a difficult meeting. thank you retailer!"/>
        <s v="Perfect fit. did not lose its shape. thicker material. great quality for a great price. definitely  a wardrobe  staple. can be dressed up or down. work (business) appropriate. fits tts. for reference,  i am 5'0&quot;, 109lbs, and the 00 petite fits perfect. fa"/>
        <s v="This is a great lounging dress or a great beach cover up. i ordered up a size after reading other reviews. although, i feel like my normal size would have been fine probably. i ordered the black and it is not see through. it's very light weight and comfor"/>
        <s v="The fit on these pants is just right for me. i have curvy hips and a slender waste and legs. these pants don't gap in the back, as fitted pants often can. easy to dress up or down. the color hasn't held up as well as i hoped, so take care when laundering."/>
        <s v="Ordered the navy and aqua in medium. the aqua fit a lot tighter than the navy seemed to be a different fabric and less stretchy. loved the color on both but returning the the aqua. normally wear size 6"/>
        <s v="Very comfortable fabric and fits nicely. i am 5'10&quot; like it states the model is, and it falls shorter on me that viewed, but still looks nice. it will be an easy dress to use for different looks."/>
        <s v="When i tried on this bathing suit, i decided to not try on any others. it was just right! i usually find bathing suit shopping difficult and no fun--as i can never find a suitable bathing suit. this suit looks nice/flattering, and i can also move around i"/>
        <s v="I have bought other leggings at retailer and they were fine. these run small. i have to return."/>
        <s v="Love love love these leggings and what an amazing price point!!!"/>
        <s v="This is a great beach/pool or lounge piece. i debated keeping but couldn't pass up how comfortable it was. hugging without being tight. i will probably only wear it with some sort of layer like a jean jack or tied shirt rather than undone unless on on the"/>
        <s v="The colors and fit of this suit are even better than described. it is the most comfortable and flattering one-piece i have ever tried on. &#10;&#10;as noted by other reviewers, there is limited support in the chest; this suit will keep you covered but does not pr"/>
        <s v="I had been looking for a one-piece that is fashionable yet practical. fabric is beautiful, fit is impeccable, no complaints on lack of support. i find if you tie it tight up top it's very practical. this was the perfect choice for me. i am 5'3&quot; 120 lbs an"/>
        <s v="This is a very comfortable and sexy sleep dress, the way it drapes. i can see that the type of fabric is not suitable for out and about activities and can catch on snags, etc. very easily. once i relegated it to the nightgown category it became my favorit"/>
        <s v="These sold out in my size 16 before i even knew they existed! (probably a great indication that your in-between and plus-size customers are hungry for more options from you). please restock so i can get in on this apparently-perfect pant!"/>
        <s v="I love this top! i gave it a four star because i wish it were a tad longer. i am short... 5'-1 and it does work for me, but i do tend to like my tops longer. very cute and airy in the back!"/>
        <s v="This suit fits like a glove! i've had five kids and am currently nursing my last baby so i was looking for a suit to wear to the beach this summer when i'm just not feeling a bikini. this is it! it's comfortable and not binding easy to nursing and swim in"/>
        <s v="Cute top! the bright red crochet shoulders and back add the perfect pop of color to the light blue pinstriped front. it's a little loose and boxy around the bust area but overall i think it's a flattering shape. i got the regular s and don't find it too s"/>
        <s v="This top looked super cute online but when it came it was super short and boxy. looked like a tent on me. this one went back the same day it came!"/>
        <s v="Comfy easy dress. i bought the black version. fabric is so soft. i wear this around house, but don't hesitate to run out in it if needed. i bought medium so it was roomier and for length since i'm tall. small also fit, but was shorter than i wanted."/>
        <s v="Uncertain about sizing i got both the 4 &amp; the 6...both made me look like a no-asser :( neither fit quite right in the leg. both hit at a weird point in my calf, not cute-short, just off. (i'm 5'8&quot; and 125#) to quote my husband, &quot;nope. not feeling these.&quot; "/>
        <s v="I love this dress for day and night time. the back detail is cute and works well with a racerback bra. it runs big though. i'm normally a small in dresses and the arm holes are too big in the size small on me. it was also generally too big all over. i lik"/>
        <s v="I had my reservations given that i'm petite (5'2&quot;, 108lbs) and it's midi style. i'm glad that i took a chance. i bought the red motif and it's beautiful. it's wrinkle-free right out of the package. the color is vibrant and the style is classic and effortl"/>
        <s v="Cute comfortable top. fits well and will look great with skinny jeans."/>
        <s v="I got the shorts and the blue motif they're really comfortable and will look cute with a tank top for the weekend.   they true to size them usually a size 4 to 6 and i got a small and that works."/>
        <s v="I purchased this dress in black and love it. its hot where i live so i am always looking for a lightweight dress that i can throw on either after the pool or out and about. i wore it to an outside concert with sandals and a simple braid, it was perfect! c"/>
        <s v="Perfect fit! can be dressed up or down! more colors please!"/>
        <s v="This is a great pant to wear to business and when you just need something more than a jean. not so skinny a 50+ woman can wear comfortably.."/>
        <s v="These are great pants. i love the fit and the taper of the leg. these will be my &quot;go to&quot; black pants for the fall season!"/>
        <s v="I got this to wear as a beach cover-up over bathing suits. if you purchased a darker color and were small chested (i.e., you could go braless, since a bra won't work well with the low back and armholes), you might be able to pull this off as a very casual"/>
        <s v="I love the fit of these pants -- they're the perfect slim black pants. however, i wore these pants exactly three times before the seams split the middle of the pant in not just one, but multiple places. disappointed by the workmanship/quality of the produ"/>
        <s v="This is a great casual summer dress. cute as a cover up but in the black you can definitely wear it for daytime. if you're feeling bare throw on a white button down or chambray."/>
        <s v="I waited three months for these pants. when they finally arrived, i was mostly pleased. they seemed like the staple pant everyone is raving about. and they should have been.&#10;problem one: they bag out. i got one wear out of them before i needed to wash and"/>
        <s v="This is a great silhouette and the red/black plaid will be perfect for fall. it will look great with black bottoms or with jeans. the only reason i gave it 4 instead of 5 stars is that the outer shell fabric (the plaid) is a rayon twill that is a little b"/>
        <s v="This swimsuit fits exactly as i had hoped. i purchased it in the teal dot and it is a little brighter than in the photos, but i ended up liking that better. it is well made with thick (but not too thick) lined material. also, i was initially worried that "/>
        <s v="I love these pants. i bought as basic pants to dress up or down and they look good with flats or heels. also i like you can wash instead of dry clean."/>
        <s v="These pants are awesome - please make them in other colors besides black and navy!"/>
        <s v="This is an amazing swimsuit. i had been on the hunt for the perfect one piece. i wanted something a bit on the modest side, but still sexy, and i hoped for a unique print that would make it stand out. the icing on the cake would be a suit that is function"/>
        <s v="I really love these pants. just the right fabric, not too thick. so comfy. i do feel they run a bit big. they stretch out quickly so if you are in between sized, choose the smaller one."/>
        <s v="Like others, i finally received my size 6p black pants after months of waiting.  for starters, these pants run small, so i ordered a size up but still in petite, because i adored the red ones i got this past summer.  when the black pants arrived, they wer"/>
        <s v="I had been searching for a swimsuit that flattered my baby bump and this is it - i'm in love! for reference, i am 5'6&quot;,170-180, 10-12 or m-l depending on the item. however, i'm currently 19 weeks pregnant so im about 185 and growing - so i went with the x"/>
        <s v="I bought the first skirt at the store. loved it so much i went online and found this one and bought it too!"/>
        <s v="I put this runs small but it's a little more tts, except the arms are very slim! if you like to push your sleeves up like this model, you will have to wait for a while to see if the sweater loosens up. length wise it fit me a bit longer than this model an"/>
        <s v="So i recognized the fact that this dress was likely intended more for lounging than for wearing out and about, but i once had a lot of luck with dresses of this price point (and intent) at retailer, so i had hopes. i was just wanting it to be a great addi"/>
        <s v="Love the fabric fit and cut of this skirt. it hits at just the perfect spot but runs a little large and is more flattering when sizing down (atleast on me) ."/>
        <s v="This is by far the cutest, most glamorous one piece i have ever tried on! it fits perfectly and is flattering in the right places, it doesn't show too much cleavage and is modest enough for family events. absolutely love this suit in navy. wasn't in love "/>
        <s v="I don't normally try on tops like this but i liked the product shot so much that i wanted to repeat the outfit. i grabbed a large because it wasa shorter blouse. it was huge. i sized down to the medium and it was still loose but if i were to purchase, it "/>
        <s v="I love this ankle length pant. it is so comfortable wear it with a tunic or tee. i can wear this for 3 seasons!"/>
        <s v="I think this is the first time i've successfully purchased pants online. i normally have to try a bunch of styles and sizes on before i find the right ones. i gave it a shot with these, and bingo! they are great! they are a bit longer on me than on the mo"/>
        <s v="Such cute, soft and comfortable shorts. can be worn as night wear or out and about."/>
        <s v="I saw these in an email and immediately went to the web to look at them. they fit well and have nice slim look. the bottom of the legs seems to fit a little slimmer on me than in the picture, but they aren't too tight."/>
        <s v="Received many compliments the first day i wore them.. amazing fit. disagree with the other post. the&#10;quality is amazing. i wish they had other colors. bought xs"/>
        <s v="This is one of the most comfortable swimsuits i own. i purchased it in the turquoise dots print and found that it was colorful and perfect for a beach getaway. the adjustable halter style makes it really comfortable, yet cute. i highly recommend this suit"/>
        <s v="Great swimsuit, love the fabric and pattern. the top lacks support."/>
        <s v="This dress is the best casual find. goes with everything- flips flops, tennys, jean jacket. feels little sporty and the orange was a cool addition to my closet."/>
        <s v="I tried this on in the store and was disappointed because it looked so fresh and vibrant on the hanger. but it's basically cut for model-sized people only. it's short and wide, and if you have any boobs at all it'll make the back pucker. i can't imagine t"/>
        <s v="I really wanted this skirt to work but it didn't look very flattering on me. a great midi length and very cool pattern, so hopefully will work for others!"/>
        <s v="These are really cute. nice fabric. i love the rise...not to low, not too high. but they are going back. i'm a size 4. i got these in a 4. they fit fine in the waist and bum but they are tight around my calves. also, they were more like &quot;high waters&quot; on m"/>
        <s v="This top is gorgeous! this is why i love retailer the quality is amazing. i just love how unique this top is. it's a light jean blue and white pin striped shirt with these beautiful red crochet sleeves. i'm a 34ddd i ordered the large and it's perfect. it"/>
        <s v="Sale price is a great price for a cute cover-up.  so this is not a polite company dress.  this is a &quot;i want to show off my cute underwear/bikini/cross-fit bod while i go get a cold pressed juice in venice&quot; kind of dress.  or you can just wear it at home l"/>
        <s v="These fit me really well. i tend to have a problem finding trousers that fit my more muscular legs and my waist. usually, if it fits my legs the waist is too big. the trousers have some stretch for a better fit. the only downside is that i had go them hem"/>
        <s v="I am normally between a size 0 and 2, so i ordered these pants in both sizes to make sure i would have a nice pair of black crops to wear to work. the 0 seemed pretty tight all around, so i returned the 0 and kept the 2 even though there was a little bit "/>
        <s v="The material and construction of the pants are great, but the length is just plain awkward. i'm 5'4&quot; and the regular came to just above my ankles, and looked as though they had shrunk in the wash in a really bad way. a couple of inches longer and they wou"/>
        <s v="I often find wearing anything described as 'slim' difficult, but these pants are absolutely wonderful. i bought in a size 12 regular length. they are perfect, both in fit and quality."/>
        <s v="This midi skirt has a really nice drape with great seasonal colors! can't wait to pair it with my wine color booties!"/>
        <s v="I ordered these in a size small on sale, thinking that because of the material, they might not fit. they are actually very cute, and fit in the waist/legs, but in the crotch area, as another reviewer mentioned, they could fit a little better. they look fi"/>
        <s v="Unique design. love the collar and broad cuffs. the xs regular fits me better than the s petite, which is a bit short."/>
        <s v="I bought this dress in the cream color. it was sold out online in most sizes but i stumbled upon it in person and immediately had to have it. i'm usually xs or small, and bought the small. they did not have an xs available so i can't compare, but the smal"/>
        <s v="This is a fabulous style top! highly recommend this top. comfortable material. retailer is consistently tried and true to a classy style!"/>
        <s v="This dress is gorgeous, but i should warn all the tall ladies out there that it fits quite awkwardly. i'm 5'10&quot; and tried both the petite (thinking it would fall more like a midi), and the regular, hoping it would fit like a maxi should. both hit at a ver"/>
        <s v="Love the coral color - so pretty in person. it is slightly lower cut on the chest than i expected. &#10;this is a great top for the weekends!"/>
        <s v="These are the perfect leggings. they're so soft, and they don't stretch and droop throughout a day of wearing them. i ordered the grey and moss, and they have different textures, which is fun."/>
        <s v="This cardigan is very cute in the picture and i really wanted to love it but it just didn't seem worth the price. the material is kind of itchy to me and i wasn't a huge fan of the wide edges in the front. the colour is very nice and feminine."/>
        <s v="I never buy anything at retailer full price, but had to get this when i tried it at my local store, especially since it's back ordered for so long. it's very flattering, and super comfortable. fully lined, not see- through at all. elastic waist that's hid"/>
        <s v="This sweater is unique and really pretty.  i got so many compliments and i felt really girlie wearing it - it is so fun."/>
        <s v="I just saw this in the store and loved it! it is shorter than pictured on the model, but it's not short. with a long shirt underneath, i'll wear it with leggings. the color is beautiful!! the size does run large - i normally wear a large at retailer, and "/>
        <s v="Very fun and comfortable pants that will bring you many compliments. they do fall open when you sit down, though they have liner shorts inside for coverage. they are not appropriate for work but will become a wardrobe favorite."/>
        <s v="I don't typically write bad reviews, but this dress is so bad and i want to save someone else from buying it. i read the mostly bad reviews and still purchased anyway (my fault i know). the dress is super stiff ( i know denim can be that way and it is pos"/>
        <s v="These pants! great casual pants, i've received so many compliments! mainly because they are flowy, and the open panels make them different! with the weather so hot, they are perfect for keeping you cool. very pleased with this purchase!"/>
        <s v="After reviewing the comments for this dress i was really hesitant about buying it online, so i finally went to the store and all of the reviews are 100% true. this dress is amazing in terms of quality, but the sizing makes zero sense. i'm normally a size "/>
        <s v="Loved the style, ordered my normal m- fit tts though i thought i would potentially taper the sides to make less boxy (with a larger bust and shoulders, boxiness is unflattering). the slight boxiness looked perfect with stretchy, fitted business slacks. mi"/>
        <s v="Nice basic top...i will get plenty of use out of this! love the neckline."/>
        <s v="I'd been eyeing this dress since i first saw it in the dress catalog when it came out. when i saw it in person, it was just as beautiful as i remembered! i'm about 140 lbs and usually wear a size s or m, but i tried the s on and decided to size down to an"/>
        <s v="I have been searching for a pale pink sweater for fall. the color and fit is much prettier than the way it is photographed here. i think it will look great over denim, grey, or olive green dresses and shirts."/>
        <s v="Don't buy this dress unless you are normally a medium or larger. order it one or two sizes smaller than your normal size. i ordered an xs and it's more like a medium or large."/>
        <s v="I got this in blue and also in white, both size medium. it's a very comfy casual top and i love the horseshoe neckline and front facing seaming which makes it just a bit different. however....i can't figure out why the blue color fits quite a bit smaller "/>
        <s v="I think the model is wearing a larger size, per the first review. i am 5'2&quot; and 105 lbs and the xs fits about the same in length but not nearly voluminous. so you should order up if that is what you want. this will be perfect for some long summer flights "/>
        <s v="I ordered the white solid &amp; the white w/blue stripes versions in size xl. both fit me true to size. the fit matches the model's photos. i got these on sale and they're worth that price. they're great basics to have. the white/blue striped one is my favori"/>
        <s v="I found this at my local store and ended up buying both colors. the fabric is thicker than a t-shirt. these will go with so many things....jeans to dressy skirts. i normally wear a small but ended up buying the medium (2). the small fit me but was a littl"/>
        <s v="The colors and print are absolutely beautiful and i'm quite heartbroken that this suit just doesn't fit. i don't have a long torso but the v was just so plunging that i wouldn't feel comfortable leaving the backyard lounge chair in this bathing suit. no m"/>
        <s v="This sweater has the perfect slouchy shape for fall. i wish it were a little bit softer and heavier - the fabric is pretty lightweight - but it layers beautifully and will be a staple for me this season."/>
        <s v="The overall styling was great, and the dress is super-cute, if a little thick (it's made of denim, after all). i ordered a size down from my normal, and even then, i was swimming in it. the worst part, and the aspect that will make me return it, is that t"/>
        <s v="Marking down one star because these pants do gape quite a bit when you sit down, though i appreciate the shorts underneath that prevent any indecent exposure. these could have done with a little stitch in the front or side somewhere on the leg to limit th"/>
        <s v="It is seldom that i write a review about a tee, but after receiving the jessa tee in the mail today, i just felt compelled to do so! the deal is, this tee is pricey for sure, but in my opinion, it is worth it! as another reviewer said, the cotton fabric i"/>
        <s v="These leggings are some of the softest i own. i ordered both the black and the moss and each has a distinct pattern. they are perfect for colder climates and fit me like a glove."/>
        <s v="I took this sweater on a recent vacation up north. i wore it 3 evenings because the weather changed from hot to cool. loved the feel of being wrapped in a warm blanket. cocoon cardigan is an apt name. wasn't sure about pink but it is exactly as pictured. "/>
        <s v="I normally wear a size 2 so i ordered a small and an small petite, i will be keeping the small because the small petite looks like a shirt on me, my height is 5'4&quot;. it runs very big underneath the arms as well. the design is so unique i will be keeping it"/>
        <s v="This dress is still super cute despite its shortcomings. i agree with other reviewers that it definitely runs large, and very small petite/thinner ladies might feel it's overwhelming. it worked for me in my usual size l though. for reference i'm 5'3 and t"/>
        <s v="So comfy and stylish. love the color, i purchased the indigo/blue. nice fit, relaxed fit....not fitted. might have to get another color. it's fun to have a tee with a different design detail (neckline). i'm 5'7 145-150 lbs and ordered the medium. a smaill"/>
        <s v="I love this sweater! it is true to size and not itchy at all. i am 5'5&quot; and i bought the small. other reviews said it wasn't as long as it looks pictures but it is the same length on me as it shows on the model. you can wear this with so many things! i ca"/>
        <s v="The coral is stunning. the shirt has a slight flare at the bottom that you can't see in the picture, it isn't a straight cut. the sewn edges are rough style making the shirt right for casual wear with jeans, or dressing down something fancier."/>
        <s v="I received this sweater in last week, when i opened the package i thought for sure that this sweater was going to be itchy , it is not , the styling is great and very flattering for the price this is a great value."/>
        <s v="I'm a 110 lb, shorty with a short torso and long arms so the standard xs was huge. i had the opportunity to try on both the xxs petite and xs petite. the xxs petite was almost perfect but i wanted it more flowy - probably best for those that are even shor"/>
        <s v="I bought it in the cream color and loved it so much that i bought it in black too. super cute with jeans! can dress it up too. the only slight negative, if i had to find one, is that i feel like i have to pull it forward, at the neckline every once in a w"/>
        <s v="This sweater is like a giant hug. i wore it today and received so many compliments."/>
        <s v="This is a perfect saturday t shirt for the colder days. great fit; not form fitting with no elastic or rayon, soft cotton with great details. im 5'8 140 ish and the medium fit great. i bought a washed denimy blue in the store but may be coming back for mo"/>
        <s v="I can never resist a peter pan collar, so i bought this top in the ivory. it's so cute! i wore it for the first time today and received many compliments. it's very comfortable, fits well, and looks expensive. highly recommend it!"/>
        <s v="This is absolutely adorable and so flattering! i have the patterned shirt, and i just purchased the white one and the orange one because i like it so much. i am 5 ft. 9&quot; and 155 lbs. and the medium fits nicely. hope this helps!"/>
        <s v="I love this dress. i'm 5'8&quot; and it fits me exactly like the model in the picture. i have slim hips and waist, so that helps. i don't think this would be as flattering on someone curvy. i wish it came in another color i like, i would absolutely buy in anot"/>
        <s v="I bought this a little ago in the denim color. it has become a favorite so much that i bought another in white."/>
        <s v="This is a cool relaxed style with the benefit of an open neckline to add a bit of femininity. i tried on the faded blue and striped colors in the store. the faded blue goes well with the style, but the stripe is cute too. the sleeves are quite long and to"/>
        <s v="This is a very pretty dress and looks just as it's pictured.  however, there is a lot of fabric - the lower half is very full and runs very large."/>
        <s v="I wanted to love this dress. the colors are heavenly and it looks light and airy. it isn't, it is very heavy, much too heavy for florida heat. the top layer is a beautiful sand color and while the fabric is nice, the heaviness of the top really weighs the"/>
        <s v="I was not impressed with this dress online but when i tried it on at the store i fell in love. it's a great summer / fall dress. i love the sweater top and linen bottom. so many compliments on it!"/>
        <s v="Absolutely in love with this shirt. the neckline is extremely flattering, and the shirt naturally comes away from the body."/>
        <s v="I needed a tee refresher, i had a good feeling about this one so ordered all three colors when they were on a promo, and i'm not disappointed. the neckline is different and works great to emphasize your favorite necklace. the tee holds shape after washing"/>
        <s v="The fabric and detailing of this dress is of superior quality, but unfortunately it runs huge-- you definitely need to wear a tank or cami underneath. i am 5'9 145lbs with massive shoulders/smaller bust and i got the xs petite!"/>
        <s v="I think in general it is just hard to buy a bathing suit online, but i really underestimated the v-neck of this suit. i read the reviews and noted it was not recommended for girls with larger size breast. as i'm basically an a cup, i figured i would be fi"/>
        <s v="I found this sweater to fit me just as pictured. i am 5'8'', 128lbs and ordered a small. it hits length wise the same as pictured and is just as flowy with a lot of fabric. super cute with a grey top, white skinnys and brown leather sandals. love it!"/>
        <s v="This runs small, i got the size 3 which fits like a medium, not a large. its a bit of an aline shaped knit in a beautiful saturated navy. i loved the elbow length sleeves. i have a large 34g bust and although this fit, it came to the top of my waist and i"/>
        <s v="This dress is everything. i'm 5'4, athletic build, 36d and the medium fit me perfectly. the colors are really understated and beautiful and can easily be dressed up or down. i wish the elastic around the waist fell a little lower but that's one of those t"/>
        <s v="I love this cardigan! i ordered the pink and it's a really pretty color. i wish it didn't run so big but xs will be cozy all winter."/>
        <s v="I purchased in store to avoid shipping costs. my local stores don't carry xxs, so they are mailing it to me. i usually wear an xs, but it was roomier than i cared for and made it look a bit sloppy on me. this tee is more distressed looking in person than "/>
        <s v="Very soft and comfy tee. like the interesting neckline. wish the petite neckline was slightly higher, but sleeves are right length and have great cuffs."/>
        <s v="Ordered the xsp (5'4&quot; about 118-120#, athletic build)...this was huge all over. big in the armholes, too much fabric hanging in the skirt (cream fabric) front and back, not flattering at all from the sides and as long on me as it shows on the model. i lov"/>
        <s v="Love the color, but the fit is just odd and frumpy. the sleeves are shorter than the should be. when i lift my arms, the entire sweater gets lifted. going back."/>
        <s v="Yikes!  quite a smell off of this one- like wet/hot wool.  the color was beautiful, but the sweater is enormous!  strange fit under the arms as well.  this one went back the same day."/>
        <s v="I love the way this t-shirt fits. the horseshoe opening in front is deep enough to add interest, but not too revealing. will look great with layered, dainty necklaces. the sleeves are nice and long - and i have long arms. the length of the shirt itself co"/>
        <s v="This sweater tee is made from a fine but substantial knit which hangs beautifully and flows over imperfections in your figure. the cut is very 1950's through the sleeves and neckline. it's a little cropped and boxy, just so that it hides your belly and ac"/>
        <s v="The blue is a very flattering color. the fit is not. it does not lay in the back like in the photo on the model. instead, there is a lot of fabric that falls in horizontal folds because it does not fall straight because the sides at the bottom are narrowe"/>
        <s v="This top has a comfy cozy feel while still being flattering. i especially like the generous neckline--adds a uniqueness to it. great shirt for dressing down, but still feeling feminine. i bought two! my husband always compliments me when i wear it."/>
        <s v="I love this sweater. it has quickly become a staple in my wardrobe. i live in minnesota, so a fashionable throw-on-and-go sweater is essential. this sweater fits the bill. i love how soft and warm it is, the cocoon styling adds a fashionable element while"/>
        <s v="Can be a bit itchy sometimes, i guess depending on your skin. haven't had a problem with the sweater up to now!"/>
        <s v="This dress is perfect. i'm literally wearing it right now. it's crazy comfortable while still being flattering. it looks and feels high quality, and just barely doesn't hit the floor. it makes me feel like a goddess. plenty of room in the bust area, even "/>
        <s v="I had tried this on in the beige &amp; loved it but could not find it in my size so i got it in the pink.&#10;did not look at good as the beige."/>
        <s v="I love retailer and fell in love as soon as i saw this dress online. being 5'10&quot; i love a quality maxi dress and this one did not disappoint. however, being 5'10&quot; also means the top sweater overlay hits me way short. it looks ridiculous. i also thought th"/>
        <s v="I love this shirt. it would be a fairly basic tee but the neckline makes it fun. it's very soft and comfortable. i bought the white with blue pattern and will probably purchase additional colors."/>
        <s v="I love this shirt. the neckline is flattering and the overall feel is very comfy."/>
        <s v="I wasn't going to purchase this dress because it was given 1 star. however, i ordered it and i was so glad i did!!! i'm 5'1, 105lbs this dress fit me perfectly, it really compliment my petite body. i get so much compliments! it is not easy to order anythi"/>
        <s v="I tried this on in the store and had to have it. this is the kind of sweater that you just want to cozy up with on a nice fall or winter day with a cup of coffee in hand. i love the neutral pink color as it will go with everything. i'm a dress and skirt g"/>
        <s v="Bought this today - cant speak to wear - but overall design is so incredibly cute and flattering. i am usually a small or medium, but went with a medium. so different and wearable! white is sheer so opted for a denimy blue color that i dont see listed ava"/>
        <s v="The sweater is cute, but scratchy."/>
        <s v="It was cute. i didn't keep it because it wasn't soft and hung a bit different than pictured. i thought it would be softer material. it was itchy"/>
        <s v="I am on the fence about this dress, as you'll see the reasons below, but it is really breathable fabric and extremely comfortable!&#10;_________&#10;pros:&#10;- tons of stretch to the top part. i'm a 36c, so a lot of retailer tops are too snug for women with some bus"/>
        <s v="I love these tights so much i almost want to buy another few pair and save them for when these wear out. the lining is like clouds on your calves. they're thick enough that you don't need to be totally covered by a tunic but slim enough that they don't ad"/>
        <s v="I am a curvy woman and leggings are new to my world. i am sorry that i did not discover these leggings sooner because they are lovely. they are comfortable and cozy with a great fit. i am 150 lbs and 5'7 and the m/l fit perfectly. i have the black and plu"/>
        <s v="I was so in love with this dress when i saw it in the store but so disappointed when i put it on. i am 5'10&quot; with curves and usually buy a large in dresses. this dress looked like a sack on me. the top was way too big and loose making the dress a boxy cut"/>
        <s v="This is huge. i understand that's the style, but it looked like i was wearing my husband's size xxl. i tried to imagine a really cold day when all that extra fabric would be nice... but then it started to itch, and itch and itch!"/>
        <s v="The fit is not as shown on the website. will be returning."/>
        <s v="The detail on this dress is lovely -- it's unusual and well-made from soft fabric. it is big though -- i would usually wear a medium and ordered a petite small. to give you a sense of how large it is, i am currently 33 weeks pregnant, and bought this to w"/>
        <s v="I saw the cream color in size regular small in the &quot;only one left&quot; section at my local store. i had my heart set on this dress all summer but it was sold out, so i was super excited to see it. the color is true cream, like linen color. i was surprised tha"/>
        <s v="There's are just what i was looking for! these are perfect in texture and thickness...not too thick but not too thin. super soft fleece on the inside. i both both the black and green...i will most likely but the grey soon enough."/>
        <s v="I am floored by the amount of positive reviews on this dress! when i received it, it looked nothing like it does on the model. the bottom looked like dirty sand and was completely wrinkled. if you have anything above a c cup, the top looks completely unfl"/>
        <s v="Adorable, comfortable dress. the denim is super soft with a bit of stretch. please be advised this dress runs very large, especially through the hips. i normally wear a size 12 and the large was swimming on me. i will definitely be exchanging it for a sma"/>
        <s v="This didn't work for me. im normally a m (8/10). got this in xs. that was the correct size for me, i believe. however, the armholes were huge. husband said the top of the dress looked like the autobots symbol from transformers and he wanted me to keep it."/>
        <s v="I am long waisted and 5' 120 lbs. 34c. that being said, i purchased a size s regular and it fit perfectly. a petite would have been far too short. so i would recommend a regular size if you're a petite. also i have a big chest and this was very flattering"/>
        <s v="This is a bit pricey, but it's the most beautiful sweater that i own. it fits beautifully, and the material is soft, not itchy, which is important for a sweater with a cowl neck. the cowl sits beautifully, no matter how you &quot;fold&quot; it. and, the pattern bot"/>
        <s v="This product i better than the pic. nice fit and a nice throw on with boots nap glad i took a chance one it"/>
        <s v="I bought this a month ago and returned it. but kept thinking about it so ordered it. it arrived on wed and i wore it on thursday as a dress with tights. i got so many compliments on it. it was perfect for the cool weather and was not too warm.&#10;&#10;this knitt"/>
        <s v="I just received this in the mail today. first of all there was no slip included and the fabric is totally sheer. the description says &quot;viscose lining&quot; so i assume there was a slip and from the picture it looks like it was a beige color. second of all, it "/>
        <s v="I am six feet tall so this will definitely be a tunic with jeans or leggings but if you are shorter it could easily be a dress. lovely pattern with soft cozy fabric. nice weight and hangs well. definitely a keeper!"/>
        <s v="I was so excited to order this sweater but was so disappointed when it came. the knit is somewhat stiff and the sleeves are not as bell shaped as pictured on the model. overall i would of kept it if it were much less money, for the price it is just an ord"/>
        <s v="After reading the reviews i decided to give this a try, but it just didn't work on me. i'm 5'8, smaller on top, and usually wear m in retailer sizes. this was ok in the shoulder and arm area but a little too snug for me in the hips. also, the diagonal str"/>
        <s v="I loved this in the store, but had to order my size. it is true to size - a great length - but the material is very thin and very sheer. i don't think it will carry over into fall - it is more of a summer weight fabric. it is also a little pricey for that"/>
        <s v="I absolutely love this sweater! first of all, it's extremely comfortable. i have been wearing it around the house all day and have no desire to take it off. it's cute as a casual around the house top, but also adorable dressed up with jeans and boots. it "/>
        <s v="Haha, the unifying theme in these reviews seems to be don't trust the picture! i was misled by the neckline, i thought i saw a structured kind of asian-inspired mockneck/funnel thing and instead the top has a foldover cowl which, with my full bust underne"/>
        <s v="Love the shape and cut of this top but it is so sheer you could see my belly button through it. if it was a dark color i would buy it. wore my regular size small. i'm 5'5&quot;130lbs  and 32dd."/>
        <s v="Has quickly become one of my 'go to' tops. comfortable, cute, looks just like the picture."/>
        <s v="It is the perfect top to wear in the summer, it is nice and you can be somewhat dressy or super casual. i don't like anything too tight around my stomach and this has a nice flow with just the right amount of material."/>
        <s v="This is a beautiful tunic. i wanted it to work so much but i couldn't get past the itch factor. also, the sleeves were shorter than i expected. when i wore a light tee underneath, it didn't move well and looked bulky so sadly it went back to the store. if"/>
        <s v="I saw this dress in the window at the portland store, and had to try it on. i was a bit horrified at how huge it was once i got it on--sort of like wearing a tent. no shape at all. one of the awesome dressing room attendants brought me a belt, and suddenl"/>
        <s v="I ordered size large and find it too boxy and long. love the hem, although the top is too long in this size so it's a bit hard to judge how it'll look in the right size. the sleeves are cute and different, a bit wide and flowing. be warned, it's sheer whi"/>
        <s v="This sweater was a big let down. i am 5'2&quot; so i ordered it in a petite. it was so short that if i lifted my arms, you'd see my bra!! there is no way i could wear it without something under it- even with high waisted bottoms. and the bell sleeves look noth"/>
        <s v="I was excited to see this top in person, but once i got a close up look at it (and also tried it on) i was disappointed. first, the color is much more persimmon orangey in person and that's a hard color to pull off for a lot of people. it just pulls any p"/>
        <s v="Love this blouse! the top is true to size...i'm generally a m and decided to try a pl which fit great. the pm was just a bit snug...looked fine but i felt a little constricted in the bust area and thought the pl was better for me. i'm 5'1&quot; for reference a"/>
        <s v="This is a beautiful and fashionable blouse. it feels good on as it is made of viscose, it is pretty and feminine. color is great, of course it needs to be your color. i love it and recommend it!!"/>
        <s v="I fell in love with this top when i tried it on at the store. it's a great fall piece. it is see-through around the bust, so a nude bra or any color camisole would have to be worn. my only thing is that it seems a little dressy, so i'm wondering how much "/>
        <s v="This dress is light, airy easy and comfortable to wear. i love the colors and pattern. it looks wonderful with or without a belt. i sized down from a 6 to a 4. i position the front of the dress material closer to the neck so it flows longer at the back. a"/>
        <s v="Very attractive and easy to wear. i wore it the night it arrived and wore it again the next night! i love the colors, the pattern and design. this is a stylish tunic sweater. the sleeves are not full length, which i prefer. the sweater is dense - the weav"/>
        <s v="Great tank to wear to work or a night out. fits true to size."/>
        <s v="Stylist at my local retailer recommended i try on this top. as soon as i put it on, i was amazed at how pretty it is. i'm 5'3&quot; and curvy size medium and the fit is true to size. i would say if you are between sizes, you may want to size down. i didn't hav"/>
        <s v="Not only a beautiful knit but can be worn as both tunic and dress on my short frame. it does not look like a sack tent when worn. very soft and flattering. collar is styled well and can be shaped different ways. pattern and color combo is the similar to t"/>
        <s v="As others have said, this is even prettier in person. beautifully made, colors are really pretty. it's unique and special. in sweaters i go between sizes small and medium, depending on the cut. i went with the small here because the medium had a bit too m"/>
        <s v="I wanted to love this. however, the fit was funky and the colors were muted. this is definitely something you must try on in the store. too risky to buy online due to weird fit."/>
        <s v="Ladies this top shrinks!!! i am very disappointed, i was in love with this top and the first time i washed it it shrunk a significant amount. i did not use a dryer, i laid this piece out to dry as i do with the majority of my knit tops and it shrunk. it i"/>
        <s v="I bought this in black. it's a great long length. i have long arms so the sleeve length is great. it's really soft. only issue is seems to sag a little in the middle instead of being flowy. overall a good tunic."/>
        <s v="I love this top! the sizing was great, and i have already worn it so many times, and received so many compliments! it is great to dress up or down! such a great purchase!"/>
        <s v="Purchased in the blue. the color is a little darker than it shows. more of a slate blue. loved the fit. i am tall so it covered perfectly."/>
        <s v="Very slimming, lovely dress.&#10;a nice addition to your fall/ winter wardrobe.&#10;the embroidery is lovely, fabric soft and comfortable. sized perfectly. &#10;so happy with this beautiful black dress!!!"/>
        <s v="New fav lbd. i am 5 months postpartum and this dress makes me feel like my old self again. it fits right above the waist, with a bow to cinch the waist. love the fit and flare. the top is warm, great for a cold evening out. and the taffeta really dresses "/>
        <s v="This sweater looks soft and flowy on the model, but in the store it is rather stiff lace in the back and very plain in the front. i did not like the ribbing on the front bottom of the sweater because it pulled in places and didn't lie flat. way too expens"/>
        <s v="Again, bought this while wearing my retailer colored glasses. i loved the flowiness and color of the dark pink, and was convinced in the dressing room that this top made me look like a chic goddess, mid-vacation on the amalfi coast. i tried it on at home,"/>
        <s v="I love the back detail but doesn't feel that comfortable on. i bought in green. it's fitted so get size larger if you plan to layer up. i'm 107 and bought xs size. i should have ordered the s."/>
        <s v="I was on the fence about this jumpsuit at first.  i feel the pockets in the back are a little high on my bum.  kind of an unnatural placement.  i sized up so it wasn't so tight fitting at the waist and hips so it made the placement of the back pockets a l"/>
        <s v="Great for layering and staying warm in the winter. definitely stay on the larger size, the fabric has very little give but is comfortable."/>
        <s v="This shirt is not a good look for a gal with hips. the fit at the top is tight (i ordered a small) but there is so much material at the bottom and if you are a little taller (i am 5'7), it hits at a place that is not flattering. i was hoping for something"/>
        <s v="Way to v necked- other than that would be a nice go to top. needs a cami."/>
        <s v="After reading the reviews, i was hesitant to purchase, but glad i did. i'm usually an xs or s depending on the brand, but i got this in a xxs. it fits perfectly and is so cute. does not look like a bathrobe at all. i love it because it's almost like a car"/>
        <s v="I tried this tunic on in my local retailer store. they do not carry petites, so i tried on a regular small (i'm 5'2&quot;, 130lb). the proportions were a bit off. the v-neck fell way too low and there was extra material puckering across the bodice. i definitel"/>
        <s v="Comfortable,t eh fabric is very soft. the embroidery adds a little to the otherwise plain black tunic. lace up neck on trend too. &#10;&#10;i ordered the xxs p, as it is likely loose... that was just fine for me, xs p would have been not as flattering. theo nly p"/>
        <s v="I do think the fabric could be a little more substantial for the price, and was disappoitned that even petites, were again, too long... the color is nice enough (neutral), and they definitely look like work pants. they are true to sice, but i could do the"/>
        <s v="I bought this in black and it did require me to wear a shirt underneath as it was a little sheer/see through. i usually wear an xs and i wore the same in this top. the black is very pretty and goes well with some skinny jeans."/>
        <s v="After seeing this on anthto's facebook page i was so excited to order. i ended up going to a store and trying on. i couldn't believe it was the same shirts when i first saw it. i thought this ran quite big. and the shape was odd. lots of material in the m"/>
        <s v="I ordered this sweater in black and thought it was a pretty design and something different in a cardigan. when i tried it on, it was an odd fit and very boxy and unflattering. i wanted to like it and keep it, but i knew i would not wear it so, unfortunate"/>
        <s v="I ordered the green, black and ivory because i thought they were so cute. the sweater is short but still cute. the ivory one i will return though. it has sparkle that's not noticeable in the online picture plus when it arrived it had a huge snag in the fa"/>
        <s v="I ordered the pink in size xl. the color was pretty. the problem is the material was too thin and tight. it ran at least a size smaller than shown in the photos online."/>
        <s v="I ordered the in the emerald green and it was sent to me with a dime size hole in the sleeve. i am very disappointed, because i love the sweater. by the time it arrived, it was sold out in my size. now, i cannot exchange it for one that is not damaged. if"/>
        <s v="This is a very pretty sweater, a bit boxy and short but cute. i am 5'1&quot; and ordered the regular xs in black. the thing i did not like about this sweater was the gold thread through the back lace. i would have kept this if it was plain black lace. just did"/>
        <s v="I was obsessed with this dress from the moment i saw it online and was so excited to buy it for my company christmas party. i'm 5'4&quot;, 36c, 145lbs and i ordered a 6. the size was great but the whole cut of the dress was completely off for me. i have a fair"/>
        <s v="This tunic is very pretty in black. it is lighter weight than the picture appears and drapes nicely. i'm 5'2 so i ordered the petite, but would have been ok with the extra length of the regular for when worn with leggings, with jeans the petite length wil"/>
        <s v="Great, special cardigan. fits like a shrug and a little short but is perfect over a tight fitting sheath. great for broad shoulders."/>
        <s v="Cute cute. simple tank with a little something to add interest."/>
        <s v="This sweater is a cute design but did not work for me. i am 5'9&quot; and this is way to short/cropped and looks awkward. the quality was so so, it looked stretched out in the front. it's getting returned."/>
        <s v="Beautiful top, loved the color but shoulders were totally messed up and not sure if it was from&#10;hanging at store or the way it was sewn."/>
        <s v="I ordered this in two colors, in my regular size. i washed and laid flat to dry....it shrunk like crazy. i held the one i washed up to the other unworn/unwashed one and it was at least two inches shorter. they may both be going back. i am so sad."/>
        <s v="I purchased this top in blue and liked it so i ordered the red color. i hated the way the second one fit. i'm concerned the blue will not wear well after seeing the way the second one looked!"/>
        <s v="It is so simple but elegant and beautiful! i am 5'3 and 120 lb and extra small fits me perfectly"/>
        <s v="I love this shirtdress. the lace and collar design pops off the black. super comfortable and love that it has pockets! a keeper, this one not going back ever. i am 5'9 and 140 lbs and the 6 fits perfect. the length comes above my knee, so most likely i wi"/>
        <s v="This cardigan is nice and the lace at the back is pretty. just be aware that it's definitely a cropped length, which is good for wearing over a dress that you don't want to cover up too much. size up if you want room to layer. the one i tried on at the st"/>
        <s v="You guys, i love this so much! however, within one hour of wearing it, the back seam completely ripped. it fit me perfectly... sadly i&amp;#39;ll have to return the damaged item. really sad it&amp;#39;s all sold out too!"/>
        <s v="I love the soft, slouchy feel of this draped yet constructed jacket. don't expect a crisp fit. i'm not a fan of the menswear look so this jacket is the boho answer to a classic blazer. the one-button closure is easy to wear; the hem curves for a more femi"/>
        <s v="Love this shirt with leggings. if you are in between sizes- size down"/>
        <s v="Unusual color. expensive even on sale."/>
        <s v="I am 5'4&quot; 140 pounds and ordered the 8 petite. it fits perfectly and is very flattering. the embroidery and lace up neckline thing is really awesome. it gives the dress some character... i am also a fan of the roll-up sleeves. i wish it came in other colo"/>
        <s v="Oh elevenses, i love your pants..the fabrics, the details, the length. i've found elevenses to be classic work pants. reliable, professional, well made. these are none of those things. the cardinal trousers are thin and the rise feels much higher that's i"/>
        <s v="I can understand the concerns of another reviewer about shrinkage. i have a few retailer tops made of similar fabric and they have shrunk a bit. this too fits very well, but once i wash it, it will likely get a bit smaller. i ordered a small, but plan to "/>
        <s v="The lokka tunic is a perfect go-to top for casual days or nights! pair it with skinny jeans or leggings and you are set! the long sleeves are fitted and long-so they can be bunched at the wrist. i ordered it in both the black and the the pale grey/blue sh"/>
        <s v="I got two of these when they went on sale because i hate paying $68 for a basic top like this.. but for the sale price they are great! comfortable, lightweight, and flattering. the black is a little sheer, but nothing a tank underneath can't solve. a good"/>
        <s v="I bought this in my usual medium and it fits great (fitted at the shoulder, loose below). it looks great with skinny jeans and can be worn casually or dressed up with accessories."/>
        <s v="Ordered this dress online and wasn't sure about the criss-cross neckline feature but i love it! it's absolutely adorable and unbelievably comfortable. the fabric is very soft and lays nicely without feeling too &quot;baggy&quot; or frumpy. the embroidery is beautif"/>
        <s v="I was not shopping for a dress and somehow came home with this. in person the material and embroidery are just so stunning that i found myself picking it up. i was sold after trying it on. the material is very soft, both feels and looks extremely high qua"/>
        <s v="Love this dress! it is super-flattering, and the embroidery is beautiful."/>
        <s v="I am going to disagree with reviewers who say this runs small. i found it very short and wide. that being said, it is meant to be cropped. i ordered a size small and it fit perfectly, albeit a little short. for reference, i am usually a size 6/medium in r"/>
        <s v="Beautiful sweater but the material is a bit thinner than i was expecting. but it hangs nicely and the sleeves are nice and long!"/>
        <s v="Absolutely gorgeous skirt! so feminine and curve hugging. wish i hadn't found this so late! want it in every imaginable color, but i will settle for the off white.&#10;&#10;please bring this style back!"/>
        <s v="Love the design and the gold color, but the seams between knit and lace were a little weird and bunched/weren't smooth. maybe the one i tried on just needed to be ironed or something..."/>
        <s v="Great style!"/>
        <s v="This top is great - lightweight and flattering.&#10;i can wear it to work with skinny white pants or to the grocery store with jeans. &#10;i purchased another color because i love the first i got so much."/>
        <s v="Can be dressed up or down. the top part is tight, while the bottom has a beautiful skirt. i'm slightly busty and about 5'6&quot; and the size 6 is perfect for me."/>
        <s v="The fabric is beautiful, even the lining is lovely. i ordered the green color in a large, as i'm curvy and have long arms. but it just doesn't lay correctly at all - the collar has no structure, even though it's a lapel, and the side vents just pop out - "/>
        <s v="Love this shirt! i bought the light blue color and its amazing, fits well i love that its long in the back. very comfortable and loose. thinking of buying it in both pinks."/>
        <s v="Great material. a bit loose in the middle / lower half. doesn't belt well. it could be 3&quot; shorter, considering alterations. i'm 5'7&quot; the model is 5'10&quot;, so yeah 3&quot; shorter would be cute!"/>
        <s v="Love this cardigan. fits just as i expected. very structured in the front with a bit of flair in the back."/>
        <s v="I loved the cut of these pants and the button accent on the pockets. however, the material was quite thin and the quality was not great- there were multiple snags along the seams. additionally, at 5'8, 130lbs i was swimming in the size 4. i would have tri"/>
        <s v="This is a pretty sweater. i ordered the red and it is a plum color, not close to red, but it will work well with black, gray and denim. i found the sweater looks boxy from the front but the back is spectacular. it is very well made. no raw edges or seams "/>
        <s v="This is silly, but the moss is not brown as pictured but olive green. with that &quot;said,&quot; i am going more casual, and i love the &quot;flex&quot; of this coat. the shape is beautiful and the lining is fun. i waited two months to get this in close to my size 00. for m"/>
        <s v="I bought this tunic in black and am seriously considering buying it in more colors. it is so comfortable and very flattering. i am 5'11&quot;, so many tunics are more like shirts on me, but this one is the perfect length to wear with leggings or pants. the v n"/>
        <s v="I am 5 feet and 120. i ordered a petite small in moss. i have posted a photo below. it's a pretty green. the lining is pretty. the reason i deducted a star is because the lining is very thin and &quot;slips&quot; a little when putting the jacket on. but it doesn't "/>
        <s v="I ordered this shirt to wear with a pair of pants that i had to return - which is one reason the top went back as well. it really is cute and i like the exaggerated key hole in the back. i certainly could have found other things to pair with this top, but"/>
        <s v="These leggings are soft, comfortable and go with everything. love the way they feel."/>
        <s v="Why is it so difficult to find a shirt that doesn't expose half of my bra if i lift my arm? &#10;&#10;this is cute (beyond the arm hole issue) but overpriced. going back."/>
        <s v="I wanted these culottes to work so much! the fabric is gorgeous, but the size i ordered didn't fit. i'm normally a size 28 in pants, and i ordered a size 8. it was way too tight and made me look like i had a pooch in the zipper area. not what i wanted it "/>
        <s v="This dress is most definitely not a maxi! barely goes below the knees. also you do not get the cute detail shown on bodice. there are no folds which were an added plus on picture. waist is higher, not at natural waist. very pretty silk though and still cu"/>
        <s v="I just adore this top! it is so comfy and stylish. i wear it with a little purple cardigan and feel like an iris in bloom. like other reviewers have mentioned though, the straps are way too long. i had to cut them down and re-sew to make it wearable. befo"/>
        <s v="I read the reviews prior to purchasing but loved the pattern so much i had to have it. i was not disappointed however, had i not read the reviews i would have been. it is true the top of the dress is flat and does not have the detail as shown on the model"/>
        <s v="This is more beautiful in person. i love the detail and color. i usually don't like ponchos but this one's shape with the square front definitely sets this apart."/>
        <s v="I rarely write reviews but had to comment on these pants. these pilcro pants are my favorite for the fall and winter. they fit beautifully and are a great alternative to jeans. the pants are so comfortable and flattering. love the print and they are so ve"/>
        <s v="Ditto what the first reviewer said, unfortunately. i was so looking forward to receiving this dress but the one received is not the one in the photos. the graphics are fantastic - still love the boats- but the top is not the same and they've added a fabri"/>
        <s v="I ordered these in both the grey and moss, and i love both. they are very soft, very easy, loose fitting casual shorts. i wear them a bit lower on my waist than pictured, so they hit lower on my leg than on the model, which i prefer in these. i am 5'3, 10"/>
        <s v="These culottes are adorable on....if you order up two whole sizes! they run extremely small. fabric is thick, high quality and a beautiful color."/>
        <s v="Quality is fantastic but i feel like a 14 would have barely made it's way around one leg! this pant is way small in terms of sizing and not a style fit for anyone over a 6. a lot of fabric in the legs. nice pant but not for this girl!"/>
        <s v="Love these pants. corduroy leggings that fit like a skinny pant. comfortable. not too stretchy. maintains shape, even with multiple wears between cleaning. pairs nicely with black, neutral, or buttery yellow tops. fun print. received compliments first tim"/>
        <s v="Skirt in med fit fine, cute,lightweight, swingy, flirty, fun, almost knee length&#10;i am typically a 10-12&#10;but the pattern which swings up, across, and down made me look wide in the hips as opposed to other clothes i own already&#10;more petite, less curvy girls"/>
        <s v="Got the small petite. length is perfect, love the color, super comfy, very pretty. the problem is that you cannot wear a bra because under the armpits is so low that either shows your bra (a lot) or if u wear sans bra you may show your breasts (it's loose"/>
        <s v="These run small (i am 110 and got a size 4), they were a tad tight on top. the waist fit but felt a little too snug, short from waist to crotch and then bloomed out in a nice but stiff ish material. they are a dark blue animal print. i felt like bozo the "/>
        <s v="These cords are seriously fantastic. worth the price indeed. they are very comfy, have a lot of stretch but do not loose shape! the fun yet muted color design allows an average outfit to have a fun pop. they do run big, i got a 26 and i'm usually a 27. th"/>
        <s v="I loved the photo of this dress. upon examination of the dress (and trying it on) after receiving in the mail, the dress shown online is nothing like the dress i received save for the pattern. the dress i received has a side zip as well as a belt and no p"/>
        <s v="Beautiful pajama bottoms. i purchased these as a special treat for myself. luckily, i found a review on another site, stating that these run small, before pirchasing. no one wants tight pjs. order a size up! also, i'm 5'8&quot; tall and the length is just righ"/>
        <s v="I bought this top in my usual size in a small. i'm a 34 d 26 waist. i absolutely love it. i pair it with a red cardigan. very cute."/>
        <s v="I love this sweater combo! as a larger woman, i am always looking for flattering tops. the draping in front covers all the right areas! i wish they made them in more colors!"/>
        <s v="I did not realize that this knitted vest had an attached gauzy under-layer. i can see it now in the photo, but i just thought it wasn't part of the actual vest. when the vest arrived i realized sadly that this flowing under-layer was part of the design. i"/>
        <s v="This is a perfect fit! i was worried that it would be too short and or boxy. i usually  wear an xs. i have a slightly longer waist though and often xs tops run short or they are overwhelming! this was perfect! it is roomy and long enough without swallowin"/>
        <s v="I like the skirt. that said it is going to the tailor to have some of the fullness taken out. just a lot of material going on, and heavier than you might have imagined. i will wear it fall &amp; winter with white &amp; navy cardigans."/>
        <s v="I think this may almost make it back to the more classic pieces retailer used to have. i tried on the xs in store so i ordered the xxs and xs petite... i felt the usual xs was a little big (again, i think retailer is making things bigger...) my verdict is"/>
        <s v="I ordered these in my usual pilcro petite size 6. they were impossible to button, which is interesting 'cause i also ordered the pilcro wide leg chinos in the same size and they fit perfectly, as usual. but it ended up being ok because i don't care for th"/>
        <s v="When i saw this online, i thought it was going to be a thin, summery kind of skirt with a fall pattern to it. it is not thin and wispy, but lined with a nicely weighted navy material and the fabric of the skirt is kind of a thick cotton with a nice swing "/>
        <s v="I was excited to see these jeans since they came in petite sizes and had a short inseam... unfortunately after ordering/returning several pairs, i found out that these are actually not petite jeans. please beware that if you are ordering these for the sho"/>
        <s v="This top is super cute, however the bottom hem is all frayed....couldn't really tell that from the pictures. the &quot;flutter&quot; sleeves are too big...looks funny with the fraying...runs a little large as well. loved the color! perfect with white denim!"/>
        <s v="I was looking for a shirt of this style. i thought it was very cute, but it is not &quot;red' as advertised. it is really a brick orange-y color, which is definitely not what i wanted. very disappointed. sent it right back."/>
        <s v="These lightweight, wide leg pilcro summer jeans are really cute, but did not look good on me. i love the fabric-a slightly 'nubby' no stretch chambray that is perfect for hot weather. the waist was a bit large and there was fabric to spare in the hip area"/>
        <s v="This is a great skirt that could be worn to a wedding or worn more casually with a cool tshirt. it is not too puffy and the inner skirt is stretchy and more fitted. i had to size 1 size down. really nice."/>
        <s v="Wow, i can't believe there were some sizes left at my local store. it was on sale and i maxed out with additional discount for black friday week-end. the size 6 fit perfect and i can't wait to wear. this is a gorgeous skirt and will sell out for sure."/>
        <s v="I love the fabric, since it's fall wasn't expecting it to be light. but its not heavy either. just the right balance.&#10;this is one of those classics. i love the collage like pattern of the fabric.&#10;the fit is true to size and looks great with bootie/boots. "/>
        <s v="This is one of those 'i need one in every color' kind of shirts. need - not simply want. it is very well constructed. the fabric is the perfect weight and is sooooooo comfortable. the raspberry is a little more dusty rose than pictured online, but it work"/>
        <s v="I really like this skirt - so colorful! the interesting pattern and multiple colors will make this a great fall skirt. i can wear it with pink, burgundy, gray, white, black, and probably many more. can't wait for the temps to drop!"/>
        <s v="This was on display when walked into my local retailer, it's just a beautiful in person. my mistake was trying it on, instant love! i tried on my usual size small &amp; it fit perfectly. i would usually wait for something in this price range to go on sale, bu"/>
        <s v="These are the best fitting jeans i've ever owned! no puckering near the crotch, and i don't need to have the waistband taken in. they probably run small."/>
        <s v="This dress is so beautiful, the color is even more vibrant in person, a stunning emerald green. it is well made and doesn't go too low under your arm, which sometimes happens with halters. the halter material is a thicker band that gives nice support. the"/>
        <s v="These pants are perfect!!! they are exactly what i was looking for, and worth every penny! the fabric is more lightweight than any other sort of denim, but still i think i could wear these any season. they look so cute with simple heels and a classic blou"/>
        <s v="Too big and it's not secure enough to wear for swimming."/>
        <s v="I received this skirt today and was very disappointed. i don't know what i expected but it is not as i thought. even though the quality is very good and the fit is true to size, i may return it. the fabric of the skirt is just too busy, at least for me. i"/>
        <s v="This top will be perfect for autumn and even winter down in the southeast. i purchased the &quot;red&quot; and hoped that it was more of a rust color-lucked in! the material is very soft and more on the thinner side for layering-which is alway a plus. i have spare "/>
        <s v="I ordered this on a whim during retailer days sale and i'm glad i did. it's now one of those shirts that calls my name every morning. i've worn it with denim skinnies and a knee length black knit pencil skirt. so soft and flattering. i got it in the red, "/>
        <s v="These pants are 100% true to size (whatever that means anymore...i'm a 26 in paige and ag.  i'm 5''6, weigh around 115, have long legs and i ordered the 0p.  the zero petite are still a little long, with a slight heel they're perfect.  they don't have str"/>
        <s v="I ordered this skirt online in a size 8 but returned for a 10 so it could sit a bit lower.&#10;&#10;the fabric is so beautiful and a bit heavier so it can be worn all year long.&#10;so glad i made this purchase."/>
        <s v="The wide leg was fun, not too wide, but the long pocket seem to shorten leg so i returned. great for a taller person. bottom &amp; trim cute"/>
        <s v="Don't pay attention to the less-than-flattering photo. these jeans are super cute and very flattering. they are actually long, not ankle length as the photo implies. high waisted with a 70s bell bottom vibe. nice light denim for year round wear. they fit "/>
        <s v="I got this skirt in the dove grey, which is a lovely shade of light grey and silver. it has one layer underneath that is a sparkly silver netting which is really pretty that you can't see in the photo. the other layer is the grey netting. it has a very so"/>
        <s v="Really loved this - so soft and snuggly. was unsure about ordering shirt size - (s) or jacket size for layering (m). ordered a small. fits perfect! definitely wouldn't have wanted the medium. 5'4, 135 lbs for reference. love this one!!! great find."/>
        <s v="Love these jeans! they are the perfect relaxed fit; not too baggy, and a straight style. i did size down, because i wanted to wear them as shown. i was afraid that they would ride too low on my hips. glad i did! i usually wear size 29/6 and took a 28 in t"/>
        <s v="I ordered this dress for my daughter. she wore it to a wedding and it was beautiful. looks just as it does in photo. fabric is a nice weight and hangs great. my daughter had her hair done and look right out of an retailer catalog. well made true to size b"/>
        <s v="Layered this with a chunky sweater and a pair of kicks. it can be low key or dressed up with a pair of heels, multi-functionality not just occasional. it&amp;#39;s feminine, funky, and fabulous!! i bought the last one in the store!"/>
        <s v="I saw this skirt online and went to the store immediately to try on. i was a bit disappointed. the size is tts but the prints were prettier online. the material is ok. the regular is long so probably won't look good on a shorter person&#10;if it is still avai"/>
        <s v="The colors are richer than shown- very vibrant. this piece is very unique and everthing that i love about retailer! i usually wear a medium in jackets and vest. i tried the small and there was very little difference from the small or the medium fit, so i "/>
        <s v="An interesting design in a high-quality garment.  fits true to size on me and is great for layering.  very soft knit with the drapey attachment and a collar you can adjust to look the way you want. i feel lucky that i got this on sale but i would've gladl"/>
        <s v="I was so excited to receive these jeans. typically, wide leg jeans are a no brainer for me--super flattering and in chambray, i thought, they would be stylish and comfortable. but i found these to be verging on mom jean. something about them seems not so "/>
        <s v="I bought this tee in all 3 colors, and wish there were more!  fabulous quality, material and style.  can dress up or down; wear with jeans, pants or skirts.  wear alone or layer.  don't miss out on this addition to your wardrobe!"/>
        <s v="I'm very short and thus not usually into maxi skirts since most of them make me look frumpy, but i ordered this skirt based upon all the great reviews. this skirt is more amazing in person. at first, the material feels a bit stiff and the gold is a lot mo"/>
        <s v="Sits at waist, length is perfect for petite, quality is very good, looks very nice on me, very recommend"/>
        <s v="I found these to fit odd. i am also use to wearing the skinny jeans so trying a wide leg was a bit weird anyway. the placement of the pockets and the way it hit my waist was awkward and not flattering. i am usually a 8/10 and the 8 fit but just did not lo"/>
        <s v="Cute jeans! flattering and slimming. tts. the cut of the top makes my butt look flat, but oh well, they are super comfy. they are not as short on me as they look on the model. i'm 5;9&quot;"/>
        <s v="Love it! the pants is absolutely beautiful, rich material, it's not your cheap jogger!&#10;i am really considering buying a second pair just in case i used my a little to much.&#10;fits perfect, i am 5'4&quot; 114lbs and purchase the regular small."/>
        <s v="I loved this dress and it fit great on me: 5'7, 115 lbs, wore an xs. it was a little tighter than i wish, but the s would have been too loose. unfortunately, when i received the dress the arms were already pilling. it is made of a mix of polyester, and wh"/>
        <s v="This coat is gorgeous but it runs huge! i am typically a s so that is the size i purchased and it was swimming on me. i sadly had to return for an xs so fingers crossed it fits. the coral color is gorgeous and looks nice with my olive skin. very unique co"/>
        <s v="Purchased these jeans in a 27 and i am usually a 28 in skinny jeans. i got the 26's on but they were snug. these jeans are so comfy and sit higher on the waist. great jeans!"/>
        <s v="I purchased the coral version, and the color is wonderful and vibrant. it fit my daughter beautifully, and she is 5'10&quot;. i think she will be wearing this coat often, she loves it!!! she is 23 years old and has a professional job, so she will look the part"/>
        <s v="I'm in love, i'm in love.&#10;&#10;this dress was gifted to me, because i was gawking at it so often. i love it!!! i am petite, 5'3&quot; 118 pounds and i could do either the small or extra small. the small was a little more comfortable, because the extra small was a "/>
        <s v="The dress arrived with a few snags and the fabric already pilling. the fabric will only get worse with wear. return. cute concept; poor fabric quality."/>
        <s v="I love the design and pattern of this top. it runs big so an xs was roomy on me but still cute. the neck is wide. i returned it bc the material of the top isn't for me. the texture is too soft."/>
        <s v="Very comfortable dress, with a gorgeous pattern. it comes with a self liner in navy that is very smoothing - i was worried a figure hugging sweater knit would be unflattering. cut is perfect. i'm a size 10/12 on top and 12/14 on bottom, and the m was the "/>
        <s v="I was so excited when this dress went on sale.  it is very soft and the print is so distinctive.  it is super comfy but not slimming or flattering at all.  i am a curvy girl,  wear a medium 8/10 and this made me look so wide!  the skirt is quit full,  a s"/>
        <s v="This top is stunning. the colors are vivid and it is extremely cozy and soft. however it seems delicate and would need to only be worn once in a while. it is not an everyday top. the material has a cotton candy like appearance. it really is unique and one"/>
        <s v="I love this skirt. i was happy with the quality of the fabric and style. i originally ordered a small, but returned and exchanged for a medium, which fits great. (i typically wear a size 6-8 in pants). i look forward to wearing this skirt to work this fal"/>
        <s v="After reading the reviews i placed an order because it was the only top that caught my eye on the entire price downs. lately all my usual l/10 sizes from retailer turn out huge so i ordered a size smaller from what i usually wear. all would have been ok i"/>
        <s v="Was looking for a replacement coat and saw this lovely. tried on large but was more roomy than needed, even for a coat. tried petite version but found it too short for my taste. decided on medium in green and cannot complain. comfy &amp; stylish. more car coa"/>
        <s v="Another great dress by retailer. i've worn it with tall boots with heels, riding boots and booties...all look really good. i've also added a cream/beige cardigan and even a fuzzy/furry vest. very versatile. the only few things that i would have liked even"/>
        <s v="These are both adorable and practical?they're versatile enough to dress up or down, and they are just warm enough for fall temperatures. these will definitely be my go-to tights this season."/>
        <s v="Luv these jeans! they felt so comfy the first time i put them on. it's like butter! i'm a 26 but went down a size and wear a belt. they said they r high rise but i can't see how - but no complaints as i can breathe in them :)"/>
        <s v="Love this! easy to dress up and down, has a great length on the torso but the sleeves are about 2-3 inches from my wrist bone, i see why the model has them pushed/rolled up- which is how i wear the shirt now too. but then it's hard to layer under a coat."/>
        <s v="This is an absolutely gorgeous dress that stands out everywhere i go. it runs true to size and has a slimming effect because of the detail running down the sides."/>
        <s v="5'1'' 43-31-43. i really wanted to love this coat: the material is nice, the green color is dark and rich, it has a hood. however, the cut is bad for me (and probably a lot of other people). the shoulders were cut too wide and impeded movement, and the bu"/>
        <s v="First, i've been in love with this dress for months. when it went on sale i absolutely had to have it! i'm 5'4&quot; and 150 pounds and typically wear large stuff from retailer but after reading other reviews i decided to get the medium. it's more generous tha"/>
        <s v="The sweater coat is a must try on! it's a great fall to winter coat, that you can leave on all day if you need. i bought the dark green, which is very dark yet gorgeous and have the beautiful coral saved in my cart as well. i am 5'5&quot;, 135lbs, 34c, ordered"/>
        <s v="Just purchased this coral coat today. the color is beautiful. the quality is excellent and the coat itself is lightweight,great for travel. great purchase and would recommend buying. going to new york and can't wait to wear it . love, love this coat"/>
        <s v="I guess this is a true to size, i am usually a 30dd and ordered 32d, fits great. the back is really pretty, so even though it is a tiny bit looser, i decided to keep it..."/>
        <s v="I tried these on as a return at my store and sadly, they fit great everywhere ecept at the waist. i had almost 2 inches gaping at the waist... my usual size. the rest of the pant was absolutely awesome though. for reference, i tried n a 25 and am 115 lbs "/>
        <s v="Saw this in store in coral color and new i had to try. love. it's the perfect, cozy cute sweater, color is beautiful and fit is great. i am 5 5&quot; 135 lbs and i tried both the small and extra small. i went with the xs for a more flattering fit. i love it."/>
        <s v="I love the feel and design of this pullover. it is extremely soft and comfy to wear. however, i did find that it runs slightly large, is a bit boxy and the sleeves are a bit lengthy. probably not the best for a petite frame. i am trying to decide if i sho"/>
        <s v="I originally got these in a 29 petite and thought they fit great right out of the bag (i'm usually a 6/8).. and within an hour of wearing them (to retailer, actually), the knees had gotten so baggy that they looked absolutely ridiculous; i've never had je"/>
        <s v="I love this as a lounge-at-home top. the colors and pattern are really pretty, it's soft and warm. very comfy and cozy. but it's also boxy and thick so not a flattering cut."/>
        <s v="This skirt is not what i was expecting at all. for starters it runs large, i expected it to sit at the natural waist and it is definitely made to do so, but it was a good two inches too big and therefore wouldn't lay flat and gaped at the front. no bueno."/>
        <s v="I really did not need another coat at all, but i couldn't resist. got it in green - it's dark and woodsy,something robin hood and his merry men could wear in the forest to look and feel their most stylish. the structure is just right - this coat is soft, "/>
        <s v="I wanted to love these pants, but they were larger than i expected and the fabric is very heavy. almost like a thick sweater."/>
        <s v="It pills a little under the arms and picks up lint, but it's totally worth it. this is a fabulous sweater coat. i receive compliments on it wherever i go. so cozy, warm &amp; delicious. not too hot to wear indoors either. it's breathable. love it. bought in g"/>
        <s v="Omg - wish it came in more colors,,"/>
        <s v="This dress has a beautiful fit; eyed it for awhile--snatched it up at the dress sale! only drawback was the edging around the neck; on some, the cream-patterned fabric was used and it was distracting. hunted around at stores, but ended up getting lucky wi"/>
        <s v="Absolutely beautiful. as soon as i saw the color i had to have it. looks great. i am 5 ft 2 in the color is beautiful. excellently made. very comfy. hood is not bulky"/>
        <s v="Very cheap looking material. looks cheap to cost $158."/>
        <s v="I've been a fan of the pilcro chinos for years but the jeans have not been the right fit for me - usually wind up too big in the waist to accommodate the hips. well the em is aptly named as they are made to fit a girl! ! i usually wear a 29 and the 29 fit"/>
        <s v="What a well-designed dress! the cut is a slight a-line without adding bulk and the pattern is very slimming. the lining makes this a pretty good option for cooler weather. the neck is pretty wide, as others have noted, but i find that a heavy cream colore"/>
        <s v="I was initially attracted to the colors"/>
        <s v="This coat is a perfect fall to winter transition coat. it is surprisingly warm in 50 degree weather, so i'm sure it will be warm enough in 30-40 degree weather with some added layers. the only thing to note is that it is unlined and the material is soft s"/>
        <s v="I tried this dress on in the store and ended up ordering it online during the dress sale. it is extremely flattering and really accentuates the waist. it is very comfortable, and made of a nice, soft fabric. i am a 34a and it just barely reveals a tiny bi"/>
        <s v="This is way cuter in person than on model. it is a super soft and fluffy sweater. the colors are so pretty and feminine. i received it as a christmas gift and have already worn it twice. it's perfect with skinny jeans and ugg boots. i vary between xs and "/>
        <s v="The colors in this dress are much less vibrant in person. the scoop of the neckline is very wide and deep. i know others have posted that this is a great dress for work, but not in my workplace."/>
        <s v="I adore this hooded boiled wool sweatercoat in rich, deep green. quality is great aside from the buttons being sawn on very loosely. it's a great outer layer in the warm northern california fall/winter. i'm wearing it today with a short sleeved boiled woo"/>
        <s v="Every year i'm excited when the weather gets cool enough for sweater dresses. i love this one, with the longer length, slimming fit and pattern placement, and cozy soft fabric. delightful, inspires reveries of castles and legends (yes i looked up what &quot;ei"/>
        <s v="I adore this sweater coat! i first bought the green color in my normal size online on a whim mostly due to the positive reviews. i was not disappointed at all! this sweater coat is soft boiled wool.. the green color is a deep forest that looks incredible "/>
        <s v="This sweater dress is lovely, quirky and comfortable. because i have broader shoulders, the neckline was perfect on me, although i probably will end up wearing a scarf to keep my neck warm! the dress skims in a very flattering way. at first i was dissapoi"/>
        <s v="Cute and comfortable! i loved the colors and how soft the shirt is!"/>
        <s v="So different than anything in my closet. it's wide with a beautiful drape. fabric is soft but substantial. it has the cutest coral color lining the placket and inside of the lower sleeves. i sized down to a medium and could have gone to a small but i love"/>
        <s v="I really like these jeans, but order a size down. i'm typically a 14 and these were just too big. they stretch as it is and although they should have a baggier fit, they are just too baggie."/>
        <s v="This jacket is worth every penny! it is light enough to wear when like 55/60 out or good when it is in the 40s with a sweater underneath. the fit and design of the coat is amazing! i love the full collar look - that's my favorite detail of the jacket. lov"/>
        <s v="I ordered this coat in the &quot;pink&quot; color. actually, it is a coal color (papaya) and will be wonderful with gray, black, khaki, and great with animal print accessories. the fit is just as it looks online, no surprises. this coat is attractive buttoned or un"/>
        <s v="Here's the thing: this is a sweatercoat. it's not a coat. it's not something i'll be able to wear independently by the end of november, though i'm enjoying doing so now. it's boiled wool, and not lined, and though it's cozy and warm enough for a morning w"/>
        <s v="Best jeans ever! it's so hard to find a good petite jean. you shop and shiop and then pay $30 more to get them altered. the fit and length on these are perfect. love, love, love!!!"/>
        <s v="I really like the sundry brand. however. this is thin and to me out of character for an retailer tee. it look adorable in picture. however the coloring is way off. the navy is almost black it's so dark and the kaki stripe is a green. it's nothing like i h"/>
        <s v="This is a comfortable sweater dress, and the quality of the material seems good. the solid blue strip down the front makes it look very bland. i think it would need some dressing up with a necklace or scarf. i decided to pass."/>
        <s v="I ordered this in the orange color from online. they were sold out of petite so i ordered medium (regular). i liked it, but just not flattering. i am 5'2&quot; and the coat was too big. sleeves were past my hands. i think because i'm &quot;curvy&quot; the straight cut o"/>
        <s v="Received these as a christmas gift from my daughter. just wonderful - warm and cozy and cute. size m is just a tad baggy; i'm sure i could have worn small, but no matter. i wear these often and love them! such a treat!"/>
        <s v="Every year around this time, our beloved retailer comes out with a wool sweater coat. i've seen every style over the last five years and this year they have outdone themselves!!! this coat is a dream. not too thin and not too thick...it's the perfect laye"/>
        <s v="I tried on this sweater in the store and immediately ordered my size. i got the petite small in natural delivered to my door several days later and am extremely pleased. the fit is roomy enough to layer, but not too large or boxy. the wool is fluffy and l"/>
        <s v="Super soft and comfortable. runs a little large. very cozy."/>
        <s v="Wear the collar down &amp; it favors grace kelly. pull it up and it's an oversized hood. this lightweight cozy piece combines everything i love about a sweater &amp; a coat in one."/>
        <s v="Warn and super soft. love it !"/>
        <s v="Love the high waist, prewashed softness, and relaxed fit. i normally wear a 27 in pilcro but sized down to a 26. for the first time in ages i have a pair of jeans that won's slide down because of the high waistline. i would never tuck anything in so it do"/>
        <s v="Nice jeans, but had to return. too tight in hips/thighs and big in waist."/>
        <s v="Im 5'1&quot; and about 110lbs. ordered the small because i do have some curves- it was huge- more like a large and didnt have much structure at all. the wool was very soft and stretchy. and like others have said- kinda orange- not true coral color. it fit me l"/>
        <s v="I am 5'8 154 pounds and ordered a medium. the coat is a bit bigger than expected and should have gone down a size. i'm keeping this size however because it is incredibly comfortable, roomy and perfect for mild winters. the wool does keep you warm in 50 de"/>
        <s v="I saw this and tried to wait for it to go on sale, but it sold so fast, i wanted the black and i check everyday until they had my size, i love this coat main because of the wait it goes around the neck since i am not a scarf person, this is very cute, im "/>
        <s v="These joggers are gorgeous--you can even dress them up! the quality and softness is amazing and very expensive looking. the fit is perfect not to mention the fact that they are very flattering.&#10;really, i knew the minute i saw them, i would love them. but,"/>
        <s v="I love sweater knit dresses and this the first one i've owned with a flare style that works. pattern placement is gorgeously done and is very slimming in a non-obvious way. i think the fabric is soft and warm. i wish the scoop neckline was a tad bit highe"/>
        <s v="I have this wonderful sweater coat in three sizes (s,sp,m) in the coral, green"/>
        <s v="Oh my goodness! i just received this coat tonight. i love it! it is beautiful and stylish. i got the green which is amazing. i'm 5'2&quot; - weigh 115. ordered both s and xs. i'm keeping the s - more room in case a heavier sweater. get this! it's a classic! yo"/>
        <s v="I wasn't sure what to expect with these pants. i couldn't figure out from the pictures what the material would actually be like. is it jersey? is it french terry? is it more traditional sweatshirt-type material? nope, turns out, they're like wearing pants"/>
        <s v="This dress hung so nicely on my figure (small up top, bigger in the hips) that i couldn't pass it up. the lines are more flattering in person than in the photos. it might run a little small...i'm normally an extra small, but it was a little snug in the ar"/>
        <s v="I coveted this item since i first saw it on instagram. i finally bought it in coral. it's a beautiful coat, the color is lovely and i like the way the hood makes a cute collar when worn down. the only problem is it looks like a bathrobe on me. i am 5'5&quot; a"/>
        <s v="Love this as a lightweight coat for cool to cold days. i love the squishy soft feel of the material. it works well with sweaters. love the deep pockets which works with my iphone plus and wallet. i love how simple and practical this coat is. the hood when"/>
        <s v="I have broader shoulders and thick arms, this dress does an amazing job slimming my arms and not making me appear top heavy!&#10;i'm 5'4 125 lbs, the xs fit perfectly"/>
        <s v="I'll start with saying that it's a beautiful coat- i get tons of compliments and love the color. it runs a little big but it's meant to have to a slouchy, oversized quality to it. my only complaint is that i've had it for about 3 weeks and already one but"/>
        <s v="This bra is so well made and fits beautifully."/>
        <s v="Snapped this sweet puppy up at my local retailer-in the sale room!!!!! it is beyond fabulous and the coral color is divine!!!! brightens up the drearriest of days-i did size down. i am short and the small sleeves were way too long on my 5ft3in frame. it r"/>
        <s v="Love this coat - great fall piece! i bought the green color and it looks as shown in the picture. great retailer purchase!"/>
        <s v="I bought it to mainly wear as a coat but i think it'd be great with some leggings and boots as well. if you want a more structured look go a size smaller. i plan on wearing this more as outer wear so i went with large. the coral is beautiful"/>
        <s v="This tunic is very nice. flattering, good design, worn in winter and spring, and fits well. i have a curvy figure, and this fits well. i wish it came in more colors.it does show flaws slightly but fits well and is stretchy."/>
        <s v="The top i received was large, really long in length, pockets in the front along the seam, and lots of volume in the back without any princess seams to give it shape. the id #'s matched, but that's about it. returned!"/>
        <s v="At first, i thought this sweater might be too boxy, but fastened at the waist, it's very flattering and the collar is face-framing, and the coral in particular (really more of a mango sorbet shade) is unexpected but cheery for winter.&#10;&#10;but the big selling"/>
        <s v="I love this sweater! pros: great shape (it's supposed to be a little oversized looking), great color (i have the ivory and it's beautiful), and fits well (the sweater looks boxy until you put it on and it flows in all the right places). the sweater is not"/>
        <s v="I love this dress. will be wearing it for the first time tomorrow. it fits well. the neck line is a bit low on me. i think it would look best on someone with more of a chest than i have. i will be wearing a winter white infinity scarf with it (as shown on"/>
        <s v="Love this sweater jacket! super comfortable and warm. i am 5'2 and i got a xs petite. it fit perfectly both in length and in the sleeve. the green color is super rich and is perfect for the season. it's easy to wear it up and wear it down. i appreciate th"/>
        <s v="I am 5'6&quot;, 130 lbs with an athletic body type and i ordered a size small. these were really baggy in the thigh/quadricep area and made my thighs look bulky. the fabric quality is very nice and i like the idea of them for curvier body types. my son comment"/>
        <s v="This is a beautiful dress but if you have any hips at all you may find it difficult to find the right size. i usually wear a 0-2 p and found that that the op was too snug on the bottom while the 2p was too loose on top. ( for reference 32-26-35). so if yo"/>
        <s v="Purchased this sweater in the blue color which is a gray/blue. it runs large as the xs is still quite roomy on me in the body. although the arms are more snug. great quality."/>
        <s v="I bought this as a birthday gift for my daughter, and i am so glad i did. the colors are beautiful, and the material is so soft. i'm sure she's going to love it!"/>
        <s v="So when i saw a sweater with a big llama face on the front of it, i knew it must be mine. i ordered it and eagerly awaited its arrival. while the llama print and color of the sweater are ah-mazing, the fit of the sweater leaves something to be desired. i'"/>
        <s v="I fell in love with this top (sweater) before it could even be ordered - was on model for pants that were available to order. in any case, i later ordered the blue motif online and the colors are even more beautiful in person. the blue also contains fiber"/>
        <s v="Love the feminine styling of a classic tunic tee! i'll wear it with black leggings this fall. super cute to wear casually or dress up a bit with some jewelry and/or a scarf."/>
        <s v="This top is full of amazing details. the photos really don't do it justice. it is very flowy and does run large but is so pretty and soft and in beautiful shades of blue. i bought a small and it is fairly long in back on my 5'5&quot; frame but because of the d"/>
        <s v="Unlike the first three reviews, i loved this sweater. the colors were beautiful and i paired it with green cords. i did not find the sweater to be itchy but very comfortable. fits trus to size."/>
        <s v="Great fit even for busty women. ordered an 8 because i usually need the room in the chest area on dresses.(36d-dd) fit nicely without being tight. might have been able to size down but i didn't want to risk being too tight. flattering especially on curves"/>
        <s v="Love this top, purchased it in the coral color now i'm definitely wanting it in the blue since it is such a great blouse for transitioning into fall. the weight of the top it good since i live in south texas so definitely needing lightweight long sleeves "/>
        <s v="Absolutely love this suit. the bottoms are very comfortable and covers everything id like it to. it does not ride up at all, which almost never happens with swim suits. i'm going to order this in a different color next season. i paired the bottoms with th"/>
        <s v="I just love this dress.  took me ordering a number of sizes- petite and regular to find the best fit.  i might still have the top altered.  i received a lot of compliements.  work it with some black leather wedges for daytime/work."/>
        <s v="I got the purple color and absolutely love it. i am 5'2&quot; but decided against the petite size and i wanted it to be a bit longer. i also went with the xxs as the xs was a bit too loose on the arm. it was definitely a splurge to buy the sweater but it looke"/>
        <s v="Love the color! very soft. unique look. can't wait to wear it this fall"/>
        <s v="I got the rooster version and the colors are simply gorgeous.  i'm not so much into wearing a farm animal image, but the colors are just too striking to pass this up. the sweater is tts, but with a slightly baggy fit. i did not find it scratchy."/>
        <s v="Really cute and very comfortable. material is thin and sheer. i wear tanks under things anyway, but especially in pink, you would need to. but love the style."/>
        <s v="I love this sweater.  i am 5' 1&quot; and tried on the petite in the store but ended up going with the regular size as i preferred the length.  the overall fit was the same.  i bought the blue which to me is the colour shown here, more a grey and purplish colo"/>
        <s v="I ordered this in a small petite and medium petite , and i am a huge fan of a*k. i put tried on the sp. while it fit, it was very long, even for a petite. what i hated about it was that the piping on the top made me look very wide. even a long necklace wo"/>
        <s v="I have the blue color of this top and i love the color variation throughout. it looks very unique and it is going to be a great piece for late summer/early fall. the pleated look on the upper chest is very flattering and adds texture to the top. i am plea"/>
        <s v="This sweater is perfect for transitioning into fall as it is not too heavy. it's flattering and looks great with jeans."/>
        <s v="I'm an xl but ended up buying this in a size large. i am very pleased with the interesting cable pattern that runs down the front. i also really like that this is cotton, and even though it is heavy and substantial, the thread gauge is a fine weight. whil"/>
        <s v="Bought this is the blue, which is actually a very grey-blue.  i love cotton sweaters and they are not easy to find.  this one has lovely colors and unusual design, but is a bit too full.  that said, i am keeping it for the cotton/linen factor, alone."/>
        <s v="My perspective is as a sewer so i'm more picky perhaps. this top is poorly made. the fabric pattern is crooked or not consistent in each piece. sewers do this to save $ - squeezing the pieces on the fabric. it looks sloppy. the cut is very full; the botto"/>
        <s v="I love mixed media clothing, and this is no exception. i fell in love with this right away, and after being torn between the two colors, opted for the rose. it's very gorgeous in person - midweight and very soft. however, as soon as i put it on, i noticed"/>
        <s v="I've been looking for some new, casual tops and ordered this one for the sky blue color. i'm a size 6 and the small fits great. i don't find the blowzy style overwhelming. i am small boned but i'm 5'8&quot;, not a petite. i like it with leggings and skinny jea"/>
        <s v="I got the pink version to layer with spring clothes. i always wear a medium, but sized down to a small based on the other review. the seams are very flattering. the material is very soft. on sale, the price is reasonable."/>
        <s v="I love this tee but there is a lot of swing/ fabric so it can tend to make you look wide. also, i have a short torso to begin with but this tee is on the short side. i'm still undecided on whether i'm going to keep it b/c it's rayon/ poly and it's hand wa"/>
        <s v="This top reminded me of a maternity top. cute, but better suited for someone smaller chested."/>
        <s v="I love this shirt so much i am ordering the coral too! the weight of the material makes it hang nicely. there is a lot of material but it lends itself to the flowy style. i got many compliments of this top!"/>
        <s v="This sweater is perfect! finally a sweater that doesn't make me look like a huge box!&#10;&#10;i bought the blue &amp; it has other colors running through it so i'll be able to wear it with chinos &amp; jeans. very pretty, flattering &amp; i think i'm going to be wearing thi"/>
        <s v="I love byron lars. very taken with his fabrics and design concepts and i have ordered several of his dresses but i believe i need to surrender to the fact that they do not work for my body type. the dress is gorgeous in person: all the fabrics are great, "/>
        <s v="Wanted to love this sweater for its beautiful colors and cute graphic, but the fit is uncomfortably small and it is so itchy i was yelling, &quot;get it off&quot; in the fitting room. bummer."/>
        <s v="True to size for petite person; bought in blue - subtle shading, looks great; paired with your blue straight leg blue &quot;jeans&quot;; perfect outfit for almost all occasions."/>
        <s v="This is a beautiful sweater with deep rich colors. i purchased the blue motif. the problem is that the model(s) are small busted, which allows the side panels and front panel to lay nicely and swing in a flattering manner. i am 5'6'', 135 pounds and a 36d"/>
        <s v="Spotted this beauty in my local store - hanging (grrr) which made it stretch out. note that it's made of linen, cotton, and acrylic, so it's not heavy, it's weighty. anyways, it seemed to run large just due to gravity, so i ended up ordering it so it wasn"/>
        <s v="Okay this shirt is soooo comf. it is super fun and flowy. but it runs large. get one size smaller than you would usually get! so worth the sale price!!!"/>
        <s v="Cute and comfy shirt! tts- got my usual m (i'm a 10) and it has a generous fit but i think it's supposed to. it's actually a silver grey color."/>
        <s v="I would highly recommend this top. i usually wear a small petite. but returned the top for an xs petite which fit perfectly. there is a lot of fabric, but if you size down it wasn't an issue for me. i weigh 120lbs and am 5 feet tall. also, i'm busty, 34 d"/>
        <s v="I loved this but hesitated to order since i'm petite and busty and assumed it would be an awful mess in the chest area (too tight, gaping etc) but it is great!!! it fits perfectly! there is plenty of room in the chest and the dress is not too long! i orde"/>
        <s v="Runs a little big. fabric is very soft and comfortable"/>
        <s v="This top is really cute and i think will be a great transition piece. i'm glad i tried it on in the store as it runs very small. i typically wear a 00 or 0 and bought this in a 2. they didn't have it in stock,so i ordered it and hope it fits."/>
        <s v="I just saw this vintage style blouse at my local store and tried it and think this blouse is amazingly beautiful! it's actually very well made and a tad heftier than i imagined from the picture. there's different strips of gorgeous lace all over including"/>
        <s v="Beautiful dress but have to return. way too big &amp; long for me. medium is the size i wear but i think i would need an extra small."/>
        <s v="I love this top. the quality is excellent. the blouse is lined and falls nicely.. i like to wear it with a pair of dark gray jeans. the color is described as &quot;orange&quot;, but it really has more of a bronze tone. looks very rich and exotic. it's perfect top w"/>
        <s v="This swimsuit completely exceeded my expectations! &#10;i'm 5'2&quot;, 140 lbs with an athletic build, and the cut of this swimsuit is ultra slimming! with the way the top wraps it makes my torso look much longer and leaner than it actually is :) i bought the top "/>
        <s v="I'm 5'2 around 125 lbs, muscular and petite, so i ordered a petite small and it fits great. the length is perfect, i can wear with heels or dress down with flops. it's lined, which i think most dresses and skirts should be, so i was happy about that. i wa"/>
        <s v="As soon as i saw this dress, i knew i had to have it. i just tried it on and it is beautiful. i feel gorgeous and glamorous! i can't wait to wear this to a special event as it truly deserves that attention.&#10;&#10;the silk is soft and the slip underneath is per"/>
        <s v="This top was quite voluminous when i purchased it and i sized down to an xs, however after hand washing it once in cold water it has shrunk significantly. it still fits, but something to be aware of."/>
        <s v="I agree with the other reviewers that this runs big. unfortunately there is nothing smaller than an xs so this is going back. i love the lyocell material, i have another skirt with this material and wanted to love this as well but it is too big and with t"/>
        <s v="I love how soft and cozy this sweater is. the addition of some cashmere in the yarn makes all the difference. the red color is beautiful also, perfect for the holidays. flattering cut in the back (it dips down to cover your bum) and the pointelle details "/>
        <s v="This top is such a great investment piece. looks classy and is comfortable all at the same time. it is pricey but you will not regret buying this. goes great with light trouser denim or i have the green pilcro khakis. it will he something you will keep in"/>
        <s v="I always end up walking out of an retailer store with something very different than what i thought and this was one. it drapes beautifully and the red color is rich and vibrant, cool tone not orangey. i fell in love with this one in person. it jumped at m"/>
        <s v="This is a very comfortable, good-looking skirt. fits as shown. the zipper however is rather short, and it takes a bit of squirming to get it over the hips. once on, it's great.  it is not made in the usa, as stated. it is clearly marked &quot;made in mexico&quot; f"/>
        <s v="I live in south florida so i'm always looking for sundresses that will be flattering (but not too clingy or hot), and that i can take from day to evening with accessories. when i pulled this out of the box and walked around in it, it met all my criteria, "/>
        <s v="I agree, this dress runs long, but since i love high heels, it falls just right for me. it does seem quite roomy for a medium, which is a pleasant surprise. the fabric, drape and quality are contemporary but i know i'll be wearing this beyond this year fo"/>
        <s v="Pretty pink top is great for layering iand alone in the summer and spring"/>
        <s v="This shirt fits very true to size, with very soft and comfortable material that hangs just right. wears well and is versatile for many occasions. please come out with more colors so i can purchase them as well!"/>
        <s v="I bought this in both the taupe and ivory. the beading on the neck line, the tie at the neck and the pleats make this a fun shirt. i bought a size 2 which is normally what i wear at retailer, so i would say it is true to size. i really like the length of "/>
        <s v="I saw this dress on line and knew i wanted it for the spring/summer season. i ordered it almost immediately and i am so glad i did. the photo on the website doesn't do it justice, there are a lot of pretty pastel colors in the paisley pattern that you jus"/>
        <s v="I was really looking forward to receiving this blouse in the mail. the color was beautiful in person and the photo does not show the nice beading around the neck. that being said, i was so disappointed in the fit. i ordered a size 00 and the arm length wa"/>
        <s v="A little shorter than expected. very billowy, so watch out for wind!&#10;it fits well on the arms and shoulders. not too see through"/>
        <s v="I order this shirt because it looked like a shirt you could dress up or down. when i got it the shirt was really wrinkled. therefore, i knew it would have to ironed a lot. it was quite boxy and was shorter in the front then in the back. i didn't realize t"/>
        <s v="Great that it's hand washable because i hate the smell of dry cleaned garmets."/>
        <s v="Top is very wide and flowy. i am petite with large chest so it hung from widest point and was not flattering. would be very cute with the right body shape."/>
        <s v="I want to the store to try this skirt on. that had only one size m in stock (my size) and it was huge! i ordered an xs and it fits nicely. it's just what i needed for the warm days ahead."/>
        <s v="After the reviews about sizing, i ordered the size 16 (am normally size large). interestingly, the tag on the blouse says it's a 14. with all that said, the blouse is cute enough and sizing up gave me enough length (in spite of the higher sides) that i'm "/>
        <s v="I love the style and quality of this blouse. it can easily be dressed up or down. the blouse is completely see through and delicate. still, it is so romantic, feminine, distinctive and timeless."/>
        <s v="Comfortable and great fit and color. high quality."/>
        <s v="I loved this blouse when i got it and wore it before washing. it fit really well and was flattering. the only time i laundered it i hand- washed it in cold water and hung it to dry. the blouse shrunk at least a full size and in awkward places. the sleeves"/>
        <s v="This bunches up too much, and the fabric is even more see through than i expected (so even with a tank top under it, it's not a good look for work). even unbuttoned at the top, i could barely get this over my head!  this one is going back."/>
        <s v="I haven't worn a halter dress in ages and saw this one and wanted to get it, hoping that it'll fit me. &#10;&#10;i love the swing skirt and the halter. this dress can be easily dressed up or down depending on your mood. there is a side zipper. &#10;&#10;i got s p and it "/>
        <s v="I agree with the other review that the dress runs big and long, but i love it! it's very flattering and i have super high wedges that work great with it. i don't think it runs &quot;super big&quot; but it's slightly big. definitely size down if small busted. i wore"/>
        <s v="Bought this blouse to wear with high wasted jeans and pants. it lays beautifully and can be dressed up or down. it's somewhat sheer, but i don't plan on wearing a cami under it. perfect for work or going out."/>
        <s v="I definitely recommend this shirt. it's lights and airy, something you can wear everyday."/>
        <s v="Love the way this top layers under my jackets and sweaters! so romantic and pretty. i am not experiencing the over pouf at the waist that a previous reviewer complained about. the fabric is slightly itchy and the top shipped to my house has misshapen shou"/>
        <s v="There is no way this is worth the price. i was deeply disappointed when it arrived. the material is thin and feels cheap. i love the design, and anna sui, but this is just so overpriced."/>
        <s v="Beautiful victorian look blouse. runs large and overly blousy on me."/>
        <s v="This top is really cute and true to size. i like the color and the nice details."/>
        <s v="I'm 5' 0&quot; and 120 pounds. this top is beautiful. it's high neck is so flattering. a nice switch it up for us gals that are older and like neck coverage sometimes. i purchased a small and it is a little longer, but since it has elastic at the waist it's no"/>
        <s v="Tried this blouse on in the store and fell in love with this top. i went down one size since i am a true petite. they were sold out of the petite small, but the regular x-small fit perfect. it is a little short so it's perfect for shorter people,"/>
        <s v="Oh yes. another sequin top to add to my collection. it is sparkly without being glittery- if you know what i mean. can definitely dress down as it is tee shirt- like. lots of options for this one. tts.  much better in person than the online pics."/>
        <s v="Unfortunately i had to size down twice with there pants. great feel, they're soft and the grey is a soft color."/>
        <s v="The fabric is so beautiful that i am tempted to buy in a large size and have re-made. the waist is tiny. the hips are wide. when it goes to half price, i may be tempted to take it to my favorite alterations lady. the fabric is that exceptionally beautiful"/>
        <s v="These joggers are soo cute. they fit great!!&#10;i seriously love them!! i have worn them so often&#10;i may have to ban myself from them for a week.&#10;i am 5'4 and the length was perfect for a jogger pant.&#10;i got an xs because the small looked too baggy. &#10;the xs lo"/>
        <s v="If i could sew, i'd take the fabric from this skirt and make it into a different shape (after ordering a bigger size). the fabric is just as it appears online -- totally gorgeous with almost a quilted feel to it. however, this thickness means the skirt st"/>
        <s v="I bought these in the olive green, in the store and will be ordering the gray pair online. i am 5' 9&quot; and 145 lbs, long legs and these are beyond adorable. some people mentioned that they stretched out? i did not find this to be true. what i do know is th"/>
        <s v="I love the flower patterns. they add feminine touch. this legging is well made with good quality spandex. the only cons is the color is not as deep as the picture. when you wearing it and the fabric stretched, the color looks much lighter. other than that"/>
        <s v="This top is gorgeous in both detail in color. it fit great and true to size, but then i hand washed it as instructed on the label and it shrank substantially to the point that it's now too short and needs to be returned."/>
        <s v="I ordered these as i was curious of hte fit on my body type (shorter, thighs)... well, it was ok, but in the end, i dind't keep them as i would be better off wearing jeans on casual day, or &quot;real&quot; joggers (as in jogging material).&#10;&#10;cut was ok, not super f"/>
        <s v="I loved the color and design of this dress but needed to return it because it fit so poorly. the arm holes are entirely too big -- so big that alternations couldn't fix it. maybe it's because i am petite but i think it may be a design flaw."/>
        <s v="Got the black but the orange it very pretty too the black fabric has a sheen to it; almost like snakeskin. as other reviewers have mentioned, it does run small and the armholes are cut in a bit. overall it is a more interesting than a basic lbd."/>
        <s v="The print on these leggings is so cool but they are completely see-through. i mean seriously, seriously see-through."/>
        <s v="Was so excited for this top! loved the embroidered detail and the teal green color. i got it in a medium and it was swimming on me. it also had a maternity type feel since there is a lot more material (making it look blousy) than showing on the model (the"/>
        <s v="I was so impressed with the style &amp; boning on the sides for the perfect fit! it's truly a classic staple in your closet for that lbd!!"/>
        <s v="I was surprised how soft and comfy the fabric is on this top. when i tried it on, i didn't want to take it off! it's a little bigger than i would like - i got a small, and am usually between xs and s. may have sized down if the top were available.but the "/>
        <s v="I usually wear a size 8/10 and i needed a large in this skirt. it flows so beautifully!"/>
        <s v="I love this little number. the quality is terrific, the weight is perfect, and the cut is superb. i love the way it fits and looks in the arms. i ordered my usual xxsp and it is perfect. i like that it is cool and flowy, without looking like maternity att"/>
        <s v="One of 3 pair of leggings ordered and the only pair to fit properly! size l was perfect for me. they stretched nicely going on and the beautiful floral design on the legs didn't get distorted or faded looking from the stretch. wearing these makes me happy"/>
        <s v="These leggings are beautiful! so unusual and colorful, comfortable, and flattering. they fit true-to-size with enough stretch to move with you yet retain their shape. the fabric is a bit lighter-weight than ponte but heavy enough to be completely opaque. "/>
        <s v="I totally love this tank! the yoke detailing is so pretty! i read the other reviews...i feel it fits pretty tts, it's what i expected. i have already worn it several times since it arrived in the mail. i love it so much, i'm ordering it in the turquoise c"/>
        <s v="Gorgeous cobalt blue color!!!  usually s/m- bought the small (because of larger armholes).  so glad i snatched this one up on sale!  the detail on the top is amazing."/>
        <s v="I like the idea of the pullover. the quality of is nice; the material is very soft and feels pleasant to the touch.&#10;&#10;i expected this sweater to be more flattering though. it is true to size, but the length is strange. it seems a bit too long, yet is too s"/>
        <s v="This dress is attractive but it runs a little small. i'm a small curvy girl who usually wears a 2. this was small in the top and short waisted. i wanted to wear it to a recent event and didn't have time to return it for another size."/>
        <s v="These leggings were way longer and darker then appeared on model. &#10;they also were see through or beige color when stretched across hip.&#10;especially for the high cost, there are much better althleisure leggings on the market."/>
        <s v="A lovely skirt and i'm so glad i found it before the medium sold out! having said that, i expected the medium to run small and that i'd have to squeeze into it but having tried it on this evening it's not the case at all. i nice fit. i might even have fit"/>
        <s v="First, the good parts: these are adorable in person and (i think) the colors are prettier in person than in the pictures. the green isn't too army green, it's a pretty nice mellow neutral that you could wear with reds, whites, blues, pinks...virtually any"/>
        <s v="I adore these little joggers. i was immediately drawn to the color (army green) and the little details. i carry all my weight on bottom, so i don't often wear many retailer bottoms (i'm usually a 16). i tried the xl on just to see how they would work and "/>
        <s v="Love this tank. it has an easy fit that hides my post baby belly with out looking to wide."/>
        <s v="I love this blouse. the lace panels are slightly sheer, but nothing inappropriate. the solid fabric is a lovely sort of heavy crepe. stunning bright cobalt blue color. i'm an xl in retailer and this top fit well in xl; ever so slightly snug at one part on"/>
        <s v="This is a beautiful fabric and the skirt is so nice. what is wrong is the cut of the skirt. one side bells out more than the other, giving it an off center look from the front. my legs were not centered."/>
        <s v="I so wanted to love this dress! the fabric is gorgeous the styling beautiful and the construction is great - however, the armholes are cut too generously. i am 5'4&quot;, 138 pounds and 36d. i ordered the black in a size 10. it fit me perfectly everywhere but "/>
        <s v="Hei hei is my favorite line. i am a medium in all of the pants i have ever purchased from this brand.&#10;i ordered these in the green and they arrived today. they fit me as if they were an xxl. i have a similar pair in rust from last summer so i assumed that"/>
        <s v="First of all, the label on this dress is maeve, not nue by shani. second, i just wasn't impressed. the fabric is cool...it has a sort of embossed look to it and it's somewhat shiny, which sets it apart in a good way. but the cut is just boring. the top fe"/>
        <s v="I was really wanting a nice white summer blouse to pair with patterned skirts. unfortunately, this fell short as it was huge. not only was it big, it flared at the bottom. it would be perfect if i was sporting a baby bump, but not what i am going for righ"/>
        <s v="I wanted a casual, denim colored skirt for warmer weather without the denim weight  and this skirt fit my needs perfectly.  i'm 5'4, 117lbs and the xs fits me true to size, hitting about 1 1/2 inches above the knee. it's a more modest length for daytime b"/>
        <s v="I love this top!! the detail on front top of the top is so cute. the length is just right. i hesitated because of the unusual armhole shape but they are really not an issue. also, thanks for finding the top as it wasn't available at distribution center, w"/>
        <s v="These leggings are beautiful and different. the material is very stretchy, sort of a spandex feel. panty lines definitely show in the back. i found they run true to size; i wear a size 6/medium/28 in pants or jeans and the size medium fit me great."/>
        <s v="L space is frustrating. i wear a 0/2 top but with 32d's i tried a large in this bikini top because from past experience with l space they run small. there's just zero support. the tie design helps secure the girls in place, but also flattens them out if y"/>
        <s v="I just purchased this tank in white and blue. i find it to be soft and will be perfect for hot days but also can wear into the fall with a cardigan. it's super comfy but i do find at retailer that it's best to try things on in the store (it's hard to find"/>
        <s v="These were a little baggier than expected and the petite size ran long."/>
        <s v="Great lightweight summer top that's bra friendly.  i bought the teal color yesterday and wore it today with white skinnies.    i'm sometimes a small and sometimes a medium and was fine with the small on this one"/>
        <s v="I love love this top. i was on the fence about it since it runs large and is loose fitting, very loose. i tried m, l, and xl. i usually wear xl but bought an l in this. i tried m, it was loose around the mid-section but fitted at the top. i wore them with"/>
        <s v="This pants look pretty much exactly like the picture except these will wrinkle really easily so there is no way they will ever appear as wrinkle free as the pic.&#10;&#10;i found the color to be exactly as seen online so i am not sure why others didn't. the mater"/>
        <s v="This is not something i would normal wear but the beauty of the fabric made just give it a try. i am so glad i did. the fit is beautiful slimming feminine fit with just enough flow. i love it and bought it right away. you better get it before it's gone. a"/>
        <s v="These undergarments are comfortable, streamlined, and well made. this bra holds up well without wires. i am a 34b and wear a small. it is a bit tight at first, but form fits after one wear. . after trying one bra and i ordered 4 more. then i researched th"/>
        <s v="I tried this jumpsuit on in the store and loved it but decided to wait on purchasing it. after it went on sale i jumped on it because i new i would regret not buying it. &#10;&#10;i am tall but most of my height is from my long legs, not in my torso. i seldom fin"/>
        <s v="I fell in love with this dress the instant i saw it. but was disappointed when i received it. first was the color. i chose the green and it wasn't what i thought. it was a very unnatural shade of artificial grass. when my husband saw it in the package he "/>
        <s v="I love this jumpsuit and definitely feel too confident in it! the fabric is a great weight- flowy, but still substantial enough. with nude undergarments, i can't see anything. in fact, that is one of the things i love; no special undergarments are require"/>
        <s v="Runs large in arm holes. have to wear bandeau. love this print and flow of dress. loose but still flattering due to arms and shoulders . love the overall look. midi length for this 5'6.5&quot; gal. size s worked best -36c-125lbs"/>
        <s v="I was so excited to splurge on a mara hoffman suit and was sorely disappointed when i received this suit in the mail. i'm petite and fairly curvy, so i knew it would likely be a little long in the torso but the whole suit was so oddly shaped, i couldn't i"/>
        <s v="I love this dress. it is so soft and comfortable, perfect for summer!! i wish it came in more colors because i would buy everyone!!"/>
        <s v="Like other reviewers, i'm glad i sized down. this is a cute tunic that is definitely great quality, lightweight chambray. i love that it has pockets, but they do puff a bit at my hips."/>
        <s v="This is the perfect bralette for comfort; it's soft and fits to form really quickly. i wear a b cup, and it's enough support for me to wear daily doing everything other than heavy exercise. now, at 5 months pregnant it's pretty much perfect to sleep in to"/>
        <s v="I really wanted this. they had two size small in my local retailer, both were damaged. so disappointing. i don't want to pay shipping for one that hopefully isn't damaged:( in the last year i've had multiple quality control issues with retailer. makes me "/>
        <s v="I followed the advice of other reviewers and sized down from a s to xs. i was worried about the length of the torso since i'm long in that area, but the xs still worked great. it's a totally adorable jumpsuit with a nice fit. my biggest peeve with this wa"/>
        <s v="This dress looks better in person. nice navy with subtle pattern - looks super cute with a really lightweat pale yellow sweater! i thought that wiastband area would hit in a funky spot (my problem area) but it doesnt and looks great. super comfortable and"/>
        <s v="I received this dress as a gift and it has become such a great addition to my wardrobe! i love that i can wear it to work and then out with friends. a great value if you're looking for one special piece that you can get miles out of - you can wear the two"/>
        <s v="This would be perfect if only it were lined!!!! i have a high waist and hourglass shape so jumpers are very hard to find that fit my body type. this is a perfect fit for my body shape and when on, it looks like a lovely dress. however, it is not lined and"/>
        <s v="Simply awesome. wonderful fit and flatters any body type. looks great booties, flats, or flip flops. must have ..."/>
        <s v="Although it may not look like it takes on a shape - what a wonderfully flattering jumper. was intrigued from seeing it in the catalog and had to try it on in the store -- i was unsure how the middle would appear. but it fit, wonderfully feminine, looking "/>
        <s v="I had been eyeing these for a while, but as they didn't seem very popular, i figured i'd wait for a sale. i finally bought them at the 40% off of sale price (yay!) and i love them. they're extremely comfortable, and very flattering. i'd say they run true "/>
        <s v="I loooove this. my favorite retailer purchase in a while and i buy frequently. ran out of s p while in my basket (there are never enough petites available) so i got the medium. it is big but with this style i can pull it off. it does run a bit large so a "/>
        <s v="Easy and fun jumper. runs slightly large. i ordered a medium and returned for a small. can be dressed up or down for a variety of occasions. would be perfect if it had pockets."/>
        <s v="This is such a pretty dress. light and flowy. i got it to wear on hot summer days."/>
        <s v="I loved this jumpsuit. it fit well on my curvier/athletic frame. i did prefer a belt, which emphasized my shape. unfortunately, it is not lined and a bit sheer. this was a deal breaker for me."/>
        <s v="I have been dying to try a mara hoffman bathing suit, so i went for this one. unfortunately, the design of the bathing suit is not like what they sent me. the middle where the tops meets the bottom, is squared off, not like that v that it looks like in th"/>
        <s v="This dress was pretty but had a weird fit. the waist droops down in the middle instead of going straight across, which i found unflattering. i ended up returning it."/>
        <s v="I was unsure about this dress when i first tried it on. the color is gorgeous, it is flowy and beautiful. it hits just below the knee (i am tall), which is something i am not used to. i hadn't decided on it, but my husband loves it and that's all that mat"/>
        <s v="I love these pants. i have them in navy and carbon. the navy color seems to run bigger than the carbon. they are very loose like a boyfriend pant in navy. they loosen up as the day goes on as well. super comfy and great for running errands and taking my l"/>
        <s v="These are super soft and relaxed. i have them in navy and lavender. i am 5'6&quot; and 130 lbs. and ordered them in a 28, which fits loosely, but comfortably."/>
        <s v="Was so thrilled to receive my dress in the mail. its just what i was looking for, for my staple summer dress. i love how i can wear it with or without the sweater top, and even can pair just the sweater top with my high-waisted shorts!"/>
        <s v="I really wanted to like his dress, but it was a big miss. big big miss. look at the way the skirt is attached to the dress in the photo. it goes up high on the sides leaving a short bodice. the sequined patterns hit right at my breasts, so it looked like "/>
        <s v="Great fabric but unfortunately it did not look good on me. maybe on a tall person, i'm only 5'4&quot;. really wanted to like this..."/>
        <s v="The dress is cute, but i'm somewhat concerned that it will be sheer in the sunlight. i guess we'll have to wait and see!"/>
        <s v="I tried this on in the store in a regular medium and the size was fine, just the length. fortunately retailer will ship for free if you need a petite! i'm so excited to get this. i'm 5'1 and a bit busty, and the medium fit perfect. its very flattering and"/>
        <s v="This runs really large. i love it! sold out of xs p and xxs p... go figure :( size down if you are slim."/>
        <s v="Bought this for my daughter. it's adorable on her. we're going to take it in at the waist so it doesn't look so sack-like; then it'll be perfect!"/>
        <s v="I was disappointed with this jumpsuit. when i first saw it in the store, i thought i was going to love it. when i tried it on, the first issue is the fabric is too sheer. i could completely see the outline of my underwear and bra. it also runs way too big"/>
        <s v="Perfect for the summer weddings that i am attending. i am 5-1, 119#, 32dd and usually a sp. i tried on a regular s and xs in the store, and the s was huge. i ended up ordering the regular xs instead of the petite xs when the 20% off sale hit because i lik"/>
        <s v="A sales associate found this for me at my local retailer. i probably would have never thought to try it on. i am 5'1'' and normally a size 8 or a medium. the size small was still too large, so i ordered a size small petite. it fits perfectly, looks adorab"/>
        <s v="This is a lovely piece, with great shape and details. i think it would really stand out at events. i ended up returning it. i don't have much occasion for cocktail dresses. i had trouble sending it back. it has a slip with the sheer overlay. the slip seem"/>
        <s v="This was so unflattering. the bust was too high so it hit me weird on the boobs. the green was a beautiful, vibrant color but the fabric is so delicate that one wrong move would cause a snag."/>
        <s v="I opened the package and the dress is two pieces. it is the skirt part with an orange cami top that the sweater goes over. the sweater was too short for me, as i am busty and would not work. i ordered my normal size and the band around the rib cage did no"/>
        <s v="Just purchased this- love how light and airy it is. perfect for throwing on on a warm summer day. it is soft and comfy, but it does run pretty large. i am normally a m, and in this the m was swimming on me. i purchased the s, and still loose and flowy. i "/>
        <s v="I'm very picky about jumpers, and this one is abolutely perfect! i love how it looks like a dress at first glance. it runs a little big because of the oversized fit it is supposed to have, i sized down because of the armpit area. nude garments and you'll "/>
        <s v="Nice flowing summer sun dress. i was looking for something very simple and put a colorful kimono over. it. i put a bando under it. i think this dress can be for all ages as my friend in her 20s bought and loves this dress as well."/>
        <s v="I am 5'-7&quot; and 135 lbs, i bought a medium petite as i wanted the dress to hit at my knees, instead of midi. this dress is easily 2 sizes bigger than expected. the pattern was not flattering on my although i'm sure it would be for others. i was happy with "/>
        <s v="This is one of those dresses that is just &quot;nice&quot; and can be one that you go to in a pinch.... it flows very nicely and you can dress it up and down. it's not the best quality in fabric...but if it was all silk you would have paid 3xs. i like it, it fits w"/>
        <s v="This jumpsuit is the epitome of what i love about retailer! unique and absolutely beautiful. i love how it flows and on my petite frame when paired with heels makes me look taller. hopefully the designs for spring/summer are just as beautiful and comforta"/>
        <s v="I loved this dress from the moment i saw it! i ordered it immediately, after reading the reviews, and felt confident in my dress size choice...but when it arrived it was big! i am 5'7&quot; 140lbs with an athletic build and i usually wear a 6 or 8 in dresses, "/>
        <s v="This dress is great. it appears just as it does online. its soft, flowy and a thin chambray material. the straps are adjustable which makes it a good fit for all women. i am fuller in my hips and toosh and this dress fell beautifully over them. i tried a "/>
        <s v="I was worried at first that the metal leaves would come off easily. i was pleasantly surprised after a day at disneyland, i don't think i lost even one of them. this dress is super fancy but very comfy."/>
        <s v="These jeans have been the best pair of jeans i have ever worn. you could practically sleep in them, they are so comfortable, brushed softness, and stretch easily. they hug your body in a flattering way, that these jeans are worth the money spent, as you'l"/>
        <s v="I'd been eyeing this for months, loving the look but afraid it'd be too young for me (i'm 58). i tried it on in the store and loved it, with one caveat: it hangs rather like a sack, so i think it needs a belt for waist definition. with a belt, it looks gr"/>
        <s v="I really wanted to love this dress. i bought it for a photoshoot that will be outdoors, and thought that the green color would be perfect. it is well made, but the fabric is lighter than expected. the biggest issues was the size. i am 5'7&quot; and typically a"/>
        <s v="Great fit. smooth, comfortable material. wrinkles, but nothing an iron can't fix. beautiful colors, i got both the teal and the black."/>
        <s v="This dress is beautiful and would make an excellent party dress for winter. it is well made and the details are pretty. however the waist is cut in sort of a scallop shape, so it is higher on the sizes and dips down in the middle over the stomach. i wear "/>
        <s v="I tried this on in the store last night and decided to order it today. it is a really beautifully made and flattering dress, with very interestingly cut seams. the fabric is a distinctive flower pattern that has been overlaid to appear almost abstract. go"/>
        <s v="I bought this dress for its green color and flowy design to wear at an irish fest held in the hot summer. it's perfect! being of irish descent with red hair and fair skin, i love all shades of green, and this green dress is no exception. the color is love"/>
        <s v="I just bought this at the store. i simply couldn't resist! it is very light and comfortable and could easily be dressed up or dressed down, sandals and a crossbody bag for exploring the city, strappy healed sandals and some flashy jewelry for a garden par"/>
        <s v="Great jumpsuit ! even better &quot;in person&quot;; elegant and stylish. i'am 5'7 and 165lb , m fits perfectly! material is not see- throug ( that was my biggest concern). sooo happy that i got it."/>
        <s v="I purchased this in the mauve color. beautiful color with tan skin for the summer, but also perfect for fall. the material is very thin but not sheer at all. has quite a bit of drape/swing to it so i sized up to make sure it was long enough. it fits me li"/>
        <s v="I originally ordered this in green, and unlike another reviewer, i thought the color was perfect for spring. it is trendy, flattering and fun in green, but perhaps not a color i would wear long-term, so i decided to return it and order it in red and black"/>
        <s v="Beautiful dress. good quality. tts. i'm 5 feet 120 lbs. ordered my small petite. no issues. however, the green is very bright. the deal killer for me was when my hub said it looked like a starbucks barista's apron! it's going back. i marked yes if you pla"/>
        <s v="I tried this on in the store - i tried regular medium which was way too big except in the chest where it was really tight. the material was a little itchy on me (but maybe its because the chest was tight). the color is lovely (pink). im sure someone will "/>
        <s v="I tried these on at my local retailer, and was like, no way am i spending almost $300 on a pair of jeans. alas, i could not stop thinking about them. the pictures really don't do them justice. they are a more substantial jean, have a distressed look, with"/>
        <s v="I love this dress, i disagree with the review saying it was too sheer. this is a thicker material and doesnt need a slip, it is beautiful and is so comfy. it looks good with heels or sandals. i definately recommend this dress, it would look good on any bo"/>
        <s v="This top is cute and could be worn to work or casually. being tall, i love how long this shirt is! definitely recommend!"/>
        <s v="I purchased the gorgeous green color. i love that i can wear this with leggings and sandals in warm weather or boots and scarves when it's cooler outside. the best thing is that it has pockets to slip my phone in! the color is very flattering and i get lo"/>
        <s v="I bought the blue pattern and really have found this print to be very fun and flattering and the tunic style great for work and play. highly recommend!!!"/>
        <s v="Like a baby doll top, with almost an empire waist going on.  feels comfortable and super flowy. i got a size m and i swing between m and l in most brands. the button stitching are a bit loose and will fray after some wears, i can tell. but i'm borderline "/>
        <s v="This is a beautiful sweater -- soft, lovely color and easy to wear. the current photo is more true to the length. i am 5'2&quot; and 128 pounds and ordered the regular sm and it fits just below my hips."/>
        <s v="I'm 5&quot;0&quot; and weigh 105 lbs. i purchased the xxs and it was super-wide, and big all over. it looked like a pregnancy top and did not lay as nicely as shown on the model. also, not shown on the model is the front is short and the back is very long. this wou"/>
        <s v="Like other reviewers i was hesitant to spend this much on a pair of jeans. however, i purchased them at  20% off on retailer day and...honestly...they look so good i probably would have paid full price. these jeans are fresh!"/>
        <s v="After reading the reviews, i ordered this dress in an xs and sp. i'm 5' 3&quot; and 120 lbs. the xs was too long and too big on the bottom while being too tight in the chest. the sp fits perfectly. i'm wearing this to a wedding and know that i will get lots of"/>
        <s v="I always look for things to hide &quot;parts&quot; without making my &quot;parts&quot; look even more pronounced. this top is much cuter in person than online. it has floral edging around the neck and lace up area i didn't notice. the length is perfect, the sleeve length is "/>
        <s v="Fit is true to size but keep in mind this dress has a &quot;box-like&quot; fit. i am debating whether to have mine taken in a little under the arms.&#10;the material isn't what i expected but i still love it. the dress has a more textured/thick fabric instead of the li"/>
        <s v="This shirt is easy, breezy, comfy, and stylish - everything i want as a busy mom. all the patterns are beautiful it i went with the blue motif as well as the floral print because they felt fun and easy to wear with jeans or white pants. this definitely fi"/>
        <s v="I've been eyeing this top up in the floral pattern for a while and finally ordered it when i had 15% off. i really don't think it's worth the price and it's not very flattering. i think it would look better on someone less busty - it seemed to accent my b"/>
        <s v="This is my first pair of realllly expensive jeans, and they were worth every penny. i love the fit, the distressing, everything about them. they make me feel like i look amazing, which is what good jeans should do! i wear a 31 in pilcro jeans, but based o"/>
        <s v="Shortened it to knee length and it was perfect. material is soft. comfortable to wear. can be paired with wedges or pumps or flats. fits true to size."/>
        <s v="Super cute and flattering shirt, the long tunic-style makes it so you can dress it up or down, so cute and comfy!"/>
        <s v="It looks great on the model but not on me. on me, it looked more like a sack of potatoes. the fabric is unexpected for the style in my opinion. it is very thick. i'll be returning it because it is not flattering on me."/>
        <s v="This shirt is just so easy breezy! i got the blue motif and love the pattern. the top is loose but it's supposed to fit that way. i have a feeling this will be my go to for the spring summer! i'm about 136lbs and ordered a small."/>
        <s v="This dress looked gorgeous in the monthly catalog. ordered in hopes to wear in easter. i felt it was frumpy and just ok. color was pretty but overall; i didn't love it like i hoped to."/>
        <s v="If there ever was the perfect feminine dress, this would be it ."/>
        <s v="I'm small (4'11, 98 pounds and 34a) so the regular xs looks like a baby doll dress on me.  i just wear the tunic with a tank top underneath (or i can wear the tunic by itself) and leggings plus a pair of boots.  the top part is slightly baggy so if you wa"/>
        <s v="I had reservations about this top based on other reviews, but it looked cute on the model so i took my chances. i have an athletic build--not model-thin, but not dumpy either--and this top made me look very frumpy and matronly. the sleeves were especially"/>
        <s v="I ordered the black and it was a soft black, which i loved. i felt like the shirt was a little boxy (i was hoping the top would have been a bit more fitted (the arm holes are loose) and the bottom a little longer, but i like it enough that i am keeping it"/>
        <s v="I usually wear a size xs or s in retailer tops, ordered this top in an s and it was so wide on the sides and huge it fit like a tent.  not even remotely flattering.  i thought about ordering it in an xs, however, i could tell the xs was still going to hav"/>
        <s v="I initially purchased this shirt in the grey motif color, size l (my usual size, i'm 5'8&quot; size 14). unfortunately i found the shirt very roomy, but loved the pattern and style. so i ordered a medium and much to my surprise it fit much better. i'm very hap"/>
        <s v="I bought the dress in black. it is very elegant with a fun flare, suits my taste. it does run a size too small like other reviewer mentioned. the material has no give at all. i couldn't breathe in my regular size. one size up fits like a glove. it is a pe"/>
        <s v="I agree with the previous comments. the vest runs a little large, so you can easily size down for a more form-fitting fit. it is so soft and the colors are lovely ... will be a welcome addition when the weather turns a little cooler. i am so glad i purcha"/>
        <s v="Fit great - maybe a bit large....i bought a l (typically i go between a large and extra large) and there is room to put a thick sweater on underneath it.  this goes with just about everything!"/>
        <s v="I am a solid size 6 in most brands, top and bottom, 5'3&quot; tall, 125#. i have long legs, short torso, and fairly broad shoulders - i almost never wear petite sizes.however, this top in the regular small size could be a maternity dress on me! i am literally "/>
        <s v="This top is such a great color and style. i did have to go a size down, as i typically wear a medium. the style is very forgiving. it looks great with shorts and jeans! it's staple!"/>
        <s v="I just bought this top yesterday in the yellow. i can't wait until it warms up a little more to wear it. it's very comfortable and very cute. i did have to size down. i may get one of the other prints as well."/>
        <s v="I ordered the yellow/floral version in size xl. it fits me just as shown with the model so it's true to size. it's very comfortable and made well. the floral looks the same in person as in the photos too."/>
        <s v="I love this dress!! it has a beautiful european flair, and more beautiful in person. i don't agree with the other reviewers that its see through-the fabric is a good quality, and thicker than you would think. the variable length is the best part of the dr"/>
        <s v="Got the flower print and it is really a nice top. covers the butt!. i normally need a xl, but in this top i got a large."/>
        <s v="I love the idea, and color, very flattrering and easy to trhrow on, however, i need the petite in this one, and they sold out in the neutral color. it looks too big in eregular sizing, and since it combines xs/s, it is made slightly bigger. material is so"/>
        <s v="I received this in the mail a few days ago, and was so pleased with it except that it was huge! i am normally a 10/12 in most things so i ordered a large. i was swimming in it in all areas - shoulders and bust bothered me most because i need a waist on sh"/>
        <s v="I have received so many compliments on this top. it really looks exactly like it does on the model, and i'm not as thin as she is. i am 5'5&quot; and 134 lbs,, small on top, and bought the small in this top. the v-neck is very flattering and is hangs so nicely"/>
        <s v="Everyone has said it, so i'll just add my two cents - this is a great, soft, flattering top. i bought two, one in white and one in black, and i have never worn them without getting compliments. i sometimes wear them buttoned up, and sometimes completely u"/>
        <s v="Perfect party dress - well constructed, bra hidden at arms and on top, what more can you ask for? i felt like betty draper the moment i put it on. i'm normally a 6, but the 4 (while fitted) looked amazing and didn't pull."/>
        <s v="I love this shirt! it hides my tummy perfectly without being too baggy! super cute!!"/>
        <s v="I wanted to love this top, but it unfortunately did not work for me. the material has a nice weight and feel to it, and while i love the pattern, the shape leaves something to be desired. the cap sleeves were a little tight on my arms, and the cut of the "/>
        <s v="The fabric is wonderful, flows nicely and soft. i am 5'7&quot;, 145lbs and usually wear between a s and m. i ordered a s in this due to the majority of reviews and found it to fit my shoulders well and length was fine. after reading the reviews i was so excite"/>
        <s v="I bought the tangerine version of this dress for my brother's summer wedding in the south, and i can't wait to wear it. cotton material has a touch almost like linen, but not rough. nice and hearty fabric. tangerine color is beautiful, more salmon than co"/>
        <s v="I purchased this top in white. it is see through so i wear a tank or cami underneath. i usually wear xs or s in retailer tops and in this one, i purchased the xs, but wish i had bought a s. the problem is the top is just small enough to pull slightly betw"/>
        <s v="Picture definitely does not do this vest justice.  i saw it on a rack and had to try on and instantly loved the look and feel.  i am 5'9&quot; - 135 lbs - size 6 and the small works for me.  the vest will work with ivory, black, grey, and red underneath.  i lo"/>
        <s v="This dress is great! it fits true to size and the pockets are very unnoticable!&#10;my only note is that the first picture of the dress show the dress to be a bit darker than the actual dress. the dress colour more closely resembles that of the other two phot"/>
        <s v="I'm very pale, and on me the rose color looked really washed out. the catalog photo is not an accurate representation. look at the product shot for a truer representation. it's slightly see-through and was too close to the color of my skin. i think it wou"/>
        <s v="I purchased this in 2 colors. the black which is really actually a dark grey( no complaints) and the cream with black print version. i have worn both at least once a week and receive compliments everytime! looks great with skinny pants or jeans. great alo"/>
        <s v="I ordered this dress in the blood orange and have a few complaints. while it appears to be made with quality, it runs really large. also, in the picture the fabric appears to have a sheen and be somewhat dressy. the actual fabric is just flat cotton. it's"/>
        <s v="This is my favorite dress i have ever purchased. as a 6' tall woman, it's hard to find flattering dresses that are long enough for my legs. this dress is classic, comfortable, and truly flattering. i love the blush color and did not have the issues that o"/>
        <s v="This dress was not what i had hoped! from the online pictures, i had high hopes, but the fit was really wonky and the material seemed cheap. the arm holes were too big and made the dress seem more like a bathing suit cover up than a classy summer dress. n"/>
        <s v="Bought this top in white and blue motif. it fits me great and looks adorable. the only comment is that the holes for the buttons are a little too big but it's an easy fix.&#10;this top looks great dressed up or down. would definitely recommend!"/>
        <s v="Just purchased this yesterday in the store and i can't wait to wear it! it is a perfect spring/summer top when you just want to wear something pretty and comfortable! i agree that it is big but that is the style of this shirt. so if you're ok with this lo"/>
        <s v="Love this shirt. tried it on in 2 of the colors and both were very flattering. the quality of the shirt is great. worth the price for sure!"/>
        <s v="Love this top! i receive so many compliments wearing it, even from my teenage boys! runs large, but that's the style of it, very flowy. very flattering."/>
        <s v="I loved this top in the blue and wanted so badly for it to fit however it was very unflattering on my 5'7&quot; frame. the bottom hemline is straight across all around whereas i thought it was longer in the back. i could see this looking great on a really peti"/>
        <s v="Didn't work on this curvy gal.&#10;sizing up would have helped with the button gaps, but the flowy shape of the blouse would have looked too maternity on a larger size.&#10;major pass."/>
        <s v="The rose color is lighter than the photo of the model in front of the pink building, but on the other photos it does look lighter so i wasn't surprised.  my dress fits very nicely. i love the drop waist, the loose fit at the hips, and the flare of the ruf"/>
        <s v="I am so happy i purchased this top in 2 colors while it was on sale. i have the navy/white pattern and the green. both are vibrant and fun. i'm 8 months pregnant and these fit me currently. i can see them being a great top for post baby and on as well. i'"/>
        <s v="I'm so short that this could be a dress! runs a little big, but very forgiving. the green color is so vibrant! love love love!"/>
        <s v="This light blouse is beautiful and true to size. i ordered the black one and love it!&#10;i would recommend this product"/>
        <s v="Stopped in to my local retailer today specifically for this top. i was pleasantly surprised - the green is even more vibrant in person! just gorgeous. typically a size small but based on reviews tried on the extra small. still a tad roomy but portland doe"/>
        <s v="Wanted to like this top but it looks terrible and does not lay right. the bust line is not tight enough to contrast the rest of the top being flowy. does not give any shape to the body. do not recommend for anyone with a medium to large chest."/>
        <s v="This sweater poncho is a nice versatile piece to wear in the fall. wear a blouse or tee under for extra warmth for the maine winters. love the side buttons and the uniqueness of this poncho. true to size, great color. lot's of compliments."/>
        <s v="Love this top. bought it in both color ways. just adorable and washes well. great option for larger ladies. &#10;retailer needs to provide more xls to be available in the stores. i shop at the pasadena store and see so many women my size shopping right next t"/>
        <s v="Like the extra details on the neck and back - and it's versatile to wear everywhere"/>
        <s v="Agree with other contributer - this is a great piece to snag on sale. i bought this 2 months post partum with the intention of hiding the post baby belly - which is does well! i think it fits true to size (i'm typically l and this l fit well). i can see h"/>
        <s v="This dress is a bit scratchy, but overall i liked the fabric well enough. on someone blond and fair, the peach color washes out a bit. the issue for me with the dress is that front is just too short for my height (i'm 5 9 1/2). it looked a bit obscene. &#10;&#10;"/>
        <s v="This beauty arrived in my store today...and despite all my gals telling me that i own too many vests, i just had to have this one. i've always wanted a cozy fur or sherpa vest...but i'm curvy and always feel like those add bulk. this one only has sherpa o"/>
        <s v="I love swing tops. the more swingy, the better! this top is so fun. its a little hard to tell online, but its made of two fabrics. most of the fabric is a thin t-shirt material, and then theres a panel on one side thats more of a silky fabric. its so so c"/>
        <s v="I really wanted to love this dress. two lovely associates paired it with the desideria bib necklace and the black dakota cardigan, which gives the outfit definition and elegance. but the dress by itself would have needed altering to fit my 34-b top. i cho"/>
        <s v="I read all the reviews and was hoping that this top would work for me, but it did not. i ordered a size smaller than usual and it was still way too big. it was not flattering at all on my curvy frame. overall, it looked more like a maternity top on me the"/>
        <s v="I'm still on the fence with this shirt. i have the grey - it almost looks like a cheetah design up close. i'm 5'3&quot;"/>
        <s v="I love this dress - originally ordered the medium, which is my normal size, especially because i am tall. the arm holes were gaping, and so i returned for the small. the small is perfect. it fits exactly as on the model, and i didn't have a problem with t"/>
        <s v="This is a cute top, especially the material design. i like tops that go over my bottom and this does. if i had a problem it is with the sizing. the fact that it was only online so i could not try it on made it difficult to know really what size to get. so"/>
        <s v="Cute white t-shirt different style but didn't work on my body type so i returned it &#10; good price point &#10; basic fabric"/>
        <s v="Nice, flowy, comfy top with soft fabric. there's a lot of fabric below the waist - it could probably work as a maternity top - but it drapes nicely rather than looking overwhelming. i do find that the buttons gap a little at the chest, despite the top fit"/>
        <s v="I've been on the hunt for the perfect dress to wear for my daughter's first birthday party. since we are throwing a traditional korean first birthday, i was looking for a dress you might wear to a daytime wedding or a fancy brunch. i just purchased this d"/>
        <s v="I absolutely love this shirt! even though it has a large flowy design it looks wonderful. the print is so unique and will transition to autumn beautifully! i loved it so much i got both colors."/>
        <s v="I would describe the color as more blush. the fabric does not have a sheen as in the model picture. the fit is much cuter on than hanging. i'm a 36c and the extra small is just a bit tight in the bust, otherwise i like the fit everywhere else. i'm going t"/>
        <s v="I agree with the other reviewer that the color isn't as pink in person and more subtle. my thoughts below on some other things:&#10;__________&#10;pros:&#10;- pockets! makes it so fun and chic with the overall style.&#10;- the material is lovely and breathable. i didn't "/>
        <s v="This shirt is so very pretty in person. the detail on the neckline and the lace up on the back are so cute and give the shirt just a bit of whimsy, making it more unique than your usual flowy t-shirt. it lays perfectly and the material is very soft and co"/>
        <s v="I bought two, one in white and one in blue print and wore the blue print top once and loved it. then i washed it according to the instructions on the tag (in cold gentle cycle and hung to dry). it shrunk up 4&quot; in the length and 2&quot; in the width and now it "/>
        <s v="I usually wear a size 28 &amp; the fit was perfect. highly recommend, many compliments."/>
        <s v="I fell in love with this dress from the moment i saw it in store. i tried it on immediately and knew i had to have it. it fits a little big -- definitely size down. but other than that, i have never felt more beautiful than when i wear this. the color is "/>
        <s v="....that's what i look like wearing this dress. a sad, sad, sack. the fabric is less than ideal, and there is no shape to speak of. i love that it has pockets but that's about it. there was just way too much fabric for a petite person. this dress has got "/>
        <s v="This is a such a cute top. can be dressed up for work or worn more casually. very flattering. i'm 5'6&quot; and 125lb. i was borderline between the xs and s but ended up with the s because it was a tad longer and more 'tunic-y.' bought two colors!"/>
        <s v="I loved this top so much i bought it in both colors. size down because it run very large, but it is nice and flowy. i'm 5'11&quot; and slim and the top hung nicely on me."/>
        <s v="I wanted to love this, was so excited when i ordered it online. the fabric (blue and white) was beautiful, but the cut was bad. it fit me like a maternity top, and made me look like i was 6 months along. i have a feeling that the models had theirs pinned "/>
        <s v="This is a very flattering / soft sweater. the pockets make it so much cuter &amp; do not make me look &quot;thick&quot;. highly recommend!"/>
        <s v="I fell in love with this dress when i saw it in the catalog and ordered it immediately. i was a bit disappointed that the dress is a little lighter than the pink showed in the catalog but it didn't deter my liking it because it's still a lovely shade of p"/>
        <s v="This is such an adorable tee. the stripes and lace up details are super cute and on trend. i usually take a xxs and that is what i took in this tee. i tried the xs and at 5&quot;1 and 104 pounds it looked a bit loose and long on me. love this tee and highly re"/>
        <s v="This shirt runs large, so order down a size. it is comfortable, cute and great for transitioning from summer into fall. adding jewelry really dresses this top up. can't wait to layer it with kimono, vest, pashminas or wraps. great with sandals or boots. g"/>
        <s v="I purchased this poncho online in the cream color. when it arrived i tried it on to decide whether or not to keep it. i immediately went on line and purchased the taupe color , as well. thank goodness it didn't come in 5 more colors! this sweater is so ve"/>
        <s v="The green is a deep, beautiful shade. the fabric and fir is very flattering!"/>
        <s v="Love this white shirt! it fits great and gives you a little breathing room around the waist. this goes with shorts, skirts, and jeans. i will be wearing it all summer"/>
        <s v="I loved this dress on. the material was quite different than expected, almost a canvas-y feel to it. ran a little large, but so cute."/>
        <s v="I really like the look of the top when it is photographed on other people but it just isn't for me. the fabric is stiffer than i would have expected and not very moveable. the fit is not quite right on me. the longer sleeves detract from the look of the s"/>
        <s v="This top is absolutely adorable, fits small on top and then flares out a bit as shown. i bought it months ago and haven't worn it yet though. might try it with white jeans as shown."/>
        <s v="Bought this top at my local store and tried it on as soon as i got home. yikes! it was way too billowy, i looked like i was pregnant. will be trying the next size down on in the store to see if it is billowy."/>
        <s v="Gorgeous baby blue lace is a must see. i received many compliments. my only gripe is that i don't love when shirts have those connecting camisoles (which make it harder to put on) as i would much rather just have a sewn in lining, but it didn't deter me. "/>
        <s v="Super cute poncho to add to my wardrobe.  love the grey color and the material is super soft.  glad i snagged this up for less than $30!"/>
        <s v="Great top!! love the fit, it pairs great with dark denim and pearls!! i ordered a 00 and am a 32c cup and 24-25 waist"/>
        <s v="This top/jacket is less red than it appears in the pictures - more of a wine color (as it is labeled) but it is pretty and the gold details are nice."/>
        <s v="This sweater is a perfect transition piece!  the material is really soft. while it has the shape of a poncho it is cut nicely and doesn't make you look like a big blob."/>
        <s v="I am obsessed with this top. it is even more gorgeous in person.... a real showstopper!"/>
        <s v="Beautiful color and a great lightweight piece for fall layering. the petite sizing was perfect for me. more like a belted kimono. very happy with this purchase"/>
        <s v="It's really cute but seems expensive for the type of fabric. i thought it would be more substantial. got lots of compliments ."/>
        <s v="Really wanted to love dress but something was off with fit. fabric is lovely and zipper detail nice unfortunately style was not for me."/>
        <s v="This a lovely piece. you have to see it close up to appreciate the subtle details. i typically wear xxsp or xsp, so i did not expect this to fit, but decided to try it because i liked the style. as a petite, many poncho styles overwhelm me and look like t"/>
        <s v="In the midst of the end-of-winter doldrums, i tried this cute top on. springy. powdery. happy. the lace is soft, not too stiff or scratchy, and lightweight enough to transition nicely into summer. because the cami is a separate piece, i also envision wear"/>
        <s v="Absolutely love this top. it is beautiful, well made and so unique."/>
        <s v="An absolutely gorgeous, but poorly fitting blouse. the bottom part is way too billowy and inconsistent with the fitted top half. got it on sale and still returned it."/>
        <s v="This top is really pretty and i received a lot of compliments on it. i said it ran true to size, but really the torso part runs a little big. if i had sized down, i think it would have been too tight in the arms. the cami that came with it kept falling ou"/>
        <s v="The blue lace with the white top underneath is very pretty. unfortunately i did not like how billowy it was below the bra line."/>
        <s v="It is definitely pinned back on the model in the photograph. it made my 5 foot frame look short and wide."/>
        <s v="For reference i am 5'5' 138 lbs with an hourglass figure and my usual small fit perfectly. the problems: 1. this skirt is not black but a charcoal gray/purple. 2. the sipper is reinforces with a stiff boarder on the inside so no matter where i put the wai"/>
        <s v="I knew i wanted this top the moment i saw it, so onto my wishlist it went until it went on sale! it fits beautifully in my normal size and i love that it already has a coordinating tank top. i get compliments whenever i wear it- think hd in paris might be"/>
        <s v="This is probably a blouse for curvy women. with that i mean large breasted. i am a 40d and the xl fits well and the cleavage is in the limit of ok for the office. the bottom is a little too large but not too long. however, the fabric feels extremely comfo"/>
        <s v="This tee is super soft and thin. perfect for hot humid days. i went with the neutral version and it is adorable with chino shorts or jean shorts. i found it ran big.. i purchased in xs and still pretty baggy."/>
        <s v="I've been buying stevie ankles for years from retailer and been very happy. the past two pairs i bought had a heavy chemical smell, which i imagine is some kind of starch/chemical to keep the denim stiff. with the first pair, after enough washes to get ri"/>
        <s v="Beautiful dress! excellent detail! loved everything about this dress except for the weight. this dress is very heavy which limits my wearing options in fl. given the fabric, this is a great special occasion dress."/>
        <s v="I'm so incredibly disappointed. the dress is beautiful but the one i received is torn and has multiple strands of beads missing. poor quality control."/>
        <s v="Yep. this is snug, so maybe you might consider upping your normal size. but here's the annoying thing for me...the buttons fell off. not kidding. the first i wore this blouse and two buttons came off. when i looked at the other ones i saw that they all ne"/>
        <s v="These leggings are wonderful. they are incredibly soft, and stay in place when working out."/>
        <s v="I initially tried this on in store and fell in love with the beautiful cut out details and fit. the star design is really cute and unique and the blue color is not see-through at all. i eventually had to buy the blouse online because i could not stop thin"/>
        <s v="Another shirt i really wanted to love. i adore green but so few tops are made in this color. (please make more!!) however, this shirt didn't work for me. i think it's a matter of where your curves live. the shirt was true to size, but my boobs meant i was"/>
        <s v="I am reasonably petite, but i like sweaters very oversized and large, so i ordered this sweater in a large. i was very disappointed when the sweater came because while the sleeves and upper chest area were in large, the length of the sweater did not at al"/>
        <s v="I wanted to love this dress, and thought it would be perfect for a barn wedding i have coming up. it was allllllmost right but sadly fell short. the bib that hangs over the bust hits in a really unflattering mid point that makes you look wide. nipple tass"/>
        <s v="I ordered the grey/yellow &quot;here comes the sun&quot; shirt. it's cute, but it runs quite large and isn't special enough for the price. meh."/>
        <s v="This dress has special written all over it. the poms at the hem and bodice, as well as the rows of black seed beads push are the kind of details that stand out. i like all the varying textures. it looks great with sandals or short boots. fits true to size"/>
        <s v="I ordered the light pink version in size xl. the details of the top and the shade of pink are pretty. but, the shirt fits me much shorter than on the model. i'm not quite 5 ft. 6 inches so it should have worked. the material is thin so i was able to stret"/>
        <s v="I found this dress at my local retailer must be a web order return i feel in love with it once i put it on its better in person that online but it does run a little tight in the chest area  it was fine for me as i'm not big busted"/>
        <s v="I wanted to love this dress as it would have been perfect for a wedding i have in october however, the fit was awful;. the dress was heavy with a funky liner. it also had these little black straps around the top of the arm/neck that looked out of place. i"/>
        <s v="I tried these on in-store not intending to buy them (was trying on shirts and needed to see how they would look with jeans!) and loved them! great &quot;medium blue&quot; color and they fit me so nicely (i am 5'2&quot; with actual hips and thighs :) ...the price is a bi"/>
        <s v="It is such a cute design and very soft and comfortable, but the picture for this product is very deceiving! it looks like the sweater is fairly long in the pictured product page, but it is considerably short. i am nearly six foot tall, but thought by this"/>
        <s v="I ordered this blouse online bc i couldn't find it in my local stores once it was on sale. the fabric is so delicate. the cutouts had already frayed and in some places torn. had to return it."/>
        <s v="I like this top. yes it is very cropped and fitted but that's the style as shown on the model in the picture. but its true this style may not fits everyone. it probably flatters those of athletic or petite figure more than a full figure. i am 5' 6&quot; 110#. "/>
        <s v="Very disappointed. the cutouts started to rip the first time i wore it. i've only worn it twice and i love it but the cut outs are embarrassing."/>
        <s v="Huge bummer. this top is definitely a crop/midi-top. plus, it's cream, not white like shown in the photos. i'm returning it today."/>
        <s v="Love this soft sweatshirt. the peplum makes it a little different and the quality is great. go to piece for spring. loose fitting but true to size in shoulders."/>
        <s v="I was so excited to get this dress. i need it for a wedding, and i thought i had hit the jackpot. the dress arrived with a small tear. the seams are puckered and badly seen.  for an almost $300.00 dress, the quality is terrible. i expect better from retai"/>
        <s v="This is a very pretty shirt which is too narrow across the back. i need to be able to move my arms freely at work, so this did not work for me. you may be able to size up for a better fit if moving your arms is important to you."/>
        <s v="Beautiful and very feminine look but run big. i m 5ft 105 lbs curvy , size 00 fit me well"/>
        <s v="I really like this jacket. very comfortable, nice material. i like the weight of this jacket, i wore it alone but it will be cute with a t-shirt under it too."/>
        <s v="Ordered this dress for a summer wedding. it is so cute! true to size, well made with a hint of tulle. super comfortable for moving and dancing. winner!"/>
        <s v="I purchased this shirt in grey. i loved the color and the details, especially the lace on the shoulders. i just found the fit to be off for me. the style certainly calls for a relaxed fit but the small was loose in an unflattering way. had the xs been ava"/>
        <s v="Very nice top, fits true to size, a little short buy looks nice with jeans or work pants"/>
        <s v="It's short and wide. not a good combo for anyone who isn't stick thin."/>
        <s v="I wish i had read all the reviews before purchasing. the sweater looked liked everything i would be interested in online. once i pulled it out of the bag, my first thought was how could retailer send me a used, washed and shrunken sweater. it is nothing l"/>
        <s v="I purchased this sweater in a small . nothing on the web site states it has dolman sleeves! it looked sloppy and made my bust disappear! it went back i hate dolman sleeves."/>
        <s v="Love this t-shirt. the weight is great for the impending heat and humidity of summer. it looks positively fabulous for casual occasions with pilcro chinos in moss and fuchsia suede pumps."/>
        <s v="Cute top but started disintegrating after two washes. the delicate cutouts in the top tore apart. i machine washed it in the gentle cycle and didn't use the dryer. disappointed to have to discard the top after just buying it."/>
        <s v="I purchased the yellow and i am quite happy. it matches a lot of things that i already own. nice summer tee."/>
        <s v="I bought the &quot;here comes the sun&quot; version of this shirt. i had to have it. i'm a cervical cancer survivor who is still dealing with some health issues. i recently attended a cancer survivor event where a women talked about her life with cancer. she said t"/>
        <s v="I received this as a gift. it is a very pretty top, but the material is sooo delicate that the cutout areas were torn in many spots and where it wasn't torn completely you could see it fraying. the sales associate said they get many returns on this item."/>
        <s v="Love this tee! lightweight, airy and comfy. i think it fits true to size. so soft and summery. can't wait to wear it this summer!"/>
        <s v="This is much more a blouse than a &quot;tee&quot;. the detailing is beautiful and the fabric on the back is a more stuff, starched cotton, not stretchy jersey. because of that i felt like this top ran small. i had to size up."/>
        <s v="I tried this on today and i wish i had taken it home. for me it was true to size, and the star print was perfect. flowy but not in maternity way at all. i'm gonna have to go back for this one!"/>
        <s v="This runs way big.  i would recommend sizing down at least one size.  possibly 2.&#10;&#10;i got the design with divers.  it's fun and light for summer.  soft material and very comfy."/>
        <s v="Although i love the soft feel of the sweater, the zig zag design was very unflattering. also, the length is much shorter than appears in the picture. i will be returning it."/>
        <s v="Wished this had worked for me! however, i prefer smaller armholes so my bra and skin (not so young anymore) don't show. the beige lining shows at the armholes as well. on the upside, it's very slimming even with the stiff petticoat. so cute! perfect lengt"/>
        <s v="The retailer store by me only carried these in the petites, but i've learned to always snag a petite just to see because sometimes the petites fit just as well, if not better, depending on the length of the outfit!&#10;______________&#10;pros:&#10;- looks exactly the"/>
        <s v="Love the diving beauty version, it is charming without being too &quot;cutsie&quot; which i stay away from. the epitome of summer and that grab and go easy little statement. i find it runs true to size...you could safely size down if need be. love it! thinking of g"/>
        <s v="This is great. on the model it looks largish, but on me it doesn't. if you're curvier like me (5'10&quot;, 155, 32e) it may be more fitted. long arms with great wrists. design is just as shown. not a sturdy piece. but not cheap looking in any way. i plan to ha"/>
        <s v="This is a really flattering tee for my curves. pretty lace details. i purchased the gray and ordered the wine. the pink looked more peach to me in the store. only reason for 4 stars is that the back material wrinkles easily. true to size (large) for me."/>
        <s v="Comfortable material, fits true to size, love the color and can wear all year round. selected this dress for a fall wedding and its a keeper!"/>
        <s v="I stumbled across this dress at the store and fell in love. it's so bright and cheery but still sophisticated enough for most events. i love that the tulle that gives the skirt a slight flare and body is completely concealed. the dress is well lined and d"/>
        <s v="I&quot;m not crazy about maxi dresses so when i found this fun print with fringe-it spoke my language. love this dress. feel this dress will work with many seasons. dress falls nicely and feels comfortable. i was worried it would be too long but with a 2 inch "/>
        <s v="For the price of this dress, i was expecting something decent. the style is cute, but nothing more. however, the type of the polyester that the dress is made of.... oh my. it is a thick unpleasant material, that will cling to a body when it is hot. i neve"/>
        <s v="I have been wanting this sweater and decided to order. when i received it, there was no tag on the product. it was not in a typical clear bag from retailer and it wasn't packaged nicely. it came from reno, nv. most products i order do not get shipped from"/>
        <s v="Fantastic signature retailer styling with this unique statement sweater. the pattern placement has a slimming look on the front and a rear enhancing look from behind. i've been using the super soft removable fur collar as a scarf and stole for my other ou"/>
        <s v="I purchased this dress for my bridal shower and it was perfect! the details on it are amazing-delicate and lovely! i am 5'11'' and it hit just above my ankles which i loved because i could show off my shoes!"/>
        <s v="I love the style of this dress and the color is beautiful and very much like the photo. like previous reviewers mentioned, the top is a little loose in comparison to the bottom. i originally bought a size 4 but then exchanged it for a 2. i tend to be betw"/>
        <s v="I bought the design which has now sold out, of the sailboats and waves along the top. the t-shirt is super soft and thin. but, it's not sheer or see-through. very light and cool for hot humid summer days. has some nice stretch as well. a really gentle cot"/>
        <s v="Overall i really like this dress. the color is vibrant &amp; unique. the top of the dress especially the shoulder straps seem loose so i'm getting it tailored."/>
        <s v="Bought this in green at my local store and fell in love with it! i also tried one in pink and it was a bit sheer which is why i opted for the green color instead. very nice and feminine."/>
        <s v="Very cute dress but the skirt flares out more than it looks in the picture. this made my midsection look unflattering from the side. also, for some who is on the flat chested side, you need a good bra or alteration (at least for me). despite what i listed"/>
        <s v="I just couldn't resist this dress! it's blue, it's fun, it's feminine. the color is so vivid and beautiful in person. i was worried that the length would be an issue (i bought a regular size instead of my normal petite), but i feel that it is perfect. it "/>
        <s v="Great fit, perfect length! so happy with these jeans. the fabric is pretty stretchy but definitely still has a denim feel. very soft - love these jeans!"/>
        <s v="I bought this top at my local retailer in a burgundy color. it is so beautiful and feminine. i want to get it in the other color they had in the store and also this black one available on-line. i bought it in a size 6 and i am 5' 2&quot; , 34d. i sometimes get"/>
        <s v="I purchased this item as a gift for my wife and she loves it. the quality for the price is great. soft and comfortable. needs to be washed with care but is worth it"/>
        <s v="Gorgeous fun dress, but the cut in the armholes (6 petite) is really low. so low even a strapless bra peeks above it. there are also lining issues (could have been with just my one choice) where the lining is not stitched well around the armholes so it sh"/>
        <s v="I kept the size 8 of the dress and had to return the 10 as it was too roomy at the arms and chest (which is great!!!). material is nice and not too much material, hangs nice (its a swing). another win!"/>
        <s v="Many compliments - great color and so comfy. most of my dresses from retailer are maeve brand, and i have never been disappointed."/>
        <s v="Tts and very very sleek and flattering. just love for summer. nice light weight. feel great on and not saggy. nice color addition since my other favorite are lighter shade of blue."/>
        <s v="I really love this this dress, but i agree with the previous reviewer about the belt around the waist-it is a draped piece of fabric that is very figure flattering where it wraps, but one side of the dress has no belt and it shows muffin tops/bulges.i wou"/>
        <s v="This is by far the most comfortable bra i've ever owned. i love the convertible strap feature. it's great for shirts with a back cutout."/>
        <s v="This top runs small across the top. i was amazed at the material--polyester, i am sure--because the price was so high. it has a sheer layer underneath, which i think would make it hot in the summer. i love this kind of tank but it just did not look as goo"/>
        <s v="Love this dress. the fabric is super soft and flowy. be aware that the model is a tall gal.... i'm usually a size 8/10 in dresses and purchased a large. returned it for a large petite as it went way past my knees. looks funny if it is below the knee. the "/>
        <s v="I bought this tank in the blue popsicle print, and i think it's cuter in person than it is online. the beautiful pastel colors on the popsicles really stand out and make it special. i am normally a size 4-6, and the small fits me perfectly. also, i apprec"/>
        <s v="Very pretty but also very roomy. i'm using it as a swimsuit cover up, so it's perfect!"/>
        <s v="I ordered these in my typical size, 26, and they fit everywhere perfectly except the butt. for me, i found them to be too tight in that area. i went to the store and tried on the 27 and they were too big in the waist. i do recommend them though. they are "/>
        <s v="I tried on the xs in the store (115 lbs, 30dd chest, short). fit: i think it is a little big, i would tend to go for a xxs petite in this for me, the length was ok, but would look more flattering in petite. also, the waist was on the looser side. the gree"/>
        <s v="This well made chemise is figure flattering and just the right length for me (5'2&quot;). i would wear it as a slip or a nightie. looking forward to wearing it!"/>
        <s v="This is just a fantastic dress! i bought it in my usual m in the blue and it fits like a glove. i love the varying lengths and the adorable sleeves and the substantial knit which feels amazing on the body without revealing any bumps and lumps :) i took th"/>
        <s v="This dress is perfection it is extremely comfortable and versatile. great for dressing up or down. i am large busted (36g) so was delighted that it stretches as this is a problem for me finding clothing to fit allover. i am petite 5&quot;1 with a curvy figure "/>
        <s v="I ordered this in the &quot;plum&quot; color, which in real life just looks like a very, very dark brown. that would probably be okay, but the dress is actually about 3 inches shorter than the listed measurements. i ordered the regular length, but the shortest part"/>
        <s v="The price is high and i have to dry clean this? no thanks."/>
        <s v="This is a great summer maxi dress. i am 5'4&quot; 120lbs, about a size 4 in dresses, 32dd. i got this in an extra small. i was really happy that on someone my height, it's just a few inches above my ankle, so did not shorten me at all. the straps were a good l"/>
        <s v="This dress had so much promise from the picture. i loved the midi length, color, and fascinating waist detail. i ordered online, so there was no way to try on before purchasing. the fit was disappointing. it fell in an unflattering manner at every point; "/>
        <s v="This dress is super comfortable and the material is so soft. the fit is very flattering and will cover any imperfections if you are heavier and want to hide anything. its more fitted in the top and drapes on the body very nicely. the hem is asymmetrical a"/>
        <s v="Dress is very pretty, but very short, almost tunic length."/>
        <s v="I love this dress!!! it's comfortable, flattering and stylish. looks great with flats or boots - awesome with a chunky scarf and tights."/>
        <s v="I loved this dress on way more than i expected to - the pictures don't do it justice. the fabric is soft and is a really nice weight - heavier than i expected, which makes the dress hang in a really flattering way. the belt doesn't go all the way around, "/>
        <s v="I like the style, but i ordered an extra small (i am5'4' 120#) and it was still too loose fitting on me, had to return, hopefully exchange for xxs"/>
        <s v="I ordered a regular size xs and the length is still fine for me at 5'2&quot;. i love the color and the fabric is super soft and comfortable. i'll get a lot of use out of it this summer and the sale price is a great bargain!"/>
        <s v="I'm a big fan of paige jeans. these are perfect for my petite frame. at 5&quot;3' they were ankle length. i tried my normal paige size and ultimately sized up for a better fit at the waist."/>
        <s v="This top is oversized. i normally wear large but thought an xl would be best for sleeping. it's huge. so stick with your normal size or a size down. pretty print. fabric is a bit coarse. undecided about trying a size down because i'm particular and they d"/>
        <s v="This is, like many reviewers stated, a very flattering and nice dress. the sleeves were particularly great, because they are slightly longer than most of this type and went past the meaty (for lack of a better word!) part of my arm, only exposing the slim"/>
        <s v="I am so glad i tried this dress on. it is so chic and beautiful! perfect for an evening out or during the day. i can't believe the price!"/>
        <s v="I'm a big retailer buyer- and usually love the dresses, especially the petite xs maxis. this was the worst retailer purchase i have ever made. &#10;&#10;it was humongous and gave me no shape. even if i purchased an xxsp it probably would be the same. i'm small bu"/>
        <s v="The dress is just ok. i cannot imagine having paid full price for this. i got it for florida vacation. i put it on to wear to church first and spilled a drop of lavender oil on it and it stained!!!! cant get it out. thats punk for a dress that even on sal"/>
        <s v="I tried this on in store and was very close to purchasing, but ultimately decided against it because it was too in between causal and dressy to me. i couldn't imagine where i would wear the dress. it was great quality and the green color was very pretty o"/>
        <s v="I love this! i will sport it in the spring with white capris/ leggings and awesome for a beach cover-up! the fit is comfy the embroidery gives it a feminine touch. i purchased the large but could've gotten away with a slender fit in medium. i am 5'4 170 l"/>
        <s v="I loved this dress and purchased it in my usual m. however, i agree with another reviewer that it is too long for me at least, so i returned this and will buy it in petite instead. if you are shorter (i'm 5'2), the regular length doesn't fall right, the s"/>
        <s v="Love! highly recommend...usually i wait for sale price but this was worth the extra splurge. so flattering!"/>
        <s v="This is a great dress for all body types. the fabric is substantial and soft.  i sized down for a closer fit, but i could have also bought my usual medium and had the extra space to belt it and wear a looser fit. i busted out the boots, a little early, an"/>
        <s v="Looks fitted on, but this just turned out to be an oversized muumuu on. the fabric also felt cheap."/>
        <s v="This is a solid well made transistional dress going from late summer to fall. i'm 5'7&quot; and got the medium and it falls a little above my knee. i could see it being very flattering on many body types. i do think you need to accessorize the dress as it is o"/>
        <s v="Perfection! i am 5'3&quot;/108 and the size 25 fit me like a glove. beautiful color too!! highly recommend!!"/>
        <s v="Thrilled that this not only fits great on me but i got it at a deep sale price!  all the problems that the negative reviewers had did not apply to me at all.  i'm so glad i gave this a try.  my body is large on top with a square waist, a bit of a tummy, n"/>
        <s v="Love the style of this dress (length, hem, waist details, material)! i think it looks best on curvy women due to the waist detail only going part way around. it doesn't give the entire waist definition, which is why it would look best on someone who has a"/>
        <s v="So i got this on sale and the only size they had was a xs petite. i didn't have my hopes very high but i thought i would give it a shot. the dress came today and it fit great. i am 5&quot;6&quot; so the petite came just above my knees but the dress is still adorabl"/>
        <s v="This dress is beautiful. it is longer than it looks on the model (i'm 5/5) but drapes beautifully. it is perfect for a wedding or a special event. i love it!"/>
        <s v="I have mixed feelings about this dress. the color is fantastic. not too bright, not too dark. the material is super soft and comfortable and the length was perfect. i did end up returning this item though as no matter which bra i chose, the straps showed."/>
        <s v="This dress is super soft and really flattering. i'm 5'2&quot; and i tried a regular size m in the store and hated it on me, but decided to order a petite m and give it a try and i love it. it's one i've been wearing a lot with ankle boots and all sorts of jack"/>
        <s v="This cover up has great potential. i love the embroidery. the colors and design are great. however, it has a number of loose strings. it makes me wonder what might happen when i wash it. the fabric is on the thinner side, but it is not see through. the fa"/>
        <s v="The design of this dress is darling and so unique, and it's very well made. but i agree it's very boxy and overwhelming for a petite frame. i'm 5'3&quot; and ordered the 2, and it was like wearing a hospital gown. if a petite were available i'd have tried that"/>
        <s v="I love the cut and aesthetic of this shirt, but the fabric unfortunately shows even the slightest hint of sweat, which makes it difficult to wear without being self conscious"/>
        <s v="Despite other reviewers comments on size - i really wanted this one to work so i ordered it. i'm typically a size xs and d chest and instead i ordered a small. the body of the sit for well but the cups of the suit i'd said for more for a b. (if i lifted m"/>
        <s v="Love the sweater. the knit has a rich look and the fit is perfect. i paired it with a printed pencil skirt for an eclectic look. strongly recommend to your wardrobe."/>
        <s v="This is a nice shirt, but i can't keep it. i ordered a 0 and i do have an athletic build with somewhat wider shoulders given how petite i am (usually wear 00 petite in all pants) and i think this size was perfect (fit across the back perfectly) when you l"/>
        <s v="I'm a 32-a, and i bought a small. i found that the tube portion is pretty tight, but probably needed to keep things up. because there is not a clasp in the front or back, it is really hard to get in and out of. i'd probably be ok with it, but the cups wer"/>
        <s v="Hi ladies,&#10;does this bra take a contortionist to put it on the first time? yes. did my boyfriend laugh at me hysterically while i tried to get it over the girls? yes. however, i am a large chested girl 34d, i bought the large and this is honestly the abso"/>
        <s v="I just got this in the mail &amp; had to immediately write a review. i love it!. i took a risk &amp; ordered the xxs, which i assume is a 00. it fits me perfectly so i would say it runs large. i'm a true dress size 2 but usually wear a 0 or xs in us sizing. the s"/>
        <s v="This shirt feels so nice, it's heavier weight and so soft.. i think it's lyocel... such a great drape to the shirt that is so flattering. i am 5'8'' 128lbs and 34c/d and purchased a size 4. found this item to be true to size, if not slightly loose, but i "/>
        <s v="Love it! the light blue is a gorgeous color. i thought this might be more chambray, but i'm happy it's not. it's also stitched at the top so no awkward accidental peep show or need for annoying tape."/>
        <s v="Love this top! i bought it last month in the olive green color and love it. great quality fabric, comfortable and can be dressed up or down."/>
        <s v="This bra runs very small, and is hard to get on and off. i think if i went a size up i would be happier."/>
        <s v="I was so excited to receive this top but was immediately disappointed! it is much thinner than it seems &amp; it almost feels like a cheap top. it's also see-through but i'm not bothered by that. it has a very boxy cut which i like with slimmer bottoms. but o"/>
        <s v="You have to be a contortionist to get this bra on. it slips over your head and i needed my 8yo daughter to help me pull it down past my elbows. ridiculously impractical. why oh why didn't heather give it a hook and loop closure instead?"/>
        <s v="I love this top, i dress it up when i need to be more professional and i dress it down with a pair of cutoffs when it's warm. it is delicate, however, so i try not to wash it too frequently. the front is a bit boxy, which the model demonstrates. the model"/>
        <s v="Great fit and design but the wool is too itchy and rough. will need a layer underneath"/>
        <s v="This was going to be my go to top. i loved the look of the billowy shirt, especially in light blue. when it arrived, i knew it wouldn't work for my body. i'm athletic build with muscular upper arms and a d cup. i tried it on anyway. i really wish it fit. "/>
        <s v="While there us no clasp and this bra does require you to pull it over your head, i did not find it to be too difficult. i love that the bra stays in place and that i do not have to constantly pull it up throughout the day! it's quite comfortable too. i wi"/>
        <s v="Slighty fitted, flattering, very soft and not itchy. the orange is a very nice color."/>
        <s v="I was looking for an oversized silhouette but this is more like a beach cover-up. the waist does not have elastic or any structure. the top fabric is crossed over but not sewn closed, and because the fit is so loose it just gaps open. the fabric is nice q"/>
        <s v="I got tons of compliments when i wore this top out a couple weeks ago. it is a little bit shorter than i thought, and a little bit loose (not &quot;baggy&quot; but just kind of hangs). if you have a larger chest, this may not be super-flattering. the color is reall"/>
        <s v="I loved the color and the style of the sleeves.  it was a bit too short on me and i thought it made me look boxy so i didn't end up keeping it"/>
        <s v="Saw this on the sale rack and decided to try on. i looked like the dancing hypos in the movie fantasia. i am petite and not heavy but this is for very slim and tall people. too much fabric in the peplum part."/>
        <s v="This product is comfortable and stylish. i love the design and the color print. i can dresss it up and dress it down. it goes with everything and also fits great."/>
        <s v="I got these on sale a few months ago. they are the most comfortable jeans i've ever owned. i'm 5'4 and they are the perfect length for me but i like my jeans a little long."/>
        <s v="I had this dress in my basket for a long tiem waiting for free shipping. i liekd how it looked on the model. read the reviews, and wasn't sure, so waited... then my usual size sold out, so i decided ot try the smaller size (in petites, otherwsie i would h"/>
        <s v="Love this top for the fall. looks great with dark skinny jean and booties."/>
        <s v="Love this design it puts a twist on a turtle neck sweater. the only problem i had is that the tie kept coming undone but if you do a double knot the problem is solved! wish i would have bought all the other colors."/>
        <s v="I tried these in store, didn't have much hope as flare usually looks terrible on me (small waist and athletic, fuller legs). but surprisingly these work great. they seem to very good quality and the flare is super cute and on trend. i do think they run a "/>
        <s v="Runs a size big unless you want it really boxy. felt the matl was flimsy and would prob pill soon. turquoise was a pretty color but returning this one."/>
        <s v="I ordered these because i loved the wide cut and overall look. but returned them because they fit weird. too tight around the too high waistline (and normally, i like a high waistline). fit ran small. and the overall quality of the fabric wasn't as nice a"/>
        <s v="I wanted this tank to work so badly! it was a great deal and so beautiful. unfortunately the top fitted portion ends right below my chest then the shirt flares out so i looked like a cupcake. my belly also showed slightly because the shirt is short. if yo"/>
        <s v="I am 5'8 with curvy, muscular body and 36ddd boobs. the ruffle ends up hitting me right below my breasts and creates the look of being about 6 months pregnant. the beading is beautiful and i wish that it fit."/>
        <s v="The sweater coat would be wonderful for cooler weather this fall. i ordered it in medium because the small sizes were sold out. sometimes a medium is the right size depending on the brand. i was disappointed that the coat was so large; i don't think it wi"/>
        <s v="Love these pants!!! retailer - please sell more colors and patterns of these! i have a hard time finding work pants that fit right, don't have to be hemmed (i'm 5'3&quot;) and aren't boring. this is just enough pattern to be interesting, but still neutral enou"/>
        <s v="I agree with the other reviews that these jeans run big. for my body, straight up and down, i ordered 2 sizes down, but would have ordered one size down had i been able to try them on in the store. the jeans i received were lighter, not blue, and more gre"/>
        <s v="This is a very well made top. i love everything about this top! bought it in both colors. i think it's fancy enough to wear out at night or in the daytime with shorts and flip flops. i got it on sale but would have totally paid regular price for it!"/>
        <s v="I wish i hadn't waited so long to buy this! the smalls were sold out in grey by the time i finially did, but the medium ended up being totally fine. perfect for a warmer winter, it is pretty thin so i wouldn't trust it on it's own to keep you warm in cold"/>
        <s v="Love this sweater. i have it in cream and ordering navy. it is comfortable and looks great with pants or a skirt. i do not like my sweaters tight so i have a large and love the fit. i am 5' 4'' and weigh 135 and usually buy medium to large."/>
        <s v="I love this! seriously would buy again. i wish it was warmer out so i could wear it"/>
        <s v="I love this top. it is very short and hits at a potentially unflattering area if one has wider hips. the fabric and swing to the &quot;skirt&quot; is adorable."/>
        <s v="I have a small collection of retailer pants for work, and this pair fit neatly into a hole-- i don't have a fun, patterned pair. i am short (5'2&quot;) and definitely needed a petite to get the crop to land in the right spot. my usual 0p fit perfectly up above"/>
        <s v="This jacket runs very large. i usually wear an xl but probably could fit into a medium. i have long arms, and the sleeves were way past my hands. i love the jacket, but it's just too sloppy."/>
        <s v="I wanted to like this top so so so so badly. so badly in fact, that after the first size didn't fit, i ordered two other sizes to make sure: xl, l, m. none of them worked i really wanted to like this top. the online photo makes the clothing look so flatte"/>
        <s v="I love these pants so much i even paid full price for them.  i'm going to order them in navy too.  super cute fit.  cute with flats or heels."/>
        <s v="I followed the advice of other reviewers and sized down. however, the jacket was still too large. it fit fine in the arms but the body/width of the jacket was huge. also i found the wool material to be extremely itchy. it might work if you are layering it"/>
        <s v="I stumbled upon this by accident and i thought the turquoise color looks unique so i tried it on, and it was a great fit first time around. i dislike open shoulder blouses because most of them are too open but this one is very sutble which gives it a girl"/>
        <s v="Gorgeous colors on lovely silk skirt. longer on me than in photo, but i'm only 5'4&quot;. i usually wear a size 12 or 32&quot; waist jeans, but i could not zip up the large. by several inches. i'm not sure if i can possibly cover the waist and still wear it that wa"/>
        <s v="Absolutely beautiful - &#10;usually don't leave reviews here, but this top (material, beading, style) is so gorgeous i would be remiss if i didn't. i have a short torso, so the peplum hit me above the belly-button. it's very voluminous, but with the right pan"/>
        <s v="Very cute! waist is a little big for me but overall a pretty good fit."/>
        <s v="Beautiful dress with the colors and pleats. i did not have the same problems with the bust area that others did. my biggest complaint is the exposed zipper doesn&amp;#39;t lay flat, even when just hanging on the hanger. when actually on a person the zipper ju"/>
        <s v="Tried this on and loved it! chic, lightweight, warm, cute left as is and cuter belted. ended up letting a friend buy it since it was the last one but will be adding to my iso list for sure!"/>
        <s v="I have to confess i had very high hopes for this dress. i was buying it as a stylish, modern alternative to a business suit. i wanted this dress to work as a piece to deliver presentations in or attend faculty functions. tailored, conservative, and edgy a"/>
        <s v="I love this shirt! i was surprised by the other reviews. it's boxy, but not unflattering. i get so many compliments on this. a steal for the price."/>
        <s v="It's rare to find such a great skirt -- flattering, unique design, substantial (denim-like) fabric, something with pockets! this skirt has everything, including an adjustable buckled waist. i love the slight a-line shape, too. for me it fits true to size "/>
        <s v="I really liked this top when i tried it on but as i wore it the bottom of the sleeves stretched out terrible where they looked worn out from wearing over and over, and since this happened with the first wearing and i paid $88.00 i sent it back. if it hadn"/>
        <s v="This skirt fits my curves so well. the adjustable waist is so helpful for getting the perfect fit. it sits high on me, but i have a very long torso so that didn't bother me and actually made the length more flattering for my shorter legs. the colors are v"/>
        <s v="I know this product description says oversized but that's an understatement. i ordered a small and tried it on and i looked like a little kid in their father's jacket. i don't even think an xs would have worked. i'm 5'6&quot; and about 135 pounds for reference"/>
        <s v="Agreed with the previous reviewer, this is the same dress as the evanthe dress that came out this summer, but in a rich beautiful red/wine color. the color differences in the pattern are , however, more subtle than the summer version, remaining in one pal"/>
        <s v="I bought three of these this summer--a mint, ivory, and yellow. when i received them, they looked nice enough in person. i liked the heart motif and the peplum. the problem is the knit was on the cheap side and stretched out. the arms were tighter than i "/>
        <s v="Ordered this top online, color is a little more gray than green but it is gorgeous, comfortable and flattering, so much so, i am ordering the navy too. great quality , fabulous with jeans ."/>
        <s v="I love this blouse! the colors of the little sunglasses are vibrant against the black background, the buttons on the front are also a coral/peach color and beautifully made. its thin enough to be worn in the summer or fall without making you sweat or free"/>
        <s v="This is such a beautiful dress.  but have to return for the reasons others have noted.  the chest does not fit well."/>
        <s v="Girls, this dress is gorgeous.  but if you are an a/b cup, there is just too much fabric in the bust.  the entire dress is pleated from the shoulders down, so a curvier figure would be shown to great advantage in this beautiful number.  alas, i had to sen"/>
        <s v="Really wanted this to worked for me. ordered the s in ivory (the color i really wanted but xs was sold out) and the xs in cedar.  loved the knit and look and quality but the sweater was boxy and huge even in xs.  not flattering on my petite frame (5'2&quot;, 1"/>
        <s v="This skirt is pleasantly more dynamic in person. the print and colors are really nice and more vibrant than the photos. the cut was spot on and the fabric seems heavy enough to hide imperfections (but not too heavy...) length as shown on model."/>
        <s v="This top can be dressed up or down, very good quality fabric and colors shown as the photo (blue). i usually wear petite sizes but chose the regular version because i wanted to be able to tuck it in. i think it might be too short otherwise."/>
        <s v="Love the color (cedar). love the style. sleeves are long and wide but that is the style. biggest surprise is that this sweater is not cropped. the length given in the product info is very short. but when i received my normal size (l) the sweater comes to "/>
        <s v="Love everything about it!! chunky, comfortable, lazy day or dress up with a cool necklace!"/>
        <s v="I saw this online and loved it. plus after reading the reviews i thought why not. but if you have a big chest beware. i am a 34ddd and a pretty solid medium. the volumous front of the vest added way to much to me and i sized down to a small. had to return"/>
        <s v="Love, love this clever eyeglass print. i bought the black background with bright sunglass print - perfect for pairing with jeans, shorts or a slender skirt."/>
        <s v="Exactly as pictured. great fit. love it."/>
        <s v="Absolutely love everything about this sweater. i was hesitant to buy because it's so oversized and i was worried it would overwhelm my small frame. but the xs fits great, i love the large knit look and the bell sleeves. pairing with dark denim skinny jean"/>
        <s v="I wear this vest two ways - over a long sleeve shirt when it's warmer and layered over a shirt and cardigan when it's cooler. it's the perfect amount of warmth when i'm running errands and don't want to wear a heavy coat. love it and plan to wear it a lot"/>
        <s v="The quality of this vest is outstanding, and the warmth is exceptional. i have worn it as a jacket on milder days, in work as a warmth layer and brought on vacation to act as both plus a bathrobe. it is a very stylist piece that can be worn open or belted"/>
        <s v="This vest was of excellent weight but it had very little style. it was like a giant piece of felt was cut out with little thought to design or nuance. not for me."/>
        <s v="I love this skirt! it's a denim material, so it's structured, but not too heavy for warm weather. the colors are bright. it may run a bit big, but i didn't have trouble with my usual size. the pockets are actually usable. great for casual and easy to dres"/>
        <s v="Love the print of this fabric &amp; the length. the buckles at the waist add a unique look so no belt necessary."/>
        <s v="I fell for the charcoal one and bought standard size m/l. on first wearing with slim jeans, booties and a long sleeved t, the body of the vest was fine. but with wavy shoulder-length hair, i found the large, wide collar overwhelming at the top. i tried fo"/>
        <s v="This jacket is my favorite purchase in a while! i used my last month 50th birthday discount on it!&#10;it is of exceptional materials and quality construction. the juxtaposition of the stripes against the beautifully vibrant embroidery on back is stunning! it"/>
        <s v="I loved the colors and the feel of the fabric. it was a lovely dress but it fit weird on my 34 dd chest so back it goes. the zipper had one spot where it was tight, right at the widest part of my rib cage. it was fine every where else. too bad."/>
        <s v="I bought this blouse on sale in a medium because it was the last one left in the store. i usually wear a large, but surprisingly it fit. i'm a woman of color, and the off white and lace looks great with my complexion. i got many compliments on the blouse "/>
        <s v="These shorts are just beautiful. with that said, they were expensive, but made reasonable when i snagged them in the online sale! they do also run large, and they seem to be made for short-waisted bodies. i will be bringing them back to my local store to "/>
        <s v="I strongly disagree with the previous reviewer. the shirt in our store was featured in all colors.  i chose the burnt orange color to try on and it is was incredibly soft!  i felt like i was wearing a t-shirt with an easy on and easy off feel. the flow of"/>
        <s v="Love this sweater. fun for fall. soft fabric and runs true to size. will look great with jeans or dress pants."/>
        <s v="The weave is very loose and chunky which i like but isn't so apparent in the picture. also the sleeves bell more than it looks like on the model. the color is a great caramel and it fit tts. i think it will be great on cooler days."/>
        <s v="Love this sweater, do wish i sized up for a little longer length, but works great with high rise pants.  comfy and great color"/>
        <s v="I felt inspired to write a review as soon as i put this on. the vest fits so well, and the thick fabric feels amazing. love the pockets! like the previous reviewer, i feel like i'll be able to wear this with workout clothes or with a dressier outfit. it h"/>
        <s v="With my 5'9', hourglass frame, wider hips and having a baby, i wear normally sizes 10/12 (m/l) in most retailer skirts and dresses. however, with this, i was able to fit into an 8; it just sat higher up and was too form fitting for my liking. here are my "/>
        <s v="This is a favulous cape...in fact i would buy another if there were other colors! it is oversized, playful, chic, dramatic and simply put a true statement piece. it will not be flattering to your figure...it is not suppose to...but it will show your true "/>
        <s v="I saw this sweater online and had to try it. i went to my local retailer to try it on and i'm glad i did. i am usually a xs - s in tops and i thought this fit best in a medium. it's very chunky which is what i was looking for and so soft - not scratchy at"/>
        <s v="I ordered a small and it is enormous; i usually wear a size 10. it is short but the fullness in the body and the sleeves made me look like a sumo wrestler. also, it is a very heavy knit which would be great for up north but too bulky for atlanta unless th"/>
        <s v="These two blouses are probably my best purchases anywhere in some time. fit is perfect, quality is great and both will be worn many times this summer and into the fall. unique from the all other tops i have seen lately."/>
        <s v="This skirt is really cute and versatile, it can be dressed up or down. i paired it with a black chiffon top for a dressed up look and a denim button down for a casual look. the length is good, and the buckles allow it to be tightened, which is a plus if y"/>
        <s v="I adore this sweater. it is so soft and cozy. i ordered two because i really need some good winter sweaters that are forgiving on the pooch but not wool (darn allergies). so i ordered this in the white and black (camel is a bad color for me).&#10;&#10;tried on th"/>
        <s v="I saw the skirt on a display today at my local store. i was attracted by the colors and the display itself. my thoughts, &quot; give it a chance&quot;. i bought the size 10 without even trying it on, with the idea that the colors and style had so much potential, i "/>
        <s v="This shirt is exactly what i expected! it is just as cute as on the website and the fit was great! it's the perfect shirt for summer, loose fitting but in a flattering way. the design makes it very versatile since it can be matched with so many colors!&#10;&#10;i"/>
        <s v="The colors of this dress are beautiful and i really wanted to love it but it wasn't cut for my body shape. i think you either need to be curvy to fill out the chest or straight up&amp;down to have it lay flat (as in the model). ordered size 6: 34b, 150 5' 9&quot;,"/>
        <s v="This is really cute - it has a boxy look and bell-like sleeves. the knit is chunky and so very soft. i didn't want to take it off. i purchased an xs in black. it's gorgeous. my beige bra shows through so i will need to wear black or a camp underneath. it "/>
        <s v="Lovely knit and so soft, but the bottom curls up underneath, similar to the bell sleeves. runs oversize too, got xs and it's too bulky and unflattering since the bottom doesn't lay flat. returned!"/>
        <s v="I saw the black in store and had to try on. it is very, very cute. i would say it fits a bit small. i tried my usual medium and while it fit, it was a little short. id take you could take your regular size or size up. i would not size down in this one. ad"/>
        <s v="Let it be known that i hate shopping for jeans. i recently had my go-to skinny jeans rip by my back pocket and new i needed to get something new &amp; better stat. i have a pair of black ag sateens that i got a few years ago, and i decided to try out this pai"/>
        <s v="Was scared at first to order this product, when i tried it on i was amazed on how good it looks. fits just like the model picture, and the material is awesome."/>
        <s v="Great dress! wish it came it more colors, would like to buy another one. i am 5'5&quot;,125, size small is perfect. unlike one of the previous reviewers, i do not think it is too clingy. maybe she needed to size up.very versital, cute with a jean jacket, or lo"/>
        <s v="This dress is perfect for spring and early summer. it has some weight to it and so it drapes beautifully. it is very well made and the fabric is good quality. the color is a medium color gray; much prettier than in the picture. i wear a small in most reta"/>
        <s v="This is such a unique and fun dress. i'm so glad i found it and it fits perfectly!"/>
        <s v="I've passed this dress by a number of times online, but ordered it on a whim on the mothers day promo. based on the reviews, i ordered my regular size, medium. it fit perfectly. i do think the cut is on the trim side, but it isn't tight or fitted. i proba"/>
        <s v="What a unique twist on the traditional cargo jacket! the swing styling on this jacket is so cute---not too full-, you still get a nice silhouette from the front, with the swing in the back this is a fresh take on this staple. it will be a &quot;go-to&quot; piece in"/>
        <s v="You make classy stuff. this skirt is a nice take on a tweed skirt.&#10;colors: can't tell from the picture, but there is red and pink thread as part of the tweed, very fun and happy, yet appropriate colors for fall and winter. the cut is very flattering, the "/>
        <s v="This would be great on someone with a slim build. it's very true to size, it hits above the hips and runs pretty straight through the body for a boxy look. i loved the color and pointelle detail but on my thicker build it just sort of hung in a too-casual"/>
        <s v="This is a steal at the sale price. medium is large on me and i'm generally a large at retailer. so soft."/>
        <s v="I tried these on at the store and thought the color, texture and style was very nice, but i needed the petite length. so i came online but was disappointed to see that the style is sold out in petite! darn. the regular length hits me just above the ankle,"/>
        <s v="Love the blue color. is a bit short, but fine with a tank underneath. i purchased the small, that's what i usually wear."/>
        <s v="This jacket is perfect! the crop length is just right! not to short and the way it is cut longer in the back it really paints a beautiful silhouette on my larger frame. i'm a a 12 typically but broad in the shoulders and larger in the bust 36dd. this jack"/>
        <s v="Tried on this maxi dress recently, hoping i would have a new dress to enjoy but the frabic is just too thin. so sad :(. unfortunately it shows every lump and bump and even wearing spanx while trying on it still showed too much. a full length slip would he"/>
        <s v="I love this top. i got a medium in black on sale. i am 5'8'' and 135lbs. the medium fits great. the medium is slightly loose on me through the tummy, which is nice - in my experience, it is not too constraining, contrary to other reviews. however, i think"/>
        <s v="These are some of my favorite new pants. i am never disappointed by the quality from this brand and they are super comfortable and adorable. a definite must have!"/>
        <s v="Gorgeous color and great price, but too low cut and because of the design, a cami's wouldn't work. disappointed"/>
        <s v="I'm surprised by the negative reviews and i'm here to come to its defense! i love this dress! i'm solidly a 0 petite in tracy reese and this fit perfectly. the top isn't snug but it's not roomy enough to say it runs large. just perfectly comfortable. the "/>
        <s v="I have been on the hunt for a replacement cargo jacket for about a year now. i thought this one was going to be it!! ordered it right away. i got it in an xl as retailer coats always seem to run small on me (i am very busty so sometimes the more fitted st"/>
        <s v="I bought this online. this looked like a sweater that was accidentally shrunk in the dryer, when i received it.&#10;&#10;i will be returning this."/>
        <s v="Received december 23 and 83 degrees in louisiana but weather can change from hot to cold in an hour. this sweater is so soft, so cozy, i'm ready to run the air conditioning! beautiful styling, well-made, and has a generous fit that you may or may not pref"/>
        <s v="Absolutely love, love this dress. it is so comfortable and falls perfectly. the material is great and you can dress it up or wear it casually. if it had more colors, i would get it it in any color it came in!!"/>
        <s v="This dress is very small in the bust and maxi length on short people (5'3&quot; 36dd). i can't wear a normal bra, i have to use adhesive pasties. the fabric is very smooth, thick and satin like, but fuzzes easily. mine came with minor thread pulls and one stra"/>
        <s v="I bought this dress with my birthday gift and i do not regret it! it's so soft and feels like pure comfort but the details, little metal buttons down the front, the vent pleats on the side; make it feel special. i received many compliments and i would urg"/>
        <s v="After reading the reviews about this top being really clingy, i decided to order up a size and purchased a medium. when i took it out of the box today and held it up it looked huge and i thought i had made a mistake. however when i tried it on it actually"/>
        <s v="I'm 5'8, 130 and the small fit very nice. i ordered on line and on one of the legs the elastic closure at the bottom snapped. got a new pair at the store. you can dress these up or down. they are fun."/>
        <s v="Ive been on the hunt for big bulky sweaters because winter is coming and i live in the north, i saw this sweater and needed to give it a try. i got it i the mail and its truly gorgeous and extremely well made. this is the type of sweater to wear on a cold"/>
        <s v="Great pair of pants to wear to work, and interview or out to lunch. i got so many compliments the first time i wore these. i'm 5'2&quot; i ordered the burgundy color in a size 0, regular which is what i normally wear and they fit fine. however they were just a"/>
        <s v="I ordered these pants in black and brick. the pattern is great, but the sizing and fit are way off. i usually wear an 8 or a medium in retailer. i ordered these pants in a 10, 12, and 12 petite. the 10 actually fit, but there is no stretch in these fitted"/>
        <s v="This dress did not impress me when i was browsing the website online. when i went to a store, though, the colors struck me as really vibrant and earthy, and i wanted to give it a chance. i tried it on and it fit like a glow! i am a 5'1'', 100 pounds, and "/>
        <s v="Love this top. very easy to wear to lunch or site seeing. the fabric is soft and drapes nicely."/>
        <s v="I just received this in the mail and really enjoy it! it's a nice color and very gauzy/ airy. the only think i didn't love is that it's a little bit in the chest area, which is rare considering i'm usually a m in that area."/>
        <s v="I wanted this top ever since i saw it online, it is so me. it's a nice mix of feminine and masculine, you can pair it with a nice pair of jeans or even business pants to dress it up. this will make the perfect summer shirt and it hangs so nicely! i highly"/>
        <s v="The fabric is very soft and the fit is formed to the body. low cut, so may want to pair with a cami. great basic for work!"/>
        <s v="I love sundry clothing. this lightweight fleece is the perfect weight. it keeps you warm enough when it's cold, but not hot when it is milder. it's super soft with nice embroidery. size 1 is a great fit for my 5'1&quot; frame. wear it to hang at home or to go "/>
        <s v="This is a beautiful dress, considering it is made from polyester. that being said, the material has a nice finish and looks like it could be silk. it's a flattering cut (other than being a tad short-waisted) and hangs well. it was also a bit tight through"/>
        <s v="This sweater is great for cold weather. it is very comfortable and soft. only down side is it is a little boxy."/>
        <s v="I *loved* the brown color on the model, and i love the wrap style in general. however, i'm not sure if the color looks as goon on me. i first ordered my standard size small (5'7&quot;, 137 lbs 32 b), which fit, but exchanged it for the looser fit (medium) show"/>
        <s v="Love these pants. the design is totally different and that is what i love! i paired these with the velvet red shoes from this site - also on sale. for me these ran true to size."/>
        <s v="Someone returned my size so i got to try it on in store. the cut is very flattering, the material is stretchy. the lace part is nicely made too. overall great piece. the petite waist did hit me a little higher than on model, i have a regular torso and sho"/>
        <s v="If you care that it's sheer- be forewarned. i probably won't wear a cami under it, as it's not terrible, but worth noting. that said, its lightweight fabric will be perfect for summer and its design is gorgeous boho at its best. it's cut quite generously "/>
        <s v="I really love the look of this jumpsuit, casual but classy. shapely but comfortable. i'm 5'4 and, similar to another reviewer, proportional torso to leg ratio. the legs were longer on me than the model in the picture, but no problem there because they're "/>
        <s v="I sized up based on other reviews which was good advice. i am typically a size 6 but sized up to a 10. the pants are very unique and i think on the right body type would look amazing. it seems like someone with curves and a small waist might fit these spl"/>
        <s v="I'm so glad the other reviewer also found these small. literally, the largest size i have ever bought. but the style is really cute, sort of dapper british boy..."/>
        <s v="Got these in the red brick color, and unfortunately had to send them back. these are really cute and i loved the color and pattern, but they ran very small, and the cut between the legs and hips was odd. this may not have been a problem had i gone up at l"/>
        <s v="So comfortable, great fit, dress it up with wedges, down with flats,&#10;extremely soft and flattering. i normally wear a xs/s and the small fit perfectly. i'm 5'6&quot; and the length is just slightly cropped."/>
        <s v="I just purchased these pants in red on sale. i am 5/5&quot;, 143 pounds, and the 10 fit perfectly (i am either an 8 or a 10 in pants, depending upon brand). it is really hard for me to find pants that are cute, unique, work-appropriate, and flattering. these p"/>
        <s v="Great dress, fit perfectly warm for the winter, i live in florida it will be great if we get a winter next year. very comfortable and easy to wear."/>
        <s v="Tried this romper on in store and wanted to love it but it just didn't fit me right. it'a great romper, cute design, super soft-light fabric and overall a great feel but it doesn't work to well for short girls with any types of hips. i have a very small w"/>
        <s v="Being somewhat on the 'fluffy' side, the style is very flattering and forgiving and will be ideal for summer. i am between a size 14 and a 16 and the 14 fits perfectly. light and airy a very nice, simple embroidery in contrasting color. very chic in an ef"/>
        <s v="I loved the jumpsuit but unfortunately had to return it due to running a little on the small size."/>
        <s v="I love these pants! beautiful quality material, soft on the skin. fits well. definitely a tailored fit. true to size. unique design, and really fun!&#10;i am 5 foot 5, and weigh 132 lbs. i am apple shaped, so i was worried these would be too tight around the "/>
        <s v="I really liked this jumpsuit but it just wasn't perfect. the design at the top is a bit stiff compared to the rest of the jumpsuit. i felt the whole thing ran just slightly too large. it was nice - but not amazing."/>
        <s v="I love this romper!  i am 5'2 and the medium fit great and wasn't long.  i'm short so i thought i would have to hem this!  it's comfortable and, although, i'm not a huge fan of gauze, the fit was perfect.  i had to&#10;snatch it!"/>
        <s v="I&amp;#39;ve been looking for comfortable pants that i could wear to work and at home.  these fit the bill.  i bought these in the holly color for the fall and winter.  they are super soft and very comfortable.  i was worried that they would like dumpy, espec"/>
        <s v="However, i unfortunately followed others advice saying these run small. i had to return/ exchange to a 00p. in turn had to give up the sassy red and settle for black. although they are beautiful trousers in black as well..."/>
        <s v="Received this shirt yesterday and loved it. doesn't look that great online in pics, but it is a unique and beautiful top. the material is a substantial woven cotton so it lays nicely and keeps its shape . i am 5'5 and 128lbs and a small bust size 34a , i "/>
        <s v="Unique print but not great execution. the pant legs are very tight, i have average sized calves and i sized up one size. the hook closure was oddly tight and difficult to clasp. when i first saw the color it looked like burnt sienna or a dried blood color"/>
        <s v="This dress is absolutely amazing! i am an retailer addict, a good portion of my wardrobe is from retailer. that being said, this is one of my all time favorite purchases! this dress is a beautiful statement. i am tall and curvy and this dress fits like a "/>
        <s v="I wanted to love this sweater. the photo of the model makes it look so soft and warm. i liked the heavy texture and the extra long sleeves. however, after receiving this sweater i tried it on for less than 1 minute. one look in the mirror was enough to ma"/>
        <s v="This dress is comfortable and versatile - one could wear it to the office or to a social event, day to night. i didn't find the sizing to run as large as some of the other reviewers did. i felt it was true to size. it is not lined so you would need a slip"/>
        <s v="Such a beautiful print. i sized up to a 14 because it looked like it has a high waist and it does. the waist comes almost to my bra line. unfortunately, there's a huge amount of fabric and it swallowed me. not slimming at all. i felt like i was wearing a "/>
        <s v="I am usually a size 2 in tops. i am very, very rarely a size 0, so upon reading other reviews of this top i decided to order the 2 and assumed it would fit the way a 2 usually does. obviously this is designed to be a loose, flowing top. that's why i wante"/>
        <s v="These pants are fantastic! the pattern alone is to die for, but they also have just the right amount of stretch for the perfect fit! i received so many compliments when i wore them i felt like a rock star!"/>
        <s v="Bought these in 2p and i'm normally 0p in most pants. for reference, i'm 5'1 and 107 lbs and the 2 fit perfect! got many compliments on these pants"/>
        <s v="Unlike other reviewers, i found these pants to run true to size (in my case, my usual 6) or even a tad roomy. the red pattern is just festive enough for informal holiday parties. i appreciate the belt loops!"/>
        <s v="Decent quality. i am 5'4&quot; 130 pounds. m is too big. runs slightly large."/>
        <s v="Very comfy and flattering. cool on a hot day. slightly difficult to use the restroom, though."/>
        <s v="These pants are so fun. i love the pattern and color. can be dressed up or down. very flattering.&#10;highly recommend trying them on, they were better than i expected them to be"/>
        <s v="I bought these on a whim, patterned bottoms aren't normally my thing. i was pleasantly surprised. they fit well, look great and i had lots of compliments."/>
        <s v="This jumpsuit is great. i recently had a baby and am still trying to get the last 10 lbs of baby weight off and this jumpsuit is very forgiving and super comfortable. i'm usually a medium &amp; i wasn't sure if i should size up. i ordered the medium and it wa"/>
        <s v="I bought this today in a size 2. fits perfect. i am normally a 0 or 2 or xs. the top looks and fits exactly like the picture if you are small chested. because it is not long in the front. i think if you are larger chested the top will stick out too much a"/>
        <s v="This dress is absolutely beautiful! it fits like a glove and the material is super soft. so in love with this! i'm 5'2'm and normally a xs/s. the xspwas a better fit in the waist and chest. the arm holes were a bit tighter on me. the sp was way too large."/>
        <s v="Beautiful patterns and colors, but it sits very high and runs small. i'm normally a size 4 and got the small. zipped all the way, but on the snug side. the skirt sits so high that the fabric coming down was a bit awkward. such a shame because it really is"/>
        <s v="I tried on this dress in the store and absolutely fell in love! i'm a bigger gal who is busty and have wider hips. this dress made me look and feel slimmer, and is light to wear. the dress is a perfect length too. i'm 5'11 and this dress hits me right at "/>
        <s v="I decided to try this on just for fun because the colors and design are absolutely gorgeous. here are my thoughts:&#10;_________________&#10;pros:&#10;- the jeweled neckline is lovely! it really helps set the dress apart.&#10;- pockets!!! such an elegant dress to have po"/>
        <s v="I loved this sweater when i saw it online and ordered right away. i purchased a s and the fit was very off. the arms were long (which i don't mind) but the sweater was also super heavy and bulky so it was not at all flattering. i really wanted to love it "/>
        <s v="Love sundry. great quality. if you want a looser more comfy fit size up!"/>
        <s v="Beautiful colors"/>
        <s v="This just wouldn't lay right on me. the top is really too big. maybe if you're really busty, this is great, but not for me. i know the top is supposed to be a bit blousy, but it was huge and droopy and unflattering (not like in the picture). the arm holes"/>
        <s v="This is one of my favorite tops i've ordered. flowing and relaxed with great details at the neck. i get compliments every time i wear it."/>
        <s v="This jumpsuit is lovely and comfortable, with gorgeous embroidered detailing, but it really needs to come in petite sizes. at 5'4&quot; with a pretty proportional torso to leg ratio, i found the hem length okay but the top portion way too long. for the waistba"/>
        <s v="This dress is stunning! my sister-in-law was hoping to use it as a bridesmaid dress for her wedding and i ordered it for fitting purposes. it fit beautifully on my 5'10&quot; frame. unfortunately she decided against it due to availability and because of the le"/>
        <s v="I was a little concerned ordering these online without seeing them in person but they do not disappoint! the fabric has a little texture to it that makes them look and feel like a high quality pant. the design is unique and provides visual appeal, and i s"/>
        <s v="This skirt is a nice medium weight and is lined. my normal size 4 fit perfect. i only wish it was available in petites. if you are petite, the skirt is ankle length. but this is a good skirt to wear to work."/>
        <s v="Runs large and pocket detail is very prominent. wanted a crisper, trouser-like pant--this is not it!"/>
        <s v="The beadwork is gorgeous, but the sleeves are so puffy, it looks as though you're wearing shoulder pads. the fabric of the shirt isn't that fabulous either."/>
        <s v="These trousers are wonderful. the fabric is comfortable and does have a little give to it."/>
        <s v="I really wanted to not like the top for that price, but ti looks really good, the beading makes the shirt stunning... i ordered the 0p, not sure what size to get, and it is just fine. the length is almost too short, but isn't. the rest of the shirt fits n"/>
        <s v="Very pretty top, comfortable and soft but looks nice enough for work!"/>
        <s v="Normally i am a size 10 or 12 but i sized down to a small. still very swingy and beautiful. i bought the pink and the taupe as well. the colors are beautiful and have great texture to hide stains!"/>
        <s v="I was a little surprised when i received this dress, as it is little more than an a-line tube with elastic casing at the top and a cute knotted detail at the bust. i guess i expected the bust to be lined at least. it is unlined, and a relatively thin jers"/>
        <s v="This shirt is so great. it's beautiful and functional. i received countless compliments the first time i wore it. i'm looking forward to wearing it again! worth the steep price, though it was hard to justify."/>
        <s v="Very pretty blouse. it does run quite large, i am usually an xs-s or 0-4 and purchased the 0. i could probably have gone to a 00. for reference i am 5'4&quot; 118 lbs 34b/c. it says that it is dry clean only, however i washed in in delicate cycle with cold wat"/>
        <s v="The blue was a great color and i like the idea of a reversible top. however the xs was just swimming on me. this looks much more fitted in the pictures. my favorite workout top is from this brand and it is fitted and held up for 6 months. where are the fi"/>
        <s v="This runs really big. i usually wear s or m so i got a small but i need the xs in this top and it is sold out. i don't have a store close by (about an hour away) and i hate paying shipping for returns! i will either have to plan a trip to the store or try"/>
        <s v="I am always looking for a nice denim skirt and this one is great the pale pink is perfect and the stretch is awesome. i wore wedges with it and a nice romantic top and it looked great. i originally got a 8 and a 10 and kept the 8 because of the stretch it"/>
        <s v="I purchased this top in the taupe color, and it is much prettier in person than it photographs online. it runs about a half size too large, and sits slightly off the shoulders. fun casual top for the fall."/>
        <s v="This is not worth $128. it looks cute on but....there is no support in the bust area. just a slight tuck in the fabric -it also is very flowy which is great and it is comfortable but for the price and the thinness and lack of meatiness to the fabric itsel"/>
        <s v="I got this top in an xs and the fit is great. the top is a little darker than pictured. it looks great with white, kaki and denim."/>
        <s v="This is a beautiful beaded shirt. the quality seems good. i just didn't like the shoulders. they are pleated and puffy. the picture doesn't really show them very well. also the collar is a little floppy. i was hoping it would have an option to stand up bu"/>
        <s v="I was pleasantly surprised with the fit of this top! at 5' 6&quot;, i'm rather busty, short waisted, and full-figured. i ordered my usual size 16, and the fit is a flattering, 'almost' empire silhouette. i was worried about the back being too long for my body "/>
        <s v="I've been adoring this online and while in store i happened upon this blouse and tried it on. the material was sturdy and the beading oh-so lovely, but on my frame it looked terrible. (i normally wear size m/10 in retailer clothes). as another reviewer me"/>
        <s v="This skirt is a rare find. slimming, flowing, and best of all, it finally sits on my waist and not on my hips, while hugging the hips in all the right places for the streamlined and sexy look. the fabric is substantial, yet soft, so no weird sticking out "/>
        <s v="Extremely disappointed with this top. it runs extremely large. i'm 5'2, 130 lbs, 34c and usually wear between a 0-2 &amp; xs-s tops at retailer. i ordered a 0 and it looked like a maternity top on me. the bottom half of the top flared out and did not fit clos"/>
        <s v="Tried this lovely with high waste, wide leg, black flowy pants. everything i could hope for and more, but not quite!&#10;&#10;size: blindly ordered size 6. i'm usually a small, occasionally xs in retailer brands like floreat and akemi+kin. i'm 5'5&quot; tall, 130 lbs,"/>
        <s v="Fabric is soft, body runs a bit big but falls nicely. length is great for leggings or skinny jeans. overall, wonderful tee shirt!"/>
        <s v="The skirt is a little longer than i expected, it hits me at my calf, i considered having it shorten knee length but believe that may takeaway some of the aesthetic so i'm going to wear it as it. the quality is quite nice and the color is lovely, very femi"/>
        <s v="I tried these on in the store and didn't buy them with the other items in my 'yes' pile. i couldn't stop thinking about them and ended up ordering them. they are so cute. the fabric is a nice weight. they have little stretch."/>
        <s v="I was glad that i was able to get this shirt which is really more of a spring/summer item, but i found it wide in the body and the shoulders."/>
        <s v="It's hard to go wrong with the charlie's, especially in this fabric, keep them coming!! i wrote a review on the brush strokes as well. they fit pretty true to size, i'd say try both your usual size and one size down as well, they stretch out a little, so "/>
        <s v="Can't go wrong with these new charlie's by cartonnier. they fit amazingly. the fabric is a textured cotton but doesn't seem to wrinkle. just shook them out of the bag yesterday. the fabric description says cotton and spandex so they have some give (just a"/>
        <s v="Ordered the pink in a small, but it ran big...the xs was perfect for my 5'6' medium frame. it is comfortable and the fabric has an interesting texture. looks great with chinos or jeans. might need to get the other color."/>
        <s v="When i first pulled this shirt from the box i thought it was a for sure winner. the beading was stunning, it was just so elegant and the details are perfection. &quot;till i tried it on and had some reservations. the sleeves (at the top) were very poofy and ju"/>
        <s v="This is a really great top. it looks fantastic on. while it is a bigger fit, its so flattering. i get tons of compliments every time i wear it."/>
        <s v="I ordered this shirt last week, it's beautiful!!!!! it's even prettier than the photo. i'm 5.3 120lbs ,i ordered the petite 6 and it fit perfectly!!!! i wish it came in more colors, i'd order another one in a minute!"/>
        <s v="So i actually loved this skirt (the tea rose color and coppery gold buttons were perfect together) and it's rare to find something that's simultaneously so form-fitting and comfortable.... but i hold a lot of my weight in my butt and thighs, and i just fe"/>
        <s v="Very cute top but runs very very big ! im5 ft 5 in tall, 120 lbs. i ordered the xs but it was so big it looked like a maternity top.. sadly returned the top. otherwise the top was made of good quality fabric."/>
        <s v="I love this vest. get compliments every time i wear it. it's stretchy too :). unfortunately i got ranch dressing on it and spot treated it with shout and now the spot is gone but the color faded there. so little tip don't spill on it lol. my fault though "/>
        <s v="I have been eyeing this piece for months now! i broke down and bought it when they finally had my size in stock. i am 5 '4 and 110 lbs and have a very small chest so i ordered an xs. i think the top is too baggy for me. yes, the top and bottoms fit overal"/>
        <s v="This top is everything i wanted it to be. the fabric is beautiful, and the fit is flowy and comfortable. i would love to own a u-neckline version."/>
        <s v="Great t. great lightweight, almost linen like fabric. a bit on the sheer side, but love the fit and the neckline!"/>
        <s v="I bought this for my mother and she really loves it. it is a bit on the large side for her but have decided to keep it. the quality seems very good and great styling for a washable item! i actually like it so much i may order one for myself!"/>
        <s v="I order this sweater in black - size small - and i just love it. i'm a slender 5' 9&quot; 130 lbs and the small is perfect in for me. while it has the classic cardigan look and a slightly oversized &quot;boyfriend&quot; feel to it, the rounded front hem, hip pockets, an"/>
        <s v="Flattering fit and neckline. too thin to wear without a cami or tank underneath (for me), but i was expecting that. great go-to tee."/>
        <s v="I've been looking at these for some time and i finally pulled the trigger. i'm glad i did because these tights are such a fun accessory to add to my wardrobe. they add just enough whimsy to classic dresses and skirts. these are not your everyday thin stre"/>
        <s v="I expected the waist to be cinched like it appears on the model but it isn't. i ordered the xs and i'm swimming in it (i'm 5'4&quot; and 120 lb). would suggest ordering a few sizes down to avoid looking like you're wrapped in grandma's table runner."/>
        <s v="I love this top. i am always looking for tops that are comfortable and work as basics. the material is super soft and not too clingy. it feels like pajamas, but looks very polished. i am a little wide in the stomach and bust, but this didn't look boxy. i "/>
        <s v="This was what i was looking for ! the little stripes ,black and white color,the shape of the jacket and skirt together....well perfect. kind of. i purchased this entire ensemble. the skirt was going to be shortened because well i'm short. no problem ,this"/>
        <s v="This top is just as beautiful in person as online. however, it has two issues for me. 1. it is too short. this might work if you have a short torso, but it would forever show my stomach. 2. the fabric has way too much static cling. no matter what i tried,"/>
        <s v="These tights are so cute and can add some fun to any outfit. i paired with a mustard mini, denim shirt and desert boots! they do run small. i am a size 4 and had to get the m/l"/>
        <s v="I love retailer sweaters, in fact, i believe all my sweaters are from retailer! this cardigan is really nice and i'm so glad i bought it. it will work well with skirts, dresses, pants... it's well made and soft and comfy. highly recommended!"/>
        <s v="I really wanted to love this shirt. the fit was great, and the fabric just felt beautiful. luxurious, soft and flowing. but the collar was frayed... in addition, the little keyhole area fabric also had to be carefully handled to make it look smooth and no"/>
        <s v="This cardi is cuter in the stock photos. in person, the colors are a bit more drab. stock photos also don't show quite how much of a swing shape this has. it is very soft, though. returned it!"/>
        <s v="The material is cheap and looks torn. not as nice as the picture."/>
        <s v="Order a size down. i ordered a small from catalog and returned it to the store for an xs.&#10;run large in the chest and down. the fit is more flowing than form fitting. nice material, not itchy at all."/>
        <s v="This is a really nice top, especially for the price. i am 5'6&quot;, 34dd, 140 lbs and normally wear a medium in dolan tops. in this top i purchased size small since the gathered front provides ample room for my bust. some reviewers have found this top to be o"/>
        <s v="This cardigan runs slightly large as it is boxy, which i love. the color is exactly as pictured and it is soooo soft! can't wait to wear it with a t-shirt and jeans!"/>
        <s v="I bought this shirt in the rust color along with the blue/black sweater skirt after seeing it on display in the store. not sure i would have ever put those 2 together but i love the outfit. i'm not much of a shirt-tucker, either, but this shirt works eith"/>
        <s v="The bright poppy red is gorgeous and the cut flattering and interesting. i'm usually between a m and l in tops but went with a s in this one because it looked too sloppy in my usual size. i'm a 32-34 d with arms that aren't tiny, and it's a bit tight acro"/>
        <s v="Adorable foxes, i was smitten in the store but the fix is bizarre and the foxes don't come up very high so you're limited in the length you can wear. i bought the m/l based on salesperson advice and i can't imagine trying anything smaller, i usually wear "/>
        <s v="I tried this top because i loved the not so simple, simpleness of it. however, it was a miss for me. loved the fit and style, which i'd say is pretty true to size, i just didn't love the color on me. i went for the orange one and the color was a bit too b"/>
        <s v="Ordered the &quot;white&quot; tee, but when it arrived today, i was surprised by how cream it looked.the cut is nice and as other reviewers mentioned, it is on the sheer side. still on the fence of whether or not i'll keep it."/>
        <s v="I am short, on the heavy side. 5'1&quot; 156 lbs. i always wear large petite. this beautiful blouse swallows me. lots of fabric on the front side of the shirt, causing a boxy look. i could totally do a mp if not sp. i am going to try and exchange..&#10;beautiful b"/>
        <s v="Good structure and quality; a bit large and wish i had ordered something a bit brighter! (i ordered the white tee.)"/>
        <s v="Adore the rust color in this top. very pretty rust color. would go with a lot of stuff. my only small pet peeve with the shirt is the opening under the hook and eye. i have been wearing a seamless tank underneath. but everything else about the blouse fits"/>
        <s v="This sweater is thicker and darker than it appears online. i thought it would be more of a blush color, but it's more dark gray and brown. it wasn't that flattering on me as a cardigan. looked a little cuter all buttoned up, but ultimately i am not keepin"/>
        <s v="I like to have a capsule wardrobe for all seasons so that when i travel, or just for everyday, i have a multitude of options with a few good quality pieces. i am not a fan of 'dry clean only' items, so anything that i can find that i can at least hand was"/>
        <s v="This sweater is far more slouchy and relaxed in fit than in it seems in the photograph. definitely size down. honestly, i kinda love it anyways! the inside is so very soft, and it's perfect for a sleek errand-running or hiking kind of day!"/>
        <s v="This is a cute work jacket, as well as paired with jeans.  flattering. very soft.  only con is this is thick with a soft cotton lining, so not great for summer in az, but will get plenty of use this fall. typically 6-8 on the top, i went with medium.  not"/>
        <s v="I have this top in orange and white. it is a great top to throw on with jeans. don't put it in the dryer, will shrink."/>
        <s v="This vest is perfect. it is a great layering piece to be worn with jeans, slacks or a skirt. it has a substantial weight without being restrictive. i made the purchase based on the other positive reviews and it was &quot;love at first sight.&quot;"/>
        <s v="The material is more like a great tee for the sleeves and the back, so it is so comfortable. i agree with the previous review, i am not thrilled about the hook and eye, but it still looks cute with a tank under it. i bought it in black and i am ordering i"/>
        <s v="Such cute tights! i saw them and had to have them. they are a thick knit - very good quality. the color is a dark navy and the little foxes and a nice pop of color. i get lots of compliments on them."/>
        <s v="This is a very cute, casual sweater. i originally ordered a size medium but i had to send it back because it was way too large all over. i recently received the size small and i'm going to keep it. it is still a roomy fit but the overall design of the swe"/>
        <s v="I love layering this over basic tees (or graphic ones like the wild west tee) - it adds just the right amount of edge. currently building my pin collection to add on (vintage turquoise and rock music to be exact)."/>
        <s v="Classic and stylish. trendy with the blocking...rich colors, soft and comfy. i typically wear s and s was perfect. i love this sweater."/>
        <s v="These tights are so cute, but the sizing leaves much to be desired. i guess they are true to size since they are labeled s/m.&#10;&#10;i'm 5'0&quot; with shorter legs than torso, and i suppose i'm lucky that i have muscular (read: large) quads/thighs to suck up some o"/>
        <s v="Nice fabric, great color, would be lovely ... on someone with a straight-and-narrow body type. for ladies with curves, take a pass--too much like maternity wear, and not in that elegantly slouchy kind of way. the straight-up &quot;is she or isn't she&quot; kind of "/>
        <s v="This bra is just as cute in person as it is in the pic! i can tell it's pretty well made and i love that it has a lot of little details like on the straps and the cute front-closure and lacy racerback. it also fits pretty true to size, which is a must for"/>
        <s v="I love this top!!! i just had a baby and it is difficult to balance classy with comfortable with out looking sloppy. this top is perfect. it may run a tiny bit big but for the most part it is true to size. great for busty girls (36dd)."/>
        <s v="The color of this top is a bit more vibrant than online. material is light, but i can wear a beige bra underneath and not need a cami. fit was true to size for me and detail at the neckline is flattering. a keeper for me!"/>
        <s v="I had to have this when i saw it in a store. i was drawn to the shape and the neutral colors. i wore it for the first time today with a black tank. on me it looks best unbuttoned. it looks good with pants. the small fit best although the arms are a little"/>
        <s v="The color is as pictured, like a deep coral. very comfy and great drape."/>
        <s v="These fox tights are so very cute and fun! how can you not smile when wearing these tights designed with the cutest foxes all over! they are warm too! these go great under dresses or tunics and i always get compliments when wearing them! they are a real a"/>
        <s v="I really like this vest. personally, i think it is difficult to find vests that fit properly. this is a good one. fabric and color good. the photo is very representative of the color. no surprises there. arm holes are not too big which is often a problem."/>
        <s v="I didn't pay much attn to this online. i'm not much on front hook &amp; tie closures. well, saw today at the local store &amp; decided to try on both the s &amp; m. i am usually a s in tops, but the m was only a bit more roomy &amp; longer than the s, so i went with the "/>
        <s v="I'm glad this was on sale because i would not have purchased it at full price due to the strange fit in the sleeve. the shirt has a slight raglan sleeve, but the sleeves do not fit loosely, they kind of twist under the armpit area. i do not have large arm"/>
        <s v="Note to photographers: please don't cinch the wait of a blouse to make something look tailored when it isn't. this could have been a real win if it had been more simply executed. i'm petite, way too much fabric. returned."/>
        <s v="Fell in love with this a soon as i saw it in store. it is soft and can eaisly be dressed up or down. wore it to work already and got so many compliments. &#10;unfortunately when i saw it in store they didn't have it in stock. the very helpful gentlemen at the"/>
        <s v="Lovely embroidery with a classic look, great addition to your wardrobe."/>
        <s v="At first, i thought this top was going to be stiff. i am pleasantly surprised by how soft and flowy this blouse is. it's lovely cream color with beautiful lace details. i appreciate the lining inside the bodice which means i can potentially go bra-less wh"/>
        <s v="I honestly never even tried this on - i ordered it and when it arrived it was not the kelly green color pictured, it was more of a dark bland green color. love the brand and very soft but had to return."/>
        <s v="Perfect jean. these jeans are comfortable, the length is great, and the rise, at least for me, is spot on. my torso is fairly straight - not a lot of the hourglass thing going on - and somehow these jeans feel like they were made for me. thank you pilcro."/>
        <s v="This is going to be my go to all season. looks great with a sweater dress and boots also looks great with cords!"/>
        <s v="This skirt was horrible on me. it was loose in the waist, tight in the hips and poofed out like crazy at the tiered part on the bottom. the material also felt cheap and clingy. i guess the fit is tts, but it's hard to tell given how strange the cut was."/>
        <s v="I love this and instantly felt sexier when i put it on, yet with the longer sleeves and looseness felt i could wear it casually. &#10;&#10;i will say that i have to often keep adjusting/pulling the top neckline down. it seems to want to revert to above-the-should"/>
        <s v="I just received my duster . i love it! the coat is as pictured. the fabric is medium weight denim with some stretch. it feels like a denim coat that you have worn for years. i'm 5'8&quot; and the duster hits mid-calf. i'm a curvy size 14-16 and the xl fits per"/>
        <s v="The design is graceful and both my kids said it was a keeper &quot;pretty,&quot; even the boy child.&#10;&#10;somehow i feel it makes my tummy look bigger than it is, maybe with the belt on my jeans."/>
        <s v="These jeans are an even dark color that can be dressed up. the material is soft and they fit perfect. they are mid rise which is a little different for me as i mostly where low rise. the only problem is that they are really long. i am 5'9&quot; and they are to"/>
        <s v="The problem with off the shoulder tops is that the neckline is totally elastisized , therefore upon any movement of your arms the top pops above your shoulders making it go from stylish to matronly . the only elastic should be right at the shoulders , the"/>
        <s v="A cute top. slightly tight in the upper area. debated returning but decided to keep as the top is unique and i know that i will wear it frequently. aleardy thinking of way to wear all year around! runs small"/>
        <s v="Unlike the other reviews, i love this skirt. the lining is a nice stretchy material, as is the eyelet overlay, making it a really easy to wear, and comfortable skirt while still looking polished and professional.   &#10;i bought it so that its slim fitting, m"/>
        <s v="I love panties. i love the prettiest, softest, most adore-worthy panties i can find. these are my favorite boy shorts--i can always put them on and feel pretty. no weird tight spots and the lace has a perfect amount of stretch. im a mom and my body isn't "/>
        <s v="I can't figure out if this skirt is supposed to be high-waisted (if so, it's too big but the length works), or if it's supposed to sit on my hips (fits well but too long). but the material is really comfortable, and the design is different in a good way."/>
        <s v="I'm glad i got this skirt because it's prettier in person than in the picture. fiance loves it so that's a bonus. it's tts although it's longer than shown on the picture. very high quality and looks expensive. i'm very happy with this purchase."/>
        <s v="This is a very nice dress. the jersey is soft and high quality. the construction appears solid. the color is very pretty, and looks in real life just like it does on my computer. the cut and draping just don't work for me. there's just too much draping, t"/>
        <s v="I tried this on in-store and would have purchased if it have been a better price, it wasn't something i could justify spending $100 bucks on. it's cute and was surprisingly comfortable but again, not worth the asking price. i will buy when it goes on sale"/>
        <s v="I was out of town when my coat arrived, and was so excited to get home and try it on!!  i haven't worn it yet, but we've now got the weather for it...and i can't wait!  i'm 5'7&quot; and heavier than i'd like, but the xl fit perfectly!"/>
        <s v="Retailer sizes are all over the place. i fell in love with this top, and tried it a couple of times to see if it would work. unfortunately i have to send it back. the design and colors are very good. the side slits are very high, right up to the waist, bu"/>
        <s v="Fits beautifully. perfect for spring and summer. the cut of this skirt gives your figure a wonderful shape. the quality of the material is excellent.  this item is perfect for to dress up for a date night or wear slightly more casually for a brunch."/>
        <s v="I ordered this in my usual size 0 and couldn't finish zipping up the top, but also couldn't fill in the boobs. i am 5'7, 116 lbs, 32a. it is very cute, but the top was pretty stiff and unless it draped on you correctly, could probably be bothersome. i was"/>
        <s v="I love this dress so much. the fabric on top is not something i would have chosen-it is thick and almost an elastic kind of feel. but i have grown to appreciate that since this dress is not amenable to most bras. i think the fabric would be thick enough o"/>
        <s v="Timeless skirt. just don't like the placement of the slit, so maybe i'll sew it up."/>
        <s v="I was so excited about this skirt and pairing it with a cute blouse for the warmer weather. as i took out the skirt out of the package and flipped it around, the back has mesh strips that are see through! there is also no lining to go with this skirt. if "/>
        <s v="Nice color and cut but runs very big so size down. will need to send back due to on line only. i am hoping one size smaller does the trick."/>
        <s v="I love the style of this dress, but unfortunately, it runs very small. i normally wear a size 8. i ordered a 10 and the dress was closer to a size 6. disappointed that i had to return it. also, the seams were poorly done and threads hung out everywhere on"/>
        <s v="This dress did not work for me. i tried it in my bigger size 6 since i am coming off winter weight gain. the dress fit tts but was squishing the breasts like tight bandages. i have smaller chest and the stretch bodycon fabric of the bodice made me look fl"/>
        <s v="When i first tried this top on, i didn't like it because the chest just spilled open. i saw it on someone else and it was so flattering i gave it another try. i bought it in both the red and the black, and plan to put a stitch or safety pin through the to"/>
        <s v="This skirt is great to wear to work. nice medium weight. being cotton, it doesn't get to hot. skirt is lined. nice flattering shape. my normal size 4 fit perfect. love the godets. comfortable. doesn't get all wrinkled from sitting. nice royal blue color."/>
        <s v="I get so many compliments with this skirt! i love almost everything about it. i gave it 4 stars instead of 5 because i find the slit a little annoying. i think it's maybe a little too long (or short, i can't figure it out) but i couldn't pass up this skir"/>
        <s v="The dress was great! the zipper was just a little tough but over all a very classic, feminine piece."/>
        <s v="/my friend and i both tried on this shirt just to see how it fit and because it was blue. we were surprised how pretty it si on. a little see-through though, but hte cut hits in the right places (i guess we are not too endowed). she ended up buying it so "/>
        <s v="Love this button down, but i couldn't make it work. i'm 5'4&quot;, 32b, and usually buy tops in a regular xs or s. i bought this top in a small and it was loose fitting which i liked, but too long for me causing the pleats to flare out more than i liked. the s"/>
        <s v="I thought from the picture this would be a light floaty top. when it arrived, the fabric was a heavy knit and the neckline sagged very low. on me (granted i'm a pear) the bottom layer hugged my tummy and rear in a very unflattering way. the only thing i l"/>
        <s v="Tried this on at my local retailer, the red color is pretty but not a &quot;true&quot; red. the fabric has a nice weight to it not the usual thin stuff that retailer seems to offer these days. two big problems though- the top is very low cut and i could see it &quot;ope"/>
        <s v="I ordered one of the xl in the red version. the fit is true to size. it matches the model's photos. the color is much prettier in person. it looks washed-out on my computer. but, in person, it's a nice light red. the quality of the material is okay. not a"/>
        <s v="Adorable dress. could hardly get the zipper up in my very typical size 4. i will order a 6 and am hoping it will work out!"/>
        <s v="This dress is very cute and fits quite well. you don't have to wear a bra with it, which is awesome, and it has delightful pockets. the downside is that the fabric on the top half is a little weird. it is very heavy and stiff. also, the inside has some fr"/>
        <s v="I love the unique design of this dress.  it also has a nice thick material.  the top part runs small.  i'm normally between size 6 and 8.  i bought this dress in size 10 and the top part is still snug, whilst size 12 is too loose.  the bottom part has a n"/>
        <s v="This top isn't so much on the hanger but very cute once you try it. the neckline is really cut low so a pin or stitch is necessary. the length on the regular is perfect for my shorter body. if you have a long torso it might not work for you. love how the "/>
        <s v="Love love love this skirt. i walked into retailer in august not looking to buy this skirt even though i saw it in the catalog and thought it was cute. once i tried it on i fell in love. i purchased both black and blue. super flattering and true to size. i"/>
        <s v="The design on this dress is so cute. it runs really small. i had to go up from my normal size 4 to a 6. i am not well endowed so the top was great on me. it's looks great on once k got a size that works."/>
        <s v="This skirt is everything i love about retailer. the fit, style and quality are amazing. i feel like a am wearing a piece of art. it is so unique and fits perfectly. way to go retailer!!"/>
        <s v="Gorgeous skirt. runs a bit big.  well made. perfect for the office and super comfy."/>
        <s v="I wish that it had fit me better as the feel of the fabric and the color were great! regrettably, i am sending it back as the v opening is too low for my tastes and the fabric on the left of the first layer drapes weird on me. i am usually a s or m and in"/>
        <s v="This is one of the best date night tops i've seen in a while. i'm 5'6, 120 lbs and the xs is perfect. the fit is spot on and the fabric feels nice. i will need a teeny tiny safety pin to keep the front closed, but i do that often so i don't see it as a de"/>
        <s v="Despite being a knit, this skirt holds its shape and is absolutely perfect. it goes with everything and is extremely comfortable."/>
        <s v="I tried this dress on in my local retailer and was pleasantly surprised. it fit!!!...and looked cute. as other reviewers have mentioned, it runs small, but it is super stretchy, especially in the top portion. with that said, it accommodated my bust! i hav"/>
        <s v="Unexpected delight! great top that can be dressed up or down. the only con is a little small through the bust."/>
        <s v="Love this shirt, very flattering fit on my pear shape. also accommodates my larger 32dd bust without straining on the buttons. ever so slightly sheer fabric, but no cami needed if wearing a nude bra."/>
        <s v="The color, design and fabric of this top (got it in the red) were just as i expected, but as the owner of several deletta brand tops, i was very surprised to find that my usual size small runs very large in this tank. not only did the front dip too low bu"/>
        <s v="I bought this yesterday and love it. it drapes beautifully. it's a little fancy but versatile enough that you could wear it for semi-casual occasions. the first tier hits at the natural waist, while the second tier hits at about hip height. this is very f"/>
        <s v="I have been wanting to incorporate button down blouses into my wardrobe for months but hadn't found any that caught my eye. leave it to retailer to supply the best alternative to a classic look. i love everything from the bottom flare to the way it cinche"/>
        <s v="So, so cute. totally flattering. but the seams don't lie flat and there are loose threads all over the place. i've had issues with quality from retailer for a while (random holes in things) and was disappointed this fit that bill. i'm keeping it anyway be"/>
        <s v="Super flattering! my mom and i both bought this, and we have very different body types. (we both had to size up a bit, as i have a large chest, and she has a large ribcage.) i got a size 10 (i'm normally a size 8), and she got a 12. it was much easier to "/>
        <s v="I bought the grey and white plaid shirt in a large. i'm 165, 36d and the top closes without gaping - even when i push my shoulders back. it's kind of sheer, so will wear a cami underneath. the waist nips in right where it should - giving a trim silhouette"/>
        <s v="Super cute and flattering!"/>
        <s v="First, i love this top overall. it is simple and classic and has a flattering, forgiving cut. i agree there is a major design flaw as other reviewers have mentioned. the v-neck is so deep and falls so low you need to wear a camisole underneath. instead i "/>
        <s v="Based on previous reviews i ordered this shirt in both a small and medium. i have fairly broad shoulders, and thought i might not fit my usual small (if it helps for reference, i am 5'6&quot;, 123 lbs, and wear a 32c bra). i first tried on the small and didn't"/>
        <s v="This top is adorable, especially the grey check. timeless staple, with a modern &amp; cute update. i agree with 2nd reviewer; i don't think this blouse pulls or is tight in the chest. i'm also a 34d, i got a small, it fits perfectly &amp; i wear it all the time -"/>
        <s v="Buy this skit- it's everything that retailer used to be. great pice, work appopriate, and it fits great."/>
        <s v="Wow im really glad i didn't listen to the negative reviews! in ordered this top in the black and red and i have to say this is one of my favorite tops! the neck line i agree does need to be secured. i wish they would have added a snap. it's fine though as"/>
        <s v="I really like this shirt. the material was a little heavier cotton than i expected in looking at the picture which is good otherwise it could look like you slept in the shirt. it is something that is going to wrinkle when you wear it so if that is bothers"/>
        <s v="I found this skirt to run tts - i am a size 16 and the bought the xl. it is so soft and comfortable and the colors are so much prettier in person. i paired it with a black turtle neck and black dolce vita booties that i snagged on sale at my local retaile"/>
        <s v="This sweater is comfortable yet still work appropriate. the ruffled shoulders adds a feminine touch."/>
        <s v="I have a shorter torso and so i usually love dresses that hit right at my waist- so this dress seemed perfect! &#10;i ordered a size 2 petite, which fit very well. the regular two (in picture) was not as well made. the straps didn't fit as well. they were les"/>
        <s v="Just picked this up in black in the store. on the hanger it looks like just another v-neck tank, but it is quite flattering on. however, the v-neck is quite exaggerated and loose, i will be pinning it so it doesn't sag open. :)"/>
        <s v="I love jeans!!! especially this pair. perfect fit, hugs in all the right places. perfect length! worn it 3x already! and it gets better every time you wear it. goes great with a cute too!"/>
        <s v="This dress is made of a very thick material both on the top and bottom, making it very flattering. lots of compliments!"/>
        <s v="This is a nice lightweight summer top to wear with a pair of shorts. it is low cut though - lower than i expected so i wear a tank underneath it. the layers are flattering."/>
        <s v="This shirt was so weird?it does not fit like the photo at all. there seems to be missing a stitch or something at the top as it is wide open until the bottom/where it meets the other layer. i could wear a tank/camisole underneath, but it still just did no"/>
        <s v="I saw this dress and immediately started daydreaming about wearing it while honeymooning in italy along the amalfi coast or the cinque terre with my husband. and then i tried this dress on and immediately woke up. the cut is a disaster, the quality is ter"/>
        <s v="This blouse is pretty sheer, but perfect for a summer day. good coverage in the front and under arms on the sides for limited bra exposure, and a very cute opening in on the lower back."/>
        <s v="Right out of the bag, this top didn't really match the one pictured here (it is the right top, though). the fabric was heavy and felt &quot;damp&quot; -- the way something feels coming out of the wash. very odd.&#10;and the fit is nothing like what's shown on the model"/>
        <s v="I love this dress! perfect for both work and play and can be worn in all seasons thanks to the sleeves."/>
        <s v="This skirt caught my eye immediately. i love the beautiful patterns and colors. i'm currently pairing it with a charcoal grey top, which works well. the only slight concern is the material is a little poofy. i still love it, and definitely recommend this "/>
        <s v="I was surprised and impressed by how well made this top is. it looks and feels expensive and of good quality. it is a very flattering fit for someone like me who is small on top and wider at the hips area. i look forward to wearing this top all through th"/>
        <s v="So cute and so adorable but too short for my body in size small. i'm going to try a size medium.&#10;fabric is a nice weight cotton. lining is good, sleeves are a not too tight."/>
        <s v="It really is such a cute romper. took it on s trip to italy and it was airy and comfortable. that is in till i washed it. i'm in europe so there aren't dryers... washed it in cold water, line-dried it and it shrunk. significantly. it still fits but the to"/>
        <s v="Beautiful, flattering dress. love that you can where a bra without having to be concerned about straps showing. very happy with purchase. highly recommend."/>
        <s v="I'm so excited about this dress! it's perfect for the summer. the material is so soft and lightweight, with a great lining. i ordered a small petite and it fits great! the ruching in the front isn't overdone, so you don't have to worry about adding bulk i"/>
        <s v="I was really happy when i saw this romper online and ordered it right away. unfortunately being larger chested i thought i would size up to a medium. bad choice. now i have a beautiful romper that is too big for me. i will be getting this one tailored."/>
        <s v="This romper is cute, well-made and true to size, but i haven't figured it out how to put this on without having someone tie the back ties. which pretty much means that going to the bathroom is not an option while you have this romper on. not sure what the"/>
        <s v="This is a beautiful sweater, but if came up weirdly high on me in back, higher than it looks on the model. she must have on high waisted pants."/>
        <s v="Super long even at 5'7&quot; and a little too voluminous for my taste. incredibly comfortable and beautiful pattern though. i'm having a hard time imagining there getting much use for me, so even at the sale price they're going back."/>
        <s v="I was so excited to order this dress, had the perfect red shoes to go with it. unfortunately i could have been nine months pregnant and still wear the small. i am 5'4/118lb and it was like a maternity dress. sad to send it back."/>
        <s v="These are the most comfortable pants i own. i bought them in the gold, green, and gray (which really does look more like a grayish purple). the gold is my favorite - it goes with so many things! i was just checking to see if there were any other colors - "/>
        <s v="Glad i got this on sale. it is more yellow than the photo &amp; short. it is also heavy with a sueded interior. would have given more stars if it was less boxy &amp; longer."/>
        <s v="Love these pants! super comfortable, but feel high quality. i am usually a size 2 and the xs fits perfectly."/>
        <s v="130 lb, 5'5, 32dd. ordered xs. this dress is a bit outside my normal retailer style, but i love tracy reese designs and it had good reviews so i decided to give it a try. i could not be more pleased with this decision. as some of the other reviewers have "/>
        <s v="As most other reviewers stated, the skirt does run a bit large and long. however, it is nothing a tailor can't fix! i plan on getting it taken in to fit higher up on my waist to make it both smaller and hit closer to below my knees rather than mid-calf. t"/>
        <s v="I really wanted to like this dress and was so disappointed when it came in the mail. if you have any sort of hips, the light pattern in the middle doesn't do you any favors. this made my hips look soooo wide! and the seaming and gathering in the middle wa"/>
        <s v="The first reviewer summed up many of my thoughts exactly. i don't like to go without a bra and this dress with its slightly wider, almost cap-sleeve straps solves my problem perfectly. i love this neckline and wish i'd see it in more maxi dresses! the cro"/>
        <s v="I love the bohemian look and fell in love when i saw this dress when i saw it online. it's pricey but i am holding on to it because it's really beautiful. i got a medium. i'm 5'2&quot;, medium built. it's just perfect. i'm tempted to get the petite but with pe"/>
        <s v="I am almost always an xs in bottoms (sz 0-2) but literally couldn't get the stretchy waistband (no zip or fastening) in xs up my hips. in addition, the &quot;brocade&quot; is a very lightweight polyestery, tinselly weave--does not suggest quality. as others have no"/>
        <s v="This dress is extremely comfortable and easy to wear with a bra. the back is great and the length is perfect for me. it's flattering, but the pattern (being light in color across the middle) isn't particularly flattering on your waist. that being said tho"/>
        <s v="I love this top! fits true to size. tunic length, thin comfy fabric, adorable subtle print. the perfect top!"/>
        <s v="This is my first ever review! these pants are 5-star fantastic. ordering additional colors because i love these so much and am finding i want to wear them every day. i initially ordered the bronze color which is superb, just beautiful. i was worried it mi"/>
        <s v="I feel like an indian goddess in this dress! lots of swing to it!"/>
        <s v="I loved this dress the minute i tried it on and am actually really sad that i had to return it. however, the embroidery was unraveling in several places before i'd even worn it, so i thought it would probably only get worse. too bad because it's gorgeous "/>
        <s v="This romper originally caught my eye in the beginning of the summer with the sweet back bow detail. i had originally planned to purchase for a trip to paris in june, but waited until the last minute and my size wasn't immediately available at my local sto"/>
        <s v="Love the unique details and neutral color scheme. top is boxy but i liked the way it looked on my 5'2&quot; 115 lb. frame. it's comfortable and well made. thicker material.  seems to be holding up fine after one washing.  looks great with skinny jeans.  highly"/>
        <s v="Lovely assemblage of prints, looks great in motion. but the waistband runs a touch large. if you're between sizes, maybe size down."/>
        <s v="The little details are just beautiful. the embroidery and tassels are so cute. loose fitting just floats over the body. feels very light."/>
        <s v="I really loved this top the minute i put it on. read the other reviews but it really worked for me. i am 5'3&quot;, 36dd, athletic build and the m fit perfectly with a nice roomy fit. top will be perfect for my upcoming trip to tahoe. plan to wear with light d"/>
        <s v="If you happen to get a size that fits you, you will love these leggings. they are true to size when the quality control works. i got 2 pair, both in size 28 - one fits perfectly and the other fits like my mothers high waisted jeans! the material is very s"/>
        <s v="Flattering dress that looks great on. the back cut out shows some skin while still covering up a bra. the petite size fits true to size"/>
        <s v="I've been wanting to add some cords to my wardrobe and had to give these a try. i ordered the blue color on-line in size 31. i'm somewhat in-between size 30 and 31 in jeans right now, so i thought i'd be on the safe side and go up. i ended up keeping thes"/>
        <s v="I really wanted the dark grey, but it has been sold out in my size for many months. i finally ended up with the navy. i think they are much cuter in person, the color nicer also. i think the cuffs have been folded under in some of the pictures of the mode"/>
        <s v="Loved this dress and ordered it based on glowing reviews. ordered size large because i weigh 155 pounds and have a large 34g bust. the dress skimmed nicely over my body but the baby doll style fit loosely and made me look really wide from the side. i prob"/>
        <s v="I ordered a petite small. i'm 5'3, 135 lbs and 34b and the length was perfect and the fit was great. like the previous reviews. love you can wear a bra with it."/>
        <s v="I love this dress so much! i got petite and the length was perfect. it was so soft and so pretty. perfect for a wedding."/>
        <s v="Soft, comfy, flattering, just a beautiful dress. it works for any occasion. i can't express how much i love it!"/>
        <s v="I'm a 32ddd and this top fit perfect. i wore it with boyfriend jeans and flats. the material is nice and perfect for fall"/>
        <s v="The romper is well made and just plain cute. i bought it the second i saw it and don't regret my impulse buy one bit. 135 5'5&quot; and the small fit perfectly."/>
        <s v="I have been searching for great bra friendly maxis and the design and colors of this one are exactly what i was looking for. i love how the front and back dip down and the open back with crossover detail is really sleek looking.  overall, it's tts, but th"/>
        <s v="Ordered a l and xl, the sleeves were so tight on both sizes but the rest of the shirt was wide and loose. the tight sleeves were not proportional with the rest of the shirt. both sizes had to be returned."/>
        <s v="I'd give this dress 6 stars if i could, it's possibly the best dress i've bought at retailer in 12 years of shopping there.  the fit is fantastic with the ruching around the waist adding camouflage  for anyone with a bit of a tummy. the cross back stamps "/>
        <s v="Hahaha! as gorgeous as this piece is, i look absolutely ridiculous in it. i am 5'7'' 115 lbs but have a long torso and so the crotch area is, well, a little unflattering to say the least:) i am really sad because i shy away from shorts due to my year roun"/>
        <s v="This dress had beautiful details, and the material was better than i expected; however, it was huge! it completed swallowed me. i am 5'1 about 106 pounds with quite a bit of muscle. i ordered a 00p and it still looked like a sack."/>
        <s v="I wanted to love this, as it seemed like a fun and carefree take on a little black dress.&#10;&#10;but how did i not see that this has tassels? but they're there, a whole row of them - look hear the bottom of the skirt part, between the colorful stripes and the l"/>
        <s v="This might be one of my new go to tops. looks cute with jeans and a sweater or alone. the arms are snug but not uncomfortable and i think it adds to the shirt."/>
        <s v="I needed a dress to go to a reunion party(not hs) and this fit the bill perfectly. it fits perfectly and its short but not too short. it is a great work dress or change your accessories and its  perfect for out to dinner."/>
        <s v="These are really great legging style cords. you can wear them without worrying about covering your bum in my opinion! they are not too bulky at all which you might expect in a corduroy pant. they are a tad loose in the waist area unfortunately but fit me "/>
        <s v="These cords are soft, comfy and my normal size 32 for tts. the length was fine for my 5'9 height. i really like the bronze color, it is almost a yellow."/>
        <s v="I really like this pullover. the design is beautiful, and i love the asymmetrical hem. my own complaint is that the fit is a bit boxy on me because i'm large-chested. it's more drapey than tailored. but it's not overwhelming and doesn't cancel out how muc"/>
        <s v="The flow and feel of the material is really nice, however, i think it runs large. i ordered a small, and i have exchanged it for an xs, which i am hoping fits a bit better. i wanted the pants to be a bit more fitted around the hips and flow from there."/>
        <s v="This cute dress is swingy and chock full of fun little details.  love the embroidery, colors, crochet lace, tassels, wide sleeves.  don't like that it's all polyester and some embroidery is unraveling so i don't know what to do about that.  size down if y"/>
        <s v="I can't get enough of maxi dresses and i can't resist tracy reese. this stunning dress caught my eye immediately, but i was worried that the back cut out at the waist would make my backside look flatter. i'm so glad i took the plunge to buy before it sold"/>
        <s v="True to size. length is perfect for 5'8&quot;-5'9&quot;. soft fabric. not too low cut in the front, but not all covered up either. ruching is subtle and does not add bulk. skirt portion skims curves, neither clinging to them nor poufing out from them. strap design "/>
        <s v="This dress is so pretty. i loved the details on it. the material was ok. would have prefered a softer material so the bottom part of the dress would have been more flattering. unfortunately, it did not fit me right. i'm 5-2&quot;,34c, 28, 37 and the 4p fit ok."/>
        <s v="I'm keeping this top bc it was on sale but it does look a little maternity! i wore with super skinny white jeans and 3&quot; casual heel. i'm short so i needed a little more height to slim me but if your tall and and slender this might work better for you?"/>
        <s v="I feel like an indian princess in this dress! it isn't very forgiving, make sure you don't mind showing some skin - but there's some subtle rouching right at the spot where most of us wish we could hide at all times. great colors; boyfriend loves it."/>
        <s v="Absolutely love this dress. i saw it online and didn't give it much thought and then saw it in the store and it was amazing. the photos really do not do it justice. the embroarding detail at the bottom is beyond beautiful in person. i agree that if you do"/>
        <s v="This dress is my personal introduction to talented indian designer, ranna gill. i just love this gorgeous, free- spirited dress! i bought the regular medium for my 5'1&quot;, 34f, size 8 figure. it works very well. i will want to wear a black cami, as i'm not "/>
        <s v="I agree with the previous reviewer that the length is not at all what is shown in the picture. much shorter than that. and while the overall detail of the skirt is very nice, the elastic waistband makes it look cheap considering the price..."/>
        <s v="This dress is great, and looks even prettier in person, the colors are more vibrant. the ruching is very forgiving for the belly and the length is perfect. most maxi's are too long on me, but i ordered a ps and it fit perfect. my only complaint is that it"/>
        <s v="I love this shirt. i'm 5' 4&quot;, 110lbs, just had 3rd baby so not into tight fighting clothes at the moment. love the loose yet flattering fit of this shirt. the sleeves are not too tight on me and i love the length."/>
        <s v="I ordered these pants after seeing the good reviews, but i don't agree. these are going back. i ordered a small. i'm 5'5&quot; and 135 pounds. i am usually between a small and a medium in pants, but the small in these pants is huge. i could definitely fit into"/>
        <s v="This dress is so pretty- the colors are vibrant, beautiful pattern, the ruched part in the center hides the tummy!!! the neck line was too low for me, so had to wear a red cami underneath which hid the skin showing parts in the back around the waist. so i"/>
        <s v="I was pleasantly surprised when this arrived. it hangs in a flattering way and the red has a nice soft hue. i couldn't believe what a great deal i got while on sale."/>
        <s v="These crops are very well proportioned and fun. the graphic pattern is spot on trend and the unusual silhouette can spice up your pants options.&#10;&#10;i am a fan of cartonnier and these particular pants were surprisingly generously cut in comparison to most of"/>
        <s v="The linen- cotton blend breathes so well for a hot summer day! the design on the waistline is super cute and yes they are a little long in the leg but that can be a plus+ for vertically challenged girls like me. wedges and platforms are perfect to show of"/>
        <s v="I wore this dress to a party once and haven't been able to find an outfit that can top it!"/>
        <s v="Cute and very soft, but the elastic wasn't sewn in right. i took them out of the wash and the waistband was a twisted mess. disappointing for more expensive loungewear."/>
        <s v="I love these pants! comfortable, light and can be dressed up for work and down for the weekend. the color is a little more saturated in person, but can't really complain about that too much!"/>
        <s v="I loved this top, however had to return as it does run small. by the time it arrived they were sold out in the larger size. like the quality of cloth and stone, however their products do run a size small."/>
        <s v="As a lazy one, i have to confess i barely leave any reviews even though i rely on the reviews from others to make my online order decision. yes! i owe a big &quot;thank you&quot; to anyone who wrote a helpful and honest reviews here :) and thank you!! now it is my "/>
        <s v="I am just over 5'8&quot;and i found that these pants hit me in a weird spot on my torso, almost creating a muffin top that i don't normally have. in addition, they were too short on me to give the chic and modern look of cropped ankle pants. on my frame, they "/>
        <s v="Adorable and amazing quality. true to size. i ordered a 6 and fit perfect."/>
        <s v="Love these pants. super light and great color. they are a bit long though"/>
        <s v="Very nice top. flattering and goes with everything. i bought the medium in the green but would have needed the large in the white as the white was a little see through and showed more of my flaws. i agree with the other reviewer in that this top has good "/>
        <s v="This is a gorgeous top. very well made with a classy design. it fits true to size from the lower chest up. however, at about the mid-belly range, the shirt widens out and basically allows a 5 month twin pregnancy to comfortably fit in. size xs. i was so s"/>
        <s v="I purchased this and another eva franco dress during retailer's recent 20% off sale. i was looking for dresses that were work appropriate, but that would also transition well to happy hour or date night. they both seemed to be just what i was looking for."/>
        <s v="This shirt has such a fun twist on an otherwise basic jean shirt! i bought this shirt on a whim despite having a closet full of denim shirts... and i'm glad i did! the fabric is the same cloth"/>
        <s v="Disappointment city with this one and i am so lucky i had a coupon because if i would have paid the full $128 they are asking, i would be a tad skewed. not just thin material but thin and cheap feeling. doesn't itch but i seriously expected a lot more fro"/>
        <s v="I first bought the red &amp; green at the store. when they went on sale bought the blue &amp; ivory. love, love ,love these shirts! they go great with a skirt or jeans. so happy i got them. the fabric is stretchy, but still fits very nicely. what a great buy, hop"/>
        <s v="These jeans are well-made, the cut is decently flattering, but on more muscular thighs, it would look nicer if the cuff was a bit higher. the petite on me was just below the ankle, so it just looks like i folded my jeans because they were too long. if you"/>
        <s v="Iordered hte petite after trying the rregualr size in the store, and i will have to wear heels with the pants... or get them hemmed... the color choices are all great, i wanted navy, but i have a pair of grey ones that look similar, so i deciced on the ne"/>
        <s v="I ordered these in my usual size and could barely get them on. they fit ike tight leggings. they have spandex that is comfortable and they will probably stretch as you wear them,. i exchanged for the next size up, because the style is great for year -roun"/>
        <s v="I love love love the fit in the corduroy, so thought about grabbing these jeans as well. they fit much pretty well, just the color wasn't quite right. i'm really picky about the blueness of my jeans, and these don't quite match the coloring in the photo. "/>
        <s v="I love this shirt, it's easy to belt. i just wish it was tighter."/>
        <s v="Finding pants off the rack that fit me is always a challenge - i'm petite (5' 1'), a bit curvy and short-waisted, so many of today's low-rise styles just do not work for me. however, these pants are a better cut and come pretty close to a perfect fit - co"/>
        <s v="I absolutely love these pants! i have been searching for a pair of linen pants for quite a few years but have never really found a pair that looked good on me until now. i have usually found linen pants to lack shape and end up making me look frumpy but i"/>
        <s v="These are the most comfortable, happening pants i have ever owned! they are extremely flattering and slimming at the waist. i am a size 4 and bought the 4, and they fit perfectly. they are a bit long, but after washing and drying on low, mine shrunk enoug"/>
        <s v="I love these jeans, well,i have not worn them out yet so not sure if they will stretch, but just in terms of fit and cut, i really like them. i normally wear ch or ag in 25 or 26. i got these in 25 and they fit perfectly. i love the stretch, great color, "/>
        <s v="I'm an avid retailer shopper.&#10;i bought this dress for my niece, her style tends to run &#10;bohemian/gothic.&#10;the style, fabric and overall design/quality of this dress, is something i felt she would like (even though the color is not black).&#10;she loves it - pe"/>
        <s v="This dress is absolutely beautiful. i was hesitant to purchase it due to the price, but i just couldn't resist. it's so flowy and comfortable. it's quite long on me; i'm 5'5 and have to wear heels so that it doesn't drag, but could easily be fixed with al"/>
        <s v="Short and wide. the color and print are so pretty, but the shape isn't flattering, at least not to me. might work better on a teen?"/>
        <s v="Kicky looking pants, that i got at a bargain basement steal. i'd be kicking myself if i didn't buy them. can't wait to wear them once it warms up. they'll look great with a lightweight, boxy sweater and flats. i tried on the 4 and the 2 and the 2 is perfe"/>
        <s v="I'm keeping this blouse anyway. i purchased the olive and it's such a great color. i live in a warm climate and really don't need long sleeves, but since the color is so great and pairs well with a lot, i will keep it."/>
        <s v="I absolutely love these pants. i got the yellow and it is a beautiful, soft color. the fabric is soft and flowing. i am 5'1&quot;, 102 lb and the 0 petite fit perfectly. some stated they are too long even in petite but i disagree. the patch pockets are darling"/>
        <s v="I was excited to try something by this designer and decided to order size large. unfortunately, this top just looked very odd. cute from the front but it wings out in the back where the sleeves meet the arms. the fabric makes an odd poof in that area. i d"/>
        <s v="I am powerless to resist hot air balloons and had to get these the moment they popped up! the pjs are charming and comfortable. the material feels very satiny. it's hard to tell, but there are small white dots in the midst of the champagne colored backgro"/>
        <s v="These pants are exactly what i expected. true to size and color were perfect! they feel so good to wear and love the detail in the sewing. perfect office attire or night out for dinner. just add a fancier blouse. ta da :)&#10;would highly recommend them."/>
        <s v="I will be living in these this summer! i couldn't find them in my local store, so i was pleasantly surprised when i received my grey pair from my online order. the fabric feels so comfortable with just the right amount of stretch and the cut is very compl"/>
        <s v="1. i'm 5'5&quot; tall, 143 lbs, and 38-32-40 and my normal size 10s fit me perfectly."/>
        <s v="Gorgeous dress. perfect for something special. paired with black heels. runs a touch large. i normally wear a small (5'6 and 140 pounds) but i'm expecting so i sized up to a medium and it's very roomy. the sleeves do cap out a little too much but it's jus"/>
        <s v="The perfect jeans for daytime and bending down with the kids or dressing up later for night. i love that the cuff isn't sewn, so you can choose to roll them down too. with just the right amount of stretch, they are extremely flattering. they are definitel"/>
        <s v="These pants are so great. i am 5'10 and the talls are actually a hair too long. but no complaints! just wish they made every color available in tall. i had been waiting for new colors to get a second pair and was disappointed they are only offered in regu"/>
        <s v="I love these pants and have two colors from last season. they are well-made and versatile. however, given the amount they stretch and the summer season for sandals, 30.5 is a tad long for petite. i'll have them hemmed an inch to keep them from dragging on"/>
        <s v="Love all pilcro, this is no exception. very flattering. slim fit but not skin tight. comfy!"/>
        <s v="I am so glad i waited for this to go on sale! this shirt is incredibly soft, with great detail on the fading. i ordered a medium (5'10&quot;, 160 lbs) and it fits perfectly."/>
        <s v="Nice length in tall.  order up one size: cut slim in body.  fabric lightweight bordering on flimsy."/>
        <s v="The retailer store had mostly white left of these pilcro linen pants so i tried them on. the main reason i did not leave the store with them is because i could see the washing tag inside the pants as clear as day. the white pants were just too see-through"/>
        <s v="I had been looking for a chambray shirt, but am not a fan of the typical button-down style. this shirt is very versatile, but is far more interesting with the lace up neckline. i received multiple compliments the first time i wore it. the material is incr"/>
        <s v="These pants are flattering and comfortable, plus they are cute, cute, cute. i'm a little too conservative to wear them with a striped top, but with a solid black or ivory/off white top they are perfect. can be work appropriate with a blazer or twin set or"/>
        <s v="I never write reviews but this dress is so fantastic i felt compelled to write one. it has unbelievably gorgeous detailing, from delicate beading and sequins on the bodice to the three layers of the skirt: slip, floral pattern, pleats. i literally feel li"/>
        <s v="This dress looks lovely on the model, but it looks just awful on me!&#10;i am 5'4&quot; and curvy. the shoulders are cut w/ a weird shape. instead of a cap sleeve, it is like a pointy cap on the side and stuck out on my shoulders. it looks like i am ready to get b"/>
        <s v="These are great quality and hang very nice. tts. i'm 5'6&quot; and about 130lbs and the 2 fit and hit just above the ankle."/>
        <s v="I ordered the neutral in a 2p. i had to hem them. i 5' about 110lbs. i wore them to wore. they wore beautifully with some wrinkling to be expected with linen. but they didn't look like i slept in them. i ordered another pair same size right after the firs"/>
        <s v="It's pretty, floaty, feminine; the photos don't do justice to the prettiness. but the photos also don't show an asymmetrical hem. i understood it runs small so i got two sizes, to be safe, and even my larger size was strangely short-waisted, and i'm short"/>
        <s v="I own this shirt in dark green,&#10;navy, and white.&#10;it is perfect. it drapes in such a flattering way, nice weight.&#10;it shows curves in all the right ways but does not fit too snug, emphasizing every flaw.&#10;and finally... the buttons are placed perfectly so th"/>
        <s v="I like the feel and color of this blouse. however, i was very disappointed with the sizing. i usually wear medium so i ordered medium for this blouse, it fits way too big. it is a bummer because the &quot;curve&quot; is not even visible when i wear it."/>
        <s v="I love these jeans and have been wearing them a lot now that the weather is turning a bit cooler in my area. i like that the cuff is not sewn in, so you can wear them with a cuff like pictured, or fully unrolled/down. they are a bit higher-waisted than i "/>
        <s v="Very cute. i received many compliments when i wore it. fits true to size (petite 2) with some good stretch in it. i am 5'3 and it was slightly longer than that on the model. it is a little odd that the buttons are all not the same. but perhaps that is par"/>
        <s v="I ordered this in a size s, my usual size and it fits great. i love the color, style and fit of the dress. the only criticism i can think of is the braided trim on the skirt hits right at my hip and kind of, ever so slightly, poofs out a bit and i wish it"/>
        <s v="This is a great basic t that works with shorts, pants, or a skirt."/>
        <s v="Such a cute skirt- but impossible to get on. ordered in an xs (i have a 25/26 waist) but could barely get it past my knees to step into. if you have any hips at all, unfortunately this skirt won't work. i was tempted to size up but once i got it on it fit"/>
        <s v="So glad i ordered this dress. it fits true to size and is extra soft. i was unsure about the color, but it looks nicer in person. the fabric is a mid weight that hangs nicely. this will go great with leggings or tights and wear into spring."/>
        <s v="It was very pretty,but it ran very big , sadly i had to return it."/>
        <s v="I thought this dress was very cute on the model, however it was way too tight across the chest for me. going up a size would mean it would be too roomy everywhere else. also, fabric wasn't great."/>
        <s v="I like many of you had the same issues. i tried my normal size of xs and s and couldn't get it on. the sales associate looked at it and went and got several size small and they all fit differently. some fit normal and others did not, so i would try on fir"/>
        <s v="I've had my eye on this for awhile, glad it was still in stock.  really great deep wine color, soft.  more texture and detail than i had appreciated in the picture.  love."/>
        <s v="Ugh.  i was so excited to get this dress and for 30% off.  this dress is adorable.  unfortunately the top part is super tight around my girls.  otherwise the fit was perfect.  very disappointed in the top of this dress."/>
        <s v="You will love this cardigan. very well made with beautiful details. the sleeves have the same detail as the collar and the back. has darker flecks that will go well with dark pants or cords or jeans. you will love this cardi! wish it came in more springy "/>
        <s v="Really cute skirt, but difficult to get on! i had to shimmy it over my hips due to the lack of a much needed zipper. i am not very curvy, so if you got them, forget it! i sent back the xs - hope the small is a little roomier because it will make a pretty "/>
        <s v="Cute skirt but i agree with the other reviewer. you can't get it on! i tried my skinny daughter tried no go!"/>
        <s v="This is a beautiful sweater! it is not too heavy and the variation in knit from front to back makes not the same old boring sweater. the color is gorgeous."/>
        <s v="I would definitely only recommend this top to girls who are smaller chested. it fits in the shoulders/arms, and then flares out too much at the bottom, almost looks like a maternity top. the material is very nice however - both soft, and feels like it wil"/>
        <s v="I just love this dress! the color, the quality, the design - all great! sizing can be tricky however. i sized down due to reading the other reviews, and i'm glad i did - it fits perfectly! this dress does not have a zipper on top, so if you have broad sho"/>
        <s v="I purchased this sweet little cami in all three colors (the black for some reason only available to order in store). the fabric is luxurious and smooth to the touch! i've purchased other silk shells by eloise and would say this one runs small. i'm 5'2&quot; 12"/>
        <s v="I originally bought this dress in another color back when retailer was doing the 25% off dresses promotion a few months ago. i had seen it on a store associate at my local store and absolutely loved it, but hemmed and hawed at the original price. it was a"/>
        <s v="This looked like such a cute, casual skirt when i picked it up but like other reviewers have said, it runs small. i'm usually a xs in retailer skirts but they only had a small to try on. i was able to get it on but did notice it was snug pulling on past m"/>
        <s v="This shirt is perfect for me. i have very small shoulders, but i am pear shaped. so the flare on the bottom is welcomed for my body type. i bought 2 colors. i have a similar shirt from retailer a few years ago that was multicolor which i wear all the time"/>
        <s v="I thought it was only me and immediately assumed i needed to go on a diet when i attempted to put this adorable skirt on. it got stuck at my hips. i'm a very consistent size small in dresses and skirts. i actually thought about putting it on over my head "/>
        <s v="I ordered this winth some trepidation as the dress looked a bit baggy on the model. i don't typically buy this style of dress because many times, they are unflattering on me. i'm 5'6&quot; and 130 lbs, in very good shape. the small was perfect for me. a size u"/>
        <s v="Ugh. this skirt is beautiful and so well made, but i sized up to a 0 from my usual 00 based on reviews, and it's too large, and now my size is all sold out! if it were the right size it would fit beautifully! i'm pretty much a stick, (5'5, 105lbs) and it "/>
        <s v="Been on the hunt for jammie's so gave these a shot. ordered my normal size large. fit well in the waist but i don't like the super wide legs. and they're too long. pretty color and pattern, however, the fabric isn't as soft or cozy as i hoped. i'm retired"/>
        <s v="Facing the mirror--near perfection. high waist emphasizes the narrowest part of the frame--pleats nicely hide any stomach flaws. color is an eye-catching deep mustardy perfection and the interlocking button pattern is creative and beautiful. the problem i"/>
        <s v="I'm: 34a, 125 lbs, 5'8&quot;&#10;purchased: small&#10;&#10;i was going back and forth between xs and s. i decided on small because it fit better in my arms, didn't feel as tight. the xs fit well in the torso area and didn't have as much fabric as the small. the small also"/>
        <s v="I bought this skirt a month or so ago and only wore it for the first time yesterday. i thought the design was fluid, summer appropriate, and easy like sunday morning. i enjoyed wearing it so much that i went on to the retailer site today to order it in an"/>
        <s v="Cute design with interesting details. i felt it ran a bit large. i'm 5'8&quot;, 135 lbs, an 8 was too big and baggy. my biggest complaint with this skirt is the color. it's just not flattering."/>
        <s v="Okay, i get the idea of the loose swing dresses but i have a couple that do it well without looking like a moo-moo. i ordered my &quot;typical&quot; pxs. the length was good and the color beautiful. i like the details of the dress but it was huge and not in a flatt"/>
        <s v="Dear creatures always has sizing issues. they run the gamut of bust-problems. i'd been salivating for this dress for a long time so i really did my homework. at 5'7&quot;, 130-135 lbs, 34c, 28&quot; waist - typically a 4 in dresses... i bought the small. each dress"/>
        <s v="Fell in love with this the moment it arrived in stores. whimsical but work--appropriate. i'm typically a 4 in dresses. i would say this skirt runs tts; however, the front pleats will create a pouch-y stomach if you have a small waist and a lucious anythin"/>
        <s v="This skirt is very pretty, but not only does it run small but only a small portion of the waistband is elasticized, so there's very little stretch. for those of us with a significant difference in our waist and hip measurements, there's no way to get this"/>
        <s v="This skirt is beautiful...the color is definitely more a greeny-gold then a true yellow gold...nice quality fabric, has some stretch, big pockets with cute lining, buttons are adorable, perfect knee length, sits higher on the waist. because it's not lined"/>
        <s v="1. i'm 5'5&quot; tall, 145 lbs, and 38-32-40. i'm normally a size 10, but i took a 12 in this skirt.&#10;&#10;2. it's comfortable and has pockets that you can really put your hands in.&#10;&#10;3. sits at high waist. hem hits below the knee.&#10;&#10;4. i didn't like the buttons. the"/>
        <s v="This is a very classy sweater/jacket. it is a beautiful color. i had not even noticed it until it was on sale, and then read all the favorable reviews. it can be dressy or casual as seen in this photo! so glad i got it!"/>
        <s v="This is a great basic tee (purchased in navy) but fits much larger than it appears on the model. the arms/chest area fit fine but it really billows out below. the front is shorter and the back is longer than i would've expected. i thought this would be gr"/>
        <s v="I absolutely love this gorgeous cardigan. i will wear it for years to come!!"/>
        <s v="I tried this skirt in my usual size s, and although it fit, it was too short for my liking and made my hips look wide b/c of the way it billowed out. the size m looked much better- hit me right below the knee in the front. (i'm 5'2&quot;) my skirt is much more"/>
        <s v="I love this skirt! it is a lovely and soft gauze layer with lining underneath. i live where the summer&quot;s are hot and humid and this skirt keeps me cool when everything else just sticks to me. it is, for sure, very limited because it does not have a zipper"/>
        <s v="I adore this dress, the perfect summer dress that you can dress up or down. the color is vibrant and the fabric flows and feels fantastic against your skin. i love that you can still wear a strapless bra with it, but with the adjustable shoulder ties you "/>
        <s v="One of the things i love most about this dress is that the straps are adjustable. you can tie them as loose or tight as you like. like other reviewers mentioned, the color of this dress is vibrant and the fringe at the bottom is the perfect detail retaile"/>
        <s v="Love the deep purple color of this cardi sweater - long and drapey looks great with leggings skinnies and jeans. my only problem is the way the loose stitching around the cuffs is makes it worrisome. wore once and already starting to get a hole. still a g"/>
        <s v="Yes, this top runs large and it doesn't show your curves, but it's still really cute and fun to wear. i first purchased the beautiful sage color, and after getting compliments, i also ordered the navy version. these tops are easy to wear, have an interest"/>
        <s v="I agree with the other reviews - runs small. would have been perfect if it actually was comfortable. waistband doesn't stretch all the way around. bummer."/>
        <s v="This swimsuit is aaaahmazing. seafolly is an australian brand and their sizing is way off, luckily i already own a one piece by them so i knew what size to order. i am usually a 0 or a 2, chest size 34 d, and i ordered a 6 in this and it fits perfectly. t"/>
        <s v="I typically wear an xs to s in tops and purchased an xs for a less flowy fit.  this top has a luxurious feel and the green color is really beautiful (more matte than shiny).  perfect piece to wear under a jacket or blazer."/>
        <s v="Great piece just wish it fit a bit more blousy rather than cami"/>
        <s v="This top! it is so simple, but so great at the same time! it does run large, and i'm not a skinny girl... but it has a style that is certainly meant to flow away from the body as it goes down. i find the top portion very flattering and the looser bottom s"/>
        <s v="Color, style, adjustability, easy fit, flattering!  yes on so many levels!  oh wait it's on sale!  fantastic, magnificent and pretty!  i bought medium and in 39-28-35"/>
        <s v="It's a lovely and unexpected sweater. a few things to keep in mind- &#10;&#10;- the knit details are beautiful- the pictures don't do it justice.&#10;&#10;- it's pretty lightweight.&#10;&#10;- the color is a little darker than the picture shown- it's a very dark plum&#10;&#10;- it runs "/>
        <s v="What an adorable and frustrating skirt! i'm not a large person: 32d-26-36. and i ordered my normal size small. this is a pull on skirt, and the waist opening could not accommodate either my shoulders or my hips. in most retailer clothes, i'm either a size"/>
        <s v="This sweater was huge, it hung down to my calves! it also is really bulky and scratchy, it feels as if you are wearing an old wool blanket. i think it is only made for really tall and skinny people. i'm 5'2&quot; and weigh 120lbs. and i ordered a size s, and i"/>
        <s v="Fit is tts and comfortable. the color didn't suit mine but if the color works for you then grab it because it's a beauty"/>
        <s v="I have been searching for a comfortable pair of flared jeans to wear with tennis shoes or flats. i have tried several different brands and these are amazing! they are super soft and comfortable with just the right amount of stretch. the coloring is excell"/>
        <s v="This top is just adorable. i'm usually between an xs and a small and i went with the small and it's a little more roomy. i wanted it to be long enough. the colors are beautiful and it's a must have."/>
        <s v="Gorgeous linen blend tee. purchased in grey and white. classic timeless staples. fits baggy which i love. for reference i am 32a 5'1 105 lbs. love love love!"/>
        <s v="I loved this top . it is beautiful."/>
        <s v="The picture doesn't do it justice. i am wearing it right now with cream pants to work with a cardigan i also purchased from retailer and it looks amazing. the fit is true to size. i am large chested but it fit comfortable...i did go up a size so it is a l"/>
        <s v="So stunning, i had to have it for my spring wardrobe! fits true to size and fits well in the bust and is looser on the bottom. the model weara it just as it fits on me. if you have a large bust you may need to size up as the fabric isn't stretchy."/>
        <s v="Besides being my favorite color to wear, this dress oozes vintage glamour while not looking like a costume. the fabric is super silky and will need a professional steaming to get out any wrinkles. the fit is not what i'm used to, because it fits in a 1940"/>
        <s v="Cute dress that is perfect for a casual summer wedding or brunch with friends. i love the material and that the dress is lined. it is very comfortable and it has pockets. this is definitely more of a ?golden? yellow vs. a soft yellow. my only complaint is"/>
        <s v="Material is hard to wear a bra under it"/>
        <s v="Very soft fabric. does begin to ball up due to boucle material, very common"/>
        <s v="These jeans hug in all the right places. the high waist accentuates my body and makes my legs look a mile long! the jeans will need a trip to the tailor to be hemmed, pooling even with my highest heels."/>
        <s v="Loved the way these felt but like the previous reviewer said it did run slightly large. i am usually a size 6 or m and the legs were a little baggy w/the medium. since the m is sold out i'm going to try and see if they shrink in the dryer. the color and d"/>
        <s v="Beautiful dress! perfect mid length dress for the colder months. i tried a size 2 regular first (my normal dress size) but it was a little baggy, so the 0 fit perfectly."/>
        <s v="The pleats on the bib make this look like something from chloe sevigny's wardrobe on the set of big love. and the shoulders are cut for an offensive lineman."/>
        <s v="I absolutely love this dress. i feel it's the perfect year-round piece. looks super cute with boots or booties. even with a cute baggy sweater over it. i am usually a small or medium, depending on brand. i'm a small with this one. and i actually like it w"/>
        <s v="Other reviews are correct. but this has potential to look as good as on the model - structure and quality of the cotton are very flattering. makes legs look miles long. however this fits very tight, allows no room for extra tummy, hips, booty, or thighs. "/>
        <s v="I have been hunting for a pair of high rise flares that have significant width at the bottom and these are perfect. i love the vintage silhouette and how they make your legs look a mile long and i adore how they open wide enough to cover my shoes, not to "/>
        <s v="Beautiful, unique, colors perfect for winter. i received so many compliments at two holiday parties. and on sale, this is a no-brainer"/>
        <s v="The picture online doesn't do this pretty dress justice. i'm curvy, and always searching for dresses that don't make me look like a sack of potatoes. its pin tucks at the bust give it a little shape, and the print is much more vibrant in person. will look"/>
        <s v="Received this dress yesterday, love it!&#10;my initial hesitation in ordering this dress, even though it is my fav color....was rather bright for sept..&#10;but loved it and decided to order and wear it next spring.&#10;delighted to open the package and see that the "/>
        <s v="This is a beautiful dress with unfortunate design flaws at the bodice of the dress. the fit at hips and length is perfect, falling just to my knee (i'm 5'5&quot; 142 lbs.) and grazing my hips. in that regard the fit is spectacular. but the bodice seems cut ver"/>
        <s v="This dress is sure to become one of my favorites! i ordered it online and the colors are even prettier in person; very vivid! it is a little light for the climate where i live right now but, i'm sure that as soon as it gets a little warmer i will be weari"/>
        <s v="Nice but i thought these ran big. me: 28-29' waist, 36&quot; hips, athletic thighs. usually a medium in leggings but these size mediums were a bit baggy to my surprise. hoping to exchange for a size down as they are pretty, the ankle detail is fun and decently"/>
        <s v="I absolutely love this dress! i wore it with taupe tights and suede boots and got so many compliments. i have also worn it over leggings, and can see myself wearing it in the warmer months with sandals. even though the material is somewhat thin, i did not"/>
        <s v="I bought the pink, which is a vibrant but not neon shade of deep reddish pink. love it. i love how the flutter of the sleeves is balanced with a slimmer fitting body, which keeps it from looking frumpy. i did order a size down to achieve this look. i pref"/>
        <s v="I got the pink color, which is really vibrant and beautiful in person. this top is low cut, so if you don't like to show much cleavage plan to wear it over a cami.&#10;&#10;i'm 5'5 145lbs, 37-29-39. got a size medium. it fits okay in the bust area, but is much lo"/>
        <s v="I love sanctuary clothing. this parka is on the lighter side, good for this mild east coast winter. it is water repellent. the length hits me on my upper thigh and the sleeves are long ( good for longer limbs). i received many compliments."/>
        <s v="Very flattering, not too short, beautiful. i'm 5.6, 36d, usually wear m in dresses, wide hips. the 8 fit very nicely."/>
        <s v="Finally a white top that is not see through! this tank is very form fitting and flattering, but does not hug too tight. i am neither large nor small breasted and love the way the v-neck fits on me. for reference, i am 5'2, 105#, 32c and i got the xxs."/>
        <s v="Very pleasantly surprised by this top! it's looser, but in a flowy not baggy way. i ordered the m. the&#10;vee is just right on me, tasteful but just low enough. love the sleeve length&#10;ordered thinking another black tee , but it's going to be well used,and gr"/>
        <s v="As one would expect from boucle, this sweater is incredibly soft, warm and cozy without being heavy. i fell in love with it when i first saw it and got it in white color. it's beautiful, goes with casual and work clothing (belt helps with the latter styli"/>
        <s v="There is a lot of fabric here! the legs fit me fine, but they are long and when you roll them up it creates a bunching of fabric in an awkward area. i've also found that they don't stay rolled up in the back, especially if you sit down. it's a shame since"/>
        <s v="Gorgeous dress! fits true to size with high quality material. the colors are stunning."/>
        <s v="These jeans are awesome! i usually wear a 26 in ag jeans as they tend to stretch, but i ordered a 27p because i am only 5'1 and these are a flare style. i have a small waist but a larger booty, and these jeans hug me in all the right places. they also hav"/>
        <s v="I purchased this dress online after two reviews and i am so glad i did. this is a work of art and beauty and will be my go to dress for spring and summer weddings, special occasions and other events. i am so glad the arms are covered with lace and flowers"/>
        <s v="Even on sale, this was just too pricey for what it is, which is a glorified tank. i liked the straps, but it hangs very wide off your chest."/>
        <s v="I wrote item ran large, but that was true only in length. it would be long for someone 5'10&quot; . however the bigger issue is getting it on. the style and quality are quite nice, but it does have some issues."/>
        <s v="I'm either a medium or large in retailer tops. i was able to wear a medium in this top. the color is vibrant and the material is soft and light. it will be a great spring and summer top. can't wait to wear it."/>
        <s v="This dress runs large so i sized down. when it arrived i looked at it and thought the fabric was ugly and boring for a dress. it sat there for about two weeks till i tried it on. i love it! it is so comfortable and is so cute how the pockets hang. all it "/>
        <s v="This dress is amazing ! the colors in person are so vibrant and yet organic somehow at the same time. perhaps this is because the fabric has a really nice depth and texture to it. i got this dress for a summer wedding and it's casual yet dressy at the sam"/>
        <s v="Love the pockets! fits loose, but lies nicely. comfy but able to be dressed up or down. great versatile dress."/>
        <s v="This t-shirt does a great job of elevating the basic t-shirt in to one with a touch of flair. i typically wear a medium but luckily read earlier reviews and went with the small."/>
        <s v="I'm so happy to add this lovely and unusual dress to my fall wardrobe. i absolutely fell in love with it the moment i tried it on. i wear a two or four, depending on the designer, and the two fit me perfectly. another reviewer said it's special occasion o"/>
        <s v="I ordered a 6p in this dress so it wld fall above my knees &amp; be slightly smaller than a regular 6. sometimes a regular size 4 works, sometimes a 6. typically a regular size 6 is big on me. i am 5'3&quot;, 118#, 36c. just recd the 6p in the mail. the first thin"/>
        <s v="I love the colors of this dress, and i waited for the sale since it isn't really good for work. i wear size 6 in hd all the time, but this one doesn't fit at all on the top. the bust is cut for someone really curvy, but the bottom is for someone really st"/>
        <s v="I love this dress! tried it on at the store. they only had medium. while i'm usually always a medium, it fit perfectly but pulled at the bust (i'm a 38). i ordered a large online the next day. i have it now and i am extremely pleased. the pattern is uniqu"/>
        <s v="This dress is adorable and well made. this brand runs on the large side. i ordered an xs and the tag says 'p&quot; on it. it's not petite. it ran large through the hips and will need alteration. i'm keeping it because it is really cute and is well made. the ma"/>
        <s v="This dress is so cute. i love that it has pockets. it looks great with sandels, and also ballet flats. it is airy, and run true to size. i wear a small, and it fit perfect. i even bought the other navy, and cream dress. you will wear this dress over, and "/>
        <s v="I loved the aesthetic but as a true hourglass shape, i was frustrated that it didn't have a little more give as i tried to pull it over my head. the fabric was stiff, and seemed to be lace over cotton? not entirely sure. i couldn't get past the feeling of"/>
        <s v="I purchased the green print which has so many patterns and colors which makes this dress have a very interesting look. i love that it has a drop waist because it is so flattering to most body types.the other thing i liked was that this dress came in petit"/>
        <s v="I thought the quality of the fabric was good and liked the idea of wearing it, either with opening in front or back. it was a little larger then i was expecting and i wish it had a closure, (hook and eye or snap) at the top. it has three places in the bac"/>
        <s v="Went to the store in search of a butter dish. tried this dress on a was shocked at how comfortable, versatile and all over appealing this dress is. i'm 5'10&quot; and the medium hits at my knees.  as always i think the quality could be better. it's not somethi"/>
        <s v="I saw this top on sale and tried it on right away. my normal medium was too big, so i purchased the small in the rose color. wore it with a shimmery kimono and cream colored pilcro boyfriend jeans. wow, what an outfit!!!!&#10;then i washed it according to dir"/>
        <s v="This is my second dress from this designer. it is very comfortable, stylish, and looks great with sandals/wedges. i would have given it 5 stars but the neckline was a little lower than i expected and the length was a little longer. i am still keeping it t"/>
        <s v="I'm 5'4, 125 lbs, &amp; have a 36 c/d bust; the xs fits great.&#10;i wash everything in cold &amp; line dry... this was no exception. when i took it out of the washer i knew immediately :( i've pulled it back into shape &amp; hung it up, but we'll see.&#10; dry clean if you "/>
        <s v="I will preface this review by stating that this item was available only in one size at my local retailer. they have a section of dresses mostly offered online that are in store for you to touch, see, try on and order through the store (which is much appre"/>
        <s v="I love this top, wish they had it in more colors, i would buy more!"/>
        <s v="I purchased this with some hesitation, having read that some people thought it was unflattering. but i couldn't resist the sale price, and i love a low-maintenance work top and doesn't require ironing. this fits the bill perfectly. it's made of high quali"/>
        <s v="I wanted to love these. the fabric was soft and they were good quality but they fit differently than the hyphen chinos and were too small. sadly, i had to return them."/>
        <s v="Should've ordered a larger size. it runs a bit tight around the top and the zipper isn't that helpful."/>
        <s v="This was my first tiny shirtdress purchase after seeing the past few patterns/seasons. for me the last few were a little too busy, but something about both patterns this season felt right for summer. i'm 5'7&quot;, 128# and found my usual s to be too long in l"/>
        <s v="I'm 5'6 and between 100-105lbs. buying clothes from retailer is always a stuggle because i have a petite frame but i don't fall into the petite height range. i usually order a petite size and just deal with the shorter length, which is hard when you're al"/>
        <s v="I love the ease of this dress. the style can be dressed up or down. the straps are inset a little which doesn't work for every body type. the thin material can get caught and snag easily but otherwise this dress is a simple chic addition to my closet. the"/>
        <s v="Dig this top but a little different from what i was expecting. the outside is indeed a bit stiff and scratchy but it is lined ... but definitely would've appreciated a softer fabric. however, the cut is cute and flattering and the pattern is adorable so i"/>
        <s v="I purchased this based on previous reviews. the quality of the dress and the print is excellent. the dress fit me perfect in the front however there were so much extra fabric in the back that it made me look extremely large. i understand it's a shirt dres"/>
        <s v="I usually don't even consider this style of shirt, but i was intrigued by its soft fabric and texture. honestly, i love this shirt! it is so flattering and a perfect staple for any closet! i can wait to wear it out and about!"/>
        <s v="I am between a xs and s but figured i would order down based on the reviews. well, it's still huge. i have about 5 inches that i can take in from the side. i have ordered the xxs and am hoping it will look more flattering. i love the colors and design, bu"/>
        <s v="The first reviewer said it was small in the bust, but the 0p i ordered fit everywhere, rib cage and all, but was gaping at the bust (in the back). i would say overall it was true to size but if i sized down, it would be too snug in the rib cage. i am 30dd"/>
        <s v="I had my eye on this for a while, and my store finally got it in (in tmie for the 40% off sweaters). too bad hte petite size was already sold out by then, however good thing isthe xs stil lfit me in a nice way. i wil lnever know about petite, decided to j"/>
        <s v="This is a great dress for those days where you just want to throw something on but still look put together. it hangs so well and feels so comfortable yet it has a style that is a combination of bohemian and part sophisticated . the colors are muted but th"/>
        <s v="I wear a size 4 and i ordered the small for this top. it is huge and gave me a maternity-look that i wasn't going for. i was hoping for a loose, body-skimming fit as shown on the model in the picture but that wasn't happening with this top."/>
        <s v="Love this layering piece! a little low cut for my personal comfort, but a tank underneath works great."/>
        <s v="I originally purchased a small after reading some of the reviews. although it did fit, i felt it was just slightly snug across the chest and upper arms. i returned for a medium (my usual size) and it was perfect. it had the same look and flow as what you "/>
        <s v="Love love love this dress.  fits like a glove. beautiful details. amazing quality. i'm so happy with this dress and know i'll have it for years. :)"/>
        <s v="This jacket is gorgeous! the design is visually very interesting. the fabric is light enough that i can wear it to work and keep it on all day."/>
        <s v="Love this sweater! the abstract floral design adds an understated romantic touch, the red is a beautiful rich red, and the cotton is super soft and comfy. i've tried it on with pencil skirts and jeans, and it looks great with both. i'm considering buying "/>
        <s v="I am totally in love with this sweater!! it is lightweight, comfortable, and very versatile. throw on a pair of jeans and it is casual. throw on dark slacks or a skirt and it is dressy. the design does not become the focus of the sweater but rather takes "/>
        <s v="I was very nervous to buy this top, but because it was on such an excellent sale i went for it- tops like this usually end in me showing a ridiculous amount of cleavage or not being able to zip (i am a 32ddd) it past my waist. i ordered a small based on t"/>
        <s v="I really loved the colors in this dress and was looking for a long sleeve dress. this style may just be big fitting but the sleeves were way too long and the dress was just shapeless on me. i usually wear a small or a size 4 in clothing and the size small"/>
        <s v="I love everything about this blouse except for one thing: the peplum just hits way too high up on the body, and i am only 5'4&quot;. 106 and ordered a regular size 2 (not petite) which fits perfectly except for this. it is made of a beautiful textured fabric a"/>
        <s v="Super cute, flattering design but the material is itchy so it's going back:("/>
        <s v="I tried this on at the store in the regular size it came in and thought maybe it has some potential is i ordered it for me in a petite since that's what i am. i ignored the package when i first got it thinking it wouldn't really look right but omg, it's 1"/>
        <s v="I bought this shirt to wear to work (i'm a teacher). this shirt is so amazing. i'm able to pair it with work pants to dress it up, and in denim to dress it down. the cut is incredible, with the peplum waist coming right below my breasts a little above my "/>
        <s v="I honestly bought this shirt on a whim the other day in my local retailer. i was drawn to the color and the swing. first of all, this shirt is incredibly soft and lightweight. i love the flow of the loose peplum. the straps are nicely placed, because they"/>
        <s v="Comfortable, relaxed fit. i am very top heavy and the generous cut of this dress worked well!"/>
        <s v="This top is comfortable and flattering. i really like the simplicity- a wearable basic summer top, with a cute twist, just enough to make it contemporary, but not overstated."/>
        <s v="I fell in love with this dress online and went to try on in the store. i'm 5'6, 128 lbs with some boobs, usually a s or size 4. i tried on the s and xs, and ended up buying the xs - and i've never worn an xs in my life. it is long and loose, hanging right"/>
        <s v="This dress is comfortable and the pattern is really nice with some good attention to detail on the lace trim and pockets. i ordered this in my usual pxs (i am 5'2&quot;), but this definitely runs very large. it is a shirt style dress so i didn't expect it to b"/>
        <s v="This will be a favorite sweater this winter. it has a loose but flattering fit. i purchased the red (a deep rusty red), and it fits me exactly as it does the model pictured...slightly loose but flattering, mid hip, open neckline. you can't tell in the pic"/>
        <s v="Looks great in the picture but when i got this in the mail the fabric was so stiff! shaking it out did nothing-almost like it was dipped in drying glue. i got this for $10 which is so cheap and i still returned it!"/>
        <s v="I bought this dress in the green. it runs big - i usually take a s and had to return for xs - i am 5'5&quot; and 125. it flows beautifully and can be dressed up with heels or worn completely casual with flip flops. worth every penny!!"/>
        <s v="For a brand called &quot;tiny&quot;--this dress was really big. i ordered my usual m and it was like a sack--virtually no shape to it at all. i haven't been a small in many decades, so i'm really hesitant to order it again. i'm afraid i'll be like goldilocks--&quot;too "/>
        <s v="This tank runs very true to size. i ordered my usual size 8, which fits like a glove. couldn't go any smaller. very pretty fabric which is lined above the peplum. i personally like the higher peplum, but it's a personal choice. great purchase!"/>
        <s v="I love the black and grey version of the vest but decided too try it in plum. the plum color is used only on the lapels and inside of the garment. it has no finished seams but it is like a soft boiled wool so it wouldn't ravel. the seam in the waistline a"/>
        <s v="This was a christmas gift to my sister. she liked it so much she wore it the day after opening it. very cute design, lovely deep red color. only thing to look out for is the potential of fabric to snag - looks like it may do so easily if wearing long jewe"/>
        <s v="I tried this jacket on and it was definitely cute but a couple things to note. it's a wool acrylic blend and it was already starting to pill from being tried on in the store. also, it's unlined. i thought the price point was high given its fibers and unli"/>
        <s v="I absolutely adore this shirt!!! the pinkish rosey color is beautiful and ended up being better than i had imagined. i will say that the shirt is a bit more casual than i thought it was going to be, the way it hangs or something..not really sure. nonethel"/>
        <s v="This dress looked super cute in the picture and on the model. i ordered the petite style and it was still so big and way too loose. no shape whatsoever! i unfortunately had to return it. i love loose dresses but this one was way too big, loose and had no "/>
        <s v="Very versatile top! i feel like i could dress it up or down. fits very nice and the material is soft."/>
        <s v="I feel fabulous in this plum and charcoal vest. i am 5/9&quot; and the m'l is the perfect length and size. i was initially attracted by the external seams (and color) and was delighted with the silhouette and soft structure of the wool blend fabric. it is vers"/>
        <s v="This will be a great summer staple.  good fit and very comfortable.  may go back and buy another color"/>
        <s v="This dress is a vintage 20s drop hem style, not meant to be tight to form.  that said, the bottom is loose so may want to size down.  5'2, 145 lbs= s.  i bought the neutral- navy pattern and it is absolutely gorgeus!  hints of peach and beautiful lace det"/>
        <s v="I purchased this top in the rose and steel blue colors even though the majority of reviews says it shrinks even when you wash per the instructions. i called the local retailer store first to see if it could be returned if this happened and they said yes, "/>
        <s v="This dress is very flattering. i am writing a review to share my experience regarding sizing. i am 5'7&quot; and wear 34a.  i tried on a size 0 that was at the store as a return and there was about a 3 inch gap to get the side zip closed. although i  normally "/>
        <s v="Love this sweater! great for work. very soft and comfortable. color is gorgeous!"/>
        <s v="Super thick material and it's lined with cotton so as not to be scratchy on the skin. it looks cute on, hopefully it will soften over time. almost thick like upholstery fabric."/>
        <s v="I love tiny's aesthetic--sweet, feminine, yet always with a slightly sexy edge. this dress doesn't disappoint! during 90% of the year, i'm always cold. finding cute dresses with long-sleeves is almost as challenging as finding a unicorn. this dress is nea"/>
        <s v="Love peplums and love this top! the quality and fabric is beautiful. i did have to size up because it ran a little too short on me, but otherwise great top. really cute to pair with a statement necklace as well!"/>
        <s v="I've already worn this dress 4 times and i bought 3 weeks ago. easy to wear, comfortable and flattering. i love and wish it was available it more patterns."/>
        <s v="I was really drawn to this burgundy color on this sweater, but wasn't all that impressed with the style. as soon i tried it on, wow it is very flattering. the color is gorgeous, i can see myself using it with jeans, pencil skirts, pants. for reference it "/>
        <s v="Love this dress! it's even prettier in person. i found the sizing a little bit on the large side, but i read that many others had the opposite problem, particularly in the bust where i'm small/average for my size. even though it's a little big on me, it l"/>
        <s v="Has anybody washed this shirt a second time? just curious if it continues to shrink."/>
        <s v="This dress is beautiful in person. i am 5'1 and was afraid it would be too long but it was perfect. i only need 2 inch heel and it will be fine.  details on the flowers are really nice. one more plus it machine washable."/>
        <s v="I love, love, love this absolutely stunning dress. the only problem was that the zipper was very difficult to maneuver, and when it finally went up, the watch it was attached the lining of the dress made a bump in the dress, which was very unflattering on"/>
        <s v="Purchased because i wanted a deep red sweater, and this one was the perfect color. unfortunately i am on the curvier side, with 34g chest, 155lbs 5' 5&quot;, and the med was too big, (i usually wear m or l at retailer.) also the fit ended up being boxy on my b"/>
        <s v="I'm not usually a fan of simple crewneck sweaters but this one has some nice added details that make it a keeper. the dark red oxblood color is really nice (it manages to be a red sweater without feeling overly holiday), the detailing at shoulder/chest is"/>
        <s v="I own many retailer dresses but the sizing can be odd. i usually wear a size 4-6 and i have a floreat maxi dress size 4 that works well. i am 34c and based on the reviews i decided to order a size 6. the dress fits well except for he bust area that is ver"/>
        <s v="Great coat. love the length but it definitely runs big. i got a m even though i would normally be a l and it's roomy. fabric has pulles under the arms after 1 wear but overall quality is good. very warm. great look for work w. black pants."/>
        <s v="I got this coat to throw over slacks at work with the ac, and it's perfect. the picture online is less flattering than in person. found that the medium was too large in shoulders and arm length, small was right for 140lb, 5'8&quot;, typical size 6."/>
        <s v="This dress is adorable. i found it to be true to size, but i do have a small bust so perhaps that helped with the sizing issue the other reviewer encountered. i love the embroidery throughout, it beautifully constructed and feels lush. i'm 5'9&quot; and the dr"/>
        <s v="I fell in love with this cute top, however after reading reviews, i am going to return it. seems there is a problem with it shrinking after following washing instructions. who wants to dry clean a tank top? not me, sadly. too bad. style was cute and color"/>
        <s v="Love the fabric, so soft and comfortable. it gives a very flattering silhouette. love those pants."/>
        <s v="This dress is so beautiful in person! but the quality was very upsetting. i had two buttons come off before even putting it on. i was so excited to get his dress for my wedding shower and then i couldn't wear it :("/>
        <s v="But if that works for you it is a cute pattern. this is a lighter weight sweater but good for fall."/>
        <s v="I wanted this dress so bad for a trip to hawaii. i sized up when i saw the side zip because i'm a little larger in the top than bottom, but whoa... even when sizing up, i think i would have needed to size up like 3x to get this to work. the dress is adora"/>
        <s v="This vest is soft, flattering, and versatile. but both pockets were sewn incorrectly, with broken seams on the bottoms so if you used them, things would fall out. i'm keeping it but had to pay a seamstress to fix it. for the price, i'd expect better quali"/>
        <s v="This dress is gorgeous- it's one of those retailer dresses that i find worth the price because of how unique and beautiful it is! i found it to fit tts. although the zipper does take a good tug to get over the fabric seam, it fits perfectly. if you have a"/>
        <s v="I am normally a size 4/6p in all things retailer but read the reviews and opted to go petite on the maxi and size up. i went with the 8p and even with a 32d bust, had no trouble zipping and it fit beautifully. the band is a tad loose, but any tighter woul"/>
        <s v="I've received so many complements when i wear this tunic. it's so comfortable and fits great. the fabric is light and feels good against my skin. this is, by far, my most favorite purchase from retailer and i wear it all the time with my leggings. love, l"/>
        <s v="I wanted to love this top. the color is wonderful in the pink and the material is silky soft. it is huge though, i am a 34 dd and bought my usual small! i am going to exchange for an xs and am hoping it fits."/>
        <s v="I tried this top on at store and didn't want to buy at full price even though it made my heart skip a beat with how adorable it was. it is even cuter on. so when i saw it finally went on sale and i got an additional 20% off i immediately ordered!!!! it is"/>
        <s v="I have to agree with another reviewer that this runs slightly small. i'm 5'8, an athletic pear with narrow shoulders, 34c, and usually a 6 in tops at retailer. since the top looks a little short on the model, i sized up to an 8, since i'd rather have it b"/>
        <s v="I ordered the gray/plum colorway and while i'm disappointed in the large percent acrylic fabrication, the vest is very soft and warm. the unfinished raw seams add visual interest and i'm tempted to remove all the care tags and wear this inside out for a d"/>
        <s v="Tiny are experts at making busy bohemian shirtdresses that look casual but retain a feminine drape.  it skims over my trouble spots without adding bulk.  this is my fourth dress from this label and it does not disappoint.  for my frame and style i chose t"/>
        <s v="Embroidered tulips look like they were plucked when comparing the dresses in the product photos. took a chance any way, came out disappointed because i couldn't zip up the bodice. i hate side zips and when you pair a cheap zipper with delicate material, r"/>
        <s v="Love it- super cute. can wear it to work with blazer or out at night. i'm 5'3&quot; and got a size small, a little shorter in the front but that seems to be style, fits great"/>
        <s v="Wanted to love this top, and could imagine lots of outfits with it. the wide shoulders made my arms/shoulders look big. the ruching and extra flap landed at an odd place, accentuating my belly. it did arrive very wrinkled, although a previous reviewer sai"/>
        <s v="This is the perfect dress! for summer, fall, winter or spring, it is flattering and looks cute with booties, flip flops, brogues or barefoot! runs a teeny bit large - i wear a small to medium and the small is perfect! i might just buy the other color it c"/>
        <s v="I bought this top and it ran huge, i had to get an extra small. well then i wash it according to the instructions and it shrunk horribly! like its so small now my 3 yr old could probably wear it! i'm so sad, i really liked this top....but for it to shrink"/>
        <s v="For me to buy a tank top it better be special and this is. flattering without being skintight, it camouflages that little back bacon you sometimes get from a bra. the v-neck is low and is the same in the back. great length, super soft and the best part is"/>
        <s v="This top looks just as it does on the model and it fit just as they said it would. i needed a nice shirt to wear with jeans and camouflage my new-mommy tummy and this was perfect! it's really comfortable and fun, too!"/>
        <s v="I love everything about this top! the fabric, the color, the fit! great top for spring and summer!"/>
        <s v="I had hopes for this shirt but was disappointed in the fabric...it's very stiff and heavy for a summer blouse. will be returning it."/>
        <s v="I usually wear petite which this was not so a little big for me. but nice color and good quality, but pricey for what it is. it's more like a $45 sweater not $100+"/>
        <s v="Another reviewer said it best, &quot;i love the way this dress makes me feel.&quot; i couldn't agree more. the lines are perfect and effortless. &#10;with all the different reviews on size, i went into the store to try it on. i am usually always a s or m at retailer an"/>
        <s v="I got this in the wine, which is a beautiful color. the design is nice and looks expensive (but i'm not sure how it will hold up), the fabric is very nice, medium weight and drapes well. it is a little boxy but would be nice to layer over a button down."/>
        <s v="Love this. can be a jacket or blazer syle. fits well."/>
        <s v="The colors, style and fit were great. this dress you could wear on many different occasions. all around great piece to own!"/>
        <s v="I love a good peplum top, and was so excited when it arrived, but was sad to find the flare on the peplum was a little too much. i'm not sure why it was so unflattering, because in every other way, it fit like a dream, but it seemed like either there was "/>
        <s v="This top is super cute and is very flattering. however, i have trouble getting in and out of it. there is one zipper on the side but it almost seems like it needs to go higher up in order to help you put it on and take it off."/>
        <s v="This dress is very striking, especially in the green color way i purchased. flow and loose, very feminine but not &quot;cute&quot;. well made and very much in style this season. i returned it because it wasn't quite suitable for me-1 size up would have been a bette"/>
        <s v="I ordered my usual size small and it was very large on my 5'5&quot;, 112# frame.  my daughter loved it so she scored.  i ordered another one in xs, perfect though the sleeves run long! i have long arms.  can be dressy or casual."/>
        <s v="I got the dark purple color of this top and it is perfect! i wear it all the time. it's comfortable and it's cute! plus if it gets cold i can throw a warm sweater on top of it."/>
        <s v="This dress looks beautiful on. it's very flattering and comfortable to wear. it runs true to maeve's dress sizing which for me means in these dresses i always get one size larger than what i normally wear. on my 5'3&quot; height the regular was just above the "/>
        <s v="I am returning. i really liked the appearance in the photo and i love aqua, but the biggest problem for me is the shape. it's pretty boxy and it's hard to tell from the photo, but it has a batwing shape. i also wish the lighter portion were more ivory (le"/>
        <s v="I absolutely love this tee! i normally don't buy two of the same thing, but i bought it in both black and mauve during a december sale. i ordered a size small, and it fits tts. it can be worn with leggings or skinny jeans/cords. i love pairing it with ski"/>
        <s v="This tee is amazing! it is so soft and comfortable. and is great for those of us who are tall, it has great length! i went with a medium because i didn't want it too tight. i really hope that retailer restocks soon because i want to buy one in every color"/>
        <s v="Super comfortable!! i am 34 weeks pregnant and i works great for me now and i think it will be perfect post baby also!"/>
        <s v="Like the other reviewers, this is my new favorite tee. it's so freaking soft, and the ribbon down the back just gives a little added flare. pure+good has been one of my staple brands for basics for a while, and i will definitely be buying more colors in t"/>
        <s v="Loved this shirt so much that i bought in 3 colors. love the luxurious feel of the silky, flowing fabric that flatters in all the best ways. however, after washing per instructions, the fabric lost its good qualities and turned into a blah, pilled mess th"/>
        <s v="Cute top and flattering to wear. fits nicely and i'd say true to size. can't wait to wear it."/>
        <s v="It breaks my heart to say this but i had to return for shape issues. i am not a fan of dolman sleeves (they make me look big and bulky) and i wished i would have known that prior to purchasing. it is unfortunate because it is a really beautiful knit and q"/>
        <s v="At 5'5&quot; (almost), 122lbs., i always wear a size small. however this dress runs large (no, i am not smaller than i was 6 months ago) and it looked like a dumpy sack on me. too bad, i really wanted it to fit! it is a slightly heavier fabric than anticipated"/>
        <s v="Well fitting bra, comfortable (not itchy), lace doesn't show through tops."/>
        <s v="Purchased in the light grey and was so excited, i wore it the very next day. the back detailing and pocket make it more unique than a regular tee and the fabric is slightly heavy (in a good way) so it hangs beautifully. easily can be dressed up or down. n"/>
        <s v="Ordered this on a whim while taking advantage of a promotion, and now need one in every color! the weight and cut is perfect for fall/winter/summer - not too heavy, but not sheer/tissue thin; fitted enough to look super cute with leggings or skinny jeans."/>
        <s v="Oh my! i love this tee. it is super soft. i love how it doesn't look like a sack with no shape. i can't wait to get more colors. i am tall plus have a long torso and it still is long enough for me so this is definitely a win!"/>
        <s v="I love these joggers. they are stylish, comfortable and high quality. my one complaint is that the sizing appears different for different colors. &#10;&#10;i got them in the green/moss color,. i immediately wore them casually with flats, a t, &amp; a long silver neck"/>
        <s v="I ordered this as it was either in stylist pick or top rated, cant' remember which, but i must say, ti was very nice on. a little loose, but the petite sizes are sold out, so i ordered the xs (petite might have been too short...) the cut is feminine, not "/>
        <s v="Love this shirt. i am 5'8 and have a slender torso and the small fits perfectly. i love that it's long so you can wear it as a single shirt or use it as an extra layer. i also have a grey druzy necklace to dress this puppy up. purchased it in black and th"/>
        <s v="This top is much nicer than expected.....the fabric and style are great. i am a size small or medium, and got the small. from the front, it was great. not so much from the back for me. i'm larger on top than bottom and the 5% spandex made it too clingy ar"/>
        <s v="This jacket was a gift for my daughter,it fit like a glove and she loved it !"/>
        <s v="This top is so soft and comfortable. i bought it on sale, so would i have paid $60 for it . . . . not sure. fits true to size, what can i say its a simple top, well made and so soft."/>
        <s v="I ordered this and hoped it would be a fun &amp; whimsical sweater for this winter. instead, it's just strange. it didn't fit well. too short in the overall length &amp; in the sleeves. the shades of the yarn were drab. it also didn't seem made to last. it looked"/>
        <s v="I love simplicity in clothing and this tee fits the bill! i put it on and instantly feel basic elegance."/>
        <s v="I am 5'10&quot;, 130 pounds. a medium is a perfect fit for me. i love it! not so sheer that i feel that i need to wear a cami underneath, sleeves are long, and it is so, so, so soft. the scoop neck shows just the right amount without being too revealing. i am "/>
        <s v="Fits great! love soft material. love with skinny jeans brown boots"/>
        <s v="I really like this dress. i'm 5'8&quot; and about 135 so i bought a small. i am small chested, so i plan on wearing a bandeau bra underneath it because the arm holes are a little low. the material is very nice though. perfect for dressing up with cute jewelry!"/>
        <s v="I bought this dress in a sm for a cruise i'm taking soon. i don't have much of a waist, kind of straight like a board, and this dress is very flattering on my figure. the skirt fits snug and the top drapes nicely over my waist. very pretty and flowy. i bo"/>
        <s v="I was pleasantly surprised when i tried this on. i tried it because of the detail but didn't hold out much hope because it looked frumpy on the hanger. i was very wrong. it fits beautifully. it drapes nicely, hugs the shoulders perfectly and doesn't droop"/>
        <s v="This top feels great on. it just drapes well and isn't clingy. i refused to buy maternity tops, because i wanted to wear the tops after pregnancy. though i bought this top post pregnancy it would have worked great because of the length."/>
        <s v="Comfortable casual, hip. i have the black &amp; white color which is a bit thicker than the other colors which i prefer as i recently had a baby and need a little extra fabric. i wish the fabric was a bit softer but the cut is so flattering there was no way i"/>
        <s v="This dress is gorgeous in the photograph. and very pretty when it arrived, however, it is very dark in color. you would only notice the blue in bright light or perhaps outside in the sun. the fit was small. i could not get the tie around the waist to look"/>
        <s v="This is one of the cutest tops i've ever gotten from retailer. the material is very soft and flowing. it fits true to size and hange beautifully. love it. i should have gotten he turquoise one too!"/>
        <s v="Love this shirt. it fits great and can be easily layered!"/>
        <s v="Agree with the other reviewers. this top is excellent. great length, weight &amp; bounce to it, flattering without being clingy. i'm 5'10&quot; with a long torso, so i'm always in the market for tops with longer hemlines and decent material without being too tight"/>
        <s v="Great color, soft fabric, but waaaaay too long. more like a night shirt than a t-shirt."/>
        <s v="I was hoping to find a slimming and cozy sweater, unfortunately this one was baggy and material was really bulky. one of those occasions where i would have never purchased this in person but online you can't quite tell the style and fit. i returned this i"/>
        <s v="I need one in every color. so super soft."/>
        <s v="Very pretty blouse with nice detail. needs to be worn with a camisole however."/>
        <s v="Got this shirt on sale and i hope they restock so i can buy more. super comfy and flattering at the same time. i have some extra baby weight and it camouflages that well. i'm normally a 6-8 but i'm an 8-10 right now and the medium was perfect. i'm 5'6&quot; an"/>
        <s v="Easy to wear.  the fabric is super soft and the shape is very flattering.   i really like the shirt hem at the bottom."/>
        <s v="Love these pajama bottoms. they are so comfortable and the print is fun and unique. i highly recommend. they run true to size and have a great length. they look short on the model but mine are perfect."/>
        <s v="I almost never take the time to write reviews but this shirt is amazing... it's a super soft, stretchy, substantial fabric that is incredibly flattering. it falls perfectly and is insanely comfortable. i am 5'5&quot; 120 lbs and usually wear an xs or s in reta"/>
        <s v="This is a beautiful top, however, my top did not match the one in the picture, it's so odd, the stripes are completely different, it's ok, because it's very pretty, but i do like the one pictured better. it's too short on me for leggings and boots, but it"/>
        <s v="I am so glad i had read the other reviews of this jacket which prompted me to order. great fit and cut with a hint of stretch, nice styling details, great vintage color. i wasn't in love with the price but after receiving the jacket i would gladly pay the"/>
        <s v="This shirt is amazingly soft and has such a great cut, especially for me being curvy. i love to pair this with cute leggings or tight ankle jeans with my boots. recently wore on a casual date with the hubby and he loved it paired with my dark brown leathe"/>
        <s v="This shirt is pretty but wasn't worth the price in my opinion. the shirt does a pretty decent job of staying closed at least, and the embroidering is pretty, but i could tell the material wouldn't last very long.&#10;&#10;also i like my shirts loose fitting, but "/>
        <s v="This shirt looks and feels fabulous. i got black and white and received a ton of compliments. wore with boots and leggings and fun jewelry."/>
        <s v="This is the perfect casual top to wear alone or layered with a cardigan. love it!"/>
        <s v="I love joggers, best style to come along in awhile. i think these are well made and i like the fabric. i just wish the leg were cut a bit slimmer but that's just a matter of preference. i definitely like them and will keep and wear."/>
        <s v="Gorgeous detail on the sleeve. adorable pattern. unfortunately, it is a little too cropped &amp; it's not actually sleeves. it's a cape style. wasn't expecting, but still really cute."/>
        <s v="Beautiful colors. lightweight flannel, so a great pair of sleep pants that can be worn year round. i ordered a s, my typical size, which turned out to be quite large on me. hopefully the xs will fit better."/>
        <s v="Although i wish this was not so dark blue for summer, it is the most fabulous cut, super sexy with the tie neckline and love the side pockets... and did i mention the fabric is ridiculously soft? i just wish it was more of a blue denim blue but nonetheles"/>
        <s v="This is soooo much more cropped than it looks in the picture. the fabric is super soft and design is cute. i really wanted to like this, but it just doesn't fit as shown. the back is halfway up by back and i am shortwaisted..."/>
        <s v="I purchased this item in the gray heather color and loved it so much i wanted to buy every other color. the fabric was cottony and felt very soft and cushy against my skin, and the gray color was from the combination of black and white fibers. i ordered t"/>
        <s v="I've been looking for a staple long-sleeve tee for a while now, and i think i've found it! i bought this tee in my usual retailer size of medium and the fit is perfect. the material is soft, the cut highlights an hourglass figure without clinging in the w"/>
        <s v="I gave this 4 stars instead of five because the picture really does give you the impression that this &quot;cardigan&quot; has sleeves but actually it's a cape with a few stitches above the wrist. it's also quite short, i'm only 5 5&quot; and it hits me above my waist. "/>
        <s v="I love this top, it's long enough to to wear with leggings and the ribbon in the back really dresses it up. the only negative is that the material pulls easy and only on the space dye color, not the solids but i still love it! for reference i ordered xs a"/>
        <s v="I purchased this shell in black. the embellishments and construction of the top are of a good quality, like as shown. i am 5'4&quot;, 120# and typically purchase an xs. this ran a bit bigger than i was expecting from the reviews, but i am overall happy with th"/>
        <s v="This dress will unfortunately be returned...so cute online and looks like a sack in person.  runs very large, arm holes are very low.  not flattering."/>
        <s v="Just received this and absolutely love it! i tried the vienne cardigan in the store and i assumed this one would fit the same (since online exclusive), which it does. this one though has the whimsical left grey sleeve with trees, a fence and sheep on the "/>
        <s v="If you have any cleavage this dress will look awful. the ties drop pretty low &amp; look trashy over cleavage. recommend otherwise - good fabric cool look"/>
        <s v="What i liked:&#10;1. midweight fabric. it's not lined and when i read polyester in the description, i was worried that it might be thin, but this is a stretchy midweight fabric.&#10;2. pretty pretty print&#10;&#10;what i did not like:&#10;1. i don't know what dress the model"/>
      </sharedItems>
    </cacheField>
    <cacheField name="Rating" numFmtId="0">
      <sharedItems containsSemiMixedTypes="0" containsString="0" containsNumber="1" containsInteger="1">
        <n v="4.0"/>
        <n v="5.0"/>
        <n v="3.0"/>
        <n v="2.0"/>
        <n v="1.0"/>
      </sharedItems>
    </cacheField>
    <cacheField name="Recommended_IND" numFmtId="0">
      <sharedItems containsSemiMixedTypes="0" containsString="0" containsNumber="1" containsInteger="1">
        <n v="1.0"/>
        <n v="0.0"/>
      </sharedItems>
    </cacheField>
    <cacheField name="Positive_Feedback_Count" numFmtId="0">
      <sharedItems containsSemiMixedTypes="0" containsString="0" containsNumber="1" containsInteger="1">
        <n v="0.0"/>
        <n v="4.0"/>
        <n v="6.0"/>
        <n v="1.0"/>
        <n v="14.0"/>
        <n v="2.0"/>
        <n v="3.0"/>
        <n v="7.0"/>
        <n v="5.0"/>
        <n v="9.0"/>
        <n v="34.0"/>
        <n v="10.0"/>
        <n v="17.0"/>
        <n v="11.0"/>
        <n v="24.0"/>
        <n v="12.0"/>
        <n v="8.0"/>
        <n v="13.0"/>
        <n v="20.0"/>
        <n v="16.0"/>
        <n v="23.0"/>
        <n v="15.0"/>
        <n v="19.0"/>
        <n v="29.0"/>
        <n v="32.0"/>
        <n v="30.0"/>
        <n v="55.0"/>
        <n v="84.0"/>
        <n v="27.0"/>
        <n v="43.0"/>
        <n v="21.0"/>
        <n v="42.0"/>
        <n v="37.0"/>
        <n v="71.0"/>
        <n v="35.0"/>
        <n v="65.0"/>
        <n v="117.0"/>
        <n v="33.0"/>
        <n v="18.0"/>
        <n v="25.0"/>
        <n v="47.0"/>
        <n v="22.0"/>
        <n v="51.0"/>
        <n v="94.0"/>
      </sharedItems>
    </cacheField>
    <cacheField name="Division_Name" numFmtId="0">
      <sharedItems>
        <s v="Initmates"/>
        <s v="General"/>
        <s v="General Petite"/>
      </sharedItems>
    </cacheField>
    <cacheField name="Department_Name" numFmtId="0">
      <sharedItems>
        <s v="Intimate"/>
        <s v="Dresses"/>
        <s v="Bottoms"/>
        <s v="Tops"/>
        <s v="Jackets"/>
        <s v="Trend"/>
      </sharedItems>
    </cacheField>
    <cacheField name="Class_Name" numFmtId="0">
      <sharedItems>
        <s v="Intimates"/>
        <s v="Dresses"/>
        <s v="Pants"/>
        <s v="Blouses"/>
        <s v="Knits"/>
        <s v="Outerwear"/>
        <s v="Lounge"/>
        <s v="Sweaters"/>
        <s v="Skirts"/>
        <s v="Fine gauge"/>
        <s v="Sleep"/>
        <s v="Jackets"/>
        <s v="Swim"/>
        <s v="Trend"/>
        <s v="Jeans"/>
        <s v="Legwear"/>
        <s v="Shorts"/>
        <s v="Layering"/>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408" sheet="Not_recommended_data_set"/>
  </cacheSource>
  <cacheFields>
    <cacheField name="Operation_id" numFmtId="0">
      <sharedItems containsSemiMixedTypes="0" containsString="0" containsNumber="1" containsInteger="1">
        <n v="2.0"/>
        <n v="5.0"/>
        <n v="10.0"/>
        <n v="22.0"/>
        <n v="25.0"/>
        <n v="26.0"/>
        <n v="33.0"/>
        <n v="56.0"/>
        <n v="57.0"/>
        <n v="61.0"/>
        <n v="68.0"/>
        <n v="69.0"/>
        <n v="71.0"/>
        <n v="77.0"/>
        <n v="85.0"/>
        <n v="88.0"/>
        <n v="96.0"/>
        <n v="97.0"/>
        <n v="99.0"/>
        <n v="103.0"/>
        <n v="104.0"/>
        <n v="110.0"/>
        <n v="114.0"/>
        <n v="118.0"/>
        <n v="124.0"/>
        <n v="144.0"/>
        <n v="152.0"/>
        <n v="157.0"/>
        <n v="161.0"/>
        <n v="165.0"/>
        <n v="178.0"/>
        <n v="184.0"/>
        <n v="185.0"/>
        <n v="191.0"/>
        <n v="199.0"/>
        <n v="200.0"/>
        <n v="202.0"/>
        <n v="204.0"/>
        <n v="205.0"/>
        <n v="209.0"/>
        <n v="214.0"/>
        <n v="216.0"/>
        <n v="232.0"/>
        <n v="237.0"/>
        <n v="239.0"/>
        <n v="241.0"/>
        <n v="258.0"/>
        <n v="262.0"/>
        <n v="286.0"/>
        <n v="288.0"/>
        <n v="311.0"/>
        <n v="312.0"/>
        <n v="314.0"/>
        <n v="325.0"/>
        <n v="330.0"/>
        <n v="334.0"/>
        <n v="344.0"/>
        <n v="349.0"/>
        <n v="350.0"/>
        <n v="353.0"/>
        <n v="356.0"/>
        <n v="358.0"/>
        <n v="362.0"/>
        <n v="368.0"/>
        <n v="376.0"/>
        <n v="381.0"/>
        <n v="386.0"/>
        <n v="389.0"/>
        <n v="395.0"/>
        <n v="396.0"/>
        <n v="402.0"/>
        <n v="406.0"/>
        <n v="417.0"/>
        <n v="440.0"/>
        <n v="447.0"/>
        <n v="450.0"/>
        <n v="462.0"/>
        <n v="470.0"/>
        <n v="475.0"/>
        <n v="480.0"/>
        <n v="498.0"/>
        <n v="499.0"/>
        <n v="511.0"/>
        <n v="518.0"/>
        <n v="523.0"/>
        <n v="548.0"/>
        <n v="550.0"/>
        <n v="565.0"/>
        <n v="574.0"/>
        <n v="578.0"/>
        <n v="579.0"/>
        <n v="580.0"/>
        <n v="581.0"/>
        <n v="582.0"/>
        <n v="583.0"/>
        <n v="588.0"/>
        <n v="598.0"/>
        <n v="603.0"/>
        <n v="609.0"/>
        <n v="610.0"/>
        <n v="632.0"/>
        <n v="634.0"/>
        <n v="644.0"/>
        <n v="646.0"/>
        <n v="653.0"/>
        <n v="657.0"/>
        <n v="669.0"/>
        <n v="670.0"/>
        <n v="675.0"/>
        <n v="676.0"/>
        <n v="687.0"/>
        <n v="692.0"/>
        <n v="695.0"/>
        <n v="699.0"/>
        <n v="704.0"/>
        <n v="706.0"/>
        <n v="729.0"/>
        <n v="735.0"/>
        <n v="744.0"/>
        <n v="745.0"/>
        <n v="754.0"/>
        <n v="755.0"/>
        <n v="762.0"/>
        <n v="763.0"/>
        <n v="767.0"/>
        <n v="768.0"/>
        <n v="769.0"/>
        <n v="773.0"/>
        <n v="775.0"/>
        <n v="780.0"/>
        <n v="782.0"/>
        <n v="783.0"/>
        <n v="787.0"/>
        <n v="793.0"/>
        <n v="794.0"/>
        <n v="806.0"/>
        <n v="807.0"/>
        <n v="813.0"/>
        <n v="814.0"/>
        <n v="815.0"/>
        <n v="818.0"/>
        <n v="825.0"/>
        <n v="826.0"/>
        <n v="828.0"/>
        <n v="830.0"/>
        <n v="835.0"/>
        <n v="836.0"/>
        <n v="837.0"/>
        <n v="838.0"/>
        <n v="842.0"/>
        <n v="847.0"/>
        <n v="858.0"/>
        <n v="866.0"/>
        <n v="873.0"/>
        <n v="874.0"/>
        <n v="880.0"/>
        <n v="883.0"/>
        <n v="886.0"/>
        <n v="887.0"/>
        <n v="889.0"/>
        <n v="899.0"/>
        <n v="901.0"/>
        <n v="902.0"/>
        <n v="903.0"/>
        <n v="914.0"/>
        <n v="915.0"/>
        <n v="927.0"/>
        <n v="934.0"/>
        <n v="937.0"/>
        <n v="942.0"/>
        <n v="943.0"/>
        <n v="945.0"/>
        <n v="948.0"/>
        <n v="955.0"/>
        <n v="963.0"/>
        <n v="965.0"/>
        <n v="967.0"/>
        <n v="972.0"/>
        <n v="980.0"/>
        <n v="992.0"/>
        <n v="993.0"/>
        <n v="994.0"/>
        <n v="1003.0"/>
        <n v="1022.0"/>
        <n v="1046.0"/>
        <n v="1047.0"/>
        <n v="1052.0"/>
        <n v="1057.0"/>
        <n v="1061.0"/>
        <n v="1072.0"/>
        <n v="1078.0"/>
        <n v="1089.0"/>
        <n v="1091.0"/>
        <n v="1098.0"/>
        <n v="1099.0"/>
        <n v="1105.0"/>
        <n v="1106.0"/>
        <n v="1111.0"/>
        <n v="1112.0"/>
        <n v="1114.0"/>
        <n v="1117.0"/>
        <n v="1119.0"/>
        <n v="1121.0"/>
        <n v="1122.0"/>
        <n v="1133.0"/>
        <n v="1135.0"/>
        <n v="1139.0"/>
        <n v="1140.0"/>
        <n v="1141.0"/>
        <n v="1142.0"/>
        <n v="1143.0"/>
        <n v="1147.0"/>
        <n v="1149.0"/>
        <n v="1156.0"/>
        <n v="1159.0"/>
        <n v="1163.0"/>
        <n v="1167.0"/>
        <n v="1175.0"/>
        <n v="1176.0"/>
        <n v="1181.0"/>
        <n v="1182.0"/>
        <n v="1187.0"/>
        <n v="1191.0"/>
        <n v="1192.0"/>
        <n v="1196.0"/>
        <n v="1205.0"/>
        <n v="1207.0"/>
        <n v="1223.0"/>
        <n v="1229.0"/>
        <n v="1233.0"/>
        <n v="1235.0"/>
        <n v="1238.0"/>
        <n v="1240.0"/>
        <n v="1257.0"/>
        <n v="1265.0"/>
        <n v="1267.0"/>
        <n v="1272.0"/>
        <n v="1273.0"/>
        <n v="1279.0"/>
        <n v="1288.0"/>
        <n v="1300.0"/>
        <n v="1303.0"/>
        <n v="1306.0"/>
        <n v="1327.0"/>
        <n v="1331.0"/>
        <n v="1333.0"/>
        <n v="1334.0"/>
        <n v="1335.0"/>
        <n v="1339.0"/>
        <n v="1341.0"/>
        <n v="1347.0"/>
        <n v="1348.0"/>
        <n v="1349.0"/>
        <n v="1351.0"/>
        <n v="1353.0"/>
        <n v="1356.0"/>
        <n v="1358.0"/>
        <n v="1359.0"/>
        <n v="1361.0"/>
        <n v="1362.0"/>
        <n v="1367.0"/>
        <n v="1369.0"/>
        <n v="1370.0"/>
        <n v="1371.0"/>
        <n v="1373.0"/>
        <n v="1376.0"/>
        <n v="1381.0"/>
        <n v="1390.0"/>
        <n v="1391.0"/>
        <n v="1409.0"/>
        <n v="1418.0"/>
        <n v="1419.0"/>
        <n v="1433.0"/>
        <n v="1434.0"/>
        <n v="1440.0"/>
        <n v="1447.0"/>
        <n v="1452.0"/>
        <n v="1455.0"/>
        <n v="1462.0"/>
        <n v="1464.0"/>
        <n v="1467.0"/>
        <n v="1470.0"/>
        <n v="1471.0"/>
        <n v="1474.0"/>
        <n v="1481.0"/>
        <n v="1482.0"/>
        <n v="1483.0"/>
        <n v="1484.0"/>
        <n v="1496.0"/>
        <n v="1498.0"/>
        <n v="1503.0"/>
        <n v="1505.0"/>
        <n v="1508.0"/>
        <n v="1510.0"/>
        <n v="1512.0"/>
        <n v="1515.0"/>
        <n v="1528.0"/>
        <n v="1545.0"/>
        <n v="1553.0"/>
        <n v="1569.0"/>
        <n v="1572.0"/>
        <n v="1576.0"/>
        <n v="1600.0"/>
        <n v="1602.0"/>
        <n v="1618.0"/>
        <n v="1635.0"/>
        <n v="1638.0"/>
        <n v="1645.0"/>
        <n v="1646.0"/>
        <n v="1654.0"/>
        <n v="1658.0"/>
        <n v="1663.0"/>
        <n v="1665.0"/>
        <n v="1666.0"/>
        <n v="1678.0"/>
        <n v="1680.0"/>
        <n v="1687.0"/>
        <n v="1693.0"/>
        <n v="1694.0"/>
        <n v="1695.0"/>
        <n v="1701.0"/>
        <n v="1708.0"/>
        <n v="1722.0"/>
        <n v="1732.0"/>
        <n v="1739.0"/>
        <n v="1755.0"/>
        <n v="1758.0"/>
        <n v="1760.0"/>
        <n v="1761.0"/>
        <n v="1764.0"/>
        <n v="1769.0"/>
        <n v="1770.0"/>
        <n v="1786.0"/>
        <n v="1806.0"/>
        <n v="1807.0"/>
        <n v="1809.0"/>
        <n v="1819.0"/>
        <n v="1820.0"/>
        <n v="1822.0"/>
        <n v="1828.0"/>
        <n v="1831.0"/>
        <n v="1854.0"/>
        <n v="1856.0"/>
        <n v="1857.0"/>
        <n v="1858.0"/>
        <n v="1873.0"/>
        <n v="1876.0"/>
        <n v="1882.0"/>
        <n v="1886.0"/>
        <n v="1890.0"/>
        <n v="1891.0"/>
        <n v="1893.0"/>
        <n v="1906.0"/>
        <n v="1926.0"/>
        <n v="1930.0"/>
        <n v="1937.0"/>
        <n v="1939.0"/>
        <n v="1940.0"/>
        <n v="1943.0"/>
        <n v="1946.0"/>
        <n v="1948.0"/>
        <n v="1952.0"/>
        <n v="1954.0"/>
        <n v="1958.0"/>
        <n v="1965.0"/>
        <n v="1977.0"/>
        <n v="1984.0"/>
        <n v="1985.0"/>
        <n v="1995.0"/>
        <n v="2000.0"/>
        <n v="2018.0"/>
        <n v="2022.0"/>
        <n v="2023.0"/>
        <n v="2031.0"/>
        <n v="2035.0"/>
        <n v="2039.0"/>
        <n v="2051.0"/>
        <n v="2057.0"/>
        <n v="2063.0"/>
        <n v="2068.0"/>
        <n v="2077.0"/>
        <n v="2084.0"/>
        <n v="2086.0"/>
        <n v="2091.0"/>
        <n v="2100.0"/>
        <n v="2102.0"/>
        <n v="2104.0"/>
        <n v="2106.0"/>
        <n v="2110.0"/>
        <n v="2112.0"/>
        <n v="2114.0"/>
        <n v="2124.0"/>
        <n v="2126.0"/>
        <n v="2128.0"/>
        <n v="2132.0"/>
        <n v="2138.0"/>
        <n v="2144.0"/>
        <n v="2149.0"/>
        <n v="2150.0"/>
        <n v="2152.0"/>
        <n v="2153.0"/>
        <n v="2165.0"/>
        <n v="2179.0"/>
        <n v="2180.0"/>
        <n v="2197.0"/>
        <n v="2198.0"/>
        <n v="2203.0"/>
      </sharedItems>
    </cacheField>
    <cacheField name="Clothing_ID" numFmtId="0">
      <sharedItems containsSemiMixedTypes="0" containsString="0" containsNumber="1" containsInteger="1">
        <n v="1077.0"/>
        <n v="1080.0"/>
        <n v="697.0"/>
        <n v="949.0"/>
        <n v="368.0"/>
        <n v="862.0"/>
        <n v="1078.0"/>
        <n v="822.0"/>
        <n v="850.0"/>
        <n v="866.0"/>
        <n v="845.0"/>
        <n v="861.0"/>
        <n v="863.0"/>
        <n v="1082.0"/>
        <n v="923.0"/>
        <n v="829.0"/>
        <n v="523.0"/>
        <n v="1094.0"/>
        <n v="895.0"/>
        <n v="1020.0"/>
        <n v="828.0"/>
        <n v="305.0"/>
        <n v="840.0"/>
        <n v="1066.0"/>
        <n v="647.0"/>
        <n v="878.0"/>
        <n v="868.0"/>
        <n v="1089.0"/>
        <n v="844.0"/>
        <n v="836.0"/>
        <n v="936.0"/>
        <n v="831.0"/>
        <n v="1104.0"/>
        <n v="995.0"/>
        <n v="127.0"/>
        <n v="1086.0"/>
        <n v="1083.0"/>
        <n v="872.0"/>
        <n v="948.0"/>
        <n v="833.0"/>
        <n v="875.0"/>
        <n v="1037.0"/>
        <n v="1060.0"/>
        <n v="1079.0"/>
        <n v="838.0"/>
        <n v="1059.0"/>
        <n v="634.0"/>
        <n v="1008.0"/>
        <n v="937.0"/>
        <n v="1110.0"/>
        <n v="873.0"/>
        <n v="1165.0"/>
        <n v="1087.0"/>
        <n v="1072.0"/>
        <n v="945.0"/>
        <n v="805.0"/>
        <n v="886.0"/>
        <n v="975.0"/>
        <n v="823.0"/>
        <n v="1055.0"/>
        <n v="1081.0"/>
        <n v="1025.0"/>
        <n v="832.0"/>
        <n v="80.0"/>
        <n v="154.0"/>
        <n v="1033.0"/>
        <n v="1140.0"/>
        <n v="1047.0"/>
        <n v="854.0"/>
        <n v="909.0"/>
        <n v="1099.0"/>
        <n v="1001.0"/>
        <n v="815.0"/>
        <n v="1076.0"/>
        <n v="1068.0"/>
        <n v="777.0"/>
        <n v="860.0"/>
        <n v="197.0"/>
        <n v="235.0"/>
        <n v="1095.0"/>
        <n v="1003.0"/>
        <n v="1022.0"/>
        <n v="1098.0"/>
        <n v="946.0"/>
        <n v="867.0"/>
        <n v="825.0"/>
        <n v="837.0"/>
        <n v="1175.0"/>
        <n v="411.0"/>
        <n v="993.0"/>
        <n v="977.0"/>
        <n v="912.0"/>
        <n v="927.0"/>
        <n v="947.0"/>
        <n v="864.0"/>
        <n v="942.0"/>
        <n v="1051.0"/>
        <n v="1044.0"/>
        <n v="835.0"/>
        <n v="434.0"/>
        <n v="178.0"/>
        <n v="841.0"/>
        <n v="899.0"/>
        <n v="225.0"/>
        <n v="1013.0"/>
        <n v="481.0"/>
        <n v="902.0"/>
        <n v="857.0"/>
        <n v="1054.0"/>
        <n v="371.0"/>
        <n v="898.0"/>
        <n v="1016.0"/>
        <n v="1092.0"/>
        <n v="1009.0"/>
        <n v="1116.0"/>
        <n v="63.0"/>
        <n v="1126.0"/>
        <n v="896.0"/>
        <n v="1111.0"/>
        <n v="911.0"/>
        <n v="940.0"/>
      </sharedItems>
    </cacheField>
    <cacheField name="Age" numFmtId="0">
      <sharedItems containsSemiMixedTypes="0" containsString="0" containsNumber="1" containsInteger="1">
        <n v="60.0"/>
        <n v="49.0"/>
        <n v="53.0"/>
        <n v="31.0"/>
        <n v="33.0"/>
        <n v="36.0"/>
        <n v="37.0"/>
        <n v="56.0"/>
        <n v="28.0"/>
        <n v="58.0"/>
        <n v="38.0"/>
        <n v="44.0"/>
        <n v="23.0"/>
        <n v="51.0"/>
        <n v="32.0"/>
        <n v="50.0"/>
        <n v="39.0"/>
        <n v="43.0"/>
        <n v="52.0"/>
        <n v="35.0"/>
        <n v="48.0"/>
        <n v="67.0"/>
        <n v="46.0"/>
        <n v="42.0"/>
        <n v="47.0"/>
        <n v="34.0"/>
        <n v="41.0"/>
        <n v="27.0"/>
        <n v="65.0"/>
        <n v="29.0"/>
        <n v="59.0"/>
        <n v="40.0"/>
        <n v="26.0"/>
        <n v="22.0"/>
        <n v="30.0"/>
        <n v="45.0"/>
        <n v="55.0"/>
        <n v="62.0"/>
        <n v="54.0"/>
        <n v="61.0"/>
        <n v="63.0"/>
        <n v="69.0"/>
        <n v="71.0"/>
        <n v="57.0"/>
        <n v="21.0"/>
        <n v="25.0"/>
        <n v="24.0"/>
        <n v="20.0"/>
        <n v="77.0"/>
        <n v="76.0"/>
        <n v="68.0"/>
        <n v="66.0"/>
      </sharedItems>
    </cacheField>
    <cacheField name="Title" numFmtId="0">
      <sharedItems containsBlank="1">
        <s v="Some major design flaws"/>
        <s v="Not for the very petite"/>
        <s v="Dress looks like it's made of cheap material"/>
        <s v="Not what it looks like"/>
        <s v="Falls flat"/>
        <s v="Huge disappointment"/>
        <s v="Mehh"/>
        <m/>
        <s v="Boring front, great back"/>
        <s v="Itchy tags"/>
        <s v="I wanted to love this top..."/>
        <s v="Great summer fabric!"/>
        <s v="Short and boxy"/>
        <s v="Zipper broke"/>
        <s v="Huge"/>
        <s v="Pernette henley"/>
        <s v="Not a fan"/>
        <s v="Poor quality"/>
        <s v="Disappointing quality"/>
        <s v="Awkward fitting"/>
        <s v="Lovely top, not lovely shape"/>
        <s v="Beautiful, but scratchy"/>
        <s v="Not impressed..."/>
        <s v="Australian sizing!!"/>
        <s v="Scratchy, uncomfortable top"/>
        <s v="Not for me"/>
        <s v="Not as pictured."/>
        <s v="Fits strange, flimsy material"/>
        <s v="Nice but too thin"/>
        <s v="Huuuuge"/>
        <s v="Not worth cost"/>
        <s v="Too big"/>
        <s v="Runs small too bad...."/>
        <s v="Not as pictured!"/>
        <s v="Very small"/>
        <s v="Light &amp; large"/>
        <s v="Not what i expected"/>
        <s v="Loved this, then washed it twice and it fell apart"/>
        <s v="Fits like a maternity top"/>
        <s v="Cute, but no go!"/>
        <s v="Not much structure, boxy..."/>
        <s v="Runs large and zipper sticks"/>
        <s v="Very unflattering"/>
        <s v="Didn't work for me"/>
        <s v="Disappointing!"/>
        <s v="Awkward fit"/>
        <s v="Not a good fit"/>
        <s v="Cute top, but not for me"/>
        <s v="So disappointed! please fix it!"/>
        <s v="Sweater not a coat"/>
        <s v="Could have been cute..."/>
        <s v="Almost but not quite"/>
        <s v="Cute but ..."/>
        <s v="Just okay"/>
        <s v="Poorly executed"/>
        <s v="Bad quality."/>
        <s v="Not sure about this one"/>
        <s v="Comfy, but not made to last"/>
        <s v="Not the best quality"/>
        <s v="Flimsy"/>
        <s v="Bunches up weirdly in the front"/>
        <s v="Ultimately unimpressed"/>
        <s v="Looks fine if you don't move your arms."/>
        <s v="Great too but not for women who have a large bust."/>
        <s v="Cute, but cheap"/>
        <s v="Not for the busty"/>
        <s v="Boxy"/>
        <s v="Cute concept, fits weird"/>
        <s v="Cropped and itchy"/>
        <s v="Weird color and fit"/>
        <s v="Beautiful blouse but...."/>
        <s v="Not a fan - childish"/>
        <s v="Not for us chesty girls!"/>
        <s v="Fit is not cute"/>
        <s v="Do not like the front"/>
        <s v="Not doing anything for me"/>
        <s v="Awkward style"/>
        <s v="Wanted to love, but sadly will return."/>
        <s v="Loved in theory"/>
        <s v="No shape"/>
        <s v="Boxy and short"/>
        <s v="Wanted to love these...but...meh..."/>
        <s v="What a waste"/>
        <s v="Not what i had hoped for..."/>
        <s v="Loungewear, not outdoor wear"/>
        <s v="Weird fit"/>
        <s v="Cute but didn't work for me :("/>
        <s v="Stretches out"/>
        <s v="Great material, awkward length"/>
        <s v="Itchy"/>
        <s v="The worst"/>
        <s v="Started out perfect"/>
        <s v="Runs very small"/>
        <s v="Beautiful print, bad fit"/>
        <s v="Huge dress"/>
        <s v="Surprisingly heavy"/>
        <s v="Ok suit"/>
        <s v="Frumpy"/>
        <s v="Stinky sweater!"/>
        <s v="Perfer beige over pink"/>
        <s v="So very disappointed"/>
        <s v="Scratchy"/>
        <s v="Cute, but didnt love"/>
        <s v="Gorgeous on the hanger but not for me"/>
        <s v="Primula cocoon cardi"/>
        <s v="Awful if you have any sort of curves!"/>
        <s v="Armholes huge"/>
        <s v="No slip and totally sheer dress"/>
        <s v="Ordinary for the price"/>
        <s v="Didn't work on my pear shape"/>
        <s v="Sheet"/>
        <s v="If only it looked like the photo....."/>
        <s v="Not as pretty in person"/>
        <s v="Wanted to love it - but . . ."/>
        <s v="Shrinks!!!"/>
        <s v="Very plain on the front"/>
        <s v="Might be great if you have a bun in the oven!"/>
        <s v="Pretty but just okay when worn."/>
        <s v="Not a great design"/>
        <s v="Weird shape."/>
        <s v="Too long, poor quality"/>
        <s v="Gold thread"/>
        <s v="Not for tall ladies"/>
        <s v="Lokka tunic"/>
        <s v="Love but poorly made"/>
        <s v="Funky seams"/>
        <s v="Not worth the $$"/>
        <s v="Huge arm holes"/>
        <s v="Looks can be deceiving"/>
        <s v="So wanted to love it..."/>
        <s v="Not for big girls :("/>
        <s v="Maybe one i got it's not right?"/>
        <s v="Different dresses"/>
        <s v="Not petite inseam..."/>
        <s v="Frayed bottom hem....."/>
        <s v="This is not red!"/>
        <s v="Size and function"/>
        <s v="Looks better on line"/>
        <s v="Lovely prints"/>
        <s v="Funky fit"/>
        <s v="Pretty, but already piling"/>
        <s v="Cute, but no sale"/>
        <s v="Pretty pattern, weird texture"/>
        <s v="Not flattering on"/>
        <s v="Shorter than expected"/>
        <s v="Shapeless"/>
        <s v="Disappointing fit!"/>
        <s v="The fabric is heavy"/>
        <s v="Washed out looking"/>
        <s v="Comfortable but not exciting"/>
        <s v="Too much for this sweater"/>
        <s v="Misleading picture!"/>
        <s v="Large and very wide!"/>
        <s v="Quality &amp; cut"/>
        <s v="Pretty but not for me"/>
        <s v="Farm animal pullover"/>
        <s v="Paisley silk maxi dress"/>
        <s v="Runs big, great material but not as pictured"/>
        <s v="Great color, not so great tailoring"/>
        <s v="I wanted to love this shirt."/>
        <s v="Shrinks"/>
        <s v="Wanted to love her"/>
        <s v="Cute pant"/>
        <s v="Gorgeous fabric"/>
        <s v="Great fabric but really bad shape"/>
        <s v="Beautiful top, but it shrank substantially!"/>
        <s v="Cute dress but poor design"/>
        <s v="So sad"/>
        <s v="Wanted to love it!"/>
        <s v="Not what i thought"/>
        <s v="Stretch out a whole size"/>
        <s v="Shape problem"/>
        <s v="Gorgeous - but......."/>
        <s v="Just average"/>
        <s v="Maternity top"/>
        <s v="L space chloe top"/>
        <s v="Fine for a fitness class"/>
        <s v="Disappointed"/>
        <s v="Not sure what body type this suit is designed for"/>
        <s v="Loved but both in my store had quality issues"/>
        <s v="Pretty, but not great"/>
        <s v="Awkward"/>
        <s v="Odd shape"/>
        <s v="Didn't try it on"/>
        <s v="Pretty dress but oddly cut in the middle"/>
        <s v="Wide"/>
        <s v="Not flattering"/>
        <s v="Way cuter in the photo"/>
        <s v="Not so flattering top"/>
        <s v="Too much fabric"/>
        <s v="Wanted to love..."/>
        <s v="Not as pictured"/>
        <s v="Disappointing"/>
        <s v="Pretty top poor fit"/>
        <s v="Avoid if you're curvy..."/>
        <s v="Awful fit"/>
        <s v="Cute, but not on me!"/>
        <s v="Wanted to love"/>
        <s v="Sad sack"/>
        <s v="Fits like maternity"/>
        <s v="Beautiful fabric / odd fit"/>
        <s v="Wanted to love it"/>
        <s v="Cute shirt, but not for me"/>
        <s v="Not black"/>
        <s v="Not the same"/>
        <s v="Not what i wanted"/>
        <s v="Weird boobs"/>
        <s v="Nothing special"/>
        <s v="Wish it was longer length"/>
        <s v="Looks like a babydoll dress"/>
        <s v="Love the way it looks, but couldn't keep it"/>
        <s v="Odd cut"/>
        <s v="Odd, boxy fit"/>
        <s v="Unflattering"/>
        <s v="Umm what is this"/>
        <s v="Very delicate"/>
        <s v="Too delicate"/>
        <s v="A poor quality dress"/>
        <s v="This sweater is short in length"/>
        <s v="Much cuter in the picture"/>
        <s v="Very messy t-shirt"/>
        <s v="Down with drycleaning"/>
        <s v="Worst purchase ever"/>
        <s v="Not good quality"/>
        <s v="Muumuu"/>
        <s v="Comfortable and pretty"/>
        <s v="Very cute, runs small"/>
        <s v="Cute shirt but really strange design"/>
        <s v="Good luck getting it on!"/>
        <s v="Would love the cut but"/>
        <s v="Top gapes open"/>
        <s v="Odd dimensions"/>
        <s v="Not for the well endowed"/>
        <s v="I wanted to like this..."/>
        <s v="Size down"/>
        <s v="Bad zipper"/>
        <s v="Dissapointed"/>
        <s v="Sleeves stretch out"/>
        <s v="Enormous!!"/>
        <s v="Haven't washed well"/>
        <s v="Does not fit well but is beautiful"/>
        <s v="Delaney pullover"/>
        <s v="It's a bell"/>
        <s v="Wanted to love, but..."/>
        <s v="Too low cut"/>
        <s v="Shorter &amp; smaller than picture/ description"/>
        <s v="Wanted to love these but didn't"/>
        <s v="Maybe not for everyone"/>
        <s v="Great quality and color but boxy and ill-fitting"/>
        <s v="Pretty, but ill fitting"/>
        <s v="Too big on top"/>
        <s v="Pirate sleeves"/>
        <s v="Nice idea"/>
        <s v="Cute but no shape or support up top"/>
        <s v="Beautiful details, but not quite right"/>
        <s v="Why floreat? so perfect, yet so wrong!"/>
        <s v="Very sheer and not as form fitting"/>
        <s v="This top runs very large"/>
        <s v="Wish it looked as cute in person"/>
        <s v="I wanted to love them"/>
        <s v="Darker in person"/>
        <s v="Does not fit as expected"/>
        <s v="Terrible!"/>
        <s v="Runs small, stiff top"/>
        <s v="Omg! back is see-through!!"/>
        <s v="Fit works for some and for others"/>
        <s v="Not like the photo at all"/>
        <s v="Too low and very big armholes!"/>
        <s v="Lovely top that runs very large"/>
        <s v="Odd fit"/>
        <s v="Just...weird"/>
        <s v="Droopy front, heavy fabric"/>
        <s v="Cute... if you're planning to hold it on"/>
        <s v="High in back"/>
        <s v="Really wanted to like it, but..."/>
        <s v="High hopes, but tiny and flimsy"/>
        <s v="Sleeves too tight"/>
        <s v="Beautiful! ...but not for a long torso"/>
        <s v="Huge!!"/>
        <s v="Tassels :("/>
        <s v="Not as shown"/>
        <s v="Super cute but not for me"/>
        <s v="Beautiful - if you're pregnant with twins."/>
        <s v="Beautiful dress, fits poorly"/>
        <s v="I'd rather pay property taxes than buy this one!"/>
        <s v="Square"/>
        <s v="Very unflattering dress"/>
        <s v="Almost."/>
        <s v="Would be great but..."/>
        <s v="Wanted to like it"/>
        <s v="Flawed"/>
        <s v="Awkward shape"/>
        <s v="Cute skirt in theory"/>
        <s v="Can't get it on"/>
        <s v="Halfway lovely"/>
        <s v="Would be cute if i could get it on"/>
        <s v="Small"/>
        <s v="Mission impossible"/>
        <s v="Too bulky"/>
        <s v="Material"/>
        <s v="Extra fabric"/>
        <s v="Very cute, but impossible to put on"/>
        <s v="Good concept, poor product"/>
        <s v="Cute but...."/>
        <s v="Too big!"/>
        <s v="Too cute but ..."/>
        <s v="Poor fabric quality"/>
        <s v="Nice design but quality isses"/>
        <s v="Shrinks, shrinks, shrinks"/>
        <s v="Poor shape for my body type"/>
        <s v="Weird fit in the bust"/>
        <s v="Loved it, but..."/>
        <s v="Very unfortunate"/>
        <s v="Runs small in bust"/>
        <s v="Bummed out"/>
        <s v="Not kind to curves"/>
        <s v="Cute top....but shrinks horribly!"/>
        <s v="Fabric is very stiff...."/>
        <s v="Too much pep in this peplum..."/>
        <s v="Perfect until washed"/>
        <s v="Love it but. . ."/>
        <s v="Didn't fit well for me, awkward and dull"/>
        <s v="Too long"/>
        <s v="Oversized and unflattering"/>
        <s v="Want to like it...."/>
        <s v="What happened?"/>
      </sharedItems>
    </cacheField>
    <cacheField name="Review_Text" numFmtId="0">
      <sharedItems containsBlank="1">
        <s v="I had such high hopes for this dress and really wanted it to work for me. i initially ordered the petite small (my usual size) but i found this to be outrageously small. so small in fact that i could not zip it up! i reordered it in petite medium, which w"/>
        <s v="I love tracy reese dresses, but this one is not for the very petite. i am just under 5 feet tall and usually wear a 0p in this brand. this dress was very pretty out of the package but its a lot of dress. the skirt is long and very full so it overwhelmed m"/>
        <s v="Dress runs small esp where the zipper area runs. i ordered the sp which typically fits me and it was very tight! the material on the top looks and feels very cheap that even just pulling on it will cause it to rip the fabric. pretty disappointed as it was"/>
        <s v="First of all, this is not pullover styling. there is a side zipper. i wouldn't have purchased it if i knew there was a side zipper because i have a large bust and side zippers are next to impossible for me.&#10;&#10;second of all, the tulle feels and looks cheap "/>
        <s v="Loved the material, but i didnt really look at how long the dress was before i purchased both a large and a medium. im 5'5&quot; and there was atleast 5&quot; of material at my feet. the gaps in the front are much wider than they look. felt like the dress just fell"/>
        <s v="I have been waiting for this sweater coat to ship for weeks and i was so excited for it to arrive. this coat is not true to size and made me look short and squat. the sleeves are very wide (although long). as a light weight fall coat the sleeves don't nee"/>
        <s v="I ordered this 3 months ago, and it finally came off back order. a huge disappointment. the fit wasn&amp;#39;t so much the issue for me. the quality of the wool is subpar. someone else mentioned a &amp;quot;felted wool&amp;quot;...i guess, is that what you call it?  "/>
        <s v="I am pregnant and i thought this would be a great sleep bra. it's soft and fits okay, but it has zero support or shape. i would only buy if you are a b cup or smaller and can get away without support. if i would have seen this is the store, i would have p"/>
        <s v="This tank fit well and i loved the ruffle in the back and how it layed. but the front was not a good look and i will be retuning it."/>
        <s v="3 tags sewn in, 2 small (about 1'' long) and 1 huge (about 2'' x 3''). very itchy so i cut them out. then the thread left behind was plasticy and even more itchy! how can you make an intimates item with such itchy tags? not comfortable at all! also - i lo"/>
        <s v="I really loved this top online and wanted to love it in person. it is soft and the patter is okay in person. the neckline is higher than i am used to. also, there are two buttons in the back that must be unbuttoned in order to wear the top. it is difficul"/>
        <s v="I really wanted this to work. alas, it had a strange fit for me. the straps would not stay up, and it had a weird fit under the breast. it worked standing up, but the minute i sat down it fell off my shoulders. the fabric was beautiful! and i loved that i"/>
        <s v="Why do designers keep making crop tops??!! i can't imagine this would be flattering on anyone, especially someone average height and well endowed on top. i looked like a football player. the pattern and fabric are gorgeous, so if you are like 4' tall and "/>
        <s v="The zipper broke on this piece the first time i wore it. very disappointing since i love the design. i'm actually going to try to replace the zipper myself with something stronger, but annoying that it's come to that."/>
        <s v="I was really hoping to like this, but it did not look the way it does on the model, at least not on me. the sharkbite hem is much more pronounced and looser. the one in the photo looks like it was pinned back. i am 5'8&quot; and usually wear a medium or large."/>
        <s v="Really cute piece, but it's huge. i ordered an xxs petite and it was unfortunately extremely wide and not flattering. returning."/>
        <s v="I usually wear a medium and bought a small. it fit ok, but had no shape and was not flattering. i love baby doll dresses and tops, but this was a tent. my daughter saw me try it on and said &quot;that's a piece of tablecloth.&quot; it's going back."/>
        <s v="I was very excited to order this top in red xs. so cute, but it was huge, shapeless and support thin! it had to go back. i should've looked at other reviews."/>
        <s v="I am in need of easy comfortable tops for everyday wear. i bought this top mostly because of the cute buttons. when i received it, it looked exactly as it does in the picture online, however, the buttons kept slipping out of their homes because the holes "/>
        <s v="The fabric felt cheap and i didn't find it to be a flattering top. for reference i am wearing a medium in the photos and my measurements are 38-30-40."/>
        <s v="Runs big and looked unflattering. i am petite, might work on someone taller."/>
        <s v="This is so thin and poor quality. especially for the price. it felt like a thin pajama top. the buttons are terrible little shell buttons. this could not have been returned faster."/>
        <s v="The design/shape of the dress are quite flattering, flirty and feminine. but.... there is no way that the dress i received is new. the color is a faded washed out red and there are black stains all over the belt area. there is no tag... the fabric looks d"/>
        <s v="First, the fabric is beautiful and lovely for spring and summer. i really wanted to like this top, but the fitting is so awkward for me. i typically where a 0/xs, and sized up in the shirt to a size 2. it was very tight and pulled funny across the chest ("/>
        <s v="I was so excited to try out this top since it was such a bargain and neutral. unfortunately, the shape is &quot;a&quot; line and accentuates the hip area a bit more than i find flattering. so, it will be returned."/>
        <s v="My firned tried this on and her first comment was &quot;take it off, it is scratchy&quot;, so i didn't bother trying it on. it is, however, beautiful, if you are not sensitive to scratchy material.&#10;fit was true to size."/>
        <s v="Not keeping this one. the fabric is a bit tacky-looking in person, the cut is odd and it's just not me. fit is fine and there are snaps to keep the neckline flat and shaped, the colors are as shown and it is a good length (falls to top of hip). i simply d"/>
        <s v="So  disappointed that no where in the limiting did it mention this suit is australian in size!! i ordered the 10 (i'm usually an 8 but that was sold out) and the suit arrives and doesn't even fir over my hips. -- the label clearly says 10 australian us 6!"/>
        <s v="The title says it all....this fabric of this top is both the best and worst part of the design. the colors are vibrant and the combination of materials (shoulder is a knit, sweater-like navy fabric) is interesting. however, that is where the positive comm"/>
        <m/>
        <s v="The colors are vivid and perfectly autumnal but the fit is a mess. it was overall too large, the waistline curves up in the front and then falls into small pleats which was maternityish, the waistband was thicker than the dress and sat away from my body a"/>
        <s v="Online, this looks like a great sweater. i ordered an xxsp and found that this sweater is much wider in the middle than pictured. in fact, i'm pretty sure they pinned the shirt in the back for the picture to make it appear slimmer. unfortunately, this swe"/>
        <s v="I was worried about this item when i ordered it because of how it looks in the picture, but i had wishful thinking. i should have gone with my gut! this shirt does not have the same quality as all my other retailer purchases. it is see-through and flimsy."/>
        <s v="I was minimally torn over whether to return this but ultimately it's going back because the knit is just too thin. i thought it would be cozy and be of normal sweater weight but it's not. and because it's so light, the swing effect doesn't really come off"/>
        <s v="This skirt looks exactly as pictured and fits great. i purchased it a few weeks ago and got lots of compliments on it. however, on the third wear, the side zipper split wide open. needless to say, it was returned."/>
        <s v="Dang, i got a small and was still swimming in it. it's made of the fabric that increasingly seems to be the fabric of choice for all things t-shirty- soft and thin-ish, a bit translucent. i'd rather wait for something more formfitting and flattering- back"/>
        <s v="Bought this item on sale and was very disappointed in the quality for the cost. fabric feels cheap, like it will snag easily and will stretch out quickly. did not flatter the female form- felt like a burlap sack. gorgeous blue color but not worth the pric"/>
        <s v="I loved this top; it reminded me of one i have from retailer from circa 2008 in black and white; however, on this one, the chest area is too big, in both the 14 and 16, and i even found myself tugging downward on the fabric to keep it in place because the"/>
        <s v="I love the rich deep color and the style but once again this brand runs really small in the waist. i am normally a 8/10 in retailer skirts and the size 10 was tight at the waist enough so i could not button it and feel comfortable. the quality is ok, some"/>
        <s v="Love the fabric of this shirt even though it was thinner than i expected. it is soft to the skin and flattering. however i returned it because it is made for women with long torso and shorter shoulders."/>
        <s v="The skirt that i received had very little blue or green in it, and was mostly white, yellow and some red. the fit was fine but the quality for the price was not there for me. the lack of quality and the disappointment in the quality equals a return."/>
        <s v="Bought a large, could barely pull up over my butt. runs extremely small. it's cute but if your not a stick figure, this is not the suit for you."/>
        <s v="The shirt is absolutely cute looking. but that's just that....looks. i'm 5'2&quot; size 6 &amp; wears m to l top. i tried on the medium in the store, it was rather flowing. i liked it. but i didn't like how it fit on the underarm area. it hung very low. so i order"/>
        <s v="I have a similar pair of capris from retailer and when i ordered these i thought they were the same in a different color. these are less flattering and i may not keep them."/>
        <s v="I love the style of this top, and the longer length would be great with leggings and fitted shorts. it's somewhat fitted on the top yet it's a-line shape gives a full swing at the bottom. the ruffled v-neckline is pretty, and i like the longer length of t"/>
        <s v="I loved this dress from the moment i tried it on. so flattering to my postpartum body without being a huge tent. soft fabric, and for a white/lightly striped dress, not sheer. i'm bummed because after washing only twice (followed the instructions to wash)"/>
        <s v="Fits well through the shoulders and arms, but there is zero waist, and it just looks like a bunch of extra fabric hanging from the top. super cute, but have to return because of that."/>
        <s v="I really wanted to love this t and was excited to receive it in the mail. i thought i was being realistic in assuming that is would be somewhat sheer given that there doesn't seem to be a woman's white t on the planet that isn't these days, however it was"/>
        <s v="Like the other reviewer said this top is extremely wide and boxy. it must be pinned in the picture online. it's very frustrating when they do that. thank goodness i didn't pay for shipping! for reference, i'm 5'2 and 135 pounds and bought the xxs, it's go"/>
        <s v="I wanted to love this sweatshirt, but alas, it is going back. upon opening and unfolding, the first thing i noticed: the dots and not solid. they are sort of distressed looking, with parts of them missing. secondly, it doesn't have a lot of structure. it'"/>
        <s v="Looks beautiful online but has too much material and the zipper catches on the lace. also runs very large, i am normally a small but would need and xs in this dress"/>
        <s v="True to size on the neckline and arms but extremely large and puffy in the torso. very unflattering cut!"/>
        <s v="I thought this top was adorable in the store and online. it just didn't work for me. although it fit, it flares out too much in the front and just wasn't flattering on me. i am 5' 5&quot; and 128 lbs. and ordered the small."/>
        <s v="Like another reviewer mentioned, this shirt is way too short. i'm only 5'2&quot; (xs) and there is no way this top would tuck in like on the model. also, the quality isn't great as it's very thin and there are strings hanging from some of the seams in the fron"/>
        <s v="I had high hopes for this top. really boxy, short"/>
        <s v="This top was way too short (i'm only 5'1) and way too wide. the cut of this top was so wide, it looked like a tent on me. i really wanted to love this top because the material and style (sleeves, ruffle) are beautiful, unfortunately there is something wro"/>
        <s v="Gorgeous in every way except its length and how it hangs at the bottom. i prefer a shirt i can wear tucked in or out. this one will work well tucked in but not out so i am returning disappointed it was so well done in other particulars."/>
        <s v="This top light and airy, which is perfect for spring. i'm usually into these types of blouses; however, this didn't quite fit right on me. it's a little too boxy and too low cut in the front for some reason. i loved the design and really wanted to like it"/>
        <s v="This blouse is so beautiful - the collar, sleeves, material...everything except the cut! it was like a tent. it needed to be more tapered, which would be easy to do while still maintaining the beautiful breezy flow, and be about two inches longer.&#10;&#10;i had "/>
        <s v="Not a coat by any means, merely a thin wool boucle like sweater with a cheap thin synthetic lining ---and i also would never want the lining to be seen by anyone if i were to set the sweater on a chair or be helped in putting the thing on. the length and "/>
        <s v="The fabric was nothing special (i usually like a cotton/silk blend woven fabric, but this was stiff feeling) and the pattern was cute. but what made me return it was the fact that 1) the rose gold glitter dots are puffy paint. literally. puffy. paint. and"/>
        <s v="This top is good quality and cute. it runs large- i'm usually a medium and needed a small. the reason i will be returning it is because it flares out at the bottom on the black which is very unflattering on. it makes me look wide in the waist or like i'm "/>
        <s v="This blouse is super cute but oddly sized. i bought a size up and still i squeezed into the top around the bust. the front slit is too low and shows a bit too much cleavage, so this had to go back. i really tried because the fabric is wonderful and the sh"/>
        <s v="I love maeve and was so excited for this top which looked like an update from a last season favorite. unfortunately the fabric was stiff, it was tight in the chest and went straight down from there. returned."/>
        <s v="I was looking for a basic tee, but this one was just ok...the quality is okay, but it us not as soft as i would have liked. unfortunately,  i will be returning this item."/>
        <s v="Disappointed in the quality of the dress. love the style and especially the colors. the fabric of the body of the dress is very very thin and just poorly made. the top bodice is more substantial. not worth the price tag of $148.00. dress does run short."/>
        <s v="This skirt is very short. i ordered my usual xs petite and it was so short that the longest part ended above my ankle. that's quite off because i'm only 5 feet tall, and i wore it pretty low on the hips. it also flares out awkwardly below the knee. there "/>
        <s v="I don't normally review my purchases, but i was so amazed at how poorly this dress was made, i couldn't help myself but to post a review. the neck line isn't even hemmed down so it flaps up. the material is thin and feel cheap. this dress isnt even worth "/>
        <s v="I'm surprised other reviewers loved this one so much. it's completely different then how it looks on the model. it's much shorter, which others do mention, but it flares a lot. enough to feel maternity-ish on me. it looks fitted on the model. maybe it's m"/>
        <s v="This sweater is fine for the casual days. i bought this in cream and i have to say after one wash it looks old. i'm a huge retailer lover and buy a lot of clothes from them. this is just not the best quality and looks tired after a few wears. very soft, b"/>
        <s v="I really wanted this dress to work out, but i was slightly disappointed in the fabric for the sleeves. the fit was accurate. i'm 5'7 and ordered a 6, however, my husband said it looked too little girl like. i did end up returning it :("/>
        <s v="I got this dress in hopes of having a really nice winter formal dress. it was not well made at all! the lining didn't line up with the top layer and the waist puffed out in uneven places. i am curvy so a puffy waistline in the last thing i need! the fabri"/>
        <s v="I love byron lars dresses, and this design is on-point. the ruffle at the neckline is so pretty, and the dress fits like a dream. however -- the fabric!!! i would have loved it if this dress had a heavier feel. this is, sadly, going back today."/>
        <s v="I loved this dress as soon as i tried it on, but... it bunched up weird in the front around my hips. i ordered a second size 4, hoping that it would fit better. but same thing. if i tried to go to a size 6 it would be too big every where else. fyi - i'm 5"/>
        <s v="I really like how this looks on the model, but in real life this top is much tighter. i was hoping for a good layering top and have been playing around with the trend of lace up tops. i bought it without trying on figuring a small would work, but it was m"/>
        <s v="Three strikes and retailer is out for me! i am so disappointed. i really liked this dress and was looking for a fun, distinctive new shift dress. got it, tried it on, took it off, went back to look at the listing online...nowhere does it mention that it h"/>
        <s v="It's hard enough for women to find clothing that will make them look as beautiful as they feel but add a bigger bust size (i'm a 36dd) and it makes it this much harder. i ordered this top because of how beautiful it looked on the model and the price. when"/>
        <s v="When i first opened this dress and tried it on i thought it was adorable. it is very flattering on my hourglass figure and hides my recent baby weight. the problem is the hem. it was already rolling up when i took it out of the package, and i should have "/>
        <s v="I bought this in the white, size m (140lbs., 5'8&quot;, 34b) because i wanted a baggy fit, which i got, so this is tts. the white is more of an off-white rather than a bright white, which i like because i happen to be looking for an off-white tee. and the shap"/>
        <s v="Nice fabric, very versatile but the knit top and style accentuates your bust. probably not an issue for most but if your a d or up it's more attention than you may want."/>
        <s v="Cropped and wide- would look cuter on someone who is more petite. was too wide and cropped for me. very sheer."/>
        <s v="The fun colors drew me to this but it sure fit weird. the top was fine but it became a bit tent-like in the waist. the material doesn't feel great either."/>
        <s v="I'm assuming the model showing the sweater is at least 5'9&quot;, it is slightly cropped on her , but it certainly doesn't look super cropped. i'm 5'4&quot; and its super cropped on me. even with high waist jeans.&#10;also, it is incredibly itchy. i even tried it with "/>
        <s v="Color is not like photo and fit doesn't work if you're busty"/>
        <s v="Absolutely love this blouse but if your a woman cursed with larger arms for your body size than this is not for you. i couldn't get the lace part of the upper arms past my elbows.&#10;&#10;oh well, it's going back!"/>
        <s v="I thought that it looked like it belonged on a 15 year-old. i can almost see why they styled the model in what looks like ankle socks....ready for cheerleading. for reference it fits true to size, but is very short. i am 5'2&quot; and tried on a regular small "/>
        <s v="This top runs super small in the upper arms, shoulder area..could not even stretch out my arms! ...other then that major problem, the length and body fit were perfect...i am true med and/or large in all retailer tops so i tried sizes 10, 12 and neither wo"/>
        <s v="Was drawn to this dress in the store. my location had it displayed well (one mannequin with the dress &amp; a jean jacket...another with the faux fur cardigan). the dress is a very vibrant red. but the fit is not for me. i am busty (34c) with a short torso, a"/>
        <s v="I was really excited about this top since i have others from retailer that are similar in styling. unfortunately, it just didn't work out. i am petite with a short torso and ordered my usual size and it was way too short in the front. the top was also box"/>
        <s v="The back of this t-shirt looks cute but the front looks really weird. the material in the back is quite stiff but the grey material is soft, so the front gray area ends up hanging weirdly and looking uneven and messy. i appreciate asymmetrical clothing bu"/>
        <s v="Well, this top just did not do anything for me - it's a very conservative style with the high neckline and blousy fit. you'd need to go a little lower in size if you want any of your figure to show through. i guess it might be good for a church function o"/>
        <s v="Well made. made my hips looks giant. just not my style unfortunately. i'd have to work at preschool or on a ship to pull this off. i'm 5'3 120-123lbssize 6-8. i got the size 6 (not petite cuz they were sold out)."/>
        <s v="Fits very strange. odd cut. does not look well on."/>
        <s v="My store had this and i was so intrigued with its nearly $400 price tag that i decided to play dress up. the colors in person match the colors online, so that was nice to see consistency. overall though, i feel like a dress of that price would need to mak"/>
        <s v="These run very small!! they are also short, almost like a crop pant. the fit was so weird that i won't even exchange for a bigger size."/>
        <s v="I just tried on this dress in the store, in red, and i loved the off the shoulder design. the color is just as pictured online (a light poppy red). the neckline began a few inches below my collarbone and was super flattering. however, the skirt portion of"/>
        <s v="It looks like you are wearing cargo shorts. really unflattering. avoid buying this skirt"/>
        <s v="This top looked super cute online but when it came it was super short and boxy. looked like a tent on me. this one went back the same day it came!"/>
        <s v="Uncertain about sizing i got both the 4 &amp; the 6...both made me look like a no-asser :( neither fit quite right in the leg. both hit at a weird point in my calf, not cute-short, just off. (i'm 5'8&quot; and 125#) to quote my husband, &quot;nope. not feeling these.&quot; "/>
        <s v="I love the fit of these pants -- they're the perfect slim black pants. however, i wore these pants exactly three times before the seams split the middle of the pant in not just one, but multiple places. disappointed by the workmanship/quality of the produ"/>
        <s v="I waited three months for these pants. when they finally arrived, i was mostly pleased. they seemed like the staple pant everyone is raving about. and they should have been.&#10;problem one: they bag out. i got one wear out of them before i needed to wash and"/>
        <s v="Like others, i finally received my size 6p black pants after months of waiting.  for starters, these pants run small, so i ordered a size up but still in petite, because i adored the red ones i got this past summer.  when the black pants arrived, they wer"/>
        <s v="So i recognized the fact that this dress was likely intended more for lounging than for wearing out and about, but i once had a lot of luck with dresses of this price point (and intent) at retailer, so i had hopes. i was just wanting it to be a great addi"/>
        <s v="I tried this on in the store and was disappointed because it looked so fresh and vibrant on the hanger. but it's basically cut for model-sized people only. it's short and wide, and if you have any boobs at all it'll make the back pucker. i can't imagine t"/>
        <s v="I really wanted this skirt to work but it didn't look very flattering on me. a great midi length and very cool pattern, so hopefully will work for others!"/>
        <s v="I am normally between a size 0 and 2, so i ordered these pants in both sizes to make sure i would have a nice pair of black crops to wear to work. the 0 seemed pretty tight all around, so i returned the 0 and kept the 2 even though there was a little bit "/>
        <s v="The material and construction of the pants are great, but the length is just plain awkward. i'm 5'4&quot; and the regular came to just above my ankles, and looked as though they had shrunk in the wash in a really bad way. a couple of inches longer and they wou"/>
        <s v="This cardigan is very cute in the picture and i really wanted to love it but it just didn't seem worth the price. the material is kind of itchy to me and i wasn't a huge fan of the wide edges in the front. the colour is very nice and feminine."/>
        <s v="I don't typically write bad reviews, but this dress is so bad and i want to save someone else from buying it. i read the mostly bad reviews and still purchased anyway (my fault i know). the dress is super stiff ( i know denim can be that way and it is pos"/>
        <s v="Loved the style, ordered my normal m- fit tts though i thought i would potentially taper the sides to make less boxy (with a larger bust and shoulders, boxiness is unflattering). the slight boxiness looked perfect with stretchy, fitted business slacks. mi"/>
        <s v="Don't buy this dress unless you are normally a medium or larger. order it one or two sizes smaller than your normal size. i ordered an xs and it's more like a medium or large."/>
        <s v="The colors and print are absolutely beautiful and i'm quite heartbroken that this suit just doesn't fit. i don't have a long torso but the v was just so plunging that i wouldn't feel comfortable leaving the backyard lounge chair in this bathing suit. no m"/>
        <s v="The overall styling was great, and the dress is super-cute, if a little thick (it's made of denim, after all). i ordered a size down from my normal, and even then, i was swimming in it. the worst part, and the aspect that will make me return it, is that t"/>
        <s v="I wanted to love this dress. the colors are heavenly and it looks light and airy. it isn't, it is very heavy, much too heavy for florida heat. the top layer is a beautiful sand color and while the fabric is nice, the heaviness of the top really weighs the"/>
        <s v="I think in general it is just hard to buy a bathing suit online, but i really underestimated the v-neck of this suit. i read the reviews and noted it was not recommended for girls with larger size breast. as i'm basically an a cup, i figured i would be fi"/>
        <s v="Love the color, but the fit is just odd and frumpy. the sleeves are shorter than the should be. when i lift my arms, the entire sweater gets lifted. going back."/>
        <s v="Yikes!  quite a smell off of this one- like wet/hot wool.  the color was beautiful, but the sweater is enormous!  strange fit under the arms as well.  this one went back the same day."/>
        <s v="I had tried this on in the beige &amp; loved it but could not find it in my size so i got it in the pink.&#10;did not look at good as the beige."/>
        <s v="I love retailer and fell in love as soon as i saw this dress online. being 5'10&quot; i love a quality maxi dress and this one did not disappoint. however, being 5'10&quot; also means the top sweater overlay hits me way short. it looks ridiculous. i also thought th"/>
        <s v="The sweater is cute, but scratchy."/>
        <s v="It was cute. i didn't keep it because it wasn't soft and hung a bit different than pictured. i thought it would be softer material. it was itchy"/>
        <s v="I was so in love with this dress when i saw it in the store but so disappointed when i put it on. i am 5'10&quot; with curves and usually buy a large in dresses. this dress looked like a sack on me. the top was way too big and loose making the dress a boxy cut"/>
        <s v="This is huge. i understand that's the style, but it looked like i was wearing my husband's size xxl. i tried to imagine a really cold day when all that extra fabric would be nice... but then it started to itch, and itch and itch!"/>
        <s v="The fit is not as shown on the website. will be returning."/>
        <s v="I am floored by the amount of positive reviews on this dress! when i received it, it looked nothing like it does on the model. the bottom looked like dirty sand and was completely wrinkled. if you have anything above a c cup, the top looks completely unfl"/>
        <s v="This didn't work for me. im normally a m (8/10). got this in xs. that was the correct size for me, i believe. however, the armholes were huge. husband said the top of the dress looked like the autobots symbol from transformers and he wanted me to keep it."/>
        <s v="I just received this in the mail today. first of all there was no slip included and the fabric is totally sheer. the description says &quot;viscose lining&quot; so i assume there was a slip and from the picture it looks like it was a beige color. second of all, it "/>
        <s v="I was so excited to order this sweater but was so disappointed when it came. the knit is somewhat stiff and the sleeves are not as bell shaped as pictured on the model. overall i would of kept it if it were much less money, for the price it is just an ord"/>
        <s v="After reading the reviews i decided to give this a try, but it just didn't work on me. i'm 5'8, smaller on top, and usually wear m in retailer sizes. this was ok in the shoulder and arm area but a little too snug for me in the hips. also, the diagonal str"/>
        <s v="Love the shape and cut of this top but it is so sheer you could see my belly button through it. if it was a dark color i would buy it. wore my regular size small. i'm 5'5&quot;130lbs  and 32dd."/>
        <s v="This sweater was a big let down. i am 5'2&quot; so i ordered it in a petite. it was so short that if i lifted my arms, you'd see my bra!! there is no way i could wear it without something under it- even with high waisted bottoms. and the bell sleeves look noth"/>
        <s v="I was excited to see this top in person, but once i got a close up look at it (and also tried it on) i was disappointed. first, the color is much more persimmon orangey in person and that's a hard color to pull off for a lot of people. it just pulls any p"/>
        <s v="I wanted to love this. however, the fit was funky and the colors were muted. this is definitely something you must try on in the store. too risky to buy online due to weird fit."/>
        <s v="Ladies this top shrinks!!! i am very disappointed, i was in love with this top and the first time i washed it it shrunk a significant amount. i did not use a dryer, i laid this piece out to dry as i do with the majority of my knit tops and it shrunk. it i"/>
        <s v="This sweater looks soft and flowy on the model, but in the store it is rather stiff lace in the back and very plain in the front. i did not like the ribbing on the front bottom of the sweater because it pulled in places and didn't lie flat. way too expens"/>
        <s v="Again, bought this while wearing my retailer colored glasses. i loved the flowiness and color of the dark pink, and was convinced in the dressing room that this top made me look like a chic goddess, mid-vacation on the amalfi coast. i tried it on at home,"/>
        <s v="I love the back detail but doesn't feel that comfortable on. i bought in green. it's fitted so get size larger if you plan to layer up. i'm 107 and bought xs size. i should have ordered the s."/>
        <s v="This shirt is not a good look for a gal with hips. the fit at the top is tight (i ordered a small) but there is so much material at the bottom and if you are a little taller (i am 5'7), it hits at a place that is not flattering. i was hoping for something"/>
        <s v="After seeing this on anthto's facebook page i was so excited to order. i ended up going to a store and trying on. i couldn't believe it was the same shirts when i first saw it. i thought this ran quite big. and the shape was odd. lots of material in the m"/>
        <s v="I ordered this sweater in black and thought it was a pretty design and something different in a cardigan. when i tried it on, it was an odd fit and very boxy and unflattering. i wanted to like it and keep it, but i knew i would not wear it so, unfortunate"/>
        <s v="I ordered the pink in size xl. the color was pretty. the problem is the material was too thin and tight. it ran at least a size smaller than shown in the photos online."/>
        <s v="This is a very pretty sweater, a bit boxy and short but cute. i am 5'1&quot; and ordered the regular xs in black. the thing i did not like about this sweater was the gold thread through the back lace. i would have kept this if it was plain black lace. just did"/>
        <s v="This sweater is a cute design but did not work for me. i am 5'9&quot; and this is way to short/cropped and looks awkward. the quality was so so, it looked stretched out in the front. it's getting returned."/>
        <s v="Beautiful top, loved the color but shoulders were totally messed up and not sure if it was from&#10;hanging at store or the way it was sewn."/>
        <s v="I ordered this in two colors, in my regular size. i washed and laid flat to dry....it shrunk like crazy. i held the one i washed up to the other unworn/unwashed one and it was at least two inches shorter. they may both be going back. i am so sad."/>
        <s v="I purchased this top in blue and liked it so i ordered the red color. i hated the way the second one fit. i'm concerned the blue will not wear well after seeing the way the second one looked!"/>
        <s v="You guys, i love this so much! however, within one hour of wearing it, the back seam completely ripped. it fit me perfectly... sadly i&amp;#39;ll have to return the damaged item. really sad it&amp;#39;s all sold out too!"/>
        <s v="Oh elevenses, i love your pants..the fabrics, the details, the length. i've found elevenses to be classic work pants. reliable, professional, well made. these are none of those things. the cardinal trousers are thin and the rise feels much higher that's i"/>
        <s v="Love the design and the gold color, but the seams between knit and lace were a little weird and bunched/weren't smooth. maybe the one i tried on just needed to be ironed or something..."/>
        <s v="I loved the cut of these pants and the button accent on the pockets. however, the material was quite thin and the quality was not great- there were multiple snags along the seams. additionally, at 5'8, 130lbs i was swimming in the size 4. i would have tri"/>
        <s v="Why is it so difficult to find a shirt that doesn't expose half of my bra if i lift my arm? &#10;&#10;this is cute (beyond the arm hole issue) but overpriced. going back."/>
        <s v="I wanted these culottes to work so much! the fabric is gorgeous, but the size i ordered didn't fit. i'm normally a size 28 in pants, and i ordered a size 8. it was way too tight and made me look like i had a pooch in the zipper area. not what i wanted it "/>
        <s v="Ditto what the first reviewer said, unfortunately. i was so looking forward to receiving this dress but the one received is not the one in the photos. the graphics are fantastic - still love the boats- but the top is not the same and they've added a fabri"/>
        <s v="Quality is fantastic but i feel like a 14 would have barely made it's way around one leg! this pant is way small in terms of sizing and not a style fit for anyone over a 6. a lot of fabric in the legs. nice pant but not for this girl!"/>
        <s v="Got the small petite. length is perfect, love the color, super comfy, very pretty. the problem is that you cannot wear a bra because under the armpits is so low that either shows your bra (a lot) or if u wear sans bra you may show your breasts (it's loose"/>
        <s v="These run small (i am 110 and got a size 4), they were a tad tight on top. the waist fit but felt a little too snug, short from waist to crotch and then bloomed out in a nice but stiff ish material. they are a dark blue animal print. i felt like bozo the "/>
        <s v="I loved the photo of this dress. upon examination of the dress (and trying it on) after receiving in the mail, the dress shown online is nothing like the dress i received save for the pattern. the dress i received has a side zip as well as a belt and no p"/>
        <s v="I ordered these in my usual pilcro petite size 6. they were impossible to button, which is interesting 'cause i also ordered the pilcro wide leg chinos in the same size and they fit perfectly, as usual. but it ended up being ok because i don't care for th"/>
        <s v="I was excited to see these jeans since they came in petite sizes and had a short inseam... unfortunately after ordering/returning several pairs, i found out that these are actually not petite jeans. please beware that if you are ordering these for the sho"/>
        <s v="This top is super cute, however the bottom hem is all frayed....couldn't really tell that from the pictures. the &quot;flutter&quot; sleeves are too big...looks funny with the fraying...runs a little large as well. loved the color! perfect with white denim!"/>
        <s v="I was looking for a shirt of this style. i thought it was very cute, but it is not &quot;red' as advertised. it is really a brick orange-y color, which is definitely not what i wanted. very disappointed. sent it right back."/>
        <s v="Too big and it's not secure enough to wear for swimming."/>
        <s v="I received this skirt today and was very disappointed. i don't know what i expected but it is not as i thought. even though the quality is very good and the fit is true to size, i may return it. the fabric of the skirt is just too busy, at least for me. i"/>
        <s v="I saw this skirt online and went to the store immediately to try on. i was a bit disappointed. the size is tts but the prints were prettier online. the material is ok. the regular is long so probably won't look good on a shorter person&#10;if it is still avai"/>
        <s v="I found these to fit odd. i am also use to wearing the skinny jeans so trying a wide leg was a bit weird anyway. the placement of the pockets and the way it hit my waist was awkward and not flattering. i am usually a 8/10 and the 8 fit but just did not lo"/>
        <s v="I loved this dress and it fit great on me: 5'7, 115 lbs, wore an xs. it was a little tighter than i wish, but the s would have been too loose. unfortunately, when i received the dress the arms were already pilling. it is made of a mix of polyester, and wh"/>
        <s v="The dress arrived with a few snags and the fabric already pilling. the fabric will only get worse with wear. return. cute concept; poor fabric quality."/>
        <s v="I love the design and pattern of this top. it runs big so an xs was roomy on me but still cute. the neck is wide. i returned it bc the material of the top isn't for me. the texture is too soft."/>
        <s v="I was so excited when this dress went on sale.  it is very soft and the print is so distinctive.  it is super comfy but not slimming or flattering at all.  i am a curvy girl,  wear a medium 8/10 and this made me look so wide!  the skirt is quit full,  a s"/>
        <s v="After reading the reviews i placed an order because it was the only top that caught my eye on the entire price downs. lately all my usual l/10 sizes from retailer turn out huge so i ordered a size smaller from what i usually wear. all would have been ok i"/>
        <s v="5'1'' 43-31-43. i really wanted to love this coat: the material is nice, the green color is dark and rich, it has a hood. however, the cut is bad for me (and probably a lot of other people). the shoulders were cut too wide and impeded movement, and the bu"/>
        <s v="I originally got these in a 29 petite and thought they fit great right out of the bag (i'm usually a 6/8).. and within an hour of wearing them (to retailer, actually), the knees had gotten so baggy that they looked absolutely ridiculous; i've never had je"/>
        <s v="This skirt is not what i was expecting at all. for starters it runs large, i expected it to sit at the natural waist and it is definitely made to do so, but it was a good two inches too big and therefore wouldn't lay flat and gaped at the front. no bueno."/>
        <s v="I wanted to love these pants, but they were larger than i expected and the fabric is very heavy. almost like a thick sweater."/>
        <s v="Very cheap looking material. looks cheap to cost $158."/>
        <s v="The colors in this dress are much less vibrant in person. the scoop of the neckline is very wide and deep. i know others have posted that this is a great dress for work, but not in my workplace."/>
        <s v="I really like the sundry brand. however. this is thin and to me out of character for an retailer tee. it look adorable in picture. however the coloring is way off. the navy is almost black it's so dark and the kaki stripe is a green. it's nothing like i h"/>
        <s v="This is a comfortable sweater dress, and the quality of the material seems good. the solid blue strip down the front makes it look very bland. i think it would need some dressing up with a necklace or scarf. i decided to pass."/>
        <s v="I ordered this in the orange color from online. they were sold out of petite so i ordered medium (regular). i liked it, but just not flattering. i am 5'2&quot; and the coat was too big. sleeves were past my hands. i think because i'm &quot;curvy&quot; the straight cut o"/>
        <s v="Im 5'1&quot; and about 110lbs. ordered the small because i do have some curves- it was huge- more like a large and didnt have much structure at all. the wool was very soft and stretchy. and like others have said- kinda orange- not true coral color. it fit me l"/>
        <s v="The top i received was large, really long in length, pockets in the front along the seam, and lots of volume in the back without any princess seams to give it shape. the id #'s matched, but that's about it. returned!"/>
        <s v="I ordered this in a small petite and medium petite , and i am a huge fan of a*k. i put tried on the sp. while it fit, it was very long, even for a petite. what i hated about it was that the piping on the top made me look very wide. even a long necklace wo"/>
        <s v="My perspective is as a sewer so i'm more picky perhaps. this top is poorly made. the fabric pattern is crooked or not consistent in each piece. sewers do this to save $ - squeezing the pieces on the fabric. it looks sloppy. the cut is very full; the botto"/>
        <s v="This top reminded me of a maternity top. cute, but better suited for someone smaller chested."/>
        <s v="Wanted to love this sweater for its beautiful colors and cute graphic, but the fit is uncomfortably small and it is so itchy i was yelling, &quot;get it off&quot; in the fitting room. bummer."/>
        <s v="Beautiful dress but have to return. way too big &amp; long for me. medium is the size i wear but i think i would need an extra small."/>
        <s v="I agree with the other reviewers that this runs big. unfortunately there is nothing smaller than an xs so this is going back. i love the lyocell material, i have another skirt with this material and wanted to love this as well but it is too big and with t"/>
        <s v="I was really looking forward to receiving this blouse in the mail. the color was beautiful in person and the photo does not show the nice beading around the neck. that being said, i was so disappointed in the fit. i ordered a size 00 and the arm length wa"/>
        <s v="I order this shirt because it looked like a shirt you could dress up or down. when i got it the shirt was really wrinkled. therefore, i knew it would have to ironed a lot. it was quite boxy and was shorter in the front then in the back. i didn't realize t"/>
        <s v="I loved this blouse when i got it and wore it before washing. it fit really well and was flattering. the only time i laundered it i hand- washed it in cold water and hung it to dry. the blouse shrunk at least a full size and in awkward places. the sleeves"/>
        <s v="This bunches up too much, and the fabric is even more see through than i expected (so even with a tank top under it, it's not a good look for work). even unbuttoned at the top, i could barely get this over my head!  this one is going back."/>
        <s v="There is no way this is worth the price. i was deeply disappointed when it arrived. the material is thin and feels cheap. i love the design, and anna sui, but this is just so overpriced."/>
        <s v="Beautiful victorian look blouse. runs large and overly blousy on me."/>
        <s v="Unfortunately i had to size down twice with there pants. great feel, they're soft and the grey is a soft color."/>
        <s v="The fabric is so beautiful that i am tempted to buy in a large size and have re-made. the waist is tiny. the hips are wide. when it goes to half price, i may be tempted to take it to my favorite alterations lady. the fabric is that exceptionally beautiful"/>
        <s v="If i could sew, i'd take the fabric from this skirt and make it into a different shape (after ordering a bigger size). the fabric is just as it appears online -- totally gorgeous with almost a quilted feel to it. however, this thickness means the skirt st"/>
        <s v="This top is gorgeous in both detail in color. it fit great and true to size, but then i hand washed it as instructed on the label and it shrank substantially to the point that it's now too short and needs to be returned."/>
        <s v="I loved the color and design of this dress but needed to return it because it fit so poorly. the arm holes are entirely too big -- so big that alternations couldn't fix it. maybe it's because i am petite but i think it may be a design flaw."/>
        <s v="The print on these leggings is so cool but they are completely see-through. i mean seriously, seriously see-through."/>
        <s v="Was so excited for this top! loved the embroidered detail and the teal green color. i got it in a medium and it was swimming on me. it also had a maternity type feel since there is a lot more material (making it look blousy) than showing on the model (the"/>
        <s v="These leggings were way longer and darker then appeared on model. &#10;they also were see through or beige color when stretched across hip.&#10;especially for the high cost, there are much better althleisure leggings on the market."/>
        <s v="First, the good parts: these are adorable in person and (i think) the colors are prettier in person than in the pictures. the green isn't too army green, it's a pretty nice mellow neutral that you could wear with reds, whites, blues, pinks...virtually any"/>
        <s v="This is a beautiful fabric and the skirt is so nice. what is wrong is the cut of the skirt. one side bells out more than the other, giving it an off center look from the front. my legs were not centered."/>
        <s v="I so wanted to love this dress! the fabric is gorgeous the styling beautiful and the construction is great - however, the armholes are cut too generously. i am 5'4&quot;, 138 pounds and 36d. i ordered the black in a size 10. it fit me perfectly everywhere but "/>
        <s v="Hei hei is my favorite line. i am a medium in all of the pants i have ever purchased from this brand.&#10;i ordered these in the green and they arrived today. they fit me as if they were an xxl. i have a similar pair in rust from last summer so i assumed that"/>
        <s v="First of all, the label on this dress is maeve, not nue by shani. second, i just wasn't impressed. the fabric is cool...it has a sort of embossed look to it and it's somewhat shiny, which sets it apart in a good way. but the cut is just boring. the top fe"/>
        <s v="I was really wanting a nice white summer blouse to pair with patterned skirts. unfortunately, this fell short as it was huge. not only was it big, it flared at the bottom. it would be perfect if i was sporting a baby bump, but not what i am going for righ"/>
        <s v="L space is frustrating. i wear a 0/2 top but with 32d's i tried a large in this bikini top because from past experience with l space they run small. there's just zero support. the tie design helps secure the girls in place, but also flattens them out if y"/>
        <s v="These were a little baggier than expected and the petite size ran long."/>
        <s v="I fell in love with this dress the instant i saw it. but was disappointed when i received it. first was the color. i chose the green and it wasn't what i thought. it was a very unnatural shade of artificial grass. when my husband saw it in the package he "/>
        <s v="I was so excited to splurge on a mara hoffman suit and was sorely disappointed when i received this suit in the mail. i'm petite and fairly curvy, so i knew it would likely be a little long in the torso but the whole suit was so oddly shaped, i couldn't i"/>
        <s v="I really wanted this. they had two size small in my local retailer, both were damaged. so disappointing. i don't want to pay shipping for one that hopefully isn't damaged:( in the last year i've had multiple quality control issues with retailer. makes me "/>
        <s v="This would be perfect if only it were lined!!!! i have a high waist and hourglass shape so jumpers are very hard to find that fit my body type. this is a perfect fit for my body shape and when on, it looks like a lovely dress. however, it is not lined and"/>
        <s v="I have been dying to try a mara hoffman bathing suit, so i went for this one. unfortunately, the design of the bathing suit is not like what they sent me. the middle where the tops meets the bottom, is squared off, not like that v that it looks like in th"/>
        <s v="This dress was pretty but had a weird fit. the waist droops down in the middle instead of going straight across, which i found unflattering. i ended up returning it."/>
        <s v="I really wanted to like his dress, but it was a big miss. big big miss. look at the way the skirt is attached to the dress in the photo. it goes up high on the sides leaving a short bodice. the sequined patterns hit right at my breasts, so it looked like "/>
        <s v="Great fabric but unfortunately it did not look good on me. maybe on a tall person, i'm only 5'4&quot;. really wanted to like this..."/>
        <s v="I was disappointed with this jumpsuit. when i first saw it in the store, i thought i was going to love it. when i tried it on, the first issue is the fabric is too sheer. i could completely see the outline of my underwear and bra. it also runs way too big"/>
        <s v="This was so unflattering. the bust was too high so it hit me weird on the boobs. the green was a beautiful, vibrant color but the fabric is so delicate that one wrong move would cause a snag."/>
        <s v="I opened the package and the dress is two pieces. it is the skirt part with an orange cami top that the sweater goes over. the sweater was too short for me, as i am busty and would not work. i ordered my normal size and the band around the rib cage did no"/>
        <s v="I am 5'-7&quot; and 135 lbs, i bought a medium petite as i wanted the dress to hit at my knees, instead of midi. this dress is easily 2 sizes bigger than expected. the pattern was not flattering on my although i'm sure it would be for others. i was happy with "/>
        <s v="I really wanted to love this dress. i bought it for a photoshoot that will be outdoors, and thought that the green color would be perfect. it is well made, but the fabric is lighter than expected. the biggest issues was the size. i am 5'7&quot; and typically a"/>
        <s v="This dress is beautiful and would make an excellent party dress for winter. it is well made and the details are pretty. however the waist is cut in sort of a scallop shape, so it is higher on the sizes and dips down in the middle over the stomach. i wear "/>
        <s v="I'm 5&quot;0&quot; and weigh 105 lbs. i purchased the xxs and it was super-wide, and big all over. it looked like a pregnancy top and did not lay as nicely as shown on the model. also, not shown on the model is the front is short and the back is very long. this wou"/>
        <s v="I've been eyeing this top up in the floral pattern for a while and finally ordered it when i had 15% off. i really don't think it's worth the price and it's not very flattering. i think it would look better on someone less busty - it seemed to accent my b"/>
        <s v="It looks great on the model but not on me. on me, it looked more like a sack of potatoes. the fabric is unexpected for the style in my opinion. it is very thick. i'll be returning it because it is not flattering on me."/>
        <s v="This dress looked gorgeous in the monthly catalog. ordered in hopes to wear in easter. i felt it was frumpy and just ok. color was pretty but overall; i didn't love it like i hoped to."/>
        <s v="I had reservations about this top based on other reviews, but it looked cute on the model so i took my chances. i have an athletic build--not model-thin, but not dumpy either--and this top made me look very frumpy and matronly. the sleeves were especially"/>
        <s v="I usually wear a size xs or s in retailer tops, ordered this top in an s and it was so wide on the sides and huge it fit like a tent.  not even remotely flattering.  i thought about ordering it in an xs, however, i could tell the xs was still going to hav"/>
        <s v="I wanted to love this top, but it unfortunately did not work for me. the material has a nice weight and feel to it, and while i love the pattern, the shape leaves something to be desired. the cap sleeves were a little tight on my arms, and the cut of the "/>
        <s v="I ordered this dress in the blood orange and have a few complaints. while it appears to be made with quality, it runs really large. also, in the picture the fabric appears to have a sheen and be somewhat dressy. the actual fabric is just flat cotton. it's"/>
        <s v="This dress was not what i had hoped! from the online pictures, i had high hopes, but the fit was really wonky and the material seemed cheap. the arm holes were too big and made the dress seem more like a bathing suit cover up than a classy summer dress. n"/>
        <s v="I loved this top in the blue and wanted so badly for it to fit however it was very unflattering on my 5'7&quot; frame. the bottom hemline is straight across all around whereas i thought it was longer in the back. i could see this looking great on a really peti"/>
        <s v="Didn't work on this curvy gal.&#10;sizing up would have helped with the button gaps, but the flowy shape of the blouse would have looked too maternity on a larger size.&#10;major pass."/>
        <s v="Wanted to like this top but it looks terrible and does not lay right. the bust line is not tight enough to contrast the rest of the top being flowy. does not give any shape to the body. do not recommend for anyone with a medium to large chest."/>
        <s v="I read all the reviews and was hoping that this top would work for me, but it did not. i ordered a size smaller than usual and it was still way too big. it was not flattering at all on my curvy frame. overall, it looked more like a maternity top on me the"/>
        <s v="I bought two, one in white and one in blue print and wore the blue print top once and loved it. then i washed it according to the instructions on the tag (in cold gentle cycle and hung to dry). it shrunk up 4&quot; in the length and 2&quot; in the width and now it "/>
        <s v="....that's what i look like wearing this dress. a sad, sad, sack. the fabric is less than ideal, and there is no shape to speak of. i love that it has pockets but that's about it. there was just way too much fabric for a petite person. this dress has got "/>
        <s v="I wanted to love this, was so excited when i ordered it online. the fabric (blue and white) was beautiful, but the cut was bad. it fit me like a maternity top, and made me look like i was 6 months along. i have a feeling that the models had theirs pinned "/>
        <s v="Really wanted to love dress but something was off with fit. fabric is lovely and zipper detail nice unfortunately style was not for me."/>
        <s v="An absolutely gorgeous, but poorly fitting blouse. the bottom part is way too billowy and inconsistent with the fitted top half. got it on sale and still returned it."/>
        <s v="The blue lace with the white top underneath is very pretty. unfortunately i did not like how billowy it was below the bra line."/>
        <s v="It is definitely pinned back on the model in the photograph. it made my 5 foot frame look short and wide."/>
        <s v="For reference i am 5'5' 138 lbs with an hourglass figure and my usual small fit perfectly. the problems: 1. this skirt is not black but a charcoal gray/purple. 2. the sipper is reinforces with a stiff boarder on the inside so no matter where i put the wai"/>
        <s v="I've been buying stevie ankles for years from retailer and been very happy. the past two pairs i bought had a heavy chemical smell, which i imagine is some kind of starch/chemical to keep the denim stiff. with the first pair, after enough washes to get ri"/>
        <s v="I'm so incredibly disappointed. the dress is beautiful but the one i received is torn and has multiple strands of beads missing. poor quality control."/>
        <s v="I am reasonably petite, but i like sweaters very oversized and large, so i ordered this sweater in a large. i was very disappointed when the sweater came because while the sleeves and upper chest area were in large, the length of the sweater did not at al"/>
        <s v="I wanted to love this dress, and thought it would be perfect for a barn wedding i have coming up. it was allllllmost right but sadly fell short. the bib that hangs over the bust hits in a really unflattering mid point that makes you look wide. nipple tass"/>
        <s v="I ordered the grey/yellow &quot;here comes the sun&quot; shirt. it's cute, but it runs quite large and isn't special enough for the price. meh."/>
        <s v="I ordered the light pink version in size xl. the details of the top and the shade of pink are pretty. but, the shirt fits me much shorter than on the model. i'm not quite 5 ft. 6 inches so it should have worked. the material is thin so i was able to stret"/>
        <s v="I wanted to love this dress as it would have been perfect for a wedding i have in october however, the fit was awful;. the dress was heavy with a funky liner. it also had these little black straps around the top of the arm/neck that looked out of place. i"/>
        <s v="I ordered this blouse online bc i couldn't find it in my local stores once it was on sale. the fabric is so delicate. the cutouts had already frayed and in some places torn. had to return it."/>
        <s v="Very disappointed. the cutouts started to rip the first time i wore it. i've only worn it twice and i love it but the cut outs are embarrassing."/>
        <s v="Huge bummer. this top is definitely a crop/midi-top. plus, it's cream, not white like shown in the photos. i'm returning it today."/>
        <s v="I was so excited to get this dress. i need it for a wedding, and i thought i had hit the jackpot. the dress arrived with a small tear. the seams are puckered and badly seen.  for an almost $300.00 dress, the quality is terrible. i expect better from retai"/>
        <s v="This is a very pretty shirt which is too narrow across the back. i need to be able to move my arms freely at work, so this did not work for me. you may be able to size up for a better fit if moving your arms is important to you."/>
        <s v="I purchased this shirt in grey. i loved the color and the details, especially the lace on the shoulders. i just found the fit to be off for me. the style certainly calls for a relaxed fit but the small was loose in an unflattering way. had the xs been ava"/>
        <s v="It's short and wide. not a good combo for anyone who isn't stick thin."/>
        <s v="I wish i had read all the reviews before purchasing. the sweater looked liked everything i would be interested in online. once i pulled it out of the bag, my first thought was how could retailer send me a used, washed and shrunken sweater. it is nothing l"/>
        <s v="I purchased this sweater in a small . nothing on the web site states it has dolman sleeves! it looked sloppy and made my bust disappear! it went back i hate dolman sleeves."/>
        <s v="Cute top but started disintegrating after two washes. the delicate cutouts in the top tore apart. i machine washed it in the gentle cycle and didn't use the dryer. disappointed to have to discard the top after just buying it."/>
        <s v="I received this as a gift. it is a very pretty top, but the material is sooo delicate that the cutout areas were torn in many spots and where it wasn't torn completely you could see it fraying. the sales associate said they get many returns on this item."/>
        <s v="Although i love the soft feel of the sweater, the zig zag design was very unflattering. also, the length is much shorter than appears in the picture. i will be returning it."/>
        <s v="For the price of this dress, i was expecting something decent. the style is cute, but nothing more. however, the type of the polyester that the dress is made of.... oh my. it is a thick unpleasant material, that will cling to a body when it is hot. i neve"/>
        <s v="I have been wanting this sweater and decided to order. when i received it, there was no tag on the product. it was not in a typical clear bag from retailer and it wasn't packaged nicely. it came from reno, nv. most products i order do not get shipped from"/>
        <s v="This top runs small across the top. i was amazed at the material--polyester, i am sure--because the price was so high. it has a sheer layer underneath, which i think would make it hot in the summer. i love this kind of tank but it just did not look as goo"/>
        <s v="I ordered this in the &quot;plum&quot; color, which in real life just looks like a very, very dark brown. that would probably be okay, but the dress is actually about 3 inches shorter than the listed measurements. i ordered the regular length, but the shortest part"/>
        <s v="The price is high and i have to dry clean this? no thanks."/>
        <s v="I'm a big retailer buyer- and usually love the dresses, especially the petite xs maxis. this was the worst retailer purchase i have ever made. &#10;&#10;it was humongous and gave me no shape. even if i purchased an xxsp it probably would be the same. i'm small bu"/>
        <s v="The dress is just ok. i cannot imagine having paid full price for this. i got it for florida vacation. i put it on to wear to church first and spilled a drop of lavender oil on it and it stained!!!! cant get it out. thats punk for a dress that even on sal"/>
        <s v="Looks fitted on, but this just turned out to be an oversized muumuu on. the fabric also felt cheap."/>
        <s v="I have mixed feelings about this dress. the color is fantastic. not too bright, not too dark. the material is super soft and comfortable and the length was perfect. i did end up returning this item though as no matter which bra i chose, the straps showed."/>
        <s v="Despite other reviewers comments on size - i really wanted this one to work so i ordered it. i'm typically a size xs and d chest and instead i ordered a small. the body of the sit for well but the cups of the suit i'd said for more for a b. (if i lifted m"/>
        <s v="This is a nice shirt, but i can't keep it. i ordered a 0 and i do have an athletic build with somewhat wider shoulders given how petite i am (usually wear 00 petite in all pants) and i think this size was perfect (fit across the back perfectly) when you l"/>
        <s v="This bra runs very small, and is hard to get on and off. i think if i went a size up i would be happier."/>
        <s v="You have to be a contortionist to get this bra on. it slips over your head and i needed my 8yo daughter to help me pull it down past my elbows. ridiculously impractical. why oh why didn't heather give it a hook and loop closure instead?"/>
        <s v="This was going to be my go to top. i loved the look of the billowy shirt, especially in light blue. when it arrived, i knew it wouldn't work for my body. i'm athletic build with muscular upper arms and a d cup. i tried it on anyway. i really wish it fit. "/>
        <s v="I was looking for an oversized silhouette but this is more like a beach cover-up. the waist does not have elastic or any structure. the top fabric is crossed over but not sewn closed, and because the fit is so loose it just gaps open. the fabric is nice q"/>
        <s v="Saw this on the sale rack and decided to try on. i looked like the dancing hypos in the movie fantasia. i am petite and not heavy but this is for very slim and tall people. too much fabric in the peplum part."/>
        <s v="Runs a size big unless you want it really boxy. felt the matl was flimsy and would prob pill soon. turquoise was a pretty color but returning this one."/>
        <s v="I ordered these because i loved the wide cut and overall look. but returned them because they fit weird. too tight around the too high waistline (and normally, i like a high waistline). fit ran small. and the overall quality of the fabric wasn't as nice a"/>
        <s v="I wanted this tank to work so badly! it was a great deal and so beautiful. unfortunately the top fitted portion ends right below my chest then the shirt flares out so i looked like a cupcake. my belly also showed slightly because the shirt is short. if yo"/>
        <s v="I am 5'8 with curvy, muscular body and 36ddd boobs. the ruffle ends up hitting me right below my breasts and creates the look of being about 6 months pregnant. the beading is beautiful and i wish that it fit."/>
        <s v="I wanted to like this top so so so so badly. so badly in fact, that after the first size didn't fit, i ordered two other sizes to make sure: xl, l, m. none of them worked i really wanted to like this top. the online photo makes the clothing look so flatte"/>
        <s v="I followed the advice of other reviewers and sized down. however, the jacket was still too large. it fit fine in the arms but the body/width of the jacket was huge. also i found the wool material to be extremely itchy. it might work if you are layering it"/>
        <s v="Beautiful dress with the colors and pleats. i did not have the same problems with the bust area that others did. my biggest complaint is the exposed zipper doesn&amp;#39;t lay flat, even when just hanging on the hanger. when actually on a person the zipper ju"/>
        <s v="I have to confess i had very high hopes for this dress. i was buying it as a stylish, modern alternative to a business suit. i wanted this dress to work as a piece to deliver presentations in or attend faculty functions. tailored, conservative, and edgy a"/>
        <s v="I really liked this top when i tried it on but as i wore it the bottom of the sleeves stretched out terrible where they looked worn out from wearing over and over, and since this happened with the first wearing and i paid $88.00 i sent it back. if it hadn"/>
        <s v="I know this product description says oversized but that's an understatement. i ordered a small and tried it on and i looked like a little kid in their father's jacket. i don't even think an xs would have worked. i'm 5'6&quot; and about 135 pounds for reference"/>
        <s v="I bought three of these this summer--a mint, ivory, and yellow. when i received them, they looked nice enough in person. i liked the heart motif and the peplum. the problem is the knit was on the cheap side and stretched out. the arms were tighter than i "/>
        <s v="This is such a beautiful dress.  but have to return for the reasons others have noted.  the chest does not fit well."/>
        <s v="This vest was of excellent weight but it had very little style. it was like a giant piece of felt was cut out with little thought to design or nuance. not for me."/>
        <s v="I ordered a small and it is enormous; i usually wear a size 10. it is short but the fullness in the body and the sleeves made me look like a sumo wrestler. also, it is a very heavy knit which would be great for up north but too bulky for atlanta unless th"/>
        <s v="Lovely knit and so soft, but the bottom curls up underneath, similar to the bell sleeves. runs oversize too, got xs and it's too bulky and unflattering since the bottom doesn't lay flat. returned!"/>
        <s v="Tried on this maxi dress recently, hoping i would have a new dress to enjoy but the frabic is just too thin. so sad :(. unfortunately it shows every lump and bump and even wearing spanx while trying on it still showed too much. a full length slip would he"/>
        <s v="Gorgeous color and great price, but too low cut and because of the design, a cami's wouldn't work. disappointed"/>
        <s v="I bought this online. this looked like a sweater that was accidentally shrunk in the dryer, when i received it.&#10;&#10;i will be returning this."/>
        <s v="I sized up based on other reviews which was good advice. i am typically a size 6 but sized up to a 10. the pants are very unique and i think on the right body type would look amazing. it seems like someone with curves and a small waist might fit these spl"/>
        <s v="Got these in the red brick color, and unfortunately had to send them back. these are really cute and i loved the color and pattern, but they ran very small, and the cut between the legs and hips was odd. this may not have been a problem had i gone up at l"/>
        <s v="I wanted to love this sweater. the photo of the model makes it look so soft and warm. i liked the heavy texture and the extra long sleeves. however, after receiving this sweater i tried it on for less than 1 minute. one look in the mirror was enough to ma"/>
        <s v="I loved this sweater when i saw it online and ordered right away. i purchased a s and the fit was very off. the arms were long (which i don't mind) but the sweater was also super heavy and bulky so it was not at all flattering. i really wanted to love it "/>
        <s v="This just wouldn't lay right on me. the top is really too big. maybe if you're really busty, this is great, but not for me. i know the top is supposed to be a bit blousy, but it was huge and droopy and unflattering (not like in the picture). the arm holes"/>
        <s v="Runs large and pocket detail is very prominent. wanted a crisper, trouser-like pant--this is not it!"/>
        <s v="The beadwork is gorgeous, but the sleeves are so puffy, it looks as though you're wearing shoulder pads. the fabric of the shirt isn't that fabulous either."/>
        <s v="The blue was a great color and i like the idea of a reversible top. however the xs was just swimming on me. this looks much more fitted in the pictures. my favorite workout top is from this brand and it is fitted and held up for 6 months. where are the fi"/>
        <s v="This is not worth $128. it looks cute on but....there is no support in the bust area. just a slight tuck in the fabric -it also is very flowy which is great and it is comfortable but for the price and the thinness and lack of meatiness to the fabric itsel"/>
        <s v="I've been adoring this online and while in store i happened upon this blouse and tried it on. the material was sturdy and the beading oh-so lovely, but on my frame it looked terrible. (i normally wear size m/10 in retailer clothes). as another reviewer me"/>
        <s v="Extremely disappointed with this top. it runs extremely large. i'm 5'2, 130 lbs, 34c and usually wear between a 0-2 &amp; xs-s tops at retailer. i ordered a 0 and it looked like a maternity top on me. the bottom half of the top flared out and did not fit clos"/>
        <s v="Tried this lovely with high waste, wide leg, black flowy pants. everything i could hope for and more, but not quite!&#10;&#10;size: blindly ordered size 6. i'm usually a small, occasionally xs in retailer brands like floreat and akemi+kin. i'm 5'5&quot; tall, 130 lbs,"/>
        <s v="Very cute top but runs very very big ! im5 ft 5 in tall, 120 lbs. i ordered the xs but it was so big it looked like a maternity top.. sadly returned the top. otherwise the top was made of good quality fabric."/>
        <s v="I have been eyeing this piece for months now! i broke down and bought it when they finally had my size in stock. i am 5 '4 and 110 lbs and have a very small chest so i ordered an xs. i think the top is too baggy for me. yes, the top and bottoms fit overal"/>
        <s v="I expected the waist to be cinched like it appears on the model but it isn't. i ordered the xs and i'm swimming in it (i'm 5'4&quot; and 120 lb). would suggest ordering a few sizes down to avoid looking like you're wrapped in grandma's table runner."/>
        <s v="I really wanted to love this shirt. the fit was great, and the fabric just felt beautiful. luxurious, soft and flowing. but the collar was frayed... in addition, the little keyhole area fabric also had to be carefully handled to make it look smooth and no"/>
        <s v="This cardi is cuter in the stock photos. in person, the colors are a bit more drab. stock photos also don't show quite how much of a swing shape this has. it is very soft, though. returned it!"/>
        <s v="The material is cheap and looks torn. not as nice as the picture."/>
        <s v="Adorable foxes, i was smitten in the store but the fix is bizarre and the foxes don't come up very high so you're limited in the length you can wear. i bought the m/l based on salesperson advice and i can't imagine trying anything smaller, i usually wear "/>
        <s v="This sweater is thicker and darker than it appears online. i thought it would be more of a blush color, but it's more dark gray and brown. it wasn't that flattering on me as a cardigan. looked a little cuter all buttoned up, but ultimately i am not keepin"/>
        <s v="Nice fabric, great color, would be lovely ... on someone with a straight-and-narrow body type. for ladies with curves, take a pass--too much like maternity wear, and not in that elegantly slouchy kind of way. the straight-up &quot;is she or isn't she&quot; kind of "/>
        <s v="Note to photographers: please don't cinch the wait of a blouse to make something look tailored when it isn't. this could have been a real win if it had been more simply executed. i'm petite, way too much fabric. returned."/>
        <s v="This skirt was horrible on me. it was loose in the waist, tight in the hips and poofed out like crazy at the tiered part on the bottom. the material also felt cheap and clingy. i guess the fit is tts, but it's hard to tell given how strange the cut was."/>
        <s v="I ordered this in my usual size 0 and couldn't finish zipping up the top, but also couldn't fill in the boobs. i am 5'7, 116 lbs, 32a. it is very cute, but the top was pretty stiff and unless it draped on you correctly, could probably be bothersome. i was"/>
        <s v="I was so excited about this skirt and pairing it with a cute blouse for the warmer weather. as i took out the skirt out of the package and flipped it around, the back has mesh strips that are see through! there is also no lining to go with this skirt. if "/>
        <s v="I love the style of this dress, but unfortunately, it runs very small. i normally wear a size 8. i ordered a 10 and the dress was closer to a size 6. disappointed that i had to return it. also, the seams were poorly done and threads hung out everywhere on"/>
        <s v="This dress did not work for me. i tried it in my bigger size 6 since i am coming off winter weight gain. the dress fit tts but was squishing the breasts like tight bandages. i have smaller chest and the stretch bodycon fabric of the bodice made me look fl"/>
        <s v="I thought from the picture this would be a light floaty top. when it arrived, the fabric was a heavy knit and the neckline sagged very low. on me (granted i'm a pear) the bottom layer hugged my tummy and rear in a very unflattering way. the only thing i l"/>
        <s v="Tried this on at my local retailer, the red color is pretty but not a &quot;true&quot; red. the fabric has a nice weight to it not the usual thin stuff that retailer seems to offer these days. two big problems though- the top is very low cut and i could see it &quot;ope"/>
        <s v="The color, design and fabric of this top (got it in the red) were just as i expected, but as the owner of several deletta brand tops, i was very surprised to find that my usual size small runs very large in this tank. not only did the front dip too low bu"/>
        <s v="This shirt was so weird?it does not fit like the photo at all. there seems to be missing a stitch or something at the top as it is wide open until the bottom/where it meets the other layer. i could wear a tank/camisole underneath, but it still just did no"/>
        <s v="I saw this dress and immediately started daydreaming about wearing it while honeymooning in italy along the amalfi coast or the cinque terre with my husband. and then i tried this dress on and immediately woke up. the cut is a disaster, the quality is ter"/>
        <s v="Right out of the bag, this top didn't really match the one pictured here (it is the right top, though). the fabric was heavy and felt &quot;damp&quot; -- the way something feels coming out of the wash. very odd.&#10;and the fit is nothing like what's shown on the model"/>
        <s v="This romper is cute, well-made and true to size, but i haven't figured it out how to put this on without having someone tie the back ties. which pretty much means that going to the bathroom is not an option while you have this romper on. not sure what the"/>
        <s v="This is a beautiful sweater, but if came up weirdly high on me in back, higher than it looks on the model. she must have on high waisted pants."/>
        <s v="I was so excited to order this dress, had the perfect red shoes to go with it. unfortunately i could have been nine months pregnant and still wear the small. i am 5'4/118lb and it was like a maternity dress. sad to send it back."/>
        <s v="I really wanted to like this dress and was so disappointed when it came in the mail. if you have any sort of hips, the light pattern in the middle doesn't do you any favors. this made my hips look soooo wide! and the seaming and gathering in the middle wa"/>
        <s v="I am almost always an xs in bottoms (sz 0-2) but literally couldn't get the stretchy waistband (no zip or fastening) in xs up my hips. in addition, the &quot;brocade&quot; is a very lightweight polyestery, tinselly weave--does not suggest quality. as others have no"/>
        <s v="Ordered a l and xl, the sleeves were so tight on both sizes but the rest of the shirt was wide and loose. the tight sleeves were not proportional with the rest of the shirt. both sizes had to be returned."/>
        <s v="Hahaha! as gorgeous as this piece is, i look absolutely ridiculous in it. i am 5'7'' 115 lbs but have a long torso and so the crotch area is, well, a little unflattering to say the least:) i am really sad because i shy away from shorts due to my year roun"/>
        <s v="This dress had beautiful details, and the material was better than i expected; however, it was huge! it completed swallowed me. i am 5'1 about 106 pounds with quite a bit of muscle. i ordered a 00p and it still looked like a sack."/>
        <s v="I wanted to love this, as it seemed like a fun and carefree take on a little black dress.&#10;&#10;but how did i not see that this has tassels? but they're there, a whole row of them - look hear the bottom of the skirt part, between the colorful stripes and the l"/>
        <s v="I agree with the previous reviewer that the length is not at all what is shown in the picture. much shorter than that. and while the overall detail of the skirt is very nice, the elastic waistband makes it look cheap considering the price..."/>
        <s v="I ordered these pants after seeing the good reviews, but i don't agree. these are going back. i ordered a small. i'm 5'5&quot; and 135 pounds. i am usually between a small and a medium in pants, but the small in these pants is huge. i could definitely fit into"/>
        <s v="Cute and very soft, but the elastic wasn't sewn in right. i took them out of the wash and the waistband was a twisted mess. disappointing for more expensive loungewear."/>
        <s v="I am just over 5'8&quot;and i found that these pants hit me in a weird spot on my torso, almost creating a muffin top that i don't normally have. in addition, they were too short on me to give the chic and modern look of cropped ankle pants. on my frame, they "/>
        <s v="This is a gorgeous top. very well made with a classy design. it fits true to size from the lower chest up. however, at about the mid-belly range, the shirt widens out and basically allows a 5 month twin pregnancy to comfortably fit in. size xs. i was so s"/>
        <s v="I purchased this and another eva franco dress during retailer's recent 20% off sale. i was looking for dresses that were work appropriate, but that would also transition well to happy hour or date night. they both seemed to be just what i was looking for."/>
        <s v="Disappointment city with this one and i am so lucky i had a coupon because if i would have paid the full $128 they are asking, i would be a tad skewed. not just thin material but thin and cheap feeling. doesn't itch but i seriously expected a lot more fro"/>
        <s v="Short and wide. the color and print are so pretty, but the shape isn't flattering, at least not to me. might work better on a teen?"/>
        <s v="This dress looks lovely on the model, but it looks just awful on me!&#10;i am 5'4&quot; and curvy. the shoulders are cut w/ a weird shape. instead of a cap sleeve, it is like a pointy cap on the side and stuck out on my shoulders. it looks like i am ready to get b"/>
        <s v="It's pretty, floaty, feminine; the photos don't do justice to the prettiness. but the photos also don't show an asymmetrical hem. i understood it runs small so i got two sizes, to be safe, and even my larger size was strangely short-waisted, and i'm short"/>
        <s v="Such a cute skirt- but impossible to get on. ordered in an xs (i have a 25/26 waist) but could barely get it past my knees to step into. if you have any hips at all, unfortunately this skirt won't work. i was tempted to size up but once i got it on it fit"/>
        <s v="It was very pretty,but it ran very big , sadly i had to return it."/>
        <s v="I thought this dress was very cute on the model, however it was way too tight across the chest for me. going up a size would mean it would be too roomy everywhere else. also, fabric wasn't great."/>
        <s v="Ugh.  i was so excited to get this dress and for 30% off.  this dress is adorable.  unfortunately the top part is super tight around my girls.  otherwise the fit was perfect.  very disappointed in the top of this dress."/>
        <s v="Cute skirt but i agree with the other reviewer. you can't get it on! i tried my skinny daughter tried no go!"/>
        <s v="I would definitely only recommend this top to girls who are smaller chested. it fits in the shoulders/arms, and then flares out too much at the bottom, almost looks like a maternity top. the material is very nice however - both soft, and feels like it wil"/>
        <s v="This looked like such a cute, casual skirt when i picked it up but like other reviewers have said, it runs small. i'm usually a xs in retailer skirts but they only had a small to try on. i was able to get it on but did notice it was snug pulling on past m"/>
        <s v="I thought it was only me and immediately assumed i needed to go on a diet when i attempted to put this adorable skirt on. it got stuck at my hips. i'm a very consistent size small in dresses and skirts. i actually thought about putting it on over my head "/>
        <s v="Facing the mirror--near perfection. high waist emphasizes the narrowest part of the frame--pleats nicely hide any stomach flaws. color is an eye-catching deep mustardy perfection and the interlocking button pattern is creative and beautiful. the problem i"/>
        <s v="This skirt is very pretty, but not only does it run small but only a small portion of the waistband is elasticized, so there's very little stretch. for those of us with a significant difference in our waist and hip measurements, there's no way to get this"/>
        <s v="I agree with the other reviews - runs small. would have been perfect if it actually was comfortable. waistband doesn't stretch all the way around. bummer."/>
        <s v="What an adorable and frustrating skirt! i'm not a large person: 32d-26-36. and i ordered my normal size small. this is a pull on skirt, and the waist opening could not accommodate either my shoulders or my hips. in most retailer clothes, i'm either a size"/>
        <s v="This sweater was huge, it hung down to my calves! it also is really bulky and scratchy, it feels as if you are wearing an old wool blanket. i think it is only made for really tall and skinny people. i'm 5'2&quot; and weigh 120lbs. and i ordered a size s, and i"/>
        <s v="Material is hard to wear a bra under it"/>
        <s v="The pleats on the bib make this look like something from chloe sevigny's wardrobe on the set of big love. and the shoulders are cut for an offensive lineman."/>
        <s v="There is a lot of fabric here! the legs fit me fine, but they are long and when you roll them up it creates a bunching of fabric in an awkward area. i've also found that they don't stay rolled up in the back, especially if you sit down. it's a shame since"/>
        <s v="Even on sale, this was just too pricey for what it is, which is a glorified tank. i liked the straps, but it hangs very wide off your chest."/>
        <s v="I wrote item ran large, but that was true only in length. it would be long for someone 5'10&quot; . however the bigger issue is getting it on. the style and quality are quite nice, but it does have some issues."/>
        <s v="I love the colors of this dress, and i waited for the sale since it isn't really good for work. i wear size 6 in hd all the time, but this one doesn't fit at all on the top. the bust is cut for someone really curvy, but the bottom is for someone really st"/>
        <s v="I loved the aesthetic but as a true hourglass shape, i was frustrated that it didn't have a little more give as i tried to pull it over my head. the fabric was stiff, and seemed to be lace over cotton? not entirely sure. i couldn't get past the feeling of"/>
        <s v="I saw this top on sale and tried it on right away. my normal medium was too big, so i purchased the small in the rose color. wore it with a shimmery kimono and cream colored pilcro boyfriend jeans. wow, what an outfit!!!!&#10;then i washed it according to dir"/>
        <s v="I purchased this based on previous reviews. the quality of the dress and the print is excellent. the dress fit me perfect in the front however there were so much extra fabric in the back that it made me look extremely large. i understand it's a shirt dres"/>
        <s v="I wear a size 4 and i ordered the small for this top. it is huge and gave me a maternity-look that i wasn't going for. i was hoping for a loose, body-skimming fit as shown on the model in the picture but that wasn't happening with this top."/>
        <s v="Super cute, flattering design but the material is itchy so it's going back:("/>
        <s v="Looks great in the picture but when i got this in the mail the fabric was so stiff! shaking it out did nothing-almost like it was dipped in drying glue. i got this for $10 which is so cheap and i still returned it!"/>
        <s v="I tried this jacket on and it was definitely cute but a couple things to note. it's a wool acrylic blend and it was already starting to pill from being tried on in the store. also, it's unlined. i thought the price point was high given its fibers and unli"/>
        <s v="This dress looked super cute in the picture and on the model. i ordered the petite style and it was still so big and way too loose. no shape whatsoever! i unfortunately had to return it. i love loose dresses but this one was way too big, loose and had no "/>
        <s v="I purchased this top in the rose and steel blue colors even though the majority of reviews says it shrinks even when you wash per the instructions. i called the local retailer store first to see if it could be returned if this happened and they said yes, "/>
        <s v="Has anybody washed this shirt a second time? just curious if it continues to shrink."/>
        <s v="I love, love, love this absolutely stunning dress. the only problem was that the zipper was very difficult to maneuver, and when it finally went up, the watch it was attached the lining of the dress made a bump in the dress, which was very unflattering on"/>
        <s v="Purchased because i wanted a deep red sweater, and this one was the perfect color. unfortunately i am on the curvier side, with 34g chest, 155lbs 5' 5&quot;, and the med was too big, (i usually wear m or l at retailer.) also the fit ended up being boxy on my b"/>
        <s v="I own many retailer dresses but the sizing can be odd. i usually wear a size 4-6 and i have a floreat maxi dress size 4 that works well. i am 34c and based on the reviews i decided to order a size 6. the dress fits well except for he bust area that is ver"/>
        <s v="I fell in love with this cute top, however after reading reviews, i am going to return it. seems there is a problem with it shrinking after following washing instructions. who wants to dry clean a tank top? not me, sadly. too bad. style was cute and color"/>
        <s v="This dress is so beautiful in person! but the quality was very upsetting. i had two buttons come off before even putting it on. i was so excited to get his dress for my wedding shower and then i couldn't wear it :("/>
        <s v="I wanted this dress so bad for a trip to hawaii. i sized up when i saw the side zip because i'm a little larger in the top than bottom, but whoa... even when sizing up, i think i would have needed to size up like 3x to get this to work. the dress is adora"/>
        <s v="Embroidered tulips look like they were plucked when comparing the dresses in the product photos. took a chance any way, came out disappointed because i couldn't zip up the bodice. i hate side zips and when you pair a cheap zipper with delicate material, r"/>
        <s v="Wanted to love this top, and could imagine lots of outfits with it. the wide shoulders made my arms/shoulders look big. the ruching and extra flap landed at an odd place, accentuating my belly. it did arrive very wrinkled, although a previous reviewer sai"/>
        <s v="I bought this top and it ran huge, i had to get an extra small. well then i wash it according to the instructions and it shrunk horribly! like its so small now my 3 yr old could probably wear it! i'm so sad, i really liked this top....but for it to shrink"/>
        <s v="I had hopes for this shirt but was disappointed in the fabric...it's very stiff and heavy for a summer blouse. will be returning it."/>
        <s v="I love a good peplum top, and was so excited when it arrived, but was sad to find the flare on the peplum was a little too much. i'm not sure why it was so unflattering, because in every other way, it fit like a dream, but it seemed like either there was "/>
        <s v="I am returning. i really liked the appearance in the photo and i love aqua, but the biggest problem for me is the shape. it's pretty boxy and it's hard to tell from the photo, but it has a batwing shape. i also wish the lighter portion were more ivory (le"/>
        <s v="Loved this shirt so much that i bought in 3 colors. love the luxurious feel of the silky, flowing fabric that flatters in all the best ways. however, after washing per instructions, the fabric lost its good qualities and turned into a blah, pilled mess th"/>
        <s v="It breaks my heart to say this but i had to return for shape issues. i am not a fan of dolman sleeves (they make me look big and bulky) and i wished i would have known that prior to purchasing. it is unfortunate because it is a really beautiful knit and q"/>
        <s v="At 5'5&quot; (almost), 122lbs., i always wear a size small. however this dress runs large (no, i am not smaller than i was 6 months ago) and it looked like a dumpy sack on me. too bad, i really wanted it to fit! it is a slightly heavier fabric than anticipated"/>
        <s v="I ordered this and hoped it would be a fun &amp; whimsical sweater for this winter. instead, it's just strange. it didn't fit well. too short in the overall length &amp; in the sleeves. the shades of the yarn were drab. it also didn't seem made to last. it looked"/>
        <s v="Great color, soft fabric, but waaaaay too long. more like a night shirt than a t-shirt."/>
        <s v="I was hoping to find a slimming and cozy sweater, unfortunately this one was baggy and material was really bulky. one of those occasions where i would have never purchased this in person but online you can't quite tell the style and fit. i returned this i"/>
        <s v="This is soooo much more cropped than it looks in the picture. the fabric is super soft and design is cute. i really wanted to like this, but it just doesn't fit as shown. the back is halfway up by back and i am shortwaisted..."/>
        <s v="I purchased this item in the gray heather color and loved it so much i wanted to buy every other color. the fabric was cottony and felt very soft and cushy against my skin, and the gray color was from the combination of black and white fibers. i ordered t"/>
        <s v="This dress will unfortunately be returned...so cute online and looks like a sack in person.  runs very large, arm holes are very low.  not flattering."/>
      </sharedItems>
    </cacheField>
    <cacheField name="Rating" numFmtId="0">
      <sharedItems containsSemiMixedTypes="0" containsString="0" containsNumber="1" containsInteger="1">
        <n v="3.0"/>
        <n v="2.0"/>
        <n v="1.0"/>
        <n v="4.0"/>
        <n v="5.0"/>
      </sharedItems>
    </cacheField>
    <cacheField name="Recommended_IND" numFmtId="0">
      <sharedItems containsSemiMixedTypes="0" containsString="0" containsNumber="1" containsInteger="1">
        <n v="0.0"/>
      </sharedItems>
    </cacheField>
    <cacheField name="Positive_Feedback_Count" numFmtId="0">
      <sharedItems containsSemiMixedTypes="0" containsString="0" containsNumber="1" containsInteger="1">
        <n v="0.0"/>
        <n v="4.0"/>
        <n v="14.0"/>
        <n v="7.0"/>
        <n v="3.0"/>
        <n v="1.0"/>
        <n v="2.0"/>
        <n v="17.0"/>
        <n v="9.0"/>
        <n v="11.0"/>
        <n v="8.0"/>
        <n v="20.0"/>
        <n v="6.0"/>
        <n v="15.0"/>
        <n v="13.0"/>
        <n v="12.0"/>
        <n v="5.0"/>
        <n v="55.0"/>
        <n v="27.0"/>
        <n v="30.0"/>
        <n v="10.0"/>
        <n v="71.0"/>
        <n v="35.0"/>
        <n v="25.0"/>
        <n v="24.0"/>
        <n v="29.0"/>
      </sharedItems>
    </cacheField>
    <cacheField name="Division_Name" numFmtId="0">
      <sharedItems>
        <s v="General"/>
        <s v="Initmates"/>
        <s v="General Petite"/>
      </sharedItems>
    </cacheField>
    <cacheField name="Department_Name" numFmtId="0">
      <sharedItems>
        <s v="Dresses"/>
        <s v="Intimate"/>
        <s v="Tops"/>
        <s v="Bottoms"/>
        <s v="Jackets"/>
        <s v="Trend"/>
      </sharedItems>
    </cacheField>
    <cacheField name="Class_Name" numFmtId="0">
      <sharedItems>
        <s v="Dresses"/>
        <s v="Lounge"/>
        <s v="Sweaters"/>
        <s v="Intimates"/>
        <s v="Knits"/>
        <s v="Blouses"/>
        <s v="Swim"/>
        <s v="Fine gauge"/>
        <s v="Skirts"/>
        <s v="Pants"/>
        <s v="Jeans"/>
        <s v="Jackets"/>
        <s v="Sleep"/>
        <s v="Trend"/>
        <s v="Legwear"/>
        <s v="Outerwear"/>
        <s v="Shorts"/>
      </sharedItems>
    </cacheField>
    <cacheField name="Feed_back" numFmtId="0">
      <sharedItems>
        <s v="Size issue-Fabric issue-Style issue--"/>
        <s v="Size issue--Style issue--"/>
        <s v="Size issue-Fabric issue---"/>
        <s v="Size issue----"/>
        <s v="-Fabric issue-Style issue--"/>
        <s v="----"/>
        <s v="--Style issue--"/>
        <s v="Size issue-Fabric issue-Style issue--Matching Awareness issue"/>
        <s v=""/>
        <s v="-Fabric issue---"/>
        <s v="Size issue-Fabric issue---Matching Awareness issue"/>
        <s v="-Fabric issue-Style issue-Price issue-"/>
        <s v="Size issue----Matching Awareness issue"/>
        <s v="--Style issue--Matching Awareness issue"/>
        <s v="Size issue-Fabric issue--Price issue-"/>
        <s v="----Matching Awareness issue"/>
        <s v="Size issue--Style issue-Price issue-Matching Awareness issue"/>
        <s v="---Price issue-Matching Awareness issue"/>
        <s v="-Fabric issue--Price issue-"/>
        <s v="Size issue--Style issue-Price issue-"/>
        <s v="Size issue--Style issue--Matching Awareness issue"/>
        <s v="-Fabric issue---Matching Awareness issue"/>
        <s v="---Price issue-"/>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129" sheet="Recommended_with_rating_3_or_le"/>
  </cacheSource>
  <cacheFields>
    <cacheField name="Operation_id" numFmtId="0">
      <sharedItems containsSemiMixedTypes="0" containsString="0" containsNumber="1" containsInteger="1">
        <n v="14.0"/>
        <n v="16.0"/>
        <n v="23.0"/>
        <n v="52.0"/>
        <n v="84.0"/>
        <n v="111.0"/>
        <n v="125.0"/>
        <n v="131.0"/>
        <n v="145.0"/>
        <n v="153.0"/>
        <n v="154.0"/>
        <n v="194.0"/>
        <n v="244.0"/>
        <n v="246.0"/>
        <n v="270.0"/>
        <n v="278.0"/>
        <n v="293.0"/>
        <n v="304.0"/>
        <n v="359.0"/>
        <n v="383.0"/>
        <n v="392.0"/>
        <n v="394.0"/>
        <n v="403.0"/>
        <n v="419.0"/>
        <n v="423.0"/>
        <n v="446.0"/>
        <n v="500.0"/>
        <n v="503.0"/>
        <n v="506.0"/>
        <n v="513.0"/>
        <n v="528.0"/>
        <n v="532.0"/>
        <n v="533.0"/>
        <n v="551.0"/>
        <n v="596.0"/>
        <n v="606.0"/>
        <n v="622.0"/>
        <n v="701.0"/>
        <n v="738.0"/>
        <n v="748.0"/>
        <n v="758.0"/>
        <n v="790.0"/>
        <n v="808.0"/>
        <n v="819.0"/>
        <n v="829.0"/>
        <n v="831.0"/>
        <n v="862.0"/>
        <n v="875.0"/>
        <n v="895.0"/>
        <n v="904.0"/>
        <n v="1013.0"/>
        <n v="1016.0"/>
        <n v="1027.0"/>
        <n v="1032.0"/>
        <n v="1054.0"/>
        <n v="1063.0"/>
        <n v="1077.0"/>
        <n v="1093.0"/>
        <n v="1095.0"/>
        <n v="1131.0"/>
        <n v="1174.0"/>
        <n v="1185.0"/>
        <n v="1197.0"/>
        <n v="1214.0"/>
        <n v="1215.0"/>
        <n v="1221.0"/>
        <n v="1258.0"/>
        <n v="1263.0"/>
        <n v="1284.0"/>
        <n v="1289.0"/>
        <n v="1316.0"/>
        <n v="1318.0"/>
        <n v="1326.0"/>
        <n v="1346.0"/>
        <n v="1355.0"/>
        <n v="1403.0"/>
        <n v="1421.0"/>
        <n v="1423.0"/>
        <n v="1430.0"/>
        <n v="1431.0"/>
        <n v="1450.0"/>
        <n v="1451.0"/>
        <n v="1456.0"/>
        <n v="1463.0"/>
        <n v="1488.0"/>
        <n v="1493.0"/>
        <n v="1495.0"/>
        <n v="1517.0"/>
        <n v="1522.0"/>
        <n v="1536.0"/>
        <n v="1551.0"/>
        <n v="1562.0"/>
        <n v="1564.0"/>
        <n v="1586.0"/>
        <n v="1595.0"/>
        <n v="1599.0"/>
        <n v="1616.0"/>
        <n v="1621.0"/>
        <n v="1640.0"/>
        <n v="1655.0"/>
        <n v="1661.0"/>
        <n v="1690.0"/>
        <n v="1706.0"/>
        <n v="1731.0"/>
        <n v="1744.0"/>
        <n v="1748.0"/>
        <n v="1773.0"/>
        <n v="1780.0"/>
        <n v="1789.0"/>
        <n v="1814.0"/>
        <n v="1818.0"/>
        <n v="1821.0"/>
        <n v="1824.0"/>
        <n v="1837.0"/>
        <n v="1847.0"/>
        <n v="1869.0"/>
        <n v="1897.0"/>
        <n v="1910.0"/>
        <n v="1932.0"/>
        <n v="1961.0"/>
        <n v="2002.0"/>
        <n v="2007.0"/>
        <n v="2033.0"/>
        <n v="2037.0"/>
        <n v="2119.0"/>
        <n v="2133.0"/>
        <n v="2205.0"/>
        <n v="2206.0"/>
      </sharedItems>
    </cacheField>
    <cacheField name="Clothing_ID" numFmtId="0">
      <sharedItems containsSemiMixedTypes="0" containsString="0" containsNumber="1" containsInteger="1">
        <n v="1077.0"/>
        <n v="1065.0"/>
        <n v="1104.0"/>
        <n v="861.0"/>
        <n v="1081.0"/>
        <n v="1072.0"/>
        <n v="828.0"/>
        <n v="829.0"/>
        <n v="1098.0"/>
        <n v="1066.0"/>
        <n v="868.0"/>
        <n v="984.0"/>
        <n v="1131.0"/>
        <n v="836.0"/>
        <n v="746.0"/>
        <n v="127.0"/>
        <n v="902.0"/>
        <n v="1080.0"/>
        <n v="1089.0"/>
        <n v="850.0"/>
        <n v="948.0"/>
        <n v="1078.0"/>
        <n v="833.0"/>
        <n v="1037.0"/>
        <n v="1094.0"/>
        <n v="117.0"/>
        <n v="937.0"/>
        <n v="1137.0"/>
        <n v="886.0"/>
        <n v="895.0"/>
        <n v="975.0"/>
        <n v="952.0"/>
        <n v="936.0"/>
        <n v="1047.0"/>
        <n v="909.0"/>
        <n v="873.0"/>
        <n v="949.0"/>
        <n v="831.0"/>
        <n v="927.0"/>
        <n v="1060.0"/>
        <n v="1095.0"/>
        <n v="819.0"/>
        <n v="860.0"/>
        <n v="946.0"/>
        <n v="1110.0"/>
        <n v="775.0"/>
        <n v="411.0"/>
        <n v="839.0"/>
        <n v="1027.0"/>
        <n v="947.0"/>
        <n v="424.0"/>
        <n v="603.0"/>
        <n v="1201.0"/>
        <n v="864.0"/>
        <n v="1059.0"/>
        <n v="115.0"/>
        <n v="1051.0"/>
        <n v="878.0"/>
        <n v="835.0"/>
        <n v="862.0"/>
        <n v="830.0"/>
        <n v="1008.0"/>
        <n v="867.0"/>
        <n v="481.0"/>
        <n v="1054.0"/>
        <n v="857.0"/>
        <n v="1035.0"/>
        <n v="1146.0"/>
        <n v="1009.0"/>
        <n v="1044.0"/>
        <n v="1079.0"/>
        <n v="815.0"/>
        <n v="896.0"/>
        <n v="1086.0"/>
        <n v="1102.0"/>
      </sharedItems>
    </cacheField>
    <cacheField name="Age" numFmtId="0">
      <sharedItems containsSemiMixedTypes="0" containsString="0" containsNumber="1" containsInteger="1">
        <n v="50.0"/>
        <n v="34.0"/>
        <n v="39.0"/>
        <n v="37.0"/>
        <n v="44.0"/>
        <n v="36.0"/>
        <n v="40.0"/>
        <n v="48.0"/>
        <n v="49.0"/>
        <n v="61.0"/>
        <n v="35.0"/>
        <n v="68.0"/>
        <n v="42.0"/>
        <n v="46.0"/>
        <n v="31.0"/>
        <n v="32.0"/>
        <n v="29.0"/>
        <n v="51.0"/>
        <n v="56.0"/>
        <n v="47.0"/>
        <n v="64.0"/>
        <n v="70.0"/>
        <n v="59.0"/>
        <n v="66.0"/>
        <n v="54.0"/>
        <n v="58.0"/>
        <n v="63.0"/>
        <n v="30.0"/>
        <n v="26.0"/>
        <n v="45.0"/>
        <n v="53.0"/>
        <n v="28.0"/>
        <n v="33.0"/>
        <n v="38.0"/>
        <n v="52.0"/>
        <n v="73.0"/>
        <n v="43.0"/>
        <n v="25.0"/>
        <n v="24.0"/>
        <n v="72.0"/>
        <n v="41.0"/>
        <n v="85.0"/>
        <n v="60.0"/>
        <n v="62.0"/>
        <n v="84.0"/>
        <n v="57.0"/>
      </sharedItems>
    </cacheField>
    <cacheField name="Title" numFmtId="0">
      <sharedItems containsBlank="1">
        <s v="Pretty party dress with some issues"/>
        <s v="You need to be at least average height, or taller"/>
        <s v="Like it, but don't love it."/>
        <m/>
        <s v="Casual &amp; unique tee"/>
        <s v="An almost for me..."/>
        <s v="Wonderfully made, poorly designed for busty gals"/>
        <s v="Just ok"/>
        <s v="On the fence"/>
        <s v="Fair"/>
        <s v="Great colors but...."/>
        <s v="Recommend but not for me"/>
        <s v="Cute but small"/>
        <s v="Nice color"/>
        <s v="Peplum hem tee"/>
        <s v="I wish it were alless stiff denim. runs small"/>
        <s v="Stylish jacket"/>
        <s v="Nice, runs small and short"/>
        <s v="Looks are deceiving"/>
        <s v="Lovely fabric but tiny hips"/>
        <s v="Too big/so soft"/>
        <s v="Pretty pattern, weird fit"/>
        <s v="Small boobies only"/>
        <s v="Nice but short"/>
        <s v="Itchytown"/>
        <s v="So cute, but weird fit"/>
        <s v="Manette clipdot blouse"/>
        <s v="Easy jacket"/>
        <s v="Sleeves are really small"/>
        <s v="Too bad!"/>
        <s v="Interesting but awkward to actually wear"/>
        <s v="Great for travel"/>
        <s v="Too cropped"/>
        <s v="Beautiful blue, but...."/>
        <s v="Couldn't get past the itch factor"/>
        <s v="V-neck t"/>
        <s v="Sent to me damaged"/>
        <s v="Not for me"/>
        <s v="Not enough structure fo rme"/>
        <s v="Not as pictured"/>
        <s v="Great yarn texture and colors, look closely though"/>
        <s v="Unfortunately for me but good for someone else..."/>
        <s v="Best to try on in store"/>
        <s v="Beautiful design but not great quality."/>
        <s v="Not for every body type"/>
        <s v="Wanted to love it, but just kinda like it"/>
        <s v="Beautiful casual top"/>
        <s v="I wanted to love this sweater, but......"/>
        <s v="Cute top, but beware it shrinks!!"/>
        <s v="Super cute with right body style"/>
        <s v="Maybe"/>
        <s v="Why is it so big?"/>
        <s v="Just a nice dress..."/>
        <s v="Great dress but not in green"/>
        <s v="A little itchy for me"/>
        <s v="Wanted to love this"/>
        <s v="Recommended for tan to dark complexions"/>
        <s v="Lovely but not awesome"/>
        <s v="I wanted to love it..."/>
        <s v="Too billowy"/>
        <s v="Beautiful and soft, yet length is deceiving!"/>
        <s v="Pretty; low cut arm holes"/>
        <s v="Bad fit for me"/>
        <s v="Great dress, too short"/>
        <s v="Don't size up"/>
        <s v="Really cute dress, if you can do the handkerchief"/>
        <s v="So cute, but so big!"/>
        <s v="Excellent cut and idea,poor fabric c"/>
        <s v="Too tight and too big at the same time."/>
        <s v="Much thinner"/>
        <s v="Ok, lightweight jean"/>
        <s v="Adorable"/>
        <s v="Huge"/>
        <s v="Beautiful sweater but not flattering on me"/>
        <s v="Lovely but not for me"/>
        <s v="Gorgeous shorts"/>
        <s v="Nice fall dress but needs the right body type"/>
        <s v="Cozy sweater in a boxy style"/>
        <s v="Lovely pants, bad fit"/>
        <s v="Not quite perfect"/>
        <s v="Nice pants if you have super tiny calves"/>
        <s v="A size 2 too big"/>
        <s v="Best for tall folks"/>
        <s v="Loved it but big"/>
        <s v="Shoulders are puffy"/>
        <s v="Beautiful but has flaws"/>
        <s v="Nice structure"/>
        <s v="Good everyday shirt"/>
        <s v="Off the shoulder elastic issues"/>
        <s v="A little long"/>
        <s v="Cute!"/>
        <s v="Wish it fit better for me"/>
        <s v="So great - but quality not amazing"/>
        <s v="If only"/>
        <s v="Not for me..."/>
        <s v="Great w/ black crops"/>
        <s v="Loved, but unsure about quality"/>
        <s v="Great dress but..."/>
        <s v="Cute but a little maternity looking"/>
        <s v="Perfect except runs way too small"/>
        <s v="Odd fit"/>
        <s v="Sizing is off"/>
        <s v="Good idea, wrong color."/>
        <s v="Recommended for certain body types"/>
        <s v="In agreement with other reviewers..."/>
        <s v="Very well made - runs large!"/>
        <s v="Wanted to love"/>
        <s v="Only suits smaller chest"/>
      </sharedItems>
    </cacheField>
    <cacheField name="Review_Text" numFmtId="0">
      <sharedItems containsBlank="1">
        <s v="This is a nice choice for holiday gatherings. i like that the length grazes the knee so it is conservative enough for office related gatherings. the size small fit me well - i am usually a size 2/4 with a small bust. in my opinion it runs small and those "/>
        <s v="Material and color is nice.  the leg opening is very large.  i am 5'1 (100#) and the length hits me right above my ankle.  with a leg opening the size of my waist and hem line above my ankle, and front pleats to make me fluffy, i think you can imagine tha"/>
        <s v="Cute little dress fits tts. it is a little high waisted. good length for my 5'9 height. i like the dress, i'm just not in love with it. i dont think it looks or feels cheap. it appears just as pictured."/>
        <s v="Love the color and style, but material snags easily"/>
        <s v="I received this shirt in my typical xs and it fits perfectly. i?m not crazy in love with it but i also don?t dislike. the shirt is on the thin side. do i need to wear a cami underneath it, no. my concern is holes. it does remind me of a material that coul"/>
        <s v="I didn't end up keeping this dress...it just wasn't right for me. it is very cute and fit well but the fabric was very thin (partially lined which is a plus) and the hem line coming up on the sides made it just too short for me. i ordered the petite xs an"/>
        <s v="Like others reviewers mentioned on here, this dress is extremely well made. but there were too many cons for me, as well. this would most certainly work on a petite/shorter frame, but for tall, busty, and curvier girls, it just sits wrong on all places un"/>
        <s v="It's ok, fit doesn't wow me because of my body. chest is too wide, hips look too narrow. drapes across my back fat in an especially non-flattering way. basically made my square-apple body look more square-apple. great part about this dress is that it's co"/>
        <s v="The stylist had me try this top on off the shoulders, but that was kind of snug, perhaps why it didn't fit right, it is not off the shoulders on this picture. the cut is loose, so it looked big on me, but going smaller would not have worked the way i had "/>
        <s v="The top as with most of ap's tops is well stitched. material is very uncomfortable. if you have large bust it is a little divulging. this may prompt you to wear something underneath to look modest and change the shape of the top!"/>
        <s v="I love the metallic colors of this top and figured i could wear it under a ruched jacket and circle skirt for work. welp, that's out the window. this design is poor. for one, this is not a piece for a petite woman with no torso and i don't know how anyone"/>
        <s v="Dress ran very large in every way. beautiful design, lining and quality material. i should have sized down 2 sizes. item is now sold out."/>
        <s v="Love pilcro, love the stripes and the length - but this particular pair of capris/crops are super tight fitting. i went up a size from my usual and still felt tight. i guess its just the cut/fabric combo. i wanted it to be a slightly less form fitting fee"/>
        <s v="I tried these on in the store, and they are super cute but run small. i typically wear a size 25 (i'm 5' 5&quot; and 108 lbs.) and they were too tight for me. i like the fabric and the cut; i think they'd be great one size up. (my store didn't have them.)"/>
        <s v="I liked the color of this top but i didn't really like the ruffled stitching around the middle. it looks like someone just tacked on the bottom half. i bought this for my daughter and she likes it. i think it is comfortable and a good top to knock around "/>
        <s v="The styling of this top is really cute. it fits perfectly on the shoulders and gets bigger at the hem for the baby doll look. my biggest complaint is the quality! it's really cheap and feels like the quality i would expect to see at a cheap retailer. it c"/>
        <s v="I've been looking at this jacket on line and finally went to the store to try it on. i really liked the styling but the denim was quite stiff. i'd prefer a softer kind of fabric. i wonder if it would soften if it was washed. also, it ran surprisingly smal"/>
        <s v="I love the pattern on this jacket and enjoy the bell shape. a fun jacket to through on and add quick style to a skinny pants."/>
        <s v="I'm a pretty solid 10/12 in this brand. i went with the 12 since some thought the top to run small...and i agree. while i can wear it and think it will actually stretch out with wear, it's tight in the shoulders and chest. for the record, those are 2 area"/>
        <s v="This dress is not what i expected. the bottom half is wool-like material-looks like someone has worn it. the top snags easily so you must be careful when wearing jewelry. when i received the dress i noticed there were two small holes under the arms. i wou"/>
        <s v="If your hips are bigger than a size 6 us you can't fully close this robe. the model must be wearing the larger of the two sizes to have such a nice oversized fit. the fabric is soft and lux and amazing, but the weird dart in the back and the closure is ri"/>
        <s v="I should have exchanged it for a smaller size, but i wanted to wear it, so my mistake. i tend to wear size 12-14, and the large is entirely too big. it also had piling right out of the bag. but it is just so soft that i tore the tag off and wore it anyway"/>
        <s v="I got this top to wear with shorts as the color goes with a lot of different prints. the quality is excellent. this top runs very large, as in three (3) sizes too large. for the record i am a 34.25.35 and ordered my regular size the xs and this top makes "/>
        <s v="I fell in love with this dress when i saw it online and due to the &quot;slim fit,&quot; i ordered a size up -- a 2 petite up from my normal 0 petite. when i received it, i was surprised about two things: 1) the material was kind of puffy (not bad, just weird), and"/>
        <s v="I love this dress, i mean it si really pretty in person, however, the breast area is just too small... i can't wear a bra with it, and my &quot;older&quot; breasts just droop, not flattering. they are barely covered... i am a bit disappointed at that, but if you ar"/>
        <s v="I'm usually an xs for most retailer dresses and shirts. i ordered up per other reviews and got a small. the small fits comfortably around my waist. the chest area is not made for large chests. my 34ds were barely contained. sad to say, i won't be keeping "/>
        <s v="I really like the style of this top, and it's delicate but well made, but i wish it were longer and less boxy. it's nice that it comes with a separate cami to layer, but the cami is very cropped. when i raise my arms you can see a lot of midriff (and the "/>
        <s v="Is not a place i want to be, even if the style of a sweater is great.  yes, this sweater is very cropped, but i think it&amp;amp;#39;s definitely intended to be worn off the shoulder to drop the waist a bit.  it&amp;amp;#39;s the itchiness that makes it an immedi"/>
        <s v="This dress is really cute in person. however, it did not fit me like it does the model in the pic at all. first of all i'm 5 feet 1 and it was wayyy too short on me. i didn't have the petit on either-- i had the regular xs. it just hits a couple of inches"/>
        <s v="I love the style of this top. i just wish there were a slimmer version of it. unfortunately, this top doesn't suit my long, slim midsection. it is so wide, it completely hides the waist. i think it would look adorable on a different body type."/>
        <s v="Slouchy relaxed fit. well sewn together and hangs well on the body. bottom hem hits upper thigh. good length and soft, easy fabric. light layering option as well. good spring jacket, can be kept on indoors without getting too hot."/>
        <s v="This shirt is really pretty but the sleeves are so small. i normally wear between a 4 to a 6 or a size medium and i could not get this shirt on. i wish it fit but a size large would have been way to long and loose."/>
        <s v="I love this dress because its very playful and bouncy. it puts me in a light hearted mood when i wear it. i originally wanted to buy the grey color but my store only had the navy, so i tried it on. the navy is brighter and more colorful than it looks on l"/>
        <s v="I loved this dress when i saw it. however the fit was way off. i am 5'7&quot; 120 lbs and the small was way too big from the waist down. when the xs arrived i was sure it would be perfect. unfortunately the waist hit way too high, above my rib cage and the dre"/>
        <s v="Very nice fabric but disappointed in the stitching on the knees. it looks nice but makes the pants very uncomfortable and tight around the knees. too bad because i love the style and hoped they would work!"/>
        <s v="First, my husband had to help me zip up in this interesting but awkward design. the materials is nice, but stiff, so the skirt is quite full. the shoulder idea is interesting, but i would not want to spend an evening in it. to me, not up to the usual ms s"/>
        <s v="I have bought other leggings at retailer and they were fine. these run small. i have to return."/>
        <s v="I think the model is wearing a larger size, per the first review. i am 5'2&quot; and 105 lbs and the xs fits about the same in length but not nearly voluminous. so you should order up if that is what you want. this will be perfect for some long summer flights "/>
        <s v="This runs small, i got the size 3 which fits like a medium, not a large. its a bit of an aline shaped knit in a beautiful saturated navy. i loved the elbow length sleeves. i have a large 34g bust and although this fit, it came to the top of my waist and i"/>
        <s v="The blue is a very flattering color. the fit is not. it does not lay in the back like in the photo on the model. instead, there is a lot of fabric that falls in horizontal folds because it does not fall straight because the sides at the bottom are narrowe"/>
        <m/>
        <s v="This is a beautiful tunic. i wanted it to work so much but i couldn't get past the itch factor. also, the sleeves were shorter than i expected. when i wore a light tee underneath, it didn't move well and looked bulky so sadly it went back to the store. if"/>
        <s v="I bought this in black. it's a great long length. i have long arms so the sleeve length is great. it's really soft. only issue is seems to sag a little in the middle instead of being flowy. overall a good tunic."/>
        <s v="Way to v necked- other than that would be a nice go to top. needs a cami."/>
        <s v="I ordered the in the emerald green and it was sent to me with a dime size hole in the sleeve. i am very disappointed, because i love the sweater. by the time it arrived, it was sold out in my size. now, i cannot exchange it for one that is not damaged. if"/>
        <s v="I was obsessed with this dress from the moment i saw it online and was so excited to buy it for my company christmas party. i'm 5'4&quot;, 36c, 145lbs and i ordered a 6. the size was great but the whole cut of the dress was completely off for me. i have a fair"/>
        <s v="The fabric is beautiful, even the lining is lovely. i ordered the green color in a large, as i'm curvy and have long arms. but it just doesn't lay correctly at all - the collar has no structure, even though it's a lapel, and the side vents just pop out - "/>
        <s v="This dress is most definitely not a maxi! barely goes below the knees. also you do not get the cute detail shown on bodice. there are no folds which were an added plus on picture. waist is higher, not at natural waist. very pretty silk though and still cu"/>
        <s v="I did not realize that this knitted vest had an attached gauzy under-layer. i can see it now in the photo, but i just thought it wasn't part of the actual vest. when the vest arrived i realized sadly that this flowing under-layer was part of the design. i"/>
        <s v="These lightweight, wide leg pilcro summer jeans are really cute, but did not look good on me. i love the fabric-a slightly 'nubby' no stretch chambray that is perfect for hot weather. the waist was a bit large and there was fabric to spare in the hip area"/>
        <s v="I coveted this item since i first saw it on instagram. i finally bought it in coral. it's a beautiful coat, the color is lovely and i like the way the hood makes a cute collar when worn down. the only problem is it looks like a bathrobe on me. i am 5'5&quot; a"/>
        <s v="I'll start with saying that it's a beautiful coat- i get tons of compliments and love the color. it runs a little big but it's meant to have to a slouchy, oversized quality to it. my only complaint is that i've had it for about 3 weeks and already one but"/>
        <s v="I am 5'6&quot;, 130 lbs with an athletic body type and i ordered a size small. these were really baggy in the thigh/quadricep area and made my thighs look bulky. the fabric quality is very nice and i like the idea of them for curvier body types. my son comment"/>
        <s v="So when i saw a sweater with a big llama face on the front of it, i knew it must be mine. i ordered it and eagerly awaited its arrival. while the llama print and color of the sweater are ah-mazing, the fit of the sweater leaves something to be desired. i'"/>
        <s v="I've been looking for some new, casual tops and ordered this one for the sky blue color. i'm a size 6 and the small fits great. i don't find the blowzy style overwhelming. i am small boned but i'm 5'8&quot;, not a petite. i like it with leggings and skinny jea"/>
        <s v="This is a beautiful sweater with deep rich colors. i purchased the blue motif. the problem is that the model(s) are small busted, which allows the side panels and front panel to lay nicely and swing in a flattering manner. i am 5'6'', 135 pounds and a 36d"/>
        <s v="This top was quite voluminous when i purchased it and i sized down to an xs, however after hand washing it once in cold water it has shrunk significantly. it still fits, but something to be aware of."/>
        <s v="Top is very wide and flowy. i am petite with large chest so it hung from widest point and was not flattering. would be very cute with the right body shape."/>
        <s v="After the reviews about sizing, i ordered the size 16 (am normally size large). interestingly, the tag on the blouse says it's a 14. with all that said, the blouse is cute enough and sizing up gave me enough length (in spite of the higher sides) that i'm "/>
        <s v="I like the idea of the pullover. the quality of is nice; the material is very soft and feels pleasant to the touch.&#10;&#10;i expected this sweater to be more flattering though. it is true to size, but the length is strange. it seems a bit too long, yet is too s"/>
        <s v="I loved this jumpsuit. it fit well on my curvier/athletic frame. i did prefer a belt, which emphasized my shape. unfortunately, it is not lined and a bit sheer. this was a deal breaker for me."/>
        <s v="This runs really large. i love it! sold out of xs p and xxs p... go figure :( size down if you are slim."/>
        <s v="This is one of those dresses that is just &quot;nice&quot; and can be one that you go to in a pinch.... it flows very nicely and you can dress it up and down. it's not the best quality in fabric...but if it was all silk you would have paid 3xs. i like it, it fits w"/>
        <s v="Beautiful dress. good quality. tts. i'm 5 feet 120 lbs. ordered my small petite. no issues. however, the green is very bright. the deal killer for me was when my hub said it looked like a starbucks barista's apron! it's going back. i marked yes if you pla"/>
        <s v="I tried this on in the store - i tried regular medium which was way too big except in the chest where it was really tight. the material was a little itchy on me (but maybe its because the chest was tight). the color is lovely (pink). im sure someone will "/>
        <s v="Like a baby doll top, with almost an empire waist going on.  feels comfortable and super flowy. i got a size m and i swing between m and l in most brands. the button stitching are a bit loose and will fray after some wears, i can tell. but i'm borderline "/>
        <s v="The fabric is wonderful, flows nicely and soft. i am 5'7&quot;, 145lbs and usually wear between a s and m. i ordered a s in this due to the majority of reviews and found it to fit my shoulders well and length was fine. after reading the reviews i was so excite"/>
        <s v="I'm very pale, and on me the rose color looked really washed out. the catalog photo is not an accurate representation. look at the product shot for a truer representation. it's slightly see-through and was too close to the color of my skin. i think it wou"/>
        <s v="This dress is a bit scratchy, but overall i liked the fabric well enough. on someone blond and fair, the peach color washes out a bit. the issue for me with the dress is that front is just too short for my height (i'm 5 9 1/2). it looked a bit obscene. &#10;&#10;"/>
        <s v="I'm still on the fence with this shirt. i have the grey - it almost looks like a cheetah design up close. i'm 5'3&quot;"/>
        <s v="I really like the look of the top when it is photographed on other people but it just isn't for me. the fabric is stiffer than i would have expected and not very moveable. the fit is not quite right on me. the longer sleeves detract from the look of the s"/>
        <s v="Bought this top at my local store and tried it on as soon as i got home. yikes! it was way too billowy, i looked like i was pregnant. will be trying the next size down on in the store to see if it is billowy."/>
        <s v="It's really cute but seems expensive for the type of fabric. i thought it would be more substantial. got lots of compliments ."/>
        <s v="Another shirt i really wanted to love. i adore green but so few tops are made in this color. (please make more!!) however, this shirt didn't work for me. i think it's a matter of where your curves live. the shirt was true to size, but my boobs meant i was"/>
        <s v="It is such a cute design and very soft and comfortable, but the picture for this product is very deceiving! it looks like the sweater is fairly long in the pictured product page, but it is considerably short. i am nearly six foot tall, but thought by this"/>
        <s v="Gorgeous fun dress, but the cut in the armholes (6 petite) is really low. so low even a strapless bra peeks above it. there are also lining issues (could have been with just my one choice) where the lining is not stitched well around the armholes so it sh"/>
        <s v="This dress had so much promise from the picture. i loved the midi length, color, and fascinating waist detail. i ordered online, so there was no way to try on before purchasing. the fit was disappointing. it fell in an unflattering manner at every point; "/>
        <s v="Dress is very pretty, but very short, almost tunic length."/>
        <s v="This top is oversized. i normally wear large but thought an xl would be best for sleeping. it's huge. so stick with your normal size or a size down. pretty print. fabric is a bit coarse. undecided about trying a size down because i'm particular and they d"/>
        <s v="This is, like many reviewers stated, a very flattering and nice dress. the sleeves were particularly great, because they are slightly longer than most of this type and went past the meaty (for lack of a better word!) part of my arm, only exposing the slim"/>
        <s v="The design of this dress is darling and so unique, and it's very well made. but i agree it's very boxy and overwhelming for a petite frame. i'm 5'3&quot; and ordered the 2, and it was like wearing a hospital gown. if a petite were available i'd have tried that"/>
        <s v="I love the cut and aesthetic of this shirt, but the fabric unfortunately shows even the slightest hint of sweat, which makes it difficult to wear without being self conscious"/>
        <s v="I'm a 32-a, and i bought a small. i found that the tube portion is pretty tight, but probably needed to keep things up. because there is not a clasp in the front or back, it is really hard to get in and out of. i'd probably be ok with it, but the cups wer"/>
        <s v="I was so excited to receive this top but was immediately disappointed! it is much thinner than it seems &amp; it almost feels like a cheap top. it's also see-through but i'm not bothered by that. it has a very boxy cut which i like with slimmer bottoms. but o"/>
        <s v="I agree with the other reviews that these jeans run big. for my body, straight up and down, i ordered 2 sizes down, but would have ordered one size down had i been able to try them on in the store. the jeans i received were lighter, not blue, and more gre"/>
        <s v="I love this top. it is very short and hits at a potentially unflattering area if one has wider hips. the fabric and swing to the &quot;skirt&quot; is adorable."/>
        <s v="This jacket runs very large. i usually wear an xl but probably could fit into a medium. i have long arms, and the sleeves were way past my hands. i love the jacket, but it's just too sloppy."/>
        <s v="Really wanted this to worked for me. ordered the s in ivory (the color i really wanted but xs was sold out) and the xs in cedar.  loved the knit and look and quality but the sweater was boxy and huge even in xs.  not flattering on my petite frame (5'2&quot;, 1"/>
        <s v="I saw this online and loved it. plus after reading the reviews i thought why not. but if you have a big chest beware. i am a 34ddd and a pretty solid medium. the volumous front of the vest added way to much to me and i sized down to a small. had to return"/>
        <s v="These shorts are just beautiful. with that said, they were expensive, but made reasonable when i snagged them in the online sale! they do also run large, and they seem to be made for short-waisted bodies. i will be bringing them back to my local store to "/>
        <s v="The colors of this dress are beautiful and i really wanted to love it but it wasn't cut for my body shape. i think you either need to be curvy to fill out the chest or straight up&amp;down to have it lay flat (as in the model). ordered size 6: 34b, 150 5' 9&quot;,"/>
        <s v="This would be great on someone with a slim build. it's very true to size, it hits above the hips and runs pretty straight through the body for a boxy look. i loved the color and pointelle detail but on my thicker build it just sort of hung in a too-casual"/>
        <s v="I ordered these pants in black and brick. the pattern is great, but the sizing and fit are way off. i usually wear an 8 or a medium in retailer. i ordered these pants in a 10, 12, and 12 petite. the 10 actually fit, but there is no stretch in these fitted"/>
        <s v="I *loved* the brown color on the model, and i love the wrap style in general. however, i'm not sure if the color looks as goon on me. i first ordered my standard size small (5'7&quot;, 137 lbs 32 b), which fit, but exchanged it for the looser fit (medium) show"/>
        <s v="I really love the look of this jumpsuit, casual but classy. shapely but comfortable. i'm 5'4 and, similar to another reviewer, proportional torso to leg ratio. the legs were longer on me than the model in the picture, but no problem there because they're "/>
        <s v="Unique print but not great execution. the pant legs are very tight, i have average sized calves and i sized up one size. the hook closure was oddly tight and difficult to clasp. when i first saw the color it looked like burnt sienna or a dried blood color"/>
        <s v="I am usually a size 2 in tops. i am very, very rarely a size 0, so upon reading other reviews of this top i decided to order the 2 and assumed it would fit the way a 2 usually does. obviously this is designed to be a loose, flowing top. that's why i wante"/>
        <s v="This jumpsuit is lovely and comfortable, with gorgeous embroidered detailing, but it really needs to come in petite sizes. at 5'4&quot; with a pretty proportional torso to leg ratio, i found the hem length okay but the top portion way too long. for the waistba"/>
        <s v="This runs really big. i usually wear s or m so i got a small but i need the xs in this top and it is sold out. i don't have a store close by (about an hour away) and i hate paying shipping for returns! i will either have to plan a trip to the store or try"/>
        <s v="This is a beautiful beaded shirt. the quality seems good. i just didn't like the shoulders. they are pleated and puffy. the picture doesn't really show them very well. also the collar is a little floppy. i was hoping it would have an option to stand up bu"/>
        <s v="This top is just as beautiful in person as online. however, it has two issues for me. 1. it is too short. this might work if you have a short torso, but it would forever show my stomach. 2. the fabric has way too much static cling. no matter what i tried,"/>
        <s v="Good structure and quality; a bit large and wish i had ordered something a bit brighter! (i ordered the white tee.)"/>
        <s v="I'm glad this was on sale because i would not have purchased it at full price due to the strange fit in the sleeve. the shirt has a slight raglan sleeve, but the sleeves do not fit loosely, they kind of twist under the armpit area. i do not have large arm"/>
        <s v="The problem with off the shoulder tops is that the neckline is totally elastisized , therefore upon any movement of your arms the top pops above your shoulders making it go from stylish to matronly . the only elastic should be right at the shoulders , the"/>
        <s v="I can't figure out if this skirt is supposed to be high-waisted (if so, it's too big but the length works), or if it's supposed to sit on my hips (fits well but too long). but the material is really comfortable, and the design is different in a good way."/>
        <s v="This dress is very cute and fits quite well. you don't have to wear a bra with it, which is awesome, and it has delightful pockets. the downside is that the fabric on the top half is a little weird. it is very heavy and stiff. also, the inside has some fr"/>
        <s v="I wish that it had fit me better as the feel of the fabric and the color were great! regrettably, i am sending it back as the v opening is too low for my tastes and the fabric on the left of the first layer drapes weird on me. i am usually a s or m and in"/>
        <s v="So, so cute. totally flattering. but the seams don't lie flat and there are loose threads all over the place. i've had issues with quality from retailer for a while (random holes in things) and was disappointed this fit that bill. i'm keeping it anyway be"/>
        <s v="It really is such a cute romper. took it on s trip to italy and it was airy and comfortable. that is in till i washed it. i'm in europe so there aren't dryers... washed it in cold water, line-dried it and it shrunk. significantly. it still fits but the to"/>
        <s v="I was really happy when i saw this romper online and ordered it right away. unfortunately being larger chested i thought i would size up to a medium. bad choice. now i have a beautiful romper that is too big for me. i will be getting this one tailored."/>
        <s v="Super long even at 5'7&quot; and a little too voluminous for my taste. incredibly comfortable and beautiful pattern though. i'm having a hard time imagining there getting much use for me, so even at the sale price they're going back."/>
        <s v="Glad i got this on sale. it is more yellow than the photo &amp; short. it is also heavy with a sueded interior. would have given more stars if it was less boxy &amp; longer."/>
        <s v="I loved this dress the minute i tried it on and am actually really sad that i had to return it. however, the embroidery was unraveling in several places before i'd even worn it, so i thought it would probably only get worse. too bad because it's gorgeous "/>
        <s v="Loved this dress and ordered it based on glowing reviews. ordered size large because i weigh 155 pounds and have a large 34g bust. the dress skimmed nicely over my body but the baby doll style fit loosely and made me look really wide from the side. i prob"/>
        <s v="I'm keeping this top bc it was on sale but it does look a little maternity! i wore with super skinny white jeans and 3&quot; casual heel. i'm short so i needed a little more height to slim me but if your tall and and slender this might work better for you?"/>
        <s v="I ordered these in my usual size and could barely get them on. they fit ike tight leggings. they have spandex that is comfortable and they will probably stretch as you wear them,. i exchanged for the next size up, because the style is great for year -roun"/>
        <s v="I was excited to try something by this designer and decided to order size large. unfortunately, this top just looked very odd. cute from the front but it wings out in the back where the sleeves meet the arms. the fabric makes an odd poof in that area. i d"/>
        <s v="I like the feel and color of this blouse. however, i was very disappointed with the sizing. i usually wear medium so i ordered medium for this blouse, it fits way too big. it is a bummer because the &quot;curve&quot; is not even visible when i wear it."/>
        <s v="Cute design with interesting details. i felt it ran a bit large. i'm 5'8&quot;, 135 lbs, an 8 was too big and baggy. my biggest complaint with this skirt is the color. it's just not flattering."/>
        <s v="Other reviews are correct. but this has potential to look as good as on the model - structure and quality of the cotton are very flattering. makes legs look miles long. however this fits very tight, allows no room for extra tummy, hips, booty, or thighs. "/>
        <s v="This is a beautiful dress with unfortunate design flaws at the bodice of the dress. the fit at hips and length is perfect, falling just to my knee (i'm 5'5&quot; 142 lbs.) and grazing my hips. in that regard the fit is spectacular. but the bodice seems cut ver"/>
        <s v="This dress is adorable and well made. this brand runs on the large side. i ordered an xs and the tag says 'p&quot; on it. it's not petite. it ran large through the hips and will need alteration. i'm keeping it because it is really cute and is well made. the ma"/>
        <s v="I thought the quality of the fabric was good and liked the idea of wearing it, either with opening in front or back. it was a little larger then i was expecting and i wish it had a closure, (hook and eye or snap) at the top. it has three places in the bac"/>
        <s v="I wanted to love this top. the color is wonderful in the pink and the material is silky soft. it is huge though, i am a 34 dd and bought my usual small! i am going to exchange for an xs and am hoping it fits."/>
        <s v="I usually wear petite which this was not so a little big for me. but nice color and good quality, but pricey for what it is. it's more like a $45 sweater not $100+"/>
        <s v="If you have any cleavage this dress will look awful. the ties drop pretty low &amp; look trashy over cleavage. recommend otherwise - good fabric cool look"/>
        <s v="What i liked:&#10;1. midweight fabric. it's not lined and when i read polyester in the description, i was worried that it might be thin, but this is a stretchy midweight fabric.&#10;2. pretty pretty print&#10;&#10;what i did not like:&#10;1. i don't know what dress the model"/>
      </sharedItems>
    </cacheField>
    <cacheField name="Rating" numFmtId="0">
      <sharedItems containsSemiMixedTypes="0" containsString="0" containsNumber="1" containsInteger="1">
        <n v="3.0"/>
        <n v="2.0"/>
      </sharedItems>
    </cacheField>
    <cacheField name="Recommended_IND" numFmtId="0">
      <sharedItems containsSemiMixedTypes="0" containsString="0" containsNumber="1" containsInteger="1">
        <n v="1.0"/>
      </sharedItems>
    </cacheField>
    <cacheField name="Positive_Feedback_Count" numFmtId="0">
      <sharedItems containsSemiMixedTypes="0" containsString="0" containsNumber="1" containsInteger="1">
        <n v="1.0"/>
        <n v="2.0"/>
        <n v="0.0"/>
        <n v="3.0"/>
        <n v="4.0"/>
        <n v="16.0"/>
        <n v="6.0"/>
        <n v="15.0"/>
        <n v="11.0"/>
        <n v="7.0"/>
        <n v="14.0"/>
        <n v="13.0"/>
        <n v="9.0"/>
        <n v="8.0"/>
        <n v="5.0"/>
        <n v="10.0"/>
        <n v="27.0"/>
      </sharedItems>
    </cacheField>
    <cacheField name="Division_Name" numFmtId="0">
      <sharedItems>
        <s v="General"/>
        <s v="General Petite"/>
        <s v="Initmates"/>
      </sharedItems>
    </cacheField>
    <cacheField name="Department_Name" numFmtId="0">
      <sharedItems>
        <s v="Dresses"/>
        <s v="Bottoms"/>
        <s v="Tops"/>
        <s v="Jackets"/>
        <s v="Intimate"/>
        <s v="Trend"/>
      </sharedItems>
    </cacheField>
    <cacheField name="Class_Name" numFmtId="0">
      <sharedItems>
        <s v="Dresses"/>
        <s v="Pants"/>
        <s v="Knits"/>
        <s v="Blouses"/>
        <s v="Jackets"/>
        <s v="Outerwear"/>
        <s v="Intimates"/>
        <s v="Lounge"/>
        <s v="Fine gauge"/>
        <s v="Sweaters"/>
        <s v="Jeans"/>
        <s v="Legwear"/>
        <s v="Trend"/>
        <s v="Sleep"/>
        <s v="Shorts"/>
        <s v="Skirts"/>
      </sharedItems>
    </cacheField>
    <cacheField name="Feed_back" numFmtId="0">
      <sharedItems>
        <s v="Size issue-Fabric issue---"/>
        <s v="--Style issue--"/>
        <s v="-Fabric issue---"/>
        <s v="Size issue----"/>
        <s v="Size issue--Style issue--"/>
        <s v="Size issue-Fabric issue-Style issue--"/>
        <s v="----"/>
        <s v="Size issue----Matching Awareness issue"/>
        <s v="-Fabric issue-Style issue--"/>
        <s v=""/>
        <s v="Size issue-Fabric issue---Matching Awareness issue"/>
        <s v="Size issue---Price issue-"/>
        <s v="---Price issue-"/>
        <s v="Size issue--Style issue-Price issue-"/>
        <s v="Size issue--Style issue--Matching Awareness issue"/>
        <s v="Size issue-Fabric issue-Style issue--Matching Awareness issue"/>
        <s v="Size issue-Fabric issue--Price issue-"/>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B2708" sheet="Customers_ages"/>
  </cacheSource>
  <cacheFields>
    <cacheField name="Age" numFmtId="0">
      <sharedItems containsString="0" containsBlank="1" containsNumber="1" containsInteger="1">
        <n v="33.0"/>
        <n v="34.0"/>
        <n v="60.0"/>
        <n v="50.0"/>
        <n v="47.0"/>
        <n v="49.0"/>
        <n v="39.0"/>
        <n v="24.0"/>
        <n v="53.0"/>
        <n v="44.0"/>
        <n v="41.0"/>
        <n v="32.0"/>
        <n v="55.0"/>
        <n v="31.0"/>
        <n v="28.0"/>
        <n v="46.0"/>
        <n v="21.0"/>
        <n v="36.0"/>
        <n v="65.0"/>
        <n v="29.0"/>
        <n v="38.0"/>
        <n v="59.0"/>
        <n v="40.0"/>
        <n v="23.0"/>
        <n v="67.0"/>
        <n v="48.0"/>
        <n v="43.0"/>
        <n v="52.0"/>
        <n v="56.0"/>
        <n v="66.0"/>
        <n v="61.0"/>
        <n v="57.0"/>
        <n v="58.0"/>
        <n v="37.0"/>
        <n v="27.0"/>
        <n v="62.0"/>
        <n v="68.0"/>
        <n v="51.0"/>
        <n v="83.0"/>
        <n v="69.0"/>
        <n v="54.0"/>
        <n v="63.0"/>
        <n v="71.0"/>
        <n v="30.0"/>
        <n v="35.0"/>
        <n v="64.0"/>
        <n v="42.0"/>
        <n v="22.0"/>
        <n v="26.0"/>
        <n v="72.0"/>
        <n v="25.0"/>
        <n v="45.0"/>
        <n v="74.0"/>
        <n v="70.0"/>
        <n v="20.0"/>
        <n v="80.0"/>
        <n v="93.0"/>
        <n v="82.0"/>
        <n v="77.0"/>
        <n v="85.0"/>
        <n v="73.0"/>
        <n v="78.0"/>
        <n v="79.0"/>
        <n v="19.0"/>
        <n v="76.0"/>
        <n v="84.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Dashboard" cacheId="0" dataCaption="" compact="0" compactData="0">
  <location ref="L1:L2" firstHeaderRow="0" firstDataRow="0" firstDataCol="0"/>
  <pivotFields>
    <pivotField name="Operation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t="default"/>
      </items>
    </pivotField>
    <pivotField name="Clothing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t="default"/>
      </items>
    </pivotField>
    <pivotField name="Review_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t="default"/>
      </items>
    </pivotField>
    <pivotField name="Rating" compact="0" outline="0" multipleItemSelectionAllowed="1" showAll="0">
      <items>
        <item x="0"/>
        <item x="1"/>
        <item x="2"/>
        <item x="3"/>
        <item x="4"/>
        <item t="default"/>
      </items>
    </pivotField>
    <pivotField name="Recommended_IND" compact="0" outline="0" multipleItemSelectionAllowed="1" showAll="0">
      <items>
        <item x="0"/>
        <item x="1"/>
        <item t="default"/>
      </items>
    </pivotField>
    <pivotField name="Positive_Feedback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Division_Name" compact="0" outline="0" multipleItemSelectionAllowed="1" showAll="0">
      <items>
        <item x="0"/>
        <item x="1"/>
        <item x="2"/>
        <item t="default"/>
      </items>
    </pivotField>
    <pivotField name="Department_Name" compact="0" outline="0" multipleItemSelectionAllowed="1" showAll="0">
      <items>
        <item x="0"/>
        <item x="1"/>
        <item x="2"/>
        <item x="3"/>
        <item x="4"/>
        <item x="5"/>
        <item t="default"/>
      </items>
    </pivotField>
    <pivotField name="Class_Name" compact="0" outline="0" multipleItemSelectionAllowed="1" showAll="0">
      <items>
        <item x="0"/>
        <item x="1"/>
        <item x="2"/>
        <item x="3"/>
        <item x="4"/>
        <item x="5"/>
        <item x="6"/>
        <item x="7"/>
        <item x="8"/>
        <item x="9"/>
        <item x="10"/>
        <item x="11"/>
        <item x="12"/>
        <item x="13"/>
        <item x="14"/>
        <item x="15"/>
        <item x="16"/>
        <item x="17"/>
        <item t="default"/>
      </items>
    </pivotField>
  </pivotFields>
  <dataFields>
    <dataField name="Number of Reviews" fld="0" subtotal="count" baseField="0"/>
  </dataFields>
</pivotTableDefinition>
</file>

<file path=xl/pivotTables/pivotTable10.xml><?xml version="1.0" encoding="utf-8"?>
<pivotTableDefinition xmlns="http://schemas.openxmlformats.org/spreadsheetml/2006/main" name="Age_analysis" cacheId="3" dataCaption="" rowGrandTotals="0" compact="0" compactData="0">
  <location ref="A1:B67" firstHeaderRow="0" firstDataRow="1" firstDataCol="0"/>
  <pivotFields>
    <pivotField name="Age" axis="axisRow" dataField="1" compact="0" outline="0" multipleItemSelectionAllowed="1" showAll="0" sortType="ascending">
      <items>
        <item h="1" x="66"/>
        <item x="63"/>
        <item x="54"/>
        <item x="16"/>
        <item x="47"/>
        <item x="23"/>
        <item x="7"/>
        <item x="50"/>
        <item x="48"/>
        <item x="34"/>
        <item x="14"/>
        <item x="19"/>
        <item x="43"/>
        <item x="13"/>
        <item x="11"/>
        <item x="0"/>
        <item x="1"/>
        <item x="44"/>
        <item x="17"/>
        <item x="33"/>
        <item x="20"/>
        <item x="6"/>
        <item x="22"/>
        <item x="10"/>
        <item x="46"/>
        <item x="26"/>
        <item x="9"/>
        <item x="51"/>
        <item x="15"/>
        <item x="4"/>
        <item x="25"/>
        <item x="5"/>
        <item x="3"/>
        <item x="37"/>
        <item x="27"/>
        <item x="8"/>
        <item x="40"/>
        <item x="12"/>
        <item x="28"/>
        <item x="31"/>
        <item x="32"/>
        <item x="21"/>
        <item x="2"/>
        <item x="30"/>
        <item x="35"/>
        <item x="41"/>
        <item x="45"/>
        <item x="18"/>
        <item x="29"/>
        <item x="24"/>
        <item x="36"/>
        <item x="39"/>
        <item x="53"/>
        <item x="42"/>
        <item x="49"/>
        <item x="60"/>
        <item x="52"/>
        <item x="64"/>
        <item x="58"/>
        <item x="61"/>
        <item x="62"/>
        <item x="55"/>
        <item x="57"/>
        <item x="38"/>
        <item x="65"/>
        <item x="59"/>
        <item x="56"/>
        <item t="default"/>
      </items>
    </pivotField>
  </pivotFields>
  <rowFields>
    <field x="0"/>
  </rowFields>
  <dataFields>
    <dataField name="Contributions" fld="0" subtotal="count" baseField="0"/>
  </dataFields>
</pivotTableDefinition>
</file>

<file path=xl/pivotTables/pivotTable2.xml><?xml version="1.0" encoding="utf-8"?>
<pivotTableDefinition xmlns="http://schemas.openxmlformats.org/spreadsheetml/2006/main" name="Dashboard 2" cacheId="0" dataCaption="" compact="0" compactData="0">
  <location ref="L4:L5" firstHeaderRow="0" firstDataRow="0" firstDataCol="0"/>
  <pivotFields>
    <pivotField name="Opera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t="default"/>
      </items>
    </pivotField>
    <pivotField name="Clothing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t="default"/>
      </items>
    </pivotField>
    <pivotField name="Review_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t="default"/>
      </items>
    </pivotField>
    <pivotField name="Rating" compact="0" outline="0" multipleItemSelectionAllowed="1" showAll="0">
      <items>
        <item x="0"/>
        <item x="1"/>
        <item x="2"/>
        <item x="3"/>
        <item x="4"/>
        <item t="default"/>
      </items>
    </pivotField>
    <pivotField name="Recommended_IND" dataField="1" compact="0" outline="0" multipleItemSelectionAllowed="1" showAll="0">
      <items>
        <item x="0"/>
        <item x="1"/>
        <item t="default"/>
      </items>
    </pivotField>
    <pivotField name="Positive_Feedback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Division_Name" compact="0" outline="0" multipleItemSelectionAllowed="1" showAll="0">
      <items>
        <item x="0"/>
        <item x="1"/>
        <item x="2"/>
        <item t="default"/>
      </items>
    </pivotField>
    <pivotField name="Department_Name" compact="0" outline="0" multipleItemSelectionAllowed="1" showAll="0">
      <items>
        <item x="0"/>
        <item x="1"/>
        <item x="2"/>
        <item x="3"/>
        <item x="4"/>
        <item x="5"/>
        <item t="default"/>
      </items>
    </pivotField>
    <pivotField name="Class_Name" compact="0" outline="0" multipleItemSelectionAllowed="1" showAll="0">
      <items>
        <item x="0"/>
        <item x="1"/>
        <item x="2"/>
        <item x="3"/>
        <item x="4"/>
        <item x="5"/>
        <item x="6"/>
        <item x="7"/>
        <item x="8"/>
        <item x="9"/>
        <item x="10"/>
        <item x="11"/>
        <item x="12"/>
        <item x="13"/>
        <item x="14"/>
        <item x="15"/>
        <item x="16"/>
        <item x="17"/>
        <item t="default"/>
      </items>
    </pivotField>
  </pivotFields>
  <dataFields>
    <dataField name="Recommendations" fld="6" baseField="0"/>
  </dataFields>
</pivotTableDefinition>
</file>

<file path=xl/pivotTables/pivotTable3.xml><?xml version="1.0" encoding="utf-8"?>
<pivotTableDefinition xmlns="http://schemas.openxmlformats.org/spreadsheetml/2006/main" name="class_rating" cacheId="0" dataCaption="" rowGrandTotals="0" colGrandTotals="0" compact="0" compactData="0">
  <location ref="A1:D20" firstHeaderRow="0" firstDataRow="1" firstDataCol="1"/>
  <pivotFields>
    <pivotField name="Opera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t="default"/>
      </items>
    </pivotField>
    <pivotField name="Clothing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t="default"/>
      </items>
    </pivotField>
    <pivotField name="Review_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t="default"/>
      </items>
    </pivotField>
    <pivotField name="Rating" dataField="1" compact="0" outline="0" multipleItemSelectionAllowed="1" showAll="0">
      <items>
        <item x="0"/>
        <item x="1"/>
        <item x="2"/>
        <item x="3"/>
        <item x="4"/>
        <item t="default"/>
      </items>
    </pivotField>
    <pivotField name="Recommended_IND" compact="0" outline="0" multipleItemSelectionAllowed="1" showAll="0">
      <items>
        <item x="0"/>
        <item x="1"/>
        <item t="default"/>
      </items>
    </pivotField>
    <pivotField name="Positive_Feedback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Division_Name" axis="axisCol" compact="0" outline="0" multipleItemSelectionAllowed="1" showAll="0" sortType="ascending">
      <items>
        <item x="1"/>
        <item x="2"/>
        <item x="0"/>
        <item t="default"/>
      </items>
    </pivotField>
    <pivotField name="Department_Name" compact="0" outline="0" multipleItemSelectionAllowed="1" showAll="0">
      <items>
        <item x="0"/>
        <item x="1"/>
        <item x="2"/>
        <item x="3"/>
        <item x="4"/>
        <item x="5"/>
        <item t="default"/>
      </items>
    </pivotField>
    <pivotField name="Class_Name" axis="axisRow" compact="0" outline="0" multipleItemSelectionAllowed="1" showAll="0" sortType="ascending">
      <items>
        <item x="3"/>
        <item x="1"/>
        <item x="9"/>
        <item x="0"/>
        <item x="11"/>
        <item x="14"/>
        <item x="4"/>
        <item x="17"/>
        <item x="15"/>
        <item x="6"/>
        <item x="5"/>
        <item x="2"/>
        <item x="16"/>
        <item x="8"/>
        <item x="10"/>
        <item x="7"/>
        <item x="12"/>
        <item x="13"/>
        <item t="default"/>
      </items>
    </pivotField>
  </pivotFields>
  <rowFields>
    <field x="10"/>
  </rowFields>
  <colFields>
    <field x="8"/>
  </colFields>
  <dataFields>
    <dataField name="AVERAGE of Rating" fld="5" subtotal="average" baseField="0"/>
  </dataFields>
</pivotTableDefinition>
</file>

<file path=xl/pivotTables/pivotTable4.xml><?xml version="1.0" encoding="utf-8"?>
<pivotTableDefinition xmlns="http://schemas.openxmlformats.org/spreadsheetml/2006/main" name="Class_recommendations" cacheId="0" dataCaption="" rowGrandTotals="0" compact="0" compactData="0">
  <location ref="A1:B19" firstHeaderRow="0" firstDataRow="1" firstDataCol="0"/>
  <pivotFields>
    <pivotField name="Opera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t="default"/>
      </items>
    </pivotField>
    <pivotField name="Clothing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t="default"/>
      </items>
    </pivotField>
    <pivotField name="Review_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t="default"/>
      </items>
    </pivotField>
    <pivotField name="Rating" compact="0" outline="0" multipleItemSelectionAllowed="1" showAll="0">
      <items>
        <item x="0"/>
        <item x="1"/>
        <item x="2"/>
        <item x="3"/>
        <item x="4"/>
        <item t="default"/>
      </items>
    </pivotField>
    <pivotField name="Recommended_IND" dataField="1" compact="0" outline="0" multipleItemSelectionAllowed="1" showAll="0">
      <items>
        <item x="0"/>
        <item x="1"/>
        <item t="default"/>
      </items>
    </pivotField>
    <pivotField name="Positive_Feedback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Division_Name" compact="0" outline="0" multipleItemSelectionAllowed="1" showAll="0">
      <items>
        <item x="0"/>
        <item x="1"/>
        <item x="2"/>
        <item t="default"/>
      </items>
    </pivotField>
    <pivotField name="Department_Name" compact="0" outline="0" multipleItemSelectionAllowed="1" showAll="0">
      <items>
        <item x="0"/>
        <item x="1"/>
        <item x="2"/>
        <item x="3"/>
        <item x="4"/>
        <item x="5"/>
        <item t="default"/>
      </items>
    </pivotField>
    <pivotField name="Class_Name" axis="axisRow" compact="0" outline="0" multipleItemSelectionAllowed="1" showAll="0" sortType="descending">
      <items>
        <item x="0"/>
        <item x="1"/>
        <item x="2"/>
        <item x="3"/>
        <item x="4"/>
        <item x="5"/>
        <item x="6"/>
        <item x="7"/>
        <item x="8"/>
        <item x="9"/>
        <item x="10"/>
        <item x="11"/>
        <item x="12"/>
        <item x="13"/>
        <item x="14"/>
        <item x="15"/>
        <item x="16"/>
        <item x="17"/>
        <item t="default"/>
      </items>
      <autoSortScope>
        <pivotArea>
          <references>
            <reference field="4294967294">
              <x v="0"/>
            </reference>
          </references>
        </pivotArea>
      </autoSortScope>
    </pivotField>
  </pivotFields>
  <rowFields>
    <field x="10"/>
  </rowFields>
  <dataFields>
    <dataField name="SUM of Recommended_IND" fld="6" baseField="0"/>
  </dataFields>
</pivotTableDefinition>
</file>

<file path=xl/pivotTables/pivotTable5.xml><?xml version="1.0" encoding="utf-8"?>
<pivotTableDefinition xmlns="http://schemas.openxmlformats.org/spreadsheetml/2006/main" name="Ratings_counter" cacheId="0" dataCaption="" rowGrandTotals="0" compact="0" compactData="0">
  <location ref="A1:B6" firstHeaderRow="0" firstDataRow="1" firstDataCol="0"/>
  <pivotFields>
    <pivotField name="Opera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t="default"/>
      </items>
    </pivotField>
    <pivotField name="Clothing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t="default"/>
      </items>
    </pivotField>
    <pivotField name="Review_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t="default"/>
      </items>
    </pivotField>
    <pivotField name="Rating" axis="axisRow" dataField="1" compact="0" outline="0" multipleItemSelectionAllowed="1" showAll="0" sortType="ascending">
      <items>
        <item x="4"/>
        <item x="3"/>
        <item x="2"/>
        <item x="0"/>
        <item x="1"/>
        <item t="default"/>
      </items>
    </pivotField>
    <pivotField name="Recommended_IND" compact="0" outline="0" multipleItemSelectionAllowed="1" showAll="0">
      <items>
        <item x="0"/>
        <item x="1"/>
        <item t="default"/>
      </items>
    </pivotField>
    <pivotField name="Positive_Feedback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Division_Name" compact="0" outline="0" multipleItemSelectionAllowed="1" showAll="0">
      <items>
        <item x="0"/>
        <item x="1"/>
        <item x="2"/>
        <item t="default"/>
      </items>
    </pivotField>
    <pivotField name="Department_Name" compact="0" outline="0" multipleItemSelectionAllowed="1" showAll="0">
      <items>
        <item x="0"/>
        <item x="1"/>
        <item x="2"/>
        <item x="3"/>
        <item x="4"/>
        <item x="5"/>
        <item t="default"/>
      </items>
    </pivotField>
    <pivotField name="Class_Name" compact="0" outline="0" multipleItemSelectionAllowed="1" showAll="0">
      <items>
        <item x="0"/>
        <item x="1"/>
        <item x="2"/>
        <item x="3"/>
        <item x="4"/>
        <item x="5"/>
        <item x="6"/>
        <item x="7"/>
        <item x="8"/>
        <item x="9"/>
        <item x="10"/>
        <item x="11"/>
        <item x="12"/>
        <item x="13"/>
        <item x="14"/>
        <item x="15"/>
        <item x="16"/>
        <item x="17"/>
        <item t="default"/>
      </items>
    </pivotField>
  </pivotFields>
  <rowFields>
    <field x="5"/>
  </rowFields>
  <dataFields>
    <dataField name="COUNTA of Rating" fld="5" subtotal="count" baseField="0"/>
  </dataFields>
</pivotTableDefinition>
</file>

<file path=xl/pivotTables/pivotTable6.xml><?xml version="1.0" encoding="utf-8"?>
<pivotTableDefinition xmlns="http://schemas.openxmlformats.org/spreadsheetml/2006/main" name="recommendations_by_category" cacheId="0" dataCaption="" rowGrandTotals="0" colGrandTotals="0" compact="0" compactData="0">
  <location ref="A1:G5" firstHeaderRow="0" firstDataRow="1" firstDataCol="1"/>
  <pivotFields>
    <pivotField name="Opera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t="default"/>
      </items>
    </pivotField>
    <pivotField name="Clothing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t="default"/>
      </items>
    </pivotField>
    <pivotField name="Review_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t="default"/>
      </items>
    </pivotField>
    <pivotField name="Rating" compact="0" outline="0" multipleItemSelectionAllowed="1" showAll="0">
      <items>
        <item x="0"/>
        <item x="1"/>
        <item x="2"/>
        <item x="3"/>
        <item x="4"/>
        <item t="default"/>
      </items>
    </pivotField>
    <pivotField name="Recommended_IND" dataField="1" compact="0" outline="0" multipleItemSelectionAllowed="1" showAll="0">
      <items>
        <item x="0"/>
        <item x="1"/>
        <item t="default"/>
      </items>
    </pivotField>
    <pivotField name="Positive_Feedback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Division_Name" axis="axisRow" compact="0" outline="0" multipleItemSelectionAllowed="1" showAll="0" sortType="ascending">
      <items>
        <item x="1"/>
        <item x="2"/>
        <item x="0"/>
        <item t="default"/>
      </items>
    </pivotField>
    <pivotField name="Department_Name" axis="axisCol" compact="0" outline="0" multipleItemSelectionAllowed="1" showAll="0" sortType="ascending">
      <items>
        <item x="2"/>
        <item x="1"/>
        <item x="0"/>
        <item x="4"/>
        <item x="3"/>
        <item x="5"/>
        <item t="default"/>
      </items>
    </pivotField>
    <pivotField name="Class_Name" compact="0" outline="0" multipleItemSelectionAllowed="1" showAll="0">
      <items>
        <item x="0"/>
        <item x="1"/>
        <item x="2"/>
        <item x="3"/>
        <item x="4"/>
        <item x="5"/>
        <item x="6"/>
        <item x="7"/>
        <item x="8"/>
        <item x="9"/>
        <item x="10"/>
        <item x="11"/>
        <item x="12"/>
        <item x="13"/>
        <item x="14"/>
        <item x="15"/>
        <item x="16"/>
        <item x="17"/>
        <item t="default"/>
      </items>
    </pivotField>
  </pivotFields>
  <rowFields>
    <field x="8"/>
  </rowFields>
  <colFields>
    <field x="9"/>
  </colFields>
  <dataFields>
    <dataField name="COUNTA of Recommended_IND" fld="6" subtotal="count" baseField="0"/>
  </dataFields>
</pivotTableDefinition>
</file>

<file path=xl/pivotTables/pivotTable7.xml><?xml version="1.0" encoding="utf-8"?>
<pivotTableDefinition xmlns="http://schemas.openxmlformats.org/spreadsheetml/2006/main" name="Recommended_or_not" cacheId="0" dataCaption="" rowGrandTotals="0" compact="0" compactData="0">
  <location ref="A1:B3" firstHeaderRow="0" firstDataRow="1" firstDataCol="0"/>
  <pivotFields>
    <pivotField name="Opera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t="default"/>
      </items>
    </pivotField>
    <pivotField name="Clothing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t="default"/>
      </items>
    </pivotField>
    <pivotField name="Review_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t="default"/>
      </items>
    </pivotField>
    <pivotField name="Rating" compact="0" outline="0" multipleItemSelectionAllowed="1" showAll="0">
      <items>
        <item x="0"/>
        <item x="1"/>
        <item x="2"/>
        <item x="3"/>
        <item x="4"/>
        <item t="default"/>
      </items>
    </pivotField>
    <pivotField name="Recommended_IND" axis="axisRow" dataField="1" compact="0" outline="0" multipleItemSelectionAllowed="1" showAll="0" sortType="ascending">
      <items>
        <item x="1"/>
        <item x="0"/>
        <item t="default"/>
      </items>
    </pivotField>
    <pivotField name="Positive_Feedback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Division_Name" compact="0" outline="0" multipleItemSelectionAllowed="1" showAll="0">
      <items>
        <item x="0"/>
        <item x="1"/>
        <item x="2"/>
        <item t="default"/>
      </items>
    </pivotField>
    <pivotField name="Department_Name" compact="0" outline="0" multipleItemSelectionAllowed="1" showAll="0">
      <items>
        <item x="0"/>
        <item x="1"/>
        <item x="2"/>
        <item x="3"/>
        <item x="4"/>
        <item x="5"/>
        <item t="default"/>
      </items>
    </pivotField>
    <pivotField name="Class_Name" compact="0" outline="0" multipleItemSelectionAllowed="1" showAll="0">
      <items>
        <item x="0"/>
        <item x="1"/>
        <item x="2"/>
        <item x="3"/>
        <item x="4"/>
        <item x="5"/>
        <item x="6"/>
        <item x="7"/>
        <item x="8"/>
        <item x="9"/>
        <item x="10"/>
        <item x="11"/>
        <item x="12"/>
        <item x="13"/>
        <item x="14"/>
        <item x="15"/>
        <item x="16"/>
        <item x="17"/>
        <item t="default"/>
      </items>
    </pivotField>
  </pivotFields>
  <rowFields>
    <field x="6"/>
  </rowFields>
  <dataFields>
    <dataField name="COUNTA of Recommended_IND" fld="6" subtotal="count" baseField="0"/>
  </dataFields>
</pivotTableDefinition>
</file>

<file path=xl/pivotTables/pivotTable8.xml><?xml version="1.0" encoding="utf-8"?>
<pivotTableDefinition xmlns="http://schemas.openxmlformats.org/spreadsheetml/2006/main" name="Not_recommended_pivot" cacheId="1" dataCaption="" rowGrandTotals="0" compact="0" compactData="0">
  <location ref="A1:B24" firstHeaderRow="0" firstDataRow="1" firstDataCol="0"/>
  <pivotFields>
    <pivotField name="Opera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t="default"/>
      </items>
    </pivotField>
    <pivotField name="Clothing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t="default"/>
      </items>
    </pivotField>
    <pivotField name="Review_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t="default"/>
      </items>
    </pivotField>
    <pivotField name="Rating" compact="0" outline="0" multipleItemSelectionAllowed="1" showAll="0">
      <items>
        <item x="0"/>
        <item x="1"/>
        <item x="2"/>
        <item x="3"/>
        <item x="4"/>
        <item t="default"/>
      </items>
    </pivotField>
    <pivotField name="Recommended_IND" compact="0" outline="0" multipleItemSelectionAllowed="1" showAll="0">
      <items>
        <item x="0"/>
        <item t="default"/>
      </items>
    </pivotField>
    <pivotField name="Positive_Feedback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Division_Name" compact="0" outline="0" multipleItemSelectionAllowed="1" showAll="0">
      <items>
        <item x="0"/>
        <item x="1"/>
        <item x="2"/>
        <item t="default"/>
      </items>
    </pivotField>
    <pivotField name="Department_Name" compact="0" outline="0" multipleItemSelectionAllowed="1" showAll="0">
      <items>
        <item x="0"/>
        <item x="1"/>
        <item x="2"/>
        <item x="3"/>
        <item x="4"/>
        <item x="5"/>
        <item t="default"/>
      </items>
    </pivotField>
    <pivotField name="Class_Name" compact="0" outline="0" multipleItemSelectionAllowed="1" showAll="0">
      <items>
        <item x="0"/>
        <item x="1"/>
        <item x="2"/>
        <item x="3"/>
        <item x="4"/>
        <item x="5"/>
        <item x="6"/>
        <item x="7"/>
        <item x="8"/>
        <item x="9"/>
        <item x="10"/>
        <item x="11"/>
        <item x="12"/>
        <item x="13"/>
        <item x="14"/>
        <item x="15"/>
        <item x="16"/>
        <item t="default"/>
      </items>
    </pivotField>
    <pivotField name="Feed_back"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t="default"/>
      </items>
      <autoSortScope>
        <pivotArea>
          <references>
            <reference field="4294967294">
              <x v="0"/>
            </reference>
          </references>
        </pivotArea>
      </autoSortScope>
    </pivotField>
  </pivotFields>
  <rowFields>
    <field x="11"/>
  </rowFields>
  <dataFields>
    <dataField name="COUNTA of Feed_back" fld="11" subtotal="count" baseField="0"/>
  </dataFields>
</pivotTableDefinition>
</file>

<file path=xl/pivotTables/pivotTable9.xml><?xml version="1.0" encoding="utf-8"?>
<pivotTableDefinition xmlns="http://schemas.openxmlformats.org/spreadsheetml/2006/main" name="Recommended_3_or_less_pivot" cacheId="2" dataCaption="" rowGrandTotals="0" compact="0" compactData="0">
  <location ref="A1:B18" firstHeaderRow="0" firstDataRow="1" firstDataCol="0"/>
  <pivotFields>
    <pivotField name="Operation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Clothing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Review_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t="default"/>
      </items>
    </pivotField>
    <pivotField name="Rating" compact="0" outline="0" multipleItemSelectionAllowed="1" showAll="0">
      <items>
        <item x="0"/>
        <item x="1"/>
        <item t="default"/>
      </items>
    </pivotField>
    <pivotField name="Recommended_IND" compact="0" outline="0" multipleItemSelectionAllowed="1" showAll="0">
      <items>
        <item x="0"/>
        <item t="default"/>
      </items>
    </pivotField>
    <pivotField name="Positive_Feedback_Count" compact="0" outline="0" multipleItemSelectionAllowed="1" showAll="0">
      <items>
        <item x="0"/>
        <item x="1"/>
        <item x="2"/>
        <item x="3"/>
        <item x="4"/>
        <item x="5"/>
        <item x="6"/>
        <item x="7"/>
        <item x="8"/>
        <item x="9"/>
        <item x="10"/>
        <item x="11"/>
        <item x="12"/>
        <item x="13"/>
        <item x="14"/>
        <item x="15"/>
        <item x="16"/>
        <item t="default"/>
      </items>
    </pivotField>
    <pivotField name="Division_Name" compact="0" outline="0" multipleItemSelectionAllowed="1" showAll="0">
      <items>
        <item x="0"/>
        <item x="1"/>
        <item x="2"/>
        <item t="default"/>
      </items>
    </pivotField>
    <pivotField name="Department_Name" compact="0" outline="0" multipleItemSelectionAllowed="1" showAll="0">
      <items>
        <item x="0"/>
        <item x="1"/>
        <item x="2"/>
        <item x="3"/>
        <item x="4"/>
        <item x="5"/>
        <item t="default"/>
      </items>
    </pivotField>
    <pivotField name="Class_Name" compact="0" outline="0" multipleItemSelectionAllowed="1" showAll="0">
      <items>
        <item x="0"/>
        <item x="1"/>
        <item x="2"/>
        <item x="3"/>
        <item x="4"/>
        <item x="5"/>
        <item x="6"/>
        <item x="7"/>
        <item x="8"/>
        <item x="9"/>
        <item x="10"/>
        <item x="11"/>
        <item x="12"/>
        <item x="13"/>
        <item x="14"/>
        <item x="15"/>
        <item t="default"/>
      </items>
    </pivotField>
    <pivotField name="Feed_back" axis="axisRow" dataField="1" compact="0" outline="0" multipleItemSelectionAllowed="1" showAll="0" sortType="descending">
      <items>
        <item x="0"/>
        <item x="1"/>
        <item x="2"/>
        <item x="3"/>
        <item x="4"/>
        <item x="5"/>
        <item x="6"/>
        <item x="7"/>
        <item x="8"/>
        <item x="9"/>
        <item x="10"/>
        <item x="11"/>
        <item x="12"/>
        <item x="13"/>
        <item x="14"/>
        <item x="15"/>
        <item x="16"/>
        <item t="default"/>
      </items>
      <autoSortScope>
        <pivotArea>
          <references>
            <reference field="4294967294">
              <x v="0"/>
            </reference>
          </references>
        </pivotArea>
      </autoSortScope>
    </pivotField>
  </pivotFields>
  <rowFields>
    <field x="11"/>
  </rowFields>
  <dataFields>
    <dataField name="COUNTA of Feed_back" fld="1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pivotTable" Target="../pivotTables/pivotTable1.xml"/><Relationship Id="rId3" Type="http://schemas.openxmlformats.org/officeDocument/2006/relationships/pivotTable" Target="../pivotTables/pivotTable2.xm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0.xm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5"/>
    <col customWidth="1" min="3" max="3" width="15.5"/>
    <col customWidth="1" min="4" max="4" width="6.0"/>
    <col customWidth="1" min="5" max="5" width="15.5"/>
    <col customWidth="1" min="11" max="11" width="5.75"/>
    <col customWidth="1" min="12" max="12" width="15.5"/>
  </cols>
  <sheetData>
    <row r="1">
      <c r="A1" s="1"/>
      <c r="B1" s="1"/>
      <c r="C1" s="1"/>
      <c r="D1" s="1"/>
      <c r="E1" s="1"/>
      <c r="F1" s="1"/>
      <c r="G1" s="1"/>
      <c r="H1" s="1"/>
      <c r="I1" s="1"/>
      <c r="J1" s="1"/>
      <c r="K1" s="1"/>
      <c r="M1" s="1"/>
      <c r="N1" s="1"/>
      <c r="O1" s="1"/>
      <c r="P1" s="1"/>
      <c r="Q1" s="1"/>
      <c r="R1" s="1"/>
      <c r="S1" s="1"/>
      <c r="T1" s="1"/>
      <c r="U1" s="1"/>
      <c r="V1" s="1"/>
      <c r="W1" s="1"/>
      <c r="X1" s="1"/>
      <c r="Y1" s="1"/>
      <c r="Z1" s="1"/>
    </row>
    <row r="2">
      <c r="A2" s="1"/>
      <c r="B2" s="1"/>
      <c r="C2" s="1"/>
      <c r="D2" s="1"/>
      <c r="E2" s="1"/>
      <c r="F2" s="1"/>
      <c r="G2" s="1"/>
      <c r="H2" s="1"/>
      <c r="I2" s="1"/>
      <c r="J2" s="1"/>
      <c r="K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3"/>
      <c r="F4" s="1"/>
      <c r="G4" s="1"/>
      <c r="H4" s="1"/>
      <c r="I4" s="1"/>
      <c r="J4" s="1"/>
      <c r="K4" s="1"/>
      <c r="M4" s="1"/>
      <c r="N4" s="1"/>
      <c r="O4" s="1"/>
      <c r="P4" s="1"/>
      <c r="Q4" s="1"/>
      <c r="R4" s="1"/>
      <c r="S4" s="1"/>
      <c r="T4" s="1"/>
      <c r="U4" s="1"/>
      <c r="V4" s="1"/>
      <c r="W4" s="1"/>
      <c r="X4" s="1"/>
      <c r="Y4" s="1"/>
      <c r="Z4" s="1"/>
    </row>
    <row r="5">
      <c r="A5" s="1"/>
      <c r="B5" s="1"/>
      <c r="C5" s="1"/>
      <c r="D5" s="1"/>
      <c r="E5" s="1"/>
      <c r="F5" s="1"/>
      <c r="G5" s="1"/>
      <c r="H5" s="1"/>
      <c r="I5" s="1"/>
      <c r="J5" s="1"/>
      <c r="K5" s="1"/>
      <c r="M5" s="1"/>
      <c r="N5" s="1"/>
      <c r="O5" s="1"/>
      <c r="P5" s="1"/>
      <c r="Q5" s="1"/>
      <c r="R5" s="1"/>
      <c r="S5" s="1"/>
      <c r="T5" s="1"/>
      <c r="U5" s="1"/>
      <c r="V5" s="1"/>
      <c r="W5" s="1"/>
      <c r="X5" s="1"/>
      <c r="Y5" s="1"/>
      <c r="Z5" s="1"/>
    </row>
    <row r="6">
      <c r="A6" s="1"/>
      <c r="B6" s="1"/>
      <c r="C6" s="1"/>
      <c r="D6" s="1"/>
      <c r="E6" s="3"/>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4" t="s">
        <v>2</v>
      </c>
      <c r="M8" s="1"/>
      <c r="N8" s="1"/>
      <c r="O8" s="1"/>
      <c r="P8" s="1"/>
      <c r="Q8" s="1"/>
      <c r="R8" s="1"/>
      <c r="S8" s="1"/>
      <c r="T8" s="1"/>
      <c r="U8" s="1"/>
      <c r="V8" s="1"/>
      <c r="W8" s="1"/>
      <c r="X8" s="1"/>
      <c r="Y8" s="1"/>
      <c r="Z8" s="1"/>
    </row>
    <row r="9">
      <c r="A9" s="1"/>
      <c r="B9" s="1"/>
      <c r="C9" s="1"/>
      <c r="D9" s="1"/>
      <c r="E9" s="1"/>
      <c r="F9" s="1"/>
      <c r="G9" s="1"/>
      <c r="H9" s="1"/>
      <c r="I9" s="1"/>
      <c r="J9" s="1"/>
      <c r="K9" s="1"/>
      <c r="L9" s="5" t="s">
        <v>3</v>
      </c>
      <c r="M9" s="1"/>
      <c r="N9" s="1"/>
      <c r="O9" s="1"/>
      <c r="P9" s="1"/>
      <c r="Q9" s="1"/>
      <c r="R9" s="1"/>
      <c r="S9" s="1"/>
      <c r="T9" s="1"/>
      <c r="U9" s="1"/>
      <c r="V9" s="1"/>
      <c r="W9" s="1"/>
      <c r="X9" s="1"/>
      <c r="Y9" s="1"/>
      <c r="Z9" s="1"/>
    </row>
    <row r="10">
      <c r="A10" s="1"/>
      <c r="B10" s="1"/>
      <c r="C10" s="1"/>
      <c r="D10" s="1"/>
      <c r="E10" s="1"/>
      <c r="F10" s="1"/>
      <c r="G10" s="1"/>
      <c r="H10" s="1"/>
      <c r="I10" s="1"/>
      <c r="J10" s="1"/>
      <c r="K10" s="1"/>
      <c r="L10" s="6"/>
      <c r="M10" s="1"/>
      <c r="N10" s="1"/>
      <c r="O10" s="1"/>
      <c r="P10" s="1"/>
      <c r="Q10" s="1"/>
      <c r="R10" s="1"/>
      <c r="S10" s="1"/>
      <c r="T10" s="1"/>
      <c r="U10" s="1"/>
      <c r="V10" s="1"/>
      <c r="W10" s="1"/>
      <c r="X10" s="1"/>
      <c r="Y10" s="1"/>
      <c r="Z10" s="1"/>
    </row>
    <row r="11">
      <c r="A11" s="1"/>
      <c r="B11" s="1"/>
      <c r="C11" s="1"/>
      <c r="D11" s="1"/>
      <c r="E11" s="1"/>
      <c r="F11" s="1"/>
      <c r="G11" s="1"/>
      <c r="H11" s="1"/>
      <c r="I11" s="1"/>
      <c r="J11" s="1"/>
      <c r="K11" s="1"/>
      <c r="L11" s="5" t="s">
        <v>4</v>
      </c>
      <c r="M11" s="1"/>
      <c r="N11" s="1"/>
      <c r="O11" s="1"/>
      <c r="P11" s="1"/>
      <c r="Q11" s="1"/>
      <c r="R11" s="1"/>
      <c r="S11" s="1"/>
      <c r="T11" s="1"/>
      <c r="U11" s="1"/>
      <c r="V11" s="1"/>
      <c r="W11" s="1"/>
      <c r="X11" s="1"/>
      <c r="Y11" s="1"/>
      <c r="Z11" s="1"/>
    </row>
    <row r="12">
      <c r="A12" s="1"/>
      <c r="B12" s="1"/>
      <c r="C12" s="1"/>
      <c r="D12" s="1"/>
      <c r="E12" s="1"/>
      <c r="F12" s="1"/>
      <c r="G12" s="1"/>
      <c r="H12" s="1"/>
      <c r="I12" s="1"/>
      <c r="J12" s="1"/>
      <c r="K12" s="1"/>
      <c r="L12" s="6"/>
      <c r="M12" s="1"/>
      <c r="N12" s="1"/>
      <c r="O12" s="1"/>
      <c r="P12" s="1"/>
      <c r="Q12" s="1"/>
      <c r="R12" s="1"/>
      <c r="S12" s="1"/>
      <c r="T12" s="1"/>
      <c r="U12" s="1"/>
      <c r="V12" s="1"/>
      <c r="W12" s="1"/>
      <c r="X12" s="1"/>
      <c r="Y12" s="1"/>
      <c r="Z12" s="1"/>
    </row>
    <row r="13">
      <c r="A13" s="1"/>
      <c r="B13" s="1"/>
      <c r="C13" s="1"/>
      <c r="D13" s="1"/>
      <c r="E13" s="1"/>
      <c r="F13" s="1"/>
      <c r="G13" s="1"/>
      <c r="H13" s="1"/>
      <c r="I13" s="1"/>
      <c r="J13" s="1"/>
      <c r="K13" s="1"/>
      <c r="L13" s="5" t="s">
        <v>5</v>
      </c>
      <c r="M13" s="1"/>
      <c r="N13" s="1"/>
      <c r="O13" s="1"/>
      <c r="P13" s="1"/>
      <c r="Q13" s="1"/>
      <c r="R13" s="1"/>
      <c r="S13" s="1"/>
      <c r="T13" s="1"/>
      <c r="U13" s="1"/>
      <c r="V13" s="1"/>
      <c r="W13" s="1"/>
      <c r="X13" s="1"/>
      <c r="Y13" s="1"/>
      <c r="Z13" s="1"/>
    </row>
    <row r="14">
      <c r="A14" s="1"/>
      <c r="B14" s="1"/>
      <c r="C14" s="1"/>
      <c r="D14" s="1"/>
      <c r="E14" s="1"/>
      <c r="F14" s="1"/>
      <c r="G14" s="1"/>
      <c r="H14" s="1"/>
      <c r="I14" s="1"/>
      <c r="J14" s="1"/>
      <c r="K14" s="1"/>
      <c r="L14" s="6" t="s">
        <v>6</v>
      </c>
      <c r="M14" s="1"/>
      <c r="N14" s="1"/>
      <c r="O14" s="1"/>
      <c r="P14" s="1"/>
      <c r="Q14" s="1"/>
      <c r="R14" s="1"/>
      <c r="S14" s="1"/>
      <c r="T14" s="1"/>
      <c r="U14" s="1"/>
      <c r="V14" s="1"/>
      <c r="W14" s="1"/>
      <c r="X14" s="1"/>
      <c r="Y14" s="1"/>
      <c r="Z14" s="1"/>
    </row>
    <row r="15">
      <c r="A15" s="1"/>
      <c r="B15" s="1"/>
      <c r="C15" s="1"/>
      <c r="D15" s="1"/>
      <c r="E15" s="1"/>
      <c r="F15" s="1"/>
      <c r="G15" s="1"/>
      <c r="H15" s="1"/>
      <c r="I15" s="1"/>
      <c r="J15" s="1"/>
      <c r="K15" s="1"/>
      <c r="L15" s="5" t="s">
        <v>7</v>
      </c>
      <c r="M15" s="1"/>
      <c r="N15" s="1"/>
      <c r="O15" s="1"/>
      <c r="P15" s="1"/>
      <c r="Q15" s="1"/>
      <c r="R15" s="1"/>
      <c r="S15" s="1"/>
      <c r="T15" s="1"/>
      <c r="U15" s="1"/>
      <c r="V15" s="1"/>
      <c r="W15" s="1"/>
      <c r="X15" s="1"/>
      <c r="Y15" s="1"/>
      <c r="Z15" s="1"/>
    </row>
    <row r="16">
      <c r="A16" s="1"/>
      <c r="B16" s="1"/>
      <c r="C16" s="1"/>
      <c r="D16" s="1"/>
      <c r="E16" s="1"/>
      <c r="F16" s="1"/>
      <c r="G16" s="1"/>
      <c r="H16" s="1"/>
      <c r="I16" s="1"/>
      <c r="J16" s="1"/>
      <c r="K16" s="1"/>
      <c r="L16" s="6" t="s">
        <v>6</v>
      </c>
      <c r="M16" s="1"/>
      <c r="N16" s="1"/>
      <c r="O16" s="1"/>
      <c r="P16" s="1"/>
      <c r="Q16" s="1"/>
      <c r="R16" s="1"/>
      <c r="S16" s="1"/>
      <c r="T16" s="1"/>
      <c r="U16" s="1"/>
      <c r="V16" s="1"/>
      <c r="W16" s="1"/>
      <c r="X16" s="1"/>
      <c r="Y16" s="1"/>
      <c r="Z16" s="1"/>
    </row>
    <row r="17">
      <c r="A17" s="1"/>
      <c r="B17" s="1"/>
      <c r="C17" s="1"/>
      <c r="D17" s="1"/>
      <c r="E17" s="1"/>
      <c r="F17" s="1"/>
      <c r="G17" s="1"/>
      <c r="H17" s="1"/>
      <c r="I17" s="1"/>
      <c r="J17" s="1"/>
      <c r="K17" s="1"/>
      <c r="L17" s="5" t="s">
        <v>8</v>
      </c>
      <c r="M17" s="1"/>
      <c r="N17" s="1"/>
      <c r="O17" s="1"/>
      <c r="P17" s="1"/>
      <c r="Q17" s="1"/>
      <c r="R17" s="1"/>
      <c r="S17" s="1"/>
      <c r="T17" s="1"/>
      <c r="U17" s="1"/>
      <c r="V17" s="1"/>
      <c r="W17" s="1"/>
      <c r="X17" s="1"/>
      <c r="Y17" s="1"/>
      <c r="Z17" s="1"/>
    </row>
    <row r="18">
      <c r="A18" s="1"/>
      <c r="B18" s="1"/>
      <c r="C18" s="1"/>
      <c r="D18" s="1"/>
      <c r="E18" s="1"/>
      <c r="F18" s="1"/>
      <c r="G18" s="1"/>
      <c r="H18" s="1"/>
      <c r="I18" s="1"/>
      <c r="J18" s="1"/>
      <c r="K18" s="1"/>
      <c r="L18" s="6" t="s">
        <v>6</v>
      </c>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dataValidation type="list" allowBlank="1" sqref="L18">
      <formula1>Filters!$E$2:$E$5</formula1>
    </dataValidation>
    <dataValidation type="list" allowBlank="1" sqref="L14">
      <formula1>Filters!$A$2:$A$7</formula1>
    </dataValidation>
    <dataValidation type="list" allowBlank="1" sqref="L16">
      <formula1>Filters!$C$2:$C$4</formula1>
    </dataValidation>
  </dataValidations>
  <drawing r:id="rId4"/>
  <legacy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5.13"/>
  </cols>
  <sheetData>
    <row r="1">
      <c r="A1" s="8" t="str">
        <f>IFERROR(__xludf.DUMMYFUNCTION("query(Data!A1:K2208,""SELECT A, B, C, D, E, F, G, H, I, J, K WHERE G=1 AND F&gt;=4"",1)"),"Operation_id")</f>
        <v>Operation_id</v>
      </c>
      <c r="B1" s="8" t="str">
        <f>IFERROR(__xludf.DUMMYFUNCTION("""COMPUTED_VALUE"""),"Clothing_ID")</f>
        <v>Clothing_ID</v>
      </c>
      <c r="C1" s="8" t="str">
        <f>IFERROR(__xludf.DUMMYFUNCTION("""COMPUTED_VALUE"""),"Age")</f>
        <v>Age</v>
      </c>
      <c r="D1" s="8" t="str">
        <f>IFERROR(__xludf.DUMMYFUNCTION("""COMPUTED_VALUE"""),"Title")</f>
        <v>Title</v>
      </c>
      <c r="E1" s="8" t="str">
        <f>IFERROR(__xludf.DUMMYFUNCTION("""COMPUTED_VALUE"""),"Review_Text")</f>
        <v>Review_Text</v>
      </c>
      <c r="F1" s="8" t="str">
        <f>IFERROR(__xludf.DUMMYFUNCTION("""COMPUTED_VALUE"""),"Rating")</f>
        <v>Rating</v>
      </c>
      <c r="G1" s="8" t="str">
        <f>IFERROR(__xludf.DUMMYFUNCTION("""COMPUTED_VALUE"""),"Recommended_IND")</f>
        <v>Recommended_IND</v>
      </c>
      <c r="H1" s="8" t="str">
        <f>IFERROR(__xludf.DUMMYFUNCTION("""COMPUTED_VALUE"""),"Positive_Feedback_Count")</f>
        <v>Positive_Feedback_Count</v>
      </c>
      <c r="I1" s="8" t="str">
        <f>IFERROR(__xludf.DUMMYFUNCTION("""COMPUTED_VALUE"""),"Division_Name")</f>
        <v>Division_Name</v>
      </c>
      <c r="J1" s="8" t="str">
        <f>IFERROR(__xludf.DUMMYFUNCTION("""COMPUTED_VALUE"""),"Department_Name")</f>
        <v>Department_Name</v>
      </c>
      <c r="K1" s="8" t="str">
        <f>IFERROR(__xludf.DUMMYFUNCTION("""COMPUTED_VALUE"""),"Class_Name")</f>
        <v>Class_Name</v>
      </c>
    </row>
    <row r="2">
      <c r="A2" s="8">
        <f>IFERROR(__xludf.DUMMYFUNCTION("""COMPUTED_VALUE"""),0.0)</f>
        <v>0</v>
      </c>
      <c r="B2" s="8">
        <f>IFERROR(__xludf.DUMMYFUNCTION("""COMPUTED_VALUE"""),767.0)</f>
        <v>767</v>
      </c>
      <c r="C2" s="8">
        <f>IFERROR(__xludf.DUMMYFUNCTION("""COMPUTED_VALUE"""),33.0)</f>
        <v>33</v>
      </c>
      <c r="D2" s="8"/>
      <c r="E2" s="8" t="str">
        <f>IFERROR(__xludf.DUMMYFUNCTION("""COMPUTED_VALUE"""),"Absolutely wonderful - silky and sexy and comfortable")</f>
        <v>Absolutely wonderful - silky and sexy and comfortable</v>
      </c>
      <c r="F2" s="8">
        <f>IFERROR(__xludf.DUMMYFUNCTION("""COMPUTED_VALUE"""),4.0)</f>
        <v>4</v>
      </c>
      <c r="G2" s="8">
        <f>IFERROR(__xludf.DUMMYFUNCTION("""COMPUTED_VALUE"""),1.0)</f>
        <v>1</v>
      </c>
      <c r="H2" s="8">
        <f>IFERROR(__xludf.DUMMYFUNCTION("""COMPUTED_VALUE"""),0.0)</f>
        <v>0</v>
      </c>
      <c r="I2" s="8" t="str">
        <f>IFERROR(__xludf.DUMMYFUNCTION("""COMPUTED_VALUE"""),"Initmates")</f>
        <v>Initmates</v>
      </c>
      <c r="J2" s="8" t="str">
        <f>IFERROR(__xludf.DUMMYFUNCTION("""COMPUTED_VALUE"""),"Intimate")</f>
        <v>Intimate</v>
      </c>
      <c r="K2" s="8" t="str">
        <f>IFERROR(__xludf.DUMMYFUNCTION("""COMPUTED_VALUE"""),"Intimates")</f>
        <v>Intimates</v>
      </c>
    </row>
    <row r="3">
      <c r="A3" s="8">
        <f>IFERROR(__xludf.DUMMYFUNCTION("""COMPUTED_VALUE"""),1.0)</f>
        <v>1</v>
      </c>
      <c r="B3" s="8">
        <f>IFERROR(__xludf.DUMMYFUNCTION("""COMPUTED_VALUE"""),1080.0)</f>
        <v>1080</v>
      </c>
      <c r="C3" s="8">
        <f>IFERROR(__xludf.DUMMYFUNCTION("""COMPUTED_VALUE"""),34.0)</f>
        <v>34</v>
      </c>
      <c r="D3" s="8"/>
      <c r="E3" s="8" t="str">
        <f>IFERROR(__xludf.DUMMYFUNCTION("""COMPUTED_VALUE"""),"Love this dress!  it's sooo pretty.  i happened to find it in a store, and i'm glad i did bc i never would have ordered it online bc it's petite.  i bought a petite and am 5'8"".  i love the length on me- hits just a little below the knee.  would definite"&amp;"ly be a true midi on someone who is truly petite.")</f>
        <v>Love this dress!  it's sooo pretty.  i happened to find it in a store, and i'm glad i did bc i never would have ordered it online bc it's petite.  i bought a petite and am 5'8".  i love the length on me- hits just a little below the knee.  would definitely be a true midi on someone who is truly petite.</v>
      </c>
      <c r="F3" s="8">
        <f>IFERROR(__xludf.DUMMYFUNCTION("""COMPUTED_VALUE"""),5.0)</f>
        <v>5</v>
      </c>
      <c r="G3" s="8">
        <f>IFERROR(__xludf.DUMMYFUNCTION("""COMPUTED_VALUE"""),1.0)</f>
        <v>1</v>
      </c>
      <c r="H3" s="8">
        <f>IFERROR(__xludf.DUMMYFUNCTION("""COMPUTED_VALUE"""),4.0)</f>
        <v>4</v>
      </c>
      <c r="I3" s="8" t="str">
        <f>IFERROR(__xludf.DUMMYFUNCTION("""COMPUTED_VALUE"""),"General")</f>
        <v>General</v>
      </c>
      <c r="J3" s="8" t="str">
        <f>IFERROR(__xludf.DUMMYFUNCTION("""COMPUTED_VALUE"""),"Dresses")</f>
        <v>Dresses</v>
      </c>
      <c r="K3" s="8" t="str">
        <f>IFERROR(__xludf.DUMMYFUNCTION("""COMPUTED_VALUE"""),"Dresses")</f>
        <v>Dresses</v>
      </c>
    </row>
    <row r="4">
      <c r="A4" s="8">
        <f>IFERROR(__xludf.DUMMYFUNCTION("""COMPUTED_VALUE"""),3.0)</f>
        <v>3</v>
      </c>
      <c r="B4" s="8">
        <f>IFERROR(__xludf.DUMMYFUNCTION("""COMPUTED_VALUE"""),1049.0)</f>
        <v>1049</v>
      </c>
      <c r="C4" s="8">
        <f>IFERROR(__xludf.DUMMYFUNCTION("""COMPUTED_VALUE"""),50.0)</f>
        <v>50</v>
      </c>
      <c r="D4" s="8" t="str">
        <f>IFERROR(__xludf.DUMMYFUNCTION("""COMPUTED_VALUE"""),"My favorite buy!")</f>
        <v>My favorite buy!</v>
      </c>
      <c r="E4" s="8" t="str">
        <f>IFERROR(__xludf.DUMMYFUNCTION("""COMPUTED_VALUE"""),"I love, love, love this jumpsuit. it's fun, flirty, and fabulous! every time i wear it, i get nothing but great compliments!")</f>
        <v>I love, love, love this jumpsuit. it's fun, flirty, and fabulous! every time i wear it, i get nothing but great compliments!</v>
      </c>
      <c r="F4" s="8">
        <f>IFERROR(__xludf.DUMMYFUNCTION("""COMPUTED_VALUE"""),5.0)</f>
        <v>5</v>
      </c>
      <c r="G4" s="8">
        <f>IFERROR(__xludf.DUMMYFUNCTION("""COMPUTED_VALUE"""),1.0)</f>
        <v>1</v>
      </c>
      <c r="H4" s="8">
        <f>IFERROR(__xludf.DUMMYFUNCTION("""COMPUTED_VALUE"""),0.0)</f>
        <v>0</v>
      </c>
      <c r="I4" s="8" t="str">
        <f>IFERROR(__xludf.DUMMYFUNCTION("""COMPUTED_VALUE"""),"General Petite")</f>
        <v>General Petite</v>
      </c>
      <c r="J4" s="8" t="str">
        <f>IFERROR(__xludf.DUMMYFUNCTION("""COMPUTED_VALUE"""),"Bottoms")</f>
        <v>Bottoms</v>
      </c>
      <c r="K4" s="8" t="str">
        <f>IFERROR(__xludf.DUMMYFUNCTION("""COMPUTED_VALUE"""),"Pants")</f>
        <v>Pants</v>
      </c>
    </row>
    <row r="5">
      <c r="A5" s="8">
        <f>IFERROR(__xludf.DUMMYFUNCTION("""COMPUTED_VALUE"""),4.0)</f>
        <v>4</v>
      </c>
      <c r="B5" s="8">
        <f>IFERROR(__xludf.DUMMYFUNCTION("""COMPUTED_VALUE"""),847.0)</f>
        <v>847</v>
      </c>
      <c r="C5" s="8">
        <f>IFERROR(__xludf.DUMMYFUNCTION("""COMPUTED_VALUE"""),47.0)</f>
        <v>47</v>
      </c>
      <c r="D5" s="8" t="str">
        <f>IFERROR(__xludf.DUMMYFUNCTION("""COMPUTED_VALUE"""),"Flattering shirt")</f>
        <v>Flattering shirt</v>
      </c>
      <c r="E5" s="8" t="str">
        <f>IFERROR(__xludf.DUMMYFUNCTION("""COMPUTED_VALUE"""),"This shirt is very flattering to all due to the adjustable front tie. it is the perfect length to wear with leggings and it is sleeveless so it pairs well with any cardigan. love this shirt!!!")</f>
        <v>This shirt is very flattering to all due to the adjustable front tie. it is the perfect length to wear with leggings and it is sleeveless so it pairs well with any cardigan. love this shirt!!!</v>
      </c>
      <c r="F5" s="8">
        <f>IFERROR(__xludf.DUMMYFUNCTION("""COMPUTED_VALUE"""),5.0)</f>
        <v>5</v>
      </c>
      <c r="G5" s="8">
        <f>IFERROR(__xludf.DUMMYFUNCTION("""COMPUTED_VALUE"""),1.0)</f>
        <v>1</v>
      </c>
      <c r="H5" s="8">
        <f>IFERROR(__xludf.DUMMYFUNCTION("""COMPUTED_VALUE"""),6.0)</f>
        <v>6</v>
      </c>
      <c r="I5" s="8" t="str">
        <f>IFERROR(__xludf.DUMMYFUNCTION("""COMPUTED_VALUE"""),"General")</f>
        <v>General</v>
      </c>
      <c r="J5" s="8" t="str">
        <f>IFERROR(__xludf.DUMMYFUNCTION("""COMPUTED_VALUE"""),"Tops")</f>
        <v>Tops</v>
      </c>
      <c r="K5" s="8" t="str">
        <f>IFERROR(__xludf.DUMMYFUNCTION("""COMPUTED_VALUE"""),"Blouses")</f>
        <v>Blouses</v>
      </c>
    </row>
    <row r="6">
      <c r="A6" s="8">
        <f>IFERROR(__xludf.DUMMYFUNCTION("""COMPUTED_VALUE"""),6.0)</f>
        <v>6</v>
      </c>
      <c r="B6" s="8">
        <f>IFERROR(__xludf.DUMMYFUNCTION("""COMPUTED_VALUE"""),858.0)</f>
        <v>858</v>
      </c>
      <c r="C6" s="8">
        <f>IFERROR(__xludf.DUMMYFUNCTION("""COMPUTED_VALUE"""),39.0)</f>
        <v>39</v>
      </c>
      <c r="D6" s="8" t="str">
        <f>IFERROR(__xludf.DUMMYFUNCTION("""COMPUTED_VALUE"""),"Cagrcoal shimmer fun")</f>
        <v>Cagrcoal shimmer fun</v>
      </c>
      <c r="E6" s="8" t="str">
        <f>IFERROR(__xludf.DUMMYFUNCTION("""COMPUTED_VALUE"""),"I aded this in my basket at hte last mintue to see what it would look like in person. (store pick up). i went with teh darkler color only because i am so pale :-) hte color is really gorgeous, and turns out it mathced everythiing i was trying on with it p"&amp;"refectly. it is a little baggy on me and hte xs is hte msallet size (bummer, no petite). i decided to jkeep it though, because as i said, it matvehd everything. my ejans, pants, and the 3 skirts i waas trying on (of which i ]kept all ) oops.")</f>
        <v>I aded this in my basket at hte last mintue to see what it would look like in person. (store pick up). i went with teh darkler color only because i am so pale :-) hte color is really gorgeous, and turns out it mathced everythiing i was trying on with it prefectly. it is a little baggy on me and hte xs is hte msallet size (bummer, no petite). i decided to jkeep it though, because as i said, it matvehd everything. my ejans, pants, and the 3 skirts i waas trying on (of which i ]kept all ) oops.</v>
      </c>
      <c r="F6" s="8">
        <f>IFERROR(__xludf.DUMMYFUNCTION("""COMPUTED_VALUE"""),5.0)</f>
        <v>5</v>
      </c>
      <c r="G6" s="8">
        <f>IFERROR(__xludf.DUMMYFUNCTION("""COMPUTED_VALUE"""),1.0)</f>
        <v>1</v>
      </c>
      <c r="H6" s="8">
        <f>IFERROR(__xludf.DUMMYFUNCTION("""COMPUTED_VALUE"""),1.0)</f>
        <v>1</v>
      </c>
      <c r="I6" s="8" t="str">
        <f>IFERROR(__xludf.DUMMYFUNCTION("""COMPUTED_VALUE"""),"General Petite")</f>
        <v>General Petite</v>
      </c>
      <c r="J6" s="8" t="str">
        <f>IFERROR(__xludf.DUMMYFUNCTION("""COMPUTED_VALUE"""),"Tops")</f>
        <v>Tops</v>
      </c>
      <c r="K6" s="8" t="str">
        <f>IFERROR(__xludf.DUMMYFUNCTION("""COMPUTED_VALUE"""),"Knits")</f>
        <v>Knits</v>
      </c>
    </row>
    <row r="7">
      <c r="A7" s="8">
        <f>IFERROR(__xludf.DUMMYFUNCTION("""COMPUTED_VALUE"""),7.0)</f>
        <v>7</v>
      </c>
      <c r="B7" s="8">
        <f>IFERROR(__xludf.DUMMYFUNCTION("""COMPUTED_VALUE"""),858.0)</f>
        <v>858</v>
      </c>
      <c r="C7" s="8">
        <f>IFERROR(__xludf.DUMMYFUNCTION("""COMPUTED_VALUE"""),39.0)</f>
        <v>39</v>
      </c>
      <c r="D7" s="8" t="str">
        <f>IFERROR(__xludf.DUMMYFUNCTION("""COMPUTED_VALUE"""),"Shimmer, surprisingly goes with lots")</f>
        <v>Shimmer, surprisingly goes with lots</v>
      </c>
      <c r="E7" s="8" t="str">
        <f>IFERROR(__xludf.DUMMYFUNCTION("""COMPUTED_VALUE"""),"I ordered this in carbon for store pick up, and had a ton of stuff (as always) to try on and used this top to pair (skirts and pants). everything went with it. the color is really nice charcoal with shimmer, and went well with pencil skirts, flare pants, "&amp;"etc. my only compaint is it is a bit big, sleeves are long and it doesn't go in petite. also a bit loose for me, but no xxs... so i kept it and wil ldecide later since the light color is already sold out in hte smallest size...")</f>
        <v>I ordered this in carbon for store pick up, and had a ton of stuff (as always) to try on and used this top to pair (skirts and pants). everything went with it. the color is really nice charcoal with shimmer, and went well with pencil skirts, flare pants, etc. my only compaint is it is a bit big, sleeves are long and it doesn't go in petite. also a bit loose for me, but no xxs... so i kept it and wil ldecide later since the light color is already sold out in hte smallest size...</v>
      </c>
      <c r="F7" s="8">
        <f>IFERROR(__xludf.DUMMYFUNCTION("""COMPUTED_VALUE"""),4.0)</f>
        <v>4</v>
      </c>
      <c r="G7" s="8">
        <f>IFERROR(__xludf.DUMMYFUNCTION("""COMPUTED_VALUE"""),1.0)</f>
        <v>1</v>
      </c>
      <c r="H7" s="8">
        <f>IFERROR(__xludf.DUMMYFUNCTION("""COMPUTED_VALUE"""),4.0)</f>
        <v>4</v>
      </c>
      <c r="I7" s="8" t="str">
        <f>IFERROR(__xludf.DUMMYFUNCTION("""COMPUTED_VALUE"""),"General Petite")</f>
        <v>General Petite</v>
      </c>
      <c r="J7" s="8" t="str">
        <f>IFERROR(__xludf.DUMMYFUNCTION("""COMPUTED_VALUE"""),"Tops")</f>
        <v>Tops</v>
      </c>
      <c r="K7" s="8" t="str">
        <f>IFERROR(__xludf.DUMMYFUNCTION("""COMPUTED_VALUE"""),"Knits")</f>
        <v>Knits</v>
      </c>
    </row>
    <row r="8">
      <c r="A8" s="8">
        <f>IFERROR(__xludf.DUMMYFUNCTION("""COMPUTED_VALUE"""),8.0)</f>
        <v>8</v>
      </c>
      <c r="B8" s="8">
        <f>IFERROR(__xludf.DUMMYFUNCTION("""COMPUTED_VALUE"""),1077.0)</f>
        <v>1077</v>
      </c>
      <c r="C8" s="8">
        <f>IFERROR(__xludf.DUMMYFUNCTION("""COMPUTED_VALUE"""),24.0)</f>
        <v>24</v>
      </c>
      <c r="D8" s="8" t="str">
        <f>IFERROR(__xludf.DUMMYFUNCTION("""COMPUTED_VALUE"""),"Flattering")</f>
        <v>Flattering</v>
      </c>
      <c r="E8" s="8" t="str">
        <f>IFERROR(__xludf.DUMMYFUNCTION("""COMPUTED_VALUE"""),"I love this dress. i usually get an xs but it runs a little snug in bust so i ordered up a size. very flattering and feminine with the usual retailer flair for style.")</f>
        <v>I love this dress. i usually get an xs but it runs a little snug in bust so i ordered up a size. very flattering and feminine with the usual retailer flair for style.</v>
      </c>
      <c r="F8" s="8">
        <f>IFERROR(__xludf.DUMMYFUNCTION("""COMPUTED_VALUE"""),5.0)</f>
        <v>5</v>
      </c>
      <c r="G8" s="8">
        <f>IFERROR(__xludf.DUMMYFUNCTION("""COMPUTED_VALUE"""),1.0)</f>
        <v>1</v>
      </c>
      <c r="H8" s="8">
        <f>IFERROR(__xludf.DUMMYFUNCTION("""COMPUTED_VALUE"""),0.0)</f>
        <v>0</v>
      </c>
      <c r="I8" s="8" t="str">
        <f>IFERROR(__xludf.DUMMYFUNCTION("""COMPUTED_VALUE"""),"General")</f>
        <v>General</v>
      </c>
      <c r="J8" s="8" t="str">
        <f>IFERROR(__xludf.DUMMYFUNCTION("""COMPUTED_VALUE"""),"Dresses")</f>
        <v>Dresses</v>
      </c>
      <c r="K8" s="8" t="str">
        <f>IFERROR(__xludf.DUMMYFUNCTION("""COMPUTED_VALUE"""),"Dresses")</f>
        <v>Dresses</v>
      </c>
    </row>
    <row r="9">
      <c r="A9" s="8">
        <f>IFERROR(__xludf.DUMMYFUNCTION("""COMPUTED_VALUE"""),9.0)</f>
        <v>9</v>
      </c>
      <c r="B9" s="8">
        <f>IFERROR(__xludf.DUMMYFUNCTION("""COMPUTED_VALUE"""),1077.0)</f>
        <v>1077</v>
      </c>
      <c r="C9" s="8">
        <f>IFERROR(__xludf.DUMMYFUNCTION("""COMPUTED_VALUE"""),34.0)</f>
        <v>34</v>
      </c>
      <c r="D9" s="8" t="str">
        <f>IFERROR(__xludf.DUMMYFUNCTION("""COMPUTED_VALUE"""),"Such a fun dress!")</f>
        <v>Such a fun dress!</v>
      </c>
      <c r="E9" s="8" t="str">
        <f>IFERROR(__xludf.DUMMYFUNCTION("""COMPUTED_VALUE"""),"I'm 5""5' and 125 lbs. i ordered the s petite to make sure the length wasn't too long. i typically wear an xs regular in retailer dresses. if you're less busty (34b cup or smaller), a s petite will fit you perfectly (snug, but not tight). i love that i co"&amp;"uld dress it up for a party, or down for work. i love that the tulle is longer then the fabric underneath.")</f>
        <v>I'm 5"5' and 125 lbs. i ordered the s petite to make sure the length wasn't too long. i typically wear an xs regular in retailer dresses. if you're less busty (34b cup or smaller), a s petite will fit you perfectly (snug, but not tight). i love that i could dress it up for a party, or down for work. i love that the tulle is longer then the fabric underneath.</v>
      </c>
      <c r="F9" s="8">
        <f>IFERROR(__xludf.DUMMYFUNCTION("""COMPUTED_VALUE"""),5.0)</f>
        <v>5</v>
      </c>
      <c r="G9" s="8">
        <f>IFERROR(__xludf.DUMMYFUNCTION("""COMPUTED_VALUE"""),1.0)</f>
        <v>1</v>
      </c>
      <c r="H9" s="8">
        <f>IFERROR(__xludf.DUMMYFUNCTION("""COMPUTED_VALUE"""),0.0)</f>
        <v>0</v>
      </c>
      <c r="I9" s="8" t="str">
        <f>IFERROR(__xludf.DUMMYFUNCTION("""COMPUTED_VALUE"""),"General")</f>
        <v>General</v>
      </c>
      <c r="J9" s="8" t="str">
        <f>IFERROR(__xludf.DUMMYFUNCTION("""COMPUTED_VALUE"""),"Dresses")</f>
        <v>Dresses</v>
      </c>
      <c r="K9" s="8" t="str">
        <f>IFERROR(__xludf.DUMMYFUNCTION("""COMPUTED_VALUE"""),"Dresses")</f>
        <v>Dresses</v>
      </c>
    </row>
    <row r="10">
      <c r="A10" s="8">
        <f>IFERROR(__xludf.DUMMYFUNCTION("""COMPUTED_VALUE"""),11.0)</f>
        <v>11</v>
      </c>
      <c r="B10" s="8">
        <f>IFERROR(__xludf.DUMMYFUNCTION("""COMPUTED_VALUE"""),1095.0)</f>
        <v>1095</v>
      </c>
      <c r="C10" s="8">
        <f>IFERROR(__xludf.DUMMYFUNCTION("""COMPUTED_VALUE"""),39.0)</f>
        <v>39</v>
      </c>
      <c r="D10" s="8"/>
      <c r="E10" s="8" t="str">
        <f>IFERROR(__xludf.DUMMYFUNCTION("""COMPUTED_VALUE"""),"This dress is perfection! so pretty and flattering.")</f>
        <v>This dress is perfection! so pretty and flattering.</v>
      </c>
      <c r="F10" s="8">
        <f>IFERROR(__xludf.DUMMYFUNCTION("""COMPUTED_VALUE"""),5.0)</f>
        <v>5</v>
      </c>
      <c r="G10" s="8">
        <f>IFERROR(__xludf.DUMMYFUNCTION("""COMPUTED_VALUE"""),1.0)</f>
        <v>1</v>
      </c>
      <c r="H10" s="8">
        <f>IFERROR(__xludf.DUMMYFUNCTION("""COMPUTED_VALUE"""),2.0)</f>
        <v>2</v>
      </c>
      <c r="I10" s="8" t="str">
        <f>IFERROR(__xludf.DUMMYFUNCTION("""COMPUTED_VALUE"""),"General Petite")</f>
        <v>General Petite</v>
      </c>
      <c r="J10" s="8" t="str">
        <f>IFERROR(__xludf.DUMMYFUNCTION("""COMPUTED_VALUE"""),"Dresses")</f>
        <v>Dresses</v>
      </c>
      <c r="K10" s="8" t="str">
        <f>IFERROR(__xludf.DUMMYFUNCTION("""COMPUTED_VALUE"""),"Dresses")</f>
        <v>Dresses</v>
      </c>
    </row>
    <row r="11">
      <c r="A11" s="8">
        <f>IFERROR(__xludf.DUMMYFUNCTION("""COMPUTED_VALUE"""),12.0)</f>
        <v>12</v>
      </c>
      <c r="B11" s="8">
        <f>IFERROR(__xludf.DUMMYFUNCTION("""COMPUTED_VALUE"""),1095.0)</f>
        <v>1095</v>
      </c>
      <c r="C11" s="8">
        <f>IFERROR(__xludf.DUMMYFUNCTION("""COMPUTED_VALUE"""),53.0)</f>
        <v>53</v>
      </c>
      <c r="D11" s="8" t="str">
        <f>IFERROR(__xludf.DUMMYFUNCTION("""COMPUTED_VALUE"""),"Perfect!!!")</f>
        <v>Perfect!!!</v>
      </c>
      <c r="E11" s="8" t="str">
        <f>IFERROR(__xludf.DUMMYFUNCTION("""COMPUTED_VALUE"""),"More and more i find myself reliant on the reviews written by savvy shoppers before me and for the most past, they are right on in their estimation of the product. in the case of this dress-if it had not been for the reveiws-i doubt i would have even trie"&amp;"d this. the dress is beautifully made, lined and reminiscent of the old retailer quality. it is lined in the solid periwinkle-colored fabric that matches the outer fabric print. tts and very form-fitting. falls just above the knee and does not rid")</f>
        <v>More and more i find myself reliant on the reviews written by savvy shoppers before me and for the most past, they are right on in their estimation of the product. in the case of this dress-if it had not been for the reveiws-i doubt i would have even tried this. the dress is beautifully made, lined and reminiscent of the old retailer quality. it is lined in the solid periwinkle-colored fabric that matches the outer fabric print. tts and very form-fitting. falls just above the knee and does not rid</v>
      </c>
      <c r="F11" s="8">
        <f>IFERROR(__xludf.DUMMYFUNCTION("""COMPUTED_VALUE"""),5.0)</f>
        <v>5</v>
      </c>
      <c r="G11" s="8">
        <f>IFERROR(__xludf.DUMMYFUNCTION("""COMPUTED_VALUE"""),1.0)</f>
        <v>1</v>
      </c>
      <c r="H11" s="8">
        <f>IFERROR(__xludf.DUMMYFUNCTION("""COMPUTED_VALUE"""),2.0)</f>
        <v>2</v>
      </c>
      <c r="I11" s="8" t="str">
        <f>IFERROR(__xludf.DUMMYFUNCTION("""COMPUTED_VALUE"""),"General Petite")</f>
        <v>General Petite</v>
      </c>
      <c r="J11" s="8" t="str">
        <f>IFERROR(__xludf.DUMMYFUNCTION("""COMPUTED_VALUE"""),"Dresses")</f>
        <v>Dresses</v>
      </c>
      <c r="K11" s="8" t="str">
        <f>IFERROR(__xludf.DUMMYFUNCTION("""COMPUTED_VALUE"""),"Dresses")</f>
        <v>Dresses</v>
      </c>
    </row>
    <row r="12">
      <c r="A12" s="8">
        <f>IFERROR(__xludf.DUMMYFUNCTION("""COMPUTED_VALUE"""),13.0)</f>
        <v>13</v>
      </c>
      <c r="B12" s="8">
        <f>IFERROR(__xludf.DUMMYFUNCTION("""COMPUTED_VALUE"""),767.0)</f>
        <v>767</v>
      </c>
      <c r="C12" s="8">
        <f>IFERROR(__xludf.DUMMYFUNCTION("""COMPUTED_VALUE"""),44.0)</f>
        <v>44</v>
      </c>
      <c r="D12" s="8" t="str">
        <f>IFERROR(__xludf.DUMMYFUNCTION("""COMPUTED_VALUE"""),"Runs big")</f>
        <v>Runs big</v>
      </c>
      <c r="E12" s="8" t="str">
        <f>IFERROR(__xludf.DUMMYFUNCTION("""COMPUTED_VALUE"""),"Bought the black xs to go under the larkspur midi dress because they didn't bother lining the skirt portion (grrrrrrrrrrr).
my stats are 34a-28/29-36 and the xs fit very smoothly around the chest and was flowy around my lower half, so i would say it's run"&amp;"ning big.
the straps are very pretty and it could easily be nightwear too.
i'm 5'6"" and it came to just below my knees.")</f>
        <v>Bought the black xs to go under the larkspur midi dress because they didn't bother lining the skirt portion (grrrrrrrrrrr).
my stats are 34a-28/29-36 and the xs fit very smoothly around the chest and was flowy around my lower half, so i would say it's running big.
the straps are very pretty and it could easily be nightwear too.
i'm 5'6" and it came to just below my knees.</v>
      </c>
      <c r="F12" s="8">
        <f>IFERROR(__xludf.DUMMYFUNCTION("""COMPUTED_VALUE"""),5.0)</f>
        <v>5</v>
      </c>
      <c r="G12" s="8">
        <f>IFERROR(__xludf.DUMMYFUNCTION("""COMPUTED_VALUE"""),1.0)</f>
        <v>1</v>
      </c>
      <c r="H12" s="8">
        <f>IFERROR(__xludf.DUMMYFUNCTION("""COMPUTED_VALUE"""),0.0)</f>
        <v>0</v>
      </c>
      <c r="I12" s="8" t="str">
        <f>IFERROR(__xludf.DUMMYFUNCTION("""COMPUTED_VALUE"""),"Initmates")</f>
        <v>Initmates</v>
      </c>
      <c r="J12" s="8" t="str">
        <f>IFERROR(__xludf.DUMMYFUNCTION("""COMPUTED_VALUE"""),"Intimate")</f>
        <v>Intimate</v>
      </c>
      <c r="K12" s="8" t="str">
        <f>IFERROR(__xludf.DUMMYFUNCTION("""COMPUTED_VALUE"""),"Intimates")</f>
        <v>Intimates</v>
      </c>
    </row>
    <row r="13">
      <c r="A13" s="8">
        <f>IFERROR(__xludf.DUMMYFUNCTION("""COMPUTED_VALUE"""),15.0)</f>
        <v>15</v>
      </c>
      <c r="B13" s="8">
        <f>IFERROR(__xludf.DUMMYFUNCTION("""COMPUTED_VALUE"""),1065.0)</f>
        <v>1065</v>
      </c>
      <c r="C13" s="8">
        <f>IFERROR(__xludf.DUMMYFUNCTION("""COMPUTED_VALUE"""),47.0)</f>
        <v>47</v>
      </c>
      <c r="D13" s="8" t="str">
        <f>IFERROR(__xludf.DUMMYFUNCTION("""COMPUTED_VALUE"""),"Nice, but not for my body")</f>
        <v>Nice, but not for my body</v>
      </c>
      <c r="E13" s="8" t="str">
        <f>IFERROR(__xludf.DUMMYFUNCTION("""COMPUTED_VALUE"""),"I took these out of the package and wanted them to fit so badly, but i could tell before i put them on that they wouldn't. these are for an hour-glass figure. i am more straight up and down. the waist was way too small for my body shape and even if i size"&amp;"d up, i could tell they would still be tight in the waist and too roomy in the hips - for me. that said, they are really nice. sturdy, linen-like fabric, pretty color, well made. i hope they make someone very happy!")</f>
        <v>I took these out of the package and wanted them to fit so badly, but i could tell before i put them on that they wouldn't. these are for an hour-glass figure. i am more straight up and down. the waist was way too small for my body shape and even if i sized up, i could tell they would still be tight in the waist and too roomy in the hips - for me. that said, they are really nice. sturdy, linen-like fabric, pretty color, well made. i hope they make someone very happy!</v>
      </c>
      <c r="F13" s="8">
        <f>IFERROR(__xludf.DUMMYFUNCTION("""COMPUTED_VALUE"""),4.0)</f>
        <v>4</v>
      </c>
      <c r="G13" s="8">
        <f>IFERROR(__xludf.DUMMYFUNCTION("""COMPUTED_VALUE"""),1.0)</f>
        <v>1</v>
      </c>
      <c r="H13" s="8">
        <f>IFERROR(__xludf.DUMMYFUNCTION("""COMPUTED_VALUE"""),3.0)</f>
        <v>3</v>
      </c>
      <c r="I13" s="8" t="str">
        <f>IFERROR(__xludf.DUMMYFUNCTION("""COMPUTED_VALUE"""),"General")</f>
        <v>General</v>
      </c>
      <c r="J13" s="8" t="str">
        <f>IFERROR(__xludf.DUMMYFUNCTION("""COMPUTED_VALUE"""),"Bottoms")</f>
        <v>Bottoms</v>
      </c>
      <c r="K13" s="8" t="str">
        <f>IFERROR(__xludf.DUMMYFUNCTION("""COMPUTED_VALUE"""),"Pants")</f>
        <v>Pants</v>
      </c>
    </row>
    <row r="14">
      <c r="A14" s="8">
        <f>IFERROR(__xludf.DUMMYFUNCTION("""COMPUTED_VALUE"""),17.0)</f>
        <v>17</v>
      </c>
      <c r="B14" s="8">
        <f>IFERROR(__xludf.DUMMYFUNCTION("""COMPUTED_VALUE"""),853.0)</f>
        <v>853</v>
      </c>
      <c r="C14" s="8">
        <f>IFERROR(__xludf.DUMMYFUNCTION("""COMPUTED_VALUE"""),41.0)</f>
        <v>41</v>
      </c>
      <c r="D14" s="8" t="str">
        <f>IFERROR(__xludf.DUMMYFUNCTION("""COMPUTED_VALUE"""),"Looks great with white pants")</f>
        <v>Looks great with white pants</v>
      </c>
      <c r="E14" s="8" t="str">
        <f>IFERROR(__xludf.DUMMYFUNCTION("""COMPUTED_VALUE"""),"Took a chance on this blouse and so glad i did. i wasn't crazy about how the blouse is photographed on the model. i paired it whit white pants and it worked perfectly. crisp and clean is how i would describe it. launders well. fits great. drape is perfect"&amp;". wear tucked in or out - can't go wrong.")</f>
        <v>Took a chance on this blouse and so glad i did. i wasn't crazy about how the blouse is photographed on the model. i paired it whit white pants and it worked perfectly. crisp and clean is how i would describe it. launders well. fits great. drape is perfect. wear tucked in or out - can't go wrong.</v>
      </c>
      <c r="F14" s="8">
        <f>IFERROR(__xludf.DUMMYFUNCTION("""COMPUTED_VALUE"""),5.0)</f>
        <v>5</v>
      </c>
      <c r="G14" s="8">
        <f>IFERROR(__xludf.DUMMYFUNCTION("""COMPUTED_VALUE"""),1.0)</f>
        <v>1</v>
      </c>
      <c r="H14" s="8">
        <f>IFERROR(__xludf.DUMMYFUNCTION("""COMPUTED_VALUE"""),0.0)</f>
        <v>0</v>
      </c>
      <c r="I14" s="8" t="str">
        <f>IFERROR(__xludf.DUMMYFUNCTION("""COMPUTED_VALUE"""),"General")</f>
        <v>General</v>
      </c>
      <c r="J14" s="8" t="str">
        <f>IFERROR(__xludf.DUMMYFUNCTION("""COMPUTED_VALUE"""),"Tops")</f>
        <v>Tops</v>
      </c>
      <c r="K14" s="8" t="str">
        <f>IFERROR(__xludf.DUMMYFUNCTION("""COMPUTED_VALUE"""),"Blouses")</f>
        <v>Blouses</v>
      </c>
    </row>
    <row r="15">
      <c r="A15" s="8">
        <f>IFERROR(__xludf.DUMMYFUNCTION("""COMPUTED_VALUE"""),18.0)</f>
        <v>18</v>
      </c>
      <c r="B15" s="8">
        <f>IFERROR(__xludf.DUMMYFUNCTION("""COMPUTED_VALUE"""),1120.0)</f>
        <v>1120</v>
      </c>
      <c r="C15" s="8">
        <f>IFERROR(__xludf.DUMMYFUNCTION("""COMPUTED_VALUE"""),32.0)</f>
        <v>32</v>
      </c>
      <c r="D15" s="8" t="str">
        <f>IFERROR(__xludf.DUMMYFUNCTION("""COMPUTED_VALUE"""),"Super cute and cozy")</f>
        <v>Super cute and cozy</v>
      </c>
      <c r="E15" s="8" t="str">
        <f>IFERROR(__xludf.DUMMYFUNCTION("""COMPUTED_VALUE"""),"A flattering, super cozy coat.  will work well for cold, dry days and will look good with jeans or a dressier outfit.  i am 5' 5'', about 135 and the small fits great.")</f>
        <v>A flattering, super cozy coat.  will work well for cold, dry days and will look good with jeans or a dressier outfit.  i am 5' 5'', about 135 and the small fits great.</v>
      </c>
      <c r="F15" s="8">
        <f>IFERROR(__xludf.DUMMYFUNCTION("""COMPUTED_VALUE"""),5.0)</f>
        <v>5</v>
      </c>
      <c r="G15" s="8">
        <f>IFERROR(__xludf.DUMMYFUNCTION("""COMPUTED_VALUE"""),1.0)</f>
        <v>1</v>
      </c>
      <c r="H15" s="8">
        <f>IFERROR(__xludf.DUMMYFUNCTION("""COMPUTED_VALUE"""),0.0)</f>
        <v>0</v>
      </c>
      <c r="I15" s="8" t="str">
        <f>IFERROR(__xludf.DUMMYFUNCTION("""COMPUTED_VALUE"""),"General")</f>
        <v>General</v>
      </c>
      <c r="J15" s="8" t="str">
        <f>IFERROR(__xludf.DUMMYFUNCTION("""COMPUTED_VALUE"""),"Jackets")</f>
        <v>Jackets</v>
      </c>
      <c r="K15" s="8" t="str">
        <f>IFERROR(__xludf.DUMMYFUNCTION("""COMPUTED_VALUE"""),"Outerwear")</f>
        <v>Outerwear</v>
      </c>
    </row>
    <row r="16">
      <c r="A16" s="8">
        <f>IFERROR(__xludf.DUMMYFUNCTION("""COMPUTED_VALUE"""),19.0)</f>
        <v>19</v>
      </c>
      <c r="B16" s="8">
        <f>IFERROR(__xludf.DUMMYFUNCTION("""COMPUTED_VALUE"""),1077.0)</f>
        <v>1077</v>
      </c>
      <c r="C16" s="8">
        <f>IFERROR(__xludf.DUMMYFUNCTION("""COMPUTED_VALUE"""),47.0)</f>
        <v>47</v>
      </c>
      <c r="D16" s="8" t="str">
        <f>IFERROR(__xludf.DUMMYFUNCTION("""COMPUTED_VALUE"""),"Stylish and comfortable")</f>
        <v>Stylish and comfortable</v>
      </c>
      <c r="E16" s="8" t="str">
        <f>IFERROR(__xludf.DUMMYFUNCTION("""COMPUTED_VALUE"""),"I love the look and feel of this tulle dress. i was looking for something different, but not over the top for new year's eve. i'm small chested and the top of this dress is form fitting for a flattering look. once i steamed the tulle, it was perfect! i or"&amp;"dered an xsp. length was perfect too.")</f>
        <v>I love the look and feel of this tulle dress. i was looking for something different, but not over the top for new year's eve. i'm small chested and the top of this dress is form fitting for a flattering look. once i steamed the tulle, it was perfect! i ordered an xsp. length was perfect too.</v>
      </c>
      <c r="F16" s="8">
        <f>IFERROR(__xludf.DUMMYFUNCTION("""COMPUTED_VALUE"""),5.0)</f>
        <v>5</v>
      </c>
      <c r="G16" s="8">
        <f>IFERROR(__xludf.DUMMYFUNCTION("""COMPUTED_VALUE"""),1.0)</f>
        <v>1</v>
      </c>
      <c r="H16" s="8">
        <f>IFERROR(__xludf.DUMMYFUNCTION("""COMPUTED_VALUE"""),0.0)</f>
        <v>0</v>
      </c>
      <c r="I16" s="8" t="str">
        <f>IFERROR(__xludf.DUMMYFUNCTION("""COMPUTED_VALUE"""),"General")</f>
        <v>General</v>
      </c>
      <c r="J16" s="8" t="str">
        <f>IFERROR(__xludf.DUMMYFUNCTION("""COMPUTED_VALUE"""),"Dresses")</f>
        <v>Dresses</v>
      </c>
      <c r="K16" s="8" t="str">
        <f>IFERROR(__xludf.DUMMYFUNCTION("""COMPUTED_VALUE"""),"Dresses")</f>
        <v>Dresses</v>
      </c>
    </row>
    <row r="17">
      <c r="A17" s="8">
        <f>IFERROR(__xludf.DUMMYFUNCTION("""COMPUTED_VALUE"""),20.0)</f>
        <v>20</v>
      </c>
      <c r="B17" s="8">
        <f>IFERROR(__xludf.DUMMYFUNCTION("""COMPUTED_VALUE"""),847.0)</f>
        <v>847</v>
      </c>
      <c r="C17" s="8">
        <f>IFERROR(__xludf.DUMMYFUNCTION("""COMPUTED_VALUE"""),33.0)</f>
        <v>33</v>
      </c>
      <c r="D17" s="8" t="str">
        <f>IFERROR(__xludf.DUMMYFUNCTION("""COMPUTED_VALUE"""),"Cute, crisp shirt")</f>
        <v>Cute, crisp shirt</v>
      </c>
      <c r="E17" s="8" t="str">
        <f>IFERROR(__xludf.DUMMYFUNCTION("""COMPUTED_VALUE"""),"If this product was in petite, i would get the petite. the regular is a little long on me but a tailor can do a simple fix on that. 
fits nicely! i'm 5'4, 130lb and pregnant so i bough t medium to grow into. 
the tie can be front or back so provides for"&amp;" some nice flexibility on form fitting.")</f>
        <v>If this product was in petite, i would get the petite. the regular is a little long on me but a tailor can do a simple fix on that. 
fits nicely! i'm 5'4, 130lb and pregnant so i bough t medium to grow into. 
the tie can be front or back so provides for some nice flexibility on form fitting.</v>
      </c>
      <c r="F17" s="8">
        <f>IFERROR(__xludf.DUMMYFUNCTION("""COMPUTED_VALUE"""),4.0)</f>
        <v>4</v>
      </c>
      <c r="G17" s="8">
        <f>IFERROR(__xludf.DUMMYFUNCTION("""COMPUTED_VALUE"""),1.0)</f>
        <v>1</v>
      </c>
      <c r="H17" s="8">
        <f>IFERROR(__xludf.DUMMYFUNCTION("""COMPUTED_VALUE"""),2.0)</f>
        <v>2</v>
      </c>
      <c r="I17" s="8" t="str">
        <f>IFERROR(__xludf.DUMMYFUNCTION("""COMPUTED_VALUE"""),"General")</f>
        <v>General</v>
      </c>
      <c r="J17" s="8" t="str">
        <f>IFERROR(__xludf.DUMMYFUNCTION("""COMPUTED_VALUE"""),"Tops")</f>
        <v>Tops</v>
      </c>
      <c r="K17" s="8" t="str">
        <f>IFERROR(__xludf.DUMMYFUNCTION("""COMPUTED_VALUE"""),"Blouses")</f>
        <v>Blouses</v>
      </c>
    </row>
    <row r="18">
      <c r="A18" s="8">
        <f>IFERROR(__xludf.DUMMYFUNCTION("""COMPUTED_VALUE"""),21.0)</f>
        <v>21</v>
      </c>
      <c r="B18" s="8">
        <f>IFERROR(__xludf.DUMMYFUNCTION("""COMPUTED_VALUE"""),1080.0)</f>
        <v>1080</v>
      </c>
      <c r="C18" s="8">
        <f>IFERROR(__xludf.DUMMYFUNCTION("""COMPUTED_VALUE"""),55.0)</f>
        <v>55</v>
      </c>
      <c r="D18" s="8" t="str">
        <f>IFERROR(__xludf.DUMMYFUNCTION("""COMPUTED_VALUE"""),"I'm torn!")</f>
        <v>I'm torn!</v>
      </c>
      <c r="E18" s="8" t="str">
        <f>IFERROR(__xludf.DUMMYFUNCTION("""COMPUTED_VALUE"""),"I'm upset because for the price of the dress, i thought it was embroidered! no, that is a print on the fabric. i think i cried a little when i opened the box. it is still ver pretty. i would say it is true to size, it is a tad bit big on me, but i am very"&amp;" tiny, but i can still get away with it. the color is vibrant. the style is unique. skirt portion is pretty poofy. i keep going back and forth on it mainly because of the price, although the quality is definitely there. except i wish it were emb")</f>
        <v>I'm upset because for the price of the dress, i thought it was embroidered! no, that is a print on the fabric. i think i cried a little when i opened the box. it is still ver pretty. i would say it is true to size, it is a tad bit big on me, but i am very tiny, but i can still get away with it. the color is vibrant. the style is unique. skirt portion is pretty poofy. i keep going back and forth on it mainly because of the price, although the quality is definitely there. except i wish it were emb</v>
      </c>
      <c r="F18" s="8">
        <f>IFERROR(__xludf.DUMMYFUNCTION("""COMPUTED_VALUE"""),4.0)</f>
        <v>4</v>
      </c>
      <c r="G18" s="8">
        <f>IFERROR(__xludf.DUMMYFUNCTION("""COMPUTED_VALUE"""),1.0)</f>
        <v>1</v>
      </c>
      <c r="H18" s="8">
        <f>IFERROR(__xludf.DUMMYFUNCTION("""COMPUTED_VALUE"""),14.0)</f>
        <v>14</v>
      </c>
      <c r="I18" s="8" t="str">
        <f>IFERROR(__xludf.DUMMYFUNCTION("""COMPUTED_VALUE"""),"General")</f>
        <v>General</v>
      </c>
      <c r="J18" s="8" t="str">
        <f>IFERROR(__xludf.DUMMYFUNCTION("""COMPUTED_VALUE"""),"Dresses")</f>
        <v>Dresses</v>
      </c>
      <c r="K18" s="8" t="str">
        <f>IFERROR(__xludf.DUMMYFUNCTION("""COMPUTED_VALUE"""),"Dresses")</f>
        <v>Dresses</v>
      </c>
    </row>
    <row r="19">
      <c r="A19" s="8">
        <f>IFERROR(__xludf.DUMMYFUNCTION("""COMPUTED_VALUE"""),24.0)</f>
        <v>24</v>
      </c>
      <c r="B19" s="8">
        <f>IFERROR(__xludf.DUMMYFUNCTION("""COMPUTED_VALUE"""),847.0)</f>
        <v>847</v>
      </c>
      <c r="C19" s="8">
        <f>IFERROR(__xludf.DUMMYFUNCTION("""COMPUTED_VALUE"""),55.0)</f>
        <v>55</v>
      </c>
      <c r="D19" s="8" t="str">
        <f>IFERROR(__xludf.DUMMYFUNCTION("""COMPUTED_VALUE"""),"Versatile")</f>
        <v>Versatile</v>
      </c>
      <c r="E19" s="8" t="str">
        <f>IFERROR(__xludf.DUMMYFUNCTION("""COMPUTED_VALUE"""),"I love this shirt because when i first saw it, i wasn't sure if it was a shirt or dress. since it is see-through if you wear it like a dress you will need a slip or wear it with leggings. i bought a slip, wore the tie in the back, and rocked it with white"&amp;" wedges. you could also wear it as a vest. be careful with the buttons. i haven't had any fall off yet, but i feel like they will. overall it's great for any occasion and it's fun to wear!")</f>
        <v>I love this shirt because when i first saw it, i wasn't sure if it was a shirt or dress. since it is see-through if you wear it like a dress you will need a slip or wear it with leggings. i bought a slip, wore the tie in the back, and rocked it with white wedges. you could also wear it as a vest. be careful with the buttons. i haven't had any fall off yet, but i feel like they will. overall it's great for any occasion and it's fun to wear!</v>
      </c>
      <c r="F19" s="8">
        <f>IFERROR(__xludf.DUMMYFUNCTION("""COMPUTED_VALUE"""),5.0)</f>
        <v>5</v>
      </c>
      <c r="G19" s="8">
        <f>IFERROR(__xludf.DUMMYFUNCTION("""COMPUTED_VALUE"""),1.0)</f>
        <v>1</v>
      </c>
      <c r="H19" s="8">
        <f>IFERROR(__xludf.DUMMYFUNCTION("""COMPUTED_VALUE"""),0.0)</f>
        <v>0</v>
      </c>
      <c r="I19" s="8" t="str">
        <f>IFERROR(__xludf.DUMMYFUNCTION("""COMPUTED_VALUE"""),"General")</f>
        <v>General</v>
      </c>
      <c r="J19" s="8" t="str">
        <f>IFERROR(__xludf.DUMMYFUNCTION("""COMPUTED_VALUE"""),"Tops")</f>
        <v>Tops</v>
      </c>
      <c r="K19" s="8" t="str">
        <f>IFERROR(__xludf.DUMMYFUNCTION("""COMPUTED_VALUE"""),"Blouses")</f>
        <v>Blouses</v>
      </c>
    </row>
    <row r="20">
      <c r="A20" s="8">
        <f>IFERROR(__xludf.DUMMYFUNCTION("""COMPUTED_VALUE"""),27.0)</f>
        <v>27</v>
      </c>
      <c r="B20" s="8">
        <f>IFERROR(__xludf.DUMMYFUNCTION("""COMPUTED_VALUE"""),1003.0)</f>
        <v>1003</v>
      </c>
      <c r="C20" s="8">
        <f>IFERROR(__xludf.DUMMYFUNCTION("""COMPUTED_VALUE"""),31.0)</f>
        <v>31</v>
      </c>
      <c r="D20" s="8" t="str">
        <f>IFERROR(__xludf.DUMMYFUNCTION("""COMPUTED_VALUE"""),"Loved, but returned")</f>
        <v>Loved, but returned</v>
      </c>
      <c r="E20" s="8" t="str">
        <f>IFERROR(__xludf.DUMMYFUNCTION("""COMPUTED_VALUE"""),"The colors weren't what i expected either. the dark blue is much more vibrant and i just couldn't find anything to really go with it. fabric is thick and good quality. has nice weight and movement to it. the skirt just wasn't for me, in the end.")</f>
        <v>The colors weren't what i expected either. the dark blue is much more vibrant and i just couldn't find anything to really go with it. fabric is thick and good quality. has nice weight and movement to it. the skirt just wasn't for me, in the end.</v>
      </c>
      <c r="F20" s="8">
        <f>IFERROR(__xludf.DUMMYFUNCTION("""COMPUTED_VALUE"""),4.0)</f>
        <v>4</v>
      </c>
      <c r="G20" s="8">
        <f>IFERROR(__xludf.DUMMYFUNCTION("""COMPUTED_VALUE"""),1.0)</f>
        <v>1</v>
      </c>
      <c r="H20" s="8">
        <f>IFERROR(__xludf.DUMMYFUNCTION("""COMPUTED_VALUE"""),0.0)</f>
        <v>0</v>
      </c>
      <c r="I20" s="8" t="str">
        <f>IFERROR(__xludf.DUMMYFUNCTION("""COMPUTED_VALUE"""),"General")</f>
        <v>General</v>
      </c>
      <c r="J20" s="8" t="str">
        <f>IFERROR(__xludf.DUMMYFUNCTION("""COMPUTED_VALUE"""),"Bottoms")</f>
        <v>Bottoms</v>
      </c>
      <c r="K20" s="8" t="str">
        <f>IFERROR(__xludf.DUMMYFUNCTION("""COMPUTED_VALUE"""),"Skirts")</f>
        <v>Skirts</v>
      </c>
    </row>
    <row r="21">
      <c r="A21" s="8">
        <f>IFERROR(__xludf.DUMMYFUNCTION("""COMPUTED_VALUE"""),28.0)</f>
        <v>28</v>
      </c>
      <c r="B21" s="8">
        <f>IFERROR(__xludf.DUMMYFUNCTION("""COMPUTED_VALUE"""),684.0)</f>
        <v>684</v>
      </c>
      <c r="C21" s="8">
        <f>IFERROR(__xludf.DUMMYFUNCTION("""COMPUTED_VALUE"""),53.0)</f>
        <v>53</v>
      </c>
      <c r="D21" s="8" t="str">
        <f>IFERROR(__xludf.DUMMYFUNCTION("""COMPUTED_VALUE"""),"Great shirt!!!")</f>
        <v>Great shirt!!!</v>
      </c>
      <c r="E21" s="8" t="str">
        <f>IFERROR(__xludf.DUMMYFUNCTION("""COMPUTED_VALUE"""),"I have several of goodhyouman shirts and i get so many compliments on them. especially the one that says forehead kisses are underrated. don't hesitate. buy this shirt. you won't be sorry.....")</f>
        <v>I have several of goodhyouman shirts and i get so many compliments on them. especially the one that says forehead kisses are underrated. don't hesitate. buy this shirt. you won't be sorry.....</v>
      </c>
      <c r="F21" s="8">
        <f>IFERROR(__xludf.DUMMYFUNCTION("""COMPUTED_VALUE"""),5.0)</f>
        <v>5</v>
      </c>
      <c r="G21" s="8">
        <f>IFERROR(__xludf.DUMMYFUNCTION("""COMPUTED_VALUE"""),1.0)</f>
        <v>1</v>
      </c>
      <c r="H21" s="8">
        <f>IFERROR(__xludf.DUMMYFUNCTION("""COMPUTED_VALUE"""),2.0)</f>
        <v>2</v>
      </c>
      <c r="I21" s="8" t="str">
        <f>IFERROR(__xludf.DUMMYFUNCTION("""COMPUTED_VALUE"""),"Initmates")</f>
        <v>Initmates</v>
      </c>
      <c r="J21" s="8" t="str">
        <f>IFERROR(__xludf.DUMMYFUNCTION("""COMPUTED_VALUE"""),"Intimate")</f>
        <v>Intimate</v>
      </c>
      <c r="K21" s="8" t="str">
        <f>IFERROR(__xludf.DUMMYFUNCTION("""COMPUTED_VALUE"""),"Lounge")</f>
        <v>Lounge</v>
      </c>
    </row>
    <row r="22">
      <c r="A22" s="8">
        <f>IFERROR(__xludf.DUMMYFUNCTION("""COMPUTED_VALUE"""),29.0)</f>
        <v>29</v>
      </c>
      <c r="B22" s="8">
        <f>IFERROR(__xludf.DUMMYFUNCTION("""COMPUTED_VALUE"""),4.0)</f>
        <v>4</v>
      </c>
      <c r="C22" s="8">
        <f>IFERROR(__xludf.DUMMYFUNCTION("""COMPUTED_VALUE"""),28.0)</f>
        <v>28</v>
      </c>
      <c r="D22" s="8" t="str">
        <f>IFERROR(__xludf.DUMMYFUNCTION("""COMPUTED_VALUE"""),"Great layering piece")</f>
        <v>Great layering piece</v>
      </c>
      <c r="E22" s="8" t="str">
        <f>IFERROR(__xludf.DUMMYFUNCTION("""COMPUTED_VALUE"""),"This sweater is so comfy and classic - it balances a quirky hand-knit look with a beautiful color and practical fit. it is a bit cropped and boxy as part of the style, and as others mentioned, there are gaps in the knit that make it see-through. in my opi"&amp;"nion this makes it perfect for layering! i like having a longer camisole showing underneath, or wearing it over a little dress. it's warm but still thin enough to fit under a jacket or coat.")</f>
        <v>This sweater is so comfy and classic - it balances a quirky hand-knit look with a beautiful color and practical fit. it is a bit cropped and boxy as part of the style, and as others mentioned, there are gaps in the knit that make it see-through. in my opinion this makes it perfect for layering! i like having a longer camisole showing underneath, or wearing it over a little dress. it's warm but still thin enough to fit under a jacket or coat.</v>
      </c>
      <c r="F22" s="8">
        <f>IFERROR(__xludf.DUMMYFUNCTION("""COMPUTED_VALUE"""),5.0)</f>
        <v>5</v>
      </c>
      <c r="G22" s="8">
        <f>IFERROR(__xludf.DUMMYFUNCTION("""COMPUTED_VALUE"""),1.0)</f>
        <v>1</v>
      </c>
      <c r="H22" s="8">
        <f>IFERROR(__xludf.DUMMYFUNCTION("""COMPUTED_VALUE"""),0.0)</f>
        <v>0</v>
      </c>
      <c r="I22" s="8" t="str">
        <f>IFERROR(__xludf.DUMMYFUNCTION("""COMPUTED_VALUE"""),"General")</f>
        <v>General</v>
      </c>
      <c r="J22" s="8" t="str">
        <f>IFERROR(__xludf.DUMMYFUNCTION("""COMPUTED_VALUE"""),"Tops")</f>
        <v>Tops</v>
      </c>
      <c r="K22" s="8" t="str">
        <f>IFERROR(__xludf.DUMMYFUNCTION("""COMPUTED_VALUE"""),"Sweaters")</f>
        <v>Sweaters</v>
      </c>
    </row>
    <row r="23">
      <c r="A23" s="8">
        <f>IFERROR(__xludf.DUMMYFUNCTION("""COMPUTED_VALUE"""),30.0)</f>
        <v>30</v>
      </c>
      <c r="B23" s="8">
        <f>IFERROR(__xludf.DUMMYFUNCTION("""COMPUTED_VALUE"""),1060.0)</f>
        <v>1060</v>
      </c>
      <c r="C23" s="8">
        <f>IFERROR(__xludf.DUMMYFUNCTION("""COMPUTED_VALUE"""),33.0)</f>
        <v>33</v>
      </c>
      <c r="D23" s="8"/>
      <c r="E23" s="8" t="str">
        <f>IFERROR(__xludf.DUMMYFUNCTION("""COMPUTED_VALUE"""),"Beautifully made pants and on trend with the flared crop. so much cuter in person. love these!")</f>
        <v>Beautifully made pants and on trend with the flared crop. so much cuter in person. love these!</v>
      </c>
      <c r="F23" s="8">
        <f>IFERROR(__xludf.DUMMYFUNCTION("""COMPUTED_VALUE"""),5.0)</f>
        <v>5</v>
      </c>
      <c r="G23" s="8">
        <f>IFERROR(__xludf.DUMMYFUNCTION("""COMPUTED_VALUE"""),1.0)</f>
        <v>1</v>
      </c>
      <c r="H23" s="8">
        <f>IFERROR(__xludf.DUMMYFUNCTION("""COMPUTED_VALUE"""),0.0)</f>
        <v>0</v>
      </c>
      <c r="I23" s="8" t="str">
        <f>IFERROR(__xludf.DUMMYFUNCTION("""COMPUTED_VALUE"""),"General Petite")</f>
        <v>General Petite</v>
      </c>
      <c r="J23" s="8" t="str">
        <f>IFERROR(__xludf.DUMMYFUNCTION("""COMPUTED_VALUE"""),"Bottoms")</f>
        <v>Bottoms</v>
      </c>
      <c r="K23" s="8" t="str">
        <f>IFERROR(__xludf.DUMMYFUNCTION("""COMPUTED_VALUE"""),"Pants")</f>
        <v>Pants</v>
      </c>
    </row>
    <row r="24">
      <c r="A24" s="8">
        <f>IFERROR(__xludf.DUMMYFUNCTION("""COMPUTED_VALUE"""),31.0)</f>
        <v>31</v>
      </c>
      <c r="B24" s="8">
        <f>IFERROR(__xludf.DUMMYFUNCTION("""COMPUTED_VALUE"""),1060.0)</f>
        <v>1060</v>
      </c>
      <c r="C24" s="8">
        <f>IFERROR(__xludf.DUMMYFUNCTION("""COMPUTED_VALUE"""),46.0)</f>
        <v>46</v>
      </c>
      <c r="D24" s="8" t="str">
        <f>IFERROR(__xludf.DUMMYFUNCTION("""COMPUTED_VALUE"""),"Cuter in oerson!")</f>
        <v>Cuter in oerson!</v>
      </c>
      <c r="E24" s="8" t="str">
        <f>IFERROR(__xludf.DUMMYFUNCTION("""COMPUTED_VALUE"""),"I never would have given these pants a second look online, in person they are much cuter! the stripes are brighter and the fit more flattering. the crop has a cute flare which is right on trend. this brand has always run small for me, i am 5'8 about 140lb"&amp;"s and carry some chubbiness in the belly. i paired it with a collarless loose navy blazer")</f>
        <v>I never would have given these pants a second look online, in person they are much cuter! the stripes are brighter and the fit more flattering. the crop has a cute flare which is right on trend. this brand has always run small for me, i am 5'8 about 140lbs and carry some chubbiness in the belly. i paired it with a collarless loose navy blazer</v>
      </c>
      <c r="F24" s="8">
        <f>IFERROR(__xludf.DUMMYFUNCTION("""COMPUTED_VALUE"""),5.0)</f>
        <v>5</v>
      </c>
      <c r="G24" s="8">
        <f>IFERROR(__xludf.DUMMYFUNCTION("""COMPUTED_VALUE"""),1.0)</f>
        <v>1</v>
      </c>
      <c r="H24" s="8">
        <f>IFERROR(__xludf.DUMMYFUNCTION("""COMPUTED_VALUE"""),7.0)</f>
        <v>7</v>
      </c>
      <c r="I24" s="8" t="str">
        <f>IFERROR(__xludf.DUMMYFUNCTION("""COMPUTED_VALUE"""),"General Petite")</f>
        <v>General Petite</v>
      </c>
      <c r="J24" s="8" t="str">
        <f>IFERROR(__xludf.DUMMYFUNCTION("""COMPUTED_VALUE"""),"Bottoms")</f>
        <v>Bottoms</v>
      </c>
      <c r="K24" s="8" t="str">
        <f>IFERROR(__xludf.DUMMYFUNCTION("""COMPUTED_VALUE"""),"Pants")</f>
        <v>Pants</v>
      </c>
    </row>
    <row r="25">
      <c r="A25" s="8">
        <f>IFERROR(__xludf.DUMMYFUNCTION("""COMPUTED_VALUE"""),32.0)</f>
        <v>32</v>
      </c>
      <c r="B25" s="8">
        <f>IFERROR(__xludf.DUMMYFUNCTION("""COMPUTED_VALUE"""),1060.0)</f>
        <v>1060</v>
      </c>
      <c r="C25" s="8">
        <f>IFERROR(__xludf.DUMMYFUNCTION("""COMPUTED_VALUE"""),21.0)</f>
        <v>21</v>
      </c>
      <c r="D25" s="8" t="str">
        <f>IFERROR(__xludf.DUMMYFUNCTION("""COMPUTED_VALUE"""),"Love these pants")</f>
        <v>Love these pants</v>
      </c>
      <c r="E25" s="8" t="str">
        <f>IFERROR(__xludf.DUMMYFUNCTION("""COMPUTED_VALUE"""),"These pants are even better in person. the only downside is that they need to be dry cleaned.")</f>
        <v>These pants are even better in person. the only downside is that they need to be dry cleaned.</v>
      </c>
      <c r="F25" s="8">
        <f>IFERROR(__xludf.DUMMYFUNCTION("""COMPUTED_VALUE"""),5.0)</f>
        <v>5</v>
      </c>
      <c r="G25" s="8">
        <f>IFERROR(__xludf.DUMMYFUNCTION("""COMPUTED_VALUE"""),1.0)</f>
        <v>1</v>
      </c>
      <c r="H25" s="8">
        <f>IFERROR(__xludf.DUMMYFUNCTION("""COMPUTED_VALUE"""),0.0)</f>
        <v>0</v>
      </c>
      <c r="I25" s="8" t="str">
        <f>IFERROR(__xludf.DUMMYFUNCTION("""COMPUTED_VALUE"""),"General Petite")</f>
        <v>General Petite</v>
      </c>
      <c r="J25" s="8" t="str">
        <f>IFERROR(__xludf.DUMMYFUNCTION("""COMPUTED_VALUE"""),"Bottoms")</f>
        <v>Bottoms</v>
      </c>
      <c r="K25" s="8" t="str">
        <f>IFERROR(__xludf.DUMMYFUNCTION("""COMPUTED_VALUE"""),"Pants")</f>
        <v>Pants</v>
      </c>
    </row>
    <row r="26">
      <c r="A26" s="8">
        <f>IFERROR(__xludf.DUMMYFUNCTION("""COMPUTED_VALUE"""),34.0)</f>
        <v>34</v>
      </c>
      <c r="B26" s="8">
        <f>IFERROR(__xludf.DUMMYFUNCTION("""COMPUTED_VALUE"""),697.0)</f>
        <v>697</v>
      </c>
      <c r="C26" s="8">
        <f>IFERROR(__xludf.DUMMYFUNCTION("""COMPUTED_VALUE"""),39.0)</f>
        <v>39</v>
      </c>
      <c r="D26" s="8" t="str">
        <f>IFERROR(__xludf.DUMMYFUNCTION("""COMPUTED_VALUE"""),"Love this dress!")</f>
        <v>Love this dress!</v>
      </c>
      <c r="E26" s="8" t="str">
        <f>IFERROR(__xludf.DUMMYFUNCTION("""COMPUTED_VALUE"""),"This is such a neat dress. the color is great and the fabric is super soft. i am tall so the long length was an added bonus. it definitely needs something underneath since the front gaps. i am going to pair it with a funky tank top, necklaces and boots. s"&amp;"uper cute!!")</f>
        <v>This is such a neat dress. the color is great and the fabric is super soft. i am tall so the long length was an added bonus. it definitely needs something underneath since the front gaps. i am going to pair it with a funky tank top, necklaces and boots. super cute!!</v>
      </c>
      <c r="F26" s="8">
        <f>IFERROR(__xludf.DUMMYFUNCTION("""COMPUTED_VALUE"""),5.0)</f>
        <v>5</v>
      </c>
      <c r="G26" s="8">
        <f>IFERROR(__xludf.DUMMYFUNCTION("""COMPUTED_VALUE"""),1.0)</f>
        <v>1</v>
      </c>
      <c r="H26" s="8">
        <f>IFERROR(__xludf.DUMMYFUNCTION("""COMPUTED_VALUE"""),0.0)</f>
        <v>0</v>
      </c>
      <c r="I26" s="8" t="str">
        <f>IFERROR(__xludf.DUMMYFUNCTION("""COMPUTED_VALUE"""),"Initmates")</f>
        <v>Initmates</v>
      </c>
      <c r="J26" s="8" t="str">
        <f>IFERROR(__xludf.DUMMYFUNCTION("""COMPUTED_VALUE"""),"Intimate")</f>
        <v>Intimate</v>
      </c>
      <c r="K26" s="8" t="str">
        <f>IFERROR(__xludf.DUMMYFUNCTION("""COMPUTED_VALUE"""),"Lounge")</f>
        <v>Lounge</v>
      </c>
    </row>
    <row r="27">
      <c r="A27" s="8">
        <f>IFERROR(__xludf.DUMMYFUNCTION("""COMPUTED_VALUE"""),35.0)</f>
        <v>35</v>
      </c>
      <c r="B27" s="8">
        <f>IFERROR(__xludf.DUMMYFUNCTION("""COMPUTED_VALUE"""),1060.0)</f>
        <v>1060</v>
      </c>
      <c r="C27" s="8">
        <f>IFERROR(__xludf.DUMMYFUNCTION("""COMPUTED_VALUE"""),65.0)</f>
        <v>65</v>
      </c>
      <c r="D27" s="8" t="str">
        <f>IFERROR(__xludf.DUMMYFUNCTION("""COMPUTED_VALUE"""),"Lovely!")</f>
        <v>Lovely!</v>
      </c>
      <c r="E27" s="8" t="str">
        <f>IFERROR(__xludf.DUMMYFUNCTION("""COMPUTED_VALUE"""),"Wouldn't have given them a second look but tried them on in store of a whim. love, love!!")</f>
        <v>Wouldn't have given them a second look but tried them on in store of a whim. love, love!!</v>
      </c>
      <c r="F27" s="8">
        <f>IFERROR(__xludf.DUMMYFUNCTION("""COMPUTED_VALUE"""),4.0)</f>
        <v>4</v>
      </c>
      <c r="G27" s="8">
        <f>IFERROR(__xludf.DUMMYFUNCTION("""COMPUTED_VALUE"""),1.0)</f>
        <v>1</v>
      </c>
      <c r="H27" s="8">
        <f>IFERROR(__xludf.DUMMYFUNCTION("""COMPUTED_VALUE"""),3.0)</f>
        <v>3</v>
      </c>
      <c r="I27" s="8" t="str">
        <f>IFERROR(__xludf.DUMMYFUNCTION("""COMPUTED_VALUE"""),"General Petite")</f>
        <v>General Petite</v>
      </c>
      <c r="J27" s="8" t="str">
        <f>IFERROR(__xludf.DUMMYFUNCTION("""COMPUTED_VALUE"""),"Bottoms")</f>
        <v>Bottoms</v>
      </c>
      <c r="K27" s="8" t="str">
        <f>IFERROR(__xludf.DUMMYFUNCTION("""COMPUTED_VALUE"""),"Pants")</f>
        <v>Pants</v>
      </c>
    </row>
    <row r="28">
      <c r="A28" s="8">
        <f>IFERROR(__xludf.DUMMYFUNCTION("""COMPUTED_VALUE"""),36.0)</f>
        <v>36</v>
      </c>
      <c r="B28" s="8">
        <f>IFERROR(__xludf.DUMMYFUNCTION("""COMPUTED_VALUE"""),1002.0)</f>
        <v>1002</v>
      </c>
      <c r="C28" s="8">
        <f>IFERROR(__xludf.DUMMYFUNCTION("""COMPUTED_VALUE"""),29.0)</f>
        <v>29</v>
      </c>
      <c r="D28" s="8"/>
      <c r="E28" s="8" t="str">
        <f>IFERROR(__xludf.DUMMYFUNCTION("""COMPUTED_VALUE"""),"This is a comfortable skirt that can span seasons easily. while not the most exciting design, it is a good work skirt that can be paired with many tops.")</f>
        <v>This is a comfortable skirt that can span seasons easily. while not the most exciting design, it is a good work skirt that can be paired with many tops.</v>
      </c>
      <c r="F28" s="8">
        <f>IFERROR(__xludf.DUMMYFUNCTION("""COMPUTED_VALUE"""),4.0)</f>
        <v>4</v>
      </c>
      <c r="G28" s="8">
        <f>IFERROR(__xludf.DUMMYFUNCTION("""COMPUTED_VALUE"""),1.0)</f>
        <v>1</v>
      </c>
      <c r="H28" s="8">
        <f>IFERROR(__xludf.DUMMYFUNCTION("""COMPUTED_VALUE"""),5.0)</f>
        <v>5</v>
      </c>
      <c r="I28" s="8" t="str">
        <f>IFERROR(__xludf.DUMMYFUNCTION("""COMPUTED_VALUE"""),"General")</f>
        <v>General</v>
      </c>
      <c r="J28" s="8" t="str">
        <f>IFERROR(__xludf.DUMMYFUNCTION("""COMPUTED_VALUE"""),"Bottoms")</f>
        <v>Bottoms</v>
      </c>
      <c r="K28" s="8" t="str">
        <f>IFERROR(__xludf.DUMMYFUNCTION("""COMPUTED_VALUE"""),"Skirts")</f>
        <v>Skirts</v>
      </c>
    </row>
    <row r="29">
      <c r="A29" s="8">
        <f>IFERROR(__xludf.DUMMYFUNCTION("""COMPUTED_VALUE"""),37.0)</f>
        <v>37</v>
      </c>
      <c r="B29" s="8">
        <f>IFERROR(__xludf.DUMMYFUNCTION("""COMPUTED_VALUE"""),949.0)</f>
        <v>949</v>
      </c>
      <c r="C29" s="8">
        <f>IFERROR(__xludf.DUMMYFUNCTION("""COMPUTED_VALUE"""),38.0)</f>
        <v>38</v>
      </c>
      <c r="D29" s="8" t="str">
        <f>IFERROR(__xludf.DUMMYFUNCTION("""COMPUTED_VALUE"""),"Beautifully cut lightweight coat")</f>
        <v>Beautifully cut lightweight coat</v>
      </c>
      <c r="E29" s="8" t="str">
        <f>IFERROR(__xludf.DUMMYFUNCTION("""COMPUTED_VALUE"""),"Just ordered this in a small for me (5'6"", 135, size 4) and medium for my mom (5'3"", 130, size 8) and it is gorgeous - beautifully draped, all the weight/warmth i'll need for houston fall and winter, looks polished snapped or unsnapped. age-appropriate "&amp;"for both my mom (60's) and myself (30's). will look amazing with skinny jeans or leggings. we ordered the gray which is true to the photos.")</f>
        <v>Just ordered this in a small for me (5'6", 135, size 4) and medium for my mom (5'3", 130, size 8) and it is gorgeous - beautifully draped, all the weight/warmth i'll need for houston fall and winter, looks polished snapped or unsnapped. age-appropriate for both my mom (60's) and myself (30's). will look amazing with skinny jeans or leggings. we ordered the gray which is true to the photos.</v>
      </c>
      <c r="F29" s="8">
        <f>IFERROR(__xludf.DUMMYFUNCTION("""COMPUTED_VALUE"""),5.0)</f>
        <v>5</v>
      </c>
      <c r="G29" s="8">
        <f>IFERROR(__xludf.DUMMYFUNCTION("""COMPUTED_VALUE"""),1.0)</f>
        <v>1</v>
      </c>
      <c r="H29" s="8">
        <f>IFERROR(__xludf.DUMMYFUNCTION("""COMPUTED_VALUE"""),1.0)</f>
        <v>1</v>
      </c>
      <c r="I29" s="8" t="str">
        <f>IFERROR(__xludf.DUMMYFUNCTION("""COMPUTED_VALUE"""),"General")</f>
        <v>General</v>
      </c>
      <c r="J29" s="8" t="str">
        <f>IFERROR(__xludf.DUMMYFUNCTION("""COMPUTED_VALUE"""),"Tops")</f>
        <v>Tops</v>
      </c>
      <c r="K29" s="8" t="str">
        <f>IFERROR(__xludf.DUMMYFUNCTION("""COMPUTED_VALUE"""),"Sweaters")</f>
        <v>Sweaters</v>
      </c>
    </row>
    <row r="30">
      <c r="A30" s="8">
        <f>IFERROR(__xludf.DUMMYFUNCTION("""COMPUTED_VALUE"""),38.0)</f>
        <v>38</v>
      </c>
      <c r="B30" s="8">
        <f>IFERROR(__xludf.DUMMYFUNCTION("""COMPUTED_VALUE"""),684.0)</f>
        <v>684</v>
      </c>
      <c r="C30" s="8">
        <f>IFERROR(__xludf.DUMMYFUNCTION("""COMPUTED_VALUE"""),36.0)</f>
        <v>36</v>
      </c>
      <c r="D30" s="8"/>
      <c r="E30" s="8" t="str">
        <f>IFERROR(__xludf.DUMMYFUNCTION("""COMPUTED_VALUE"""),"Super cute and comfy pull over. sizing is accurate. material has a little bit of stretch.")</f>
        <v>Super cute and comfy pull over. sizing is accurate. material has a little bit of stretch.</v>
      </c>
      <c r="F30" s="8">
        <f>IFERROR(__xludf.DUMMYFUNCTION("""COMPUTED_VALUE"""),5.0)</f>
        <v>5</v>
      </c>
      <c r="G30" s="8">
        <f>IFERROR(__xludf.DUMMYFUNCTION("""COMPUTED_VALUE"""),1.0)</f>
        <v>1</v>
      </c>
      <c r="H30" s="8">
        <f>IFERROR(__xludf.DUMMYFUNCTION("""COMPUTED_VALUE"""),2.0)</f>
        <v>2</v>
      </c>
      <c r="I30" s="8" t="str">
        <f>IFERROR(__xludf.DUMMYFUNCTION("""COMPUTED_VALUE"""),"Initmates")</f>
        <v>Initmates</v>
      </c>
      <c r="J30" s="8" t="str">
        <f>IFERROR(__xludf.DUMMYFUNCTION("""COMPUTED_VALUE"""),"Intimate")</f>
        <v>Intimate</v>
      </c>
      <c r="K30" s="8" t="str">
        <f>IFERROR(__xludf.DUMMYFUNCTION("""COMPUTED_VALUE"""),"Lounge")</f>
        <v>Lounge</v>
      </c>
    </row>
    <row r="31">
      <c r="A31" s="8">
        <f>IFERROR(__xludf.DUMMYFUNCTION("""COMPUTED_VALUE"""),39.0)</f>
        <v>39</v>
      </c>
      <c r="B31" s="8">
        <f>IFERROR(__xludf.DUMMYFUNCTION("""COMPUTED_VALUE"""),862.0)</f>
        <v>862</v>
      </c>
      <c r="C31" s="8">
        <f>IFERROR(__xludf.DUMMYFUNCTION("""COMPUTED_VALUE"""),59.0)</f>
        <v>59</v>
      </c>
      <c r="D31" s="8"/>
      <c r="E31" s="8" t="str">
        <f>IFERROR(__xludf.DUMMYFUNCTION("""COMPUTED_VALUE"""),"Great casual top with flare. looks cute with grey pilcro stet jeans. flattering with peplum in back. nice cut for shoulders and neckline.")</f>
        <v>Great casual top with flare. looks cute with grey pilcro stet jeans. flattering with peplum in back. nice cut for shoulders and neckline.</v>
      </c>
      <c r="F31" s="8">
        <f>IFERROR(__xludf.DUMMYFUNCTION("""COMPUTED_VALUE"""),5.0)</f>
        <v>5</v>
      </c>
      <c r="G31" s="8">
        <f>IFERROR(__xludf.DUMMYFUNCTION("""COMPUTED_VALUE"""),1.0)</f>
        <v>1</v>
      </c>
      <c r="H31" s="8">
        <f>IFERROR(__xludf.DUMMYFUNCTION("""COMPUTED_VALUE"""),0.0)</f>
        <v>0</v>
      </c>
      <c r="I31" s="8" t="str">
        <f>IFERROR(__xludf.DUMMYFUNCTION("""COMPUTED_VALUE"""),"General")</f>
        <v>General</v>
      </c>
      <c r="J31" s="8" t="str">
        <f>IFERROR(__xludf.DUMMYFUNCTION("""COMPUTED_VALUE"""),"Tops")</f>
        <v>Tops</v>
      </c>
      <c r="K31" s="8" t="str">
        <f>IFERROR(__xludf.DUMMYFUNCTION("""COMPUTED_VALUE"""),"Knits")</f>
        <v>Knits</v>
      </c>
    </row>
    <row r="32">
      <c r="A32" s="8">
        <f>IFERROR(__xludf.DUMMYFUNCTION("""COMPUTED_VALUE"""),40.0)</f>
        <v>40</v>
      </c>
      <c r="B32" s="8">
        <f>IFERROR(__xludf.DUMMYFUNCTION("""COMPUTED_VALUE"""),862.0)</f>
        <v>862</v>
      </c>
      <c r="C32" s="8">
        <f>IFERROR(__xludf.DUMMYFUNCTION("""COMPUTED_VALUE"""),47.0)</f>
        <v>47</v>
      </c>
      <c r="D32" s="8"/>
      <c r="E32" s="8" t="str">
        <f>IFERROR(__xludf.DUMMYFUNCTION("""COMPUTED_VALUE"""),"Pretty and unique. great with jeans or i have worn it to work with slacks and heels. the colors, print, and embroidery are lovely. reasonably priced!")</f>
        <v>Pretty and unique. great with jeans or i have worn it to work with slacks and heels. the colors, print, and embroidery are lovely. reasonably priced!</v>
      </c>
      <c r="F32" s="8">
        <f>IFERROR(__xludf.DUMMYFUNCTION("""COMPUTED_VALUE"""),4.0)</f>
        <v>4</v>
      </c>
      <c r="G32" s="8">
        <f>IFERROR(__xludf.DUMMYFUNCTION("""COMPUTED_VALUE"""),1.0)</f>
        <v>1</v>
      </c>
      <c r="H32" s="8">
        <f>IFERROR(__xludf.DUMMYFUNCTION("""COMPUTED_VALUE"""),1.0)</f>
        <v>1</v>
      </c>
      <c r="I32" s="8" t="str">
        <f>IFERROR(__xludf.DUMMYFUNCTION("""COMPUTED_VALUE"""),"General")</f>
        <v>General</v>
      </c>
      <c r="J32" s="8" t="str">
        <f>IFERROR(__xludf.DUMMYFUNCTION("""COMPUTED_VALUE"""),"Tops")</f>
        <v>Tops</v>
      </c>
      <c r="K32" s="8" t="str">
        <f>IFERROR(__xludf.DUMMYFUNCTION("""COMPUTED_VALUE"""),"Knits")</f>
        <v>Knits</v>
      </c>
    </row>
    <row r="33">
      <c r="A33" s="8">
        <f>IFERROR(__xludf.DUMMYFUNCTION("""COMPUTED_VALUE"""),41.0)</f>
        <v>41</v>
      </c>
      <c r="B33" s="8">
        <f>IFERROR(__xludf.DUMMYFUNCTION("""COMPUTED_VALUE"""),862.0)</f>
        <v>862</v>
      </c>
      <c r="C33" s="8">
        <f>IFERROR(__xludf.DUMMYFUNCTION("""COMPUTED_VALUE"""),40.0)</f>
        <v>40</v>
      </c>
      <c r="D33" s="8"/>
      <c r="E33" s="8" t="str">
        <f>IFERROR(__xludf.DUMMYFUNCTION("""COMPUTED_VALUE"""),"This is a beautiful top. it's unique and not so ordinary. i bought my usual medium and i found that it fits tight across my chest. although i had a baby this year and i am nursing, so that could be why. if i bought again i would size up.")</f>
        <v>This is a beautiful top. it's unique and not so ordinary. i bought my usual medium and i found that it fits tight across my chest. although i had a baby this year and i am nursing, so that could be why. if i bought again i would size up.</v>
      </c>
      <c r="F33" s="8">
        <f>IFERROR(__xludf.DUMMYFUNCTION("""COMPUTED_VALUE"""),5.0)</f>
        <v>5</v>
      </c>
      <c r="G33" s="8">
        <f>IFERROR(__xludf.DUMMYFUNCTION("""COMPUTED_VALUE"""),1.0)</f>
        <v>1</v>
      </c>
      <c r="H33" s="8">
        <f>IFERROR(__xludf.DUMMYFUNCTION("""COMPUTED_VALUE"""),0.0)</f>
        <v>0</v>
      </c>
      <c r="I33" s="8" t="str">
        <f>IFERROR(__xludf.DUMMYFUNCTION("""COMPUTED_VALUE"""),"General")</f>
        <v>General</v>
      </c>
      <c r="J33" s="8" t="str">
        <f>IFERROR(__xludf.DUMMYFUNCTION("""COMPUTED_VALUE"""),"Tops")</f>
        <v>Tops</v>
      </c>
      <c r="K33" s="8" t="str">
        <f>IFERROR(__xludf.DUMMYFUNCTION("""COMPUTED_VALUE"""),"Knits")</f>
        <v>Knits</v>
      </c>
    </row>
    <row r="34">
      <c r="A34" s="8">
        <f>IFERROR(__xludf.DUMMYFUNCTION("""COMPUTED_VALUE"""),42.0)</f>
        <v>42</v>
      </c>
      <c r="B34" s="8">
        <f>IFERROR(__xludf.DUMMYFUNCTION("""COMPUTED_VALUE"""),910.0)</f>
        <v>910</v>
      </c>
      <c r="C34" s="8">
        <f>IFERROR(__xludf.DUMMYFUNCTION("""COMPUTED_VALUE"""),23.0)</f>
        <v>23</v>
      </c>
      <c r="D34" s="8" t="str">
        <f>IFERROR(__xludf.DUMMYFUNCTION("""COMPUTED_VALUE"""),"Soft &amp; lovely")</f>
        <v>Soft &amp; lovely</v>
      </c>
      <c r="E34" s="8" t="str">
        <f>IFERROR(__xludf.DUMMYFUNCTION("""COMPUTED_VALUE"""),"This poncho is so cute i love the plaid check design, the colors look like sorbet &amp; cream and it will pair well with a turtleneck and jeans or pencil skirt and heels. i love this look for fall and it can roll right into spring. great buy!!")</f>
        <v>This poncho is so cute i love the plaid check design, the colors look like sorbet &amp; cream and it will pair well with a turtleneck and jeans or pencil skirt and heels. i love this look for fall and it can roll right into spring. great buy!!</v>
      </c>
      <c r="F34" s="8">
        <f>IFERROR(__xludf.DUMMYFUNCTION("""COMPUTED_VALUE"""),5.0)</f>
        <v>5</v>
      </c>
      <c r="G34" s="8">
        <f>IFERROR(__xludf.DUMMYFUNCTION("""COMPUTED_VALUE"""),1.0)</f>
        <v>1</v>
      </c>
      <c r="H34" s="8">
        <f>IFERROR(__xludf.DUMMYFUNCTION("""COMPUTED_VALUE"""),0.0)</f>
        <v>0</v>
      </c>
      <c r="I34" s="8" t="str">
        <f>IFERROR(__xludf.DUMMYFUNCTION("""COMPUTED_VALUE"""),"General")</f>
        <v>General</v>
      </c>
      <c r="J34" s="8" t="str">
        <f>IFERROR(__xludf.DUMMYFUNCTION("""COMPUTED_VALUE"""),"Tops")</f>
        <v>Tops</v>
      </c>
      <c r="K34" s="8" t="str">
        <f>IFERROR(__xludf.DUMMYFUNCTION("""COMPUTED_VALUE"""),"Fine gauge")</f>
        <v>Fine gauge</v>
      </c>
    </row>
    <row r="35">
      <c r="A35" s="8">
        <f>IFERROR(__xludf.DUMMYFUNCTION("""COMPUTED_VALUE"""),43.0)</f>
        <v>43</v>
      </c>
      <c r="B35" s="8">
        <f>IFERROR(__xludf.DUMMYFUNCTION("""COMPUTED_VALUE"""),89.0)</f>
        <v>89</v>
      </c>
      <c r="C35" s="8">
        <f>IFERROR(__xludf.DUMMYFUNCTION("""COMPUTED_VALUE"""),67.0)</f>
        <v>67</v>
      </c>
      <c r="D35" s="8" t="str">
        <f>IFERROR(__xludf.DUMMYFUNCTION("""COMPUTED_VALUE"""),"Some things you should know...")</f>
        <v>Some things you should know...</v>
      </c>
      <c r="E35" s="8" t="str">
        <f>IFERROR(__xludf.DUMMYFUNCTION("""COMPUTED_VALUE"""),"First, this is thermal ,so naturally i didn't expect super sheer, but it is. really sheer light fabric. i like it, but be prepared for considering who you might run into if you walk around the house in it. second, it is large. i ordered the size 0 and it'"&amp;"s a nice oversized fit for my 5'3"" 125 pounds. i wouldn't want to go larger. along with being sheer, the fabric is easily stretched, which i don't mind in this case. finally, the color. it looks white on my monitor and shows a colorful blue dot")</f>
        <v>First, this is thermal ,so naturally i didn't expect super sheer, but it is. really sheer light fabric. i like it, but be prepared for considering who you might run into if you walk around the house in it. second, it is large. i ordered the size 0 and it's a nice oversized fit for my 5'3" 125 pounds. i wouldn't want to go larger. along with being sheer, the fabric is easily stretched, which i don't mind in this case. finally, the color. it looks white on my monitor and shows a colorful blue dot</v>
      </c>
      <c r="F35" s="8">
        <f>IFERROR(__xludf.DUMMYFUNCTION("""COMPUTED_VALUE"""),4.0)</f>
        <v>4</v>
      </c>
      <c r="G35" s="8">
        <f>IFERROR(__xludf.DUMMYFUNCTION("""COMPUTED_VALUE"""),1.0)</f>
        <v>1</v>
      </c>
      <c r="H35" s="8">
        <f>IFERROR(__xludf.DUMMYFUNCTION("""COMPUTED_VALUE"""),1.0)</f>
        <v>1</v>
      </c>
      <c r="I35" s="8" t="str">
        <f>IFERROR(__xludf.DUMMYFUNCTION("""COMPUTED_VALUE"""),"Initmates")</f>
        <v>Initmates</v>
      </c>
      <c r="J35" s="8" t="str">
        <f>IFERROR(__xludf.DUMMYFUNCTION("""COMPUTED_VALUE"""),"Intimate")</f>
        <v>Intimate</v>
      </c>
      <c r="K35" s="8" t="str">
        <f>IFERROR(__xludf.DUMMYFUNCTION("""COMPUTED_VALUE"""),"Sleep")</f>
        <v>Sleep</v>
      </c>
    </row>
    <row r="36">
      <c r="A36" s="8">
        <f>IFERROR(__xludf.DUMMYFUNCTION("""COMPUTED_VALUE"""),44.0)</f>
        <v>44</v>
      </c>
      <c r="B36" s="8">
        <f>IFERROR(__xludf.DUMMYFUNCTION("""COMPUTED_VALUE"""),862.0)</f>
        <v>862</v>
      </c>
      <c r="C36" s="8">
        <f>IFERROR(__xludf.DUMMYFUNCTION("""COMPUTED_VALUE"""),48.0)</f>
        <v>48</v>
      </c>
      <c r="D36" s="8" t="str">
        <f>IFERROR(__xludf.DUMMYFUNCTION("""COMPUTED_VALUE"""),"Beautiful!")</f>
        <v>Beautiful!</v>
      </c>
      <c r="E36" s="8" t="str">
        <f>IFERROR(__xludf.DUMMYFUNCTION("""COMPUTED_VALUE"""),"Tried this on today at my local retailer and had to have it. it is so comfortable and flattering. it's too bad the picture online has the model tucking it into the skirt because you can't see the ruching across the front. a little dressier alternative to "&amp;"a plain tee and reasonably priced for retailer. 5'8"""" and i generally wear a 6, the small fit well. will probably be back for the black!")</f>
        <v>Tried this on today at my local retailer and had to have it. it is so comfortable and flattering. it's too bad the picture online has the model tucking it into the skirt because you can't see the ruching across the front. a little dressier alternative to a plain tee and reasonably priced for retailer. 5'8"" and i generally wear a 6, the small fit well. will probably be back for the black!</v>
      </c>
      <c r="F36" s="8">
        <f>IFERROR(__xludf.DUMMYFUNCTION("""COMPUTED_VALUE"""),5.0)</f>
        <v>5</v>
      </c>
      <c r="G36" s="8">
        <f>IFERROR(__xludf.DUMMYFUNCTION("""COMPUTED_VALUE"""),1.0)</f>
        <v>1</v>
      </c>
      <c r="H36" s="8">
        <f>IFERROR(__xludf.DUMMYFUNCTION("""COMPUTED_VALUE"""),9.0)</f>
        <v>9</v>
      </c>
      <c r="I36" s="8" t="str">
        <f>IFERROR(__xludf.DUMMYFUNCTION("""COMPUTED_VALUE"""),"General")</f>
        <v>General</v>
      </c>
      <c r="J36" s="8" t="str">
        <f>IFERROR(__xludf.DUMMYFUNCTION("""COMPUTED_VALUE"""),"Tops")</f>
        <v>Tops</v>
      </c>
      <c r="K36" s="8" t="str">
        <f>IFERROR(__xludf.DUMMYFUNCTION("""COMPUTED_VALUE"""),"Knits")</f>
        <v>Knits</v>
      </c>
    </row>
    <row r="37">
      <c r="A37" s="8">
        <f>IFERROR(__xludf.DUMMYFUNCTION("""COMPUTED_VALUE"""),45.0)</f>
        <v>45</v>
      </c>
      <c r="B37" s="8">
        <f>IFERROR(__xludf.DUMMYFUNCTION("""COMPUTED_VALUE"""),862.0)</f>
        <v>862</v>
      </c>
      <c r="C37" s="8">
        <f>IFERROR(__xludf.DUMMYFUNCTION("""COMPUTED_VALUE"""),43.0)</f>
        <v>43</v>
      </c>
      <c r="D37" s="8" t="str">
        <f>IFERROR(__xludf.DUMMYFUNCTION("""COMPUTED_VALUE"""),"Love the two tone design")</f>
        <v>Love the two tone design</v>
      </c>
      <c r="E37" s="8" t="str">
        <f>IFERROR(__xludf.DUMMYFUNCTION("""COMPUTED_VALUE"""),"I bought this item from online... the fit on the model looked a little loose but when i got mine it seemed a bit tight! so i took it back to the store &amp; ordered a larger size. for the sale price this is a great top.")</f>
        <v>I bought this item from online... the fit on the model looked a little loose but when i got mine it seemed a bit tight! so i took it back to the store &amp; ordered a larger size. for the sale price this is a great top.</v>
      </c>
      <c r="F37" s="8">
        <f>IFERROR(__xludf.DUMMYFUNCTION("""COMPUTED_VALUE"""),4.0)</f>
        <v>4</v>
      </c>
      <c r="G37" s="8">
        <f>IFERROR(__xludf.DUMMYFUNCTION("""COMPUTED_VALUE"""),1.0)</f>
        <v>1</v>
      </c>
      <c r="H37" s="8">
        <f>IFERROR(__xludf.DUMMYFUNCTION("""COMPUTED_VALUE"""),0.0)</f>
        <v>0</v>
      </c>
      <c r="I37" s="8" t="str">
        <f>IFERROR(__xludf.DUMMYFUNCTION("""COMPUTED_VALUE"""),"General")</f>
        <v>General</v>
      </c>
      <c r="J37" s="8" t="str">
        <f>IFERROR(__xludf.DUMMYFUNCTION("""COMPUTED_VALUE"""),"Tops")</f>
        <v>Tops</v>
      </c>
      <c r="K37" s="8" t="str">
        <f>IFERROR(__xludf.DUMMYFUNCTION("""COMPUTED_VALUE"""),"Knits")</f>
        <v>Knits</v>
      </c>
    </row>
    <row r="38">
      <c r="A38" s="8">
        <f>IFERROR(__xludf.DUMMYFUNCTION("""COMPUTED_VALUE"""),46.0)</f>
        <v>46</v>
      </c>
      <c r="B38" s="8">
        <f>IFERROR(__xludf.DUMMYFUNCTION("""COMPUTED_VALUE"""),862.0)</f>
        <v>862</v>
      </c>
      <c r="C38" s="8">
        <f>IFERROR(__xludf.DUMMYFUNCTION("""COMPUTED_VALUE"""),40.0)</f>
        <v>40</v>
      </c>
      <c r="D38" s="8"/>
      <c r="E38" s="8" t="str">
        <f>IFERROR(__xludf.DUMMYFUNCTION("""COMPUTED_VALUE"""),"I love this top. i wear it all the time.  the problem is that you can tell i wear it all the time as the fabric has started to fade.  i'd still recommend it as it is so comfortable.")</f>
        <v>I love this top. i wear it all the time.  the problem is that you can tell i wear it all the time as the fabric has started to fade.  i'd still recommend it as it is so comfortable.</v>
      </c>
      <c r="F38" s="8">
        <f>IFERROR(__xludf.DUMMYFUNCTION("""COMPUTED_VALUE"""),5.0)</f>
        <v>5</v>
      </c>
      <c r="G38" s="8">
        <f>IFERROR(__xludf.DUMMYFUNCTION("""COMPUTED_VALUE"""),1.0)</f>
        <v>1</v>
      </c>
      <c r="H38" s="8">
        <f>IFERROR(__xludf.DUMMYFUNCTION("""COMPUTED_VALUE"""),0.0)</f>
        <v>0</v>
      </c>
      <c r="I38" s="8" t="str">
        <f>IFERROR(__xludf.DUMMYFUNCTION("""COMPUTED_VALUE"""),"General")</f>
        <v>General</v>
      </c>
      <c r="J38" s="8" t="str">
        <f>IFERROR(__xludf.DUMMYFUNCTION("""COMPUTED_VALUE"""),"Tops")</f>
        <v>Tops</v>
      </c>
      <c r="K38" s="8" t="str">
        <f>IFERROR(__xludf.DUMMYFUNCTION("""COMPUTED_VALUE"""),"Knits")</f>
        <v>Knits</v>
      </c>
    </row>
    <row r="39">
      <c r="A39" s="8">
        <f>IFERROR(__xludf.DUMMYFUNCTION("""COMPUTED_VALUE"""),47.0)</f>
        <v>47</v>
      </c>
      <c r="B39" s="8">
        <f>IFERROR(__xludf.DUMMYFUNCTION("""COMPUTED_VALUE"""),823.0)</f>
        <v>823</v>
      </c>
      <c r="C39" s="8">
        <f>IFERROR(__xludf.DUMMYFUNCTION("""COMPUTED_VALUE"""),52.0)</f>
        <v>52</v>
      </c>
      <c r="D39" s="8"/>
      <c r="E39" s="8" t="str">
        <f>IFERROR(__xludf.DUMMYFUNCTION("""COMPUTED_VALUE"""),"Very comfortable, material is good, cut out on sleeves flattering")</f>
        <v>Very comfortable, material is good, cut out on sleeves flattering</v>
      </c>
      <c r="F39" s="8">
        <f>IFERROR(__xludf.DUMMYFUNCTION("""COMPUTED_VALUE"""),5.0)</f>
        <v>5</v>
      </c>
      <c r="G39" s="8">
        <f>IFERROR(__xludf.DUMMYFUNCTION("""COMPUTED_VALUE"""),1.0)</f>
        <v>1</v>
      </c>
      <c r="H39" s="8">
        <f>IFERROR(__xludf.DUMMYFUNCTION("""COMPUTED_VALUE"""),0.0)</f>
        <v>0</v>
      </c>
      <c r="I39" s="8" t="str">
        <f>IFERROR(__xludf.DUMMYFUNCTION("""COMPUTED_VALUE"""),"General")</f>
        <v>General</v>
      </c>
      <c r="J39" s="8" t="str">
        <f>IFERROR(__xludf.DUMMYFUNCTION("""COMPUTED_VALUE"""),"Tops")</f>
        <v>Tops</v>
      </c>
      <c r="K39" s="8" t="str">
        <f>IFERROR(__xludf.DUMMYFUNCTION("""COMPUTED_VALUE"""),"Blouses")</f>
        <v>Blouses</v>
      </c>
    </row>
    <row r="40">
      <c r="A40" s="8">
        <f>IFERROR(__xludf.DUMMYFUNCTION("""COMPUTED_VALUE"""),48.0)</f>
        <v>48</v>
      </c>
      <c r="B40" s="8">
        <f>IFERROR(__xludf.DUMMYFUNCTION("""COMPUTED_VALUE"""),910.0)</f>
        <v>910</v>
      </c>
      <c r="C40" s="8">
        <f>IFERROR(__xludf.DUMMYFUNCTION("""COMPUTED_VALUE"""),56.0)</f>
        <v>56</v>
      </c>
      <c r="D40" s="8" t="str">
        <f>IFERROR(__xludf.DUMMYFUNCTION("""COMPUTED_VALUE"""),"Love the color!")</f>
        <v>Love the color!</v>
      </c>
      <c r="E40" s="8" t="str">
        <f>IFERROR(__xludf.DUMMYFUNCTION("""COMPUTED_VALUE"""),"This sweater is perfect for fall...it's roomy, warm, super comfy and the color really pops.")</f>
        <v>This sweater is perfect for fall...it's roomy, warm, super comfy and the color really pops.</v>
      </c>
      <c r="F40" s="8">
        <f>IFERROR(__xludf.DUMMYFUNCTION("""COMPUTED_VALUE"""),5.0)</f>
        <v>5</v>
      </c>
      <c r="G40" s="8">
        <f>IFERROR(__xludf.DUMMYFUNCTION("""COMPUTED_VALUE"""),1.0)</f>
        <v>1</v>
      </c>
      <c r="H40" s="8">
        <f>IFERROR(__xludf.DUMMYFUNCTION("""COMPUTED_VALUE"""),0.0)</f>
        <v>0</v>
      </c>
      <c r="I40" s="8" t="str">
        <f>IFERROR(__xludf.DUMMYFUNCTION("""COMPUTED_VALUE"""),"General")</f>
        <v>General</v>
      </c>
      <c r="J40" s="8" t="str">
        <f>IFERROR(__xludf.DUMMYFUNCTION("""COMPUTED_VALUE"""),"Tops")</f>
        <v>Tops</v>
      </c>
      <c r="K40" s="8" t="str">
        <f>IFERROR(__xludf.DUMMYFUNCTION("""COMPUTED_VALUE"""),"Fine gauge")</f>
        <v>Fine gauge</v>
      </c>
    </row>
    <row r="41">
      <c r="A41" s="8">
        <f>IFERROR(__xludf.DUMMYFUNCTION("""COMPUTED_VALUE"""),49.0)</f>
        <v>49</v>
      </c>
      <c r="B41" s="8">
        <f>IFERROR(__xludf.DUMMYFUNCTION("""COMPUTED_VALUE"""),862.0)</f>
        <v>862</v>
      </c>
      <c r="C41" s="8">
        <f>IFERROR(__xludf.DUMMYFUNCTION("""COMPUTED_VALUE"""),33.0)</f>
        <v>33</v>
      </c>
      <c r="D41" s="8" t="str">
        <f>IFERROR(__xludf.DUMMYFUNCTION("""COMPUTED_VALUE"""),"Love the embroidery!")</f>
        <v>Love the embroidery!</v>
      </c>
      <c r="E41" s="8" t="str">
        <f>IFERROR(__xludf.DUMMYFUNCTION("""COMPUTED_VALUE"""),"Really cute top! the embroidery on the collar &amp; bib of this top is beautiful and unique, received lots of compliments &amp; questions about where i got it. i'm rather busty up top and the medium fit well, a small probably would've fit better but it's still su"&amp;"per adorable.")</f>
        <v>Really cute top! the embroidery on the collar &amp; bib of this top is beautiful and unique, received lots of compliments &amp; questions about where i got it. i'm rather busty up top and the medium fit well, a small probably would've fit better but it's still super adorable.</v>
      </c>
      <c r="F41" s="8">
        <f>IFERROR(__xludf.DUMMYFUNCTION("""COMPUTED_VALUE"""),5.0)</f>
        <v>5</v>
      </c>
      <c r="G41" s="8">
        <f>IFERROR(__xludf.DUMMYFUNCTION("""COMPUTED_VALUE"""),1.0)</f>
        <v>1</v>
      </c>
      <c r="H41" s="8">
        <f>IFERROR(__xludf.DUMMYFUNCTION("""COMPUTED_VALUE"""),0.0)</f>
        <v>0</v>
      </c>
      <c r="I41" s="8" t="str">
        <f>IFERROR(__xludf.DUMMYFUNCTION("""COMPUTED_VALUE"""),"General")</f>
        <v>General</v>
      </c>
      <c r="J41" s="8" t="str">
        <f>IFERROR(__xludf.DUMMYFUNCTION("""COMPUTED_VALUE"""),"Tops")</f>
        <v>Tops</v>
      </c>
      <c r="K41" s="8" t="str">
        <f>IFERROR(__xludf.DUMMYFUNCTION("""COMPUTED_VALUE"""),"Knits")</f>
        <v>Knits</v>
      </c>
    </row>
    <row r="42">
      <c r="A42" s="8">
        <f>IFERROR(__xludf.DUMMYFUNCTION("""COMPUTED_VALUE"""),50.0)</f>
        <v>50</v>
      </c>
      <c r="B42" s="8">
        <f>IFERROR(__xludf.DUMMYFUNCTION("""COMPUTED_VALUE"""),862.0)</f>
        <v>862</v>
      </c>
      <c r="C42" s="8">
        <f>IFERROR(__xludf.DUMMYFUNCTION("""COMPUTED_VALUE"""),46.0)</f>
        <v>46</v>
      </c>
      <c r="D42" s="8" t="str">
        <f>IFERROR(__xludf.DUMMYFUNCTION("""COMPUTED_VALUE"""),"Cute for fall")</f>
        <v>Cute for fall</v>
      </c>
      <c r="E42" s="8" t="str">
        <f>IFERROR(__xludf.DUMMYFUNCTION("""COMPUTED_VALUE"""),"This is a cute top that can transition easily from summer to fall. it fits well, nice print and it's comfortable. i tried this on in the store, but did not purchase it because the color washed me out. this is not the best color for a blonde. would look mu"&amp;"ch better on a brunette. if this was in a different color i most likely would have purchased it.")</f>
        <v>This is a cute top that can transition easily from summer to fall. it fits well, nice print and it's comfortable. i tried this on in the store, but did not purchase it because the color washed me out. this is not the best color for a blonde. would look much better on a brunette. if this was in a different color i most likely would have purchased it.</v>
      </c>
      <c r="F42" s="8">
        <f>IFERROR(__xludf.DUMMYFUNCTION("""COMPUTED_VALUE"""),4.0)</f>
        <v>4</v>
      </c>
      <c r="G42" s="8">
        <f>IFERROR(__xludf.DUMMYFUNCTION("""COMPUTED_VALUE"""),1.0)</f>
        <v>1</v>
      </c>
      <c r="H42" s="8">
        <f>IFERROR(__xludf.DUMMYFUNCTION("""COMPUTED_VALUE"""),1.0)</f>
        <v>1</v>
      </c>
      <c r="I42" s="8" t="str">
        <f>IFERROR(__xludf.DUMMYFUNCTION("""COMPUTED_VALUE"""),"General")</f>
        <v>General</v>
      </c>
      <c r="J42" s="8" t="str">
        <f>IFERROR(__xludf.DUMMYFUNCTION("""COMPUTED_VALUE"""),"Tops")</f>
        <v>Tops</v>
      </c>
      <c r="K42" s="8" t="str">
        <f>IFERROR(__xludf.DUMMYFUNCTION("""COMPUTED_VALUE"""),"Knits")</f>
        <v>Knits</v>
      </c>
    </row>
    <row r="43">
      <c r="A43" s="8">
        <f>IFERROR(__xludf.DUMMYFUNCTION("""COMPUTED_VALUE"""),51.0)</f>
        <v>51</v>
      </c>
      <c r="B43" s="8">
        <f>IFERROR(__xludf.DUMMYFUNCTION("""COMPUTED_VALUE"""),862.0)</f>
        <v>862</v>
      </c>
      <c r="C43" s="8">
        <f>IFERROR(__xludf.DUMMYFUNCTION("""COMPUTED_VALUE"""),41.0)</f>
        <v>41</v>
      </c>
      <c r="D43" s="8" t="str">
        <f>IFERROR(__xludf.DUMMYFUNCTION("""COMPUTED_VALUE"""),"Love")</f>
        <v>Love</v>
      </c>
      <c r="E43" s="8" t="str">
        <f>IFERROR(__xludf.DUMMYFUNCTION("""COMPUTED_VALUE"""),"I absolutely love this bib tee! it's probably my favorite retailer purchase of all time. i'm 5'7"", 140 pounds and the small was a perfect fit for me. i typically wear either a s or m tops.")</f>
        <v>I absolutely love this bib tee! it's probably my favorite retailer purchase of all time. i'm 5'7", 140 pounds and the small was a perfect fit for me. i typically wear either a s or m tops.</v>
      </c>
      <c r="F43" s="8">
        <f>IFERROR(__xludf.DUMMYFUNCTION("""COMPUTED_VALUE"""),5.0)</f>
        <v>5</v>
      </c>
      <c r="G43" s="8">
        <f>IFERROR(__xludf.DUMMYFUNCTION("""COMPUTED_VALUE"""),1.0)</f>
        <v>1</v>
      </c>
      <c r="H43" s="8">
        <f>IFERROR(__xludf.DUMMYFUNCTION("""COMPUTED_VALUE"""),2.0)</f>
        <v>2</v>
      </c>
      <c r="I43" s="8" t="str">
        <f>IFERROR(__xludf.DUMMYFUNCTION("""COMPUTED_VALUE"""),"General")</f>
        <v>General</v>
      </c>
      <c r="J43" s="8" t="str">
        <f>IFERROR(__xludf.DUMMYFUNCTION("""COMPUTED_VALUE"""),"Tops")</f>
        <v>Tops</v>
      </c>
      <c r="K43" s="8" t="str">
        <f>IFERROR(__xludf.DUMMYFUNCTION("""COMPUTED_VALUE"""),"Knits")</f>
        <v>Knits</v>
      </c>
    </row>
    <row r="44">
      <c r="A44" s="8">
        <f>IFERROR(__xludf.DUMMYFUNCTION("""COMPUTED_VALUE"""),53.0)</f>
        <v>53</v>
      </c>
      <c r="B44" s="8">
        <f>IFERROR(__xludf.DUMMYFUNCTION("""COMPUTED_VALUE"""),862.0)</f>
        <v>862</v>
      </c>
      <c r="C44" s="8">
        <f>IFERROR(__xludf.DUMMYFUNCTION("""COMPUTED_VALUE"""),39.0)</f>
        <v>39</v>
      </c>
      <c r="D44" s="8" t="str">
        <f>IFERROR(__xludf.DUMMYFUNCTION("""COMPUTED_VALUE"""),"Flattering and comfortable")</f>
        <v>Flattering and comfortable</v>
      </c>
      <c r="E44" s="8" t="str">
        <f>IFERROR(__xludf.DUMMYFUNCTION("""COMPUTED_VALUE"""),"Very soft and comfortable. the shirt has an unusual, asymmetrical seam that appears along the front, right-hand side of the garment. (the model is positioned so that you can't see this detail from the picture. i attached a picture that includes the front "&amp;"seam.) i actually like the seam - it creates more visual interest, and adds a little bit of ruching that helps hide my belly. the cowl neck is very well done - there are two layers that form the cowl, and i've found that it means wardrobe malfun")</f>
        <v>Very soft and comfortable. the shirt has an unusual, asymmetrical seam that appears along the front, right-hand side of the garment. (the model is positioned so that you can't see this detail from the picture. i attached a picture that includes the front seam.) i actually like the seam - it creates more visual interest, and adds a little bit of ruching that helps hide my belly. the cowl neck is very well done - there are two layers that form the cowl, and i've found that it means wardrobe malfun</v>
      </c>
      <c r="F44" s="8">
        <f>IFERROR(__xludf.DUMMYFUNCTION("""COMPUTED_VALUE"""),5.0)</f>
        <v>5</v>
      </c>
      <c r="G44" s="8">
        <f>IFERROR(__xludf.DUMMYFUNCTION("""COMPUTED_VALUE"""),1.0)</f>
        <v>1</v>
      </c>
      <c r="H44" s="8">
        <f>IFERROR(__xludf.DUMMYFUNCTION("""COMPUTED_VALUE"""),34.0)</f>
        <v>34</v>
      </c>
      <c r="I44" s="8" t="str">
        <f>IFERROR(__xludf.DUMMYFUNCTION("""COMPUTED_VALUE"""),"General")</f>
        <v>General</v>
      </c>
      <c r="J44" s="8" t="str">
        <f>IFERROR(__xludf.DUMMYFUNCTION("""COMPUTED_VALUE"""),"Tops")</f>
        <v>Tops</v>
      </c>
      <c r="K44" s="8" t="str">
        <f>IFERROR(__xludf.DUMMYFUNCTION("""COMPUTED_VALUE"""),"Knits")</f>
        <v>Knits</v>
      </c>
    </row>
    <row r="45">
      <c r="A45" s="8">
        <f>IFERROR(__xludf.DUMMYFUNCTION("""COMPUTED_VALUE"""),54.0)</f>
        <v>54</v>
      </c>
      <c r="B45" s="8">
        <f>IFERROR(__xludf.DUMMYFUNCTION("""COMPUTED_VALUE"""),862.0)</f>
        <v>862</v>
      </c>
      <c r="C45" s="8">
        <f>IFERROR(__xludf.DUMMYFUNCTION("""COMPUTED_VALUE"""),66.0)</f>
        <v>66</v>
      </c>
      <c r="D45" s="8" t="str">
        <f>IFERROR(__xludf.DUMMYFUNCTION("""COMPUTED_VALUE"""),"Cute top")</f>
        <v>Cute top</v>
      </c>
      <c r="E45" s="8" t="str">
        <f>IFERROR(__xludf.DUMMYFUNCTION("""COMPUTED_VALUE"""),"Nice top. armholes are a bit oversized but as an older woman, i'm picky about that. the print is pretty and unusual. it just didn't look great on me. there's a slight peplum in the back that hangs nicely. it's a lightweight tee fabric that's opaque. i tri"&amp;"ed it on with a black bra which was barely visible. great for warmer climates but there are so many gorgeous tops out now, that i decided to return since summer is winding down. i do recommend.")</f>
        <v>Nice top. armholes are a bit oversized but as an older woman, i'm picky about that. the print is pretty and unusual. it just didn't look great on me. there's a slight peplum in the back that hangs nicely. it's a lightweight tee fabric that's opaque. i tried it on with a black bra which was barely visible. great for warmer climates but there are so many gorgeous tops out now, that i decided to return since summer is winding down. i do recommend.</v>
      </c>
      <c r="F45" s="8">
        <f>IFERROR(__xludf.DUMMYFUNCTION("""COMPUTED_VALUE"""),4.0)</f>
        <v>4</v>
      </c>
      <c r="G45" s="8">
        <f>IFERROR(__xludf.DUMMYFUNCTION("""COMPUTED_VALUE"""),1.0)</f>
        <v>1</v>
      </c>
      <c r="H45" s="8">
        <f>IFERROR(__xludf.DUMMYFUNCTION("""COMPUTED_VALUE"""),2.0)</f>
        <v>2</v>
      </c>
      <c r="I45" s="8" t="str">
        <f>IFERROR(__xludf.DUMMYFUNCTION("""COMPUTED_VALUE"""),"General")</f>
        <v>General</v>
      </c>
      <c r="J45" s="8" t="str">
        <f>IFERROR(__xludf.DUMMYFUNCTION("""COMPUTED_VALUE"""),"Tops")</f>
        <v>Tops</v>
      </c>
      <c r="K45" s="8" t="str">
        <f>IFERROR(__xludf.DUMMYFUNCTION("""COMPUTED_VALUE"""),"Knits")</f>
        <v>Knits</v>
      </c>
    </row>
    <row r="46">
      <c r="A46" s="8">
        <f>IFERROR(__xludf.DUMMYFUNCTION("""COMPUTED_VALUE"""),55.0)</f>
        <v>55</v>
      </c>
      <c r="B46" s="8">
        <f>IFERROR(__xludf.DUMMYFUNCTION("""COMPUTED_VALUE"""),862.0)</f>
        <v>862</v>
      </c>
      <c r="C46" s="8">
        <f>IFERROR(__xludf.DUMMYFUNCTION("""COMPUTED_VALUE"""),61.0)</f>
        <v>61</v>
      </c>
      <c r="D46" s="8" t="str">
        <f>IFERROR(__xludf.DUMMYFUNCTION("""COMPUTED_VALUE"""),"Soft and cute as can be!")</f>
        <v>Soft and cute as can be!</v>
      </c>
      <c r="E46" s="8" t="str">
        <f>IFERROR(__xludf.DUMMYFUNCTION("""COMPUTED_VALUE"""),"This is an adorable top that i find to be extremely comfortable. i don't usually buy prints but this one is so feminine and looks great with dark wash jeans. i am a 36d and the medium was a perfect fit.")</f>
        <v>This is an adorable top that i find to be extremely comfortable. i don't usually buy prints but this one is so feminine and looks great with dark wash jeans. i am a 36d and the medium was a perfect fit.</v>
      </c>
      <c r="F46" s="8">
        <f>IFERROR(__xludf.DUMMYFUNCTION("""COMPUTED_VALUE"""),5.0)</f>
        <v>5</v>
      </c>
      <c r="G46" s="8">
        <f>IFERROR(__xludf.DUMMYFUNCTION("""COMPUTED_VALUE"""),1.0)</f>
        <v>1</v>
      </c>
      <c r="H46" s="8">
        <f>IFERROR(__xludf.DUMMYFUNCTION("""COMPUTED_VALUE"""),2.0)</f>
        <v>2</v>
      </c>
      <c r="I46" s="8" t="str">
        <f>IFERROR(__xludf.DUMMYFUNCTION("""COMPUTED_VALUE"""),"General")</f>
        <v>General</v>
      </c>
      <c r="J46" s="8" t="str">
        <f>IFERROR(__xludf.DUMMYFUNCTION("""COMPUTED_VALUE"""),"Tops")</f>
        <v>Tops</v>
      </c>
      <c r="K46" s="8" t="str">
        <f>IFERROR(__xludf.DUMMYFUNCTION("""COMPUTED_VALUE"""),"Knits")</f>
        <v>Knits</v>
      </c>
    </row>
    <row r="47">
      <c r="A47" s="8">
        <f>IFERROR(__xludf.DUMMYFUNCTION("""COMPUTED_VALUE"""),58.0)</f>
        <v>58</v>
      </c>
      <c r="B47" s="8">
        <f>IFERROR(__xludf.DUMMYFUNCTION("""COMPUTED_VALUE"""),1095.0)</f>
        <v>1095</v>
      </c>
      <c r="C47" s="8">
        <f>IFERROR(__xludf.DUMMYFUNCTION("""COMPUTED_VALUE"""),36.0)</f>
        <v>36</v>
      </c>
      <c r="D47" s="8"/>
      <c r="E47" s="8" t="str">
        <f>IFERROR(__xludf.DUMMYFUNCTION("""COMPUTED_VALUE"""),"I got this in the petite length, size o, and it fit just right. i like that i didn't have to have it altered in the length; can wear with flats with plenty of clearance to the floor from the bottom hem. my only beef with the design is the height of the wa"&amp;"ist. i personally think that the elastic waistband looks cheap, and really needs to be concealed with a belt, yet because it sits so high, literally right under the bustline, it's a tricky one to pull off. i have a wide belt that sort of does th")</f>
        <v>I got this in the petite length, size o, and it fit just right. i like that i didn't have to have it altered in the length; can wear with flats with plenty of clearance to the floor from the bottom hem. my only beef with the design is the height of the waist. i personally think that the elastic waistband looks cheap, and really needs to be concealed with a belt, yet because it sits so high, literally right under the bustline, it's a tricky one to pull off. i have a wide belt that sort of does th</v>
      </c>
      <c r="F47" s="8">
        <f>IFERROR(__xludf.DUMMYFUNCTION("""COMPUTED_VALUE"""),4.0)</f>
        <v>4</v>
      </c>
      <c r="G47" s="8">
        <f>IFERROR(__xludf.DUMMYFUNCTION("""COMPUTED_VALUE"""),1.0)</f>
        <v>1</v>
      </c>
      <c r="H47" s="8">
        <f>IFERROR(__xludf.DUMMYFUNCTION("""COMPUTED_VALUE"""),0.0)</f>
        <v>0</v>
      </c>
      <c r="I47" s="8" t="str">
        <f>IFERROR(__xludf.DUMMYFUNCTION("""COMPUTED_VALUE"""),"General Petite")</f>
        <v>General Petite</v>
      </c>
      <c r="J47" s="8" t="str">
        <f>IFERROR(__xludf.DUMMYFUNCTION("""COMPUTED_VALUE"""),"Dresses")</f>
        <v>Dresses</v>
      </c>
      <c r="K47" s="8" t="str">
        <f>IFERROR(__xludf.DUMMYFUNCTION("""COMPUTED_VALUE"""),"Dresses")</f>
        <v>Dresses</v>
      </c>
    </row>
    <row r="48">
      <c r="A48" s="8">
        <f>IFERROR(__xludf.DUMMYFUNCTION("""COMPUTED_VALUE"""),59.0)</f>
        <v>59</v>
      </c>
      <c r="B48" s="8">
        <f>IFERROR(__xludf.DUMMYFUNCTION("""COMPUTED_VALUE"""),368.0)</f>
        <v>368</v>
      </c>
      <c r="C48" s="8">
        <f>IFERROR(__xludf.DUMMYFUNCTION("""COMPUTED_VALUE"""),52.0)</f>
        <v>52</v>
      </c>
      <c r="D48" s="8" t="str">
        <f>IFERROR(__xludf.DUMMYFUNCTION("""COMPUTED_VALUE"""),"Soft and comfortable")</f>
        <v>Soft and comfortable</v>
      </c>
      <c r="E48" s="8" t="str">
        <f>IFERROR(__xludf.DUMMYFUNCTION("""COMPUTED_VALUE"""),"I've been looking for bralettes that provide some support but not binding/tight for night time and casual wear. this is a light weight bra, could be a little more supportive. pretty color, with nice lines. only downside is the retailer tag on the back - i"&amp;"tchy (i need to remove it.)")</f>
        <v>I've been looking for bralettes that provide some support but not binding/tight for night time and casual wear. this is a light weight bra, could be a little more supportive. pretty color, with nice lines. only downside is the retailer tag on the back - itchy (i need to remove it.)</v>
      </c>
      <c r="F48" s="8">
        <f>IFERROR(__xludf.DUMMYFUNCTION("""COMPUTED_VALUE"""),4.0)</f>
        <v>4</v>
      </c>
      <c r="G48" s="8">
        <f>IFERROR(__xludf.DUMMYFUNCTION("""COMPUTED_VALUE"""),1.0)</f>
        <v>1</v>
      </c>
      <c r="H48" s="8">
        <f>IFERROR(__xludf.DUMMYFUNCTION("""COMPUTED_VALUE"""),1.0)</f>
        <v>1</v>
      </c>
      <c r="I48" s="8" t="str">
        <f>IFERROR(__xludf.DUMMYFUNCTION("""COMPUTED_VALUE"""),"Initmates")</f>
        <v>Initmates</v>
      </c>
      <c r="J48" s="8" t="str">
        <f>IFERROR(__xludf.DUMMYFUNCTION("""COMPUTED_VALUE"""),"Intimate")</f>
        <v>Intimate</v>
      </c>
      <c r="K48" s="8" t="str">
        <f>IFERROR(__xludf.DUMMYFUNCTION("""COMPUTED_VALUE"""),"Intimates")</f>
        <v>Intimates</v>
      </c>
    </row>
    <row r="49">
      <c r="A49" s="8">
        <f>IFERROR(__xludf.DUMMYFUNCTION("""COMPUTED_VALUE"""),60.0)</f>
        <v>60</v>
      </c>
      <c r="B49" s="8">
        <f>IFERROR(__xludf.DUMMYFUNCTION("""COMPUTED_VALUE"""),1095.0)</f>
        <v>1095</v>
      </c>
      <c r="C49" s="8">
        <f>IFERROR(__xludf.DUMMYFUNCTION("""COMPUTED_VALUE"""),41.0)</f>
        <v>41</v>
      </c>
      <c r="D49" s="8" t="str">
        <f>IFERROR(__xludf.DUMMYFUNCTION("""COMPUTED_VALUE"""),"Gorgeous dress!")</f>
        <v>Gorgeous dress!</v>
      </c>
      <c r="E49" s="8" t="str">
        <f>IFERROR(__xludf.DUMMYFUNCTION("""COMPUTED_VALUE"""),"This dress is simply beautiful and stunning. it is so figure flattering and i can't wait to wear it. size small worked for me, and since i'm tall it fell right to my ankle which is perfect for me. i could not be happier with the purchase and the keyhole i"&amp;"n the back is a beautiful detail.")</f>
        <v>This dress is simply beautiful and stunning. it is so figure flattering and i can't wait to wear it. size small worked for me, and since i'm tall it fell right to my ankle which is perfect for me. i could not be happier with the purchase and the keyhole in the back is a beautiful detail.</v>
      </c>
      <c r="F49" s="8">
        <f>IFERROR(__xludf.DUMMYFUNCTION("""COMPUTED_VALUE"""),5.0)</f>
        <v>5</v>
      </c>
      <c r="G49" s="8">
        <f>IFERROR(__xludf.DUMMYFUNCTION("""COMPUTED_VALUE"""),1.0)</f>
        <v>1</v>
      </c>
      <c r="H49" s="8">
        <f>IFERROR(__xludf.DUMMYFUNCTION("""COMPUTED_VALUE"""),0.0)</f>
        <v>0</v>
      </c>
      <c r="I49" s="8" t="str">
        <f>IFERROR(__xludf.DUMMYFUNCTION("""COMPUTED_VALUE"""),"General Petite")</f>
        <v>General Petite</v>
      </c>
      <c r="J49" s="8" t="str">
        <f>IFERROR(__xludf.DUMMYFUNCTION("""COMPUTED_VALUE"""),"Dresses")</f>
        <v>Dresses</v>
      </c>
      <c r="K49" s="8" t="str">
        <f>IFERROR(__xludf.DUMMYFUNCTION("""COMPUTED_VALUE"""),"Dresses")</f>
        <v>Dresses</v>
      </c>
    </row>
    <row r="50">
      <c r="A50" s="8">
        <f>IFERROR(__xludf.DUMMYFUNCTION("""COMPUTED_VALUE"""),62.0)</f>
        <v>62</v>
      </c>
      <c r="B50" s="8">
        <f>IFERROR(__xludf.DUMMYFUNCTION("""COMPUTED_VALUE"""),862.0)</f>
        <v>862</v>
      </c>
      <c r="C50" s="8">
        <f>IFERROR(__xludf.DUMMYFUNCTION("""COMPUTED_VALUE"""),28.0)</f>
        <v>28</v>
      </c>
      <c r="D50" s="8" t="str">
        <f>IFERROR(__xludf.DUMMYFUNCTION("""COMPUTED_VALUE"""),"Must have")</f>
        <v>Must have</v>
      </c>
      <c r="E50" s="8" t="str">
        <f>IFERROR(__xludf.DUMMYFUNCTION("""COMPUTED_VALUE"""),"I recently got this on sale after looking at it forever on my wish list. i'm so happy with it. its very comfortable and just long enough for my torso (5'3). the pattern on the front is very flattering.")</f>
        <v>I recently got this on sale after looking at it forever on my wish list. i'm so happy with it. its very comfortable and just long enough for my torso (5'3). the pattern on the front is very flattering.</v>
      </c>
      <c r="F50" s="8">
        <f>IFERROR(__xludf.DUMMYFUNCTION("""COMPUTED_VALUE"""),5.0)</f>
        <v>5</v>
      </c>
      <c r="G50" s="8">
        <f>IFERROR(__xludf.DUMMYFUNCTION("""COMPUTED_VALUE"""),1.0)</f>
        <v>1</v>
      </c>
      <c r="H50" s="8">
        <f>IFERROR(__xludf.DUMMYFUNCTION("""COMPUTED_VALUE"""),0.0)</f>
        <v>0</v>
      </c>
      <c r="I50" s="8" t="str">
        <f>IFERROR(__xludf.DUMMYFUNCTION("""COMPUTED_VALUE"""),"General")</f>
        <v>General</v>
      </c>
      <c r="J50" s="8" t="str">
        <f>IFERROR(__xludf.DUMMYFUNCTION("""COMPUTED_VALUE"""),"Tops")</f>
        <v>Tops</v>
      </c>
      <c r="K50" s="8" t="str">
        <f>IFERROR(__xludf.DUMMYFUNCTION("""COMPUTED_VALUE"""),"Knits")</f>
        <v>Knits</v>
      </c>
    </row>
    <row r="51">
      <c r="A51" s="8">
        <f>IFERROR(__xludf.DUMMYFUNCTION("""COMPUTED_VALUE"""),63.0)</f>
        <v>63</v>
      </c>
      <c r="B51" s="8">
        <f>IFERROR(__xludf.DUMMYFUNCTION("""COMPUTED_VALUE"""),862.0)</f>
        <v>862</v>
      </c>
      <c r="C51" s="8">
        <f>IFERROR(__xludf.DUMMYFUNCTION("""COMPUTED_VALUE"""),57.0)</f>
        <v>57</v>
      </c>
      <c r="D51" s="8" t="str">
        <f>IFERROR(__xludf.DUMMYFUNCTION("""COMPUTED_VALUE"""),"Cute top! love the brand")</f>
        <v>Cute top! love the brand</v>
      </c>
      <c r="E51" s="8" t="str">
        <f>IFERROR(__xludf.DUMMYFUNCTION("""COMPUTED_VALUE"""),"Very comfortable shirt, light weight top with lovely floral colors. great for spring/summer with white jeans. love everything one september makes!")</f>
        <v>Very comfortable shirt, light weight top with lovely floral colors. great for spring/summer with white jeans. love everything one september makes!</v>
      </c>
      <c r="F51" s="8">
        <f>IFERROR(__xludf.DUMMYFUNCTION("""COMPUTED_VALUE"""),5.0)</f>
        <v>5</v>
      </c>
      <c r="G51" s="8">
        <f>IFERROR(__xludf.DUMMYFUNCTION("""COMPUTED_VALUE"""),1.0)</f>
        <v>1</v>
      </c>
      <c r="H51" s="8">
        <f>IFERROR(__xludf.DUMMYFUNCTION("""COMPUTED_VALUE"""),1.0)</f>
        <v>1</v>
      </c>
      <c r="I51" s="8" t="str">
        <f>IFERROR(__xludf.DUMMYFUNCTION("""COMPUTED_VALUE"""),"General")</f>
        <v>General</v>
      </c>
      <c r="J51" s="8" t="str">
        <f>IFERROR(__xludf.DUMMYFUNCTION("""COMPUTED_VALUE"""),"Tops")</f>
        <v>Tops</v>
      </c>
      <c r="K51" s="8" t="str">
        <f>IFERROR(__xludf.DUMMYFUNCTION("""COMPUTED_VALUE"""),"Knits")</f>
        <v>Knits</v>
      </c>
    </row>
    <row r="52">
      <c r="A52" s="8">
        <f>IFERROR(__xludf.DUMMYFUNCTION("""COMPUTED_VALUE"""),64.0)</f>
        <v>64</v>
      </c>
      <c r="B52" s="8">
        <f>IFERROR(__xludf.DUMMYFUNCTION("""COMPUTED_VALUE"""),862.0)</f>
        <v>862</v>
      </c>
      <c r="C52" s="8">
        <f>IFERROR(__xludf.DUMMYFUNCTION("""COMPUTED_VALUE"""),43.0)</f>
        <v>43</v>
      </c>
      <c r="D52" s="8" t="str">
        <f>IFERROR(__xludf.DUMMYFUNCTION("""COMPUTED_VALUE"""),"Love this top")</f>
        <v>Love this top</v>
      </c>
      <c r="E52" s="8" t="str">
        <f>IFERROR(__xludf.DUMMYFUNCTION("""COMPUTED_VALUE"""),"Loved this top and was really happy to find it on sale!")</f>
        <v>Loved this top and was really happy to find it on sale!</v>
      </c>
      <c r="F52" s="8">
        <f>IFERROR(__xludf.DUMMYFUNCTION("""COMPUTED_VALUE"""),5.0)</f>
        <v>5</v>
      </c>
      <c r="G52" s="8">
        <f>IFERROR(__xludf.DUMMYFUNCTION("""COMPUTED_VALUE"""),1.0)</f>
        <v>1</v>
      </c>
      <c r="H52" s="8">
        <f>IFERROR(__xludf.DUMMYFUNCTION("""COMPUTED_VALUE"""),0.0)</f>
        <v>0</v>
      </c>
      <c r="I52" s="8" t="str">
        <f>IFERROR(__xludf.DUMMYFUNCTION("""COMPUTED_VALUE"""),"General")</f>
        <v>General</v>
      </c>
      <c r="J52" s="8" t="str">
        <f>IFERROR(__xludf.DUMMYFUNCTION("""COMPUTED_VALUE"""),"Tops")</f>
        <v>Tops</v>
      </c>
      <c r="K52" s="8" t="str">
        <f>IFERROR(__xludf.DUMMYFUNCTION("""COMPUTED_VALUE"""),"Knits")</f>
        <v>Knits</v>
      </c>
    </row>
    <row r="53">
      <c r="A53" s="8">
        <f>IFERROR(__xludf.DUMMYFUNCTION("""COMPUTED_VALUE"""),65.0)</f>
        <v>65</v>
      </c>
      <c r="B53" s="8">
        <f>IFERROR(__xludf.DUMMYFUNCTION("""COMPUTED_VALUE"""),862.0)</f>
        <v>862</v>
      </c>
      <c r="C53" s="8">
        <f>IFERROR(__xludf.DUMMYFUNCTION("""COMPUTED_VALUE"""),58.0)</f>
        <v>58</v>
      </c>
      <c r="D53" s="8"/>
      <c r="E53" s="8" t="str">
        <f>IFERROR(__xludf.DUMMYFUNCTION("""COMPUTED_VALUE"""),"Beautiful top, but delicate! i wore it to school and the straps on my backpack caused some pilling. other than that it is beautiful and vibrant! just make sure you aren't doing/wearing anything that will rub it continuously since the fabric is delicate")</f>
        <v>Beautiful top, but delicate! i wore it to school and the straps on my backpack caused some pilling. other than that it is beautiful and vibrant! just make sure you aren't doing/wearing anything that will rub it continuously since the fabric is delicate</v>
      </c>
      <c r="F53" s="8">
        <f>IFERROR(__xludf.DUMMYFUNCTION("""COMPUTED_VALUE"""),4.0)</f>
        <v>4</v>
      </c>
      <c r="G53" s="8">
        <f>IFERROR(__xludf.DUMMYFUNCTION("""COMPUTED_VALUE"""),1.0)</f>
        <v>1</v>
      </c>
      <c r="H53" s="8">
        <f>IFERROR(__xludf.DUMMYFUNCTION("""COMPUTED_VALUE"""),2.0)</f>
        <v>2</v>
      </c>
      <c r="I53" s="8" t="str">
        <f>IFERROR(__xludf.DUMMYFUNCTION("""COMPUTED_VALUE"""),"General")</f>
        <v>General</v>
      </c>
      <c r="J53" s="8" t="str">
        <f>IFERROR(__xludf.DUMMYFUNCTION("""COMPUTED_VALUE"""),"Tops")</f>
        <v>Tops</v>
      </c>
      <c r="K53" s="8" t="str">
        <f>IFERROR(__xludf.DUMMYFUNCTION("""COMPUTED_VALUE"""),"Knits")</f>
        <v>Knits</v>
      </c>
    </row>
    <row r="54">
      <c r="A54" s="8">
        <f>IFERROR(__xludf.DUMMYFUNCTION("""COMPUTED_VALUE"""),66.0)</f>
        <v>66</v>
      </c>
      <c r="B54" s="8">
        <f>IFERROR(__xludf.DUMMYFUNCTION("""COMPUTED_VALUE"""),862.0)</f>
        <v>862</v>
      </c>
      <c r="C54" s="8">
        <f>IFERROR(__xludf.DUMMYFUNCTION("""COMPUTED_VALUE"""),60.0)</f>
        <v>60</v>
      </c>
      <c r="D54" s="8" t="str">
        <f>IFERROR(__xludf.DUMMYFUNCTION("""COMPUTED_VALUE"""),"Super cute and unique top")</f>
        <v>Super cute and unique top</v>
      </c>
      <c r="E54" s="8" t="str">
        <f>IFERROR(__xludf.DUMMYFUNCTION("""COMPUTED_VALUE"""),"Just received this in the mail, tried it on and am smitten. i'm usually a l, but sometimes i'm a xl (if no stretch), in retailer tops. i bought this one in l and i'm sure glad i did. very flowy, stretchy and comfortable. i also bought the meda lace top fr"&amp;"om one september and they are very similar expect this is more of a t-shirt and the other is more of a blouse. i almost think i could've gotten a m in this because there is a lot of extra fabric at the chest which is usually never the issue for me")</f>
        <v>Just received this in the mail, tried it on and am smitten. i'm usually a l, but sometimes i'm a xl (if no stretch), in retailer tops. i bought this one in l and i'm sure glad i did. very flowy, stretchy and comfortable. i also bought the meda lace top from one september and they are very similar expect this is more of a t-shirt and the other is more of a blouse. i almost think i could've gotten a m in this because there is a lot of extra fabric at the chest which is usually never the issue for me</v>
      </c>
      <c r="F54" s="8">
        <f>IFERROR(__xludf.DUMMYFUNCTION("""COMPUTED_VALUE"""),4.0)</f>
        <v>4</v>
      </c>
      <c r="G54" s="8">
        <f>IFERROR(__xludf.DUMMYFUNCTION("""COMPUTED_VALUE"""),1.0)</f>
        <v>1</v>
      </c>
      <c r="H54" s="8">
        <f>IFERROR(__xludf.DUMMYFUNCTION("""COMPUTED_VALUE"""),9.0)</f>
        <v>9</v>
      </c>
      <c r="I54" s="8" t="str">
        <f>IFERROR(__xludf.DUMMYFUNCTION("""COMPUTED_VALUE"""),"General")</f>
        <v>General</v>
      </c>
      <c r="J54" s="8" t="str">
        <f>IFERROR(__xludf.DUMMYFUNCTION("""COMPUTED_VALUE"""),"Tops")</f>
        <v>Tops</v>
      </c>
      <c r="K54" s="8" t="str">
        <f>IFERROR(__xludf.DUMMYFUNCTION("""COMPUTED_VALUE"""),"Knits")</f>
        <v>Knits</v>
      </c>
    </row>
    <row r="55">
      <c r="A55" s="8">
        <f>IFERROR(__xludf.DUMMYFUNCTION("""COMPUTED_VALUE"""),67.0)</f>
        <v>67</v>
      </c>
      <c r="B55" s="8">
        <f>IFERROR(__xludf.DUMMYFUNCTION("""COMPUTED_VALUE"""),862.0)</f>
        <v>862</v>
      </c>
      <c r="C55" s="8">
        <f>IFERROR(__xludf.DUMMYFUNCTION("""COMPUTED_VALUE"""),40.0)</f>
        <v>40</v>
      </c>
      <c r="D55" s="8" t="str">
        <f>IFERROR(__xludf.DUMMYFUNCTION("""COMPUTED_VALUE"""),"Beautiful top")</f>
        <v>Beautiful top</v>
      </c>
      <c r="E55" s="8" t="str">
        <f>IFERROR(__xludf.DUMMYFUNCTION("""COMPUTED_VALUE"""),"Love this top! i kept eyeing it online and wavering on size, since my post-baby body is a little wonky. i went with the xsp, and miraculously, it works perfectly! so, i would say it does run just a little large..... i love the length, and usually do not g"&amp;"o with petite sizes at retailer because i like the longer lengths of the regular. but this is perfect on me, and there is give up top, so it looks lovely. and it is very soft and comfortable. this will be a go-to top this season!")</f>
        <v>Love this top! i kept eyeing it online and wavering on size, since my post-baby body is a little wonky. i went with the xsp, and miraculously, it works perfectly! so, i would say it does run just a little large..... i love the length, and usually do not go with petite sizes at retailer because i like the longer lengths of the regular. but this is perfect on me, and there is give up top, so it looks lovely. and it is very soft and comfortable. this will be a go-to top this season!</v>
      </c>
      <c r="F55" s="8">
        <f>IFERROR(__xludf.DUMMYFUNCTION("""COMPUTED_VALUE"""),5.0)</f>
        <v>5</v>
      </c>
      <c r="G55" s="8">
        <f>IFERROR(__xludf.DUMMYFUNCTION("""COMPUTED_VALUE"""),1.0)</f>
        <v>1</v>
      </c>
      <c r="H55" s="8">
        <f>IFERROR(__xludf.DUMMYFUNCTION("""COMPUTED_VALUE"""),1.0)</f>
        <v>1</v>
      </c>
      <c r="I55" s="8" t="str">
        <f>IFERROR(__xludf.DUMMYFUNCTION("""COMPUTED_VALUE"""),"General")</f>
        <v>General</v>
      </c>
      <c r="J55" s="8" t="str">
        <f>IFERROR(__xludf.DUMMYFUNCTION("""COMPUTED_VALUE"""),"Tops")</f>
        <v>Tops</v>
      </c>
      <c r="K55" s="8" t="str">
        <f>IFERROR(__xludf.DUMMYFUNCTION("""COMPUTED_VALUE"""),"Knits")</f>
        <v>Knits</v>
      </c>
    </row>
    <row r="56">
      <c r="A56" s="8">
        <f>IFERROR(__xludf.DUMMYFUNCTION("""COMPUTED_VALUE"""),70.0)</f>
        <v>70</v>
      </c>
      <c r="B56" s="8">
        <f>IFERROR(__xludf.DUMMYFUNCTION("""COMPUTED_VALUE"""),845.0)</f>
        <v>845</v>
      </c>
      <c r="C56" s="8">
        <f>IFERROR(__xludf.DUMMYFUNCTION("""COMPUTED_VALUE"""),38.0)</f>
        <v>38</v>
      </c>
      <c r="D56" s="8" t="str">
        <f>IFERROR(__xludf.DUMMYFUNCTION("""COMPUTED_VALUE"""),"Cute, but massive sweep")</f>
        <v>Cute, but massive sweep</v>
      </c>
      <c r="E56" s="8" t="str">
        <f>IFERROR(__xludf.DUMMYFUNCTION("""COMPUTED_VALUE"""),"This top is so cute, but it is massively babydoll shaped (a- line) which is not apparent from the pictures. i measured the xs i have and the chest is about 42"" and sweep is over 70"". i would definitely keep this top if it hung straighter. the craftsmans"&amp;"hip is lovely and fabric is so natural and handwoven looking. i'm thinking about asking my tailor if she can take the sides in, but that might ruin it as the fabric layout is cut and proportioned to this swing style.")</f>
        <v>This top is so cute, but it is massively babydoll shaped (a- line) which is not apparent from the pictures. i measured the xs i have and the chest is about 42" and sweep is over 70". i would definitely keep this top if it hung straighter. the craftsmanship is lovely and fabric is so natural and handwoven looking. i'm thinking about asking my tailor if she can take the sides in, but that might ruin it as the fabric layout is cut and proportioned to this swing style.</v>
      </c>
      <c r="F56" s="8">
        <f>IFERROR(__xludf.DUMMYFUNCTION("""COMPUTED_VALUE"""),4.0)</f>
        <v>4</v>
      </c>
      <c r="G56" s="8">
        <f>IFERROR(__xludf.DUMMYFUNCTION("""COMPUTED_VALUE"""),1.0)</f>
        <v>1</v>
      </c>
      <c r="H56" s="8">
        <f>IFERROR(__xludf.DUMMYFUNCTION("""COMPUTED_VALUE"""),10.0)</f>
        <v>10</v>
      </c>
      <c r="I56" s="8" t="str">
        <f>IFERROR(__xludf.DUMMYFUNCTION("""COMPUTED_VALUE"""),"General Petite")</f>
        <v>General Petite</v>
      </c>
      <c r="J56" s="8" t="str">
        <f>IFERROR(__xludf.DUMMYFUNCTION("""COMPUTED_VALUE"""),"Tops")</f>
        <v>Tops</v>
      </c>
      <c r="K56" s="8" t="str">
        <f>IFERROR(__xludf.DUMMYFUNCTION("""COMPUTED_VALUE"""),"Blouses")</f>
        <v>Blouses</v>
      </c>
    </row>
    <row r="57">
      <c r="A57" s="8">
        <f>IFERROR(__xludf.DUMMYFUNCTION("""COMPUTED_VALUE"""),72.0)</f>
        <v>72</v>
      </c>
      <c r="B57" s="8">
        <f>IFERROR(__xludf.DUMMYFUNCTION("""COMPUTED_VALUE"""),850.0)</f>
        <v>850</v>
      </c>
      <c r="C57" s="8">
        <f>IFERROR(__xludf.DUMMYFUNCTION("""COMPUTED_VALUE"""),27.0)</f>
        <v>27</v>
      </c>
      <c r="D57" s="8" t="str">
        <f>IFERROR(__xludf.DUMMYFUNCTION("""COMPUTED_VALUE"""),"Beautiful design")</f>
        <v>Beautiful design</v>
      </c>
      <c r="E57" s="8" t="str">
        <f>IFERROR(__xludf.DUMMYFUNCTION("""COMPUTED_VALUE"""),"I have a short torso and this works well for me. 34c, bought the 0. there's not much stretch to the fabric so it is fitted to my chest, but not in an uncomfortable way. definitely doesn't hang and have extra fabric like on the model. 
zipper goes almost "&amp;"all the way down to the bottom so it's easier to get on and off which makes up for the lack of stretch n the fabric.
unlike another reviewer, i found it went really well with navy pants and i wore it to a business meeting under a blazer. wi")</f>
        <v>I have a short torso and this works well for me. 34c, bought the 0. there's not much stretch to the fabric so it is fitted to my chest, but not in an uncomfortable way. definitely doesn't hang and have extra fabric like on the model. 
zipper goes almost all the way down to the bottom so it's easier to get on and off which makes up for the lack of stretch n the fabric.
unlike another reviewer, i found it went really well with navy pants and i wore it to a business meeting under a blazer. wi</v>
      </c>
      <c r="F57" s="8">
        <f>IFERROR(__xludf.DUMMYFUNCTION("""COMPUTED_VALUE"""),5.0)</f>
        <v>5</v>
      </c>
      <c r="G57" s="8">
        <f>IFERROR(__xludf.DUMMYFUNCTION("""COMPUTED_VALUE"""),1.0)</f>
        <v>1</v>
      </c>
      <c r="H57" s="8">
        <f>IFERROR(__xludf.DUMMYFUNCTION("""COMPUTED_VALUE"""),4.0)</f>
        <v>4</v>
      </c>
      <c r="I57" s="8" t="str">
        <f>IFERROR(__xludf.DUMMYFUNCTION("""COMPUTED_VALUE"""),"General")</f>
        <v>General</v>
      </c>
      <c r="J57" s="8" t="str">
        <f>IFERROR(__xludf.DUMMYFUNCTION("""COMPUTED_VALUE"""),"Tops")</f>
        <v>Tops</v>
      </c>
      <c r="K57" s="8" t="str">
        <f>IFERROR(__xludf.DUMMYFUNCTION("""COMPUTED_VALUE"""),"Blouses")</f>
        <v>Blouses</v>
      </c>
    </row>
    <row r="58">
      <c r="A58" s="8">
        <f>IFERROR(__xludf.DUMMYFUNCTION("""COMPUTED_VALUE"""),73.0)</f>
        <v>73</v>
      </c>
      <c r="B58" s="8">
        <f>IFERROR(__xludf.DUMMYFUNCTION("""COMPUTED_VALUE"""),866.0)</f>
        <v>866</v>
      </c>
      <c r="C58" s="8">
        <f>IFERROR(__xludf.DUMMYFUNCTION("""COMPUTED_VALUE"""),47.0)</f>
        <v>47</v>
      </c>
      <c r="D58" s="8"/>
      <c r="E58" s="8" t="str">
        <f>IFERROR(__xludf.DUMMYFUNCTION("""COMPUTED_VALUE"""),"I love this top. it is loose and comfortable. it is not sheer so you don't need a cami. it runs a little large so size down if you want a more tailored fit. 1 criticism, it catches on sharp jewelry or belts and can pull if you are not careful.")</f>
        <v>I love this top. it is loose and comfortable. it is not sheer so you don't need a cami. it runs a little large so size down if you want a more tailored fit. 1 criticism, it catches on sharp jewelry or belts and can pull if you are not careful.</v>
      </c>
      <c r="F58" s="8">
        <f>IFERROR(__xludf.DUMMYFUNCTION("""COMPUTED_VALUE"""),4.0)</f>
        <v>4</v>
      </c>
      <c r="G58" s="8">
        <f>IFERROR(__xludf.DUMMYFUNCTION("""COMPUTED_VALUE"""),1.0)</f>
        <v>1</v>
      </c>
      <c r="H58" s="8">
        <f>IFERROR(__xludf.DUMMYFUNCTION("""COMPUTED_VALUE"""),0.0)</f>
        <v>0</v>
      </c>
      <c r="I58" s="8" t="str">
        <f>IFERROR(__xludf.DUMMYFUNCTION("""COMPUTED_VALUE"""),"General Petite")</f>
        <v>General Petite</v>
      </c>
      <c r="J58" s="8" t="str">
        <f>IFERROR(__xludf.DUMMYFUNCTION("""COMPUTED_VALUE"""),"Tops")</f>
        <v>Tops</v>
      </c>
      <c r="K58" s="8" t="str">
        <f>IFERROR(__xludf.DUMMYFUNCTION("""COMPUTED_VALUE"""),"Knits")</f>
        <v>Knits</v>
      </c>
    </row>
    <row r="59">
      <c r="A59" s="8">
        <f>IFERROR(__xludf.DUMMYFUNCTION("""COMPUTED_VALUE"""),74.0)</f>
        <v>74</v>
      </c>
      <c r="B59" s="8">
        <f>IFERROR(__xludf.DUMMYFUNCTION("""COMPUTED_VALUE"""),1081.0)</f>
        <v>1081</v>
      </c>
      <c r="C59" s="8">
        <f>IFERROR(__xludf.DUMMYFUNCTION("""COMPUTED_VALUE"""),59.0)</f>
        <v>59</v>
      </c>
      <c r="D59" s="8"/>
      <c r="E59" s="8" t="str">
        <f>IFERROR(__xludf.DUMMYFUNCTION("""COMPUTED_VALUE"""),"I passed up this dress so many times in the store and finally tried it on today because i wanted a casual dress while traveling in the cape. i was surprised how much cuter it is on than on hanger. i sized down to get a more fitting look and really made a "&amp;"difference for me in style. i was not a fan of the way it looked so loose on model. it looks really cute fitted and a bit sexy even. it is lined and very comfy and can be dressed up a but for work with a cardi. i believe i will get a lot of wear")</f>
        <v>I passed up this dress so many times in the store and finally tried it on today because i wanted a casual dress while traveling in the cape. i was surprised how much cuter it is on than on hanger. i sized down to get a more fitting look and really made a difference for me in style. i was not a fan of the way it looked so loose on model. it looks really cute fitted and a bit sexy even. it is lined and very comfy and can be dressed up a but for work with a cardi. i believe i will get a lot of wear</v>
      </c>
      <c r="F59" s="8">
        <f>IFERROR(__xludf.DUMMYFUNCTION("""COMPUTED_VALUE"""),5.0)</f>
        <v>5</v>
      </c>
      <c r="G59" s="8">
        <f>IFERROR(__xludf.DUMMYFUNCTION("""COMPUTED_VALUE"""),1.0)</f>
        <v>1</v>
      </c>
      <c r="H59" s="8">
        <f>IFERROR(__xludf.DUMMYFUNCTION("""COMPUTED_VALUE"""),1.0)</f>
        <v>1</v>
      </c>
      <c r="I59" s="8" t="str">
        <f>IFERROR(__xludf.DUMMYFUNCTION("""COMPUTED_VALUE"""),"General Petite")</f>
        <v>General Petite</v>
      </c>
      <c r="J59" s="8" t="str">
        <f>IFERROR(__xludf.DUMMYFUNCTION("""COMPUTED_VALUE"""),"Dresses")</f>
        <v>Dresses</v>
      </c>
      <c r="K59" s="8" t="str">
        <f>IFERROR(__xludf.DUMMYFUNCTION("""COMPUTED_VALUE"""),"Dresses")</f>
        <v>Dresses</v>
      </c>
    </row>
    <row r="60">
      <c r="A60" s="8">
        <f>IFERROR(__xludf.DUMMYFUNCTION("""COMPUTED_VALUE"""),75.0)</f>
        <v>75</v>
      </c>
      <c r="B60" s="8">
        <f>IFERROR(__xludf.DUMMYFUNCTION("""COMPUTED_VALUE"""),845.0)</f>
        <v>845</v>
      </c>
      <c r="C60" s="8">
        <f>IFERROR(__xludf.DUMMYFUNCTION("""COMPUTED_VALUE"""),48.0)</f>
        <v>48</v>
      </c>
      <c r="D60" s="8" t="str">
        <f>IFERROR(__xludf.DUMMYFUNCTION("""COMPUTED_VALUE"""),"Very very cute but a lot of fabric")</f>
        <v>Very very cute but a lot of fabric</v>
      </c>
      <c r="E60" s="8" t="str">
        <f>IFERROR(__xludf.DUMMYFUNCTION("""COMPUTED_VALUE"""),"I am so drawn to baby doll and boxy shirts so i immediately tried this on in the store. i am petite and only 5'2"", so usually shirts with a lot of fabric swallow me whole but this one was still cute. there is a lot more fabric than the picture lets on, b"&amp;"ut i think it is still super cute and flattering. i would definitely check the size chart and read comments to see if someone with your same size description has recommended a specific size for your body type. i am petite and weigh about 110 lbs")</f>
        <v>I am so drawn to baby doll and boxy shirts so i immediately tried this on in the store. i am petite and only 5'2", so usually shirts with a lot of fabric swallow me whole but this one was still cute. there is a lot more fabric than the picture lets on, but i think it is still super cute and flattering. i would definitely check the size chart and read comments to see if someone with your same size description has recommended a specific size for your body type. i am petite and weigh about 110 lbs</v>
      </c>
      <c r="F60" s="8">
        <f>IFERROR(__xludf.DUMMYFUNCTION("""COMPUTED_VALUE"""),5.0)</f>
        <v>5</v>
      </c>
      <c r="G60" s="8">
        <f>IFERROR(__xludf.DUMMYFUNCTION("""COMPUTED_VALUE"""),1.0)</f>
        <v>1</v>
      </c>
      <c r="H60" s="8">
        <f>IFERROR(__xludf.DUMMYFUNCTION("""COMPUTED_VALUE"""),5.0)</f>
        <v>5</v>
      </c>
      <c r="I60" s="8" t="str">
        <f>IFERROR(__xludf.DUMMYFUNCTION("""COMPUTED_VALUE"""),"General Petite")</f>
        <v>General Petite</v>
      </c>
      <c r="J60" s="8" t="str">
        <f>IFERROR(__xludf.DUMMYFUNCTION("""COMPUTED_VALUE"""),"Tops")</f>
        <v>Tops</v>
      </c>
      <c r="K60" s="8" t="str">
        <f>IFERROR(__xludf.DUMMYFUNCTION("""COMPUTED_VALUE"""),"Blouses")</f>
        <v>Blouses</v>
      </c>
    </row>
    <row r="61">
      <c r="A61" s="8">
        <f>IFERROR(__xludf.DUMMYFUNCTION("""COMPUTED_VALUE"""),76.0)</f>
        <v>76</v>
      </c>
      <c r="B61" s="8">
        <f>IFERROR(__xludf.DUMMYFUNCTION("""COMPUTED_VALUE"""),1082.0)</f>
        <v>1082</v>
      </c>
      <c r="C61" s="8">
        <f>IFERROR(__xludf.DUMMYFUNCTION("""COMPUTED_VALUE"""),31.0)</f>
        <v>31</v>
      </c>
      <c r="D61" s="8" t="str">
        <f>IFERROR(__xludf.DUMMYFUNCTION("""COMPUTED_VALUE"""),"Runs large in top and waist")</f>
        <v>Runs large in top and waist</v>
      </c>
      <c r="E61" s="8" t="str">
        <f>IFERROR(__xludf.DUMMYFUNCTION("""COMPUTED_VALUE"""),"I would have loved this dress if the bust and waist were just a little more fitted. i am 32c and the top was too big. fit perfectly on hips. the lace material means it cannot be easily altered, so i chose to return the dress. i would have definitely kept "&amp;"it if it were a better fit.")</f>
        <v>I would have loved this dress if the bust and waist were just a little more fitted. i am 32c and the top was too big. fit perfectly on hips. the lace material means it cannot be easily altered, so i chose to return the dress. i would have definitely kept it if it were a better fit.</v>
      </c>
      <c r="F61" s="8">
        <f>IFERROR(__xludf.DUMMYFUNCTION("""COMPUTED_VALUE"""),4.0)</f>
        <v>4</v>
      </c>
      <c r="G61" s="8">
        <f>IFERROR(__xludf.DUMMYFUNCTION("""COMPUTED_VALUE"""),1.0)</f>
        <v>1</v>
      </c>
      <c r="H61" s="8">
        <f>IFERROR(__xludf.DUMMYFUNCTION("""COMPUTED_VALUE"""),0.0)</f>
        <v>0</v>
      </c>
      <c r="I61" s="8" t="str">
        <f>IFERROR(__xludf.DUMMYFUNCTION("""COMPUTED_VALUE"""),"General")</f>
        <v>General</v>
      </c>
      <c r="J61" s="8" t="str">
        <f>IFERROR(__xludf.DUMMYFUNCTION("""COMPUTED_VALUE"""),"Dresses")</f>
        <v>Dresses</v>
      </c>
      <c r="K61" s="8" t="str">
        <f>IFERROR(__xludf.DUMMYFUNCTION("""COMPUTED_VALUE"""),"Dresses")</f>
        <v>Dresses</v>
      </c>
    </row>
    <row r="62">
      <c r="A62" s="8">
        <f>IFERROR(__xludf.DUMMYFUNCTION("""COMPUTED_VALUE"""),78.0)</f>
        <v>78</v>
      </c>
      <c r="B62" s="8">
        <f>IFERROR(__xludf.DUMMYFUNCTION("""COMPUTED_VALUE"""),836.0)</f>
        <v>836</v>
      </c>
      <c r="C62" s="8">
        <f>IFERROR(__xludf.DUMMYFUNCTION("""COMPUTED_VALUE"""),47.0)</f>
        <v>47</v>
      </c>
      <c r="D62" s="8" t="str">
        <f>IFERROR(__xludf.DUMMYFUNCTION("""COMPUTED_VALUE"""),"Obsessed")</f>
        <v>Obsessed</v>
      </c>
      <c r="E62" s="8" t="str">
        <f>IFERROR(__xludf.DUMMYFUNCTION("""COMPUTED_VALUE"""),"I usually size up with this brand. small was perfect for me at 135lbs. this top has a luxurious but casual feel and beautiful. i am obsessed and want to wear it everyday. it wears a little long and drapey but a little tight where it rolls up in the arms.")</f>
        <v>I usually size up with this brand. small was perfect for me at 135lbs. this top has a luxurious but casual feel and beautiful. i am obsessed and want to wear it everyday. it wears a little long and drapey but a little tight where it rolls up in the arms.</v>
      </c>
      <c r="F62" s="8">
        <f>IFERROR(__xludf.DUMMYFUNCTION("""COMPUTED_VALUE"""),5.0)</f>
        <v>5</v>
      </c>
      <c r="G62" s="8">
        <f>IFERROR(__xludf.DUMMYFUNCTION("""COMPUTED_VALUE"""),1.0)</f>
        <v>1</v>
      </c>
      <c r="H62" s="8">
        <f>IFERROR(__xludf.DUMMYFUNCTION("""COMPUTED_VALUE"""),1.0)</f>
        <v>1</v>
      </c>
      <c r="I62" s="8" t="str">
        <f>IFERROR(__xludf.DUMMYFUNCTION("""COMPUTED_VALUE"""),"General")</f>
        <v>General</v>
      </c>
      <c r="J62" s="8" t="str">
        <f>IFERROR(__xludf.DUMMYFUNCTION("""COMPUTED_VALUE"""),"Tops")</f>
        <v>Tops</v>
      </c>
      <c r="K62" s="8" t="str">
        <f>IFERROR(__xludf.DUMMYFUNCTION("""COMPUTED_VALUE"""),"Blouses")</f>
        <v>Blouses</v>
      </c>
    </row>
    <row r="63">
      <c r="A63" s="8">
        <f>IFERROR(__xludf.DUMMYFUNCTION("""COMPUTED_VALUE"""),79.0)</f>
        <v>79</v>
      </c>
      <c r="B63" s="8">
        <f>IFERROR(__xludf.DUMMYFUNCTION("""COMPUTED_VALUE"""),1081.0)</f>
        <v>1081</v>
      </c>
      <c r="C63" s="8">
        <f>IFERROR(__xludf.DUMMYFUNCTION("""COMPUTED_VALUE"""),62.0)</f>
        <v>62</v>
      </c>
      <c r="D63" s="8" t="str">
        <f>IFERROR(__xludf.DUMMYFUNCTION("""COMPUTED_VALUE"""),"So cute...but dry clean?!")</f>
        <v>So cute...but dry clean?!</v>
      </c>
      <c r="E63" s="8" t="str">
        <f>IFERROR(__xludf.DUMMYFUNCTION("""COMPUTED_VALUE"""),"This dress is adorable - it's a perfect casual look for summer and the quality is nice with the lining (though still overpriced, in my opinion). the tie detail is somewhat adjustable, and i found my normal size s to fit fine (5'7, 128#). where this gets m"&amp;"e is the fact that it's dry clean...totally doesn't make sense for a dress that is essentially a fancy tshirt for summer. i might bring it back for that alone, since i originally planned to wear it a lot. :(")</f>
        <v>This dress is adorable - it's a perfect casual look for summer and the quality is nice with the lining (though still overpriced, in my opinion). the tie detail is somewhat adjustable, and i found my normal size s to fit fine (5'7, 128#). where this gets me is the fact that it's dry clean...totally doesn't make sense for a dress that is essentially a fancy tshirt for summer. i might bring it back for that alone, since i originally planned to wear it a lot. :(</v>
      </c>
      <c r="F63" s="8">
        <f>IFERROR(__xludf.DUMMYFUNCTION("""COMPUTED_VALUE"""),4.0)</f>
        <v>4</v>
      </c>
      <c r="G63" s="8">
        <f>IFERROR(__xludf.DUMMYFUNCTION("""COMPUTED_VALUE"""),1.0)</f>
        <v>1</v>
      </c>
      <c r="H63" s="8">
        <f>IFERROR(__xludf.DUMMYFUNCTION("""COMPUTED_VALUE"""),2.0)</f>
        <v>2</v>
      </c>
      <c r="I63" s="8" t="str">
        <f>IFERROR(__xludf.DUMMYFUNCTION("""COMPUTED_VALUE"""),"General Petite")</f>
        <v>General Petite</v>
      </c>
      <c r="J63" s="8" t="str">
        <f>IFERROR(__xludf.DUMMYFUNCTION("""COMPUTED_VALUE"""),"Dresses")</f>
        <v>Dresses</v>
      </c>
      <c r="K63" s="8" t="str">
        <f>IFERROR(__xludf.DUMMYFUNCTION("""COMPUTED_VALUE"""),"Dresses")</f>
        <v>Dresses</v>
      </c>
    </row>
    <row r="64">
      <c r="A64" s="8">
        <f>IFERROR(__xludf.DUMMYFUNCTION("""COMPUTED_VALUE"""),80.0)</f>
        <v>80</v>
      </c>
      <c r="B64" s="8">
        <f>IFERROR(__xludf.DUMMYFUNCTION("""COMPUTED_VALUE"""),1072.0)</f>
        <v>1072</v>
      </c>
      <c r="C64" s="8">
        <f>IFERROR(__xludf.DUMMYFUNCTION("""COMPUTED_VALUE"""),68.0)</f>
        <v>68</v>
      </c>
      <c r="D64" s="8" t="str">
        <f>IFERROR(__xludf.DUMMYFUNCTION("""COMPUTED_VALUE"""),"Elegant classic dress")</f>
        <v>Elegant classic dress</v>
      </c>
      <c r="E64" s="8" t="str">
        <f>IFERROR(__xludf.DUMMYFUNCTION("""COMPUTED_VALUE"""),"I am usually a petite 6 but since this dress did not come in petites i tried on 4 and it fit. i'm 5'1"" -112lbs so dress hit rt below knee -will have it hemmed up a bit do not so overwhelming.
this dress looks stunning on! great vibrant color ( i have da"&amp;"rk hair) makes this classic elegant dress look contemporary and stylish. when i tried it on in store, salesperson and others who happen to see it on me raved and told me to grab it! i did and am glad.
i plan to wear it this spring for my daughte")</f>
        <v>I am usually a petite 6 but since this dress did not come in petites i tried on 4 and it fit. i'm 5'1" -112lbs so dress hit rt below knee -will have it hemmed up a bit do not so overwhelming.
this dress looks stunning on! great vibrant color ( i have dark hair) makes this classic elegant dress look contemporary and stylish. when i tried it on in store, salesperson and others who happen to see it on me raved and told me to grab it! i did and am glad.
i plan to wear it this spring for my daughte</v>
      </c>
      <c r="F64" s="8">
        <f>IFERROR(__xludf.DUMMYFUNCTION("""COMPUTED_VALUE"""),5.0)</f>
        <v>5</v>
      </c>
      <c r="G64" s="8">
        <f>IFERROR(__xludf.DUMMYFUNCTION("""COMPUTED_VALUE"""),1.0)</f>
        <v>1</v>
      </c>
      <c r="H64" s="8">
        <f>IFERROR(__xludf.DUMMYFUNCTION("""COMPUTED_VALUE"""),1.0)</f>
        <v>1</v>
      </c>
      <c r="I64" s="8" t="str">
        <f>IFERROR(__xludf.DUMMYFUNCTION("""COMPUTED_VALUE"""),"General")</f>
        <v>General</v>
      </c>
      <c r="J64" s="8" t="str">
        <f>IFERROR(__xludf.DUMMYFUNCTION("""COMPUTED_VALUE"""),"Dresses")</f>
        <v>Dresses</v>
      </c>
      <c r="K64" s="8" t="str">
        <f>IFERROR(__xludf.DUMMYFUNCTION("""COMPUTED_VALUE"""),"Dresses")</f>
        <v>Dresses</v>
      </c>
    </row>
    <row r="65">
      <c r="A65" s="8">
        <f>IFERROR(__xludf.DUMMYFUNCTION("""COMPUTED_VALUE"""),81.0)</f>
        <v>81</v>
      </c>
      <c r="B65" s="8">
        <f>IFERROR(__xludf.DUMMYFUNCTION("""COMPUTED_VALUE"""),863.0)</f>
        <v>863</v>
      </c>
      <c r="C65" s="8">
        <f>IFERROR(__xludf.DUMMYFUNCTION("""COMPUTED_VALUE"""),61.0)</f>
        <v>61</v>
      </c>
      <c r="D65" s="8"/>
      <c r="E65" s="8" t="str">
        <f>IFERROR(__xludf.DUMMYFUNCTION("""COMPUTED_VALUE"""),"Loved this top. great design. comfortable and unique. soft material")</f>
        <v>Loved this top. great design. comfortable and unique. soft material</v>
      </c>
      <c r="F65" s="8">
        <f>IFERROR(__xludf.DUMMYFUNCTION("""COMPUTED_VALUE"""),5.0)</f>
        <v>5</v>
      </c>
      <c r="G65" s="8">
        <f>IFERROR(__xludf.DUMMYFUNCTION("""COMPUTED_VALUE"""),1.0)</f>
        <v>1</v>
      </c>
      <c r="H65" s="8">
        <f>IFERROR(__xludf.DUMMYFUNCTION("""COMPUTED_VALUE"""),4.0)</f>
        <v>4</v>
      </c>
      <c r="I65" s="8" t="str">
        <f>IFERROR(__xludf.DUMMYFUNCTION("""COMPUTED_VALUE"""),"General Petite")</f>
        <v>General Petite</v>
      </c>
      <c r="J65" s="8" t="str">
        <f>IFERROR(__xludf.DUMMYFUNCTION("""COMPUTED_VALUE"""),"Tops")</f>
        <v>Tops</v>
      </c>
      <c r="K65" s="8" t="str">
        <f>IFERROR(__xludf.DUMMYFUNCTION("""COMPUTED_VALUE"""),"Knits")</f>
        <v>Knits</v>
      </c>
    </row>
    <row r="66">
      <c r="A66" s="8">
        <f>IFERROR(__xludf.DUMMYFUNCTION("""COMPUTED_VALUE"""),82.0)</f>
        <v>82</v>
      </c>
      <c r="B66" s="8">
        <f>IFERROR(__xludf.DUMMYFUNCTION("""COMPUTED_VALUE"""),1133.0)</f>
        <v>1133</v>
      </c>
      <c r="C66" s="8">
        <f>IFERROR(__xludf.DUMMYFUNCTION("""COMPUTED_VALUE"""),33.0)</f>
        <v>33</v>
      </c>
      <c r="D66" s="8" t="str">
        <f>IFERROR(__xludf.DUMMYFUNCTION("""COMPUTED_VALUE"""),"Cute parka!")</f>
        <v>Cute parka!</v>
      </c>
      <c r="E66" s="8" t="str">
        <f>IFERROR(__xludf.DUMMYFUNCTION("""COMPUTED_VALUE"""),"The rest of the reviewers are right about the color being in accurately pictured. i ordered the dark orange color and i recieved more of a dark cedar brown colored jacket. the print is great, i love it! it's so different than any other jackets ive seen. w"&amp;"hile the jacket is ã¼ber cute, it is a bit bulky (though the waist tie helps with that) and its not heavy winter appropriate ( it's not waterproof or heavily insulated). for your average winter day though, it will be a fun option! the removable v")</f>
        <v>The rest of the reviewers are right about the color being in accurately pictured. i ordered the dark orange color and i recieved more of a dark cedar brown colored jacket. the print is great, i love it! it's so different than any other jackets ive seen. while the jacket is ã¼ber cute, it is a bit bulky (though the waist tie helps with that) and its not heavy winter appropriate ( it's not waterproof or heavily insulated). for your average winter day though, it will be a fun option! the removable v</v>
      </c>
      <c r="F66" s="8">
        <f>IFERROR(__xludf.DUMMYFUNCTION("""COMPUTED_VALUE"""),5.0)</f>
        <v>5</v>
      </c>
      <c r="G66" s="8">
        <f>IFERROR(__xludf.DUMMYFUNCTION("""COMPUTED_VALUE"""),1.0)</f>
        <v>1</v>
      </c>
      <c r="H66" s="8">
        <f>IFERROR(__xludf.DUMMYFUNCTION("""COMPUTED_VALUE"""),0.0)</f>
        <v>0</v>
      </c>
      <c r="I66" s="8" t="str">
        <f>IFERROR(__xludf.DUMMYFUNCTION("""COMPUTED_VALUE"""),"General")</f>
        <v>General</v>
      </c>
      <c r="J66" s="8" t="str">
        <f>IFERROR(__xludf.DUMMYFUNCTION("""COMPUTED_VALUE"""),"Jackets")</f>
        <v>Jackets</v>
      </c>
      <c r="K66" s="8" t="str">
        <f>IFERROR(__xludf.DUMMYFUNCTION("""COMPUTED_VALUE"""),"Outerwear")</f>
        <v>Outerwear</v>
      </c>
    </row>
    <row r="67">
      <c r="A67" s="8">
        <f>IFERROR(__xludf.DUMMYFUNCTION("""COMPUTED_VALUE"""),83.0)</f>
        <v>83</v>
      </c>
      <c r="B67" s="8">
        <f>IFERROR(__xludf.DUMMYFUNCTION("""COMPUTED_VALUE"""),822.0)</f>
        <v>822</v>
      </c>
      <c r="C67" s="8">
        <f>IFERROR(__xludf.DUMMYFUNCTION("""COMPUTED_VALUE"""),68.0)</f>
        <v>68</v>
      </c>
      <c r="D67" s="8" t="str">
        <f>IFERROR(__xludf.DUMMYFUNCTION("""COMPUTED_VALUE"""),"Just lovely")</f>
        <v>Just lovely</v>
      </c>
      <c r="E67" s="8" t="str">
        <f>IFERROR(__xludf.DUMMYFUNCTION("""COMPUTED_VALUE"""),"I purchased this top in an antro store last week. the quality is wonderful and the greenish blue color is very unique. the blouse has a beautiful stretchy camsiole that is attached at the shoulders, but can be removed by snaps. i tooks great when worn two"&amp;" different ways. i wore it with the campole out, and it peeks through the blouse at the bottom. it also looks great when the camisole is worn in. my only wish is that it would come in a petite size as it's a touch big at the shoulders and neckli")</f>
        <v>I purchased this top in an antro store last week. the quality is wonderful and the greenish blue color is very unique. the blouse has a beautiful stretchy camsiole that is attached at the shoulders, but can be removed by snaps. i tooks great when worn two different ways. i wore it with the campole out, and it peeks through the blouse at the bottom. it also looks great when the camisole is worn in. my only wish is that it would come in a petite size as it's a touch big at the shoulders and neckli</v>
      </c>
      <c r="F67" s="8">
        <f>IFERROR(__xludf.DUMMYFUNCTION("""COMPUTED_VALUE"""),5.0)</f>
        <v>5</v>
      </c>
      <c r="G67" s="8">
        <f>IFERROR(__xludf.DUMMYFUNCTION("""COMPUTED_VALUE"""),1.0)</f>
        <v>1</v>
      </c>
      <c r="H67" s="8">
        <f>IFERROR(__xludf.DUMMYFUNCTION("""COMPUTED_VALUE"""),3.0)</f>
        <v>3</v>
      </c>
      <c r="I67" s="8" t="str">
        <f>IFERROR(__xludf.DUMMYFUNCTION("""COMPUTED_VALUE"""),"General")</f>
        <v>General</v>
      </c>
      <c r="J67" s="8" t="str">
        <f>IFERROR(__xludf.DUMMYFUNCTION("""COMPUTED_VALUE"""),"Tops")</f>
        <v>Tops</v>
      </c>
      <c r="K67" s="8" t="str">
        <f>IFERROR(__xludf.DUMMYFUNCTION("""COMPUTED_VALUE"""),"Blouses")</f>
        <v>Blouses</v>
      </c>
    </row>
    <row r="68">
      <c r="A68" s="8">
        <f>IFERROR(__xludf.DUMMYFUNCTION("""COMPUTED_VALUE"""),86.0)</f>
        <v>86</v>
      </c>
      <c r="B68" s="8">
        <f>IFERROR(__xludf.DUMMYFUNCTION("""COMPUTED_VALUE"""),850.0)</f>
        <v>850</v>
      </c>
      <c r="C68" s="8">
        <f>IFERROR(__xludf.DUMMYFUNCTION("""COMPUTED_VALUE"""),39.0)</f>
        <v>39</v>
      </c>
      <c r="D68" s="8" t="str">
        <f>IFERROR(__xludf.DUMMYFUNCTION("""COMPUTED_VALUE"""),"Neutral blue")</f>
        <v>Neutral blue</v>
      </c>
      <c r="E68" s="8" t="str">
        <f>IFERROR(__xludf.DUMMYFUNCTION("""COMPUTED_VALUE"""),"I tried this on from the sale section, and they only had a 2 (i usually do 0), and surprisingly, that size was the right fit. it is fitted, with just enough room to eat :-) 
te blue is a light blue, almost neutral, with the white embroidery, i think it lo"&amp;"oked stylish, and decided to keep it. the peplum part hit just in the right spot, i am short (petite) but my torso is normal size...")</f>
        <v>I tried this on from the sale section, and they only had a 2 (i usually do 0), and surprisingly, that size was the right fit. it is fitted, with just enough room to eat :-) 
te blue is a light blue, almost neutral, with the white embroidery, i think it looked stylish, and decided to keep it. the peplum part hit just in the right spot, i am short (petite) but my torso is normal size...</v>
      </c>
      <c r="F68" s="8">
        <f>IFERROR(__xludf.DUMMYFUNCTION("""COMPUTED_VALUE"""),4.0)</f>
        <v>4</v>
      </c>
      <c r="G68" s="8">
        <f>IFERROR(__xludf.DUMMYFUNCTION("""COMPUTED_VALUE"""),1.0)</f>
        <v>1</v>
      </c>
      <c r="H68" s="8">
        <f>IFERROR(__xludf.DUMMYFUNCTION("""COMPUTED_VALUE"""),0.0)</f>
        <v>0</v>
      </c>
      <c r="I68" s="8" t="str">
        <f>IFERROR(__xludf.DUMMYFUNCTION("""COMPUTED_VALUE"""),"General Petite")</f>
        <v>General Petite</v>
      </c>
      <c r="J68" s="8" t="str">
        <f>IFERROR(__xludf.DUMMYFUNCTION("""COMPUTED_VALUE"""),"Tops")</f>
        <v>Tops</v>
      </c>
      <c r="K68" s="8" t="str">
        <f>IFERROR(__xludf.DUMMYFUNCTION("""COMPUTED_VALUE"""),"Blouses")</f>
        <v>Blouses</v>
      </c>
    </row>
    <row r="69">
      <c r="A69" s="8">
        <f>IFERROR(__xludf.DUMMYFUNCTION("""COMPUTED_VALUE"""),87.0)</f>
        <v>87</v>
      </c>
      <c r="B69" s="8">
        <f>IFERROR(__xludf.DUMMYFUNCTION("""COMPUTED_VALUE"""),1081.0)</f>
        <v>1081</v>
      </c>
      <c r="C69" s="8">
        <f>IFERROR(__xludf.DUMMYFUNCTION("""COMPUTED_VALUE"""),39.0)</f>
        <v>39</v>
      </c>
      <c r="D69" s="8" t="str">
        <f>IFERROR(__xludf.DUMMYFUNCTION("""COMPUTED_VALUE"""),"True to size to large")</f>
        <v>True to size to large</v>
      </c>
      <c r="E69" s="8" t="str">
        <f>IFERROR(__xludf.DUMMYFUNCTION("""COMPUTED_VALUE"""),"I debated n that as i think it looks loose on the model, but if i was to tighten it, it looks a lot more flattering... i tried on the xs in the store (i usually do that to decide if i need petite), and it looked huge, when we pinched the back to see if xx"&amp;"s would work, it was a lot of fabric, and looser didn't look as good on me... but i like the dress overall, so still recommend. and for those who like the looser look, this is great. i would, however, order eptite for 5'1.5"". (115 lbs, 03 dd che")</f>
        <v>I debated n that as i think it looks loose on the model, but if i was to tighten it, it looks a lot more flattering... i tried on the xs in the store (i usually do that to decide if i need petite), and it looked huge, when we pinched the back to see if xxs would work, it was a lot of fabric, and looser didn't look as good on me... but i like the dress overall, so still recommend. and for those who like the looser look, this is great. i would, however, order eptite for 5'1.5". (115 lbs, 03 dd che</v>
      </c>
      <c r="F69" s="8">
        <f>IFERROR(__xludf.DUMMYFUNCTION("""COMPUTED_VALUE"""),4.0)</f>
        <v>4</v>
      </c>
      <c r="G69" s="8">
        <f>IFERROR(__xludf.DUMMYFUNCTION("""COMPUTED_VALUE"""),1.0)</f>
        <v>1</v>
      </c>
      <c r="H69" s="8">
        <f>IFERROR(__xludf.DUMMYFUNCTION("""COMPUTED_VALUE"""),9.0)</f>
        <v>9</v>
      </c>
      <c r="I69" s="8" t="str">
        <f>IFERROR(__xludf.DUMMYFUNCTION("""COMPUTED_VALUE"""),"General Petite")</f>
        <v>General Petite</v>
      </c>
      <c r="J69" s="8" t="str">
        <f>IFERROR(__xludf.DUMMYFUNCTION("""COMPUTED_VALUE"""),"Dresses")</f>
        <v>Dresses</v>
      </c>
      <c r="K69" s="8" t="str">
        <f>IFERROR(__xludf.DUMMYFUNCTION("""COMPUTED_VALUE"""),"Dresses")</f>
        <v>Dresses</v>
      </c>
    </row>
    <row r="70">
      <c r="A70" s="8">
        <f>IFERROR(__xludf.DUMMYFUNCTION("""COMPUTED_VALUE"""),89.0)</f>
        <v>89</v>
      </c>
      <c r="B70" s="8">
        <f>IFERROR(__xludf.DUMMYFUNCTION("""COMPUTED_VALUE"""),836.0)</f>
        <v>836</v>
      </c>
      <c r="C70" s="8">
        <f>IFERROR(__xludf.DUMMYFUNCTION("""COMPUTED_VALUE"""),24.0)</f>
        <v>24</v>
      </c>
      <c r="D70" s="8" t="str">
        <f>IFERROR(__xludf.DUMMYFUNCTION("""COMPUTED_VALUE"""),"Pretty, but not for me...")</f>
        <v>Pretty, but not for me...</v>
      </c>
      <c r="E70" s="8" t="str">
        <f>IFERROR(__xludf.DUMMYFUNCTION("""COMPUTED_VALUE"""),"I bought this top online in the burnt orange color and was so excited to get it. when i tried it on, the fit was fine but it just lacked...something. the back was a little bit too long, the front was a little bit too short and it lacked the overall tailor"&amp;"ed look that i was after. gorgeous fabric and top, but not for me. i wanted something more for $150! bought the velvet tunic instead ;)")</f>
        <v>I bought this top online in the burnt orange color and was so excited to get it. when i tried it on, the fit was fine but it just lacked...something. the back was a little bit too long, the front was a little bit too short and it lacked the overall tailored look that i was after. gorgeous fabric and top, but not for me. i wanted something more for $150! bought the velvet tunic instead ;)</v>
      </c>
      <c r="F70" s="8">
        <f>IFERROR(__xludf.DUMMYFUNCTION("""COMPUTED_VALUE"""),4.0)</f>
        <v>4</v>
      </c>
      <c r="G70" s="8">
        <f>IFERROR(__xludf.DUMMYFUNCTION("""COMPUTED_VALUE"""),1.0)</f>
        <v>1</v>
      </c>
      <c r="H70" s="8">
        <f>IFERROR(__xludf.DUMMYFUNCTION("""COMPUTED_VALUE"""),3.0)</f>
        <v>3</v>
      </c>
      <c r="I70" s="8" t="str">
        <f>IFERROR(__xludf.DUMMYFUNCTION("""COMPUTED_VALUE"""),"General")</f>
        <v>General</v>
      </c>
      <c r="J70" s="8" t="str">
        <f>IFERROR(__xludf.DUMMYFUNCTION("""COMPUTED_VALUE"""),"Tops")</f>
        <v>Tops</v>
      </c>
      <c r="K70" s="8" t="str">
        <f>IFERROR(__xludf.DUMMYFUNCTION("""COMPUTED_VALUE"""),"Blouses")</f>
        <v>Blouses</v>
      </c>
    </row>
    <row r="71">
      <c r="A71" s="8">
        <f>IFERROR(__xludf.DUMMYFUNCTION("""COMPUTED_VALUE"""),90.0)</f>
        <v>90</v>
      </c>
      <c r="B71" s="8">
        <f>IFERROR(__xludf.DUMMYFUNCTION("""COMPUTED_VALUE"""),1078.0)</f>
        <v>1078</v>
      </c>
      <c r="C71" s="8">
        <f>IFERROR(__xludf.DUMMYFUNCTION("""COMPUTED_VALUE"""),51.0)</f>
        <v>51</v>
      </c>
      <c r="D71" s="8" t="str">
        <f>IFERROR(__xludf.DUMMYFUNCTION("""COMPUTED_VALUE"""),"Sweet flattering dress")</f>
        <v>Sweet flattering dress</v>
      </c>
      <c r="E71" s="8" t="str">
        <f>IFERROR(__xludf.DUMMYFUNCTION("""COMPUTED_VALUE"""),"I love cute summer dresses and this one, especially because it is made out of linen, is unique. it is very well-made with a design that is quite flattering. i am 5 foot 6 and a little curvy with a 38 c bust and i got a size 10. it fits well although it is"&amp;" difficult to zip up because the material has no give. the perfect dress to wear to italy or france! now i just have to book my tickets!")</f>
        <v>I love cute summer dresses and this one, especially because it is made out of linen, is unique. it is very well-made with a design that is quite flattering. i am 5 foot 6 and a little curvy with a 38 c bust and i got a size 10. it fits well although it is difficult to zip up because the material has no give. the perfect dress to wear to italy or france! now i just have to book my tickets!</v>
      </c>
      <c r="F71" s="8">
        <f>IFERROR(__xludf.DUMMYFUNCTION("""COMPUTED_VALUE"""),4.0)</f>
        <v>4</v>
      </c>
      <c r="G71" s="8">
        <f>IFERROR(__xludf.DUMMYFUNCTION("""COMPUTED_VALUE"""),1.0)</f>
        <v>1</v>
      </c>
      <c r="H71" s="8">
        <f>IFERROR(__xludf.DUMMYFUNCTION("""COMPUTED_VALUE"""),0.0)</f>
        <v>0</v>
      </c>
      <c r="I71" s="8" t="str">
        <f>IFERROR(__xludf.DUMMYFUNCTION("""COMPUTED_VALUE"""),"General Petite")</f>
        <v>General Petite</v>
      </c>
      <c r="J71" s="8" t="str">
        <f>IFERROR(__xludf.DUMMYFUNCTION("""COMPUTED_VALUE"""),"Dresses")</f>
        <v>Dresses</v>
      </c>
      <c r="K71" s="8" t="str">
        <f>IFERROR(__xludf.DUMMYFUNCTION("""COMPUTED_VALUE"""),"Dresses")</f>
        <v>Dresses</v>
      </c>
    </row>
    <row r="72">
      <c r="A72" s="8">
        <f>IFERROR(__xludf.DUMMYFUNCTION("""COMPUTED_VALUE"""),91.0)</f>
        <v>91</v>
      </c>
      <c r="B72" s="8">
        <f>IFERROR(__xludf.DUMMYFUNCTION("""COMPUTED_VALUE"""),850.0)</f>
        <v>850</v>
      </c>
      <c r="C72" s="8">
        <f>IFERROR(__xludf.DUMMYFUNCTION("""COMPUTED_VALUE"""),29.0)</f>
        <v>29</v>
      </c>
      <c r="D72" s="8"/>
      <c r="E72" s="8" t="str">
        <f>IFERROR(__xludf.DUMMYFUNCTION("""COMPUTED_VALUE"""),"This top is so much prettier in real life than it is on the model. the pattern and texture are both lovely, and the peplum is surprisingly flattering. it is definitely on the short side, but i think that gives it a modern look. the fabric does not stretch"&amp;" at all, but i still think it fits tts. if you have a very large chest you may want to go up a size, but otherwise i would order your normal size.")</f>
        <v>This top is so much prettier in real life than it is on the model. the pattern and texture are both lovely, and the peplum is surprisingly flattering. it is definitely on the short side, but i think that gives it a modern look. the fabric does not stretch at all, but i still think it fits tts. if you have a very large chest you may want to go up a size, but otherwise i would order your normal size.</v>
      </c>
      <c r="F72" s="8">
        <f>IFERROR(__xludf.DUMMYFUNCTION("""COMPUTED_VALUE"""),5.0)</f>
        <v>5</v>
      </c>
      <c r="G72" s="8">
        <f>IFERROR(__xludf.DUMMYFUNCTION("""COMPUTED_VALUE"""),1.0)</f>
        <v>1</v>
      </c>
      <c r="H72" s="8">
        <f>IFERROR(__xludf.DUMMYFUNCTION("""COMPUTED_VALUE"""),5.0)</f>
        <v>5</v>
      </c>
      <c r="I72" s="8" t="str">
        <f>IFERROR(__xludf.DUMMYFUNCTION("""COMPUTED_VALUE"""),"General Petite")</f>
        <v>General Petite</v>
      </c>
      <c r="J72" s="8" t="str">
        <f>IFERROR(__xludf.DUMMYFUNCTION("""COMPUTED_VALUE"""),"Tops")</f>
        <v>Tops</v>
      </c>
      <c r="K72" s="8" t="str">
        <f>IFERROR(__xludf.DUMMYFUNCTION("""COMPUTED_VALUE"""),"Blouses")</f>
        <v>Blouses</v>
      </c>
    </row>
    <row r="73">
      <c r="A73" s="8">
        <f>IFERROR(__xludf.DUMMYFUNCTION("""COMPUTED_VALUE"""),92.0)</f>
        <v>92</v>
      </c>
      <c r="B73" s="8">
        <f>IFERROR(__xludf.DUMMYFUNCTION("""COMPUTED_VALUE"""),861.0)</f>
        <v>861</v>
      </c>
      <c r="C73" s="8">
        <f>IFERROR(__xludf.DUMMYFUNCTION("""COMPUTED_VALUE"""),23.0)</f>
        <v>23</v>
      </c>
      <c r="D73" s="8"/>
      <c r="E73" s="8"/>
      <c r="F73" s="8">
        <f>IFERROR(__xludf.DUMMYFUNCTION("""COMPUTED_VALUE"""),5.0)</f>
        <v>5</v>
      </c>
      <c r="G73" s="8">
        <f>IFERROR(__xludf.DUMMYFUNCTION("""COMPUTED_VALUE"""),1.0)</f>
        <v>1</v>
      </c>
      <c r="H73" s="8">
        <f>IFERROR(__xludf.DUMMYFUNCTION("""COMPUTED_VALUE"""),0.0)</f>
        <v>0</v>
      </c>
      <c r="I73" s="8" t="str">
        <f>IFERROR(__xludf.DUMMYFUNCTION("""COMPUTED_VALUE"""),"General Petite")</f>
        <v>General Petite</v>
      </c>
      <c r="J73" s="8" t="str">
        <f>IFERROR(__xludf.DUMMYFUNCTION("""COMPUTED_VALUE"""),"Tops")</f>
        <v>Tops</v>
      </c>
      <c r="K73" s="8" t="str">
        <f>IFERROR(__xludf.DUMMYFUNCTION("""COMPUTED_VALUE"""),"Knits")</f>
        <v>Knits</v>
      </c>
    </row>
    <row r="74">
      <c r="A74" s="8">
        <f>IFERROR(__xludf.DUMMYFUNCTION("""COMPUTED_VALUE"""),93.0)</f>
        <v>93</v>
      </c>
      <c r="B74" s="8">
        <f>IFERROR(__xludf.DUMMYFUNCTION("""COMPUTED_VALUE"""),1081.0)</f>
        <v>1081</v>
      </c>
      <c r="C74" s="8">
        <f>IFERROR(__xludf.DUMMYFUNCTION("""COMPUTED_VALUE"""),31.0)</f>
        <v>31</v>
      </c>
      <c r="D74" s="8"/>
      <c r="E74" s="8"/>
      <c r="F74" s="8">
        <f>IFERROR(__xludf.DUMMYFUNCTION("""COMPUTED_VALUE"""),5.0)</f>
        <v>5</v>
      </c>
      <c r="G74" s="8">
        <f>IFERROR(__xludf.DUMMYFUNCTION("""COMPUTED_VALUE"""),1.0)</f>
        <v>1</v>
      </c>
      <c r="H74" s="8">
        <f>IFERROR(__xludf.DUMMYFUNCTION("""COMPUTED_VALUE"""),0.0)</f>
        <v>0</v>
      </c>
      <c r="I74" s="8" t="str">
        <f>IFERROR(__xludf.DUMMYFUNCTION("""COMPUTED_VALUE"""),"General")</f>
        <v>General</v>
      </c>
      <c r="J74" s="8" t="str">
        <f>IFERROR(__xludf.DUMMYFUNCTION("""COMPUTED_VALUE"""),"Dresses")</f>
        <v>Dresses</v>
      </c>
      <c r="K74" s="8" t="str">
        <f>IFERROR(__xludf.DUMMYFUNCTION("""COMPUTED_VALUE"""),"Dresses")</f>
        <v>Dresses</v>
      </c>
    </row>
    <row r="75">
      <c r="A75" s="8">
        <f>IFERROR(__xludf.DUMMYFUNCTION("""COMPUTED_VALUE"""),94.0)</f>
        <v>94</v>
      </c>
      <c r="B75" s="8">
        <f>IFERROR(__xludf.DUMMYFUNCTION("""COMPUTED_VALUE"""),850.0)</f>
        <v>850</v>
      </c>
      <c r="C75" s="8">
        <f>IFERROR(__xludf.DUMMYFUNCTION("""COMPUTED_VALUE"""),23.0)</f>
        <v>23</v>
      </c>
      <c r="D75" s="8" t="str">
        <f>IFERROR(__xludf.DUMMYFUNCTION("""COMPUTED_VALUE"""),"Beautifully made, but not versatile")</f>
        <v>Beautifully made, but not versatile</v>
      </c>
      <c r="E75" s="8" t="str">
        <f>IFERROR(__xludf.DUMMYFUNCTION("""COMPUTED_VALUE"""),"This shirt caught my eye because of how beautiful it was. i love the shape, design, and and the color. it's perfect for spring and summer with some white pants. unfortunately, i don't see any possibilities for this shirt to be worn any other way. so far, "&amp;"it doesn't work with any of my jeans, skirts, or shorts. i usually prefer items with more versatility for outfits, so i'm still on the fence if i'm going to keep it or not. with that aside, it seriously is a great quality shirt with a beautiful")</f>
        <v>This shirt caught my eye because of how beautiful it was. i love the shape, design, and and the color. it's perfect for spring and summer with some white pants. unfortunately, i don't see any possibilities for this shirt to be worn any other way. so far, it doesn't work with any of my jeans, skirts, or shorts. i usually prefer items with more versatility for outfits, so i'm still on the fence if i'm going to keep it or not. with that aside, it seriously is a great quality shirt with a beautiful</v>
      </c>
      <c r="F75" s="8">
        <f>IFERROR(__xludf.DUMMYFUNCTION("""COMPUTED_VALUE"""),4.0)</f>
        <v>4</v>
      </c>
      <c r="G75" s="8">
        <f>IFERROR(__xludf.DUMMYFUNCTION("""COMPUTED_VALUE"""),1.0)</f>
        <v>1</v>
      </c>
      <c r="H75" s="8">
        <f>IFERROR(__xludf.DUMMYFUNCTION("""COMPUTED_VALUE"""),3.0)</f>
        <v>3</v>
      </c>
      <c r="I75" s="8" t="str">
        <f>IFERROR(__xludf.DUMMYFUNCTION("""COMPUTED_VALUE"""),"General Petite")</f>
        <v>General Petite</v>
      </c>
      <c r="J75" s="8" t="str">
        <f>IFERROR(__xludf.DUMMYFUNCTION("""COMPUTED_VALUE"""),"Tops")</f>
        <v>Tops</v>
      </c>
      <c r="K75" s="8" t="str">
        <f>IFERROR(__xludf.DUMMYFUNCTION("""COMPUTED_VALUE"""),"Blouses")</f>
        <v>Blouses</v>
      </c>
    </row>
    <row r="76">
      <c r="A76" s="8">
        <f>IFERROR(__xludf.DUMMYFUNCTION("""COMPUTED_VALUE"""),95.0)</f>
        <v>95</v>
      </c>
      <c r="B76" s="8">
        <f>IFERROR(__xludf.DUMMYFUNCTION("""COMPUTED_VALUE"""),863.0)</f>
        <v>863</v>
      </c>
      <c r="C76" s="8">
        <f>IFERROR(__xludf.DUMMYFUNCTION("""COMPUTED_VALUE"""),83.0)</f>
        <v>83</v>
      </c>
      <c r="D76" s="8" t="str">
        <f>IFERROR(__xludf.DUMMYFUNCTION("""COMPUTED_VALUE"""),"Casual elegance!")</f>
        <v>Casual elegance!</v>
      </c>
      <c r="E76" s="8" t="str">
        <f>IFERROR(__xludf.DUMMYFUNCTION("""COMPUTED_VALUE"""),"Purchased this top online, and when i received it was very pleased.
it has and elegant cut and yet is a casual fabric.
love that the sleeves run longer......ads to the overall look.
also loved the v neckline.........enhances the feel of the overall style."&amp;"
with various necklaces this top has limitless options!
the color states moss....which i usually think of as greenish brown......i found it to be more of a taupe.
would have liked it to have a green tones, however it is still a fantastic f")</f>
        <v>Purchased this top online, and when i received it was very pleased.
it has and elegant cut and yet is a casual fabric.
love that the sleeves run longer......ads to the overall look.
also loved the v neckline.........enhances the feel of the overall style.
with various necklaces this top has limitless options!
the color states moss....which i usually think of as greenish brown......i found it to be more of a taupe.
would have liked it to have a green tones, however it is still a fantastic f</v>
      </c>
      <c r="F76" s="8">
        <f>IFERROR(__xludf.DUMMYFUNCTION("""COMPUTED_VALUE"""),5.0)</f>
        <v>5</v>
      </c>
      <c r="G76" s="8">
        <f>IFERROR(__xludf.DUMMYFUNCTION("""COMPUTED_VALUE"""),1.0)</f>
        <v>1</v>
      </c>
      <c r="H76" s="8">
        <f>IFERROR(__xludf.DUMMYFUNCTION("""COMPUTED_VALUE"""),14.0)</f>
        <v>14</v>
      </c>
      <c r="I76" s="8" t="str">
        <f>IFERROR(__xludf.DUMMYFUNCTION("""COMPUTED_VALUE"""),"General")</f>
        <v>General</v>
      </c>
      <c r="J76" s="8" t="str">
        <f>IFERROR(__xludf.DUMMYFUNCTION("""COMPUTED_VALUE"""),"Tops")</f>
        <v>Tops</v>
      </c>
      <c r="K76" s="8" t="str">
        <f>IFERROR(__xludf.DUMMYFUNCTION("""COMPUTED_VALUE"""),"Knits")</f>
        <v>Knits</v>
      </c>
    </row>
    <row r="77">
      <c r="A77" s="8">
        <f>IFERROR(__xludf.DUMMYFUNCTION("""COMPUTED_VALUE"""),98.0)</f>
        <v>98</v>
      </c>
      <c r="B77" s="8">
        <f>IFERROR(__xludf.DUMMYFUNCTION("""COMPUTED_VALUE"""),1133.0)</f>
        <v>1133</v>
      </c>
      <c r="C77" s="8">
        <f>IFERROR(__xludf.DUMMYFUNCTION("""COMPUTED_VALUE"""),50.0)</f>
        <v>50</v>
      </c>
      <c r="D77" s="8"/>
      <c r="E77" s="8"/>
      <c r="F77" s="8">
        <f>IFERROR(__xludf.DUMMYFUNCTION("""COMPUTED_VALUE"""),5.0)</f>
        <v>5</v>
      </c>
      <c r="G77" s="8">
        <f>IFERROR(__xludf.DUMMYFUNCTION("""COMPUTED_VALUE"""),1.0)</f>
        <v>1</v>
      </c>
      <c r="H77" s="8">
        <f>IFERROR(__xludf.DUMMYFUNCTION("""COMPUTED_VALUE"""),0.0)</f>
        <v>0</v>
      </c>
      <c r="I77" s="8" t="str">
        <f>IFERROR(__xludf.DUMMYFUNCTION("""COMPUTED_VALUE"""),"General")</f>
        <v>General</v>
      </c>
      <c r="J77" s="8" t="str">
        <f>IFERROR(__xludf.DUMMYFUNCTION("""COMPUTED_VALUE"""),"Jackets")</f>
        <v>Jackets</v>
      </c>
      <c r="K77" s="8" t="str">
        <f>IFERROR(__xludf.DUMMYFUNCTION("""COMPUTED_VALUE"""),"Outerwear")</f>
        <v>Outerwear</v>
      </c>
    </row>
    <row r="78">
      <c r="A78" s="8">
        <f>IFERROR(__xludf.DUMMYFUNCTION("""COMPUTED_VALUE"""),100.0)</f>
        <v>100</v>
      </c>
      <c r="B78" s="8">
        <f>IFERROR(__xludf.DUMMYFUNCTION("""COMPUTED_VALUE"""),861.0)</f>
        <v>861</v>
      </c>
      <c r="C78" s="8">
        <f>IFERROR(__xludf.DUMMYFUNCTION("""COMPUTED_VALUE"""),39.0)</f>
        <v>39</v>
      </c>
      <c r="D78" s="8" t="str">
        <f>IFERROR(__xludf.DUMMYFUNCTION("""COMPUTED_VALUE"""),"Comfy")</f>
        <v>Comfy</v>
      </c>
      <c r="E78" s="8" t="str">
        <f>IFERROR(__xludf.DUMMYFUNCTION("""COMPUTED_VALUE"""),"At first i wasn't sure about it. the neckline is much lower and wavy than i thought. but after wearing it, it really is comfortable. it stretches a lot, so i wear a cami underneath so when i lean forward i'm not showing the world my torso.")</f>
        <v>At first i wasn't sure about it. the neckline is much lower and wavy than i thought. but after wearing it, it really is comfortable. it stretches a lot, so i wear a cami underneath so when i lean forward i'm not showing the world my torso.</v>
      </c>
      <c r="F78" s="8">
        <f>IFERROR(__xludf.DUMMYFUNCTION("""COMPUTED_VALUE"""),4.0)</f>
        <v>4</v>
      </c>
      <c r="G78" s="8">
        <f>IFERROR(__xludf.DUMMYFUNCTION("""COMPUTED_VALUE"""),1.0)</f>
        <v>1</v>
      </c>
      <c r="H78" s="8">
        <f>IFERROR(__xludf.DUMMYFUNCTION("""COMPUTED_VALUE"""),0.0)</f>
        <v>0</v>
      </c>
      <c r="I78" s="8" t="str">
        <f>IFERROR(__xludf.DUMMYFUNCTION("""COMPUTED_VALUE"""),"General Petite")</f>
        <v>General Petite</v>
      </c>
      <c r="J78" s="8" t="str">
        <f>IFERROR(__xludf.DUMMYFUNCTION("""COMPUTED_VALUE"""),"Tops")</f>
        <v>Tops</v>
      </c>
      <c r="K78" s="8" t="str">
        <f>IFERROR(__xludf.DUMMYFUNCTION("""COMPUTED_VALUE"""),"Knits")</f>
        <v>Knits</v>
      </c>
    </row>
    <row r="79">
      <c r="A79" s="8">
        <f>IFERROR(__xludf.DUMMYFUNCTION("""COMPUTED_VALUE"""),101.0)</f>
        <v>101</v>
      </c>
      <c r="B79" s="8">
        <f>IFERROR(__xludf.DUMMYFUNCTION("""COMPUTED_VALUE"""),863.0)</f>
        <v>863</v>
      </c>
      <c r="C79" s="8">
        <f>IFERROR(__xludf.DUMMYFUNCTION("""COMPUTED_VALUE"""),40.0)</f>
        <v>40</v>
      </c>
      <c r="D79" s="8" t="str">
        <f>IFERROR(__xludf.DUMMYFUNCTION("""COMPUTED_VALUE"""),"Simple, stylish, lovely-runs a bit big")</f>
        <v>Simple, stylish, lovely-runs a bit big</v>
      </c>
      <c r="E79" s="8" t="str">
        <f>IFERROR(__xludf.DUMMYFUNCTION("""COMPUTED_VALUE"""),"I find that this brand can be a little bit all-over-the-place with sizes. had i tried this on in person i may have bought it in a small instead of a m. despite being a bit big it still looks great and hides my flaws well. i bought a m in another shirt fro"&amp;"m them (the seamed scoop neck) and that shirt was a full 2 inches smaller in the bust than this. just something to keep in mind. still a great shirt, love the neutral color.")</f>
        <v>I find that this brand can be a little bit all-over-the-place with sizes. had i tried this on in person i may have bought it in a small instead of a m. despite being a bit big it still looks great and hides my flaws well. i bought a m in another shirt from them (the seamed scoop neck) and that shirt was a full 2 inches smaller in the bust than this. just something to keep in mind. still a great shirt, love the neutral color.</v>
      </c>
      <c r="F79" s="8">
        <f>IFERROR(__xludf.DUMMYFUNCTION("""COMPUTED_VALUE"""),4.0)</f>
        <v>4</v>
      </c>
      <c r="G79" s="8">
        <f>IFERROR(__xludf.DUMMYFUNCTION("""COMPUTED_VALUE"""),1.0)</f>
        <v>1</v>
      </c>
      <c r="H79" s="8">
        <f>IFERROR(__xludf.DUMMYFUNCTION("""COMPUTED_VALUE"""),5.0)</f>
        <v>5</v>
      </c>
      <c r="I79" s="8" t="str">
        <f>IFERROR(__xludf.DUMMYFUNCTION("""COMPUTED_VALUE"""),"General")</f>
        <v>General</v>
      </c>
      <c r="J79" s="8" t="str">
        <f>IFERROR(__xludf.DUMMYFUNCTION("""COMPUTED_VALUE"""),"Tops")</f>
        <v>Tops</v>
      </c>
      <c r="K79" s="8" t="str">
        <f>IFERROR(__xludf.DUMMYFUNCTION("""COMPUTED_VALUE"""),"Knits")</f>
        <v>Knits</v>
      </c>
    </row>
    <row r="80">
      <c r="A80" s="8">
        <f>IFERROR(__xludf.DUMMYFUNCTION("""COMPUTED_VALUE"""),102.0)</f>
        <v>102</v>
      </c>
      <c r="B80" s="8">
        <f>IFERROR(__xludf.DUMMYFUNCTION("""COMPUTED_VALUE"""),822.0)</f>
        <v>822</v>
      </c>
      <c r="C80" s="8">
        <f>IFERROR(__xludf.DUMMYFUNCTION("""COMPUTED_VALUE"""),69.0)</f>
        <v>69</v>
      </c>
      <c r="D80" s="8" t="str">
        <f>IFERROR(__xludf.DUMMYFUNCTION("""COMPUTED_VALUE"""),"Stunning lace top")</f>
        <v>Stunning lace top</v>
      </c>
      <c r="E80" s="8" t="str">
        <f>IFERROR(__xludf.DUMMYFUNCTION("""COMPUTED_VALUE"""),"This top is absolutely stunning. i purchased the white one. just received and it fits nicely-a little on the big side but i believe it looks better that way. this will look great with everything. it is well constructed and looks very unique. love it!")</f>
        <v>This top is absolutely stunning. i purchased the white one. just received and it fits nicely-a little on the big side but i believe it looks better that way. this will look great with everything. it is well constructed and looks very unique. love it!</v>
      </c>
      <c r="F80" s="8">
        <f>IFERROR(__xludf.DUMMYFUNCTION("""COMPUTED_VALUE"""),5.0)</f>
        <v>5</v>
      </c>
      <c r="G80" s="8">
        <f>IFERROR(__xludf.DUMMYFUNCTION("""COMPUTED_VALUE"""),1.0)</f>
        <v>1</v>
      </c>
      <c r="H80" s="8">
        <f>IFERROR(__xludf.DUMMYFUNCTION("""COMPUTED_VALUE"""),2.0)</f>
        <v>2</v>
      </c>
      <c r="I80" s="8" t="str">
        <f>IFERROR(__xludf.DUMMYFUNCTION("""COMPUTED_VALUE"""),"General")</f>
        <v>General</v>
      </c>
      <c r="J80" s="8" t="str">
        <f>IFERROR(__xludf.DUMMYFUNCTION("""COMPUTED_VALUE"""),"Tops")</f>
        <v>Tops</v>
      </c>
      <c r="K80" s="8" t="str">
        <f>IFERROR(__xludf.DUMMYFUNCTION("""COMPUTED_VALUE"""),"Blouses")</f>
        <v>Blouses</v>
      </c>
    </row>
    <row r="81">
      <c r="A81" s="8">
        <f>IFERROR(__xludf.DUMMYFUNCTION("""COMPUTED_VALUE"""),105.0)</f>
        <v>105</v>
      </c>
      <c r="B81" s="8">
        <f>IFERROR(__xludf.DUMMYFUNCTION("""COMPUTED_VALUE"""),836.0)</f>
        <v>836</v>
      </c>
      <c r="C81" s="8">
        <f>IFERROR(__xludf.DUMMYFUNCTION("""COMPUTED_VALUE"""),66.0)</f>
        <v>66</v>
      </c>
      <c r="D81" s="8" t="str">
        <f>IFERROR(__xludf.DUMMYFUNCTION("""COMPUTED_VALUE"""),"Excited ... but ...")</f>
        <v>Excited ... but ...</v>
      </c>
      <c r="E81" s="8" t="str">
        <f>IFERROR(__xludf.DUMMYFUNCTION("""COMPUTED_VALUE"""),"I bought this lovely silk/velvet shirt in the &amp;quot;sky&amp;quot; color but it is more on the teal blue side than sky blue, which disappointed me. it is definitely darker than appears in photo. still a luxurious well-made beauty with sassy appeal. it drapes l"&amp;"ike a snake slithering down your body. it comes with attitude.")</f>
        <v>I bought this lovely silk/velvet shirt in the &amp;quot;sky&amp;quot; color but it is more on the teal blue side than sky blue, which disappointed me. it is definitely darker than appears in photo. still a luxurious well-made beauty with sassy appeal. it drapes like a snake slithering down your body. it comes with attitude.</v>
      </c>
      <c r="F81" s="8">
        <f>IFERROR(__xludf.DUMMYFUNCTION("""COMPUTED_VALUE"""),5.0)</f>
        <v>5</v>
      </c>
      <c r="G81" s="8">
        <f>IFERROR(__xludf.DUMMYFUNCTION("""COMPUTED_VALUE"""),1.0)</f>
        <v>1</v>
      </c>
      <c r="H81" s="8">
        <f>IFERROR(__xludf.DUMMYFUNCTION("""COMPUTED_VALUE"""),0.0)</f>
        <v>0</v>
      </c>
      <c r="I81" s="8" t="str">
        <f>IFERROR(__xludf.DUMMYFUNCTION("""COMPUTED_VALUE"""),"General")</f>
        <v>General</v>
      </c>
      <c r="J81" s="8" t="str">
        <f>IFERROR(__xludf.DUMMYFUNCTION("""COMPUTED_VALUE"""),"Tops")</f>
        <v>Tops</v>
      </c>
      <c r="K81" s="8" t="str">
        <f>IFERROR(__xludf.DUMMYFUNCTION("""COMPUTED_VALUE"""),"Blouses")</f>
        <v>Blouses</v>
      </c>
    </row>
    <row r="82">
      <c r="A82" s="8">
        <f>IFERROR(__xludf.DUMMYFUNCTION("""COMPUTED_VALUE"""),106.0)</f>
        <v>106</v>
      </c>
      <c r="B82" s="8">
        <f>IFERROR(__xludf.DUMMYFUNCTION("""COMPUTED_VALUE"""),836.0)</f>
        <v>836</v>
      </c>
      <c r="C82" s="8">
        <f>IFERROR(__xludf.DUMMYFUNCTION("""COMPUTED_VALUE"""),47.0)</f>
        <v>47</v>
      </c>
      <c r="D82" s="8" t="str">
        <f>IFERROR(__xludf.DUMMYFUNCTION("""COMPUTED_VALUE"""),"Beautiful shirt but runs small!")</f>
        <v>Beautiful shirt but runs small!</v>
      </c>
      <c r="E82" s="8" t="str">
        <f>IFERROR(__xludf.DUMMYFUNCTION("""COMPUTED_VALUE"""),"Was so excited to order this beautiful shirt!  and the color sky is gorgeous!  but as another reviewer said--it runs small.  it was also way too short.  so sadly i will be returning this.  i gave it 5 stars because it is beautiful and great quality--it ju"&amp;"st didn't fit me.")</f>
        <v>Was so excited to order this beautiful shirt!  and the color sky is gorgeous!  but as another reviewer said--it runs small.  it was also way too short.  so sadly i will be returning this.  i gave it 5 stars because it is beautiful and great quality--it just didn't fit me.</v>
      </c>
      <c r="F82" s="8">
        <f>IFERROR(__xludf.DUMMYFUNCTION("""COMPUTED_VALUE"""),4.0)</f>
        <v>4</v>
      </c>
      <c r="G82" s="8">
        <f>IFERROR(__xludf.DUMMYFUNCTION("""COMPUTED_VALUE"""),1.0)</f>
        <v>1</v>
      </c>
      <c r="H82" s="8">
        <f>IFERROR(__xludf.DUMMYFUNCTION("""COMPUTED_VALUE"""),11.0)</f>
        <v>11</v>
      </c>
      <c r="I82" s="8" t="str">
        <f>IFERROR(__xludf.DUMMYFUNCTION("""COMPUTED_VALUE"""),"General")</f>
        <v>General</v>
      </c>
      <c r="J82" s="8" t="str">
        <f>IFERROR(__xludf.DUMMYFUNCTION("""COMPUTED_VALUE"""),"Tops")</f>
        <v>Tops</v>
      </c>
      <c r="K82" s="8" t="str">
        <f>IFERROR(__xludf.DUMMYFUNCTION("""COMPUTED_VALUE"""),"Blouses")</f>
        <v>Blouses</v>
      </c>
    </row>
    <row r="83">
      <c r="A83" s="8">
        <f>IFERROR(__xludf.DUMMYFUNCTION("""COMPUTED_VALUE"""),107.0)</f>
        <v>107</v>
      </c>
      <c r="B83" s="8">
        <f>IFERROR(__xludf.DUMMYFUNCTION("""COMPUTED_VALUE"""),836.0)</f>
        <v>836</v>
      </c>
      <c r="C83" s="8">
        <f>IFERROR(__xludf.DUMMYFUNCTION("""COMPUTED_VALUE"""),66.0)</f>
        <v>66</v>
      </c>
      <c r="D83" s="8" t="str">
        <f>IFERROR(__xludf.DUMMYFUNCTION("""COMPUTED_VALUE"""),"Beautiful")</f>
        <v>Beautiful</v>
      </c>
      <c r="E83" s="8" t="str">
        <f>IFERROR(__xludf.DUMMYFUNCTION("""COMPUTED_VALUE"""),"I ordered ivory in xl because this brand tends to run tight if you're well endowed. it's a beautiful color and i love the contrasting plaid lining the inside of the collar and cuffs. haven't decided about keeping it because it looks oversized (but cozy) a"&amp;"nd it's really long. it almost touches the top of my knees in back. sooooo pretty though.")</f>
        <v>I ordered ivory in xl because this brand tends to run tight if you're well endowed. it's a beautiful color and i love the contrasting plaid lining the inside of the collar and cuffs. haven't decided about keeping it because it looks oversized (but cozy) and it's really long. it almost touches the top of my knees in back. sooooo pretty though.</v>
      </c>
      <c r="F83" s="8">
        <f>IFERROR(__xludf.DUMMYFUNCTION("""COMPUTED_VALUE"""),4.0)</f>
        <v>4</v>
      </c>
      <c r="G83" s="8">
        <f>IFERROR(__xludf.DUMMYFUNCTION("""COMPUTED_VALUE"""),1.0)</f>
        <v>1</v>
      </c>
      <c r="H83" s="8">
        <f>IFERROR(__xludf.DUMMYFUNCTION("""COMPUTED_VALUE"""),0.0)</f>
        <v>0</v>
      </c>
      <c r="I83" s="8" t="str">
        <f>IFERROR(__xludf.DUMMYFUNCTION("""COMPUTED_VALUE"""),"General")</f>
        <v>General</v>
      </c>
      <c r="J83" s="8" t="str">
        <f>IFERROR(__xludf.DUMMYFUNCTION("""COMPUTED_VALUE"""),"Tops")</f>
        <v>Tops</v>
      </c>
      <c r="K83" s="8" t="str">
        <f>IFERROR(__xludf.DUMMYFUNCTION("""COMPUTED_VALUE"""),"Blouses")</f>
        <v>Blouses</v>
      </c>
    </row>
    <row r="84">
      <c r="A84" s="8">
        <f>IFERROR(__xludf.DUMMYFUNCTION("""COMPUTED_VALUE"""),108.0)</f>
        <v>108</v>
      </c>
      <c r="B84" s="8">
        <f>IFERROR(__xludf.DUMMYFUNCTION("""COMPUTED_VALUE"""),836.0)</f>
        <v>836</v>
      </c>
      <c r="C84" s="8">
        <f>IFERROR(__xludf.DUMMYFUNCTION("""COMPUTED_VALUE"""),23.0)</f>
        <v>23</v>
      </c>
      <c r="D84" s="8" t="str">
        <f>IFERROR(__xludf.DUMMYFUNCTION("""COMPUTED_VALUE"""),"Perfect fall shirt!")</f>
        <v>Perfect fall shirt!</v>
      </c>
      <c r="E84" s="8" t="str">
        <f>IFERROR(__xludf.DUMMYFUNCTION("""COMPUTED_VALUE"""),"The shirt is exactly as it is pictured, i have the burnt orange color and love it! i received numerous compliments both paired with jeans and tucked into a fun skirt. it fits true to size, as i normally wear a small in all retailer however it is the sligh"&amp;"test bit tight in the shoulders. i would give this top a 5/5.")</f>
        <v>The shirt is exactly as it is pictured, i have the burnt orange color and love it! i received numerous compliments both paired with jeans and tucked into a fun skirt. it fits true to size, as i normally wear a small in all retailer however it is the slightest bit tight in the shoulders. i would give this top a 5/5.</v>
      </c>
      <c r="F84" s="8">
        <f>IFERROR(__xludf.DUMMYFUNCTION("""COMPUTED_VALUE"""),5.0)</f>
        <v>5</v>
      </c>
      <c r="G84" s="8">
        <f>IFERROR(__xludf.DUMMYFUNCTION("""COMPUTED_VALUE"""),1.0)</f>
        <v>1</v>
      </c>
      <c r="H84" s="8">
        <f>IFERROR(__xludf.DUMMYFUNCTION("""COMPUTED_VALUE"""),3.0)</f>
        <v>3</v>
      </c>
      <c r="I84" s="8" t="str">
        <f>IFERROR(__xludf.DUMMYFUNCTION("""COMPUTED_VALUE"""),"General")</f>
        <v>General</v>
      </c>
      <c r="J84" s="8" t="str">
        <f>IFERROR(__xludf.DUMMYFUNCTION("""COMPUTED_VALUE"""),"Tops")</f>
        <v>Tops</v>
      </c>
      <c r="K84" s="8" t="str">
        <f>IFERROR(__xludf.DUMMYFUNCTION("""COMPUTED_VALUE"""),"Blouses")</f>
        <v>Blouses</v>
      </c>
    </row>
    <row r="85">
      <c r="A85" s="8">
        <f>IFERROR(__xludf.DUMMYFUNCTION("""COMPUTED_VALUE"""),109.0)</f>
        <v>109</v>
      </c>
      <c r="B85" s="8">
        <f>IFERROR(__xludf.DUMMYFUNCTION("""COMPUTED_VALUE"""),1081.0)</f>
        <v>1081</v>
      </c>
      <c r="C85" s="8">
        <f>IFERROR(__xludf.DUMMYFUNCTION("""COMPUTED_VALUE"""),47.0)</f>
        <v>47</v>
      </c>
      <c r="D85" s="8"/>
      <c r="E85" s="8" t="str">
        <f>IFERROR(__xludf.DUMMYFUNCTION("""COMPUTED_VALUE"""),"Perfect dress for hot, humid, sticky weather.")</f>
        <v>Perfect dress for hot, humid, sticky weather.</v>
      </c>
      <c r="F85" s="8">
        <f>IFERROR(__xludf.DUMMYFUNCTION("""COMPUTED_VALUE"""),5.0)</f>
        <v>5</v>
      </c>
      <c r="G85" s="8">
        <f>IFERROR(__xludf.DUMMYFUNCTION("""COMPUTED_VALUE"""),1.0)</f>
        <v>1</v>
      </c>
      <c r="H85" s="8">
        <f>IFERROR(__xludf.DUMMYFUNCTION("""COMPUTED_VALUE"""),0.0)</f>
        <v>0</v>
      </c>
      <c r="I85" s="8" t="str">
        <f>IFERROR(__xludf.DUMMYFUNCTION("""COMPUTED_VALUE"""),"General")</f>
        <v>General</v>
      </c>
      <c r="J85" s="8" t="str">
        <f>IFERROR(__xludf.DUMMYFUNCTION("""COMPUTED_VALUE"""),"Dresses")</f>
        <v>Dresses</v>
      </c>
      <c r="K85" s="8" t="str">
        <f>IFERROR(__xludf.DUMMYFUNCTION("""COMPUTED_VALUE"""),"Dresses")</f>
        <v>Dresses</v>
      </c>
    </row>
    <row r="86">
      <c r="A86" s="8">
        <f>IFERROR(__xludf.DUMMYFUNCTION("""COMPUTED_VALUE"""),112.0)</f>
        <v>112</v>
      </c>
      <c r="B86" s="8">
        <f>IFERROR(__xludf.DUMMYFUNCTION("""COMPUTED_VALUE"""),836.0)</f>
        <v>836</v>
      </c>
      <c r="C86" s="8">
        <f>IFERROR(__xludf.DUMMYFUNCTION("""COMPUTED_VALUE"""),50.0)</f>
        <v>50</v>
      </c>
      <c r="D86" s="8" t="str">
        <f>IFERROR(__xludf.DUMMYFUNCTION("""COMPUTED_VALUE"""),"Beautiful, stunning, cozy top!")</f>
        <v>Beautiful, stunning, cozy top!</v>
      </c>
      <c r="E86" s="8" t="str">
        <f>IFERROR(__xludf.DUMMYFUNCTION("""COMPUTED_VALUE"""),"I read the first review on this and ordered both a small and a medium as i thought this would run small. i have to totally disagree with the reviewer! i find that this top runs true to size or even generous! the sky color is so pretty and this top can be "&amp;"dressed up with some nice heels and a necklace or it can be comfy casual! i usually wear a small in hh brand and this one was true to fit (5""2"", broad shoulders, 120 lb)")</f>
        <v>I read the first review on this and ordered both a small and a medium as i thought this would run small. i have to totally disagree with the reviewer! i find that this top runs true to size or even generous! the sky color is so pretty and this top can be dressed up with some nice heels and a necklace or it can be comfy casual! i usually wear a small in hh brand and this one was true to fit (5"2", broad shoulders, 120 lb)</v>
      </c>
      <c r="F86" s="8">
        <f>IFERROR(__xludf.DUMMYFUNCTION("""COMPUTED_VALUE"""),5.0)</f>
        <v>5</v>
      </c>
      <c r="G86" s="8">
        <f>IFERROR(__xludf.DUMMYFUNCTION("""COMPUTED_VALUE"""),1.0)</f>
        <v>1</v>
      </c>
      <c r="H86" s="8">
        <f>IFERROR(__xludf.DUMMYFUNCTION("""COMPUTED_VALUE"""),24.0)</f>
        <v>24</v>
      </c>
      <c r="I86" s="8" t="str">
        <f>IFERROR(__xludf.DUMMYFUNCTION("""COMPUTED_VALUE"""),"General")</f>
        <v>General</v>
      </c>
      <c r="J86" s="8" t="str">
        <f>IFERROR(__xludf.DUMMYFUNCTION("""COMPUTED_VALUE"""),"Tops")</f>
        <v>Tops</v>
      </c>
      <c r="K86" s="8" t="str">
        <f>IFERROR(__xludf.DUMMYFUNCTION("""COMPUTED_VALUE"""),"Blouses")</f>
        <v>Blouses</v>
      </c>
    </row>
    <row r="87">
      <c r="A87" s="8">
        <f>IFERROR(__xludf.DUMMYFUNCTION("""COMPUTED_VALUE"""),113.0)</f>
        <v>113</v>
      </c>
      <c r="B87" s="8">
        <f>IFERROR(__xludf.DUMMYFUNCTION("""COMPUTED_VALUE"""),1081.0)</f>
        <v>1081</v>
      </c>
      <c r="C87" s="8">
        <f>IFERROR(__xludf.DUMMYFUNCTION("""COMPUTED_VALUE"""),61.0)</f>
        <v>61</v>
      </c>
      <c r="D87" s="8" t="str">
        <f>IFERROR(__xludf.DUMMYFUNCTION("""COMPUTED_VALUE"""),"Cute and comfy")</f>
        <v>Cute and comfy</v>
      </c>
      <c r="E87" s="8" t="str">
        <f>IFERROR(__xludf.DUMMYFUNCTION("""COMPUTED_VALUE"""),"This dress is comfortable and stylish at the same time. it runs true to size. i'm 5'1"" 113 lbs and got the xs petite. wore it once so far for a few hours and got a few compliments on it!")</f>
        <v>This dress is comfortable and stylish at the same time. it runs true to size. i'm 5'1" 113 lbs and got the xs petite. wore it once so far for a few hours and got a few compliments on it!</v>
      </c>
      <c r="F87" s="8">
        <f>IFERROR(__xludf.DUMMYFUNCTION("""COMPUTED_VALUE"""),5.0)</f>
        <v>5</v>
      </c>
      <c r="G87" s="8">
        <f>IFERROR(__xludf.DUMMYFUNCTION("""COMPUTED_VALUE"""),1.0)</f>
        <v>1</v>
      </c>
      <c r="H87" s="8">
        <f>IFERROR(__xludf.DUMMYFUNCTION("""COMPUTED_VALUE"""),3.0)</f>
        <v>3</v>
      </c>
      <c r="I87" s="8" t="str">
        <f>IFERROR(__xludf.DUMMYFUNCTION("""COMPUTED_VALUE"""),"General")</f>
        <v>General</v>
      </c>
      <c r="J87" s="8" t="str">
        <f>IFERROR(__xludf.DUMMYFUNCTION("""COMPUTED_VALUE"""),"Dresses")</f>
        <v>Dresses</v>
      </c>
      <c r="K87" s="8" t="str">
        <f>IFERROR(__xludf.DUMMYFUNCTION("""COMPUTED_VALUE"""),"Dresses")</f>
        <v>Dresses</v>
      </c>
    </row>
    <row r="88">
      <c r="A88" s="8">
        <f>IFERROR(__xludf.DUMMYFUNCTION("""COMPUTED_VALUE"""),115.0)</f>
        <v>115</v>
      </c>
      <c r="B88" s="8">
        <f>IFERROR(__xludf.DUMMYFUNCTION("""COMPUTED_VALUE"""),863.0)</f>
        <v>863</v>
      </c>
      <c r="C88" s="8">
        <f>IFERROR(__xludf.DUMMYFUNCTION("""COMPUTED_VALUE"""),52.0)</f>
        <v>52</v>
      </c>
      <c r="D88" s="8" t="str">
        <f>IFERROR(__xludf.DUMMYFUNCTION("""COMPUTED_VALUE"""),"Cute tee")</f>
        <v>Cute tee</v>
      </c>
      <c r="E88" s="8" t="str">
        <f>IFERROR(__xludf.DUMMYFUNCTION("""COMPUTED_VALUE"""),"This one totally worked for me. love the color, length, and style.")</f>
        <v>This one totally worked for me. love the color, length, and style.</v>
      </c>
      <c r="F88" s="8">
        <f>IFERROR(__xludf.DUMMYFUNCTION("""COMPUTED_VALUE"""),4.0)</f>
        <v>4</v>
      </c>
      <c r="G88" s="8">
        <f>IFERROR(__xludf.DUMMYFUNCTION("""COMPUTED_VALUE"""),1.0)</f>
        <v>1</v>
      </c>
      <c r="H88" s="8">
        <f>IFERROR(__xludf.DUMMYFUNCTION("""COMPUTED_VALUE"""),0.0)</f>
        <v>0</v>
      </c>
      <c r="I88" s="8" t="str">
        <f>IFERROR(__xludf.DUMMYFUNCTION("""COMPUTED_VALUE"""),"General")</f>
        <v>General</v>
      </c>
      <c r="J88" s="8" t="str">
        <f>IFERROR(__xludf.DUMMYFUNCTION("""COMPUTED_VALUE"""),"Tops")</f>
        <v>Tops</v>
      </c>
      <c r="K88" s="8" t="str">
        <f>IFERROR(__xludf.DUMMYFUNCTION("""COMPUTED_VALUE"""),"Knits")</f>
        <v>Knits</v>
      </c>
    </row>
    <row r="89">
      <c r="A89" s="8">
        <f>IFERROR(__xludf.DUMMYFUNCTION("""COMPUTED_VALUE"""),116.0)</f>
        <v>116</v>
      </c>
      <c r="B89" s="8">
        <f>IFERROR(__xludf.DUMMYFUNCTION("""COMPUTED_VALUE"""),1072.0)</f>
        <v>1072</v>
      </c>
      <c r="C89" s="8">
        <f>IFERROR(__xludf.DUMMYFUNCTION("""COMPUTED_VALUE"""),51.0)</f>
        <v>51</v>
      </c>
      <c r="D89" s="8" t="str">
        <f>IFERROR(__xludf.DUMMYFUNCTION("""COMPUTED_VALUE"""),"Very vintage feel")</f>
        <v>Very vintage feel</v>
      </c>
      <c r="E89" s="8" t="str">
        <f>IFERROR(__xludf.DUMMYFUNCTION("""COMPUTED_VALUE"""),"Prior reviewer nailed it with the summary of this dress. it definitely needs heels. i'm 5'4"", 120#, 34d and this is a size 36. i usually wear a size s or 4 with most retailer stuff.")</f>
        <v>Prior reviewer nailed it with the summary of this dress. it definitely needs heels. i'm 5'4", 120#, 34d and this is a size 36. i usually wear a size s or 4 with most retailer stuff.</v>
      </c>
      <c r="F89" s="8">
        <f>IFERROR(__xludf.DUMMYFUNCTION("""COMPUTED_VALUE"""),4.0)</f>
        <v>4</v>
      </c>
      <c r="G89" s="8">
        <f>IFERROR(__xludf.DUMMYFUNCTION("""COMPUTED_VALUE"""),1.0)</f>
        <v>1</v>
      </c>
      <c r="H89" s="8">
        <f>IFERROR(__xludf.DUMMYFUNCTION("""COMPUTED_VALUE"""),1.0)</f>
        <v>1</v>
      </c>
      <c r="I89" s="8" t="str">
        <f>IFERROR(__xludf.DUMMYFUNCTION("""COMPUTED_VALUE"""),"General")</f>
        <v>General</v>
      </c>
      <c r="J89" s="8" t="str">
        <f>IFERROR(__xludf.DUMMYFUNCTION("""COMPUTED_VALUE"""),"Dresses")</f>
        <v>Dresses</v>
      </c>
      <c r="K89" s="8" t="str">
        <f>IFERROR(__xludf.DUMMYFUNCTION("""COMPUTED_VALUE"""),"Dresses")</f>
        <v>Dresses</v>
      </c>
    </row>
    <row r="90">
      <c r="A90" s="8">
        <f>IFERROR(__xludf.DUMMYFUNCTION("""COMPUTED_VALUE"""),117.0)</f>
        <v>117</v>
      </c>
      <c r="B90" s="8">
        <f>IFERROR(__xludf.DUMMYFUNCTION("""COMPUTED_VALUE"""),1078.0)</f>
        <v>1078</v>
      </c>
      <c r="C90" s="8">
        <f>IFERROR(__xludf.DUMMYFUNCTION("""COMPUTED_VALUE"""),32.0)</f>
        <v>32</v>
      </c>
      <c r="D90" s="8"/>
      <c r="E90" s="8" t="str">
        <f>IFERROR(__xludf.DUMMYFUNCTION("""COMPUTED_VALUE"""),"This is the perfect summer dress. it can be dressed up or down. the quality of the linen fabric is very nice. i'm 5'1"" and it hit right below my knees. i found it to run true to size. those with a smaller bust might want to go down a size, but the tie in"&amp;" the front can be adjusted. it's lovely.")</f>
        <v>This is the perfect summer dress. it can be dressed up or down. the quality of the linen fabric is very nice. i'm 5'1" and it hit right below my knees. i found it to run true to size. those with a smaller bust might want to go down a size, but the tie in the front can be adjusted. it's lovely.</v>
      </c>
      <c r="F90" s="8">
        <f>IFERROR(__xludf.DUMMYFUNCTION("""COMPUTED_VALUE"""),5.0)</f>
        <v>5</v>
      </c>
      <c r="G90" s="8">
        <f>IFERROR(__xludf.DUMMYFUNCTION("""COMPUTED_VALUE"""),1.0)</f>
        <v>1</v>
      </c>
      <c r="H90" s="8">
        <f>IFERROR(__xludf.DUMMYFUNCTION("""COMPUTED_VALUE"""),2.0)</f>
        <v>2</v>
      </c>
      <c r="I90" s="8" t="str">
        <f>IFERROR(__xludf.DUMMYFUNCTION("""COMPUTED_VALUE"""),"General Petite")</f>
        <v>General Petite</v>
      </c>
      <c r="J90" s="8" t="str">
        <f>IFERROR(__xludf.DUMMYFUNCTION("""COMPUTED_VALUE"""),"Dresses")</f>
        <v>Dresses</v>
      </c>
      <c r="K90" s="8" t="str">
        <f>IFERROR(__xludf.DUMMYFUNCTION("""COMPUTED_VALUE"""),"Dresses")</f>
        <v>Dresses</v>
      </c>
    </row>
    <row r="91">
      <c r="A91" s="8">
        <f>IFERROR(__xludf.DUMMYFUNCTION("""COMPUTED_VALUE"""),119.0)</f>
        <v>119</v>
      </c>
      <c r="B91" s="8">
        <f>IFERROR(__xludf.DUMMYFUNCTION("""COMPUTED_VALUE"""),836.0)</f>
        <v>836</v>
      </c>
      <c r="C91" s="8">
        <f>IFERROR(__xludf.DUMMYFUNCTION("""COMPUTED_VALUE"""),54.0)</f>
        <v>54</v>
      </c>
      <c r="D91" s="8" t="str">
        <f>IFERROR(__xludf.DUMMYFUNCTION("""COMPUTED_VALUE"""),"Cozy casual - perfect for fall")</f>
        <v>Cozy casual - perfect for fall</v>
      </c>
      <c r="E91" s="8" t="str">
        <f>IFERROR(__xludf.DUMMYFUNCTION("""COMPUTED_VALUE"""),"The color is perfect for fall and into winter. only the inside collar on the photo shows the subtle plaid lining. the lining was an unexpected bonus, and adds even more dimension to the shirt if the sleeves are turned up.
the fit is true to size and the '"&amp;"stressed' velvet fabric is current for this season.
i'm going to enjoy wearing this shirt.")</f>
        <v>The color is perfect for fall and into winter. only the inside collar on the photo shows the subtle plaid lining. the lining was an unexpected bonus, and adds even more dimension to the shirt if the sleeves are turned up.
the fit is true to size and the 'stressed' velvet fabric is current for this season.
i'm going to enjoy wearing this shirt.</v>
      </c>
      <c r="F91" s="8">
        <f>IFERROR(__xludf.DUMMYFUNCTION("""COMPUTED_VALUE"""),5.0)</f>
        <v>5</v>
      </c>
      <c r="G91" s="8">
        <f>IFERROR(__xludf.DUMMYFUNCTION("""COMPUTED_VALUE"""),1.0)</f>
        <v>1</v>
      </c>
      <c r="H91" s="8">
        <f>IFERROR(__xludf.DUMMYFUNCTION("""COMPUTED_VALUE"""),4.0)</f>
        <v>4</v>
      </c>
      <c r="I91" s="8" t="str">
        <f>IFERROR(__xludf.DUMMYFUNCTION("""COMPUTED_VALUE"""),"General")</f>
        <v>General</v>
      </c>
      <c r="J91" s="8" t="str">
        <f>IFERROR(__xludf.DUMMYFUNCTION("""COMPUTED_VALUE"""),"Tops")</f>
        <v>Tops</v>
      </c>
      <c r="K91" s="8" t="str">
        <f>IFERROR(__xludf.DUMMYFUNCTION("""COMPUTED_VALUE"""),"Blouses")</f>
        <v>Blouses</v>
      </c>
    </row>
    <row r="92">
      <c r="A92" s="8">
        <f>IFERROR(__xludf.DUMMYFUNCTION("""COMPUTED_VALUE"""),120.0)</f>
        <v>120</v>
      </c>
      <c r="B92" s="8">
        <f>IFERROR(__xludf.DUMMYFUNCTION("""COMPUTED_VALUE"""),861.0)</f>
        <v>861</v>
      </c>
      <c r="C92" s="8">
        <f>IFERROR(__xludf.DUMMYFUNCTION("""COMPUTED_VALUE"""),33.0)</f>
        <v>33</v>
      </c>
      <c r="D92" s="8" t="str">
        <f>IFERROR(__xludf.DUMMYFUNCTION("""COMPUTED_VALUE"""),"The perfect striped t")</f>
        <v>The perfect striped t</v>
      </c>
      <c r="E92" s="8" t="str">
        <f>IFERROR(__xludf.DUMMYFUNCTION("""COMPUTED_VALUE"""),"The perfect striped t-shirt, and the cute little buttons down the front are a wonderful accent with each one being different. i love it!")</f>
        <v>The perfect striped t-shirt, and the cute little buttons down the front are a wonderful accent with each one being different. i love it!</v>
      </c>
      <c r="F92" s="8">
        <f>IFERROR(__xludf.DUMMYFUNCTION("""COMPUTED_VALUE"""),5.0)</f>
        <v>5</v>
      </c>
      <c r="G92" s="8">
        <f>IFERROR(__xludf.DUMMYFUNCTION("""COMPUTED_VALUE"""),1.0)</f>
        <v>1</v>
      </c>
      <c r="H92" s="8">
        <f>IFERROR(__xludf.DUMMYFUNCTION("""COMPUTED_VALUE"""),0.0)</f>
        <v>0</v>
      </c>
      <c r="I92" s="8" t="str">
        <f>IFERROR(__xludf.DUMMYFUNCTION("""COMPUTED_VALUE"""),"General Petite")</f>
        <v>General Petite</v>
      </c>
      <c r="J92" s="8" t="str">
        <f>IFERROR(__xludf.DUMMYFUNCTION("""COMPUTED_VALUE"""),"Tops")</f>
        <v>Tops</v>
      </c>
      <c r="K92" s="8" t="str">
        <f>IFERROR(__xludf.DUMMYFUNCTION("""COMPUTED_VALUE"""),"Knits")</f>
        <v>Knits</v>
      </c>
    </row>
    <row r="93">
      <c r="A93" s="8">
        <f>IFERROR(__xludf.DUMMYFUNCTION("""COMPUTED_VALUE"""),121.0)</f>
        <v>121</v>
      </c>
      <c r="B93" s="8">
        <f>IFERROR(__xludf.DUMMYFUNCTION("""COMPUTED_VALUE"""),966.0)</f>
        <v>966</v>
      </c>
      <c r="C93" s="8">
        <f>IFERROR(__xludf.DUMMYFUNCTION("""COMPUTED_VALUE"""),63.0)</f>
        <v>63</v>
      </c>
      <c r="D93" s="8"/>
      <c r="E93" s="8" t="str">
        <f>IFERROR(__xludf.DUMMYFUNCTION("""COMPUTED_VALUE"""),"Great look and you can wear this vest with almost everything . i normally wear a small but they only had mediums and it fit fine( i like it tied). this will stay in my closet all year round . it does look like it will wrinkle easily but that doesn't bothe"&amp;"r me . a must buy !")</f>
        <v>Great look and you can wear this vest with almost everything . i normally wear a small but they only had mediums and it fit fine( i like it tied). this will stay in my closet all year round . it does look like it will wrinkle easily but that doesn't bother me . a must buy !</v>
      </c>
      <c r="F93" s="8">
        <f>IFERROR(__xludf.DUMMYFUNCTION("""COMPUTED_VALUE"""),5.0)</f>
        <v>5</v>
      </c>
      <c r="G93" s="8">
        <f>IFERROR(__xludf.DUMMYFUNCTION("""COMPUTED_VALUE"""),1.0)</f>
        <v>1</v>
      </c>
      <c r="H93" s="8">
        <f>IFERROR(__xludf.DUMMYFUNCTION("""COMPUTED_VALUE"""),0.0)</f>
        <v>0</v>
      </c>
      <c r="I93" s="8" t="str">
        <f>IFERROR(__xludf.DUMMYFUNCTION("""COMPUTED_VALUE"""),"General")</f>
        <v>General</v>
      </c>
      <c r="J93" s="8" t="str">
        <f>IFERROR(__xludf.DUMMYFUNCTION("""COMPUTED_VALUE"""),"Jackets")</f>
        <v>Jackets</v>
      </c>
      <c r="K93" s="8" t="str">
        <f>IFERROR(__xludf.DUMMYFUNCTION("""COMPUTED_VALUE"""),"Jackets")</f>
        <v>Jackets</v>
      </c>
    </row>
    <row r="94">
      <c r="A94" s="8">
        <f>IFERROR(__xludf.DUMMYFUNCTION("""COMPUTED_VALUE"""),122.0)</f>
        <v>122</v>
      </c>
      <c r="B94" s="8">
        <f>IFERROR(__xludf.DUMMYFUNCTION("""COMPUTED_VALUE"""),1196.0)</f>
        <v>1196</v>
      </c>
      <c r="C94" s="8">
        <f>IFERROR(__xludf.DUMMYFUNCTION("""COMPUTED_VALUE"""),29.0)</f>
        <v>29</v>
      </c>
      <c r="D94" s="8"/>
      <c r="E94" s="8" t="str">
        <f>IFERROR(__xludf.DUMMYFUNCTION("""COMPUTED_VALUE"""),"This is a great pull over dress that can easily be dressed to wear to work, to a bbq, or to happy hour. i have a large chest which sometimes makes this fit look like a tent but this fabric drapes nicely. the only thing i would note is the neckline was sli"&amp;"ghtly higher on me than for the model.")</f>
        <v>This is a great pull over dress that can easily be dressed to wear to work, to a bbq, or to happy hour. i have a large chest which sometimes makes this fit look like a tent but this fabric drapes nicely. the only thing i would note is the neckline was slightly higher on me than for the model.</v>
      </c>
      <c r="F94" s="8">
        <f>IFERROR(__xludf.DUMMYFUNCTION("""COMPUTED_VALUE"""),5.0)</f>
        <v>5</v>
      </c>
      <c r="G94" s="8">
        <f>IFERROR(__xludf.DUMMYFUNCTION("""COMPUTED_VALUE"""),1.0)</f>
        <v>1</v>
      </c>
      <c r="H94" s="8">
        <f>IFERROR(__xludf.DUMMYFUNCTION("""COMPUTED_VALUE"""),0.0)</f>
        <v>0</v>
      </c>
      <c r="I94" s="8" t="str">
        <f>IFERROR(__xludf.DUMMYFUNCTION("""COMPUTED_VALUE"""),"General Petite")</f>
        <v>General Petite</v>
      </c>
      <c r="J94" s="8" t="str">
        <f>IFERROR(__xludf.DUMMYFUNCTION("""COMPUTED_VALUE"""),"Dresses")</f>
        <v>Dresses</v>
      </c>
      <c r="K94" s="8" t="str">
        <f>IFERROR(__xludf.DUMMYFUNCTION("""COMPUTED_VALUE"""),"Dresses")</f>
        <v>Dresses</v>
      </c>
    </row>
    <row r="95">
      <c r="A95" s="8">
        <f>IFERROR(__xludf.DUMMYFUNCTION("""COMPUTED_VALUE"""),123.0)</f>
        <v>123</v>
      </c>
      <c r="B95" s="8">
        <f>IFERROR(__xludf.DUMMYFUNCTION("""COMPUTED_VALUE"""),836.0)</f>
        <v>836</v>
      </c>
      <c r="C95" s="8">
        <f>IFERROR(__xludf.DUMMYFUNCTION("""COMPUTED_VALUE"""),24.0)</f>
        <v>24</v>
      </c>
      <c r="D95" s="8" t="str">
        <f>IFERROR(__xludf.DUMMYFUNCTION("""COMPUTED_VALUE"""),"So beautiful! gorgeous orange color!")</f>
        <v>So beautiful! gorgeous orange color!</v>
      </c>
      <c r="E95" s="8" t="str">
        <f>IFERROR(__xludf.DUMMYFUNCTION("""COMPUTED_VALUE"""),"After reading the previous reviews, i ordered a size larger. i am so glad i did it! it fits perfectly! i am 5'4""/115/32dd and went with the s regular. so beautiful! i can't wait to wear it!")</f>
        <v>After reading the previous reviews, i ordered a size larger. i am so glad i did it! it fits perfectly! i am 5'4"/115/32dd and went with the s regular. so beautiful! i can't wait to wear it!</v>
      </c>
      <c r="F95" s="8">
        <f>IFERROR(__xludf.DUMMYFUNCTION("""COMPUTED_VALUE"""),5.0)</f>
        <v>5</v>
      </c>
      <c r="G95" s="8">
        <f>IFERROR(__xludf.DUMMYFUNCTION("""COMPUTED_VALUE"""),1.0)</f>
        <v>1</v>
      </c>
      <c r="H95" s="8">
        <f>IFERROR(__xludf.DUMMYFUNCTION("""COMPUTED_VALUE"""),0.0)</f>
        <v>0</v>
      </c>
      <c r="I95" s="8" t="str">
        <f>IFERROR(__xludf.DUMMYFUNCTION("""COMPUTED_VALUE"""),"General")</f>
        <v>General</v>
      </c>
      <c r="J95" s="8" t="str">
        <f>IFERROR(__xludf.DUMMYFUNCTION("""COMPUTED_VALUE"""),"Tops")</f>
        <v>Tops</v>
      </c>
      <c r="K95" s="8" t="str">
        <f>IFERROR(__xludf.DUMMYFUNCTION("""COMPUTED_VALUE"""),"Blouses")</f>
        <v>Blouses</v>
      </c>
    </row>
    <row r="96">
      <c r="A96" s="8">
        <f>IFERROR(__xludf.DUMMYFUNCTION("""COMPUTED_VALUE"""),126.0)</f>
        <v>126</v>
      </c>
      <c r="B96" s="8">
        <f>IFERROR(__xludf.DUMMYFUNCTION("""COMPUTED_VALUE"""),1133.0)</f>
        <v>1133</v>
      </c>
      <c r="C96" s="8">
        <f>IFERROR(__xludf.DUMMYFUNCTION("""COMPUTED_VALUE"""),71.0)</f>
        <v>71</v>
      </c>
      <c r="D96" s="8"/>
      <c r="E96" s="8" t="str">
        <f>IFERROR(__xludf.DUMMYFUNCTION("""COMPUTED_VALUE"""),"I read the previous reviews and had hoped that the exclamations about the color being inaccurate were exaggerated- however they are sadly very true. let me be clear that this is a beautiful, comfortable piece of clothing- when you put it on it feels thick"&amp;" and of very good quality. and while the pattern is interesting and pretty, the ""dark orange"" color i was expecting is actually a mud brown. i think it's unfortunate that retailer misrepresented such a key element of the jacket, but i digress. the")</f>
        <v>I read the previous reviews and had hoped that the exclamations about the color being inaccurate were exaggerated- however they are sadly very true. let me be clear that this is a beautiful, comfortable piece of clothing- when you put it on it feels thick and of very good quality. and while the pattern is interesting and pretty, the "dark orange" color i was expecting is actually a mud brown. i think it's unfortunate that retailer misrepresented such a key element of the jacket, but i digress. the</v>
      </c>
      <c r="F96" s="8">
        <f>IFERROR(__xludf.DUMMYFUNCTION("""COMPUTED_VALUE"""),4.0)</f>
        <v>4</v>
      </c>
      <c r="G96" s="8">
        <f>IFERROR(__xludf.DUMMYFUNCTION("""COMPUTED_VALUE"""),1.0)</f>
        <v>1</v>
      </c>
      <c r="H96" s="8">
        <f>IFERROR(__xludf.DUMMYFUNCTION("""COMPUTED_VALUE"""),0.0)</f>
        <v>0</v>
      </c>
      <c r="I96" s="8" t="str">
        <f>IFERROR(__xludf.DUMMYFUNCTION("""COMPUTED_VALUE"""),"General")</f>
        <v>General</v>
      </c>
      <c r="J96" s="8" t="str">
        <f>IFERROR(__xludf.DUMMYFUNCTION("""COMPUTED_VALUE"""),"Jackets")</f>
        <v>Jackets</v>
      </c>
      <c r="K96" s="8" t="str">
        <f>IFERROR(__xludf.DUMMYFUNCTION("""COMPUTED_VALUE"""),"Outerwear")</f>
        <v>Outerwear</v>
      </c>
    </row>
    <row r="97">
      <c r="A97" s="8">
        <f>IFERROR(__xludf.DUMMYFUNCTION("""COMPUTED_VALUE"""),127.0)</f>
        <v>127</v>
      </c>
      <c r="B97" s="8">
        <f>IFERROR(__xludf.DUMMYFUNCTION("""COMPUTED_VALUE"""),1133.0)</f>
        <v>1133</v>
      </c>
      <c r="C97" s="8">
        <f>IFERROR(__xludf.DUMMYFUNCTION("""COMPUTED_VALUE"""),30.0)</f>
        <v>30</v>
      </c>
      <c r="D97" s="8"/>
      <c r="E97" s="8" t="str">
        <f>IFERROR(__xludf.DUMMYFUNCTION("""COMPUTED_VALUE"""),"This coat is beautiful! i love the color and the design. it definitely runs a little large. i usually wear a small or a zero and i can wear a small wth a large sweater underneath no problem. i might have wanted an extra small but i just stuck with the sma"&amp;"ll because i needed the coat already. the vest keeps it warm, but the sleeves aren't lined so it's cold unless you have a nice sweater underneath it if you're going to be in cold weather.")</f>
        <v>This coat is beautiful! i love the color and the design. it definitely runs a little large. i usually wear a small or a zero and i can wear a small wth a large sweater underneath no problem. i might have wanted an extra small but i just stuck with the small because i needed the coat already. the vest keeps it warm, but the sleeves aren't lined so it's cold unless you have a nice sweater underneath it if you're going to be in cold weather.</v>
      </c>
      <c r="F97" s="8">
        <f>IFERROR(__xludf.DUMMYFUNCTION("""COMPUTED_VALUE"""),5.0)</f>
        <v>5</v>
      </c>
      <c r="G97" s="8">
        <f>IFERROR(__xludf.DUMMYFUNCTION("""COMPUTED_VALUE"""),1.0)</f>
        <v>1</v>
      </c>
      <c r="H97" s="8">
        <f>IFERROR(__xludf.DUMMYFUNCTION("""COMPUTED_VALUE"""),0.0)</f>
        <v>0</v>
      </c>
      <c r="I97" s="8" t="str">
        <f>IFERROR(__xludf.DUMMYFUNCTION("""COMPUTED_VALUE"""),"General")</f>
        <v>General</v>
      </c>
      <c r="J97" s="8" t="str">
        <f>IFERROR(__xludf.DUMMYFUNCTION("""COMPUTED_VALUE"""),"Jackets")</f>
        <v>Jackets</v>
      </c>
      <c r="K97" s="8" t="str">
        <f>IFERROR(__xludf.DUMMYFUNCTION("""COMPUTED_VALUE"""),"Outerwear")</f>
        <v>Outerwear</v>
      </c>
    </row>
    <row r="98">
      <c r="A98" s="8">
        <f>IFERROR(__xludf.DUMMYFUNCTION("""COMPUTED_VALUE"""),128.0)</f>
        <v>128</v>
      </c>
      <c r="B98" s="8">
        <f>IFERROR(__xludf.DUMMYFUNCTION("""COMPUTED_VALUE"""),966.0)</f>
        <v>966</v>
      </c>
      <c r="C98" s="8">
        <f>IFERROR(__xludf.DUMMYFUNCTION("""COMPUTED_VALUE"""),52.0)</f>
        <v>52</v>
      </c>
      <c r="D98" s="8" t="str">
        <f>IFERROR(__xludf.DUMMYFUNCTION("""COMPUTED_VALUE"""),"Cute vest but...")</f>
        <v>Cute vest but...</v>
      </c>
      <c r="E98" s="8" t="str">
        <f>IFERROR(__xludf.DUMMYFUNCTION("""COMPUTED_VALUE"""),"Nice vest, pretty olive color, hangs nice but...its just kinda funny. just hangs and really looks odd when tied. i like the laying piece just wished it had more ""umph"".")</f>
        <v>Nice vest, pretty olive color, hangs nice but...its just kinda funny. just hangs and really looks odd when tied. i like the laying piece just wished it had more "umph".</v>
      </c>
      <c r="F98" s="8">
        <f>IFERROR(__xludf.DUMMYFUNCTION("""COMPUTED_VALUE"""),4.0)</f>
        <v>4</v>
      </c>
      <c r="G98" s="8">
        <f>IFERROR(__xludf.DUMMYFUNCTION("""COMPUTED_VALUE"""),1.0)</f>
        <v>1</v>
      </c>
      <c r="H98" s="8">
        <f>IFERROR(__xludf.DUMMYFUNCTION("""COMPUTED_VALUE"""),0.0)</f>
        <v>0</v>
      </c>
      <c r="I98" s="8" t="str">
        <f>IFERROR(__xludf.DUMMYFUNCTION("""COMPUTED_VALUE"""),"General")</f>
        <v>General</v>
      </c>
      <c r="J98" s="8" t="str">
        <f>IFERROR(__xludf.DUMMYFUNCTION("""COMPUTED_VALUE"""),"Jackets")</f>
        <v>Jackets</v>
      </c>
      <c r="K98" s="8" t="str">
        <f>IFERROR(__xludf.DUMMYFUNCTION("""COMPUTED_VALUE"""),"Jackets")</f>
        <v>Jackets</v>
      </c>
    </row>
    <row r="99">
      <c r="A99" s="8">
        <f>IFERROR(__xludf.DUMMYFUNCTION("""COMPUTED_VALUE"""),129.0)</f>
        <v>129</v>
      </c>
      <c r="B99" s="8">
        <f>IFERROR(__xludf.DUMMYFUNCTION("""COMPUTED_VALUE"""),863.0)</f>
        <v>863</v>
      </c>
      <c r="C99" s="8">
        <f>IFERROR(__xludf.DUMMYFUNCTION("""COMPUTED_VALUE"""),28.0)</f>
        <v>28</v>
      </c>
      <c r="D99" s="8" t="str">
        <f>IFERROR(__xludf.DUMMYFUNCTION("""COMPUTED_VALUE"""),"Great top")</f>
        <v>Great top</v>
      </c>
      <c r="E99" s="8" t="str">
        <f>IFERROR(__xludf.DUMMYFUNCTION("""COMPUTED_VALUE"""),"This top is super comfy and casual. the slit/design in the front gives it more of a stylish look than your average white long sleeve tee. would definitely recommend.")</f>
        <v>This top is super comfy and casual. the slit/design in the front gives it more of a stylish look than your average white long sleeve tee. would definitely recommend.</v>
      </c>
      <c r="F99" s="8">
        <f>IFERROR(__xludf.DUMMYFUNCTION("""COMPUTED_VALUE"""),5.0)</f>
        <v>5</v>
      </c>
      <c r="G99" s="8">
        <f>IFERROR(__xludf.DUMMYFUNCTION("""COMPUTED_VALUE"""),1.0)</f>
        <v>1</v>
      </c>
      <c r="H99" s="8">
        <f>IFERROR(__xludf.DUMMYFUNCTION("""COMPUTED_VALUE"""),0.0)</f>
        <v>0</v>
      </c>
      <c r="I99" s="8" t="str">
        <f>IFERROR(__xludf.DUMMYFUNCTION("""COMPUTED_VALUE"""),"General")</f>
        <v>General</v>
      </c>
      <c r="J99" s="8" t="str">
        <f>IFERROR(__xludf.DUMMYFUNCTION("""COMPUTED_VALUE"""),"Tops")</f>
        <v>Tops</v>
      </c>
      <c r="K99" s="8" t="str">
        <f>IFERROR(__xludf.DUMMYFUNCTION("""COMPUTED_VALUE"""),"Knits")</f>
        <v>Knits</v>
      </c>
    </row>
    <row r="100">
      <c r="A100" s="8">
        <f>IFERROR(__xludf.DUMMYFUNCTION("""COMPUTED_VALUE"""),130.0)</f>
        <v>130</v>
      </c>
      <c r="B100" s="8">
        <f>IFERROR(__xludf.DUMMYFUNCTION("""COMPUTED_VALUE"""),845.0)</f>
        <v>845</v>
      </c>
      <c r="C100" s="8">
        <f>IFERROR(__xludf.DUMMYFUNCTION("""COMPUTED_VALUE"""),62.0)</f>
        <v>62</v>
      </c>
      <c r="D100" s="8"/>
      <c r="E100" s="8" t="str">
        <f>IFERROR(__xludf.DUMMYFUNCTION("""COMPUTED_VALUE"""),"Intrepid soul that i am, i washed it in the machine in cold water on a 25 minute cycle, then put it in the dryer for 8 minutes, shook it out, hung it up, and it is just the same as when it went in. doesn't need to be ironed and didn't shrink. yes, the swi"&amp;"ng is vast, but that is part of its charm. pair it with a fitted piece on the bottom and no one will think that you are actually needing that much material to cover anything! i think it is fun, something i will use for years, wonderfully comfort")</f>
        <v>Intrepid soul that i am, i washed it in the machine in cold water on a 25 minute cycle, then put it in the dryer for 8 minutes, shook it out, hung it up, and it is just the same as when it went in. doesn't need to be ironed and didn't shrink. yes, the swing is vast, but that is part of its charm. pair it with a fitted piece on the bottom and no one will think that you are actually needing that much material to cover anything! i think it is fun, something i will use for years, wonderfully comfort</v>
      </c>
      <c r="F100" s="8">
        <f>IFERROR(__xludf.DUMMYFUNCTION("""COMPUTED_VALUE"""),4.0)</f>
        <v>4</v>
      </c>
      <c r="G100" s="8">
        <f>IFERROR(__xludf.DUMMYFUNCTION("""COMPUTED_VALUE"""),1.0)</f>
        <v>1</v>
      </c>
      <c r="H100" s="8">
        <f>IFERROR(__xludf.DUMMYFUNCTION("""COMPUTED_VALUE"""),3.0)</f>
        <v>3</v>
      </c>
      <c r="I100" s="8" t="str">
        <f>IFERROR(__xludf.DUMMYFUNCTION("""COMPUTED_VALUE"""),"General Petite")</f>
        <v>General Petite</v>
      </c>
      <c r="J100" s="8" t="str">
        <f>IFERROR(__xludf.DUMMYFUNCTION("""COMPUTED_VALUE"""),"Tops")</f>
        <v>Tops</v>
      </c>
      <c r="K100" s="8" t="str">
        <f>IFERROR(__xludf.DUMMYFUNCTION("""COMPUTED_VALUE"""),"Blouses")</f>
        <v>Blouses</v>
      </c>
    </row>
    <row r="101">
      <c r="A101" s="8">
        <f>IFERROR(__xludf.DUMMYFUNCTION("""COMPUTED_VALUE"""),132.0)</f>
        <v>132</v>
      </c>
      <c r="B101" s="8">
        <f>IFERROR(__xludf.DUMMYFUNCTION("""COMPUTED_VALUE"""),861.0)</f>
        <v>861</v>
      </c>
      <c r="C101" s="8">
        <f>IFERROR(__xludf.DUMMYFUNCTION("""COMPUTED_VALUE"""),46.0)</f>
        <v>46</v>
      </c>
      <c r="D101" s="8" t="str">
        <f>IFERROR(__xludf.DUMMYFUNCTION("""COMPUTED_VALUE"""),"Pernette henley")</f>
        <v>Pernette henley</v>
      </c>
      <c r="E101" s="8" t="str">
        <f>IFERROR(__xludf.DUMMYFUNCTION("""COMPUTED_VALUE"""),"In my retailer this was hung over in the pj section, and it really has more of a jammie top feel... soft, thin and stretchy. it's super cozy and comfortable and it drapes really nice. mine seems to have stretched out a little, especially the neckline (and"&amp;" the little buttons have a hard time staying closed). i'm happy with it though for what it is - a great, casual day t.")</f>
        <v>In my retailer this was hung over in the pj section, and it really has more of a jammie top feel... soft, thin and stretchy. it's super cozy and comfortable and it drapes really nice. mine seems to have stretched out a little, especially the neckline (and the little buttons have a hard time staying closed). i'm happy with it though for what it is - a great, casual day t.</v>
      </c>
      <c r="F101" s="8">
        <f>IFERROR(__xludf.DUMMYFUNCTION("""COMPUTED_VALUE"""),4.0)</f>
        <v>4</v>
      </c>
      <c r="G101" s="8">
        <f>IFERROR(__xludf.DUMMYFUNCTION("""COMPUTED_VALUE"""),1.0)</f>
        <v>1</v>
      </c>
      <c r="H101" s="8">
        <f>IFERROR(__xludf.DUMMYFUNCTION("""COMPUTED_VALUE"""),1.0)</f>
        <v>1</v>
      </c>
      <c r="I101" s="8" t="str">
        <f>IFERROR(__xludf.DUMMYFUNCTION("""COMPUTED_VALUE"""),"General Petite")</f>
        <v>General Petite</v>
      </c>
      <c r="J101" s="8" t="str">
        <f>IFERROR(__xludf.DUMMYFUNCTION("""COMPUTED_VALUE"""),"Tops")</f>
        <v>Tops</v>
      </c>
      <c r="K101" s="8" t="str">
        <f>IFERROR(__xludf.DUMMYFUNCTION("""COMPUTED_VALUE"""),"Knits")</f>
        <v>Knits</v>
      </c>
    </row>
    <row r="102">
      <c r="A102" s="8">
        <f>IFERROR(__xludf.DUMMYFUNCTION("""COMPUTED_VALUE"""),133.0)</f>
        <v>133</v>
      </c>
      <c r="B102" s="8">
        <f>IFERROR(__xludf.DUMMYFUNCTION("""COMPUTED_VALUE"""),966.0)</f>
        <v>966</v>
      </c>
      <c r="C102" s="8">
        <f>IFERROR(__xludf.DUMMYFUNCTION("""COMPUTED_VALUE"""),36.0)</f>
        <v>36</v>
      </c>
      <c r="D102" s="8" t="str">
        <f>IFERROR(__xludf.DUMMYFUNCTION("""COMPUTED_VALUE"""),"Stylish and versatile!")</f>
        <v>Stylish and versatile!</v>
      </c>
      <c r="E102" s="8" t="str">
        <f>IFERROR(__xludf.DUMMYFUNCTION("""COMPUTED_VALUE"""),"I love this vest! there are so many ways to style it...open or tied closed, over a dress or with a tshirt and jeans. i get compliments every time i wear it. it's soft and light enough to add interest to an outfit without being too heavy/hot to wear all da"&amp;"y.")</f>
        <v>I love this vest! there are so many ways to style it...open or tied closed, over a dress or with a tshirt and jeans. i get compliments every time i wear it. it's soft and light enough to add interest to an outfit without being too heavy/hot to wear all day.</v>
      </c>
      <c r="F102" s="8">
        <f>IFERROR(__xludf.DUMMYFUNCTION("""COMPUTED_VALUE"""),5.0)</f>
        <v>5</v>
      </c>
      <c r="G102" s="8">
        <f>IFERROR(__xludf.DUMMYFUNCTION("""COMPUTED_VALUE"""),1.0)</f>
        <v>1</v>
      </c>
      <c r="H102" s="8">
        <f>IFERROR(__xludf.DUMMYFUNCTION("""COMPUTED_VALUE"""),0.0)</f>
        <v>0</v>
      </c>
      <c r="I102" s="8" t="str">
        <f>IFERROR(__xludf.DUMMYFUNCTION("""COMPUTED_VALUE"""),"General")</f>
        <v>General</v>
      </c>
      <c r="J102" s="8" t="str">
        <f>IFERROR(__xludf.DUMMYFUNCTION("""COMPUTED_VALUE"""),"Jackets")</f>
        <v>Jackets</v>
      </c>
      <c r="K102" s="8" t="str">
        <f>IFERROR(__xludf.DUMMYFUNCTION("""COMPUTED_VALUE"""),"Jackets")</f>
        <v>Jackets</v>
      </c>
    </row>
    <row r="103">
      <c r="A103" s="8">
        <f>IFERROR(__xludf.DUMMYFUNCTION("""COMPUTED_VALUE"""),134.0)</f>
        <v>134</v>
      </c>
      <c r="B103" s="8">
        <f>IFERROR(__xludf.DUMMYFUNCTION("""COMPUTED_VALUE"""),845.0)</f>
        <v>845</v>
      </c>
      <c r="C103" s="8">
        <f>IFERROR(__xludf.DUMMYFUNCTION("""COMPUTED_VALUE"""),65.0)</f>
        <v>65</v>
      </c>
      <c r="D103" s="8" t="str">
        <f>IFERROR(__xludf.DUMMYFUNCTION("""COMPUTED_VALUE"""),"You'll smile on a humid summer's day")</f>
        <v>You'll smile on a humid summer's day</v>
      </c>
      <c r="E103" s="8" t="str">
        <f>IFERROR(__xludf.DUMMYFUNCTION("""COMPUTED_VALUE"""),"This blouse is a perfect creation: perfect-weight cotton, many, many details, and color, all perfectly executed. there's fullness to the body, so this will definitely be easy to wear in hot, humid locations this summer, and it would be easy to pair with m"&amp;"any things you have already for a casual yet collected look. there's no mistaking quality when you look at this piece! i bought the medium for my 130#, 34f, size 8 blouse/tee frame. this is the blouse you will have for years, and you will enjoy")</f>
        <v>This blouse is a perfect creation: perfect-weight cotton, many, many details, and color, all perfectly executed. there's fullness to the body, so this will definitely be easy to wear in hot, humid locations this summer, and it would be easy to pair with many things you have already for a casual yet collected look. there's no mistaking quality when you look at this piece! i bought the medium for my 130#, 34f, size 8 blouse/tee frame. this is the blouse you will have for years, and you will enjoy</v>
      </c>
      <c r="F103" s="8">
        <f>IFERROR(__xludf.DUMMYFUNCTION("""COMPUTED_VALUE"""),5.0)</f>
        <v>5</v>
      </c>
      <c r="G103" s="8">
        <f>IFERROR(__xludf.DUMMYFUNCTION("""COMPUTED_VALUE"""),1.0)</f>
        <v>1</v>
      </c>
      <c r="H103" s="8">
        <f>IFERROR(__xludf.DUMMYFUNCTION("""COMPUTED_VALUE"""),12.0)</f>
        <v>12</v>
      </c>
      <c r="I103" s="8" t="str">
        <f>IFERROR(__xludf.DUMMYFUNCTION("""COMPUTED_VALUE"""),"General Petite")</f>
        <v>General Petite</v>
      </c>
      <c r="J103" s="8" t="str">
        <f>IFERROR(__xludf.DUMMYFUNCTION("""COMPUTED_VALUE"""),"Tops")</f>
        <v>Tops</v>
      </c>
      <c r="K103" s="8" t="str">
        <f>IFERROR(__xludf.DUMMYFUNCTION("""COMPUTED_VALUE"""),"Blouses")</f>
        <v>Blouses</v>
      </c>
    </row>
    <row r="104">
      <c r="A104" s="8">
        <f>IFERROR(__xludf.DUMMYFUNCTION("""COMPUTED_VALUE"""),135.0)</f>
        <v>135</v>
      </c>
      <c r="B104" s="8">
        <f>IFERROR(__xludf.DUMMYFUNCTION("""COMPUTED_VALUE"""),861.0)</f>
        <v>861</v>
      </c>
      <c r="C104" s="8">
        <f>IFERROR(__xludf.DUMMYFUNCTION("""COMPUTED_VALUE"""),35.0)</f>
        <v>35</v>
      </c>
      <c r="D104" s="8"/>
      <c r="E104" s="8"/>
      <c r="F104" s="8">
        <f>IFERROR(__xludf.DUMMYFUNCTION("""COMPUTED_VALUE"""),4.0)</f>
        <v>4</v>
      </c>
      <c r="G104" s="8">
        <f>IFERROR(__xludf.DUMMYFUNCTION("""COMPUTED_VALUE"""),1.0)</f>
        <v>1</v>
      </c>
      <c r="H104" s="8">
        <f>IFERROR(__xludf.DUMMYFUNCTION("""COMPUTED_VALUE"""),0.0)</f>
        <v>0</v>
      </c>
      <c r="I104" s="8" t="str">
        <f>IFERROR(__xludf.DUMMYFUNCTION("""COMPUTED_VALUE"""),"General Petite")</f>
        <v>General Petite</v>
      </c>
      <c r="J104" s="8" t="str">
        <f>IFERROR(__xludf.DUMMYFUNCTION("""COMPUTED_VALUE"""),"Tops")</f>
        <v>Tops</v>
      </c>
      <c r="K104" s="8" t="str">
        <f>IFERROR(__xludf.DUMMYFUNCTION("""COMPUTED_VALUE"""),"Knits")</f>
        <v>Knits</v>
      </c>
    </row>
    <row r="105">
      <c r="A105" s="8">
        <f>IFERROR(__xludf.DUMMYFUNCTION("""COMPUTED_VALUE"""),136.0)</f>
        <v>136</v>
      </c>
      <c r="B105" s="8">
        <f>IFERROR(__xludf.DUMMYFUNCTION("""COMPUTED_VALUE"""),966.0)</f>
        <v>966</v>
      </c>
      <c r="C105" s="8">
        <f>IFERROR(__xludf.DUMMYFUNCTION("""COMPUTED_VALUE"""),31.0)</f>
        <v>31</v>
      </c>
      <c r="D105" s="8" t="str">
        <f>IFERROR(__xludf.DUMMYFUNCTION("""COMPUTED_VALUE"""),"A new staple for my wardrobe")</f>
        <v>A new staple for my wardrobe</v>
      </c>
      <c r="E105" s="8" t="str">
        <f>IFERROR(__xludf.DUMMYFUNCTION("""COMPUTED_VALUE"""),"Love this vest! the color looks a little more brown in the picture than it really is--it's a deep forest green that goes great with jeans or black pants. a great piece for polished but casual style, and the fabric has a nice, soft suede-like finish.
if o"&amp;"nly the was *slightly* higher to hit my true natural waist, it would get that fifth star (but sometimes i wear petite sizes, so that might be the issue here--still looks good tied).")</f>
        <v>Love this vest! the color looks a little more brown in the picture than it really is--it's a deep forest green that goes great with jeans or black pants. a great piece for polished but casual style, and the fabric has a nice, soft suede-like finish.
if only the was *slightly* higher to hit my true natural waist, it would get that fifth star (but sometimes i wear petite sizes, so that might be the issue here--still looks good tied).</v>
      </c>
      <c r="F105" s="8">
        <f>IFERROR(__xludf.DUMMYFUNCTION("""COMPUTED_VALUE"""),4.0)</f>
        <v>4</v>
      </c>
      <c r="G105" s="8">
        <f>IFERROR(__xludf.DUMMYFUNCTION("""COMPUTED_VALUE"""),1.0)</f>
        <v>1</v>
      </c>
      <c r="H105" s="8">
        <f>IFERROR(__xludf.DUMMYFUNCTION("""COMPUTED_VALUE"""),0.0)</f>
        <v>0</v>
      </c>
      <c r="I105" s="8" t="str">
        <f>IFERROR(__xludf.DUMMYFUNCTION("""COMPUTED_VALUE"""),"General")</f>
        <v>General</v>
      </c>
      <c r="J105" s="8" t="str">
        <f>IFERROR(__xludf.DUMMYFUNCTION("""COMPUTED_VALUE"""),"Jackets")</f>
        <v>Jackets</v>
      </c>
      <c r="K105" s="8" t="str">
        <f>IFERROR(__xludf.DUMMYFUNCTION("""COMPUTED_VALUE"""),"Jackets")</f>
        <v>Jackets</v>
      </c>
    </row>
    <row r="106">
      <c r="A106" s="8">
        <f>IFERROR(__xludf.DUMMYFUNCTION("""COMPUTED_VALUE"""),137.0)</f>
        <v>137</v>
      </c>
      <c r="B106" s="8">
        <f>IFERROR(__xludf.DUMMYFUNCTION("""COMPUTED_VALUE"""),836.0)</f>
        <v>836</v>
      </c>
      <c r="C106" s="8">
        <f>IFERROR(__xludf.DUMMYFUNCTION("""COMPUTED_VALUE"""),52.0)</f>
        <v>52</v>
      </c>
      <c r="D106" s="8" t="str">
        <f>IFERROR(__xludf.DUMMYFUNCTION("""COMPUTED_VALUE"""),"Runs short")</f>
        <v>Runs short</v>
      </c>
      <c r="E106" s="8" t="str">
        <f>IFERROR(__xludf.DUMMYFUNCTION("""COMPUTED_VALUE"""),"I received the sky color in m online.  am definetly keeping it as it is beautiful.  however i wish they had made it a little less wide and more long.  i am 5 3 and could totally size down to a s but even at my height it would be too short.  i like crop to"&amp;"ps and waist hitting tops a lot.  but the shortness on this one just looks like it shrunk in the dryer")</f>
        <v>I received the sky color in m online.  am definetly keeping it as it is beautiful.  however i wish they had made it a little less wide and more long.  i am 5 3 and could totally size down to a s but even at my height it would be too short.  i like crop tops and waist hitting tops a lot.  but the shortness on this one just looks like it shrunk in the dryer</v>
      </c>
      <c r="F106" s="8">
        <f>IFERROR(__xludf.DUMMYFUNCTION("""COMPUTED_VALUE"""),4.0)</f>
        <v>4</v>
      </c>
      <c r="G106" s="8">
        <f>IFERROR(__xludf.DUMMYFUNCTION("""COMPUTED_VALUE"""),1.0)</f>
        <v>1</v>
      </c>
      <c r="H106" s="8">
        <f>IFERROR(__xludf.DUMMYFUNCTION("""COMPUTED_VALUE"""),0.0)</f>
        <v>0</v>
      </c>
      <c r="I106" s="8" t="str">
        <f>IFERROR(__xludf.DUMMYFUNCTION("""COMPUTED_VALUE"""),"General")</f>
        <v>General</v>
      </c>
      <c r="J106" s="8" t="str">
        <f>IFERROR(__xludf.DUMMYFUNCTION("""COMPUTED_VALUE"""),"Tops")</f>
        <v>Tops</v>
      </c>
      <c r="K106" s="8" t="str">
        <f>IFERROR(__xludf.DUMMYFUNCTION("""COMPUTED_VALUE"""),"Blouses")</f>
        <v>Blouses</v>
      </c>
    </row>
    <row r="107">
      <c r="A107" s="8">
        <f>IFERROR(__xludf.DUMMYFUNCTION("""COMPUTED_VALUE"""),138.0)</f>
        <v>138</v>
      </c>
      <c r="B107" s="8">
        <f>IFERROR(__xludf.DUMMYFUNCTION("""COMPUTED_VALUE"""),126.0)</f>
        <v>126</v>
      </c>
      <c r="C107" s="8">
        <f>IFERROR(__xludf.DUMMYFUNCTION("""COMPUTED_VALUE"""),34.0)</f>
        <v>34</v>
      </c>
      <c r="D107" s="8" t="str">
        <f>IFERROR(__xludf.DUMMYFUNCTION("""COMPUTED_VALUE"""),"Feminine alternative to your shapeless puffer")</f>
        <v>Feminine alternative to your shapeless puffer</v>
      </c>
      <c r="E107" s="8" t="str">
        <f>IFERROR(__xludf.DUMMYFUNCTION("""COMPUTED_VALUE"""),"I am obsessed with peplum down coats because the ones you usually see have no shape and are extremely unflattering. i was excited for this to arrive. this is quite nice and it looks more feminine than the other down coats out there. the coat itself runs j"&amp;"ust true to my shirt size but not what i want for a coat. i will be returning this for a size up because i will want to wear a sweater or at least maybe a thicker shirt under this especially for winter or fall. the fabric is decent and the weigh")</f>
        <v>I am obsessed with peplum down coats because the ones you usually see have no shape and are extremely unflattering. i was excited for this to arrive. this is quite nice and it looks more feminine than the other down coats out there. the coat itself runs just true to my shirt size but not what i want for a coat. i will be returning this for a size up because i will want to wear a sweater or at least maybe a thicker shirt under this especially for winter or fall. the fabric is decent and the weigh</v>
      </c>
      <c r="F107" s="8">
        <f>IFERROR(__xludf.DUMMYFUNCTION("""COMPUTED_VALUE"""),4.0)</f>
        <v>4</v>
      </c>
      <c r="G107" s="8">
        <f>IFERROR(__xludf.DUMMYFUNCTION("""COMPUTED_VALUE"""),1.0)</f>
        <v>1</v>
      </c>
      <c r="H107" s="8">
        <f>IFERROR(__xludf.DUMMYFUNCTION("""COMPUTED_VALUE"""),1.0)</f>
        <v>1</v>
      </c>
      <c r="I107" s="8" t="str">
        <f>IFERROR(__xludf.DUMMYFUNCTION("""COMPUTED_VALUE"""),"Initmates")</f>
        <v>Initmates</v>
      </c>
      <c r="J107" s="8" t="str">
        <f>IFERROR(__xludf.DUMMYFUNCTION("""COMPUTED_VALUE"""),"Intimate")</f>
        <v>Intimate</v>
      </c>
      <c r="K107" s="8" t="str">
        <f>IFERROR(__xludf.DUMMYFUNCTION("""COMPUTED_VALUE"""),"Lounge")</f>
        <v>Lounge</v>
      </c>
    </row>
    <row r="108">
      <c r="A108" s="8">
        <f>IFERROR(__xludf.DUMMYFUNCTION("""COMPUTED_VALUE"""),139.0)</f>
        <v>139</v>
      </c>
      <c r="B108" s="8">
        <f>IFERROR(__xludf.DUMMYFUNCTION("""COMPUTED_VALUE"""),1008.0)</f>
        <v>1008</v>
      </c>
      <c r="C108" s="8">
        <f>IFERROR(__xludf.DUMMYFUNCTION("""COMPUTED_VALUE"""),31.0)</f>
        <v>31</v>
      </c>
      <c r="D108" s="8" t="str">
        <f>IFERROR(__xludf.DUMMYFUNCTION("""COMPUTED_VALUE"""),"Love. love. love this skirt!!")</f>
        <v>Love. love. love this skirt!!</v>
      </c>
      <c r="E108" s="8" t="str">
        <f>IFERROR(__xludf.DUMMYFUNCTION("""COMPUTED_VALUE"""),"The silhouette and length of this skirt and length are flattering, classic and comfortable! the colors and weight of this skirt make it versatile - could be worn year-round (so long as it's not 100 degrees out - there is a bit of weight to it). it's one o"&amp;"f my favorite pieces in my closet. can be styled 20 different ways. pair with a higher-end tee, tank, denim jacket or body-hugging sweater. i sized down.")</f>
        <v>The silhouette and length of this skirt and length are flattering, classic and comfortable! the colors and weight of this skirt make it versatile - could be worn year-round (so long as it's not 100 degrees out - there is a bit of weight to it). it's one of my favorite pieces in my closet. can be styled 20 different ways. pair with a higher-end tee, tank, denim jacket or body-hugging sweater. i sized down.</v>
      </c>
      <c r="F108" s="8">
        <f>IFERROR(__xludf.DUMMYFUNCTION("""COMPUTED_VALUE"""),5.0)</f>
        <v>5</v>
      </c>
      <c r="G108" s="8">
        <f>IFERROR(__xludf.DUMMYFUNCTION("""COMPUTED_VALUE"""),1.0)</f>
        <v>1</v>
      </c>
      <c r="H108" s="8">
        <f>IFERROR(__xludf.DUMMYFUNCTION("""COMPUTED_VALUE"""),1.0)</f>
        <v>1</v>
      </c>
      <c r="I108" s="8" t="str">
        <f>IFERROR(__xludf.DUMMYFUNCTION("""COMPUTED_VALUE"""),"General")</f>
        <v>General</v>
      </c>
      <c r="J108" s="8" t="str">
        <f>IFERROR(__xludf.DUMMYFUNCTION("""COMPUTED_VALUE"""),"Bottoms")</f>
        <v>Bottoms</v>
      </c>
      <c r="K108" s="8" t="str">
        <f>IFERROR(__xludf.DUMMYFUNCTION("""COMPUTED_VALUE"""),"Skirts")</f>
        <v>Skirts</v>
      </c>
    </row>
    <row r="109">
      <c r="A109" s="8">
        <f>IFERROR(__xludf.DUMMYFUNCTION("""COMPUTED_VALUE"""),140.0)</f>
        <v>140</v>
      </c>
      <c r="B109" s="8">
        <f>IFERROR(__xludf.DUMMYFUNCTION("""COMPUTED_VALUE"""),829.0)</f>
        <v>829</v>
      </c>
      <c r="C109" s="8">
        <f>IFERROR(__xludf.DUMMYFUNCTION("""COMPUTED_VALUE"""),36.0)</f>
        <v>36</v>
      </c>
      <c r="D109" s="8" t="str">
        <f>IFERROR(__xludf.DUMMYFUNCTION("""COMPUTED_VALUE"""),"Pretry top")</f>
        <v>Pretry top</v>
      </c>
      <c r="E109" s="8" t="str">
        <f>IFERROR(__xludf.DUMMYFUNCTION("""COMPUTED_VALUE"""),"Perfect for work or going out. i layered this with the reversible tank in medium pink so it would be work appropriate. it did not feel scratchy to me, maybe because i layered it. great buy especially with the discounts. feel like i lucked out.")</f>
        <v>Perfect for work or going out. i layered this with the reversible tank in medium pink so it would be work appropriate. it did not feel scratchy to me, maybe because i layered it. great buy especially with the discounts. feel like i lucked out.</v>
      </c>
      <c r="F109" s="8">
        <f>IFERROR(__xludf.DUMMYFUNCTION("""COMPUTED_VALUE"""),5.0)</f>
        <v>5</v>
      </c>
      <c r="G109" s="8">
        <f>IFERROR(__xludf.DUMMYFUNCTION("""COMPUTED_VALUE"""),1.0)</f>
        <v>1</v>
      </c>
      <c r="H109" s="8">
        <f>IFERROR(__xludf.DUMMYFUNCTION("""COMPUTED_VALUE"""),0.0)</f>
        <v>0</v>
      </c>
      <c r="I109" s="8" t="str">
        <f>IFERROR(__xludf.DUMMYFUNCTION("""COMPUTED_VALUE"""),"General")</f>
        <v>General</v>
      </c>
      <c r="J109" s="8" t="str">
        <f>IFERROR(__xludf.DUMMYFUNCTION("""COMPUTED_VALUE"""),"Tops")</f>
        <v>Tops</v>
      </c>
      <c r="K109" s="8" t="str">
        <f>IFERROR(__xludf.DUMMYFUNCTION("""COMPUTED_VALUE"""),"Blouses")</f>
        <v>Blouses</v>
      </c>
    </row>
    <row r="110">
      <c r="A110" s="8">
        <f>IFERROR(__xludf.DUMMYFUNCTION("""COMPUTED_VALUE"""),141.0)</f>
        <v>141</v>
      </c>
      <c r="B110" s="8">
        <f>IFERROR(__xludf.DUMMYFUNCTION("""COMPUTED_VALUE"""),828.0)</f>
        <v>828</v>
      </c>
      <c r="C110" s="8">
        <f>IFERROR(__xludf.DUMMYFUNCTION("""COMPUTED_VALUE"""),39.0)</f>
        <v>39</v>
      </c>
      <c r="D110" s="8"/>
      <c r="E110" s="8" t="str">
        <f>IFERROR(__xludf.DUMMYFUNCTION("""COMPUTED_VALUE"""),"It's a pretty top, but it runs very short. the back is also pretty see through so i'm not sure i will keep it. it's called off the shoulder but it is so tight when you try and actually wear it off the shoulder. great design, just not sure i will keep it d"&amp;"ue to length")</f>
        <v>It's a pretty top, but it runs very short. the back is also pretty see through so i'm not sure i will keep it. it's called off the shoulder but it is so tight when you try and actually wear it off the shoulder. great design, just not sure i will keep it due to length</v>
      </c>
      <c r="F110" s="8">
        <f>IFERROR(__xludf.DUMMYFUNCTION("""COMPUTED_VALUE"""),4.0)</f>
        <v>4</v>
      </c>
      <c r="G110" s="8">
        <f>IFERROR(__xludf.DUMMYFUNCTION("""COMPUTED_VALUE"""),1.0)</f>
        <v>1</v>
      </c>
      <c r="H110" s="8">
        <f>IFERROR(__xludf.DUMMYFUNCTION("""COMPUTED_VALUE"""),2.0)</f>
        <v>2</v>
      </c>
      <c r="I110" s="8" t="str">
        <f>IFERROR(__xludf.DUMMYFUNCTION("""COMPUTED_VALUE"""),"General")</f>
        <v>General</v>
      </c>
      <c r="J110" s="8" t="str">
        <f>IFERROR(__xludf.DUMMYFUNCTION("""COMPUTED_VALUE"""),"Tops")</f>
        <v>Tops</v>
      </c>
      <c r="K110" s="8" t="str">
        <f>IFERROR(__xludf.DUMMYFUNCTION("""COMPUTED_VALUE"""),"Blouses")</f>
        <v>Blouses</v>
      </c>
    </row>
    <row r="111">
      <c r="A111" s="8">
        <f>IFERROR(__xludf.DUMMYFUNCTION("""COMPUTED_VALUE"""),142.0)</f>
        <v>142</v>
      </c>
      <c r="B111" s="8">
        <f>IFERROR(__xludf.DUMMYFUNCTION("""COMPUTED_VALUE"""),1126.0)</f>
        <v>1126</v>
      </c>
      <c r="C111" s="8">
        <f>IFERROR(__xludf.DUMMYFUNCTION("""COMPUTED_VALUE"""),35.0)</f>
        <v>35</v>
      </c>
      <c r="D111" s="8"/>
      <c r="E111" s="8"/>
      <c r="F111" s="8">
        <f>IFERROR(__xludf.DUMMYFUNCTION("""COMPUTED_VALUE"""),5.0)</f>
        <v>5</v>
      </c>
      <c r="G111" s="8">
        <f>IFERROR(__xludf.DUMMYFUNCTION("""COMPUTED_VALUE"""),1.0)</f>
        <v>1</v>
      </c>
      <c r="H111" s="8">
        <f>IFERROR(__xludf.DUMMYFUNCTION("""COMPUTED_VALUE"""),0.0)</f>
        <v>0</v>
      </c>
      <c r="I111" s="8" t="str">
        <f>IFERROR(__xludf.DUMMYFUNCTION("""COMPUTED_VALUE"""),"General")</f>
        <v>General</v>
      </c>
      <c r="J111" s="8" t="str">
        <f>IFERROR(__xludf.DUMMYFUNCTION("""COMPUTED_VALUE"""),"Jackets")</f>
        <v>Jackets</v>
      </c>
      <c r="K111" s="8" t="str">
        <f>IFERROR(__xludf.DUMMYFUNCTION("""COMPUTED_VALUE"""),"Outerwear")</f>
        <v>Outerwear</v>
      </c>
    </row>
    <row r="112">
      <c r="A112" s="8">
        <f>IFERROR(__xludf.DUMMYFUNCTION("""COMPUTED_VALUE"""),143.0)</f>
        <v>143</v>
      </c>
      <c r="B112" s="8">
        <f>IFERROR(__xludf.DUMMYFUNCTION("""COMPUTED_VALUE"""),1008.0)</f>
        <v>1008</v>
      </c>
      <c r="C112" s="8">
        <f>IFERROR(__xludf.DUMMYFUNCTION("""COMPUTED_VALUE"""),51.0)</f>
        <v>51</v>
      </c>
      <c r="D112" s="8" t="str">
        <f>IFERROR(__xludf.DUMMYFUNCTION("""COMPUTED_VALUE"""),"Great classic")</f>
        <v>Great classic</v>
      </c>
      <c r="E112" s="8" t="str">
        <f>IFERROR(__xludf.DUMMYFUNCTION("""COMPUTED_VALUE"""),"Ii'm not usually big on lace but this is so unique and versatile that i went for it. looks good dressed up w/a nice top or casual w/a tee. can be worn practically all year. love it!")</f>
        <v>Ii'm not usually big on lace but this is so unique and versatile that i went for it. looks good dressed up w/a nice top or casual w/a tee. can be worn practically all year. love it!</v>
      </c>
      <c r="F112" s="8">
        <f>IFERROR(__xludf.DUMMYFUNCTION("""COMPUTED_VALUE"""),5.0)</f>
        <v>5</v>
      </c>
      <c r="G112" s="8">
        <f>IFERROR(__xludf.DUMMYFUNCTION("""COMPUTED_VALUE"""),1.0)</f>
        <v>1</v>
      </c>
      <c r="H112" s="8">
        <f>IFERROR(__xludf.DUMMYFUNCTION("""COMPUTED_VALUE"""),0.0)</f>
        <v>0</v>
      </c>
      <c r="I112" s="8" t="str">
        <f>IFERROR(__xludf.DUMMYFUNCTION("""COMPUTED_VALUE"""),"General")</f>
        <v>General</v>
      </c>
      <c r="J112" s="8" t="str">
        <f>IFERROR(__xludf.DUMMYFUNCTION("""COMPUTED_VALUE"""),"Bottoms")</f>
        <v>Bottoms</v>
      </c>
      <c r="K112" s="8" t="str">
        <f>IFERROR(__xludf.DUMMYFUNCTION("""COMPUTED_VALUE"""),"Skirts")</f>
        <v>Skirts</v>
      </c>
    </row>
    <row r="113">
      <c r="A113" s="8">
        <f>IFERROR(__xludf.DUMMYFUNCTION("""COMPUTED_VALUE"""),146.0)</f>
        <v>146</v>
      </c>
      <c r="B113" s="8">
        <f>IFERROR(__xludf.DUMMYFUNCTION("""COMPUTED_VALUE"""),1008.0)</f>
        <v>1008</v>
      </c>
      <c r="C113" s="8">
        <f>IFERROR(__xludf.DUMMYFUNCTION("""COMPUTED_VALUE"""),39.0)</f>
        <v>39</v>
      </c>
      <c r="D113" s="8" t="str">
        <f>IFERROR(__xludf.DUMMYFUNCTION("""COMPUTED_VALUE"""),"So pretty, a bit long and bigger than what i read")</f>
        <v>So pretty, a bit long and bigger than what i read</v>
      </c>
      <c r="E113" s="8" t="str">
        <f>IFERROR(__xludf.DUMMYFUNCTION("""COMPUTED_VALUE"""),"Some reviewers found this skirt to be on the smaller side, but for me, it was big,,, too bad the smaller size is sold out (well, all peittes are sold out). the length is also pretty long, below the knee, but in the narrow part still...so able to keep it. "&amp;"the colors are great. i brought it in the store to try on in front fo the stylists, adn they all loved it and told me to keep it... winner for sure!")</f>
        <v>Some reviewers found this skirt to be on the smaller side, but for me, it was big,,, too bad the smaller size is sold out (well, all peittes are sold out). the length is also pretty long, below the knee, but in the narrow part still...so able to keep it. the colors are great. i brought it in the store to try on in front fo the stylists, adn they all loved it and told me to keep it... winner for sure!</v>
      </c>
      <c r="F113" s="8">
        <f>IFERROR(__xludf.DUMMYFUNCTION("""COMPUTED_VALUE"""),5.0)</f>
        <v>5</v>
      </c>
      <c r="G113" s="8">
        <f>IFERROR(__xludf.DUMMYFUNCTION("""COMPUTED_VALUE"""),1.0)</f>
        <v>1</v>
      </c>
      <c r="H113" s="8">
        <f>IFERROR(__xludf.DUMMYFUNCTION("""COMPUTED_VALUE"""),0.0)</f>
        <v>0</v>
      </c>
      <c r="I113" s="8" t="str">
        <f>IFERROR(__xludf.DUMMYFUNCTION("""COMPUTED_VALUE"""),"General")</f>
        <v>General</v>
      </c>
      <c r="J113" s="8" t="str">
        <f>IFERROR(__xludf.DUMMYFUNCTION("""COMPUTED_VALUE"""),"Bottoms")</f>
        <v>Bottoms</v>
      </c>
      <c r="K113" s="8" t="str">
        <f>IFERROR(__xludf.DUMMYFUNCTION("""COMPUTED_VALUE"""),"Skirts")</f>
        <v>Skirts</v>
      </c>
    </row>
    <row r="114">
      <c r="A114" s="8">
        <f>IFERROR(__xludf.DUMMYFUNCTION("""COMPUTED_VALUE"""),147.0)</f>
        <v>147</v>
      </c>
      <c r="B114" s="8">
        <f>IFERROR(__xludf.DUMMYFUNCTION("""COMPUTED_VALUE"""),1011.0)</f>
        <v>1011</v>
      </c>
      <c r="C114" s="8">
        <f>IFERROR(__xludf.DUMMYFUNCTION("""COMPUTED_VALUE"""),47.0)</f>
        <v>47</v>
      </c>
      <c r="D114" s="8" t="str">
        <f>IFERROR(__xludf.DUMMYFUNCTION("""COMPUTED_VALUE"""),"Cute skirt!")</f>
        <v>Cute skirt!</v>
      </c>
      <c r="E114" s="8" t="str">
        <f>IFERROR(__xludf.DUMMYFUNCTION("""COMPUTED_VALUE"""),"I purchased this skirt at retailer store in texas. i fell in love since i saw it. the fabric is nice and the colors are pretty and cheerful for this spring/summer !! and it has pockets on the sides! don't we love pockets? very practical and lightweight")</f>
        <v>I purchased this skirt at retailer store in texas. i fell in love since i saw it. the fabric is nice and the colors are pretty and cheerful for this spring/summer !! and it has pockets on the sides! don't we love pockets? very practical and lightweight</v>
      </c>
      <c r="F114" s="8">
        <f>IFERROR(__xludf.DUMMYFUNCTION("""COMPUTED_VALUE"""),5.0)</f>
        <v>5</v>
      </c>
      <c r="G114" s="8">
        <f>IFERROR(__xludf.DUMMYFUNCTION("""COMPUTED_VALUE"""),1.0)</f>
        <v>1</v>
      </c>
      <c r="H114" s="8">
        <f>IFERROR(__xludf.DUMMYFUNCTION("""COMPUTED_VALUE"""),1.0)</f>
        <v>1</v>
      </c>
      <c r="I114" s="8" t="str">
        <f>IFERROR(__xludf.DUMMYFUNCTION("""COMPUTED_VALUE"""),"General")</f>
        <v>General</v>
      </c>
      <c r="J114" s="8" t="str">
        <f>IFERROR(__xludf.DUMMYFUNCTION("""COMPUTED_VALUE"""),"Bottoms")</f>
        <v>Bottoms</v>
      </c>
      <c r="K114" s="8" t="str">
        <f>IFERROR(__xludf.DUMMYFUNCTION("""COMPUTED_VALUE"""),"Skirts")</f>
        <v>Skirts</v>
      </c>
    </row>
    <row r="115">
      <c r="A115" s="8">
        <f>IFERROR(__xludf.DUMMYFUNCTION("""COMPUTED_VALUE"""),148.0)</f>
        <v>148</v>
      </c>
      <c r="B115" s="8">
        <f>IFERROR(__xludf.DUMMYFUNCTION("""COMPUTED_VALUE"""),1008.0)</f>
        <v>1008</v>
      </c>
      <c r="C115" s="8">
        <f>IFERROR(__xludf.DUMMYFUNCTION("""COMPUTED_VALUE"""),64.0)</f>
        <v>64</v>
      </c>
      <c r="D115" s="8" t="str">
        <f>IFERROR(__xludf.DUMMYFUNCTION("""COMPUTED_VALUE"""),"Very pretty")</f>
        <v>Very pretty</v>
      </c>
      <c r="E115" s="8" t="str">
        <f>IFERROR(__xludf.DUMMYFUNCTION("""COMPUTED_VALUE"""),"This is a very pretty skirt and the colors are better in real life. sizing was mostly true to size for me, slightly tight in the waist but i have a thicker waist compared to my hips. i'm 5'7 and 138# and ordered a size 4 (i usually size up to a 6 with ret"&amp;"ailer pencil skirts.) a 6 probably would have fit as well, especially in the waist but didn't want it too big in the hips. length was perfect, to my knees.")</f>
        <v>This is a very pretty skirt and the colors are better in real life. sizing was mostly true to size for me, slightly tight in the waist but i have a thicker waist compared to my hips. i'm 5'7 and 138# and ordered a size 4 (i usually size up to a 6 with retailer pencil skirts.) a 6 probably would have fit as well, especially in the waist but didn't want it too big in the hips. length was perfect, to my knees.</v>
      </c>
      <c r="F115" s="8">
        <f>IFERROR(__xludf.DUMMYFUNCTION("""COMPUTED_VALUE"""),5.0)</f>
        <v>5</v>
      </c>
      <c r="G115" s="8">
        <f>IFERROR(__xludf.DUMMYFUNCTION("""COMPUTED_VALUE"""),1.0)</f>
        <v>1</v>
      </c>
      <c r="H115" s="8">
        <f>IFERROR(__xludf.DUMMYFUNCTION("""COMPUTED_VALUE"""),0.0)</f>
        <v>0</v>
      </c>
      <c r="I115" s="8" t="str">
        <f>IFERROR(__xludf.DUMMYFUNCTION("""COMPUTED_VALUE"""),"General")</f>
        <v>General</v>
      </c>
      <c r="J115" s="8" t="str">
        <f>IFERROR(__xludf.DUMMYFUNCTION("""COMPUTED_VALUE"""),"Bottoms")</f>
        <v>Bottoms</v>
      </c>
      <c r="K115" s="8" t="str">
        <f>IFERROR(__xludf.DUMMYFUNCTION("""COMPUTED_VALUE"""),"Skirts")</f>
        <v>Skirts</v>
      </c>
    </row>
    <row r="116">
      <c r="A116" s="8">
        <f>IFERROR(__xludf.DUMMYFUNCTION("""COMPUTED_VALUE"""),149.0)</f>
        <v>149</v>
      </c>
      <c r="B116" s="8">
        <f>IFERROR(__xludf.DUMMYFUNCTION("""COMPUTED_VALUE"""),1008.0)</f>
        <v>1008</v>
      </c>
      <c r="C116" s="8">
        <f>IFERROR(__xludf.DUMMYFUNCTION("""COMPUTED_VALUE"""),38.0)</f>
        <v>38</v>
      </c>
      <c r="D116" s="8" t="str">
        <f>IFERROR(__xludf.DUMMYFUNCTION("""COMPUTED_VALUE"""),"A beautiful skirt!")</f>
        <v>A beautiful skirt!</v>
      </c>
      <c r="E116" s="8" t="str">
        <f>IFERROR(__xludf.DUMMYFUNCTION("""COMPUTED_VALUE"""),"This skirt is wonderful! the price point seems a bit high for the average office gal, but the quality is impeccable. i really enjoy looking at myself in the mirror when wearing this skirt. it can be dressed up, dressed down, worn during all seasons. the d"&amp;"esign/pattern is artsy and whimsical without being too ""out-there"" (unless you want it to be, of course!). the fit is true to size, and the delicate details are just lovely.")</f>
        <v>This skirt is wonderful! the price point seems a bit high for the average office gal, but the quality is impeccable. i really enjoy looking at myself in the mirror when wearing this skirt. it can be dressed up, dressed down, worn during all seasons. the design/pattern is artsy and whimsical without being too "out-there" (unless you want it to be, of course!). the fit is true to size, and the delicate details are just lovely.</v>
      </c>
      <c r="F116" s="8">
        <f>IFERROR(__xludf.DUMMYFUNCTION("""COMPUTED_VALUE"""),5.0)</f>
        <v>5</v>
      </c>
      <c r="G116" s="8">
        <f>IFERROR(__xludf.DUMMYFUNCTION("""COMPUTED_VALUE"""),1.0)</f>
        <v>1</v>
      </c>
      <c r="H116" s="8">
        <f>IFERROR(__xludf.DUMMYFUNCTION("""COMPUTED_VALUE"""),2.0)</f>
        <v>2</v>
      </c>
      <c r="I116" s="8" t="str">
        <f>IFERROR(__xludf.DUMMYFUNCTION("""COMPUTED_VALUE"""),"General")</f>
        <v>General</v>
      </c>
      <c r="J116" s="8" t="str">
        <f>IFERROR(__xludf.DUMMYFUNCTION("""COMPUTED_VALUE"""),"Bottoms")</f>
        <v>Bottoms</v>
      </c>
      <c r="K116" s="8" t="str">
        <f>IFERROR(__xludf.DUMMYFUNCTION("""COMPUTED_VALUE"""),"Skirts")</f>
        <v>Skirts</v>
      </c>
    </row>
    <row r="117">
      <c r="A117" s="8">
        <f>IFERROR(__xludf.DUMMYFUNCTION("""COMPUTED_VALUE"""),150.0)</f>
        <v>150</v>
      </c>
      <c r="B117" s="8">
        <f>IFERROR(__xludf.DUMMYFUNCTION("""COMPUTED_VALUE"""),1008.0)</f>
        <v>1008</v>
      </c>
      <c r="C117" s="8">
        <f>IFERROR(__xludf.DUMMYFUNCTION("""COMPUTED_VALUE"""),36.0)</f>
        <v>36</v>
      </c>
      <c r="D117" s="8" t="str">
        <f>IFERROR(__xludf.DUMMYFUNCTION("""COMPUTED_VALUE"""),"Gorgeous skirt!")</f>
        <v>Gorgeous skirt!</v>
      </c>
      <c r="E117" s="8" t="str">
        <f>IFERROR(__xludf.DUMMYFUNCTION("""COMPUTED_VALUE"""),"Like other reviewers noted, the pics don't do this skirt justice. it is truly beautiful with an intricate lace pattern and rich colors. can't wait to wear this to work!")</f>
        <v>Like other reviewers noted, the pics don't do this skirt justice. it is truly beautiful with an intricate lace pattern and rich colors. can't wait to wear this to work!</v>
      </c>
      <c r="F117" s="8">
        <f>IFERROR(__xludf.DUMMYFUNCTION("""COMPUTED_VALUE"""),5.0)</f>
        <v>5</v>
      </c>
      <c r="G117" s="8">
        <f>IFERROR(__xludf.DUMMYFUNCTION("""COMPUTED_VALUE"""),1.0)</f>
        <v>1</v>
      </c>
      <c r="H117" s="8">
        <f>IFERROR(__xludf.DUMMYFUNCTION("""COMPUTED_VALUE"""),1.0)</f>
        <v>1</v>
      </c>
      <c r="I117" s="8" t="str">
        <f>IFERROR(__xludf.DUMMYFUNCTION("""COMPUTED_VALUE"""),"General")</f>
        <v>General</v>
      </c>
      <c r="J117" s="8" t="str">
        <f>IFERROR(__xludf.DUMMYFUNCTION("""COMPUTED_VALUE"""),"Bottoms")</f>
        <v>Bottoms</v>
      </c>
      <c r="K117" s="8" t="str">
        <f>IFERROR(__xludf.DUMMYFUNCTION("""COMPUTED_VALUE"""),"Skirts")</f>
        <v>Skirts</v>
      </c>
    </row>
    <row r="118">
      <c r="A118" s="8">
        <f>IFERROR(__xludf.DUMMYFUNCTION("""COMPUTED_VALUE"""),151.0)</f>
        <v>151</v>
      </c>
      <c r="B118" s="8">
        <f>IFERROR(__xludf.DUMMYFUNCTION("""COMPUTED_VALUE"""),1008.0)</f>
        <v>1008</v>
      </c>
      <c r="C118" s="8">
        <f>IFERROR(__xludf.DUMMYFUNCTION("""COMPUTED_VALUE"""),39.0)</f>
        <v>39</v>
      </c>
      <c r="D118" s="8" t="str">
        <f>IFERROR(__xludf.DUMMYFUNCTION("""COMPUTED_VALUE"""),"Beautiful")</f>
        <v>Beautiful</v>
      </c>
      <c r="E118" s="8" t="str">
        <f>IFERROR(__xludf.DUMMYFUNCTION("""COMPUTED_VALUE"""),"Love this skirt. the detail is amazing. runs small i ordered a 12 i'm usually a 10, but still a little snug.")</f>
        <v>Love this skirt. the detail is amazing. runs small i ordered a 12 i'm usually a 10, but still a little snug.</v>
      </c>
      <c r="F118" s="8">
        <f>IFERROR(__xludf.DUMMYFUNCTION("""COMPUTED_VALUE"""),4.0)</f>
        <v>4</v>
      </c>
      <c r="G118" s="8">
        <f>IFERROR(__xludf.DUMMYFUNCTION("""COMPUTED_VALUE"""),1.0)</f>
        <v>1</v>
      </c>
      <c r="H118" s="8">
        <f>IFERROR(__xludf.DUMMYFUNCTION("""COMPUTED_VALUE"""),0.0)</f>
        <v>0</v>
      </c>
      <c r="I118" s="8" t="str">
        <f>IFERROR(__xludf.DUMMYFUNCTION("""COMPUTED_VALUE"""),"General")</f>
        <v>General</v>
      </c>
      <c r="J118" s="8" t="str">
        <f>IFERROR(__xludf.DUMMYFUNCTION("""COMPUTED_VALUE"""),"Bottoms")</f>
        <v>Bottoms</v>
      </c>
      <c r="K118" s="8" t="str">
        <f>IFERROR(__xludf.DUMMYFUNCTION("""COMPUTED_VALUE"""),"Skirts")</f>
        <v>Skirts</v>
      </c>
    </row>
    <row r="119">
      <c r="A119" s="8">
        <f>IFERROR(__xludf.DUMMYFUNCTION("""COMPUTED_VALUE"""),155.0)</f>
        <v>155</v>
      </c>
      <c r="B119" s="8">
        <f>IFERROR(__xludf.DUMMYFUNCTION("""COMPUTED_VALUE"""),829.0)</f>
        <v>829</v>
      </c>
      <c r="C119" s="8">
        <f>IFERROR(__xludf.DUMMYFUNCTION("""COMPUTED_VALUE"""),48.0)</f>
        <v>48</v>
      </c>
      <c r="D119" s="8" t="str">
        <f>IFERROR(__xludf.DUMMYFUNCTION("""COMPUTED_VALUE"""),"Beautiful colors")</f>
        <v>Beautiful colors</v>
      </c>
      <c r="E119" s="8" t="str">
        <f>IFERROR(__xludf.DUMMYFUNCTION("""COMPUTED_VALUE"""),"This top is so much better in person. i do not agree with some of the other reviews about the fabric being scratchy. it is not and i have sensitive skin. i love this top and have got lots of compliments.")</f>
        <v>This top is so much better in person. i do not agree with some of the other reviews about the fabric being scratchy. it is not and i have sensitive skin. i love this top and have got lots of compliments.</v>
      </c>
      <c r="F119" s="8">
        <f>IFERROR(__xludf.DUMMYFUNCTION("""COMPUTED_VALUE"""),5.0)</f>
        <v>5</v>
      </c>
      <c r="G119" s="8">
        <f>IFERROR(__xludf.DUMMYFUNCTION("""COMPUTED_VALUE"""),1.0)</f>
        <v>1</v>
      </c>
      <c r="H119" s="8">
        <f>IFERROR(__xludf.DUMMYFUNCTION("""COMPUTED_VALUE"""),0.0)</f>
        <v>0</v>
      </c>
      <c r="I119" s="8" t="str">
        <f>IFERROR(__xludf.DUMMYFUNCTION("""COMPUTED_VALUE"""),"General Petite")</f>
        <v>General Petite</v>
      </c>
      <c r="J119" s="8" t="str">
        <f>IFERROR(__xludf.DUMMYFUNCTION("""COMPUTED_VALUE"""),"Tops")</f>
        <v>Tops</v>
      </c>
      <c r="K119" s="8" t="str">
        <f>IFERROR(__xludf.DUMMYFUNCTION("""COMPUTED_VALUE"""),"Blouses")</f>
        <v>Blouses</v>
      </c>
    </row>
    <row r="120">
      <c r="A120" s="8">
        <f>IFERROR(__xludf.DUMMYFUNCTION("""COMPUTED_VALUE"""),156.0)</f>
        <v>156</v>
      </c>
      <c r="B120" s="8">
        <f>IFERROR(__xludf.DUMMYFUNCTION("""COMPUTED_VALUE"""),1008.0)</f>
        <v>1008</v>
      </c>
      <c r="C120" s="8">
        <f>IFERROR(__xludf.DUMMYFUNCTION("""COMPUTED_VALUE"""),37.0)</f>
        <v>37</v>
      </c>
      <c r="D120" s="8"/>
      <c r="E120" s="8" t="str">
        <f>IFERROR(__xludf.DUMMYFUNCTION("""COMPUTED_VALUE"""),"This is a lovely pencil skirt that is well-made and really brightens a work day. like a lot skirts with multiple colors, a lot of tops feel like they should match but you have to try a few that really work with the skirt and your look to get the right imp"&amp;"act.")</f>
        <v>This is a lovely pencil skirt that is well-made and really brightens a work day. like a lot skirts with multiple colors, a lot of tops feel like they should match but you have to try a few that really work with the skirt and your look to get the right impact.</v>
      </c>
      <c r="F120" s="8">
        <f>IFERROR(__xludf.DUMMYFUNCTION("""COMPUTED_VALUE"""),5.0)</f>
        <v>5</v>
      </c>
      <c r="G120" s="8">
        <f>IFERROR(__xludf.DUMMYFUNCTION("""COMPUTED_VALUE"""),1.0)</f>
        <v>1</v>
      </c>
      <c r="H120" s="8">
        <f>IFERROR(__xludf.DUMMYFUNCTION("""COMPUTED_VALUE"""),1.0)</f>
        <v>1</v>
      </c>
      <c r="I120" s="8" t="str">
        <f>IFERROR(__xludf.DUMMYFUNCTION("""COMPUTED_VALUE"""),"General")</f>
        <v>General</v>
      </c>
      <c r="J120" s="8" t="str">
        <f>IFERROR(__xludf.DUMMYFUNCTION("""COMPUTED_VALUE"""),"Bottoms")</f>
        <v>Bottoms</v>
      </c>
      <c r="K120" s="8" t="str">
        <f>IFERROR(__xludf.DUMMYFUNCTION("""COMPUTED_VALUE"""),"Skirts")</f>
        <v>Skirts</v>
      </c>
    </row>
    <row r="121">
      <c r="A121" s="8">
        <f>IFERROR(__xludf.DUMMYFUNCTION("""COMPUTED_VALUE"""),158.0)</f>
        <v>158</v>
      </c>
      <c r="B121" s="8">
        <f>IFERROR(__xludf.DUMMYFUNCTION("""COMPUTED_VALUE"""),829.0)</f>
        <v>829</v>
      </c>
      <c r="C121" s="8">
        <f>IFERROR(__xludf.DUMMYFUNCTION("""COMPUTED_VALUE"""),53.0)</f>
        <v>53</v>
      </c>
      <c r="D121" s="8"/>
      <c r="E121" s="8" t="str">
        <f>IFERROR(__xludf.DUMMYFUNCTION("""COMPUTED_VALUE"""),"I saw this top online and read the reviews so i passed when i went into the store. when i went in again i thought i would give it a try. so glad i did ! it fits great and is way way prettier in person ! i ended up buying it and so glad i did !")</f>
        <v>I saw this top online and read the reviews so i passed when i went into the store. when i went in again i thought i would give it a try. so glad i did ! it fits great and is way way prettier in person ! i ended up buying it and so glad i did !</v>
      </c>
      <c r="F121" s="8">
        <f>IFERROR(__xludf.DUMMYFUNCTION("""COMPUTED_VALUE"""),4.0)</f>
        <v>4</v>
      </c>
      <c r="G121" s="8">
        <f>IFERROR(__xludf.DUMMYFUNCTION("""COMPUTED_VALUE"""),1.0)</f>
        <v>1</v>
      </c>
      <c r="H121" s="8">
        <f>IFERROR(__xludf.DUMMYFUNCTION("""COMPUTED_VALUE"""),7.0)</f>
        <v>7</v>
      </c>
      <c r="I121" s="8" t="str">
        <f>IFERROR(__xludf.DUMMYFUNCTION("""COMPUTED_VALUE"""),"General Petite")</f>
        <v>General Petite</v>
      </c>
      <c r="J121" s="8" t="str">
        <f>IFERROR(__xludf.DUMMYFUNCTION("""COMPUTED_VALUE"""),"Tops")</f>
        <v>Tops</v>
      </c>
      <c r="K121" s="8" t="str">
        <f>IFERROR(__xludf.DUMMYFUNCTION("""COMPUTED_VALUE"""),"Blouses")</f>
        <v>Blouses</v>
      </c>
    </row>
    <row r="122">
      <c r="A122" s="8">
        <f>IFERROR(__xludf.DUMMYFUNCTION("""COMPUTED_VALUE"""),159.0)</f>
        <v>159</v>
      </c>
      <c r="B122" s="8">
        <f>IFERROR(__xludf.DUMMYFUNCTION("""COMPUTED_VALUE"""),829.0)</f>
        <v>829</v>
      </c>
      <c r="C122" s="8">
        <f>IFERROR(__xludf.DUMMYFUNCTION("""COMPUTED_VALUE"""),33.0)</f>
        <v>33</v>
      </c>
      <c r="D122" s="8" t="str">
        <f>IFERROR(__xludf.DUMMYFUNCTION("""COMPUTED_VALUE"""),"Vibrant metallic")</f>
        <v>Vibrant metallic</v>
      </c>
      <c r="E122" s="8" t="str">
        <f>IFERROR(__xludf.DUMMYFUNCTION("""COMPUTED_VALUE"""),"This is a very pretty top with vibrant metallic colors. i would be perfect for a holiday party or going out to dinner. it wasn't as scratchy as i thought it would be based on the reviews, however, it ran a little big. i'm 5.3 and about 130 pounds and i al"&amp;"most always wear a size 6, but the six was too big. i'd recommend sizing down. it was also lower cut than i thought it would be....showed a lot of cleavage (i'm a 34d) so it's not work appropriate. .")</f>
        <v>This is a very pretty top with vibrant metallic colors. i would be perfect for a holiday party or going out to dinner. it wasn't as scratchy as i thought it would be based on the reviews, however, it ran a little big. i'm 5.3 and about 130 pounds and i almost always wear a size 6, but the six was too big. i'd recommend sizing down. it was also lower cut than i thought it would be....showed a lot of cleavage (i'm a 34d) so it's not work appropriate. .</v>
      </c>
      <c r="F122" s="8">
        <f>IFERROR(__xludf.DUMMYFUNCTION("""COMPUTED_VALUE"""),4.0)</f>
        <v>4</v>
      </c>
      <c r="G122" s="8">
        <f>IFERROR(__xludf.DUMMYFUNCTION("""COMPUTED_VALUE"""),1.0)</f>
        <v>1</v>
      </c>
      <c r="H122" s="8">
        <f>IFERROR(__xludf.DUMMYFUNCTION("""COMPUTED_VALUE"""),0.0)</f>
        <v>0</v>
      </c>
      <c r="I122" s="8" t="str">
        <f>IFERROR(__xludf.DUMMYFUNCTION("""COMPUTED_VALUE"""),"General Petite")</f>
        <v>General Petite</v>
      </c>
      <c r="J122" s="8" t="str">
        <f>IFERROR(__xludf.DUMMYFUNCTION("""COMPUTED_VALUE"""),"Tops")</f>
        <v>Tops</v>
      </c>
      <c r="K122" s="8" t="str">
        <f>IFERROR(__xludf.DUMMYFUNCTION("""COMPUTED_VALUE"""),"Blouses")</f>
        <v>Blouses</v>
      </c>
    </row>
    <row r="123">
      <c r="A123" s="8">
        <f>IFERROR(__xludf.DUMMYFUNCTION("""COMPUTED_VALUE"""),160.0)</f>
        <v>160</v>
      </c>
      <c r="B123" s="8">
        <f>IFERROR(__xludf.DUMMYFUNCTION("""COMPUTED_VALUE"""),1126.0)</f>
        <v>1126</v>
      </c>
      <c r="C123" s="8">
        <f>IFERROR(__xludf.DUMMYFUNCTION("""COMPUTED_VALUE"""),39.0)</f>
        <v>39</v>
      </c>
      <c r="D123" s="8" t="str">
        <f>IFERROR(__xludf.DUMMYFUNCTION("""COMPUTED_VALUE"""),"So sad not mine")</f>
        <v>So sad not mine</v>
      </c>
      <c r="E123" s="8" t="str">
        <f>IFERROR(__xludf.DUMMYFUNCTION("""COMPUTED_VALUE"""),"Love everything about this beautiful coat except the way it fits on me.  it is just perfect in the shoulders but once it flares out at the bottom, i look like a clown costume.  if i size down it will not fit in my shoulders.  perhaps a tailor can install "&amp;"buckles that match the neckline buckle to the sides of the coat to fold in the flare.  on another note the buckle at the neckline feels very hard and fake, not sure if it's real leather.")</f>
        <v>Love everything about this beautiful coat except the way it fits on me.  it is just perfect in the shoulders but once it flares out at the bottom, i look like a clown costume.  if i size down it will not fit in my shoulders.  perhaps a tailor can install buckles that match the neckline buckle to the sides of the coat to fold in the flare.  on another note the buckle at the neckline feels very hard and fake, not sure if it's real leather.</v>
      </c>
      <c r="F123" s="8">
        <f>IFERROR(__xludf.DUMMYFUNCTION("""COMPUTED_VALUE"""),4.0)</f>
        <v>4</v>
      </c>
      <c r="G123" s="8">
        <f>IFERROR(__xludf.DUMMYFUNCTION("""COMPUTED_VALUE"""),1.0)</f>
        <v>1</v>
      </c>
      <c r="H123" s="8">
        <f>IFERROR(__xludf.DUMMYFUNCTION("""COMPUTED_VALUE"""),0.0)</f>
        <v>0</v>
      </c>
      <c r="I123" s="8" t="str">
        <f>IFERROR(__xludf.DUMMYFUNCTION("""COMPUTED_VALUE"""),"General")</f>
        <v>General</v>
      </c>
      <c r="J123" s="8" t="str">
        <f>IFERROR(__xludf.DUMMYFUNCTION("""COMPUTED_VALUE"""),"Jackets")</f>
        <v>Jackets</v>
      </c>
      <c r="K123" s="8" t="str">
        <f>IFERROR(__xludf.DUMMYFUNCTION("""COMPUTED_VALUE"""),"Outerwear")</f>
        <v>Outerwear</v>
      </c>
    </row>
    <row r="124">
      <c r="A124" s="8">
        <f>IFERROR(__xludf.DUMMYFUNCTION("""COMPUTED_VALUE"""),162.0)</f>
        <v>162</v>
      </c>
      <c r="B124" s="8">
        <f>IFERROR(__xludf.DUMMYFUNCTION("""COMPUTED_VALUE"""),829.0)</f>
        <v>829</v>
      </c>
      <c r="C124" s="8">
        <f>IFERROR(__xludf.DUMMYFUNCTION("""COMPUTED_VALUE"""),64.0)</f>
        <v>64</v>
      </c>
      <c r="D124" s="8" t="str">
        <f>IFERROR(__xludf.DUMMYFUNCTION("""COMPUTED_VALUE"""),"Yes it's scratchy but it can work out!")</f>
        <v>Yes it's scratchy but it can work out!</v>
      </c>
      <c r="E124" s="8" t="str">
        <f>IFERROR(__xludf.DUMMYFUNCTION("""COMPUTED_VALUE"""),"My usual size 6 fits perfectly... yes the metallic fibers on the inside are scratchy. a cami solves that problem. when ordering, i realized i cld not go strapless &amp; wld have to wear a one of my wider strap cami's in navy or black to cover the bra strap ar"&amp;"ea. it was obvious some sort of cover-up swtr or jacket w/b needed &amp; wld cover the strap area anyway. so, i also ordered the 'faux-fur cardi' in the ivory to wear over this top. it's a shrug-like cardi w/ 3/4 slvs. comes in the plum also if you")</f>
        <v>My usual size 6 fits perfectly... yes the metallic fibers on the inside are scratchy. a cami solves that problem. when ordering, i realized i cld not go strapless &amp; wld have to wear a one of my wider strap cami's in navy or black to cover the bra strap area. it was obvious some sort of cover-up swtr or jacket w/b needed &amp; wld cover the strap area anyway. so, i also ordered the 'faux-fur cardi' in the ivory to wear over this top. it's a shrug-like cardi w/ 3/4 slvs. comes in the plum also if you</v>
      </c>
      <c r="F124" s="8">
        <f>IFERROR(__xludf.DUMMYFUNCTION("""COMPUTED_VALUE"""),4.0)</f>
        <v>4</v>
      </c>
      <c r="G124" s="8">
        <f>IFERROR(__xludf.DUMMYFUNCTION("""COMPUTED_VALUE"""),1.0)</f>
        <v>1</v>
      </c>
      <c r="H124" s="8">
        <f>IFERROR(__xludf.DUMMYFUNCTION("""COMPUTED_VALUE"""),2.0)</f>
        <v>2</v>
      </c>
      <c r="I124" s="8" t="str">
        <f>IFERROR(__xludf.DUMMYFUNCTION("""COMPUTED_VALUE"""),"General Petite")</f>
        <v>General Petite</v>
      </c>
      <c r="J124" s="8" t="str">
        <f>IFERROR(__xludf.DUMMYFUNCTION("""COMPUTED_VALUE"""),"Tops")</f>
        <v>Tops</v>
      </c>
      <c r="K124" s="8" t="str">
        <f>IFERROR(__xludf.DUMMYFUNCTION("""COMPUTED_VALUE"""),"Blouses")</f>
        <v>Blouses</v>
      </c>
    </row>
    <row r="125">
      <c r="A125" s="8">
        <f>IFERROR(__xludf.DUMMYFUNCTION("""COMPUTED_VALUE"""),163.0)</f>
        <v>163</v>
      </c>
      <c r="B125" s="8">
        <f>IFERROR(__xludf.DUMMYFUNCTION("""COMPUTED_VALUE"""),1008.0)</f>
        <v>1008</v>
      </c>
      <c r="C125" s="8">
        <f>IFERROR(__xludf.DUMMYFUNCTION("""COMPUTED_VALUE"""),52.0)</f>
        <v>52</v>
      </c>
      <c r="D125" s="8" t="str">
        <f>IFERROR(__xludf.DUMMYFUNCTION("""COMPUTED_VALUE"""),"Classy and cute")</f>
        <v>Classy and cute</v>
      </c>
      <c r="E125" s="8" t="str">
        <f>IFERROR(__xludf.DUMMYFUNCTION("""COMPUTED_VALUE"""),"The online picture does not do this skirt justice. it's very pretty and unique in design. i think it should be worn with a tighter shirt that is tucked in unlike the picture. this is truly a pretty pencil skirt.")</f>
        <v>The online picture does not do this skirt justice. it's very pretty and unique in design. i think it should be worn with a tighter shirt that is tucked in unlike the picture. this is truly a pretty pencil skirt.</v>
      </c>
      <c r="F125" s="8">
        <f>IFERROR(__xludf.DUMMYFUNCTION("""COMPUTED_VALUE"""),5.0)</f>
        <v>5</v>
      </c>
      <c r="G125" s="8">
        <f>IFERROR(__xludf.DUMMYFUNCTION("""COMPUTED_VALUE"""),1.0)</f>
        <v>1</v>
      </c>
      <c r="H125" s="8">
        <f>IFERROR(__xludf.DUMMYFUNCTION("""COMPUTED_VALUE"""),7.0)</f>
        <v>7</v>
      </c>
      <c r="I125" s="8" t="str">
        <f>IFERROR(__xludf.DUMMYFUNCTION("""COMPUTED_VALUE"""),"General")</f>
        <v>General</v>
      </c>
      <c r="J125" s="8" t="str">
        <f>IFERROR(__xludf.DUMMYFUNCTION("""COMPUTED_VALUE"""),"Bottoms")</f>
        <v>Bottoms</v>
      </c>
      <c r="K125" s="8" t="str">
        <f>IFERROR(__xludf.DUMMYFUNCTION("""COMPUTED_VALUE"""),"Skirts")</f>
        <v>Skirts</v>
      </c>
    </row>
    <row r="126">
      <c r="A126" s="8">
        <f>IFERROR(__xludf.DUMMYFUNCTION("""COMPUTED_VALUE"""),164.0)</f>
        <v>164</v>
      </c>
      <c r="B126" s="8">
        <f>IFERROR(__xludf.DUMMYFUNCTION("""COMPUTED_VALUE"""),1126.0)</f>
        <v>1126</v>
      </c>
      <c r="C126" s="8">
        <f>IFERROR(__xludf.DUMMYFUNCTION("""COMPUTED_VALUE"""),42.0)</f>
        <v>42</v>
      </c>
      <c r="D126" s="8" t="str">
        <f>IFERROR(__xludf.DUMMYFUNCTION("""COMPUTED_VALUE"""),"So pretty!")</f>
        <v>So pretty!</v>
      </c>
      <c r="E126" s="8" t="str">
        <f>IFERROR(__xludf.DUMMYFUNCTION("""COMPUTED_VALUE"""),"I bought this and like other reviews, agree that the quality probably could be better, but i still love it enough to keep. the buckle fell apart, but i was able to fix it and the zipper seems a little weak. it has pilled, but the fabric is textured, so i "&amp;"didn't even notice until i read the other reviews and then looked back at my jacket.  it is a perfect medium coat for 40's &amp; 50's before i am ready to bust out my ugly down north face for winter.  i get compliments every time i wear it!  love!!")</f>
        <v>I bought this and like other reviews, agree that the quality probably could be better, but i still love it enough to keep. the buckle fell apart, but i was able to fix it and the zipper seems a little weak. it has pilled, but the fabric is textured, so i didn't even notice until i read the other reviews and then looked back at my jacket.  it is a perfect medium coat for 40's &amp; 50's before i am ready to bust out my ugly down north face for winter.  i get compliments every time i wear it!  love!!</v>
      </c>
      <c r="F126" s="8">
        <f>IFERROR(__xludf.DUMMYFUNCTION("""COMPUTED_VALUE"""),4.0)</f>
        <v>4</v>
      </c>
      <c r="G126" s="8">
        <f>IFERROR(__xludf.DUMMYFUNCTION("""COMPUTED_VALUE"""),1.0)</f>
        <v>1</v>
      </c>
      <c r="H126" s="8">
        <f>IFERROR(__xludf.DUMMYFUNCTION("""COMPUTED_VALUE"""),0.0)</f>
        <v>0</v>
      </c>
      <c r="I126" s="8" t="str">
        <f>IFERROR(__xludf.DUMMYFUNCTION("""COMPUTED_VALUE"""),"General")</f>
        <v>General</v>
      </c>
      <c r="J126" s="8" t="str">
        <f>IFERROR(__xludf.DUMMYFUNCTION("""COMPUTED_VALUE"""),"Jackets")</f>
        <v>Jackets</v>
      </c>
      <c r="K126" s="8" t="str">
        <f>IFERROR(__xludf.DUMMYFUNCTION("""COMPUTED_VALUE"""),"Outerwear")</f>
        <v>Outerwear</v>
      </c>
    </row>
    <row r="127">
      <c r="A127" s="8">
        <f>IFERROR(__xludf.DUMMYFUNCTION("""COMPUTED_VALUE"""),166.0)</f>
        <v>166</v>
      </c>
      <c r="B127" s="8">
        <f>IFERROR(__xludf.DUMMYFUNCTION("""COMPUTED_VALUE"""),1020.0)</f>
        <v>1020</v>
      </c>
      <c r="C127" s="8">
        <f>IFERROR(__xludf.DUMMYFUNCTION("""COMPUTED_VALUE"""),56.0)</f>
        <v>56</v>
      </c>
      <c r="D127" s="8" t="str">
        <f>IFERROR(__xludf.DUMMYFUNCTION("""COMPUTED_VALUE"""),"Just as pictured")</f>
        <v>Just as pictured</v>
      </c>
      <c r="E127" s="8" t="str">
        <f>IFERROR(__xludf.DUMMYFUNCTION("""COMPUTED_VALUE"""),"I bought a petite, size 2. i am 5'3"", 111 lb - it fit perfect with a tiny bit of room. looks just like the one pictured. length on me was about 1 inch lower than the model. very bright with multiple colors. has a nice stretch. very cute.")</f>
        <v>I bought a petite, size 2. i am 5'3", 111 lb - it fit perfect with a tiny bit of room. looks just like the one pictured. length on me was about 1 inch lower than the model. very bright with multiple colors. has a nice stretch. very cute.</v>
      </c>
      <c r="F127" s="8">
        <f>IFERROR(__xludf.DUMMYFUNCTION("""COMPUTED_VALUE"""),5.0)</f>
        <v>5</v>
      </c>
      <c r="G127" s="8">
        <f>IFERROR(__xludf.DUMMYFUNCTION("""COMPUTED_VALUE"""),1.0)</f>
        <v>1</v>
      </c>
      <c r="H127" s="8">
        <f>IFERROR(__xludf.DUMMYFUNCTION("""COMPUTED_VALUE"""),6.0)</f>
        <v>6</v>
      </c>
      <c r="I127" s="8" t="str">
        <f>IFERROR(__xludf.DUMMYFUNCTION("""COMPUTED_VALUE"""),"General Petite")</f>
        <v>General Petite</v>
      </c>
      <c r="J127" s="8" t="str">
        <f>IFERROR(__xludf.DUMMYFUNCTION("""COMPUTED_VALUE"""),"Bottoms")</f>
        <v>Bottoms</v>
      </c>
      <c r="K127" s="8" t="str">
        <f>IFERROR(__xludf.DUMMYFUNCTION("""COMPUTED_VALUE"""),"Skirts")</f>
        <v>Skirts</v>
      </c>
    </row>
    <row r="128">
      <c r="A128" s="8">
        <f>IFERROR(__xludf.DUMMYFUNCTION("""COMPUTED_VALUE"""),167.0)</f>
        <v>167</v>
      </c>
      <c r="B128" s="8">
        <f>IFERROR(__xludf.DUMMYFUNCTION("""COMPUTED_VALUE"""),895.0)</f>
        <v>895</v>
      </c>
      <c r="C128" s="8">
        <f>IFERROR(__xludf.DUMMYFUNCTION("""COMPUTED_VALUE"""),55.0)</f>
        <v>55</v>
      </c>
      <c r="D128" s="8" t="str">
        <f>IFERROR(__xludf.DUMMYFUNCTION("""COMPUTED_VALUE"""),"Great purchase")</f>
        <v>Great purchase</v>
      </c>
      <c r="E128" s="8" t="str">
        <f>IFERROR(__xludf.DUMMYFUNCTION("""COMPUTED_VALUE"""),"This will be perfect for the mild fall weather in texas. it's light weight and i love that the top is a little more fitted and the bottom swings out.")</f>
        <v>This will be perfect for the mild fall weather in texas. it's light weight and i love that the top is a little more fitted and the bottom swings out.</v>
      </c>
      <c r="F128" s="8">
        <f>IFERROR(__xludf.DUMMYFUNCTION("""COMPUTED_VALUE"""),5.0)</f>
        <v>5</v>
      </c>
      <c r="G128" s="8">
        <f>IFERROR(__xludf.DUMMYFUNCTION("""COMPUTED_VALUE"""),1.0)</f>
        <v>1</v>
      </c>
      <c r="H128" s="8">
        <f>IFERROR(__xludf.DUMMYFUNCTION("""COMPUTED_VALUE"""),0.0)</f>
        <v>0</v>
      </c>
      <c r="I128" s="8" t="str">
        <f>IFERROR(__xludf.DUMMYFUNCTION("""COMPUTED_VALUE"""),"General")</f>
        <v>General</v>
      </c>
      <c r="J128" s="8" t="str">
        <f>IFERROR(__xludf.DUMMYFUNCTION("""COMPUTED_VALUE"""),"Tops")</f>
        <v>Tops</v>
      </c>
      <c r="K128" s="8" t="str">
        <f>IFERROR(__xludf.DUMMYFUNCTION("""COMPUTED_VALUE"""),"Fine gauge")</f>
        <v>Fine gauge</v>
      </c>
    </row>
    <row r="129">
      <c r="A129" s="8">
        <f>IFERROR(__xludf.DUMMYFUNCTION("""COMPUTED_VALUE"""),168.0)</f>
        <v>168</v>
      </c>
      <c r="B129" s="8">
        <f>IFERROR(__xludf.DUMMYFUNCTION("""COMPUTED_VALUE"""),862.0)</f>
        <v>862</v>
      </c>
      <c r="C129" s="8">
        <f>IFERROR(__xludf.DUMMYFUNCTION("""COMPUTED_VALUE"""),40.0)</f>
        <v>40</v>
      </c>
      <c r="D129" s="8"/>
      <c r="E129" s="8"/>
      <c r="F129" s="8">
        <f>IFERROR(__xludf.DUMMYFUNCTION("""COMPUTED_VALUE"""),5.0)</f>
        <v>5</v>
      </c>
      <c r="G129" s="8">
        <f>IFERROR(__xludf.DUMMYFUNCTION("""COMPUTED_VALUE"""),1.0)</f>
        <v>1</v>
      </c>
      <c r="H129" s="8">
        <f>IFERROR(__xludf.DUMMYFUNCTION("""COMPUTED_VALUE"""),0.0)</f>
        <v>0</v>
      </c>
      <c r="I129" s="8" t="str">
        <f>IFERROR(__xludf.DUMMYFUNCTION("""COMPUTED_VALUE"""),"General")</f>
        <v>General</v>
      </c>
      <c r="J129" s="8" t="str">
        <f>IFERROR(__xludf.DUMMYFUNCTION("""COMPUTED_VALUE"""),"Tops")</f>
        <v>Tops</v>
      </c>
      <c r="K129" s="8" t="str">
        <f>IFERROR(__xludf.DUMMYFUNCTION("""COMPUTED_VALUE"""),"Knits")</f>
        <v>Knits</v>
      </c>
    </row>
    <row r="130">
      <c r="A130" s="8">
        <f>IFERROR(__xludf.DUMMYFUNCTION("""COMPUTED_VALUE"""),169.0)</f>
        <v>169</v>
      </c>
      <c r="B130" s="8">
        <f>IFERROR(__xludf.DUMMYFUNCTION("""COMPUTED_VALUE"""),1104.0)</f>
        <v>1104</v>
      </c>
      <c r="C130" s="8">
        <f>IFERROR(__xludf.DUMMYFUNCTION("""COMPUTED_VALUE"""),47.0)</f>
        <v>47</v>
      </c>
      <c r="D130" s="8" t="str">
        <f>IFERROR(__xludf.DUMMYFUNCTION("""COMPUTED_VALUE"""),"Antoher beautiful maeve dress!")</f>
        <v>Antoher beautiful maeve dress!</v>
      </c>
      <c r="E130" s="8" t="str">
        <f>IFERROR(__xludf.DUMMYFUNCTION("""COMPUTED_VALUE"""),"I love the dresses by maeve and this one is no exception. i was pleasantly surprised upon receiving this dress because i wasn't sure about the print size and colors when i saw it online, but the print is beautiful. it's a very simple but elegant style and"&amp;" the ruffle on the back adds an extra touch of interest. i like that it has enough coverage at the top (front and back), the underarms do not fall very low, and it is lined. the a-line skirt will flatter most body types. the fabric and overall q")</f>
        <v>I love the dresses by maeve and this one is no exception. i was pleasantly surprised upon receiving this dress because i wasn't sure about the print size and colors when i saw it online, but the print is beautiful. it's a very simple but elegant style and the ruffle on the back adds an extra touch of interest. i like that it has enough coverage at the top (front and back), the underarms do not fall very low, and it is lined. the a-line skirt will flatter most body types. the fabric and overall q</v>
      </c>
      <c r="F130" s="8">
        <f>IFERROR(__xludf.DUMMYFUNCTION("""COMPUTED_VALUE"""),5.0)</f>
        <v>5</v>
      </c>
      <c r="G130" s="8">
        <f>IFERROR(__xludf.DUMMYFUNCTION("""COMPUTED_VALUE"""),1.0)</f>
        <v>1</v>
      </c>
      <c r="H130" s="8">
        <f>IFERROR(__xludf.DUMMYFUNCTION("""COMPUTED_VALUE"""),3.0)</f>
        <v>3</v>
      </c>
      <c r="I130" s="8" t="str">
        <f>IFERROR(__xludf.DUMMYFUNCTION("""COMPUTED_VALUE"""),"General")</f>
        <v>General</v>
      </c>
      <c r="J130" s="8" t="str">
        <f>IFERROR(__xludf.DUMMYFUNCTION("""COMPUTED_VALUE"""),"Dresses")</f>
        <v>Dresses</v>
      </c>
      <c r="K130" s="8" t="str">
        <f>IFERROR(__xludf.DUMMYFUNCTION("""COMPUTED_VALUE"""),"Dresses")</f>
        <v>Dresses</v>
      </c>
    </row>
    <row r="131">
      <c r="A131" s="8">
        <f>IFERROR(__xludf.DUMMYFUNCTION("""COMPUTED_VALUE"""),170.0)</f>
        <v>170</v>
      </c>
      <c r="B131" s="8">
        <f>IFERROR(__xludf.DUMMYFUNCTION("""COMPUTED_VALUE"""),670.0)</f>
        <v>670</v>
      </c>
      <c r="C131" s="8">
        <f>IFERROR(__xludf.DUMMYFUNCTION("""COMPUTED_VALUE"""),36.0)</f>
        <v>36</v>
      </c>
      <c r="D131" s="8" t="str">
        <f>IFERROR(__xludf.DUMMYFUNCTION("""COMPUTED_VALUE"""),"Fun")</f>
        <v>Fun</v>
      </c>
      <c r="E131" s="8" t="str">
        <f>IFERROR(__xludf.DUMMYFUNCTION("""COMPUTED_VALUE"""),"These pants are fun! i use them as sleep pants. i had to size up because the waist band was a little tight for comfort.")</f>
        <v>These pants are fun! i use them as sleep pants. i had to size up because the waist band was a little tight for comfort.</v>
      </c>
      <c r="F131" s="8">
        <f>IFERROR(__xludf.DUMMYFUNCTION("""COMPUTED_VALUE"""),5.0)</f>
        <v>5</v>
      </c>
      <c r="G131" s="8">
        <f>IFERROR(__xludf.DUMMYFUNCTION("""COMPUTED_VALUE"""),1.0)</f>
        <v>1</v>
      </c>
      <c r="H131" s="8">
        <f>IFERROR(__xludf.DUMMYFUNCTION("""COMPUTED_VALUE"""),0.0)</f>
        <v>0</v>
      </c>
      <c r="I131" s="8" t="str">
        <f>IFERROR(__xludf.DUMMYFUNCTION("""COMPUTED_VALUE"""),"Initmates")</f>
        <v>Initmates</v>
      </c>
      <c r="J131" s="8" t="str">
        <f>IFERROR(__xludf.DUMMYFUNCTION("""COMPUTED_VALUE"""),"Intimate")</f>
        <v>Intimate</v>
      </c>
      <c r="K131" s="8" t="str">
        <f>IFERROR(__xludf.DUMMYFUNCTION("""COMPUTED_VALUE"""),"Sleep")</f>
        <v>Sleep</v>
      </c>
    </row>
    <row r="132">
      <c r="A132" s="8">
        <f>IFERROR(__xludf.DUMMYFUNCTION("""COMPUTED_VALUE"""),171.0)</f>
        <v>171</v>
      </c>
      <c r="B132" s="8">
        <f>IFERROR(__xludf.DUMMYFUNCTION("""COMPUTED_VALUE"""),329.0)</f>
        <v>329</v>
      </c>
      <c r="C132" s="8">
        <f>IFERROR(__xludf.DUMMYFUNCTION("""COMPUTED_VALUE"""),46.0)</f>
        <v>46</v>
      </c>
      <c r="D132" s="8" t="str">
        <f>IFERROR(__xludf.DUMMYFUNCTION("""COMPUTED_VALUE"""),"Comfy and adorable!")</f>
        <v>Comfy and adorable!</v>
      </c>
      <c r="E132" s="8" t="str">
        <f>IFERROR(__xludf.DUMMYFUNCTION("""COMPUTED_VALUE"""),"I ordered this in xs, i'm 5'4"", around 115lbs, and it fits perfectly. the material is very soft, but not see-through, and the romper is well-made. i wish it came in other colours, i'd buy more!")</f>
        <v>I ordered this in xs, i'm 5'4", around 115lbs, and it fits perfectly. the material is very soft, but not see-through, and the romper is well-made. i wish it came in other colours, i'd buy more!</v>
      </c>
      <c r="F132" s="8">
        <f>IFERROR(__xludf.DUMMYFUNCTION("""COMPUTED_VALUE"""),5.0)</f>
        <v>5</v>
      </c>
      <c r="G132" s="8">
        <f>IFERROR(__xludf.DUMMYFUNCTION("""COMPUTED_VALUE"""),1.0)</f>
        <v>1</v>
      </c>
      <c r="H132" s="8">
        <f>IFERROR(__xludf.DUMMYFUNCTION("""COMPUTED_VALUE"""),0.0)</f>
        <v>0</v>
      </c>
      <c r="I132" s="8" t="str">
        <f>IFERROR(__xludf.DUMMYFUNCTION("""COMPUTED_VALUE"""),"Initmates")</f>
        <v>Initmates</v>
      </c>
      <c r="J132" s="8" t="str">
        <f>IFERROR(__xludf.DUMMYFUNCTION("""COMPUTED_VALUE"""),"Intimate")</f>
        <v>Intimate</v>
      </c>
      <c r="K132" s="8" t="str">
        <f>IFERROR(__xludf.DUMMYFUNCTION("""COMPUTED_VALUE"""),"Sleep")</f>
        <v>Sleep</v>
      </c>
    </row>
    <row r="133">
      <c r="A133" s="8">
        <f>IFERROR(__xludf.DUMMYFUNCTION("""COMPUTED_VALUE"""),172.0)</f>
        <v>172</v>
      </c>
      <c r="B133" s="8">
        <f>IFERROR(__xludf.DUMMYFUNCTION("""COMPUTED_VALUE"""),670.0)</f>
        <v>670</v>
      </c>
      <c r="C133" s="8">
        <f>IFERROR(__xludf.DUMMYFUNCTION("""COMPUTED_VALUE"""),66.0)</f>
        <v>66</v>
      </c>
      <c r="D133" s="8" t="str">
        <f>IFERROR(__xludf.DUMMYFUNCTION("""COMPUTED_VALUE"""),"Beautiful fabric and style")</f>
        <v>Beautiful fabric and style</v>
      </c>
      <c r="E133" s="8" t="str">
        <f>IFERROR(__xludf.DUMMYFUNCTION("""COMPUTED_VALUE"""),"I purchased these for something other than sweats to wear for a girls get away weekend. they were so comfortable and flattering, friends told me i could wear them out for dinner.
the fabric is beautiful, and i loved the way they draped. the angled cut on"&amp;" the legs is very cute, and something a bit different. these could be perfect for a hot summer evening dinner, because the fabric is very light and breezy. dress it up with a tank top and ballet flats and you're good to go.")</f>
        <v>I purchased these for something other than sweats to wear for a girls get away weekend. they were so comfortable and flattering, friends told me i could wear them out for dinner.
the fabric is beautiful, and i loved the way they draped. the angled cut on the legs is very cute, and something a bit different. these could be perfect for a hot summer evening dinner, because the fabric is very light and breezy. dress it up with a tank top and ballet flats and you're good to go.</v>
      </c>
      <c r="F133" s="8">
        <f>IFERROR(__xludf.DUMMYFUNCTION("""COMPUTED_VALUE"""),4.0)</f>
        <v>4</v>
      </c>
      <c r="G133" s="8">
        <f>IFERROR(__xludf.DUMMYFUNCTION("""COMPUTED_VALUE"""),1.0)</f>
        <v>1</v>
      </c>
      <c r="H133" s="8">
        <f>IFERROR(__xludf.DUMMYFUNCTION("""COMPUTED_VALUE"""),0.0)</f>
        <v>0</v>
      </c>
      <c r="I133" s="8" t="str">
        <f>IFERROR(__xludf.DUMMYFUNCTION("""COMPUTED_VALUE"""),"Initmates")</f>
        <v>Initmates</v>
      </c>
      <c r="J133" s="8" t="str">
        <f>IFERROR(__xludf.DUMMYFUNCTION("""COMPUTED_VALUE"""),"Intimate")</f>
        <v>Intimate</v>
      </c>
      <c r="K133" s="8" t="str">
        <f>IFERROR(__xludf.DUMMYFUNCTION("""COMPUTED_VALUE"""),"Sleep")</f>
        <v>Sleep</v>
      </c>
    </row>
    <row r="134">
      <c r="A134" s="8">
        <f>IFERROR(__xludf.DUMMYFUNCTION("""COMPUTED_VALUE"""),173.0)</f>
        <v>173</v>
      </c>
      <c r="B134" s="8">
        <f>IFERROR(__xludf.DUMMYFUNCTION("""COMPUTED_VALUE"""),868.0)</f>
        <v>868</v>
      </c>
      <c r="C134" s="8">
        <f>IFERROR(__xludf.DUMMYFUNCTION("""COMPUTED_VALUE"""),51.0)</f>
        <v>51</v>
      </c>
      <c r="D134" s="8" t="str">
        <f>IFERROR(__xludf.DUMMYFUNCTION("""COMPUTED_VALUE"""),"Great for summer")</f>
        <v>Great for summer</v>
      </c>
      <c r="E134" s="8" t="str">
        <f>IFERROR(__xludf.DUMMYFUNCTION("""COMPUTED_VALUE"""),"Love this cream sleeveless top....it goes with everything and you can dress it up or down! this will be a go to top all summer long and probably wear thru the fall as well with a layered sweater, if needed. i typically wear small or medium size and got th"&amp;"e medium hoping for a little longer length. i am 5'7, 34c, and overall wt. of approx. 128 lbs...it fits very nicely . thank you retailer!")</f>
        <v>Love this cream sleeveless top....it goes with everything and you can dress it up or down! this will be a go to top all summer long and probably wear thru the fall as well with a layered sweater, if needed. i typically wear small or medium size and got the medium hoping for a little longer length. i am 5'7, 34c, and overall wt. of approx. 128 lbs...it fits very nicely . thank you retailer!</v>
      </c>
      <c r="F134" s="8">
        <f>IFERROR(__xludf.DUMMYFUNCTION("""COMPUTED_VALUE"""),4.0)</f>
        <v>4</v>
      </c>
      <c r="G134" s="8">
        <f>IFERROR(__xludf.DUMMYFUNCTION("""COMPUTED_VALUE"""),1.0)</f>
        <v>1</v>
      </c>
      <c r="H134" s="8">
        <f>IFERROR(__xludf.DUMMYFUNCTION("""COMPUTED_VALUE"""),0.0)</f>
        <v>0</v>
      </c>
      <c r="I134" s="8" t="str">
        <f>IFERROR(__xludf.DUMMYFUNCTION("""COMPUTED_VALUE"""),"General Petite")</f>
        <v>General Petite</v>
      </c>
      <c r="J134" s="8" t="str">
        <f>IFERROR(__xludf.DUMMYFUNCTION("""COMPUTED_VALUE"""),"Tops")</f>
        <v>Tops</v>
      </c>
      <c r="K134" s="8" t="str">
        <f>IFERROR(__xludf.DUMMYFUNCTION("""COMPUTED_VALUE"""),"Knits")</f>
        <v>Knits</v>
      </c>
    </row>
    <row r="135">
      <c r="A135" s="8">
        <f>IFERROR(__xludf.DUMMYFUNCTION("""COMPUTED_VALUE"""),174.0)</f>
        <v>174</v>
      </c>
      <c r="B135" s="8">
        <f>IFERROR(__xludf.DUMMYFUNCTION("""COMPUTED_VALUE"""),1020.0)</f>
        <v>1020</v>
      </c>
      <c r="C135" s="8">
        <f>IFERROR(__xludf.DUMMYFUNCTION("""COMPUTED_VALUE"""),34.0)</f>
        <v>34</v>
      </c>
      <c r="D135" s="8" t="str">
        <f>IFERROR(__xludf.DUMMYFUNCTION("""COMPUTED_VALUE"""),"Wonderful but going back")</f>
        <v>Wonderful but going back</v>
      </c>
      <c r="E135" s="8" t="str">
        <f>IFERROR(__xludf.DUMMYFUNCTION("""COMPUTED_VALUE"""),"This skirt is beautiful (especially the color) and looks well made. however, i am very pear shaped and this skirt is just too straight to be flattering on me. i agree that it runs small but even when i sized up it still wasn't flattering. i imagine that t"&amp;"hose who were not bestowed with massive hips will look lovely in this.")</f>
        <v>This skirt is beautiful (especially the color) and looks well made. however, i am very pear shaped and this skirt is just too straight to be flattering on me. i agree that it runs small but even when i sized up it still wasn't flattering. i imagine that those who were not bestowed with massive hips will look lovely in this.</v>
      </c>
      <c r="F135" s="8">
        <f>IFERROR(__xludf.DUMMYFUNCTION("""COMPUTED_VALUE"""),5.0)</f>
        <v>5</v>
      </c>
      <c r="G135" s="8">
        <f>IFERROR(__xludf.DUMMYFUNCTION("""COMPUTED_VALUE"""),1.0)</f>
        <v>1</v>
      </c>
      <c r="H135" s="8">
        <f>IFERROR(__xludf.DUMMYFUNCTION("""COMPUTED_VALUE"""),5.0)</f>
        <v>5</v>
      </c>
      <c r="I135" s="8" t="str">
        <f>IFERROR(__xludf.DUMMYFUNCTION("""COMPUTED_VALUE"""),"General Petite")</f>
        <v>General Petite</v>
      </c>
      <c r="J135" s="8" t="str">
        <f>IFERROR(__xludf.DUMMYFUNCTION("""COMPUTED_VALUE"""),"Bottoms")</f>
        <v>Bottoms</v>
      </c>
      <c r="K135" s="8" t="str">
        <f>IFERROR(__xludf.DUMMYFUNCTION("""COMPUTED_VALUE"""),"Skirts")</f>
        <v>Skirts</v>
      </c>
    </row>
    <row r="136">
      <c r="A136" s="8">
        <f>IFERROR(__xludf.DUMMYFUNCTION("""COMPUTED_VALUE"""),175.0)</f>
        <v>175</v>
      </c>
      <c r="B136" s="8">
        <f>IFERROR(__xludf.DUMMYFUNCTION("""COMPUTED_VALUE"""),862.0)</f>
        <v>862</v>
      </c>
      <c r="C136" s="8">
        <f>IFERROR(__xludf.DUMMYFUNCTION("""COMPUTED_VALUE"""),30.0)</f>
        <v>30</v>
      </c>
      <c r="D136" s="8" t="str">
        <f>IFERROR(__xludf.DUMMYFUNCTION("""COMPUTED_VALUE"""),"Comfy, casual shirt")</f>
        <v>Comfy, casual shirt</v>
      </c>
      <c r="E136" s="8" t="str">
        <f>IFERROR(__xludf.DUMMYFUNCTION("""COMPUTED_VALUE"""),"Happy with this top- slightly thinner material than i was expecting but that'll be fine with our hot summers. got the navy striped one- very pretty and extremely soft. washes well. i do wear an tank underneath though bc the armholes are slightly large and"&amp;" you can see part of my bra.")</f>
        <v>Happy with this top- slightly thinner material than i was expecting but that'll be fine with our hot summers. got the navy striped one- very pretty and extremely soft. washes well. i do wear an tank underneath though bc the armholes are slightly large and you can see part of my bra.</v>
      </c>
      <c r="F136" s="8">
        <f>IFERROR(__xludf.DUMMYFUNCTION("""COMPUTED_VALUE"""),4.0)</f>
        <v>4</v>
      </c>
      <c r="G136" s="8">
        <f>IFERROR(__xludf.DUMMYFUNCTION("""COMPUTED_VALUE"""),1.0)</f>
        <v>1</v>
      </c>
      <c r="H136" s="8">
        <f>IFERROR(__xludf.DUMMYFUNCTION("""COMPUTED_VALUE"""),4.0)</f>
        <v>4</v>
      </c>
      <c r="I136" s="8" t="str">
        <f>IFERROR(__xludf.DUMMYFUNCTION("""COMPUTED_VALUE"""),"General")</f>
        <v>General</v>
      </c>
      <c r="J136" s="8" t="str">
        <f>IFERROR(__xludf.DUMMYFUNCTION("""COMPUTED_VALUE"""),"Tops")</f>
        <v>Tops</v>
      </c>
      <c r="K136" s="8" t="str">
        <f>IFERROR(__xludf.DUMMYFUNCTION("""COMPUTED_VALUE"""),"Knits")</f>
        <v>Knits</v>
      </c>
    </row>
    <row r="137">
      <c r="A137" s="8">
        <f>IFERROR(__xludf.DUMMYFUNCTION("""COMPUTED_VALUE"""),176.0)</f>
        <v>176</v>
      </c>
      <c r="B137" s="8">
        <f>IFERROR(__xludf.DUMMYFUNCTION("""COMPUTED_VALUE"""),895.0)</f>
        <v>895</v>
      </c>
      <c r="C137" s="8">
        <f>IFERROR(__xludf.DUMMYFUNCTION("""COMPUTED_VALUE"""),43.0)</f>
        <v>43</v>
      </c>
      <c r="D137" s="8" t="str">
        <f>IFERROR(__xludf.DUMMYFUNCTION("""COMPUTED_VALUE"""),"Perfect casual sweater")</f>
        <v>Perfect casual sweater</v>
      </c>
      <c r="E137" s="8" t="str">
        <f>IFERROR(__xludf.DUMMYFUNCTION("""COMPUTED_VALUE"""),"Love the fit of this sweater! it almost fits like a sweatshirt and definitely not as long as on the model. it hits me just below the hips( for ref. im 5-3""). im considering getting all the other colors because its so cute and comfortable. could be dresse"&amp;"d up or down. runs true to size-im always a small and this fits perfectly roomy.")</f>
        <v>Love the fit of this sweater! it almost fits like a sweatshirt and definitely not as long as on the model. it hits me just below the hips( for ref. im 5-3"). im considering getting all the other colors because its so cute and comfortable. could be dressed up or down. runs true to size-im always a small and this fits perfectly roomy.</v>
      </c>
      <c r="F137" s="8">
        <f>IFERROR(__xludf.DUMMYFUNCTION("""COMPUTED_VALUE"""),5.0)</f>
        <v>5</v>
      </c>
      <c r="G137" s="8">
        <f>IFERROR(__xludf.DUMMYFUNCTION("""COMPUTED_VALUE"""),1.0)</f>
        <v>1</v>
      </c>
      <c r="H137" s="8">
        <f>IFERROR(__xludf.DUMMYFUNCTION("""COMPUTED_VALUE"""),9.0)</f>
        <v>9</v>
      </c>
      <c r="I137" s="8" t="str">
        <f>IFERROR(__xludf.DUMMYFUNCTION("""COMPUTED_VALUE"""),"General")</f>
        <v>General</v>
      </c>
      <c r="J137" s="8" t="str">
        <f>IFERROR(__xludf.DUMMYFUNCTION("""COMPUTED_VALUE"""),"Tops")</f>
        <v>Tops</v>
      </c>
      <c r="K137" s="8" t="str">
        <f>IFERROR(__xludf.DUMMYFUNCTION("""COMPUTED_VALUE"""),"Fine gauge")</f>
        <v>Fine gauge</v>
      </c>
    </row>
    <row r="138">
      <c r="A138" s="8">
        <f>IFERROR(__xludf.DUMMYFUNCTION("""COMPUTED_VALUE"""),177.0)</f>
        <v>177</v>
      </c>
      <c r="B138" s="8">
        <f>IFERROR(__xludf.DUMMYFUNCTION("""COMPUTED_VALUE"""),895.0)</f>
        <v>895</v>
      </c>
      <c r="C138" s="8">
        <f>IFERROR(__xludf.DUMMYFUNCTION("""COMPUTED_VALUE"""),52.0)</f>
        <v>52</v>
      </c>
      <c r="D138" s="8"/>
      <c r="E138" s="8" t="str">
        <f>IFERROR(__xludf.DUMMYFUNCTION("""COMPUTED_VALUE"""),"I love this sweater!! i like sweaters that are narrow on top and taper out so it doesn't look like a sack on me. plus, it is the perfect weight. i wish i would have bought one in a different color because it is so comfortable.")</f>
        <v>I love this sweater!! i like sweaters that are narrow on top and taper out so it doesn't look like a sack on me. plus, it is the perfect weight. i wish i would have bought one in a different color because it is so comfortable.</v>
      </c>
      <c r="F138" s="8">
        <f>IFERROR(__xludf.DUMMYFUNCTION("""COMPUTED_VALUE"""),5.0)</f>
        <v>5</v>
      </c>
      <c r="G138" s="8">
        <f>IFERROR(__xludf.DUMMYFUNCTION("""COMPUTED_VALUE"""),1.0)</f>
        <v>1</v>
      </c>
      <c r="H138" s="8">
        <f>IFERROR(__xludf.DUMMYFUNCTION("""COMPUTED_VALUE"""),0.0)</f>
        <v>0</v>
      </c>
      <c r="I138" s="8" t="str">
        <f>IFERROR(__xludf.DUMMYFUNCTION("""COMPUTED_VALUE"""),"General")</f>
        <v>General</v>
      </c>
      <c r="J138" s="8" t="str">
        <f>IFERROR(__xludf.DUMMYFUNCTION("""COMPUTED_VALUE"""),"Tops")</f>
        <v>Tops</v>
      </c>
      <c r="K138" s="8" t="str">
        <f>IFERROR(__xludf.DUMMYFUNCTION("""COMPUTED_VALUE"""),"Fine gauge")</f>
        <v>Fine gauge</v>
      </c>
    </row>
    <row r="139">
      <c r="A139" s="8">
        <f>IFERROR(__xludf.DUMMYFUNCTION("""COMPUTED_VALUE"""),179.0)</f>
        <v>179</v>
      </c>
      <c r="B139" s="8">
        <f>IFERROR(__xludf.DUMMYFUNCTION("""COMPUTED_VALUE"""),895.0)</f>
        <v>895</v>
      </c>
      <c r="C139" s="8">
        <f>IFERROR(__xludf.DUMMYFUNCTION("""COMPUTED_VALUE"""),41.0)</f>
        <v>41</v>
      </c>
      <c r="D139" s="8" t="str">
        <f>IFERROR(__xludf.DUMMYFUNCTION("""COMPUTED_VALUE"""),"Perfect for warmer climates")</f>
        <v>Perfect for warmer climates</v>
      </c>
      <c r="E139" s="8" t="str">
        <f>IFERROR(__xludf.DUMMYFUNCTION("""COMPUTED_VALUE"""),"Love this tunic! i am a curvy gal (with a few extra 'curves' in the middle) and this is a perfect top for accentuating the good and masking the negative. i purchased the pink color and it is a gorgeous peachy- pink, a much deeper color than what is portra"&amp;"yed in the picture. i found it true to size. typically i wear a medium or large, depending on the structure and the medium fit well. a little more fitted on top and looser around the waist. i came back to buy another in the ivory but alas, it is")</f>
        <v>Love this tunic! i am a curvy gal (with a few extra 'curves' in the middle) and this is a perfect top for accentuating the good and masking the negative. i purchased the pink color and it is a gorgeous peachy- pink, a much deeper color than what is portrayed in the picture. i found it true to size. typically i wear a medium or large, depending on the structure and the medium fit well. a little more fitted on top and looser around the waist. i came back to buy another in the ivory but alas, it is</v>
      </c>
      <c r="F139" s="8">
        <f>IFERROR(__xludf.DUMMYFUNCTION("""COMPUTED_VALUE"""),5.0)</f>
        <v>5</v>
      </c>
      <c r="G139" s="8">
        <f>IFERROR(__xludf.DUMMYFUNCTION("""COMPUTED_VALUE"""),1.0)</f>
        <v>1</v>
      </c>
      <c r="H139" s="8">
        <f>IFERROR(__xludf.DUMMYFUNCTION("""COMPUTED_VALUE"""),3.0)</f>
        <v>3</v>
      </c>
      <c r="I139" s="8" t="str">
        <f>IFERROR(__xludf.DUMMYFUNCTION("""COMPUTED_VALUE"""),"General")</f>
        <v>General</v>
      </c>
      <c r="J139" s="8" t="str">
        <f>IFERROR(__xludf.DUMMYFUNCTION("""COMPUTED_VALUE"""),"Tops")</f>
        <v>Tops</v>
      </c>
      <c r="K139" s="8" t="str">
        <f>IFERROR(__xludf.DUMMYFUNCTION("""COMPUTED_VALUE"""),"Fine gauge")</f>
        <v>Fine gauge</v>
      </c>
    </row>
    <row r="140">
      <c r="A140" s="8">
        <f>IFERROR(__xludf.DUMMYFUNCTION("""COMPUTED_VALUE"""),180.0)</f>
        <v>180</v>
      </c>
      <c r="B140" s="8">
        <f>IFERROR(__xludf.DUMMYFUNCTION("""COMPUTED_VALUE"""),895.0)</f>
        <v>895</v>
      </c>
      <c r="C140" s="8">
        <f>IFERROR(__xludf.DUMMYFUNCTION("""COMPUTED_VALUE"""),39.0)</f>
        <v>39</v>
      </c>
      <c r="D140" s="8" t="str">
        <f>IFERROR(__xludf.DUMMYFUNCTION("""COMPUTED_VALUE"""),"Need petite")</f>
        <v>Need petite</v>
      </c>
      <c r="E140" s="8" t="str">
        <f>IFERROR(__xludf.DUMMYFUNCTION("""COMPUTED_VALUE"""),"Loved the green color, the cut is super flattering, but alas, i do need hte petite, ti was a bit long and i looked a little lost. unfrotuantely, the color is sold out in petite :-(")</f>
        <v>Loved the green color, the cut is super flattering, but alas, i do need hte petite, ti was a bit long and i looked a little lost. unfrotuantely, the color is sold out in petite :-(</v>
      </c>
      <c r="F140" s="8">
        <f>IFERROR(__xludf.DUMMYFUNCTION("""COMPUTED_VALUE"""),5.0)</f>
        <v>5</v>
      </c>
      <c r="G140" s="8">
        <f>IFERROR(__xludf.DUMMYFUNCTION("""COMPUTED_VALUE"""),1.0)</f>
        <v>1</v>
      </c>
      <c r="H140" s="8">
        <f>IFERROR(__xludf.DUMMYFUNCTION("""COMPUTED_VALUE"""),1.0)</f>
        <v>1</v>
      </c>
      <c r="I140" s="8" t="str">
        <f>IFERROR(__xludf.DUMMYFUNCTION("""COMPUTED_VALUE"""),"General")</f>
        <v>General</v>
      </c>
      <c r="J140" s="8" t="str">
        <f>IFERROR(__xludf.DUMMYFUNCTION("""COMPUTED_VALUE"""),"Tops")</f>
        <v>Tops</v>
      </c>
      <c r="K140" s="8" t="str">
        <f>IFERROR(__xludf.DUMMYFUNCTION("""COMPUTED_VALUE"""),"Fine gauge")</f>
        <v>Fine gauge</v>
      </c>
    </row>
    <row r="141">
      <c r="A141" s="8">
        <f>IFERROR(__xludf.DUMMYFUNCTION("""COMPUTED_VALUE"""),181.0)</f>
        <v>181</v>
      </c>
      <c r="B141" s="8">
        <f>IFERROR(__xludf.DUMMYFUNCTION("""COMPUTED_VALUE"""),1020.0)</f>
        <v>1020</v>
      </c>
      <c r="C141" s="8">
        <f>IFERROR(__xludf.DUMMYFUNCTION("""COMPUTED_VALUE"""),39.0)</f>
        <v>39</v>
      </c>
      <c r="D141" s="8" t="str">
        <f>IFERROR(__xludf.DUMMYFUNCTION("""COMPUTED_VALUE"""),"Fun")</f>
        <v>Fun</v>
      </c>
      <c r="E141" s="8" t="str">
        <f>IFERROR(__xludf.DUMMYFUNCTION("""COMPUTED_VALUE"""),"But i thought this was lace or with texture, it is more a pattern on regular fabric.
colors are nice, there are subtle flowers with bright colors in the pattern, the fit is nice, the 0p fit snugly enough, i don't think there was much give but that was co"&amp;"mfortable enough. petite length did end below the knee as shown. i think it would have been nicer shorter but don't want to have to pay extra to ehm so i left that one behind...maybe on sale :-)")</f>
        <v>But i thought this was lace or with texture, it is more a pattern on regular fabric.
colors are nice, there are subtle flowers with bright colors in the pattern, the fit is nice, the 0p fit snugly enough, i don't think there was much give but that was comfortable enough. petite length did end below the knee as shown. i think it would have been nicer shorter but don't want to have to pay extra to ehm so i left that one behind...maybe on sale :-)</v>
      </c>
      <c r="F141" s="8">
        <f>IFERROR(__xludf.DUMMYFUNCTION("""COMPUTED_VALUE"""),4.0)</f>
        <v>4</v>
      </c>
      <c r="G141" s="8">
        <f>IFERROR(__xludf.DUMMYFUNCTION("""COMPUTED_VALUE"""),1.0)</f>
        <v>1</v>
      </c>
      <c r="H141" s="8">
        <f>IFERROR(__xludf.DUMMYFUNCTION("""COMPUTED_VALUE"""),1.0)</f>
        <v>1</v>
      </c>
      <c r="I141" s="8" t="str">
        <f>IFERROR(__xludf.DUMMYFUNCTION("""COMPUTED_VALUE"""),"General Petite")</f>
        <v>General Petite</v>
      </c>
      <c r="J141" s="8" t="str">
        <f>IFERROR(__xludf.DUMMYFUNCTION("""COMPUTED_VALUE"""),"Bottoms")</f>
        <v>Bottoms</v>
      </c>
      <c r="K141" s="8" t="str">
        <f>IFERROR(__xludf.DUMMYFUNCTION("""COMPUTED_VALUE"""),"Skirts")</f>
        <v>Skirts</v>
      </c>
    </row>
    <row r="142">
      <c r="A142" s="8">
        <f>IFERROR(__xludf.DUMMYFUNCTION("""COMPUTED_VALUE"""),182.0)</f>
        <v>182</v>
      </c>
      <c r="B142" s="8">
        <f>IFERROR(__xludf.DUMMYFUNCTION("""COMPUTED_VALUE"""),895.0)</f>
        <v>895</v>
      </c>
      <c r="C142" s="8">
        <f>IFERROR(__xludf.DUMMYFUNCTION("""COMPUTED_VALUE"""),50.0)</f>
        <v>50</v>
      </c>
      <c r="D142" s="8" t="str">
        <f>IFERROR(__xludf.DUMMYFUNCTION("""COMPUTED_VALUE"""),"Completes so many outfits!")</f>
        <v>Completes so many outfits!</v>
      </c>
      <c r="E142" s="8" t="str">
        <f>IFERROR(__xludf.DUMMYFUNCTION("""COMPUTED_VALUE"""),"I like this sweater so much i just bought it in a second color! the pleats make the sweater conform to my shape just enough to be flattering. i wore it over three different dresses this week that might have felt too bare for work or cooler weather. i live"&amp;" in a hot climate so this is the right weight for our cooler months. the metallic threads give it a little bit of flair and the grey color goes with everything. i'm 5'7"" size 10-12 and the large fit just right.")</f>
        <v>I like this sweater so much i just bought it in a second color! the pleats make the sweater conform to my shape just enough to be flattering. i wore it over three different dresses this week that might have felt too bare for work or cooler weather. i live in a hot climate so this is the right weight for our cooler months. the metallic threads give it a little bit of flair and the grey color goes with everything. i'm 5'7" size 10-12 and the large fit just right.</v>
      </c>
      <c r="F142" s="8">
        <f>IFERROR(__xludf.DUMMYFUNCTION("""COMPUTED_VALUE"""),5.0)</f>
        <v>5</v>
      </c>
      <c r="G142" s="8">
        <f>IFERROR(__xludf.DUMMYFUNCTION("""COMPUTED_VALUE"""),1.0)</f>
        <v>1</v>
      </c>
      <c r="H142" s="8">
        <f>IFERROR(__xludf.DUMMYFUNCTION("""COMPUTED_VALUE"""),5.0)</f>
        <v>5</v>
      </c>
      <c r="I142" s="8" t="str">
        <f>IFERROR(__xludf.DUMMYFUNCTION("""COMPUTED_VALUE"""),"General")</f>
        <v>General</v>
      </c>
      <c r="J142" s="8" t="str">
        <f>IFERROR(__xludf.DUMMYFUNCTION("""COMPUTED_VALUE"""),"Tops")</f>
        <v>Tops</v>
      </c>
      <c r="K142" s="8" t="str">
        <f>IFERROR(__xludf.DUMMYFUNCTION("""COMPUTED_VALUE"""),"Fine gauge")</f>
        <v>Fine gauge</v>
      </c>
    </row>
    <row r="143">
      <c r="A143" s="8">
        <f>IFERROR(__xludf.DUMMYFUNCTION("""COMPUTED_VALUE"""),183.0)</f>
        <v>183</v>
      </c>
      <c r="B143" s="8">
        <f>IFERROR(__xludf.DUMMYFUNCTION("""COMPUTED_VALUE"""),1020.0)</f>
        <v>1020</v>
      </c>
      <c r="C143" s="8">
        <f>IFERROR(__xludf.DUMMYFUNCTION("""COMPUTED_VALUE"""),27.0)</f>
        <v>27</v>
      </c>
      <c r="D143" s="8" t="str">
        <f>IFERROR(__xludf.DUMMYFUNCTION("""COMPUTED_VALUE"""),"Size up!")</f>
        <v>Size up!</v>
      </c>
      <c r="E143" s="8" t="str">
        <f>IFERROR(__xludf.DUMMYFUNCTION("""COMPUTED_VALUE"""),"Beautiful color,, great quality, and great fit if you size up! i learned my lesson with previous purchases and sized up when i read it runs small. i usually wear a 0/2 and i took a risk and went for the 4. it fits perfectly. i have a 25 in waist.")</f>
        <v>Beautiful color,, great quality, and great fit if you size up! i learned my lesson with previous purchases and sized up when i read it runs small. i usually wear a 0/2 and i took a risk and went for the 4. it fits perfectly. i have a 25 in waist.</v>
      </c>
      <c r="F143" s="8">
        <f>IFERROR(__xludf.DUMMYFUNCTION("""COMPUTED_VALUE"""),4.0)</f>
        <v>4</v>
      </c>
      <c r="G143" s="8">
        <f>IFERROR(__xludf.DUMMYFUNCTION("""COMPUTED_VALUE"""),1.0)</f>
        <v>1</v>
      </c>
      <c r="H143" s="8">
        <f>IFERROR(__xludf.DUMMYFUNCTION("""COMPUTED_VALUE"""),1.0)</f>
        <v>1</v>
      </c>
      <c r="I143" s="8" t="str">
        <f>IFERROR(__xludf.DUMMYFUNCTION("""COMPUTED_VALUE"""),"General Petite")</f>
        <v>General Petite</v>
      </c>
      <c r="J143" s="8" t="str">
        <f>IFERROR(__xludf.DUMMYFUNCTION("""COMPUTED_VALUE"""),"Bottoms")</f>
        <v>Bottoms</v>
      </c>
      <c r="K143" s="8" t="str">
        <f>IFERROR(__xludf.DUMMYFUNCTION("""COMPUTED_VALUE"""),"Skirts")</f>
        <v>Skirts</v>
      </c>
    </row>
    <row r="144">
      <c r="A144" s="8">
        <f>IFERROR(__xludf.DUMMYFUNCTION("""COMPUTED_VALUE"""),186.0)</f>
        <v>186</v>
      </c>
      <c r="B144" s="8">
        <f>IFERROR(__xludf.DUMMYFUNCTION("""COMPUTED_VALUE"""),1020.0)</f>
        <v>1020</v>
      </c>
      <c r="C144" s="8">
        <f>IFERROR(__xludf.DUMMYFUNCTION("""COMPUTED_VALUE"""),34.0)</f>
        <v>34</v>
      </c>
      <c r="D144" s="8" t="str">
        <f>IFERROR(__xludf.DUMMYFUNCTION("""COMPUTED_VALUE"""),"Nice color, love the snap buttons")</f>
        <v>Nice color, love the snap buttons</v>
      </c>
      <c r="E144" s="8" t="str">
        <f>IFERROR(__xludf.DUMMYFUNCTION("""COMPUTED_VALUE"""),"This skirt is a great length and nice piece for fall/winter. i love the color. it fits like a high waisted skirt would which is why i purchased the next size up.")</f>
        <v>This skirt is a great length and nice piece for fall/winter. i love the color. it fits like a high waisted skirt would which is why i purchased the next size up.</v>
      </c>
      <c r="F144" s="8">
        <f>IFERROR(__xludf.DUMMYFUNCTION("""COMPUTED_VALUE"""),4.0)</f>
        <v>4</v>
      </c>
      <c r="G144" s="8">
        <f>IFERROR(__xludf.DUMMYFUNCTION("""COMPUTED_VALUE"""),1.0)</f>
        <v>1</v>
      </c>
      <c r="H144" s="8">
        <f>IFERROR(__xludf.DUMMYFUNCTION("""COMPUTED_VALUE"""),0.0)</f>
        <v>0</v>
      </c>
      <c r="I144" s="8" t="str">
        <f>IFERROR(__xludf.DUMMYFUNCTION("""COMPUTED_VALUE"""),"General Petite")</f>
        <v>General Petite</v>
      </c>
      <c r="J144" s="8" t="str">
        <f>IFERROR(__xludf.DUMMYFUNCTION("""COMPUTED_VALUE"""),"Bottoms")</f>
        <v>Bottoms</v>
      </c>
      <c r="K144" s="8" t="str">
        <f>IFERROR(__xludf.DUMMYFUNCTION("""COMPUTED_VALUE"""),"Skirts")</f>
        <v>Skirts</v>
      </c>
    </row>
    <row r="145">
      <c r="A145" s="8">
        <f>IFERROR(__xludf.DUMMYFUNCTION("""COMPUTED_VALUE"""),187.0)</f>
        <v>187</v>
      </c>
      <c r="B145" s="8">
        <f>IFERROR(__xludf.DUMMYFUNCTION("""COMPUTED_VALUE"""),596.0)</f>
        <v>596</v>
      </c>
      <c r="C145" s="8">
        <f>IFERROR(__xludf.DUMMYFUNCTION("""COMPUTED_VALUE"""),41.0)</f>
        <v>41</v>
      </c>
      <c r="D145" s="8" t="str">
        <f>IFERROR(__xludf.DUMMYFUNCTION("""COMPUTED_VALUE"""),"Modern comfort")</f>
        <v>Modern comfort</v>
      </c>
      <c r="E145" s="8" t="str">
        <f>IFERROR(__xludf.DUMMYFUNCTION("""COMPUTED_VALUE"""),"This easel caftan is simply amazing! the silhouette fits all sizes and shapes while providing a unique dress.")</f>
        <v>This easel caftan is simply amazing! the silhouette fits all sizes and shapes while providing a unique dress.</v>
      </c>
      <c r="F145" s="8">
        <f>IFERROR(__xludf.DUMMYFUNCTION("""COMPUTED_VALUE"""),5.0)</f>
        <v>5</v>
      </c>
      <c r="G145" s="8">
        <f>IFERROR(__xludf.DUMMYFUNCTION("""COMPUTED_VALUE"""),1.0)</f>
        <v>1</v>
      </c>
      <c r="H145" s="8">
        <f>IFERROR(__xludf.DUMMYFUNCTION("""COMPUTED_VALUE"""),2.0)</f>
        <v>2</v>
      </c>
      <c r="I145" s="8" t="str">
        <f>IFERROR(__xludf.DUMMYFUNCTION("""COMPUTED_VALUE"""),"General")</f>
        <v>General</v>
      </c>
      <c r="J145" s="8" t="str">
        <f>IFERROR(__xludf.DUMMYFUNCTION("""COMPUTED_VALUE"""),"Trend")</f>
        <v>Trend</v>
      </c>
      <c r="K145" s="8" t="str">
        <f>IFERROR(__xludf.DUMMYFUNCTION("""COMPUTED_VALUE"""),"Trend")</f>
        <v>Trend</v>
      </c>
    </row>
    <row r="146">
      <c r="A146" s="8">
        <f>IFERROR(__xludf.DUMMYFUNCTION("""COMPUTED_VALUE"""),188.0)</f>
        <v>188</v>
      </c>
      <c r="B146" s="8">
        <f>IFERROR(__xludf.DUMMYFUNCTION("""COMPUTED_VALUE"""),1094.0)</f>
        <v>1094</v>
      </c>
      <c r="C146" s="8">
        <f>IFERROR(__xludf.DUMMYFUNCTION("""COMPUTED_VALUE"""),54.0)</f>
        <v>54</v>
      </c>
      <c r="D146" s="8" t="str">
        <f>IFERROR(__xludf.DUMMYFUNCTION("""COMPUTED_VALUE"""),"It's gorgeous, but...")</f>
        <v>It's gorgeous, but...</v>
      </c>
      <c r="E146" s="8" t="str">
        <f>IFERROR(__xludf.DUMMYFUNCTION("""COMPUTED_VALUE"""),"Just came today: the print is gorgeous.  very bohemian. it's a dressier dress with the chiffon.  on the con side, the chiffon is very delicate, snagged easily while trying on. there's raw edges on the waistband, needed trimming fresh out of the package.  "&amp;"sz 10 fit in the waist, too small for 36d bust; sz 12 fits bust but is big in the waist.  sz 10 ankle length for 5'7"", 12 hits the floor.  haven't decided if i'll keep the 12 and try to alter.")</f>
        <v>Just came today: the print is gorgeous.  very bohemian. it's a dressier dress with the chiffon.  on the con side, the chiffon is very delicate, snagged easily while trying on. there's raw edges on the waistband, needed trimming fresh out of the package.  sz 10 fit in the waist, too small for 36d bust; sz 12 fits bust but is big in the waist.  sz 10 ankle length for 5'7", 12 hits the floor.  haven't decided if i'll keep the 12 and try to alter.</v>
      </c>
      <c r="F146" s="8">
        <f>IFERROR(__xludf.DUMMYFUNCTION("""COMPUTED_VALUE"""),4.0)</f>
        <v>4</v>
      </c>
      <c r="G146" s="8">
        <f>IFERROR(__xludf.DUMMYFUNCTION("""COMPUTED_VALUE"""),1.0)</f>
        <v>1</v>
      </c>
      <c r="H146" s="8">
        <f>IFERROR(__xludf.DUMMYFUNCTION("""COMPUTED_VALUE"""),0.0)</f>
        <v>0</v>
      </c>
      <c r="I146" s="8" t="str">
        <f>IFERROR(__xludf.DUMMYFUNCTION("""COMPUTED_VALUE"""),"General Petite")</f>
        <v>General Petite</v>
      </c>
      <c r="J146" s="8" t="str">
        <f>IFERROR(__xludf.DUMMYFUNCTION("""COMPUTED_VALUE"""),"Dresses")</f>
        <v>Dresses</v>
      </c>
      <c r="K146" s="8" t="str">
        <f>IFERROR(__xludf.DUMMYFUNCTION("""COMPUTED_VALUE"""),"Dresses")</f>
        <v>Dresses</v>
      </c>
    </row>
    <row r="147">
      <c r="A147" s="8">
        <f>IFERROR(__xludf.DUMMYFUNCTION("""COMPUTED_VALUE"""),189.0)</f>
        <v>189</v>
      </c>
      <c r="B147" s="8">
        <f>IFERROR(__xludf.DUMMYFUNCTION("""COMPUTED_VALUE"""),1020.0)</f>
        <v>1020</v>
      </c>
      <c r="C147" s="8">
        <f>IFERROR(__xludf.DUMMYFUNCTION("""COMPUTED_VALUE"""),41.0)</f>
        <v>41</v>
      </c>
      <c r="D147" s="8" t="str">
        <f>IFERROR(__xludf.DUMMYFUNCTION("""COMPUTED_VALUE"""),"Runs very small")</f>
        <v>Runs very small</v>
      </c>
      <c r="E147" s="8" t="str">
        <f>IFERROR(__xludf.DUMMYFUNCTION("""COMPUTED_VALUE"""),"My waist measures 28"" and the size 4 is a snug fit. i normally buy size 2 in retailer skirts, but the 2 was unbearably tight. cute skirt though! i like that it's machine washable, and the quality looks good.")</f>
        <v>My waist measures 28" and the size 4 is a snug fit. i normally buy size 2 in retailer skirts, but the 2 was unbearably tight. cute skirt though! i like that it's machine washable, and the quality looks good.</v>
      </c>
      <c r="F147" s="8">
        <f>IFERROR(__xludf.DUMMYFUNCTION("""COMPUTED_VALUE"""),4.0)</f>
        <v>4</v>
      </c>
      <c r="G147" s="8">
        <f>IFERROR(__xludf.DUMMYFUNCTION("""COMPUTED_VALUE"""),1.0)</f>
        <v>1</v>
      </c>
      <c r="H147" s="8">
        <f>IFERROR(__xludf.DUMMYFUNCTION("""COMPUTED_VALUE"""),4.0)</f>
        <v>4</v>
      </c>
      <c r="I147" s="8" t="str">
        <f>IFERROR(__xludf.DUMMYFUNCTION("""COMPUTED_VALUE"""),"General Petite")</f>
        <v>General Petite</v>
      </c>
      <c r="J147" s="8" t="str">
        <f>IFERROR(__xludf.DUMMYFUNCTION("""COMPUTED_VALUE"""),"Bottoms")</f>
        <v>Bottoms</v>
      </c>
      <c r="K147" s="8" t="str">
        <f>IFERROR(__xludf.DUMMYFUNCTION("""COMPUTED_VALUE"""),"Skirts")</f>
        <v>Skirts</v>
      </c>
    </row>
    <row r="148">
      <c r="A148" s="8">
        <f>IFERROR(__xludf.DUMMYFUNCTION("""COMPUTED_VALUE"""),190.0)</f>
        <v>190</v>
      </c>
      <c r="B148" s="8">
        <f>IFERROR(__xludf.DUMMYFUNCTION("""COMPUTED_VALUE"""),895.0)</f>
        <v>895</v>
      </c>
      <c r="C148" s="8">
        <f>IFERROR(__xludf.DUMMYFUNCTION("""COMPUTED_VALUE"""),47.0)</f>
        <v>47</v>
      </c>
      <c r="D148" s="8" t="str">
        <f>IFERROR(__xludf.DUMMYFUNCTION("""COMPUTED_VALUE"""),"Pretty")</f>
        <v>Pretty</v>
      </c>
      <c r="E148" s="8" t="str">
        <f>IFERROR(__xludf.DUMMYFUNCTION("""COMPUTED_VALUE"""),"I love the fabric and color (i bought the green one). my only complaint is that the base is wider than the picture shows. it looks more fitted on the model. it is more of an a shape (significantly wider at the hips.)")</f>
        <v>I love the fabric and color (i bought the green one). my only complaint is that the base is wider than the picture shows. it looks more fitted on the model. it is more of an a shape (significantly wider at the hips.)</v>
      </c>
      <c r="F148" s="8">
        <f>IFERROR(__xludf.DUMMYFUNCTION("""COMPUTED_VALUE"""),4.0)</f>
        <v>4</v>
      </c>
      <c r="G148" s="8">
        <f>IFERROR(__xludf.DUMMYFUNCTION("""COMPUTED_VALUE"""),1.0)</f>
        <v>1</v>
      </c>
      <c r="H148" s="8">
        <f>IFERROR(__xludf.DUMMYFUNCTION("""COMPUTED_VALUE"""),0.0)</f>
        <v>0</v>
      </c>
      <c r="I148" s="8" t="str">
        <f>IFERROR(__xludf.DUMMYFUNCTION("""COMPUTED_VALUE"""),"General Petite")</f>
        <v>General Petite</v>
      </c>
      <c r="J148" s="8" t="str">
        <f>IFERROR(__xludf.DUMMYFUNCTION("""COMPUTED_VALUE"""),"Tops")</f>
        <v>Tops</v>
      </c>
      <c r="K148" s="8" t="str">
        <f>IFERROR(__xludf.DUMMYFUNCTION("""COMPUTED_VALUE"""),"Fine gauge")</f>
        <v>Fine gauge</v>
      </c>
    </row>
    <row r="149">
      <c r="A149" s="8">
        <f>IFERROR(__xludf.DUMMYFUNCTION("""COMPUTED_VALUE"""),192.0)</f>
        <v>192</v>
      </c>
      <c r="B149" s="8">
        <f>IFERROR(__xludf.DUMMYFUNCTION("""COMPUTED_VALUE"""),895.0)</f>
        <v>895</v>
      </c>
      <c r="C149" s="8">
        <f>IFERROR(__xludf.DUMMYFUNCTION("""COMPUTED_VALUE"""),46.0)</f>
        <v>46</v>
      </c>
      <c r="D149" s="8"/>
      <c r="E149" s="8"/>
      <c r="F149" s="8">
        <f>IFERROR(__xludf.DUMMYFUNCTION("""COMPUTED_VALUE"""),5.0)</f>
        <v>5</v>
      </c>
      <c r="G149" s="8">
        <f>IFERROR(__xludf.DUMMYFUNCTION("""COMPUTED_VALUE"""),1.0)</f>
        <v>1</v>
      </c>
      <c r="H149" s="8">
        <f>IFERROR(__xludf.DUMMYFUNCTION("""COMPUTED_VALUE"""),0.0)</f>
        <v>0</v>
      </c>
      <c r="I149" s="8" t="str">
        <f>IFERROR(__xludf.DUMMYFUNCTION("""COMPUTED_VALUE"""),"General Petite")</f>
        <v>General Petite</v>
      </c>
      <c r="J149" s="8" t="str">
        <f>IFERROR(__xludf.DUMMYFUNCTION("""COMPUTED_VALUE"""),"Tops")</f>
        <v>Tops</v>
      </c>
      <c r="K149" s="8" t="str">
        <f>IFERROR(__xludf.DUMMYFUNCTION("""COMPUTED_VALUE"""),"Fine gauge")</f>
        <v>Fine gauge</v>
      </c>
    </row>
    <row r="150">
      <c r="A150" s="8">
        <f>IFERROR(__xludf.DUMMYFUNCTION("""COMPUTED_VALUE"""),193.0)</f>
        <v>193</v>
      </c>
      <c r="B150" s="8">
        <f>IFERROR(__xludf.DUMMYFUNCTION("""COMPUTED_VALUE"""),1020.0)</f>
        <v>1020</v>
      </c>
      <c r="C150" s="8">
        <f>IFERROR(__xludf.DUMMYFUNCTION("""COMPUTED_VALUE"""),22.0)</f>
        <v>22</v>
      </c>
      <c r="D150" s="8"/>
      <c r="E150" s="8" t="str">
        <f>IFERROR(__xludf.DUMMYFUNCTION("""COMPUTED_VALUE"""),"I love the color of this skirt, and the fabric is wonderful. it was a bit longer than anticipated, but fit well.")</f>
        <v>I love the color of this skirt, and the fabric is wonderful. it was a bit longer than anticipated, but fit well.</v>
      </c>
      <c r="F150" s="8">
        <f>IFERROR(__xludf.DUMMYFUNCTION("""COMPUTED_VALUE"""),5.0)</f>
        <v>5</v>
      </c>
      <c r="G150" s="8">
        <f>IFERROR(__xludf.DUMMYFUNCTION("""COMPUTED_VALUE"""),1.0)</f>
        <v>1</v>
      </c>
      <c r="H150" s="8">
        <f>IFERROR(__xludf.DUMMYFUNCTION("""COMPUTED_VALUE"""),1.0)</f>
        <v>1</v>
      </c>
      <c r="I150" s="8" t="str">
        <f>IFERROR(__xludf.DUMMYFUNCTION("""COMPUTED_VALUE"""),"General Petite")</f>
        <v>General Petite</v>
      </c>
      <c r="J150" s="8" t="str">
        <f>IFERROR(__xludf.DUMMYFUNCTION("""COMPUTED_VALUE"""),"Bottoms")</f>
        <v>Bottoms</v>
      </c>
      <c r="K150" s="8" t="str">
        <f>IFERROR(__xludf.DUMMYFUNCTION("""COMPUTED_VALUE"""),"Skirts")</f>
        <v>Skirts</v>
      </c>
    </row>
    <row r="151">
      <c r="A151" s="8">
        <f>IFERROR(__xludf.DUMMYFUNCTION("""COMPUTED_VALUE"""),195.0)</f>
        <v>195</v>
      </c>
      <c r="B151" s="8">
        <f>IFERROR(__xludf.DUMMYFUNCTION("""COMPUTED_VALUE"""),895.0)</f>
        <v>895</v>
      </c>
      <c r="C151" s="8">
        <f>IFERROR(__xludf.DUMMYFUNCTION("""COMPUTED_VALUE"""),62.0)</f>
        <v>62</v>
      </c>
      <c r="D151" s="8" t="str">
        <f>IFERROR(__xludf.DUMMYFUNCTION("""COMPUTED_VALUE"""),"Lovely and feminine")</f>
        <v>Lovely and feminine</v>
      </c>
      <c r="E151" s="8" t="str">
        <f>IFERROR(__xludf.DUMMYFUNCTION("""COMPUTED_VALUE"""),"Finally a ""swing top"" that doesn't look like a sack on me! i've been wanting to partake of this current style, but everything i've tried so far just looks ""dumpy"" on me. not this top -- it is very feminine and flattering. i am 5'7"" 118 lbs and have a"&amp;" small waist -- and although this is a ""swing"" style, it still shows my waist and doesn't overpower me. it is also a lovely fabric -- especially in the soft pink which i got. i'm thinking of going back for more colors!")</f>
        <v>Finally a "swing top" that doesn't look like a sack on me! i've been wanting to partake of this current style, but everything i've tried so far just looks "dumpy" on me. not this top -- it is very feminine and flattering. i am 5'7" 118 lbs and have a small waist -- and although this is a "swing" style, it still shows my waist and doesn't overpower me. it is also a lovely fabric -- especially in the soft pink which i got. i'm thinking of going back for more colors!</v>
      </c>
      <c r="F151" s="8">
        <f>IFERROR(__xludf.DUMMYFUNCTION("""COMPUTED_VALUE"""),5.0)</f>
        <v>5</v>
      </c>
      <c r="G151" s="8">
        <f>IFERROR(__xludf.DUMMYFUNCTION("""COMPUTED_VALUE"""),1.0)</f>
        <v>1</v>
      </c>
      <c r="H151" s="8">
        <f>IFERROR(__xludf.DUMMYFUNCTION("""COMPUTED_VALUE"""),9.0)</f>
        <v>9</v>
      </c>
      <c r="I151" s="8" t="str">
        <f>IFERROR(__xludf.DUMMYFUNCTION("""COMPUTED_VALUE"""),"General Petite")</f>
        <v>General Petite</v>
      </c>
      <c r="J151" s="8" t="str">
        <f>IFERROR(__xludf.DUMMYFUNCTION("""COMPUTED_VALUE"""),"Tops")</f>
        <v>Tops</v>
      </c>
      <c r="K151" s="8" t="str">
        <f>IFERROR(__xludf.DUMMYFUNCTION("""COMPUTED_VALUE"""),"Fine gauge")</f>
        <v>Fine gauge</v>
      </c>
    </row>
    <row r="152">
      <c r="A152" s="8">
        <f>IFERROR(__xludf.DUMMYFUNCTION("""COMPUTED_VALUE"""),196.0)</f>
        <v>196</v>
      </c>
      <c r="B152" s="8">
        <f>IFERROR(__xludf.DUMMYFUNCTION("""COMPUTED_VALUE"""),862.0)</f>
        <v>862</v>
      </c>
      <c r="C152" s="8">
        <f>IFERROR(__xludf.DUMMYFUNCTION("""COMPUTED_VALUE"""),26.0)</f>
        <v>26</v>
      </c>
      <c r="D152" s="8" t="str">
        <f>IFERROR(__xludf.DUMMYFUNCTION("""COMPUTED_VALUE"""),"A great piece")</f>
        <v>A great piece</v>
      </c>
      <c r="E152" s="8" t="str">
        <f>IFERROR(__xludf.DUMMYFUNCTION("""COMPUTED_VALUE"""),"I bought this shirt in the neutral and white and love it. so many people compliment it. i usually pair it with white pants and cute wedges to dress it up (obviously with a statement necklace too). but the greatest thing about this shirt is the fact that y"&amp;"ou can also dress it down. the material is fabulous but i have not washed it yet so i am not sure if it is going to shrink (which i hope it doesn't because it is one of my favorite pieces). 
unlike the other reviewer i did not think that the")</f>
        <v>I bought this shirt in the neutral and white and love it. so many people compliment it. i usually pair it with white pants and cute wedges to dress it up (obviously with a statement necklace too). but the greatest thing about this shirt is the fact that you can also dress it down. the material is fabulous but i have not washed it yet so i am not sure if it is going to shrink (which i hope it doesn't because it is one of my favorite pieces). 
unlike the other reviewer i did not think that the</v>
      </c>
      <c r="F152" s="8">
        <f>IFERROR(__xludf.DUMMYFUNCTION("""COMPUTED_VALUE"""),5.0)</f>
        <v>5</v>
      </c>
      <c r="G152" s="8">
        <f>IFERROR(__xludf.DUMMYFUNCTION("""COMPUTED_VALUE"""),1.0)</f>
        <v>1</v>
      </c>
      <c r="H152" s="8">
        <f>IFERROR(__xludf.DUMMYFUNCTION("""COMPUTED_VALUE"""),2.0)</f>
        <v>2</v>
      </c>
      <c r="I152" s="8" t="str">
        <f>IFERROR(__xludf.DUMMYFUNCTION("""COMPUTED_VALUE"""),"General Petite")</f>
        <v>General Petite</v>
      </c>
      <c r="J152" s="8" t="str">
        <f>IFERROR(__xludf.DUMMYFUNCTION("""COMPUTED_VALUE"""),"Tops")</f>
        <v>Tops</v>
      </c>
      <c r="K152" s="8" t="str">
        <f>IFERROR(__xludf.DUMMYFUNCTION("""COMPUTED_VALUE"""),"Knits")</f>
        <v>Knits</v>
      </c>
    </row>
    <row r="153">
      <c r="A153" s="8">
        <f>IFERROR(__xludf.DUMMYFUNCTION("""COMPUTED_VALUE"""),197.0)</f>
        <v>197</v>
      </c>
      <c r="B153" s="8">
        <f>IFERROR(__xludf.DUMMYFUNCTION("""COMPUTED_VALUE"""),1020.0)</f>
        <v>1020</v>
      </c>
      <c r="C153" s="8">
        <f>IFERROR(__xludf.DUMMYFUNCTION("""COMPUTED_VALUE"""),38.0)</f>
        <v>38</v>
      </c>
      <c r="D153" s="8" t="str">
        <f>IFERROR(__xludf.DUMMYFUNCTION("""COMPUTED_VALUE"""),"Love everything about this skirt")</f>
        <v>Love everything about this skirt</v>
      </c>
      <c r="E153" s="8" t="str">
        <f>IFERROR(__xludf.DUMMYFUNCTION("""COMPUTED_VALUE"""),"Unlike the other reviewers, i did not have any problem with the sizing, fit or length of this skirt. it is a midi skirt so i think it's suppose to be a little bit longer?? for me it fit true to size. for reference i am 5'8"", 135 pounds and the size 6 fit"&amp;" perfectly. i think the color is beautiful and the quality is good.")</f>
        <v>Unlike the other reviewers, i did not have any problem with the sizing, fit or length of this skirt. it is a midi skirt so i think it's suppose to be a little bit longer?? for me it fit true to size. for reference i am 5'8", 135 pounds and the size 6 fit perfectly. i think the color is beautiful and the quality is good.</v>
      </c>
      <c r="F153" s="8">
        <f>IFERROR(__xludf.DUMMYFUNCTION("""COMPUTED_VALUE"""),5.0)</f>
        <v>5</v>
      </c>
      <c r="G153" s="8">
        <f>IFERROR(__xludf.DUMMYFUNCTION("""COMPUTED_VALUE"""),1.0)</f>
        <v>1</v>
      </c>
      <c r="H153" s="8">
        <f>IFERROR(__xludf.DUMMYFUNCTION("""COMPUTED_VALUE"""),3.0)</f>
        <v>3</v>
      </c>
      <c r="I153" s="8" t="str">
        <f>IFERROR(__xludf.DUMMYFUNCTION("""COMPUTED_VALUE"""),"General Petite")</f>
        <v>General Petite</v>
      </c>
      <c r="J153" s="8" t="str">
        <f>IFERROR(__xludf.DUMMYFUNCTION("""COMPUTED_VALUE"""),"Bottoms")</f>
        <v>Bottoms</v>
      </c>
      <c r="K153" s="8" t="str">
        <f>IFERROR(__xludf.DUMMYFUNCTION("""COMPUTED_VALUE"""),"Skirts")</f>
        <v>Skirts</v>
      </c>
    </row>
    <row r="154">
      <c r="A154" s="8">
        <f>IFERROR(__xludf.DUMMYFUNCTION("""COMPUTED_VALUE"""),198.0)</f>
        <v>198</v>
      </c>
      <c r="B154" s="8">
        <f>IFERROR(__xludf.DUMMYFUNCTION("""COMPUTED_VALUE"""),895.0)</f>
        <v>895</v>
      </c>
      <c r="C154" s="8">
        <f>IFERROR(__xludf.DUMMYFUNCTION("""COMPUTED_VALUE"""),53.0)</f>
        <v>53</v>
      </c>
      <c r="D154" s="8" t="str">
        <f>IFERROR(__xludf.DUMMYFUNCTION("""COMPUTED_VALUE"""),"Perfect comfy now top!")</f>
        <v>Perfect comfy now top!</v>
      </c>
      <c r="E154" s="8" t="str">
        <f>IFERROR(__xludf.DUMMYFUNCTION("""COMPUTED_VALUE"""),"For a now feel, that comfy and well made, this was a great choice!")</f>
        <v>For a now feel, that comfy and well made, this was a great choice!</v>
      </c>
      <c r="F154" s="8">
        <f>IFERROR(__xludf.DUMMYFUNCTION("""COMPUTED_VALUE"""),5.0)</f>
        <v>5</v>
      </c>
      <c r="G154" s="8">
        <f>IFERROR(__xludf.DUMMYFUNCTION("""COMPUTED_VALUE"""),1.0)</f>
        <v>1</v>
      </c>
      <c r="H154" s="8">
        <f>IFERROR(__xludf.DUMMYFUNCTION("""COMPUTED_VALUE"""),0.0)</f>
        <v>0</v>
      </c>
      <c r="I154" s="8" t="str">
        <f>IFERROR(__xludf.DUMMYFUNCTION("""COMPUTED_VALUE"""),"General")</f>
        <v>General</v>
      </c>
      <c r="J154" s="8" t="str">
        <f>IFERROR(__xludf.DUMMYFUNCTION("""COMPUTED_VALUE"""),"Tops")</f>
        <v>Tops</v>
      </c>
      <c r="K154" s="8" t="str">
        <f>IFERROR(__xludf.DUMMYFUNCTION("""COMPUTED_VALUE"""),"Fine gauge")</f>
        <v>Fine gauge</v>
      </c>
    </row>
    <row r="155">
      <c r="A155" s="8">
        <f>IFERROR(__xludf.DUMMYFUNCTION("""COMPUTED_VALUE"""),201.0)</f>
        <v>201</v>
      </c>
      <c r="B155" s="8">
        <f>IFERROR(__xludf.DUMMYFUNCTION("""COMPUTED_VALUE"""),895.0)</f>
        <v>895</v>
      </c>
      <c r="C155" s="8">
        <f>IFERROR(__xludf.DUMMYFUNCTION("""COMPUTED_VALUE"""),36.0)</f>
        <v>36</v>
      </c>
      <c r="D155" s="8"/>
      <c r="E155" s="8"/>
      <c r="F155" s="8">
        <f>IFERROR(__xludf.DUMMYFUNCTION("""COMPUTED_VALUE"""),5.0)</f>
        <v>5</v>
      </c>
      <c r="G155" s="8">
        <f>IFERROR(__xludf.DUMMYFUNCTION("""COMPUTED_VALUE"""),1.0)</f>
        <v>1</v>
      </c>
      <c r="H155" s="8">
        <f>IFERROR(__xludf.DUMMYFUNCTION("""COMPUTED_VALUE"""),0.0)</f>
        <v>0</v>
      </c>
      <c r="I155" s="8" t="str">
        <f>IFERROR(__xludf.DUMMYFUNCTION("""COMPUTED_VALUE"""),"General")</f>
        <v>General</v>
      </c>
      <c r="J155" s="8" t="str">
        <f>IFERROR(__xludf.DUMMYFUNCTION("""COMPUTED_VALUE"""),"Tops")</f>
        <v>Tops</v>
      </c>
      <c r="K155" s="8" t="str">
        <f>IFERROR(__xludf.DUMMYFUNCTION("""COMPUTED_VALUE"""),"Fine gauge")</f>
        <v>Fine gauge</v>
      </c>
    </row>
    <row r="156">
      <c r="A156" s="8">
        <f>IFERROR(__xludf.DUMMYFUNCTION("""COMPUTED_VALUE"""),203.0)</f>
        <v>203</v>
      </c>
      <c r="B156" s="8">
        <f>IFERROR(__xludf.DUMMYFUNCTION("""COMPUTED_VALUE"""),895.0)</f>
        <v>895</v>
      </c>
      <c r="C156" s="8">
        <f>IFERROR(__xludf.DUMMYFUNCTION("""COMPUTED_VALUE"""),63.0)</f>
        <v>63</v>
      </c>
      <c r="D156" s="8" t="str">
        <f>IFERROR(__xludf.DUMMYFUNCTION("""COMPUTED_VALUE"""),"Tunic doesn't look like i am covering up")</f>
        <v>Tunic doesn't look like i am covering up</v>
      </c>
      <c r="E156" s="8" t="str">
        <f>IFERROR(__xludf.DUMMYFUNCTION("""COMPUTED_VALUE"""),"Nice weight sweater that allows one to wear leggings or ultra skinny jeans without looking like i'm pregnant (not that there's anything wrong with that) very feminine and light weight enough to wear with a cami underneath and a pretty scarf.")</f>
        <v>Nice weight sweater that allows one to wear leggings or ultra skinny jeans without looking like i'm pregnant (not that there's anything wrong with that) very feminine and light weight enough to wear with a cami underneath and a pretty scarf.</v>
      </c>
      <c r="F156" s="8">
        <f>IFERROR(__xludf.DUMMYFUNCTION("""COMPUTED_VALUE"""),5.0)</f>
        <v>5</v>
      </c>
      <c r="G156" s="8">
        <f>IFERROR(__xludf.DUMMYFUNCTION("""COMPUTED_VALUE"""),1.0)</f>
        <v>1</v>
      </c>
      <c r="H156" s="8">
        <f>IFERROR(__xludf.DUMMYFUNCTION("""COMPUTED_VALUE"""),1.0)</f>
        <v>1</v>
      </c>
      <c r="I156" s="8" t="str">
        <f>IFERROR(__xludf.DUMMYFUNCTION("""COMPUTED_VALUE"""),"General")</f>
        <v>General</v>
      </c>
      <c r="J156" s="8" t="str">
        <f>IFERROR(__xludf.DUMMYFUNCTION("""COMPUTED_VALUE"""),"Tops")</f>
        <v>Tops</v>
      </c>
      <c r="K156" s="8" t="str">
        <f>IFERROR(__xludf.DUMMYFUNCTION("""COMPUTED_VALUE"""),"Fine gauge")</f>
        <v>Fine gauge</v>
      </c>
    </row>
    <row r="157">
      <c r="A157" s="8">
        <f>IFERROR(__xludf.DUMMYFUNCTION("""COMPUTED_VALUE"""),206.0)</f>
        <v>206</v>
      </c>
      <c r="B157" s="8">
        <f>IFERROR(__xludf.DUMMYFUNCTION("""COMPUTED_VALUE"""),862.0)</f>
        <v>862</v>
      </c>
      <c r="C157" s="8">
        <f>IFERROR(__xludf.DUMMYFUNCTION("""COMPUTED_VALUE"""),43.0)</f>
        <v>43</v>
      </c>
      <c r="D157" s="8"/>
      <c r="E157" s="8" t="str">
        <f>IFERROR(__xludf.DUMMYFUNCTION("""COMPUTED_VALUE"""),"Great shirt to wear with white pants and wedges. i'm a teacher and this is perfect for warmer months for school or for casual evening out. it runs big but falls in such a way that it doesn't make the wearer look big; it falls elegantly and in a flattering"&amp;" way.
great, versatile shirt.")</f>
        <v>Great shirt to wear with white pants and wedges. i'm a teacher and this is perfect for warmer months for school or for casual evening out. it runs big but falls in such a way that it doesn't make the wearer look big; it falls elegantly and in a flattering way.
great, versatile shirt.</v>
      </c>
      <c r="F157" s="8">
        <f>IFERROR(__xludf.DUMMYFUNCTION("""COMPUTED_VALUE"""),5.0)</f>
        <v>5</v>
      </c>
      <c r="G157" s="8">
        <f>IFERROR(__xludf.DUMMYFUNCTION("""COMPUTED_VALUE"""),1.0)</f>
        <v>1</v>
      </c>
      <c r="H157" s="8">
        <f>IFERROR(__xludf.DUMMYFUNCTION("""COMPUTED_VALUE"""),1.0)</f>
        <v>1</v>
      </c>
      <c r="I157" s="8" t="str">
        <f>IFERROR(__xludf.DUMMYFUNCTION("""COMPUTED_VALUE"""),"General")</f>
        <v>General</v>
      </c>
      <c r="J157" s="8" t="str">
        <f>IFERROR(__xludf.DUMMYFUNCTION("""COMPUTED_VALUE"""),"Tops")</f>
        <v>Tops</v>
      </c>
      <c r="K157" s="8" t="str">
        <f>IFERROR(__xludf.DUMMYFUNCTION("""COMPUTED_VALUE"""),"Knits")</f>
        <v>Knits</v>
      </c>
    </row>
    <row r="158">
      <c r="A158" s="8">
        <f>IFERROR(__xludf.DUMMYFUNCTION("""COMPUTED_VALUE"""),207.0)</f>
        <v>207</v>
      </c>
      <c r="B158" s="8">
        <f>IFERROR(__xludf.DUMMYFUNCTION("""COMPUTED_VALUE"""),1020.0)</f>
        <v>1020</v>
      </c>
      <c r="C158" s="8">
        <f>IFERROR(__xludf.DUMMYFUNCTION("""COMPUTED_VALUE"""),44.0)</f>
        <v>44</v>
      </c>
      <c r="D158" s="8" t="str">
        <f>IFERROR(__xludf.DUMMYFUNCTION("""COMPUTED_VALUE"""),"Skirt dimensions are off")</f>
        <v>Skirt dimensions are off</v>
      </c>
      <c r="E158" s="8" t="str">
        <f>IFERROR(__xludf.DUMMYFUNCTION("""COMPUTED_VALUE"""),"I loved this skirt on but just the other reviewers, it runs small in the waist throwing off the dimension of the skirt. i ended up getting the 0 despite the fact that it was tighter in the waist because the 2 at this length (with my height) and amount of "&amp;"material became overwhelming on me. it would have looked better in a slightly shorter cut as another reviewer stated as well.")</f>
        <v>I loved this skirt on but just the other reviewers, it runs small in the waist throwing off the dimension of the skirt. i ended up getting the 0 despite the fact that it was tighter in the waist because the 2 at this length (with my height) and amount of material became overwhelming on me. it would have looked better in a slightly shorter cut as another reviewer stated as well.</v>
      </c>
      <c r="F158" s="8">
        <f>IFERROR(__xludf.DUMMYFUNCTION("""COMPUTED_VALUE"""),4.0)</f>
        <v>4</v>
      </c>
      <c r="G158" s="8">
        <f>IFERROR(__xludf.DUMMYFUNCTION("""COMPUTED_VALUE"""),1.0)</f>
        <v>1</v>
      </c>
      <c r="H158" s="8">
        <f>IFERROR(__xludf.DUMMYFUNCTION("""COMPUTED_VALUE"""),1.0)</f>
        <v>1</v>
      </c>
      <c r="I158" s="8" t="str">
        <f>IFERROR(__xludf.DUMMYFUNCTION("""COMPUTED_VALUE"""),"General Petite")</f>
        <v>General Petite</v>
      </c>
      <c r="J158" s="8" t="str">
        <f>IFERROR(__xludf.DUMMYFUNCTION("""COMPUTED_VALUE"""),"Bottoms")</f>
        <v>Bottoms</v>
      </c>
      <c r="K158" s="8" t="str">
        <f>IFERROR(__xludf.DUMMYFUNCTION("""COMPUTED_VALUE"""),"Skirts")</f>
        <v>Skirts</v>
      </c>
    </row>
    <row r="159">
      <c r="A159" s="8">
        <f>IFERROR(__xludf.DUMMYFUNCTION("""COMPUTED_VALUE"""),208.0)</f>
        <v>208</v>
      </c>
      <c r="B159" s="8">
        <f>IFERROR(__xludf.DUMMYFUNCTION("""COMPUTED_VALUE"""),895.0)</f>
        <v>895</v>
      </c>
      <c r="C159" s="8">
        <f>IFERROR(__xludf.DUMMYFUNCTION("""COMPUTED_VALUE"""),40.0)</f>
        <v>40</v>
      </c>
      <c r="D159" s="8"/>
      <c r="E159" s="8" t="str">
        <f>IFERROR(__xludf.DUMMYFUNCTION("""COMPUTED_VALUE"""),"Gorgeous top, very nice. detail work, soft and flattering. i don't think its too full on the bottom at all - mine has a loose but pretty straight silhouette. word of warning: soft pink is not pink it is peach with some pink - and definitely not my color. "&amp;"if peach isn't flattering on you, heed this and other reviewers comments they are weighing correctly! i will have to either return for the white or dye the fabric myself to a more flattering shade, bummer that i thought the other reviewers might")</f>
        <v>Gorgeous top, very nice. detail work, soft and flattering. i don't think its too full on the bottom at all - mine has a loose but pretty straight silhouette. word of warning: soft pink is not pink it is peach with some pink - and definitely not my color. if peach isn't flattering on you, heed this and other reviewers comments they are weighing correctly! i will have to either return for the white or dye the fabric myself to a more flattering shade, bummer that i thought the other reviewers might</v>
      </c>
      <c r="F159" s="8">
        <f>IFERROR(__xludf.DUMMYFUNCTION("""COMPUTED_VALUE"""),5.0)</f>
        <v>5</v>
      </c>
      <c r="G159" s="8">
        <f>IFERROR(__xludf.DUMMYFUNCTION("""COMPUTED_VALUE"""),1.0)</f>
        <v>1</v>
      </c>
      <c r="H159" s="8">
        <f>IFERROR(__xludf.DUMMYFUNCTION("""COMPUTED_VALUE"""),0.0)</f>
        <v>0</v>
      </c>
      <c r="I159" s="8" t="str">
        <f>IFERROR(__xludf.DUMMYFUNCTION("""COMPUTED_VALUE"""),"General")</f>
        <v>General</v>
      </c>
      <c r="J159" s="8" t="str">
        <f>IFERROR(__xludf.DUMMYFUNCTION("""COMPUTED_VALUE"""),"Tops")</f>
        <v>Tops</v>
      </c>
      <c r="K159" s="8" t="str">
        <f>IFERROR(__xludf.DUMMYFUNCTION("""COMPUTED_VALUE"""),"Fine gauge")</f>
        <v>Fine gauge</v>
      </c>
    </row>
    <row r="160">
      <c r="A160" s="8">
        <f>IFERROR(__xludf.DUMMYFUNCTION("""COMPUTED_VALUE"""),210.0)</f>
        <v>210</v>
      </c>
      <c r="B160" s="8">
        <f>IFERROR(__xludf.DUMMYFUNCTION("""COMPUTED_VALUE"""),895.0)</f>
        <v>895</v>
      </c>
      <c r="C160" s="8">
        <f>IFERROR(__xludf.DUMMYFUNCTION("""COMPUTED_VALUE"""),54.0)</f>
        <v>54</v>
      </c>
      <c r="D160" s="8" t="str">
        <f>IFERROR(__xludf.DUMMYFUNCTION("""COMPUTED_VALUE"""),"Comfort &amp; style")</f>
        <v>Comfort &amp; style</v>
      </c>
      <c r="E160" s="8" t="str">
        <f>IFERROR(__xludf.DUMMYFUNCTION("""COMPUTED_VALUE"""),"I have already worn this several times. it is very flattering, lightweight, and easy to wear. dressy but also very soft and comfortable.")</f>
        <v>I have already worn this several times. it is very flattering, lightweight, and easy to wear. dressy but also very soft and comfortable.</v>
      </c>
      <c r="F160" s="8">
        <f>IFERROR(__xludf.DUMMYFUNCTION("""COMPUTED_VALUE"""),5.0)</f>
        <v>5</v>
      </c>
      <c r="G160" s="8">
        <f>IFERROR(__xludf.DUMMYFUNCTION("""COMPUTED_VALUE"""),1.0)</f>
        <v>1</v>
      </c>
      <c r="H160" s="8">
        <f>IFERROR(__xludf.DUMMYFUNCTION("""COMPUTED_VALUE"""),0.0)</f>
        <v>0</v>
      </c>
      <c r="I160" s="8" t="str">
        <f>IFERROR(__xludf.DUMMYFUNCTION("""COMPUTED_VALUE"""),"General")</f>
        <v>General</v>
      </c>
      <c r="J160" s="8" t="str">
        <f>IFERROR(__xludf.DUMMYFUNCTION("""COMPUTED_VALUE"""),"Tops")</f>
        <v>Tops</v>
      </c>
      <c r="K160" s="8" t="str">
        <f>IFERROR(__xludf.DUMMYFUNCTION("""COMPUTED_VALUE"""),"Fine gauge")</f>
        <v>Fine gauge</v>
      </c>
    </row>
    <row r="161">
      <c r="A161" s="8">
        <f>IFERROR(__xludf.DUMMYFUNCTION("""COMPUTED_VALUE"""),211.0)</f>
        <v>211</v>
      </c>
      <c r="B161" s="8">
        <f>IFERROR(__xludf.DUMMYFUNCTION("""COMPUTED_VALUE"""),1020.0)</f>
        <v>1020</v>
      </c>
      <c r="C161" s="8">
        <f>IFERROR(__xludf.DUMMYFUNCTION("""COMPUTED_VALUE"""),72.0)</f>
        <v>72</v>
      </c>
      <c r="D161" s="8"/>
      <c r="E161" s="8" t="str">
        <f>IFERROR(__xludf.DUMMYFUNCTION("""COMPUTED_VALUE"""),"Very pretty fabric and beautiful color, but i agree with the other reviewer here, the fit is a bit strange. the waist is very small - need to size up at least one size for that to fit - while the rest fits nicely. it's also a little longer than i had expe"&amp;"cted...sort of looks like it should be a couple inches shorter (and i'm 5'11""!).")</f>
        <v>Very pretty fabric and beautiful color, but i agree with the other reviewer here, the fit is a bit strange. the waist is very small - need to size up at least one size for that to fit - while the rest fits nicely. it's also a little longer than i had expected...sort of looks like it should be a couple inches shorter (and i'm 5'11"!).</v>
      </c>
      <c r="F161" s="8">
        <f>IFERROR(__xludf.DUMMYFUNCTION("""COMPUTED_VALUE"""),4.0)</f>
        <v>4</v>
      </c>
      <c r="G161" s="8">
        <f>IFERROR(__xludf.DUMMYFUNCTION("""COMPUTED_VALUE"""),1.0)</f>
        <v>1</v>
      </c>
      <c r="H161" s="8">
        <f>IFERROR(__xludf.DUMMYFUNCTION("""COMPUTED_VALUE"""),5.0)</f>
        <v>5</v>
      </c>
      <c r="I161" s="8" t="str">
        <f>IFERROR(__xludf.DUMMYFUNCTION("""COMPUTED_VALUE"""),"General Petite")</f>
        <v>General Petite</v>
      </c>
      <c r="J161" s="8" t="str">
        <f>IFERROR(__xludf.DUMMYFUNCTION("""COMPUTED_VALUE"""),"Bottoms")</f>
        <v>Bottoms</v>
      </c>
      <c r="K161" s="8" t="str">
        <f>IFERROR(__xludf.DUMMYFUNCTION("""COMPUTED_VALUE"""),"Skirts")</f>
        <v>Skirts</v>
      </c>
    </row>
    <row r="162">
      <c r="A162" s="8">
        <f>IFERROR(__xludf.DUMMYFUNCTION("""COMPUTED_VALUE"""),212.0)</f>
        <v>212</v>
      </c>
      <c r="B162" s="8">
        <f>IFERROR(__xludf.DUMMYFUNCTION("""COMPUTED_VALUE"""),1075.0)</f>
        <v>1075</v>
      </c>
      <c r="C162" s="8">
        <f>IFERROR(__xludf.DUMMYFUNCTION("""COMPUTED_VALUE"""),52.0)</f>
        <v>52</v>
      </c>
      <c r="D162" s="8" t="str">
        <f>IFERROR(__xludf.DUMMYFUNCTION("""COMPUTED_VALUE"""),"Classic")</f>
        <v>Classic</v>
      </c>
      <c r="E162" s="8" t="str">
        <f>IFERROR(__xludf.DUMMYFUNCTION("""COMPUTED_VALUE"""),"I was so excited about the arrival of my maza dress. much to my surprise the material was not has structured as i thought it would be from the photos. the fit was very tight and did not fall as nicely as i anticipated. because i loved the classic design i"&amp;" decided to give it another chance so i returned it for the next size up and fell in love, the open sleeve was a nice surprise with a touch if elegance. the front buttons added a bit of old charm and feminine
appeal. while the material was not v")</f>
        <v>I was so excited about the arrival of my maza dress. much to my surprise the material was not has structured as i thought it would be from the photos. the fit was very tight and did not fall as nicely as i anticipated. because i loved the classic design i decided to give it another chance so i returned it for the next size up and fell in love, the open sleeve was a nice surprise with a touch if elegance. the front buttons added a bit of old charm and feminine
appeal. while the material was not v</v>
      </c>
      <c r="F162" s="8">
        <f>IFERROR(__xludf.DUMMYFUNCTION("""COMPUTED_VALUE"""),4.0)</f>
        <v>4</v>
      </c>
      <c r="G162" s="8">
        <f>IFERROR(__xludf.DUMMYFUNCTION("""COMPUTED_VALUE"""),1.0)</f>
        <v>1</v>
      </c>
      <c r="H162" s="8">
        <f>IFERROR(__xludf.DUMMYFUNCTION("""COMPUTED_VALUE"""),3.0)</f>
        <v>3</v>
      </c>
      <c r="I162" s="8" t="str">
        <f>IFERROR(__xludf.DUMMYFUNCTION("""COMPUTED_VALUE"""),"General")</f>
        <v>General</v>
      </c>
      <c r="J162" s="8" t="str">
        <f>IFERROR(__xludf.DUMMYFUNCTION("""COMPUTED_VALUE"""),"Dresses")</f>
        <v>Dresses</v>
      </c>
      <c r="K162" s="8" t="str">
        <f>IFERROR(__xludf.DUMMYFUNCTION("""COMPUTED_VALUE"""),"Dresses")</f>
        <v>Dresses</v>
      </c>
    </row>
    <row r="163">
      <c r="A163" s="8">
        <f>IFERROR(__xludf.DUMMYFUNCTION("""COMPUTED_VALUE"""),213.0)</f>
        <v>213</v>
      </c>
      <c r="B163" s="8">
        <f>IFERROR(__xludf.DUMMYFUNCTION("""COMPUTED_VALUE"""),1104.0)</f>
        <v>1104</v>
      </c>
      <c r="C163" s="8">
        <f>IFERROR(__xludf.DUMMYFUNCTION("""COMPUTED_VALUE"""),47.0)</f>
        <v>47</v>
      </c>
      <c r="D163" s="8" t="str">
        <f>IFERROR(__xludf.DUMMYFUNCTION("""COMPUTED_VALUE"""),"My new favorite dress")</f>
        <v>My new favorite dress</v>
      </c>
      <c r="E163" s="8" t="str">
        <f>IFERROR(__xludf.DUMMYFUNCTION("""COMPUTED_VALUE"""),"I'm 5'4"", 130 lbs. 34 d. i bought the medium. i think i could have gotten the small but i didn't have time to re-order. it fit fine but could have been a little more snug around my top half. i love the length and the fabric.!")</f>
        <v>I'm 5'4", 130 lbs. 34 d. i bought the medium. i think i could have gotten the small but i didn't have time to re-order. it fit fine but could have been a little more snug around my top half. i love the length and the fabric.!</v>
      </c>
      <c r="F163" s="8">
        <f>IFERROR(__xludf.DUMMYFUNCTION("""COMPUTED_VALUE"""),5.0)</f>
        <v>5</v>
      </c>
      <c r="G163" s="8">
        <f>IFERROR(__xludf.DUMMYFUNCTION("""COMPUTED_VALUE"""),1.0)</f>
        <v>1</v>
      </c>
      <c r="H163" s="8">
        <f>IFERROR(__xludf.DUMMYFUNCTION("""COMPUTED_VALUE"""),0.0)</f>
        <v>0</v>
      </c>
      <c r="I163" s="8" t="str">
        <f>IFERROR(__xludf.DUMMYFUNCTION("""COMPUTED_VALUE"""),"General")</f>
        <v>General</v>
      </c>
      <c r="J163" s="8" t="str">
        <f>IFERROR(__xludf.DUMMYFUNCTION("""COMPUTED_VALUE"""),"Dresses")</f>
        <v>Dresses</v>
      </c>
      <c r="K163" s="8" t="str">
        <f>IFERROR(__xludf.DUMMYFUNCTION("""COMPUTED_VALUE"""),"Dresses")</f>
        <v>Dresses</v>
      </c>
    </row>
    <row r="164">
      <c r="A164" s="8">
        <f>IFERROR(__xludf.DUMMYFUNCTION("""COMPUTED_VALUE"""),215.0)</f>
        <v>215</v>
      </c>
      <c r="B164" s="8">
        <f>IFERROR(__xludf.DUMMYFUNCTION("""COMPUTED_VALUE"""),1094.0)</f>
        <v>1094</v>
      </c>
      <c r="C164" s="8">
        <f>IFERROR(__xludf.DUMMYFUNCTION("""COMPUTED_VALUE"""),39.0)</f>
        <v>39</v>
      </c>
      <c r="D164" s="8" t="str">
        <f>IFERROR(__xludf.DUMMYFUNCTION("""COMPUTED_VALUE"""),"Autumn fever")</f>
        <v>Autumn fever</v>
      </c>
      <c r="E164" s="8" t="str">
        <f>IFERROR(__xludf.DUMMYFUNCTION("""COMPUTED_VALUE"""),"Ranna designs richly detailed dresses and this is no exception.  looks just like the pictures (colors/cut/drape) with the exception of a modesty hook at the deep v-neck.  sleeves are sheer with an elastic cuff.  this dress does not stretch--the bodice fel"&amp;"t very fitted and tight, especially at the waist band.  runs tts or small; if you're busty/broad shouldered, size up.  it has a dreadful side zip, is fully lined and all synthetic fabric (boo!)  i purchased size 10p, my stats 36c/38-27-35/135#.")</f>
        <v>Ranna designs richly detailed dresses and this is no exception.  looks just like the pictures (colors/cut/drape) with the exception of a modesty hook at the deep v-neck.  sleeves are sheer with an elastic cuff.  this dress does not stretch--the bodice felt very fitted and tight, especially at the waist band.  runs tts or small; if you're busty/broad shouldered, size up.  it has a dreadful side zip, is fully lined and all synthetic fabric (boo!)  i purchased size 10p, my stats 36c/38-27-35/135#.</v>
      </c>
      <c r="F164" s="8">
        <f>IFERROR(__xludf.DUMMYFUNCTION("""COMPUTED_VALUE"""),5.0)</f>
        <v>5</v>
      </c>
      <c r="G164" s="8">
        <f>IFERROR(__xludf.DUMMYFUNCTION("""COMPUTED_VALUE"""),1.0)</f>
        <v>1</v>
      </c>
      <c r="H164" s="8">
        <f>IFERROR(__xludf.DUMMYFUNCTION("""COMPUTED_VALUE"""),0.0)</f>
        <v>0</v>
      </c>
      <c r="I164" s="8" t="str">
        <f>IFERROR(__xludf.DUMMYFUNCTION("""COMPUTED_VALUE"""),"General Petite")</f>
        <v>General Petite</v>
      </c>
      <c r="J164" s="8" t="str">
        <f>IFERROR(__xludf.DUMMYFUNCTION("""COMPUTED_VALUE"""),"Dresses")</f>
        <v>Dresses</v>
      </c>
      <c r="K164" s="8" t="str">
        <f>IFERROR(__xludf.DUMMYFUNCTION("""COMPUTED_VALUE"""),"Dresses")</f>
        <v>Dresses</v>
      </c>
    </row>
    <row r="165">
      <c r="A165" s="8">
        <f>IFERROR(__xludf.DUMMYFUNCTION("""COMPUTED_VALUE"""),217.0)</f>
        <v>217</v>
      </c>
      <c r="B165" s="8">
        <f>IFERROR(__xludf.DUMMYFUNCTION("""COMPUTED_VALUE"""),828.0)</f>
        <v>828</v>
      </c>
      <c r="C165" s="8">
        <f>IFERROR(__xludf.DUMMYFUNCTION("""COMPUTED_VALUE"""),64.0)</f>
        <v>64</v>
      </c>
      <c r="D165" s="8" t="str">
        <f>IFERROR(__xludf.DUMMYFUNCTION("""COMPUTED_VALUE"""),"Too cute to pass up!")</f>
        <v>Too cute to pass up!</v>
      </c>
      <c r="E165" s="8" t="str">
        <f>IFERROR(__xludf.DUMMYFUNCTION("""COMPUTED_VALUE"""),"Adorable... too chilly now to wear alone &amp; too cute to cover it up! my navy parka or jean jacket will prob be ok w/ it though. size 6 fits me perfectly &amp; looks pretty much on me as in the pic. love plaid &amp; cotton blend tops anyways. ruffles - adorable, &amp; "&amp;"i'm not too big on that but do love this look. when i first removed this top from the packaging it had an odd 'smoky'-like odor, but it's the dye i think. after hanging it for a few days the smell disappeared. i have in mind to wear w/ the pilcr")</f>
        <v>Adorable... too chilly now to wear alone &amp; too cute to cover it up! my navy parka or jean jacket will prob be ok w/ it though. size 6 fits me perfectly &amp; looks pretty much on me as in the pic. love plaid &amp; cotton blend tops anyways. ruffles - adorable, &amp; i'm not too big on that but do love this look. when i first removed this top from the packaging it had an odd 'smoky'-like odor, but it's the dye i think. after hanging it for a few days the smell disappeared. i have in mind to wear w/ the pilcr</v>
      </c>
      <c r="F165" s="8">
        <f>IFERROR(__xludf.DUMMYFUNCTION("""COMPUTED_VALUE"""),5.0)</f>
        <v>5</v>
      </c>
      <c r="G165" s="8">
        <f>IFERROR(__xludf.DUMMYFUNCTION("""COMPUTED_VALUE"""),1.0)</f>
        <v>1</v>
      </c>
      <c r="H165" s="8">
        <f>IFERROR(__xludf.DUMMYFUNCTION("""COMPUTED_VALUE"""),3.0)</f>
        <v>3</v>
      </c>
      <c r="I165" s="8" t="str">
        <f>IFERROR(__xludf.DUMMYFUNCTION("""COMPUTED_VALUE"""),"General")</f>
        <v>General</v>
      </c>
      <c r="J165" s="8" t="str">
        <f>IFERROR(__xludf.DUMMYFUNCTION("""COMPUTED_VALUE"""),"Tops")</f>
        <v>Tops</v>
      </c>
      <c r="K165" s="8" t="str">
        <f>IFERROR(__xludf.DUMMYFUNCTION("""COMPUTED_VALUE"""),"Blouses")</f>
        <v>Blouses</v>
      </c>
    </row>
    <row r="166">
      <c r="A166" s="8">
        <f>IFERROR(__xludf.DUMMYFUNCTION("""COMPUTED_VALUE"""),218.0)</f>
        <v>218</v>
      </c>
      <c r="B166" s="8">
        <f>IFERROR(__xludf.DUMMYFUNCTION("""COMPUTED_VALUE"""),1094.0)</f>
        <v>1094</v>
      </c>
      <c r="C166" s="8">
        <f>IFERROR(__xludf.DUMMYFUNCTION("""COMPUTED_VALUE"""),30.0)</f>
        <v>30</v>
      </c>
      <c r="D166" s="8" t="str">
        <f>IFERROR(__xludf.DUMMYFUNCTION("""COMPUTED_VALUE"""),"Falling goddess")</f>
        <v>Falling goddess</v>
      </c>
      <c r="E166" s="8" t="str">
        <f>IFERROR(__xludf.DUMMYFUNCTION("""COMPUTED_VALUE"""),"This dress makes you feel like a bohemian goddess.  falls in the right area and absolutely adorable.  the dress is very fragile, handle with care.")</f>
        <v>This dress makes you feel like a bohemian goddess.  falls in the right area and absolutely adorable.  the dress is very fragile, handle with care.</v>
      </c>
      <c r="F166" s="8">
        <f>IFERROR(__xludf.DUMMYFUNCTION("""COMPUTED_VALUE"""),5.0)</f>
        <v>5</v>
      </c>
      <c r="G166" s="8">
        <f>IFERROR(__xludf.DUMMYFUNCTION("""COMPUTED_VALUE"""),1.0)</f>
        <v>1</v>
      </c>
      <c r="H166" s="8">
        <f>IFERROR(__xludf.DUMMYFUNCTION("""COMPUTED_VALUE"""),0.0)</f>
        <v>0</v>
      </c>
      <c r="I166" s="8" t="str">
        <f>IFERROR(__xludf.DUMMYFUNCTION("""COMPUTED_VALUE"""),"General Petite")</f>
        <v>General Petite</v>
      </c>
      <c r="J166" s="8" t="str">
        <f>IFERROR(__xludf.DUMMYFUNCTION("""COMPUTED_VALUE"""),"Dresses")</f>
        <v>Dresses</v>
      </c>
      <c r="K166" s="8" t="str">
        <f>IFERROR(__xludf.DUMMYFUNCTION("""COMPUTED_VALUE"""),"Dresses")</f>
        <v>Dresses</v>
      </c>
    </row>
    <row r="167">
      <c r="A167" s="8">
        <f>IFERROR(__xludf.DUMMYFUNCTION("""COMPUTED_VALUE"""),219.0)</f>
        <v>219</v>
      </c>
      <c r="B167" s="8">
        <f>IFERROR(__xludf.DUMMYFUNCTION("""COMPUTED_VALUE"""),828.0)</f>
        <v>828</v>
      </c>
      <c r="C167" s="8">
        <f>IFERROR(__xludf.DUMMYFUNCTION("""COMPUTED_VALUE"""),38.0)</f>
        <v>38</v>
      </c>
      <c r="D167" s="8"/>
      <c r="E167" s="8" t="str">
        <f>IFERROR(__xludf.DUMMYFUNCTION("""COMPUTED_VALUE"""),"This is my new favorite top! looks and fits as described.")</f>
        <v>This is my new favorite top! looks and fits as described.</v>
      </c>
      <c r="F167" s="8">
        <f>IFERROR(__xludf.DUMMYFUNCTION("""COMPUTED_VALUE"""),5.0)</f>
        <v>5</v>
      </c>
      <c r="G167" s="8">
        <f>IFERROR(__xludf.DUMMYFUNCTION("""COMPUTED_VALUE"""),1.0)</f>
        <v>1</v>
      </c>
      <c r="H167" s="8">
        <f>IFERROR(__xludf.DUMMYFUNCTION("""COMPUTED_VALUE"""),1.0)</f>
        <v>1</v>
      </c>
      <c r="I167" s="8" t="str">
        <f>IFERROR(__xludf.DUMMYFUNCTION("""COMPUTED_VALUE"""),"General")</f>
        <v>General</v>
      </c>
      <c r="J167" s="8" t="str">
        <f>IFERROR(__xludf.DUMMYFUNCTION("""COMPUTED_VALUE"""),"Tops")</f>
        <v>Tops</v>
      </c>
      <c r="K167" s="8" t="str">
        <f>IFERROR(__xludf.DUMMYFUNCTION("""COMPUTED_VALUE"""),"Blouses")</f>
        <v>Blouses</v>
      </c>
    </row>
    <row r="168">
      <c r="A168" s="8">
        <f>IFERROR(__xludf.DUMMYFUNCTION("""COMPUTED_VALUE"""),220.0)</f>
        <v>220</v>
      </c>
      <c r="B168" s="8">
        <f>IFERROR(__xludf.DUMMYFUNCTION("""COMPUTED_VALUE"""),895.0)</f>
        <v>895</v>
      </c>
      <c r="C168" s="8">
        <f>IFERROR(__xludf.DUMMYFUNCTION("""COMPUTED_VALUE"""),36.0)</f>
        <v>36</v>
      </c>
      <c r="D168" s="8" t="str">
        <f>IFERROR(__xludf.DUMMYFUNCTION("""COMPUTED_VALUE"""),"Pretty and comfy")</f>
        <v>Pretty and comfy</v>
      </c>
      <c r="E168" s="8" t="str">
        <f>IFERROR(__xludf.DUMMYFUNCTION("""COMPUTED_VALUE"""),"Last minute i needed a family-friendly top for a chilly night, so i tried on a couple of flowy sweaters at retailer and this was the keeper. while i found other styles a bit too boxy or bulky for my short torso, this has a nice a-line shape that gave me a"&amp;" slim profile while still being forgiving, plus the detail up top is feminine and i liked not having fabric piled up around my neck. i am usually a small but wanted this to fit like the model so i sized up to a medium and voila, i am a model. just")</f>
        <v>Last minute i needed a family-friendly top for a chilly night, so i tried on a couple of flowy sweaters at retailer and this was the keeper. while i found other styles a bit too boxy or bulky for my short torso, this has a nice a-line shape that gave me a slim profile while still being forgiving, plus the detail up top is feminine and i liked not having fabric piled up around my neck. i am usually a small but wanted this to fit like the model so i sized up to a medium and voila, i am a model. just</v>
      </c>
      <c r="F168" s="8">
        <f>IFERROR(__xludf.DUMMYFUNCTION("""COMPUTED_VALUE"""),4.0)</f>
        <v>4</v>
      </c>
      <c r="G168" s="8">
        <f>IFERROR(__xludf.DUMMYFUNCTION("""COMPUTED_VALUE"""),1.0)</f>
        <v>1</v>
      </c>
      <c r="H168" s="8">
        <f>IFERROR(__xludf.DUMMYFUNCTION("""COMPUTED_VALUE"""),5.0)</f>
        <v>5</v>
      </c>
      <c r="I168" s="8" t="str">
        <f>IFERROR(__xludf.DUMMYFUNCTION("""COMPUTED_VALUE"""),"General Petite")</f>
        <v>General Petite</v>
      </c>
      <c r="J168" s="8" t="str">
        <f>IFERROR(__xludf.DUMMYFUNCTION("""COMPUTED_VALUE"""),"Tops")</f>
        <v>Tops</v>
      </c>
      <c r="K168" s="8" t="str">
        <f>IFERROR(__xludf.DUMMYFUNCTION("""COMPUTED_VALUE"""),"Fine gauge")</f>
        <v>Fine gauge</v>
      </c>
    </row>
    <row r="169">
      <c r="A169" s="8">
        <f>IFERROR(__xludf.DUMMYFUNCTION("""COMPUTED_VALUE"""),221.0)</f>
        <v>221</v>
      </c>
      <c r="B169" s="8">
        <f>IFERROR(__xludf.DUMMYFUNCTION("""COMPUTED_VALUE"""),1020.0)</f>
        <v>1020</v>
      </c>
      <c r="C169" s="8">
        <f>IFERROR(__xludf.DUMMYFUNCTION("""COMPUTED_VALUE"""),52.0)</f>
        <v>52</v>
      </c>
      <c r="D169" s="8" t="str">
        <f>IFERROR(__xludf.DUMMYFUNCTION("""COMPUTED_VALUE"""),"Perfect skirt")</f>
        <v>Perfect skirt</v>
      </c>
      <c r="E169" s="8" t="str">
        <f>IFERROR(__xludf.DUMMYFUNCTION("""COMPUTED_VALUE"""),"Love all the colors in this skirt and that i can wear it with a tee and flat sandals or a black jacket and heels. easy piece to wear many ways. great quality too.")</f>
        <v>Love all the colors in this skirt and that i can wear it with a tee and flat sandals or a black jacket and heels. easy piece to wear many ways. great quality too.</v>
      </c>
      <c r="F169" s="8">
        <f>IFERROR(__xludf.DUMMYFUNCTION("""COMPUTED_VALUE"""),5.0)</f>
        <v>5</v>
      </c>
      <c r="G169" s="8">
        <f>IFERROR(__xludf.DUMMYFUNCTION("""COMPUTED_VALUE"""),1.0)</f>
        <v>1</v>
      </c>
      <c r="H169" s="8">
        <f>IFERROR(__xludf.DUMMYFUNCTION("""COMPUTED_VALUE"""),1.0)</f>
        <v>1</v>
      </c>
      <c r="I169" s="8" t="str">
        <f>IFERROR(__xludf.DUMMYFUNCTION("""COMPUTED_VALUE"""),"General Petite")</f>
        <v>General Petite</v>
      </c>
      <c r="J169" s="8" t="str">
        <f>IFERROR(__xludf.DUMMYFUNCTION("""COMPUTED_VALUE"""),"Bottoms")</f>
        <v>Bottoms</v>
      </c>
      <c r="K169" s="8" t="str">
        <f>IFERROR(__xludf.DUMMYFUNCTION("""COMPUTED_VALUE"""),"Skirts")</f>
        <v>Skirts</v>
      </c>
    </row>
    <row r="170">
      <c r="A170" s="8">
        <f>IFERROR(__xludf.DUMMYFUNCTION("""COMPUTED_VALUE"""),222.0)</f>
        <v>222</v>
      </c>
      <c r="B170" s="8">
        <f>IFERROR(__xludf.DUMMYFUNCTION("""COMPUTED_VALUE"""),895.0)</f>
        <v>895</v>
      </c>
      <c r="C170" s="8">
        <f>IFERROR(__xludf.DUMMYFUNCTION("""COMPUTED_VALUE"""),61.0)</f>
        <v>61</v>
      </c>
      <c r="D170" s="8"/>
      <c r="E170" s="8" t="str">
        <f>IFERROR(__xludf.DUMMYFUNCTION("""COMPUTED_VALUE"""),"This tunic trumped any other i have seen this season. the style, with the delicate open stitchwork around the upper chest gave it quite a feminine appeal. i especially love the weight of the fabric being on the light side. won't have to worry about hot fl"&amp;"ashes like when wearing a thicker fabric! it's warm without being bulky. and to top it off, it was on sale and i was able to grab two colors. this tunic is also age appropriate and flattering for most anyone. extraordinary to say the least.")</f>
        <v>This tunic trumped any other i have seen this season. the style, with the delicate open stitchwork around the upper chest gave it quite a feminine appeal. i especially love the weight of the fabric being on the light side. won't have to worry about hot flashes like when wearing a thicker fabric! it's warm without being bulky. and to top it off, it was on sale and i was able to grab two colors. this tunic is also age appropriate and flattering for most anyone. extraordinary to say the least.</v>
      </c>
      <c r="F170" s="8">
        <f>IFERROR(__xludf.DUMMYFUNCTION("""COMPUTED_VALUE"""),5.0)</f>
        <v>5</v>
      </c>
      <c r="G170" s="8">
        <f>IFERROR(__xludf.DUMMYFUNCTION("""COMPUTED_VALUE"""),1.0)</f>
        <v>1</v>
      </c>
      <c r="H170" s="8">
        <f>IFERROR(__xludf.DUMMYFUNCTION("""COMPUTED_VALUE"""),0.0)</f>
        <v>0</v>
      </c>
      <c r="I170" s="8" t="str">
        <f>IFERROR(__xludf.DUMMYFUNCTION("""COMPUTED_VALUE"""),"General Petite")</f>
        <v>General Petite</v>
      </c>
      <c r="J170" s="8" t="str">
        <f>IFERROR(__xludf.DUMMYFUNCTION("""COMPUTED_VALUE"""),"Tops")</f>
        <v>Tops</v>
      </c>
      <c r="K170" s="8" t="str">
        <f>IFERROR(__xludf.DUMMYFUNCTION("""COMPUTED_VALUE"""),"Fine gauge")</f>
        <v>Fine gauge</v>
      </c>
    </row>
    <row r="171">
      <c r="A171" s="8">
        <f>IFERROR(__xludf.DUMMYFUNCTION("""COMPUTED_VALUE"""),223.0)</f>
        <v>223</v>
      </c>
      <c r="B171" s="8">
        <f>IFERROR(__xludf.DUMMYFUNCTION("""COMPUTED_VALUE"""),647.0)</f>
        <v>647</v>
      </c>
      <c r="C171" s="8">
        <f>IFERROR(__xludf.DUMMYFUNCTION("""COMPUTED_VALUE"""),29.0)</f>
        <v>29</v>
      </c>
      <c r="D171" s="8" t="str">
        <f>IFERROR(__xludf.DUMMYFUNCTION("""COMPUTED_VALUE"""),"Easy, comfy &amp; cute")</f>
        <v>Easy, comfy &amp; cute</v>
      </c>
      <c r="E171" s="8" t="str">
        <f>IFERROR(__xludf.DUMMYFUNCTION("""COMPUTED_VALUE"""),"I needed a dress that was easy to throw on for summer days and this dress is perfect for that. it's flattering, light weight and unique. i've received a handful of compliments while wearing this dress. i am 5' 6"" 150 lbs, hourglass figure and typically p"&amp;"urchase a small or medium (8-10) and chose a small for this dress. i'd say it's still loose on me- which is what i prefer. the scoop neck and cut out allows you wear a normal bra. however, i've noticed i'm more comfortable wearing a camisole or s")</f>
        <v>I needed a dress that was easy to throw on for summer days and this dress is perfect for that. it's flattering, light weight and unique. i've received a handful of compliments while wearing this dress. i am 5' 6" 150 lbs, hourglass figure and typically purchase a small or medium (8-10) and chose a small for this dress. i'd say it's still loose on me- which is what i prefer. the scoop neck and cut out allows you wear a normal bra. however, i've noticed i'm more comfortable wearing a camisole or s</v>
      </c>
      <c r="F171" s="8">
        <f>IFERROR(__xludf.DUMMYFUNCTION("""COMPUTED_VALUE"""),5.0)</f>
        <v>5</v>
      </c>
      <c r="G171" s="8">
        <f>IFERROR(__xludf.DUMMYFUNCTION("""COMPUTED_VALUE"""),1.0)</f>
        <v>1</v>
      </c>
      <c r="H171" s="8">
        <f>IFERROR(__xludf.DUMMYFUNCTION("""COMPUTED_VALUE"""),1.0)</f>
        <v>1</v>
      </c>
      <c r="I171" s="8" t="str">
        <f>IFERROR(__xludf.DUMMYFUNCTION("""COMPUTED_VALUE"""),"General Petite")</f>
        <v>General Petite</v>
      </c>
      <c r="J171" s="8" t="str">
        <f>IFERROR(__xludf.DUMMYFUNCTION("""COMPUTED_VALUE"""),"Intimate")</f>
        <v>Intimate</v>
      </c>
      <c r="K171" s="8" t="str">
        <f>IFERROR(__xludf.DUMMYFUNCTION("""COMPUTED_VALUE"""),"Lounge")</f>
        <v>Lounge</v>
      </c>
    </row>
    <row r="172">
      <c r="A172" s="8">
        <f>IFERROR(__xludf.DUMMYFUNCTION("""COMPUTED_VALUE"""),224.0)</f>
        <v>224</v>
      </c>
      <c r="B172" s="8">
        <f>IFERROR(__xludf.DUMMYFUNCTION("""COMPUTED_VALUE"""),1025.0)</f>
        <v>1025</v>
      </c>
      <c r="C172" s="8">
        <f>IFERROR(__xludf.DUMMYFUNCTION("""COMPUTED_VALUE"""),38.0)</f>
        <v>38</v>
      </c>
      <c r="D172" s="8"/>
      <c r="E172" s="8" t="str">
        <f>IFERROR(__xludf.DUMMYFUNCTION("""COMPUTED_VALUE"""),"The inseam is advertised as 28"", but they are more like 38"". i was hoping they were for short people, but they are for someone with very long legs, event in my tallest heels, i'd have to get them hemmed! just a warning to my short friends out there. the"&amp;" quality, fit, look was great, but way way way too long.")</f>
        <v>The inseam is advertised as 28", but they are more like 38". i was hoping they were for short people, but they are for someone with very long legs, event in my tallest heels, i'd have to get them hemmed! just a warning to my short friends out there. the quality, fit, look was great, but way way way too long.</v>
      </c>
      <c r="F172" s="8">
        <f>IFERROR(__xludf.DUMMYFUNCTION("""COMPUTED_VALUE"""),4.0)</f>
        <v>4</v>
      </c>
      <c r="G172" s="8">
        <f>IFERROR(__xludf.DUMMYFUNCTION("""COMPUTED_VALUE"""),1.0)</f>
        <v>1</v>
      </c>
      <c r="H172" s="8">
        <f>IFERROR(__xludf.DUMMYFUNCTION("""COMPUTED_VALUE"""),10.0)</f>
        <v>10</v>
      </c>
      <c r="I172" s="8" t="str">
        <f>IFERROR(__xludf.DUMMYFUNCTION("""COMPUTED_VALUE"""),"General")</f>
        <v>General</v>
      </c>
      <c r="J172" s="8" t="str">
        <f>IFERROR(__xludf.DUMMYFUNCTION("""COMPUTED_VALUE"""),"Bottoms")</f>
        <v>Bottoms</v>
      </c>
      <c r="K172" s="8" t="str">
        <f>IFERROR(__xludf.DUMMYFUNCTION("""COMPUTED_VALUE"""),"Jeans")</f>
        <v>Jeans</v>
      </c>
    </row>
    <row r="173">
      <c r="A173" s="8">
        <f>IFERROR(__xludf.DUMMYFUNCTION("""COMPUTED_VALUE"""),225.0)</f>
        <v>225</v>
      </c>
      <c r="B173" s="8">
        <f>IFERROR(__xludf.DUMMYFUNCTION("""COMPUTED_VALUE"""),1025.0)</f>
        <v>1025</v>
      </c>
      <c r="C173" s="8">
        <f>IFERROR(__xludf.DUMMYFUNCTION("""COMPUTED_VALUE"""),35.0)</f>
        <v>35</v>
      </c>
      <c r="D173" s="8" t="str">
        <f>IFERROR(__xludf.DUMMYFUNCTION("""COMPUTED_VALUE"""),"Gorgeous")</f>
        <v>Gorgeous</v>
      </c>
      <c r="E173" s="8" t="str">
        <f>IFERROR(__xludf.DUMMYFUNCTION("""COMPUTED_VALUE"""),"I love paige brand pants-they are soft, comfortable, and forgiving. i love these, and want them badly. the are still tight all the way to the knee and then go out into a flattering flare-it is difficult to find the perfect fit on something like this-and p"&amp;"aige has done a wonderful job for my body.
my store does not carry petite so i tried these on in regular length. they were significantly too long for me (5'3"") probably 3-4 inches to long. i am hoping for a sale so i can buy them in petite for")</f>
        <v>I love paige brand pants-they are soft, comfortable, and forgiving. i love these, and want them badly. the are still tight all the way to the knee and then go out into a flattering flare-it is difficult to find the perfect fit on something like this-and paige has done a wonderful job for my body.
my store does not carry petite so i tried these on in regular length. they were significantly too long for me (5'3") probably 3-4 inches to long. i am hoping for a sale so i can buy them in petite for</v>
      </c>
      <c r="F173" s="8">
        <f>IFERROR(__xludf.DUMMYFUNCTION("""COMPUTED_VALUE"""),5.0)</f>
        <v>5</v>
      </c>
      <c r="G173" s="8">
        <f>IFERROR(__xludf.DUMMYFUNCTION("""COMPUTED_VALUE"""),1.0)</f>
        <v>1</v>
      </c>
      <c r="H173" s="8">
        <f>IFERROR(__xludf.DUMMYFUNCTION("""COMPUTED_VALUE"""),14.0)</f>
        <v>14</v>
      </c>
      <c r="I173" s="8" t="str">
        <f>IFERROR(__xludf.DUMMYFUNCTION("""COMPUTED_VALUE"""),"General")</f>
        <v>General</v>
      </c>
      <c r="J173" s="8" t="str">
        <f>IFERROR(__xludf.DUMMYFUNCTION("""COMPUTED_VALUE"""),"Bottoms")</f>
        <v>Bottoms</v>
      </c>
      <c r="K173" s="8" t="str">
        <f>IFERROR(__xludf.DUMMYFUNCTION("""COMPUTED_VALUE"""),"Jeans")</f>
        <v>Jeans</v>
      </c>
    </row>
    <row r="174">
      <c r="A174" s="8">
        <f>IFERROR(__xludf.DUMMYFUNCTION("""COMPUTED_VALUE"""),226.0)</f>
        <v>226</v>
      </c>
      <c r="B174" s="8">
        <f>IFERROR(__xludf.DUMMYFUNCTION("""COMPUTED_VALUE"""),815.0)</f>
        <v>815</v>
      </c>
      <c r="C174" s="8">
        <f>IFERROR(__xludf.DUMMYFUNCTION("""COMPUTED_VALUE"""),55.0)</f>
        <v>55</v>
      </c>
      <c r="D174" s="8" t="str">
        <f>IFERROR(__xludf.DUMMYFUNCTION("""COMPUTED_VALUE"""),"Pretty")</f>
        <v>Pretty</v>
      </c>
      <c r="E174" s="8" t="str">
        <f>IFERROR(__xludf.DUMMYFUNCTION("""COMPUTED_VALUE"""),"This top is really pretty and nice quality. runs big - i went down a size, and its perfect. coloring is more subtle in person than in the photo.")</f>
        <v>This top is really pretty and nice quality. runs big - i went down a size, and its perfect. coloring is more subtle in person than in the photo.</v>
      </c>
      <c r="F174" s="8">
        <f>IFERROR(__xludf.DUMMYFUNCTION("""COMPUTED_VALUE"""),5.0)</f>
        <v>5</v>
      </c>
      <c r="G174" s="8">
        <f>IFERROR(__xludf.DUMMYFUNCTION("""COMPUTED_VALUE"""),1.0)</f>
        <v>1</v>
      </c>
      <c r="H174" s="8">
        <f>IFERROR(__xludf.DUMMYFUNCTION("""COMPUTED_VALUE"""),1.0)</f>
        <v>1</v>
      </c>
      <c r="I174" s="8" t="str">
        <f>IFERROR(__xludf.DUMMYFUNCTION("""COMPUTED_VALUE"""),"General Petite")</f>
        <v>General Petite</v>
      </c>
      <c r="J174" s="8" t="str">
        <f>IFERROR(__xludf.DUMMYFUNCTION("""COMPUTED_VALUE"""),"Tops")</f>
        <v>Tops</v>
      </c>
      <c r="K174" s="8" t="str">
        <f>IFERROR(__xludf.DUMMYFUNCTION("""COMPUTED_VALUE"""),"Blouses")</f>
        <v>Blouses</v>
      </c>
    </row>
    <row r="175">
      <c r="A175" s="8">
        <f>IFERROR(__xludf.DUMMYFUNCTION("""COMPUTED_VALUE"""),227.0)</f>
        <v>227</v>
      </c>
      <c r="B175" s="8">
        <f>IFERROR(__xludf.DUMMYFUNCTION("""COMPUTED_VALUE"""),1066.0)</f>
        <v>1066</v>
      </c>
      <c r="C175" s="8">
        <f>IFERROR(__xludf.DUMMYFUNCTION("""COMPUTED_VALUE"""),57.0)</f>
        <v>57</v>
      </c>
      <c r="D175" s="8" t="str">
        <f>IFERROR(__xludf.DUMMYFUNCTION("""COMPUTED_VALUE"""),"Great crop pant")</f>
        <v>Great crop pant</v>
      </c>
      <c r="E175" s="8" t="str">
        <f>IFERROR(__xludf.DUMMYFUNCTION("""COMPUTED_VALUE"""),"So i love pilcro, i wear them all the time and usually size down because they ""grow"" after wearing them. i tried on my usual size in these and felt like they are too tight, not sure if they will get any looser. the material feels really good, lightweigh"&amp;"t and the stripes are subtle but cute. not sure if i'll keep them or maybe size up,")</f>
        <v>So i love pilcro, i wear them all the time and usually size down because they "grow" after wearing them. i tried on my usual size in these and felt like they are too tight, not sure if they will get any looser. the material feels really good, lightweight and the stripes are subtle but cute. not sure if i'll keep them or maybe size up,</v>
      </c>
      <c r="F175" s="8">
        <f>IFERROR(__xludf.DUMMYFUNCTION("""COMPUTED_VALUE"""),4.0)</f>
        <v>4</v>
      </c>
      <c r="G175" s="8">
        <f>IFERROR(__xludf.DUMMYFUNCTION("""COMPUTED_VALUE"""),1.0)</f>
        <v>1</v>
      </c>
      <c r="H175" s="8">
        <f>IFERROR(__xludf.DUMMYFUNCTION("""COMPUTED_VALUE"""),3.0)</f>
        <v>3</v>
      </c>
      <c r="I175" s="8" t="str">
        <f>IFERROR(__xludf.DUMMYFUNCTION("""COMPUTED_VALUE"""),"General")</f>
        <v>General</v>
      </c>
      <c r="J175" s="8" t="str">
        <f>IFERROR(__xludf.DUMMYFUNCTION("""COMPUTED_VALUE"""),"Bottoms")</f>
        <v>Bottoms</v>
      </c>
      <c r="K175" s="8" t="str">
        <f>IFERROR(__xludf.DUMMYFUNCTION("""COMPUTED_VALUE"""),"Pants")</f>
        <v>Pants</v>
      </c>
    </row>
    <row r="176">
      <c r="A176" s="8">
        <f>IFERROR(__xludf.DUMMYFUNCTION("""COMPUTED_VALUE"""),228.0)</f>
        <v>228</v>
      </c>
      <c r="B176" s="8">
        <f>IFERROR(__xludf.DUMMYFUNCTION("""COMPUTED_VALUE"""),840.0)</f>
        <v>840</v>
      </c>
      <c r="C176" s="8">
        <f>IFERROR(__xludf.DUMMYFUNCTION("""COMPUTED_VALUE"""),55.0)</f>
        <v>55</v>
      </c>
      <c r="D176" s="8" t="str">
        <f>IFERROR(__xludf.DUMMYFUNCTION("""COMPUTED_VALUE"""),"Cute")</f>
        <v>Cute</v>
      </c>
      <c r="E176" s="8" t="str">
        <f>IFERROR(__xludf.DUMMYFUNCTION("""COMPUTED_VALUE"""),"This is a cute top with jeans for spring and summer, or warmer climates - very fresh and airy. the fabric hangs nicely and although it is lightweight, it is not too thin or see through. ii does not get overly wrinkled either. the style is flattering for m"&amp;"ost body types and it can be dressed up or down. the v neck is just right: not too deep that you feel like you are showing too much cleavage, but deep enough to be feminine and slimming. i normally wear a size s in retailer tops and blouses")</f>
        <v>This is a cute top with jeans for spring and summer, or warmer climates - very fresh and airy. the fabric hangs nicely and although it is lightweight, it is not too thin or see through. ii does not get overly wrinkled either. the style is flattering for most body types and it can be dressed up or down. the v neck is just right: not too deep that you feel like you are showing too much cleavage, but deep enough to be feminine and slimming. i normally wear a size s in retailer tops and blouses</v>
      </c>
      <c r="F176" s="8">
        <f>IFERROR(__xludf.DUMMYFUNCTION("""COMPUTED_VALUE"""),4.0)</f>
        <v>4</v>
      </c>
      <c r="G176" s="8">
        <f>IFERROR(__xludf.DUMMYFUNCTION("""COMPUTED_VALUE"""),1.0)</f>
        <v>1</v>
      </c>
      <c r="H176" s="8">
        <f>IFERROR(__xludf.DUMMYFUNCTION("""COMPUTED_VALUE"""),5.0)</f>
        <v>5</v>
      </c>
      <c r="I176" s="8" t="str">
        <f>IFERROR(__xludf.DUMMYFUNCTION("""COMPUTED_VALUE"""),"General")</f>
        <v>General</v>
      </c>
      <c r="J176" s="8" t="str">
        <f>IFERROR(__xludf.DUMMYFUNCTION("""COMPUTED_VALUE"""),"Tops")</f>
        <v>Tops</v>
      </c>
      <c r="K176" s="8" t="str">
        <f>IFERROR(__xludf.DUMMYFUNCTION("""COMPUTED_VALUE"""),"Blouses")</f>
        <v>Blouses</v>
      </c>
    </row>
    <row r="177">
      <c r="A177" s="8">
        <f>IFERROR(__xludf.DUMMYFUNCTION("""COMPUTED_VALUE"""),229.0)</f>
        <v>229</v>
      </c>
      <c r="B177" s="8">
        <f>IFERROR(__xludf.DUMMYFUNCTION("""COMPUTED_VALUE"""),1026.0)</f>
        <v>1026</v>
      </c>
      <c r="C177" s="8">
        <f>IFERROR(__xludf.DUMMYFUNCTION("""COMPUTED_VALUE"""),39.0)</f>
        <v>39</v>
      </c>
      <c r="D177" s="8" t="str">
        <f>IFERROR(__xludf.DUMMYFUNCTION("""COMPUTED_VALUE"""),"Why so long?")</f>
        <v>Why so long?</v>
      </c>
      <c r="E177" s="8" t="str">
        <f>IFERROR(__xludf.DUMMYFUNCTION("""COMPUTED_VALUE"""),"Petite pants hsould be able to fit short peple, but a 32 inch inseam on pants with buttons at the nottom, can't even gegt them hemmed, what a bummer. my inseam is 27 inchess, so i would need a 5 inch heel. otherwise, gorgeous, and waiat fits true to size."&amp;" thighs a bit snug for musclea, but stretchy enough to fit. thinking about keeping them, but have to find big plaform heeks...")</f>
        <v>Petite pants hsould be able to fit short peple, but a 32 inch inseam on pants with buttons at the nottom, can't even gegt them hemmed, what a bummer. my inseam is 27 inchess, so i would need a 5 inch heel. otherwise, gorgeous, and waiat fits true to size. thighs a bit snug for musclea, but stretchy enough to fit. thinking about keeping them, but have to find big plaform heeks...</v>
      </c>
      <c r="F177" s="8">
        <f>IFERROR(__xludf.DUMMYFUNCTION("""COMPUTED_VALUE"""),4.0)</f>
        <v>4</v>
      </c>
      <c r="G177" s="8">
        <f>IFERROR(__xludf.DUMMYFUNCTION("""COMPUTED_VALUE"""),1.0)</f>
        <v>1</v>
      </c>
      <c r="H177" s="8">
        <f>IFERROR(__xludf.DUMMYFUNCTION("""COMPUTED_VALUE"""),0.0)</f>
        <v>0</v>
      </c>
      <c r="I177" s="8" t="str">
        <f>IFERROR(__xludf.DUMMYFUNCTION("""COMPUTED_VALUE"""),"General")</f>
        <v>General</v>
      </c>
      <c r="J177" s="8" t="str">
        <f>IFERROR(__xludf.DUMMYFUNCTION("""COMPUTED_VALUE"""),"Bottoms")</f>
        <v>Bottoms</v>
      </c>
      <c r="K177" s="8" t="str">
        <f>IFERROR(__xludf.DUMMYFUNCTION("""COMPUTED_VALUE"""),"Jeans")</f>
        <v>Jeans</v>
      </c>
    </row>
    <row r="178">
      <c r="A178" s="8">
        <f>IFERROR(__xludf.DUMMYFUNCTION("""COMPUTED_VALUE"""),230.0)</f>
        <v>230</v>
      </c>
      <c r="B178" s="8">
        <f>IFERROR(__xludf.DUMMYFUNCTION("""COMPUTED_VALUE"""),840.0)</f>
        <v>840</v>
      </c>
      <c r="C178" s="8">
        <f>IFERROR(__xludf.DUMMYFUNCTION("""COMPUTED_VALUE"""),39.0)</f>
        <v>39</v>
      </c>
      <c r="D178" s="8" t="str">
        <f>IFERROR(__xludf.DUMMYFUNCTION("""COMPUTED_VALUE"""),"Runs large, bohemian")</f>
        <v>Runs large, bohemian</v>
      </c>
      <c r="E178" s="8" t="str">
        <f>IFERROR(__xludf.DUMMYFUNCTION("""COMPUTED_VALUE"""),"I tried on the petite size in my usual xs, adn i actually have to go down to xxs, i looked overtaken by the shirt. i'm 5'2"" and 115lbs)
cut is flowy and not close to the body, sleeves are narrower, but still ok with athletic built.
color: light one is "&amp;"great for gals with darker complexion and hair, but for my pale self, the darker one was better... but can't go wrong, i ordered both colors and liked both of them.
ruffle is a great addition too...")</f>
        <v>I tried on the petite size in my usual xs, adn i actually have to go down to xxs, i looked overtaken by the shirt. i'm 5'2" and 115lbs)
cut is flowy and not close to the body, sleeves are narrower, but still ok with athletic built.
color: light one is great for gals with darker complexion and hair, but for my pale self, the darker one was better... but can't go wrong, i ordered both colors and liked both of them.
ruffle is a great addition too...</v>
      </c>
      <c r="F178" s="8">
        <f>IFERROR(__xludf.DUMMYFUNCTION("""COMPUTED_VALUE"""),5.0)</f>
        <v>5</v>
      </c>
      <c r="G178" s="8">
        <f>IFERROR(__xludf.DUMMYFUNCTION("""COMPUTED_VALUE"""),1.0)</f>
        <v>1</v>
      </c>
      <c r="H178" s="8">
        <f>IFERROR(__xludf.DUMMYFUNCTION("""COMPUTED_VALUE"""),13.0)</f>
        <v>13</v>
      </c>
      <c r="I178" s="8" t="str">
        <f>IFERROR(__xludf.DUMMYFUNCTION("""COMPUTED_VALUE"""),"General")</f>
        <v>General</v>
      </c>
      <c r="J178" s="8" t="str">
        <f>IFERROR(__xludf.DUMMYFUNCTION("""COMPUTED_VALUE"""),"Tops")</f>
        <v>Tops</v>
      </c>
      <c r="K178" s="8" t="str">
        <f>IFERROR(__xludf.DUMMYFUNCTION("""COMPUTED_VALUE"""),"Blouses")</f>
        <v>Blouses</v>
      </c>
    </row>
    <row r="179">
      <c r="A179" s="8">
        <f>IFERROR(__xludf.DUMMYFUNCTION("""COMPUTED_VALUE"""),231.0)</f>
        <v>231</v>
      </c>
      <c r="B179" s="8">
        <f>IFERROR(__xludf.DUMMYFUNCTION("""COMPUTED_VALUE"""),1066.0)</f>
        <v>1066</v>
      </c>
      <c r="C179" s="8">
        <f>IFERROR(__xludf.DUMMYFUNCTION("""COMPUTED_VALUE"""),46.0)</f>
        <v>46</v>
      </c>
      <c r="D179" s="8" t="str">
        <f>IFERROR(__xludf.DUMMYFUNCTION("""COMPUTED_VALUE"""),"Wonderful weight for summer, flattering")</f>
        <v>Wonderful weight for summer, flattering</v>
      </c>
      <c r="E179" s="8" t="str">
        <f>IFERROR(__xludf.DUMMYFUNCTION("""COMPUTED_VALUE"""),"I tried these on on a whim because i liked the shirt that they were displayed with in the store and was surprised how much i liked them! they are a great lighter weight alternative to the pilcro hyphen chino. great for hot days of summer.
the subtle verti"&amp;"cal stripes go with everything and help elongate the leg. overall a really flattering cut. the waist is not too low and does not create muffin top.")</f>
        <v>I tried these on on a whim because i liked the shirt that they were displayed with in the store and was surprised how much i liked them! they are a great lighter weight alternative to the pilcro hyphen chino. great for hot days of summer.
the subtle vertical stripes go with everything and help elongate the leg. overall a really flattering cut. the waist is not too low and does not create muffin top.</v>
      </c>
      <c r="F179" s="8">
        <f>IFERROR(__xludf.DUMMYFUNCTION("""COMPUTED_VALUE"""),5.0)</f>
        <v>5</v>
      </c>
      <c r="G179" s="8">
        <f>IFERROR(__xludf.DUMMYFUNCTION("""COMPUTED_VALUE"""),1.0)</f>
        <v>1</v>
      </c>
      <c r="H179" s="8">
        <f>IFERROR(__xludf.DUMMYFUNCTION("""COMPUTED_VALUE"""),8.0)</f>
        <v>8</v>
      </c>
      <c r="I179" s="8" t="str">
        <f>IFERROR(__xludf.DUMMYFUNCTION("""COMPUTED_VALUE"""),"General")</f>
        <v>General</v>
      </c>
      <c r="J179" s="8" t="str">
        <f>IFERROR(__xludf.DUMMYFUNCTION("""COMPUTED_VALUE"""),"Bottoms")</f>
        <v>Bottoms</v>
      </c>
      <c r="K179" s="8" t="str">
        <f>IFERROR(__xludf.DUMMYFUNCTION("""COMPUTED_VALUE"""),"Pants")</f>
        <v>Pants</v>
      </c>
    </row>
    <row r="180">
      <c r="A180" s="8">
        <f>IFERROR(__xludf.DUMMYFUNCTION("""COMPUTED_VALUE"""),233.0)</f>
        <v>233</v>
      </c>
      <c r="B180" s="8">
        <f>IFERROR(__xludf.DUMMYFUNCTION("""COMPUTED_VALUE"""),1030.0)</f>
        <v>1030</v>
      </c>
      <c r="C180" s="8">
        <f>IFERROR(__xludf.DUMMYFUNCTION("""COMPUTED_VALUE"""),29.0)</f>
        <v>29</v>
      </c>
      <c r="D180" s="8" t="str">
        <f>IFERROR(__xludf.DUMMYFUNCTION("""COMPUTED_VALUE"""),"Must have, right on trend, but still classic")</f>
        <v>Must have, right on trend, but still classic</v>
      </c>
      <c r="E180" s="8" t="str">
        <f>IFERROR(__xludf.DUMMYFUNCTION("""COMPUTED_VALUE"""),"These jeans! i tried these on, in addition to the high rise paige denim, and these won out hands down. classic flattering fit from mother, with an element of edginess with the frayed hem. these are long enough on me (i'm 5'5') to cuff at the ankle if i do"&amp;"n't want a distressed look on a particular day. they are slightly stretchy like other mother denim but not so much that i would size down. i have muscular calves and thighs, but someone who does not could likely size down and be happy with the a")</f>
        <v>These jeans! i tried these on, in addition to the high rise paige denim, and these won out hands down. classic flattering fit from mother, with an element of edginess with the frayed hem. these are long enough on me (i'm 5'5') to cuff at the ankle if i don't want a distressed look on a particular day. they are slightly stretchy like other mother denim but not so much that i would size down. i have muscular calves and thighs, but someone who does not could likely size down and be happy with the a</v>
      </c>
      <c r="F180" s="8">
        <f>IFERROR(__xludf.DUMMYFUNCTION("""COMPUTED_VALUE"""),5.0)</f>
        <v>5</v>
      </c>
      <c r="G180" s="8">
        <f>IFERROR(__xludf.DUMMYFUNCTION("""COMPUTED_VALUE"""),1.0)</f>
        <v>1</v>
      </c>
      <c r="H180" s="8">
        <f>IFERROR(__xludf.DUMMYFUNCTION("""COMPUTED_VALUE"""),1.0)</f>
        <v>1</v>
      </c>
      <c r="I180" s="8" t="str">
        <f>IFERROR(__xludf.DUMMYFUNCTION("""COMPUTED_VALUE"""),"General")</f>
        <v>General</v>
      </c>
      <c r="J180" s="8" t="str">
        <f>IFERROR(__xludf.DUMMYFUNCTION("""COMPUTED_VALUE"""),"Bottoms")</f>
        <v>Bottoms</v>
      </c>
      <c r="K180" s="8" t="str">
        <f>IFERROR(__xludf.DUMMYFUNCTION("""COMPUTED_VALUE"""),"Jeans")</f>
        <v>Jeans</v>
      </c>
    </row>
    <row r="181">
      <c r="A181" s="8">
        <f>IFERROR(__xludf.DUMMYFUNCTION("""COMPUTED_VALUE"""),234.0)</f>
        <v>234</v>
      </c>
      <c r="B181" s="8">
        <f>IFERROR(__xludf.DUMMYFUNCTION("""COMPUTED_VALUE"""),840.0)</f>
        <v>840</v>
      </c>
      <c r="C181" s="8">
        <f>IFERROR(__xludf.DUMMYFUNCTION("""COMPUTED_VALUE"""),83.0)</f>
        <v>83</v>
      </c>
      <c r="D181" s="8" t="str">
        <f>IFERROR(__xludf.DUMMYFUNCTION("""COMPUTED_VALUE"""),"Pretty but runs large!")</f>
        <v>Pretty but runs large!</v>
      </c>
      <c r="E181" s="8" t="str">
        <f>IFERROR(__xludf.DUMMYFUNCTION("""COMPUTED_VALUE"""),"I ordered this top in my usual size and am exchanging it for one size smaller.
it runs very generous, and so the sizing is a little off.
the style and quality are beautiful, so i am anxious to receive the smaller size.")</f>
        <v>I ordered this top in my usual size and am exchanging it for one size smaller.
it runs very generous, and so the sizing is a little off.
the style and quality are beautiful, so i am anxious to receive the smaller size.</v>
      </c>
      <c r="F181" s="8">
        <f>IFERROR(__xludf.DUMMYFUNCTION("""COMPUTED_VALUE"""),5.0)</f>
        <v>5</v>
      </c>
      <c r="G181" s="8">
        <f>IFERROR(__xludf.DUMMYFUNCTION("""COMPUTED_VALUE"""),1.0)</f>
        <v>1</v>
      </c>
      <c r="H181" s="8">
        <f>IFERROR(__xludf.DUMMYFUNCTION("""COMPUTED_VALUE"""),0.0)</f>
        <v>0</v>
      </c>
      <c r="I181" s="8" t="str">
        <f>IFERROR(__xludf.DUMMYFUNCTION("""COMPUTED_VALUE"""),"General")</f>
        <v>General</v>
      </c>
      <c r="J181" s="8" t="str">
        <f>IFERROR(__xludf.DUMMYFUNCTION("""COMPUTED_VALUE"""),"Tops")</f>
        <v>Tops</v>
      </c>
      <c r="K181" s="8" t="str">
        <f>IFERROR(__xludf.DUMMYFUNCTION("""COMPUTED_VALUE"""),"Blouses")</f>
        <v>Blouses</v>
      </c>
    </row>
    <row r="182">
      <c r="A182" s="8">
        <f>IFERROR(__xludf.DUMMYFUNCTION("""COMPUTED_VALUE"""),235.0)</f>
        <v>235</v>
      </c>
      <c r="B182" s="8">
        <f>IFERROR(__xludf.DUMMYFUNCTION("""COMPUTED_VALUE"""),1066.0)</f>
        <v>1066</v>
      </c>
      <c r="C182" s="8">
        <f>IFERROR(__xludf.DUMMYFUNCTION("""COMPUTED_VALUE"""),29.0)</f>
        <v>29</v>
      </c>
      <c r="D182" s="8" t="str">
        <f>IFERROR(__xludf.DUMMYFUNCTION("""COMPUTED_VALUE"""),"Comfortable &amp; stylish crop pants")</f>
        <v>Comfortable &amp; stylish crop pants</v>
      </c>
      <c r="E182" s="8" t="str">
        <f>IFERROR(__xludf.DUMMYFUNCTION("""COMPUTED_VALUE"""),"The blush stripes are subtle but they definitely give elongating effect to your legs.
very comfortable pair of crop pants but my calves are definitely feeling tight in there!")</f>
        <v>The blush stripes are subtle but they definitely give elongating effect to your legs.
very comfortable pair of crop pants but my calves are definitely feeling tight in there!</v>
      </c>
      <c r="F182" s="8">
        <f>IFERROR(__xludf.DUMMYFUNCTION("""COMPUTED_VALUE"""),5.0)</f>
        <v>5</v>
      </c>
      <c r="G182" s="8">
        <f>IFERROR(__xludf.DUMMYFUNCTION("""COMPUTED_VALUE"""),1.0)</f>
        <v>1</v>
      </c>
      <c r="H182" s="8">
        <f>IFERROR(__xludf.DUMMYFUNCTION("""COMPUTED_VALUE"""),1.0)</f>
        <v>1</v>
      </c>
      <c r="I182" s="8" t="str">
        <f>IFERROR(__xludf.DUMMYFUNCTION("""COMPUTED_VALUE"""),"General")</f>
        <v>General</v>
      </c>
      <c r="J182" s="8" t="str">
        <f>IFERROR(__xludf.DUMMYFUNCTION("""COMPUTED_VALUE"""),"Bottoms")</f>
        <v>Bottoms</v>
      </c>
      <c r="K182" s="8" t="str">
        <f>IFERROR(__xludf.DUMMYFUNCTION("""COMPUTED_VALUE"""),"Pants")</f>
        <v>Pants</v>
      </c>
    </row>
    <row r="183">
      <c r="A183" s="8">
        <f>IFERROR(__xludf.DUMMYFUNCTION("""COMPUTED_VALUE"""),236.0)</f>
        <v>236</v>
      </c>
      <c r="B183" s="8">
        <f>IFERROR(__xludf.DUMMYFUNCTION("""COMPUTED_VALUE"""),647.0)</f>
        <v>647</v>
      </c>
      <c r="C183" s="8">
        <f>IFERROR(__xludf.DUMMYFUNCTION("""COMPUTED_VALUE"""),49.0)</f>
        <v>49</v>
      </c>
      <c r="D183" s="8" t="str">
        <f>IFERROR(__xludf.DUMMYFUNCTION("""COMPUTED_VALUE"""),"Cozy sunday!")</f>
        <v>Cozy sunday!</v>
      </c>
      <c r="E183" s="8" t="str">
        <f>IFERROR(__xludf.DUMMYFUNCTION("""COMPUTED_VALUE"""),"I got a small mauve. the fit is great and the length is perfect for me, just few inches above my knees.
cute and cozy! what more can i aske for!?")</f>
        <v>I got a small mauve. the fit is great and the length is perfect for me, just few inches above my knees.
cute and cozy! what more can i aske for!?</v>
      </c>
      <c r="F183" s="8">
        <f>IFERROR(__xludf.DUMMYFUNCTION("""COMPUTED_VALUE"""),5.0)</f>
        <v>5</v>
      </c>
      <c r="G183" s="8">
        <f>IFERROR(__xludf.DUMMYFUNCTION("""COMPUTED_VALUE"""),1.0)</f>
        <v>1</v>
      </c>
      <c r="H183" s="8">
        <f>IFERROR(__xludf.DUMMYFUNCTION("""COMPUTED_VALUE"""),0.0)</f>
        <v>0</v>
      </c>
      <c r="I183" s="8" t="str">
        <f>IFERROR(__xludf.DUMMYFUNCTION("""COMPUTED_VALUE"""),"General Petite")</f>
        <v>General Petite</v>
      </c>
      <c r="J183" s="8" t="str">
        <f>IFERROR(__xludf.DUMMYFUNCTION("""COMPUTED_VALUE"""),"Intimate")</f>
        <v>Intimate</v>
      </c>
      <c r="K183" s="8" t="str">
        <f>IFERROR(__xludf.DUMMYFUNCTION("""COMPUTED_VALUE"""),"Lounge")</f>
        <v>Lounge</v>
      </c>
    </row>
    <row r="184">
      <c r="A184" s="8">
        <f>IFERROR(__xludf.DUMMYFUNCTION("""COMPUTED_VALUE"""),238.0)</f>
        <v>238</v>
      </c>
      <c r="B184" s="8">
        <f>IFERROR(__xludf.DUMMYFUNCTION("""COMPUTED_VALUE"""),872.0)</f>
        <v>872</v>
      </c>
      <c r="C184" s="8">
        <f>IFERROR(__xludf.DUMMYFUNCTION("""COMPUTED_VALUE"""),63.0)</f>
        <v>63</v>
      </c>
      <c r="D184" s="8" t="str">
        <f>IFERROR(__xludf.DUMMYFUNCTION("""COMPUTED_VALUE"""),"Fun change from the norm")</f>
        <v>Fun change from the norm</v>
      </c>
      <c r="E184" s="8" t="str">
        <f>IFERROR(__xludf.DUMMYFUNCTION("""COMPUTED_VALUE"""),"Fun detail with the beading and lace! arms are a little longer while the body of the sweatshirt is a little shorter than expected, but that's the style of the piece. the fit was tts with those proportions mind.  the ladies at the store said that if i orde"&amp;"red the size up, it might be a little longer in the body, but that the arms and shoulders would have been the biggest change. the material isn't too thick, so it's a nice lighter layer for fall/spring. really love it!")</f>
        <v>Fun detail with the beading and lace! arms are a little longer while the body of the sweatshirt is a little shorter than expected, but that's the style of the piece. the fit was tts with those proportions mind.  the ladies at the store said that if i ordered the size up, it might be a little longer in the body, but that the arms and shoulders would have been the biggest change. the material isn't too thick, so it's a nice lighter layer for fall/spring. really love it!</v>
      </c>
      <c r="F184" s="8">
        <f>IFERROR(__xludf.DUMMYFUNCTION("""COMPUTED_VALUE"""),5.0)</f>
        <v>5</v>
      </c>
      <c r="G184" s="8">
        <f>IFERROR(__xludf.DUMMYFUNCTION("""COMPUTED_VALUE"""),1.0)</f>
        <v>1</v>
      </c>
      <c r="H184" s="8">
        <f>IFERROR(__xludf.DUMMYFUNCTION("""COMPUTED_VALUE"""),0.0)</f>
        <v>0</v>
      </c>
      <c r="I184" s="8" t="str">
        <f>IFERROR(__xludf.DUMMYFUNCTION("""COMPUTED_VALUE"""),"General")</f>
        <v>General</v>
      </c>
      <c r="J184" s="8" t="str">
        <f>IFERROR(__xludf.DUMMYFUNCTION("""COMPUTED_VALUE"""),"Tops")</f>
        <v>Tops</v>
      </c>
      <c r="K184" s="8" t="str">
        <f>IFERROR(__xludf.DUMMYFUNCTION("""COMPUTED_VALUE"""),"Knits")</f>
        <v>Knits</v>
      </c>
    </row>
    <row r="185">
      <c r="A185" s="8">
        <f>IFERROR(__xludf.DUMMYFUNCTION("""COMPUTED_VALUE"""),240.0)</f>
        <v>240</v>
      </c>
      <c r="B185" s="8">
        <f>IFERROR(__xludf.DUMMYFUNCTION("""COMPUTED_VALUE"""),1066.0)</f>
        <v>1066</v>
      </c>
      <c r="C185" s="8">
        <f>IFERROR(__xludf.DUMMYFUNCTION("""COMPUTED_VALUE"""),55.0)</f>
        <v>55</v>
      </c>
      <c r="D185" s="8" t="str">
        <f>IFERROR(__xludf.DUMMYFUNCTION("""COMPUTED_VALUE"""),"Perfect for mediterenian summer")</f>
        <v>Perfect for mediterenian summer</v>
      </c>
      <c r="E185" s="8" t="str">
        <f>IFERROR(__xludf.DUMMYFUNCTION("""COMPUTED_VALUE"""),"Ordered these online and they fit perfectly. i was looking for lightweight pants for hot and humid summer days and this pair is exactly what i needed. the striped pattern is cute and adds some color.")</f>
        <v>Ordered these online and they fit perfectly. i was looking for lightweight pants for hot and humid summer days and this pair is exactly what i needed. the striped pattern is cute and adds some color.</v>
      </c>
      <c r="F185" s="8">
        <f>IFERROR(__xludf.DUMMYFUNCTION("""COMPUTED_VALUE"""),4.0)</f>
        <v>4</v>
      </c>
      <c r="G185" s="8">
        <f>IFERROR(__xludf.DUMMYFUNCTION("""COMPUTED_VALUE"""),1.0)</f>
        <v>1</v>
      </c>
      <c r="H185" s="8">
        <f>IFERROR(__xludf.DUMMYFUNCTION("""COMPUTED_VALUE"""),0.0)</f>
        <v>0</v>
      </c>
      <c r="I185" s="8" t="str">
        <f>IFERROR(__xludf.DUMMYFUNCTION("""COMPUTED_VALUE"""),"General")</f>
        <v>General</v>
      </c>
      <c r="J185" s="8" t="str">
        <f>IFERROR(__xludf.DUMMYFUNCTION("""COMPUTED_VALUE"""),"Bottoms")</f>
        <v>Bottoms</v>
      </c>
      <c r="K185" s="8" t="str">
        <f>IFERROR(__xludf.DUMMYFUNCTION("""COMPUTED_VALUE"""),"Pants")</f>
        <v>Pants</v>
      </c>
    </row>
    <row r="186">
      <c r="A186" s="8">
        <f>IFERROR(__xludf.DUMMYFUNCTION("""COMPUTED_VALUE"""),242.0)</f>
        <v>242</v>
      </c>
      <c r="B186" s="8">
        <f>IFERROR(__xludf.DUMMYFUNCTION("""COMPUTED_VALUE"""),1066.0)</f>
        <v>1066</v>
      </c>
      <c r="C186" s="8">
        <f>IFERROR(__xludf.DUMMYFUNCTION("""COMPUTED_VALUE"""),26.0)</f>
        <v>26</v>
      </c>
      <c r="D186" s="8" t="str">
        <f>IFERROR(__xludf.DUMMYFUNCTION("""COMPUTED_VALUE"""),"Super flattering")</f>
        <v>Super flattering</v>
      </c>
      <c r="E186" s="8" t="str">
        <f>IFERROR(__xludf.DUMMYFUNCTION("""COMPUTED_VALUE"""),"I went ahead and ordered a size up based on previous reviews, but i should have ordered my own size, as they're a bit loose around the waist. the pants are adorable and the pinstripes very flattering, so i definitely recommend them!")</f>
        <v>I went ahead and ordered a size up based on previous reviews, but i should have ordered my own size, as they're a bit loose around the waist. the pants are adorable and the pinstripes very flattering, so i definitely recommend them!</v>
      </c>
      <c r="F186" s="8">
        <f>IFERROR(__xludf.DUMMYFUNCTION("""COMPUTED_VALUE"""),5.0)</f>
        <v>5</v>
      </c>
      <c r="G186" s="8">
        <f>IFERROR(__xludf.DUMMYFUNCTION("""COMPUTED_VALUE"""),1.0)</f>
        <v>1</v>
      </c>
      <c r="H186" s="8">
        <f>IFERROR(__xludf.DUMMYFUNCTION("""COMPUTED_VALUE"""),0.0)</f>
        <v>0</v>
      </c>
      <c r="I186" s="8" t="str">
        <f>IFERROR(__xludf.DUMMYFUNCTION("""COMPUTED_VALUE"""),"General")</f>
        <v>General</v>
      </c>
      <c r="J186" s="8" t="str">
        <f>IFERROR(__xludf.DUMMYFUNCTION("""COMPUTED_VALUE"""),"Bottoms")</f>
        <v>Bottoms</v>
      </c>
      <c r="K186" s="8" t="str">
        <f>IFERROR(__xludf.DUMMYFUNCTION("""COMPUTED_VALUE"""),"Pants")</f>
        <v>Pants</v>
      </c>
    </row>
    <row r="187">
      <c r="A187" s="8">
        <f>IFERROR(__xludf.DUMMYFUNCTION("""COMPUTED_VALUE"""),243.0)</f>
        <v>243</v>
      </c>
      <c r="B187" s="8">
        <f>IFERROR(__xludf.DUMMYFUNCTION("""COMPUTED_VALUE"""),840.0)</f>
        <v>840</v>
      </c>
      <c r="C187" s="8">
        <f>IFERROR(__xludf.DUMMYFUNCTION("""COMPUTED_VALUE"""),60.0)</f>
        <v>60</v>
      </c>
      <c r="D187" s="8"/>
      <c r="E187" s="8" t="str">
        <f>IFERROR(__xludf.DUMMYFUNCTION("""COMPUTED_VALUE"""),"I really want to love this shirt, but the small is just way too big on me. for reference, i'm a 32d (which is why i didn't want to size down much more than a small), 5'6' and 125 and i'm drowning in this. i'm going to try it with different bottoms and ult"&amp;"imately will keep it because i do love the quality. just size down a couple of sizes!!")</f>
        <v>I really want to love this shirt, but the small is just way too big on me. for reference, i'm a 32d (which is why i didn't want to size down much more than a small), 5'6' and 125 and i'm drowning in this. i'm going to try it with different bottoms and ultimately will keep it because i do love the quality. just size down a couple of sizes!!</v>
      </c>
      <c r="F187" s="8">
        <f>IFERROR(__xludf.DUMMYFUNCTION("""COMPUTED_VALUE"""),4.0)</f>
        <v>4</v>
      </c>
      <c r="G187" s="8">
        <f>IFERROR(__xludf.DUMMYFUNCTION("""COMPUTED_VALUE"""),1.0)</f>
        <v>1</v>
      </c>
      <c r="H187" s="8">
        <f>IFERROR(__xludf.DUMMYFUNCTION("""COMPUTED_VALUE"""),0.0)</f>
        <v>0</v>
      </c>
      <c r="I187" s="8" t="str">
        <f>IFERROR(__xludf.DUMMYFUNCTION("""COMPUTED_VALUE"""),"General")</f>
        <v>General</v>
      </c>
      <c r="J187" s="8" t="str">
        <f>IFERROR(__xludf.DUMMYFUNCTION("""COMPUTED_VALUE"""),"Tops")</f>
        <v>Tops</v>
      </c>
      <c r="K187" s="8" t="str">
        <f>IFERROR(__xludf.DUMMYFUNCTION("""COMPUTED_VALUE"""),"Blouses")</f>
        <v>Blouses</v>
      </c>
    </row>
    <row r="188">
      <c r="A188" s="8">
        <f>IFERROR(__xludf.DUMMYFUNCTION("""COMPUTED_VALUE"""),245.0)</f>
        <v>245</v>
      </c>
      <c r="B188" s="8">
        <f>IFERROR(__xludf.DUMMYFUNCTION("""COMPUTED_VALUE"""),872.0)</f>
        <v>872</v>
      </c>
      <c r="C188" s="8">
        <f>IFERROR(__xludf.DUMMYFUNCTION("""COMPUTED_VALUE"""),38.0)</f>
        <v>38</v>
      </c>
      <c r="D188" s="8" t="str">
        <f>IFERROR(__xludf.DUMMYFUNCTION("""COMPUTED_VALUE"""),"Love this!")</f>
        <v>Love this!</v>
      </c>
      <c r="E188" s="8" t="str">
        <f>IFERROR(__xludf.DUMMYFUNCTION("""COMPUTED_VALUE"""),"This is exactly what i was expecting. cute, comfortable and casual. there are some gold sequins in the scroll work that i didn't see online. they are super pretty in person.")</f>
        <v>This is exactly what i was expecting. cute, comfortable and casual. there are some gold sequins in the scroll work that i didn't see online. they are super pretty in person.</v>
      </c>
      <c r="F188" s="8">
        <f>IFERROR(__xludf.DUMMYFUNCTION("""COMPUTED_VALUE"""),5.0)</f>
        <v>5</v>
      </c>
      <c r="G188" s="8">
        <f>IFERROR(__xludf.DUMMYFUNCTION("""COMPUTED_VALUE"""),1.0)</f>
        <v>1</v>
      </c>
      <c r="H188" s="8">
        <f>IFERROR(__xludf.DUMMYFUNCTION("""COMPUTED_VALUE"""),0.0)</f>
        <v>0</v>
      </c>
      <c r="I188" s="8" t="str">
        <f>IFERROR(__xludf.DUMMYFUNCTION("""COMPUTED_VALUE"""),"General")</f>
        <v>General</v>
      </c>
      <c r="J188" s="8" t="str">
        <f>IFERROR(__xludf.DUMMYFUNCTION("""COMPUTED_VALUE"""),"Tops")</f>
        <v>Tops</v>
      </c>
      <c r="K188" s="8" t="str">
        <f>IFERROR(__xludf.DUMMYFUNCTION("""COMPUTED_VALUE"""),"Knits")</f>
        <v>Knits</v>
      </c>
    </row>
    <row r="189">
      <c r="A189" s="8">
        <f>IFERROR(__xludf.DUMMYFUNCTION("""COMPUTED_VALUE"""),247.0)</f>
        <v>247</v>
      </c>
      <c r="B189" s="8">
        <f>IFERROR(__xludf.DUMMYFUNCTION("""COMPUTED_VALUE"""),1115.0)</f>
        <v>1115</v>
      </c>
      <c r="C189" s="8">
        <f>IFERROR(__xludf.DUMMYFUNCTION("""COMPUTED_VALUE"""),41.0)</f>
        <v>41</v>
      </c>
      <c r="D189" s="8" t="str">
        <f>IFERROR(__xludf.DUMMYFUNCTION("""COMPUTED_VALUE"""),"Really nice sweater coat")</f>
        <v>Really nice sweater coat</v>
      </c>
      <c r="E189" s="8" t="str">
        <f>IFERROR(__xludf.DUMMYFUNCTION("""COMPUTED_VALUE"""),"Really nice, substantial, fully lined sweater coat. i love the structured look and the faux-leather piping around the zipper and the pockets. quality seems to be very good. it runs true to size, maybe slightly on the small side (especially for larger hips"&amp;"/busts) so if you are in between sizes, go up. i chose small and it's just right; i wouldn't be able to zip around my hips with xsmall. besides the price, which is why i dropped one star, i cannot really find any fault in this sweater coat.")</f>
        <v>Really nice, substantial, fully lined sweater coat. i love the structured look and the faux-leather piping around the zipper and the pockets. quality seems to be very good. it runs true to size, maybe slightly on the small side (especially for larger hips/busts) so if you are in between sizes, go up. i chose small and it's just right; i wouldn't be able to zip around my hips with xsmall. besides the price, which is why i dropped one star, i cannot really find any fault in this sweater coat.</v>
      </c>
      <c r="F189" s="8">
        <f>IFERROR(__xludf.DUMMYFUNCTION("""COMPUTED_VALUE"""),4.0)</f>
        <v>4</v>
      </c>
      <c r="G189" s="8">
        <f>IFERROR(__xludf.DUMMYFUNCTION("""COMPUTED_VALUE"""),1.0)</f>
        <v>1</v>
      </c>
      <c r="H189" s="8">
        <f>IFERROR(__xludf.DUMMYFUNCTION("""COMPUTED_VALUE"""),1.0)</f>
        <v>1</v>
      </c>
      <c r="I189" s="8" t="str">
        <f>IFERROR(__xludf.DUMMYFUNCTION("""COMPUTED_VALUE"""),"General")</f>
        <v>General</v>
      </c>
      <c r="J189" s="8" t="str">
        <f>IFERROR(__xludf.DUMMYFUNCTION("""COMPUTED_VALUE"""),"Jackets")</f>
        <v>Jackets</v>
      </c>
      <c r="K189" s="8" t="str">
        <f>IFERROR(__xludf.DUMMYFUNCTION("""COMPUTED_VALUE"""),"Outerwear")</f>
        <v>Outerwear</v>
      </c>
    </row>
    <row r="190">
      <c r="A190" s="8">
        <f>IFERROR(__xludf.DUMMYFUNCTION("""COMPUTED_VALUE"""),248.0)</f>
        <v>248</v>
      </c>
      <c r="B190" s="8">
        <f>IFERROR(__xludf.DUMMYFUNCTION("""COMPUTED_VALUE"""),1030.0)</f>
        <v>1030</v>
      </c>
      <c r="C190" s="8">
        <f>IFERROR(__xludf.DUMMYFUNCTION("""COMPUTED_VALUE"""),28.0)</f>
        <v>28</v>
      </c>
      <c r="D190" s="8"/>
      <c r="E190" s="8"/>
      <c r="F190" s="8">
        <f>IFERROR(__xludf.DUMMYFUNCTION("""COMPUTED_VALUE"""),5.0)</f>
        <v>5</v>
      </c>
      <c r="G190" s="8">
        <f>IFERROR(__xludf.DUMMYFUNCTION("""COMPUTED_VALUE"""),1.0)</f>
        <v>1</v>
      </c>
      <c r="H190" s="8">
        <f>IFERROR(__xludf.DUMMYFUNCTION("""COMPUTED_VALUE"""),0.0)</f>
        <v>0</v>
      </c>
      <c r="I190" s="8" t="str">
        <f>IFERROR(__xludf.DUMMYFUNCTION("""COMPUTED_VALUE"""),"General")</f>
        <v>General</v>
      </c>
      <c r="J190" s="8" t="str">
        <f>IFERROR(__xludf.DUMMYFUNCTION("""COMPUTED_VALUE"""),"Bottoms")</f>
        <v>Bottoms</v>
      </c>
      <c r="K190" s="8" t="str">
        <f>IFERROR(__xludf.DUMMYFUNCTION("""COMPUTED_VALUE"""),"Jeans")</f>
        <v>Jeans</v>
      </c>
    </row>
    <row r="191">
      <c r="A191" s="8">
        <f>IFERROR(__xludf.DUMMYFUNCTION("""COMPUTED_VALUE"""),249.0)</f>
        <v>249</v>
      </c>
      <c r="B191" s="8">
        <f>IFERROR(__xludf.DUMMYFUNCTION("""COMPUTED_VALUE"""),1018.0)</f>
        <v>1018</v>
      </c>
      <c r="C191" s="8">
        <f>IFERROR(__xludf.DUMMYFUNCTION("""COMPUTED_VALUE"""),28.0)</f>
        <v>28</v>
      </c>
      <c r="D191" s="8"/>
      <c r="E191" s="8" t="str">
        <f>IFERROR(__xludf.DUMMYFUNCTION("""COMPUTED_VALUE"""),"Really pretty, but runs at least a full size small.")</f>
        <v>Really pretty, but runs at least a full size small.</v>
      </c>
      <c r="F191" s="8">
        <f>IFERROR(__xludf.DUMMYFUNCTION("""COMPUTED_VALUE"""),4.0)</f>
        <v>4</v>
      </c>
      <c r="G191" s="8">
        <f>IFERROR(__xludf.DUMMYFUNCTION("""COMPUTED_VALUE"""),1.0)</f>
        <v>1</v>
      </c>
      <c r="H191" s="8">
        <f>IFERROR(__xludf.DUMMYFUNCTION("""COMPUTED_VALUE"""),0.0)</f>
        <v>0</v>
      </c>
      <c r="I191" s="8" t="str">
        <f>IFERROR(__xludf.DUMMYFUNCTION("""COMPUTED_VALUE"""),"General")</f>
        <v>General</v>
      </c>
      <c r="J191" s="8" t="str">
        <f>IFERROR(__xludf.DUMMYFUNCTION("""COMPUTED_VALUE"""),"Bottoms")</f>
        <v>Bottoms</v>
      </c>
      <c r="K191" s="8" t="str">
        <f>IFERROR(__xludf.DUMMYFUNCTION("""COMPUTED_VALUE"""),"Skirts")</f>
        <v>Skirts</v>
      </c>
    </row>
    <row r="192">
      <c r="A192" s="8">
        <f>IFERROR(__xludf.DUMMYFUNCTION("""COMPUTED_VALUE"""),250.0)</f>
        <v>250</v>
      </c>
      <c r="B192" s="8">
        <f>IFERROR(__xludf.DUMMYFUNCTION("""COMPUTED_VALUE"""),1026.0)</f>
        <v>1026</v>
      </c>
      <c r="C192" s="8">
        <f>IFERROR(__xludf.DUMMYFUNCTION("""COMPUTED_VALUE"""),48.0)</f>
        <v>48</v>
      </c>
      <c r="D192" s="8" t="str">
        <f>IFERROR(__xludf.DUMMYFUNCTION("""COMPUTED_VALUE"""),"Perfect")</f>
        <v>Perfect</v>
      </c>
      <c r="E192" s="8" t="str">
        <f>IFERROR(__xludf.DUMMYFUNCTION("""COMPUTED_VALUE"""),"I love these pants. i have worn them a number of times already this season. i am 5' so i did have to have them hemmed. i lost the bottom button in the process but there are still 3 or 4 on the pants so i don't think they look odd. i also wear very high bo"&amp;"ots with these pants so that helps. a crisp white blouse and black leather jacket and i felt like a million bucks!")</f>
        <v>I love these pants. i have worn them a number of times already this season. i am 5' so i did have to have them hemmed. i lost the bottom button in the process but there are still 3 or 4 on the pants so i don't think they look odd. i also wear very high boots with these pants so that helps. a crisp white blouse and black leather jacket and i felt like a million bucks!</v>
      </c>
      <c r="F192" s="8">
        <f>IFERROR(__xludf.DUMMYFUNCTION("""COMPUTED_VALUE"""),5.0)</f>
        <v>5</v>
      </c>
      <c r="G192" s="8">
        <f>IFERROR(__xludf.DUMMYFUNCTION("""COMPUTED_VALUE"""),1.0)</f>
        <v>1</v>
      </c>
      <c r="H192" s="8">
        <f>IFERROR(__xludf.DUMMYFUNCTION("""COMPUTED_VALUE"""),1.0)</f>
        <v>1</v>
      </c>
      <c r="I192" s="8" t="str">
        <f>IFERROR(__xludf.DUMMYFUNCTION("""COMPUTED_VALUE"""),"General")</f>
        <v>General</v>
      </c>
      <c r="J192" s="8" t="str">
        <f>IFERROR(__xludf.DUMMYFUNCTION("""COMPUTED_VALUE"""),"Bottoms")</f>
        <v>Bottoms</v>
      </c>
      <c r="K192" s="8" t="str">
        <f>IFERROR(__xludf.DUMMYFUNCTION("""COMPUTED_VALUE"""),"Jeans")</f>
        <v>Jeans</v>
      </c>
    </row>
    <row r="193">
      <c r="A193" s="8">
        <f>IFERROR(__xludf.DUMMYFUNCTION("""COMPUTED_VALUE"""),251.0)</f>
        <v>251</v>
      </c>
      <c r="B193" s="8">
        <f>IFERROR(__xludf.DUMMYFUNCTION("""COMPUTED_VALUE"""),840.0)</f>
        <v>840</v>
      </c>
      <c r="C193" s="8">
        <f>IFERROR(__xludf.DUMMYFUNCTION("""COMPUTED_VALUE"""),32.0)</f>
        <v>32</v>
      </c>
      <c r="D193" s="8" t="str">
        <f>IFERROR(__xludf.DUMMYFUNCTION("""COMPUTED_VALUE"""),"Very cute top")</f>
        <v>Very cute top</v>
      </c>
      <c r="E193" s="8" t="str">
        <f>IFERROR(__xludf.DUMMYFUNCTION("""COMPUTED_VALUE"""),"I love this tunic the natural color is just that, this is a tunic so the fit is a little large. i kept it and had it altered because i really do love this top")</f>
        <v>I love this tunic the natural color is just that, this is a tunic so the fit is a little large. i kept it and had it altered because i really do love this top</v>
      </c>
      <c r="F193" s="8">
        <f>IFERROR(__xludf.DUMMYFUNCTION("""COMPUTED_VALUE"""),5.0)</f>
        <v>5</v>
      </c>
      <c r="G193" s="8">
        <f>IFERROR(__xludf.DUMMYFUNCTION("""COMPUTED_VALUE"""),1.0)</f>
        <v>1</v>
      </c>
      <c r="H193" s="8">
        <f>IFERROR(__xludf.DUMMYFUNCTION("""COMPUTED_VALUE"""),0.0)</f>
        <v>0</v>
      </c>
      <c r="I193" s="8" t="str">
        <f>IFERROR(__xludf.DUMMYFUNCTION("""COMPUTED_VALUE"""),"General")</f>
        <v>General</v>
      </c>
      <c r="J193" s="8" t="str">
        <f>IFERROR(__xludf.DUMMYFUNCTION("""COMPUTED_VALUE"""),"Tops")</f>
        <v>Tops</v>
      </c>
      <c r="K193" s="8" t="str">
        <f>IFERROR(__xludf.DUMMYFUNCTION("""COMPUTED_VALUE"""),"Blouses")</f>
        <v>Blouses</v>
      </c>
    </row>
    <row r="194">
      <c r="A194" s="8">
        <f>IFERROR(__xludf.DUMMYFUNCTION("""COMPUTED_VALUE"""),252.0)</f>
        <v>252</v>
      </c>
      <c r="B194" s="8">
        <f>IFERROR(__xludf.DUMMYFUNCTION("""COMPUTED_VALUE"""),1066.0)</f>
        <v>1066</v>
      </c>
      <c r="C194" s="8">
        <f>IFERROR(__xludf.DUMMYFUNCTION("""COMPUTED_VALUE"""),29.0)</f>
        <v>29</v>
      </c>
      <c r="D194" s="8" t="str">
        <f>IFERROR(__xludf.DUMMYFUNCTION("""COMPUTED_VALUE"""),"Super cute pants")</f>
        <v>Super cute pants</v>
      </c>
      <c r="E194" s="8" t="str">
        <f>IFERROR(__xludf.DUMMYFUNCTION("""COMPUTED_VALUE"""),"These cropped pants are very light weight and super cute. they seem to run just a bit small (i sized up one size from my usual) and don't seem to stretch so a size larger than you generally take may be necessary. the thin pin stripe design is very light i"&amp;"n color so they are quite versatile.")</f>
        <v>These cropped pants are very light weight and super cute. they seem to run just a bit small (i sized up one size from my usual) and don't seem to stretch so a size larger than you generally take may be necessary. the thin pin stripe design is very light in color so they are quite versatile.</v>
      </c>
      <c r="F194" s="8">
        <f>IFERROR(__xludf.DUMMYFUNCTION("""COMPUTED_VALUE"""),5.0)</f>
        <v>5</v>
      </c>
      <c r="G194" s="8">
        <f>IFERROR(__xludf.DUMMYFUNCTION("""COMPUTED_VALUE"""),1.0)</f>
        <v>1</v>
      </c>
      <c r="H194" s="8">
        <f>IFERROR(__xludf.DUMMYFUNCTION("""COMPUTED_VALUE"""),1.0)</f>
        <v>1</v>
      </c>
      <c r="I194" s="8" t="str">
        <f>IFERROR(__xludf.DUMMYFUNCTION("""COMPUTED_VALUE"""),"General")</f>
        <v>General</v>
      </c>
      <c r="J194" s="8" t="str">
        <f>IFERROR(__xludf.DUMMYFUNCTION("""COMPUTED_VALUE"""),"Bottoms")</f>
        <v>Bottoms</v>
      </c>
      <c r="K194" s="8" t="str">
        <f>IFERROR(__xludf.DUMMYFUNCTION("""COMPUTED_VALUE"""),"Pants")</f>
        <v>Pants</v>
      </c>
    </row>
    <row r="195">
      <c r="A195" s="8">
        <f>IFERROR(__xludf.DUMMYFUNCTION("""COMPUTED_VALUE"""),253.0)</f>
        <v>253</v>
      </c>
      <c r="B195" s="8">
        <f>IFERROR(__xludf.DUMMYFUNCTION("""COMPUTED_VALUE"""),647.0)</f>
        <v>647</v>
      </c>
      <c r="C195" s="8">
        <f>IFERROR(__xludf.DUMMYFUNCTION("""COMPUTED_VALUE"""),32.0)</f>
        <v>32</v>
      </c>
      <c r="D195" s="8" t="str">
        <f>IFERROR(__xludf.DUMMYFUNCTION("""COMPUTED_VALUE"""),"Cute, casual dress")</f>
        <v>Cute, casual dress</v>
      </c>
      <c r="E195" s="8" t="str">
        <f>IFERROR(__xludf.DUMMYFUNCTION("""COMPUTED_VALUE"""),"I have this dress on today in white and i am coming back to buy the second color even though pink is not my favorite. great comfy, casual dress that pairs well with a variety of shoes and jewelry to dress it up. highly recommend for summer!")</f>
        <v>I have this dress on today in white and i am coming back to buy the second color even though pink is not my favorite. great comfy, casual dress that pairs well with a variety of shoes and jewelry to dress it up. highly recommend for summer!</v>
      </c>
      <c r="F195" s="8">
        <f>IFERROR(__xludf.DUMMYFUNCTION("""COMPUTED_VALUE"""),5.0)</f>
        <v>5</v>
      </c>
      <c r="G195" s="8">
        <f>IFERROR(__xludf.DUMMYFUNCTION("""COMPUTED_VALUE"""),1.0)</f>
        <v>1</v>
      </c>
      <c r="H195" s="8">
        <f>IFERROR(__xludf.DUMMYFUNCTION("""COMPUTED_VALUE"""),6.0)</f>
        <v>6</v>
      </c>
      <c r="I195" s="8" t="str">
        <f>IFERROR(__xludf.DUMMYFUNCTION("""COMPUTED_VALUE"""),"General Petite")</f>
        <v>General Petite</v>
      </c>
      <c r="J195" s="8" t="str">
        <f>IFERROR(__xludf.DUMMYFUNCTION("""COMPUTED_VALUE"""),"Intimate")</f>
        <v>Intimate</v>
      </c>
      <c r="K195" s="8" t="str">
        <f>IFERROR(__xludf.DUMMYFUNCTION("""COMPUTED_VALUE"""),"Lounge")</f>
        <v>Lounge</v>
      </c>
    </row>
    <row r="196">
      <c r="A196" s="8">
        <f>IFERROR(__xludf.DUMMYFUNCTION("""COMPUTED_VALUE"""),254.0)</f>
        <v>254</v>
      </c>
      <c r="B196" s="8">
        <f>IFERROR(__xludf.DUMMYFUNCTION("""COMPUTED_VALUE"""),840.0)</f>
        <v>840</v>
      </c>
      <c r="C196" s="8">
        <f>IFERROR(__xludf.DUMMYFUNCTION("""COMPUTED_VALUE"""),28.0)</f>
        <v>28</v>
      </c>
      <c r="D196" s="8"/>
      <c r="E196" s="8" t="str">
        <f>IFERROR(__xludf.DUMMYFUNCTION("""COMPUTED_VALUE"""),"Size down! i love this item. it goes perfect with leggings but if you are typically a small you would need to order an extra small and so forth. hopefully once i wash this it will shrink some.")</f>
        <v>Size down! i love this item. it goes perfect with leggings but if you are typically a small you would need to order an extra small and so forth. hopefully once i wash this it will shrink some.</v>
      </c>
      <c r="F196" s="8">
        <f>IFERROR(__xludf.DUMMYFUNCTION("""COMPUTED_VALUE"""),5.0)</f>
        <v>5</v>
      </c>
      <c r="G196" s="8">
        <f>IFERROR(__xludf.DUMMYFUNCTION("""COMPUTED_VALUE"""),1.0)</f>
        <v>1</v>
      </c>
      <c r="H196" s="8">
        <f>IFERROR(__xludf.DUMMYFUNCTION("""COMPUTED_VALUE"""),0.0)</f>
        <v>0</v>
      </c>
      <c r="I196" s="8" t="str">
        <f>IFERROR(__xludf.DUMMYFUNCTION("""COMPUTED_VALUE"""),"General")</f>
        <v>General</v>
      </c>
      <c r="J196" s="8" t="str">
        <f>IFERROR(__xludf.DUMMYFUNCTION("""COMPUTED_VALUE"""),"Tops")</f>
        <v>Tops</v>
      </c>
      <c r="K196" s="8" t="str">
        <f>IFERROR(__xludf.DUMMYFUNCTION("""COMPUTED_VALUE"""),"Blouses")</f>
        <v>Blouses</v>
      </c>
    </row>
    <row r="197">
      <c r="A197" s="8">
        <f>IFERROR(__xludf.DUMMYFUNCTION("""COMPUTED_VALUE"""),255.0)</f>
        <v>255</v>
      </c>
      <c r="B197" s="8">
        <f>IFERROR(__xludf.DUMMYFUNCTION("""COMPUTED_VALUE"""),840.0)</f>
        <v>840</v>
      </c>
      <c r="C197" s="8">
        <f>IFERROR(__xludf.DUMMYFUNCTION("""COMPUTED_VALUE"""),51.0)</f>
        <v>51</v>
      </c>
      <c r="D197" s="8" t="str">
        <f>IFERROR(__xludf.DUMMYFUNCTION("""COMPUTED_VALUE"""),"Runs big!")</f>
        <v>Runs big!</v>
      </c>
      <c r="E197" s="8" t="str">
        <f>IFERROR(__xludf.DUMMYFUNCTION("""COMPUTED_VALUE"""),"Cute, swing top that would be flattering on most. i love the print on the white color and it's so soft. doesn't wrinkle easy. but it does run big! i'm usually a s in retailer but i was drowning in it. so, size down!")</f>
        <v>Cute, swing top that would be flattering on most. i love the print on the white color and it's so soft. doesn't wrinkle easy. but it does run big! i'm usually a s in retailer but i was drowning in it. so, size down!</v>
      </c>
      <c r="F197" s="8">
        <f>IFERROR(__xludf.DUMMYFUNCTION("""COMPUTED_VALUE"""),4.0)</f>
        <v>4</v>
      </c>
      <c r="G197" s="8">
        <f>IFERROR(__xludf.DUMMYFUNCTION("""COMPUTED_VALUE"""),1.0)</f>
        <v>1</v>
      </c>
      <c r="H197" s="8">
        <f>IFERROR(__xludf.DUMMYFUNCTION("""COMPUTED_VALUE"""),1.0)</f>
        <v>1</v>
      </c>
      <c r="I197" s="8" t="str">
        <f>IFERROR(__xludf.DUMMYFUNCTION("""COMPUTED_VALUE"""),"General")</f>
        <v>General</v>
      </c>
      <c r="J197" s="8" t="str">
        <f>IFERROR(__xludf.DUMMYFUNCTION("""COMPUTED_VALUE"""),"Tops")</f>
        <v>Tops</v>
      </c>
      <c r="K197" s="8" t="str">
        <f>IFERROR(__xludf.DUMMYFUNCTION("""COMPUTED_VALUE"""),"Blouses")</f>
        <v>Blouses</v>
      </c>
    </row>
    <row r="198">
      <c r="A198" s="8">
        <f>IFERROR(__xludf.DUMMYFUNCTION("""COMPUTED_VALUE"""),256.0)</f>
        <v>256</v>
      </c>
      <c r="B198" s="8">
        <f>IFERROR(__xludf.DUMMYFUNCTION("""COMPUTED_VALUE"""),840.0)</f>
        <v>840</v>
      </c>
      <c r="C198" s="8">
        <f>IFERROR(__xludf.DUMMYFUNCTION("""COMPUTED_VALUE"""),44.0)</f>
        <v>44</v>
      </c>
      <c r="D198" s="8" t="str">
        <f>IFERROR(__xludf.DUMMYFUNCTION("""COMPUTED_VALUE"""),"Stylish and understated elegant")</f>
        <v>Stylish and understated elegant</v>
      </c>
      <c r="E198" s="8" t="str">
        <f>IFERROR(__xludf.DUMMYFUNCTION("""COMPUTED_VALUE"""),"I purchased this top in a regular small and surprisingly, it fits me very well (i'm 5'2"", 34b, 26 waist, 36 hips). the hem falls about two inches longer than shown on the model. i like the v-neck the most because the ruffles are not too much, and it's no"&amp;"t too low cut. i purchased the white color because i think the pattern is unique and it's brighter for spring/summer. i think skinny jeans and ankle boots or wedges would make the look very stylish. by the way, the fabric is super soft (but not w")</f>
        <v>I purchased this top in a regular small and surprisingly, it fits me very well (i'm 5'2", 34b, 26 waist, 36 hips). the hem falls about two inches longer than shown on the model. i like the v-neck the most because the ruffles are not too much, and it's not too low cut. i purchased the white color because i think the pattern is unique and it's brighter for spring/summer. i think skinny jeans and ankle boots or wedges would make the look very stylish. by the way, the fabric is super soft (but not w</v>
      </c>
      <c r="F198" s="8">
        <f>IFERROR(__xludf.DUMMYFUNCTION("""COMPUTED_VALUE"""),5.0)</f>
        <v>5</v>
      </c>
      <c r="G198" s="8">
        <f>IFERROR(__xludf.DUMMYFUNCTION("""COMPUTED_VALUE"""),1.0)</f>
        <v>1</v>
      </c>
      <c r="H198" s="8">
        <f>IFERROR(__xludf.DUMMYFUNCTION("""COMPUTED_VALUE"""),1.0)</f>
        <v>1</v>
      </c>
      <c r="I198" s="8" t="str">
        <f>IFERROR(__xludf.DUMMYFUNCTION("""COMPUTED_VALUE"""),"General")</f>
        <v>General</v>
      </c>
      <c r="J198" s="8" t="str">
        <f>IFERROR(__xludf.DUMMYFUNCTION("""COMPUTED_VALUE"""),"Tops")</f>
        <v>Tops</v>
      </c>
      <c r="K198" s="8" t="str">
        <f>IFERROR(__xludf.DUMMYFUNCTION("""COMPUTED_VALUE"""),"Blouses")</f>
        <v>Blouses</v>
      </c>
    </row>
    <row r="199">
      <c r="A199" s="8">
        <f>IFERROR(__xludf.DUMMYFUNCTION("""COMPUTED_VALUE"""),257.0)</f>
        <v>257</v>
      </c>
      <c r="B199" s="8">
        <f>IFERROR(__xludf.DUMMYFUNCTION("""COMPUTED_VALUE"""),1018.0)</f>
        <v>1018</v>
      </c>
      <c r="C199" s="8">
        <f>IFERROR(__xludf.DUMMYFUNCTION("""COMPUTED_VALUE"""),43.0)</f>
        <v>43</v>
      </c>
      <c r="D199" s="8" t="str">
        <f>IFERROR(__xludf.DUMMYFUNCTION("""COMPUTED_VALUE"""),"Pockets!")</f>
        <v>Pockets!</v>
      </c>
      <c r="E199" s="8" t="str">
        <f>IFERROR(__xludf.DUMMYFUNCTION("""COMPUTED_VALUE"""),"This skirt is really beautiful but i agree with the other reviewers; it runs very small. i'm typically an 8 or 10. if i get a 10, there is usually a bit of room in the item. i decided to get a 10 in this skirt, just in case. i got it zipped but would have"&amp;" trouble breathing as the evening wore on. the pockets are wonderful and the fabric is weighty and really lovely.")</f>
        <v>This skirt is really beautiful but i agree with the other reviewers; it runs very small. i'm typically an 8 or 10. if i get a 10, there is usually a bit of room in the item. i decided to get a 10 in this skirt, just in case. i got it zipped but would have trouble breathing as the evening wore on. the pockets are wonderful and the fabric is weighty and really lovely.</v>
      </c>
      <c r="F199" s="8">
        <f>IFERROR(__xludf.DUMMYFUNCTION("""COMPUTED_VALUE"""),4.0)</f>
        <v>4</v>
      </c>
      <c r="G199" s="8">
        <f>IFERROR(__xludf.DUMMYFUNCTION("""COMPUTED_VALUE"""),1.0)</f>
        <v>1</v>
      </c>
      <c r="H199" s="8">
        <f>IFERROR(__xludf.DUMMYFUNCTION("""COMPUTED_VALUE"""),0.0)</f>
        <v>0</v>
      </c>
      <c r="I199" s="8" t="str">
        <f>IFERROR(__xludf.DUMMYFUNCTION("""COMPUTED_VALUE"""),"General")</f>
        <v>General</v>
      </c>
      <c r="J199" s="8" t="str">
        <f>IFERROR(__xludf.DUMMYFUNCTION("""COMPUTED_VALUE"""),"Bottoms")</f>
        <v>Bottoms</v>
      </c>
      <c r="K199" s="8" t="str">
        <f>IFERROR(__xludf.DUMMYFUNCTION("""COMPUTED_VALUE"""),"Skirts")</f>
        <v>Skirts</v>
      </c>
    </row>
    <row r="200">
      <c r="A200" s="8">
        <f>IFERROR(__xludf.DUMMYFUNCTION("""COMPUTED_VALUE"""),259.0)</f>
        <v>259</v>
      </c>
      <c r="B200" s="8">
        <f>IFERROR(__xludf.DUMMYFUNCTION("""COMPUTED_VALUE"""),824.0)</f>
        <v>824</v>
      </c>
      <c r="C200" s="8">
        <f>IFERROR(__xludf.DUMMYFUNCTION("""COMPUTED_VALUE"""),37.0)</f>
        <v>37</v>
      </c>
      <c r="D200" s="8" t="str">
        <f>IFERROR(__xludf.DUMMYFUNCTION("""COMPUTED_VALUE"""),"Love this top")</f>
        <v>Love this top</v>
      </c>
      <c r="E200" s="8" t="str">
        <f>IFERROR(__xludf.DUMMYFUNCTION("""COMPUTED_VALUE"""),"From the picture i wasn't sure how it would fit. got in the mail and i love it. fits snug when you first put it on and get looser as you wear it. definitely should of gotten a large.")</f>
        <v>From the picture i wasn't sure how it would fit. got in the mail and i love it. fits snug when you first put it on and get looser as you wear it. definitely should of gotten a large.</v>
      </c>
      <c r="F200" s="8">
        <f>IFERROR(__xludf.DUMMYFUNCTION("""COMPUTED_VALUE"""),5.0)</f>
        <v>5</v>
      </c>
      <c r="G200" s="8">
        <f>IFERROR(__xludf.DUMMYFUNCTION("""COMPUTED_VALUE"""),1.0)</f>
        <v>1</v>
      </c>
      <c r="H200" s="8">
        <f>IFERROR(__xludf.DUMMYFUNCTION("""COMPUTED_VALUE"""),1.0)</f>
        <v>1</v>
      </c>
      <c r="I200" s="8" t="str">
        <f>IFERROR(__xludf.DUMMYFUNCTION("""COMPUTED_VALUE"""),"General")</f>
        <v>General</v>
      </c>
      <c r="J200" s="8" t="str">
        <f>IFERROR(__xludf.DUMMYFUNCTION("""COMPUTED_VALUE"""),"Tops")</f>
        <v>Tops</v>
      </c>
      <c r="K200" s="8" t="str">
        <f>IFERROR(__xludf.DUMMYFUNCTION("""COMPUTED_VALUE"""),"Blouses")</f>
        <v>Blouses</v>
      </c>
    </row>
    <row r="201">
      <c r="A201" s="8">
        <f>IFERROR(__xludf.DUMMYFUNCTION("""COMPUTED_VALUE"""),260.0)</f>
        <v>260</v>
      </c>
      <c r="B201" s="8">
        <f>IFERROR(__xludf.DUMMYFUNCTION("""COMPUTED_VALUE"""),1115.0)</f>
        <v>1115</v>
      </c>
      <c r="C201" s="8">
        <f>IFERROR(__xludf.DUMMYFUNCTION("""COMPUTED_VALUE"""),31.0)</f>
        <v>31</v>
      </c>
      <c r="D201" s="8" t="str">
        <f>IFERROR(__xludf.DUMMYFUNCTION("""COMPUTED_VALUE"""),"Love this coat!")</f>
        <v>Love this coat!</v>
      </c>
      <c r="E201" s="8" t="str">
        <f>IFERROR(__xludf.DUMMYFUNCTION("""COMPUTED_VALUE"""),"I was hesitant to purchase this coat because of the price, and when i received it i have to admit i was a little disappointed with the quality of the coat. the sleeves are made out of a soft felted material but i can see this pilling easily. other than th"&amp;"at, the silhouette of the coat is perfect...not too boxy! it's also not too heavy so that you can wear it through fall and into the first months of winter. i love it!")</f>
        <v>I was hesitant to purchase this coat because of the price, and when i received it i have to admit i was a little disappointed with the quality of the coat. the sleeves are made out of a soft felted material but i can see this pilling easily. other than that, the silhouette of the coat is perfect...not too boxy! it's also not too heavy so that you can wear it through fall and into the first months of winter. i love it!</v>
      </c>
      <c r="F201" s="8">
        <f>IFERROR(__xludf.DUMMYFUNCTION("""COMPUTED_VALUE"""),5.0)</f>
        <v>5</v>
      </c>
      <c r="G201" s="8">
        <f>IFERROR(__xludf.DUMMYFUNCTION("""COMPUTED_VALUE"""),1.0)</f>
        <v>1</v>
      </c>
      <c r="H201" s="8">
        <f>IFERROR(__xludf.DUMMYFUNCTION("""COMPUTED_VALUE"""),2.0)</f>
        <v>2</v>
      </c>
      <c r="I201" s="8" t="str">
        <f>IFERROR(__xludf.DUMMYFUNCTION("""COMPUTED_VALUE"""),"General")</f>
        <v>General</v>
      </c>
      <c r="J201" s="8" t="str">
        <f>IFERROR(__xludf.DUMMYFUNCTION("""COMPUTED_VALUE"""),"Jackets")</f>
        <v>Jackets</v>
      </c>
      <c r="K201" s="8" t="str">
        <f>IFERROR(__xludf.DUMMYFUNCTION("""COMPUTED_VALUE"""),"Outerwear")</f>
        <v>Outerwear</v>
      </c>
    </row>
    <row r="202">
      <c r="A202" s="8">
        <f>IFERROR(__xludf.DUMMYFUNCTION("""COMPUTED_VALUE"""),261.0)</f>
        <v>261</v>
      </c>
      <c r="B202" s="8">
        <f>IFERROR(__xludf.DUMMYFUNCTION("""COMPUTED_VALUE"""),840.0)</f>
        <v>840</v>
      </c>
      <c r="C202" s="8">
        <f>IFERROR(__xludf.DUMMYFUNCTION("""COMPUTED_VALUE"""),50.0)</f>
        <v>50</v>
      </c>
      <c r="D202" s="8" t="str">
        <f>IFERROR(__xludf.DUMMYFUNCTION("""COMPUTED_VALUE"""),"Adorable and flattering")</f>
        <v>Adorable and flattering</v>
      </c>
      <c r="E202" s="8" t="str">
        <f>IFERROR(__xludf.DUMMYFUNCTION("""COMPUTED_VALUE"""),"This top is very cute. got it in the lighter color. the fit is great and it will go with many things. if size medium were not out of stock in the blue color i would have purchased that one also.")</f>
        <v>This top is very cute. got it in the lighter color. the fit is great and it will go with many things. if size medium were not out of stock in the blue color i would have purchased that one also.</v>
      </c>
      <c r="F202" s="8">
        <f>IFERROR(__xludf.DUMMYFUNCTION("""COMPUTED_VALUE"""),5.0)</f>
        <v>5</v>
      </c>
      <c r="G202" s="8">
        <f>IFERROR(__xludf.DUMMYFUNCTION("""COMPUTED_VALUE"""),1.0)</f>
        <v>1</v>
      </c>
      <c r="H202" s="8">
        <f>IFERROR(__xludf.DUMMYFUNCTION("""COMPUTED_VALUE"""),0.0)</f>
        <v>0</v>
      </c>
      <c r="I202" s="8" t="str">
        <f>IFERROR(__xludf.DUMMYFUNCTION("""COMPUTED_VALUE"""),"General")</f>
        <v>General</v>
      </c>
      <c r="J202" s="8" t="str">
        <f>IFERROR(__xludf.DUMMYFUNCTION("""COMPUTED_VALUE"""),"Tops")</f>
        <v>Tops</v>
      </c>
      <c r="K202" s="8" t="str">
        <f>IFERROR(__xludf.DUMMYFUNCTION("""COMPUTED_VALUE"""),"Blouses")</f>
        <v>Blouses</v>
      </c>
    </row>
    <row r="203">
      <c r="A203" s="8">
        <f>IFERROR(__xludf.DUMMYFUNCTION("""COMPUTED_VALUE"""),263.0)</f>
        <v>263</v>
      </c>
      <c r="B203" s="8">
        <f>IFERROR(__xludf.DUMMYFUNCTION("""COMPUTED_VALUE"""),984.0)</f>
        <v>984</v>
      </c>
      <c r="C203" s="8">
        <f>IFERROR(__xludf.DUMMYFUNCTION("""COMPUTED_VALUE"""),56.0)</f>
        <v>56</v>
      </c>
      <c r="D203" s="8" t="str">
        <f>IFERROR(__xludf.DUMMYFUNCTION("""COMPUTED_VALUE"""),"Pretty denim jacket")</f>
        <v>Pretty denim jacket</v>
      </c>
      <c r="E203" s="8" t="str">
        <f>IFERROR(__xludf.DUMMYFUNCTION("""COMPUTED_VALUE"""),"This is a perfect jacket over any shirt, tee, or dress. jacket is well made and goes with anything!")</f>
        <v>This is a perfect jacket over any shirt, tee, or dress. jacket is well made and goes with anything!</v>
      </c>
      <c r="F203" s="8">
        <f>IFERROR(__xludf.DUMMYFUNCTION("""COMPUTED_VALUE"""),5.0)</f>
        <v>5</v>
      </c>
      <c r="G203" s="8">
        <f>IFERROR(__xludf.DUMMYFUNCTION("""COMPUTED_VALUE"""),1.0)</f>
        <v>1</v>
      </c>
      <c r="H203" s="8">
        <f>IFERROR(__xludf.DUMMYFUNCTION("""COMPUTED_VALUE"""),2.0)</f>
        <v>2</v>
      </c>
      <c r="I203" s="8" t="str">
        <f>IFERROR(__xludf.DUMMYFUNCTION("""COMPUTED_VALUE"""),"General Petite")</f>
        <v>General Petite</v>
      </c>
      <c r="J203" s="8" t="str">
        <f>IFERROR(__xludf.DUMMYFUNCTION("""COMPUTED_VALUE"""),"Jackets")</f>
        <v>Jackets</v>
      </c>
      <c r="K203" s="8" t="str">
        <f>IFERROR(__xludf.DUMMYFUNCTION("""COMPUTED_VALUE"""),"Jackets")</f>
        <v>Jackets</v>
      </c>
    </row>
    <row r="204">
      <c r="A204" s="8">
        <f>IFERROR(__xludf.DUMMYFUNCTION("""COMPUTED_VALUE"""),264.0)</f>
        <v>264</v>
      </c>
      <c r="B204" s="8">
        <f>IFERROR(__xludf.DUMMYFUNCTION("""COMPUTED_VALUE"""),1104.0)</f>
        <v>1104</v>
      </c>
      <c r="C204" s="8">
        <f>IFERROR(__xludf.DUMMYFUNCTION("""COMPUTED_VALUE"""),25.0)</f>
        <v>25</v>
      </c>
      <c r="D204" s="8" t="str">
        <f>IFERROR(__xludf.DUMMYFUNCTION("""COMPUTED_VALUE"""),"Amazing peach color!")</f>
        <v>Amazing peach color!</v>
      </c>
      <c r="E204" s="8" t="str">
        <f>IFERROR(__xludf.DUMMYFUNCTION("""COMPUTED_VALUE"""),"I ordered this dress in both colors. the peach color is so beautiful in person. i'm planning to wear this dress for our rehearsal dinner at the end of the summer, if i can hold off until then! definitely worth the price.")</f>
        <v>I ordered this dress in both colors. the peach color is so beautiful in person. i'm planning to wear this dress for our rehearsal dinner at the end of the summer, if i can hold off until then! definitely worth the price.</v>
      </c>
      <c r="F204" s="8">
        <f>IFERROR(__xludf.DUMMYFUNCTION("""COMPUTED_VALUE"""),5.0)</f>
        <v>5</v>
      </c>
      <c r="G204" s="8">
        <f>IFERROR(__xludf.DUMMYFUNCTION("""COMPUTED_VALUE"""),1.0)</f>
        <v>1</v>
      </c>
      <c r="H204" s="8">
        <f>IFERROR(__xludf.DUMMYFUNCTION("""COMPUTED_VALUE"""),6.0)</f>
        <v>6</v>
      </c>
      <c r="I204" s="8" t="str">
        <f>IFERROR(__xludf.DUMMYFUNCTION("""COMPUTED_VALUE"""),"General")</f>
        <v>General</v>
      </c>
      <c r="J204" s="8" t="str">
        <f>IFERROR(__xludf.DUMMYFUNCTION("""COMPUTED_VALUE"""),"Dresses")</f>
        <v>Dresses</v>
      </c>
      <c r="K204" s="8" t="str">
        <f>IFERROR(__xludf.DUMMYFUNCTION("""COMPUTED_VALUE"""),"Dresses")</f>
        <v>Dresses</v>
      </c>
    </row>
    <row r="205">
      <c r="A205" s="8">
        <f>IFERROR(__xludf.DUMMYFUNCTION("""COMPUTED_VALUE"""),265.0)</f>
        <v>265</v>
      </c>
      <c r="B205" s="8">
        <f>IFERROR(__xludf.DUMMYFUNCTION("""COMPUTED_VALUE"""),878.0)</f>
        <v>878</v>
      </c>
      <c r="C205" s="8">
        <f>IFERROR(__xludf.DUMMYFUNCTION("""COMPUTED_VALUE"""),63.0)</f>
        <v>63</v>
      </c>
      <c r="D205" s="8"/>
      <c r="E205" s="8"/>
      <c r="F205" s="8">
        <f>IFERROR(__xludf.DUMMYFUNCTION("""COMPUTED_VALUE"""),4.0)</f>
        <v>4</v>
      </c>
      <c r="G205" s="8">
        <f>IFERROR(__xludf.DUMMYFUNCTION("""COMPUTED_VALUE"""),1.0)</f>
        <v>1</v>
      </c>
      <c r="H205" s="8">
        <f>IFERROR(__xludf.DUMMYFUNCTION("""COMPUTED_VALUE"""),0.0)</f>
        <v>0</v>
      </c>
      <c r="I205" s="8" t="str">
        <f>IFERROR(__xludf.DUMMYFUNCTION("""COMPUTED_VALUE"""),"General")</f>
        <v>General</v>
      </c>
      <c r="J205" s="8" t="str">
        <f>IFERROR(__xludf.DUMMYFUNCTION("""COMPUTED_VALUE"""),"Tops")</f>
        <v>Tops</v>
      </c>
      <c r="K205" s="8" t="str">
        <f>IFERROR(__xludf.DUMMYFUNCTION("""COMPUTED_VALUE"""),"Knits")</f>
        <v>Knits</v>
      </c>
    </row>
    <row r="206">
      <c r="A206" s="8">
        <f>IFERROR(__xludf.DUMMYFUNCTION("""COMPUTED_VALUE"""),266.0)</f>
        <v>266</v>
      </c>
      <c r="B206" s="8">
        <f>IFERROR(__xludf.DUMMYFUNCTION("""COMPUTED_VALUE"""),1104.0)</f>
        <v>1104</v>
      </c>
      <c r="C206" s="8">
        <f>IFERROR(__xludf.DUMMYFUNCTION("""COMPUTED_VALUE"""),54.0)</f>
        <v>54</v>
      </c>
      <c r="D206" s="8" t="str">
        <f>IFERROR(__xludf.DUMMYFUNCTION("""COMPUTED_VALUE"""),"Perfection.")</f>
        <v>Perfection.</v>
      </c>
      <c r="E206" s="8" t="str">
        <f>IFERROR(__xludf.DUMMYFUNCTION("""COMPUTED_VALUE"""),"This dress is incredible. i saw a sales girl wearing it in my local retailer and loved it! i bought it in the navy color, it's gorgeous in person, very bright, vibrant colors. i am 5'9 34 c bra 27 inch waist and the s was quite big on my waist. i kept it "&amp;"anyway because the xs has been sold out, and got it taken in a bit. i wore it while vacationing in mexico and it definitely turned heads, if you're thinking about buying this dress, do it, you won't regret it!")</f>
        <v>This dress is incredible. i saw a sales girl wearing it in my local retailer and loved it! i bought it in the navy color, it's gorgeous in person, very bright, vibrant colors. i am 5'9 34 c bra 27 inch waist and the s was quite big on my waist. i kept it anyway because the xs has been sold out, and got it taken in a bit. i wore it while vacationing in mexico and it definitely turned heads, if you're thinking about buying this dress, do it, you won't regret it!</v>
      </c>
      <c r="F206" s="8">
        <f>IFERROR(__xludf.DUMMYFUNCTION("""COMPUTED_VALUE"""),5.0)</f>
        <v>5</v>
      </c>
      <c r="G206" s="8">
        <f>IFERROR(__xludf.DUMMYFUNCTION("""COMPUTED_VALUE"""),1.0)</f>
        <v>1</v>
      </c>
      <c r="H206" s="8">
        <f>IFERROR(__xludf.DUMMYFUNCTION("""COMPUTED_VALUE"""),0.0)</f>
        <v>0</v>
      </c>
      <c r="I206" s="8" t="str">
        <f>IFERROR(__xludf.DUMMYFUNCTION("""COMPUTED_VALUE"""),"General")</f>
        <v>General</v>
      </c>
      <c r="J206" s="8" t="str">
        <f>IFERROR(__xludf.DUMMYFUNCTION("""COMPUTED_VALUE"""),"Dresses")</f>
        <v>Dresses</v>
      </c>
      <c r="K206" s="8" t="str">
        <f>IFERROR(__xludf.DUMMYFUNCTION("""COMPUTED_VALUE"""),"Dresses")</f>
        <v>Dresses</v>
      </c>
    </row>
    <row r="207">
      <c r="A207" s="8">
        <f>IFERROR(__xludf.DUMMYFUNCTION("""COMPUTED_VALUE"""),267.0)</f>
        <v>267</v>
      </c>
      <c r="B207" s="8">
        <f>IFERROR(__xludf.DUMMYFUNCTION("""COMPUTED_VALUE"""),984.0)</f>
        <v>984</v>
      </c>
      <c r="C207" s="8">
        <f>IFERROR(__xludf.DUMMYFUNCTION("""COMPUTED_VALUE"""),28.0)</f>
        <v>28</v>
      </c>
      <c r="D207" s="8" t="str">
        <f>IFERROR(__xludf.DUMMYFUNCTION("""COMPUTED_VALUE"""),"Nice quality but too short for my tall frame")</f>
        <v>Nice quality but too short for my tall frame</v>
      </c>
      <c r="E207" s="8" t="str">
        <f>IFERROR(__xludf.DUMMYFUNCTION("""COMPUTED_VALUE"""),"Love the look and quality of this jacket. i&amp;amp;#39;d say it fits true to size but it is way too short for me (i&amp;amp;#39;m just under 6&amp;amp;#39; tall). wish these came in tall sizes!")</f>
        <v>Love the look and quality of this jacket. i&amp;amp;#39;d say it fits true to size but it is way too short for me (i&amp;amp;#39;m just under 6&amp;amp;#39; tall). wish these came in tall sizes!</v>
      </c>
      <c r="F207" s="8">
        <f>IFERROR(__xludf.DUMMYFUNCTION("""COMPUTED_VALUE"""),4.0)</f>
        <v>4</v>
      </c>
      <c r="G207" s="8">
        <f>IFERROR(__xludf.DUMMYFUNCTION("""COMPUTED_VALUE"""),1.0)</f>
        <v>1</v>
      </c>
      <c r="H207" s="8">
        <f>IFERROR(__xludf.DUMMYFUNCTION("""COMPUTED_VALUE"""),0.0)</f>
        <v>0</v>
      </c>
      <c r="I207" s="8" t="str">
        <f>IFERROR(__xludf.DUMMYFUNCTION("""COMPUTED_VALUE"""),"General Petite")</f>
        <v>General Petite</v>
      </c>
      <c r="J207" s="8" t="str">
        <f>IFERROR(__xludf.DUMMYFUNCTION("""COMPUTED_VALUE"""),"Jackets")</f>
        <v>Jackets</v>
      </c>
      <c r="K207" s="8" t="str">
        <f>IFERROR(__xludf.DUMMYFUNCTION("""COMPUTED_VALUE"""),"Jackets")</f>
        <v>Jackets</v>
      </c>
    </row>
    <row r="208">
      <c r="A208" s="8">
        <f>IFERROR(__xludf.DUMMYFUNCTION("""COMPUTED_VALUE"""),268.0)</f>
        <v>268</v>
      </c>
      <c r="B208" s="8">
        <f>IFERROR(__xludf.DUMMYFUNCTION("""COMPUTED_VALUE"""),866.0)</f>
        <v>866</v>
      </c>
      <c r="C208" s="8">
        <f>IFERROR(__xludf.DUMMYFUNCTION("""COMPUTED_VALUE"""),26.0)</f>
        <v>26</v>
      </c>
      <c r="D208" s="8" t="str">
        <f>IFERROR(__xludf.DUMMYFUNCTION("""COMPUTED_VALUE"""),"Cute top, but back is more of a jersey material")</f>
        <v>Cute top, but back is more of a jersey material</v>
      </c>
      <c r="E208" s="8" t="str">
        <f>IFERROR(__xludf.DUMMYFUNCTION("""COMPUTED_VALUE"""),"I really love the front of this shirt. however, the back of the shirt is more of a jersey material so it doesn't seem to match the front of the shirt. i still wear it and it looks cute, but it threw me off a bit at first.")</f>
        <v>I really love the front of this shirt. however, the back of the shirt is more of a jersey material so it doesn't seem to match the front of the shirt. i still wear it and it looks cute, but it threw me off a bit at first.</v>
      </c>
      <c r="F208" s="8">
        <f>IFERROR(__xludf.DUMMYFUNCTION("""COMPUTED_VALUE"""),4.0)</f>
        <v>4</v>
      </c>
      <c r="G208" s="8">
        <f>IFERROR(__xludf.DUMMYFUNCTION("""COMPUTED_VALUE"""),1.0)</f>
        <v>1</v>
      </c>
      <c r="H208" s="8">
        <f>IFERROR(__xludf.DUMMYFUNCTION("""COMPUTED_VALUE"""),0.0)</f>
        <v>0</v>
      </c>
      <c r="I208" s="8" t="str">
        <f>IFERROR(__xludf.DUMMYFUNCTION("""COMPUTED_VALUE"""),"General")</f>
        <v>General</v>
      </c>
      <c r="J208" s="8" t="str">
        <f>IFERROR(__xludf.DUMMYFUNCTION("""COMPUTED_VALUE"""),"Tops")</f>
        <v>Tops</v>
      </c>
      <c r="K208" s="8" t="str">
        <f>IFERROR(__xludf.DUMMYFUNCTION("""COMPUTED_VALUE"""),"Knits")</f>
        <v>Knits</v>
      </c>
    </row>
    <row r="209">
      <c r="A209" s="8">
        <f>IFERROR(__xludf.DUMMYFUNCTION("""COMPUTED_VALUE"""),269.0)</f>
        <v>269</v>
      </c>
      <c r="B209" s="8">
        <f>IFERROR(__xludf.DUMMYFUNCTION("""COMPUTED_VALUE"""),1104.0)</f>
        <v>1104</v>
      </c>
      <c r="C209" s="8">
        <f>IFERROR(__xludf.DUMMYFUNCTION("""COMPUTED_VALUE"""),29.0)</f>
        <v>29</v>
      </c>
      <c r="D209" s="8"/>
      <c r="E209" s="8" t="str">
        <f>IFERROR(__xludf.DUMMYFUNCTION("""COMPUTED_VALUE"""),"Absolutely love this dress! fits true to size and makes anyone look fabulous")</f>
        <v>Absolutely love this dress! fits true to size and makes anyone look fabulous</v>
      </c>
      <c r="F209" s="8">
        <f>IFERROR(__xludf.DUMMYFUNCTION("""COMPUTED_VALUE"""),5.0)</f>
        <v>5</v>
      </c>
      <c r="G209" s="8">
        <f>IFERROR(__xludf.DUMMYFUNCTION("""COMPUTED_VALUE"""),1.0)</f>
        <v>1</v>
      </c>
      <c r="H209" s="8">
        <f>IFERROR(__xludf.DUMMYFUNCTION("""COMPUTED_VALUE"""),0.0)</f>
        <v>0</v>
      </c>
      <c r="I209" s="8" t="str">
        <f>IFERROR(__xludf.DUMMYFUNCTION("""COMPUTED_VALUE"""),"General")</f>
        <v>General</v>
      </c>
      <c r="J209" s="8" t="str">
        <f>IFERROR(__xludf.DUMMYFUNCTION("""COMPUTED_VALUE"""),"Dresses")</f>
        <v>Dresses</v>
      </c>
      <c r="K209" s="8" t="str">
        <f>IFERROR(__xludf.DUMMYFUNCTION("""COMPUTED_VALUE"""),"Dresses")</f>
        <v>Dresses</v>
      </c>
    </row>
    <row r="210">
      <c r="A210" s="8">
        <f>IFERROR(__xludf.DUMMYFUNCTION("""COMPUTED_VALUE"""),271.0)</f>
        <v>271</v>
      </c>
      <c r="B210" s="8">
        <f>IFERROR(__xludf.DUMMYFUNCTION("""COMPUTED_VALUE"""),984.0)</f>
        <v>984</v>
      </c>
      <c r="C210" s="8">
        <f>IFERROR(__xludf.DUMMYFUNCTION("""COMPUTED_VALUE"""),45.0)</f>
        <v>45</v>
      </c>
      <c r="D210" s="8" t="str">
        <f>IFERROR(__xludf.DUMMYFUNCTION("""COMPUTED_VALUE"""),"Perfect jean jacket")</f>
        <v>Perfect jean jacket</v>
      </c>
      <c r="E210" s="8" t="str">
        <f>IFERROR(__xludf.DUMMYFUNCTION("""COMPUTED_VALUE"""),"Per other reviewers, i sized up from a small to a medium and the jacket fits me just right with room for layers. it is short (cropped), but i like where it hits me and is versatile for jeans and dresses.")</f>
        <v>Per other reviewers, i sized up from a small to a medium and the jacket fits me just right with room for layers. it is short (cropped), but i like where it hits me and is versatile for jeans and dresses.</v>
      </c>
      <c r="F210" s="8">
        <f>IFERROR(__xludf.DUMMYFUNCTION("""COMPUTED_VALUE"""),5.0)</f>
        <v>5</v>
      </c>
      <c r="G210" s="8">
        <f>IFERROR(__xludf.DUMMYFUNCTION("""COMPUTED_VALUE"""),1.0)</f>
        <v>1</v>
      </c>
      <c r="H210" s="8">
        <f>IFERROR(__xludf.DUMMYFUNCTION("""COMPUTED_VALUE"""),1.0)</f>
        <v>1</v>
      </c>
      <c r="I210" s="8" t="str">
        <f>IFERROR(__xludf.DUMMYFUNCTION("""COMPUTED_VALUE"""),"General Petite")</f>
        <v>General Petite</v>
      </c>
      <c r="J210" s="8" t="str">
        <f>IFERROR(__xludf.DUMMYFUNCTION("""COMPUTED_VALUE"""),"Jackets")</f>
        <v>Jackets</v>
      </c>
      <c r="K210" s="8" t="str">
        <f>IFERROR(__xludf.DUMMYFUNCTION("""COMPUTED_VALUE"""),"Jackets")</f>
        <v>Jackets</v>
      </c>
    </row>
    <row r="211">
      <c r="A211" s="8">
        <f>IFERROR(__xludf.DUMMYFUNCTION("""COMPUTED_VALUE"""),272.0)</f>
        <v>272</v>
      </c>
      <c r="B211" s="8">
        <f>IFERROR(__xludf.DUMMYFUNCTION("""COMPUTED_VALUE"""),984.0)</f>
        <v>984</v>
      </c>
      <c r="C211" s="8">
        <f>IFERROR(__xludf.DUMMYFUNCTION("""COMPUTED_VALUE"""),39.0)</f>
        <v>39</v>
      </c>
      <c r="D211" s="8" t="str">
        <f>IFERROR(__xludf.DUMMYFUNCTION("""COMPUTED_VALUE"""),"Great asset")</f>
        <v>Great asset</v>
      </c>
      <c r="E211" s="8" t="str">
        <f>IFERROR(__xludf.DUMMYFUNCTION("""COMPUTED_VALUE"""),"I have alst year's version,a dn they are essentially the smae, minus some leather parts removed... this jacket is great, the back si a little shorter, so it goes so well with peplum tops an ddresses with higher waists (without looking bigger from the back"&amp;" when the hem is longer and hits where the skirt aprts bulge out). i love hte darker color, i wish it came is super dark rinse...
i usually buy petites, but i never tired on the eptite in this jacket... i am holding myself back to order this on")</f>
        <v>I have alst year's version,a dn they are essentially the smae, minus some leather parts removed... this jacket is great, the back si a little shorter, so it goes so well with peplum tops an ddresses with higher waists (without looking bigger from the back when the hem is longer and hits where the skirt aprts bulge out). i love hte darker color, i wish it came is super dark rinse...
i usually buy petites, but i never tired on the eptite in this jacket... i am holding myself back to order this on</v>
      </c>
      <c r="F211" s="8">
        <f>IFERROR(__xludf.DUMMYFUNCTION("""COMPUTED_VALUE"""),5.0)</f>
        <v>5</v>
      </c>
      <c r="G211" s="8">
        <f>IFERROR(__xludf.DUMMYFUNCTION("""COMPUTED_VALUE"""),1.0)</f>
        <v>1</v>
      </c>
      <c r="H211" s="8">
        <f>IFERROR(__xludf.DUMMYFUNCTION("""COMPUTED_VALUE"""),7.0)</f>
        <v>7</v>
      </c>
      <c r="I211" s="8" t="str">
        <f>IFERROR(__xludf.DUMMYFUNCTION("""COMPUTED_VALUE"""),"General Petite")</f>
        <v>General Petite</v>
      </c>
      <c r="J211" s="8" t="str">
        <f>IFERROR(__xludf.DUMMYFUNCTION("""COMPUTED_VALUE"""),"Jackets")</f>
        <v>Jackets</v>
      </c>
      <c r="K211" s="8" t="str">
        <f>IFERROR(__xludf.DUMMYFUNCTION("""COMPUTED_VALUE"""),"Jackets")</f>
        <v>Jackets</v>
      </c>
    </row>
    <row r="212">
      <c r="A212" s="8">
        <f>IFERROR(__xludf.DUMMYFUNCTION("""COMPUTED_VALUE"""),273.0)</f>
        <v>273</v>
      </c>
      <c r="B212" s="8">
        <f>IFERROR(__xludf.DUMMYFUNCTION("""COMPUTED_VALUE"""),1104.0)</f>
        <v>1104</v>
      </c>
      <c r="C212" s="8">
        <f>IFERROR(__xludf.DUMMYFUNCTION("""COMPUTED_VALUE"""),36.0)</f>
        <v>36</v>
      </c>
      <c r="D212" s="8" t="str">
        <f>IFERROR(__xludf.DUMMYFUNCTION("""COMPUTED_VALUE"""),"Gorgeous")</f>
        <v>Gorgeous</v>
      </c>
      <c r="E212" s="8" t="str">
        <f>IFERROR(__xludf.DUMMYFUNCTION("""COMPUTED_VALUE"""),"Bought both colors in xs and soooooo glad i did. this dress is absolutely gorgeous in either color... will have (do to the nice quality) and wear (very stylish) for a loooooong time.
a must have for the summer!!!!!!")</f>
        <v>Bought both colors in xs and soooooo glad i did. this dress is absolutely gorgeous in either color... will have (do to the nice quality) and wear (very stylish) for a loooooong time.
a must have for the summer!!!!!!</v>
      </c>
      <c r="F212" s="8">
        <f>IFERROR(__xludf.DUMMYFUNCTION("""COMPUTED_VALUE"""),5.0)</f>
        <v>5</v>
      </c>
      <c r="G212" s="8">
        <f>IFERROR(__xludf.DUMMYFUNCTION("""COMPUTED_VALUE"""),1.0)</f>
        <v>1</v>
      </c>
      <c r="H212" s="8">
        <f>IFERROR(__xludf.DUMMYFUNCTION("""COMPUTED_VALUE"""),0.0)</f>
        <v>0</v>
      </c>
      <c r="I212" s="8" t="str">
        <f>IFERROR(__xludf.DUMMYFUNCTION("""COMPUTED_VALUE"""),"General")</f>
        <v>General</v>
      </c>
      <c r="J212" s="8" t="str">
        <f>IFERROR(__xludf.DUMMYFUNCTION("""COMPUTED_VALUE"""),"Dresses")</f>
        <v>Dresses</v>
      </c>
      <c r="K212" s="8" t="str">
        <f>IFERROR(__xludf.DUMMYFUNCTION("""COMPUTED_VALUE"""),"Dresses")</f>
        <v>Dresses</v>
      </c>
    </row>
    <row r="213">
      <c r="A213" s="8">
        <f>IFERROR(__xludf.DUMMYFUNCTION("""COMPUTED_VALUE"""),274.0)</f>
        <v>274</v>
      </c>
      <c r="B213" s="8">
        <f>IFERROR(__xludf.DUMMYFUNCTION("""COMPUTED_VALUE"""),878.0)</f>
        <v>878</v>
      </c>
      <c r="C213" s="8">
        <f>IFERROR(__xludf.DUMMYFUNCTION("""COMPUTED_VALUE"""),41.0)</f>
        <v>41</v>
      </c>
      <c r="D213" s="8" t="str">
        <f>IFERROR(__xludf.DUMMYFUNCTION("""COMPUTED_VALUE"""),"Comfy and fun!")</f>
        <v>Comfy and fun!</v>
      </c>
      <c r="E213" s="8" t="str">
        <f>IFERROR(__xludf.DUMMYFUNCTION("""COMPUTED_VALUE"""),"Comfy sweatshirt with fun polka dot details. soft and not baggy. a little on the shorter side so i think i will layer a lace cami underneath and it will look even prettier. i'm 5'7"", 140 pounds with an athletic, hourglass shape, 32dd. i bought the ""2"" "&amp;"which equates to a medium since i wanted it a little looser being a sweatshirt (i'm normally an retailer small but i don't think that would have worked in this case as it would have been too fitted). great comfy weekend piece!")</f>
        <v>Comfy sweatshirt with fun polka dot details. soft and not baggy. a little on the shorter side so i think i will layer a lace cami underneath and it will look even prettier. i'm 5'7", 140 pounds with an athletic, hourglass shape, 32dd. i bought the "2" which equates to a medium since i wanted it a little looser being a sweatshirt (i'm normally an retailer small but i don't think that would have worked in this case as it would have been too fitted). great comfy weekend piece!</v>
      </c>
      <c r="F213" s="8">
        <f>IFERROR(__xludf.DUMMYFUNCTION("""COMPUTED_VALUE"""),5.0)</f>
        <v>5</v>
      </c>
      <c r="G213" s="8">
        <f>IFERROR(__xludf.DUMMYFUNCTION("""COMPUTED_VALUE"""),1.0)</f>
        <v>1</v>
      </c>
      <c r="H213" s="8">
        <f>IFERROR(__xludf.DUMMYFUNCTION("""COMPUTED_VALUE"""),11.0)</f>
        <v>11</v>
      </c>
      <c r="I213" s="8" t="str">
        <f>IFERROR(__xludf.DUMMYFUNCTION("""COMPUTED_VALUE"""),"General")</f>
        <v>General</v>
      </c>
      <c r="J213" s="8" t="str">
        <f>IFERROR(__xludf.DUMMYFUNCTION("""COMPUTED_VALUE"""),"Tops")</f>
        <v>Tops</v>
      </c>
      <c r="K213" s="8" t="str">
        <f>IFERROR(__xludf.DUMMYFUNCTION("""COMPUTED_VALUE"""),"Knits")</f>
        <v>Knits</v>
      </c>
    </row>
    <row r="214">
      <c r="A214" s="8">
        <f>IFERROR(__xludf.DUMMYFUNCTION("""COMPUTED_VALUE"""),275.0)</f>
        <v>275</v>
      </c>
      <c r="B214" s="8">
        <f>IFERROR(__xludf.DUMMYFUNCTION("""COMPUTED_VALUE"""),1182.0)</f>
        <v>1182</v>
      </c>
      <c r="C214" s="8">
        <f>IFERROR(__xludf.DUMMYFUNCTION("""COMPUTED_VALUE"""),37.0)</f>
        <v>37</v>
      </c>
      <c r="D214" s="8" t="str">
        <f>IFERROR(__xludf.DUMMYFUNCTION("""COMPUTED_VALUE"""),"Great tee")</f>
        <v>Great tee</v>
      </c>
      <c r="E214" s="8" t="str">
        <f>IFERROR(__xludf.DUMMYFUNCTION("""COMPUTED_VALUE"""),"I could wear this every day, it is stylish and comfortable")</f>
        <v>I could wear this every day, it is stylish and comfortable</v>
      </c>
      <c r="F214" s="8">
        <f>IFERROR(__xludf.DUMMYFUNCTION("""COMPUTED_VALUE"""),5.0)</f>
        <v>5</v>
      </c>
      <c r="G214" s="8">
        <f>IFERROR(__xludf.DUMMYFUNCTION("""COMPUTED_VALUE"""),1.0)</f>
        <v>1</v>
      </c>
      <c r="H214" s="8">
        <f>IFERROR(__xludf.DUMMYFUNCTION("""COMPUTED_VALUE"""),0.0)</f>
        <v>0</v>
      </c>
      <c r="I214" s="8" t="str">
        <f>IFERROR(__xludf.DUMMYFUNCTION("""COMPUTED_VALUE"""),"General Petite")</f>
        <v>General Petite</v>
      </c>
      <c r="J214" s="8" t="str">
        <f>IFERROR(__xludf.DUMMYFUNCTION("""COMPUTED_VALUE"""),"Tops")</f>
        <v>Tops</v>
      </c>
      <c r="K214" s="8" t="str">
        <f>IFERROR(__xludf.DUMMYFUNCTION("""COMPUTED_VALUE"""),"Knits")</f>
        <v>Knits</v>
      </c>
    </row>
    <row r="215">
      <c r="A215" s="8">
        <f>IFERROR(__xludf.DUMMYFUNCTION("""COMPUTED_VALUE"""),276.0)</f>
        <v>276</v>
      </c>
      <c r="B215" s="8">
        <f>IFERROR(__xludf.DUMMYFUNCTION("""COMPUTED_VALUE"""),868.0)</f>
        <v>868</v>
      </c>
      <c r="C215" s="8">
        <f>IFERROR(__xludf.DUMMYFUNCTION("""COMPUTED_VALUE"""),55.0)</f>
        <v>55</v>
      </c>
      <c r="D215" s="8" t="str">
        <f>IFERROR(__xludf.DUMMYFUNCTION("""COMPUTED_VALUE"""),"Pretty and feminine")</f>
        <v>Pretty and feminine</v>
      </c>
      <c r="E215" s="8" t="str">
        <f>IFERROR(__xludf.DUMMYFUNCTION("""COMPUTED_VALUE"""),"Pretty top. love the color and the large ruffle. makes it great for layering or with a pretty necklace.")</f>
        <v>Pretty top. love the color and the large ruffle. makes it great for layering or with a pretty necklace.</v>
      </c>
      <c r="F215" s="8">
        <f>IFERROR(__xludf.DUMMYFUNCTION("""COMPUTED_VALUE"""),5.0)</f>
        <v>5</v>
      </c>
      <c r="G215" s="8">
        <f>IFERROR(__xludf.DUMMYFUNCTION("""COMPUTED_VALUE"""),1.0)</f>
        <v>1</v>
      </c>
      <c r="H215" s="8">
        <f>IFERROR(__xludf.DUMMYFUNCTION("""COMPUTED_VALUE"""),0.0)</f>
        <v>0</v>
      </c>
      <c r="I215" s="8" t="str">
        <f>IFERROR(__xludf.DUMMYFUNCTION("""COMPUTED_VALUE"""),"General")</f>
        <v>General</v>
      </c>
      <c r="J215" s="8" t="str">
        <f>IFERROR(__xludf.DUMMYFUNCTION("""COMPUTED_VALUE"""),"Tops")</f>
        <v>Tops</v>
      </c>
      <c r="K215" s="8" t="str">
        <f>IFERROR(__xludf.DUMMYFUNCTION("""COMPUTED_VALUE"""),"Knits")</f>
        <v>Knits</v>
      </c>
    </row>
    <row r="216">
      <c r="A216" s="8">
        <f>IFERROR(__xludf.DUMMYFUNCTION("""COMPUTED_VALUE"""),277.0)</f>
        <v>277</v>
      </c>
      <c r="B216" s="8">
        <f>IFERROR(__xludf.DUMMYFUNCTION("""COMPUTED_VALUE"""),868.0)</f>
        <v>868</v>
      </c>
      <c r="C216" s="8">
        <f>IFERROR(__xludf.DUMMYFUNCTION("""COMPUTED_VALUE"""),83.0)</f>
        <v>83</v>
      </c>
      <c r="D216" s="8" t="str">
        <f>IFERROR(__xludf.DUMMYFUNCTION("""COMPUTED_VALUE"""),"Sooooooooo cute!")</f>
        <v>Sooooooooo cute!</v>
      </c>
      <c r="E216" s="8" t="str">
        <f>IFERROR(__xludf.DUMMYFUNCTION("""COMPUTED_VALUE"""),"Love this top!
it is a full/ swing top, but the slightly shorter length balances out the fullness perfectly.
i have been wearing it with a contrasting fitted cami and get tons of compliments.
love both colors, and having fun wearing them.
and after one wa"&amp;"shing the fullness is softer and looks like the pic.
runs true to size and in the arms slightly tight, so i went with my usual med and fits perfect.
if you have issues with sleeve size would recommend going up a size, otherwise very true to size")</f>
        <v>Love this top!
it is a full/ swing top, but the slightly shorter length balances out the fullness perfectly.
i have been wearing it with a contrasting fitted cami and get tons of compliments.
love both colors, and having fun wearing them.
and after one washing the fullness is softer and looks like the pic.
runs true to size and in the arms slightly tight, so i went with my usual med and fits perfect.
if you have issues with sleeve size would recommend going up a size, otherwise very true to size</v>
      </c>
      <c r="F216" s="8">
        <f>IFERROR(__xludf.DUMMYFUNCTION("""COMPUTED_VALUE"""),5.0)</f>
        <v>5</v>
      </c>
      <c r="G216" s="8">
        <f>IFERROR(__xludf.DUMMYFUNCTION("""COMPUTED_VALUE"""),1.0)</f>
        <v>1</v>
      </c>
      <c r="H216" s="8">
        <f>IFERROR(__xludf.DUMMYFUNCTION("""COMPUTED_VALUE"""),1.0)</f>
        <v>1</v>
      </c>
      <c r="I216" s="8" t="str">
        <f>IFERROR(__xludf.DUMMYFUNCTION("""COMPUTED_VALUE"""),"General")</f>
        <v>General</v>
      </c>
      <c r="J216" s="8" t="str">
        <f>IFERROR(__xludf.DUMMYFUNCTION("""COMPUTED_VALUE"""),"Tops")</f>
        <v>Tops</v>
      </c>
      <c r="K216" s="8" t="str">
        <f>IFERROR(__xludf.DUMMYFUNCTION("""COMPUTED_VALUE"""),"Knits")</f>
        <v>Knits</v>
      </c>
    </row>
    <row r="217">
      <c r="A217" s="8">
        <f>IFERROR(__xludf.DUMMYFUNCTION("""COMPUTED_VALUE"""),279.0)</f>
        <v>279</v>
      </c>
      <c r="B217" s="8">
        <f>IFERROR(__xludf.DUMMYFUNCTION("""COMPUTED_VALUE"""),565.0)</f>
        <v>565</v>
      </c>
      <c r="C217" s="8">
        <f>IFERROR(__xludf.DUMMYFUNCTION("""COMPUTED_VALUE"""),38.0)</f>
        <v>38</v>
      </c>
      <c r="D217" s="8"/>
      <c r="E217" s="8" t="str">
        <f>IFERROR(__xludf.DUMMYFUNCTION("""COMPUTED_VALUE"""),"Love, love, love this dress. it is very slimming. it hugs you without really touching you. leaving the tie and a few buttons open gives it more of a casual feel.")</f>
        <v>Love, love, love this dress. it is very slimming. it hugs you without really touching you. leaving the tie and a few buttons open gives it more of a casual feel.</v>
      </c>
      <c r="F217" s="8">
        <f>IFERROR(__xludf.DUMMYFUNCTION("""COMPUTED_VALUE"""),5.0)</f>
        <v>5</v>
      </c>
      <c r="G217" s="8">
        <f>IFERROR(__xludf.DUMMYFUNCTION("""COMPUTED_VALUE"""),1.0)</f>
        <v>1</v>
      </c>
      <c r="H217" s="8">
        <f>IFERROR(__xludf.DUMMYFUNCTION("""COMPUTED_VALUE"""),3.0)</f>
        <v>3</v>
      </c>
      <c r="I217" s="8" t="str">
        <f>IFERROR(__xludf.DUMMYFUNCTION("""COMPUTED_VALUE"""),"General Petite")</f>
        <v>General Petite</v>
      </c>
      <c r="J217" s="8" t="str">
        <f>IFERROR(__xludf.DUMMYFUNCTION("""COMPUTED_VALUE"""),"Trend")</f>
        <v>Trend</v>
      </c>
      <c r="K217" s="8" t="str">
        <f>IFERROR(__xludf.DUMMYFUNCTION("""COMPUTED_VALUE"""),"Trend")</f>
        <v>Trend</v>
      </c>
    </row>
    <row r="218">
      <c r="A218" s="8">
        <f>IFERROR(__xludf.DUMMYFUNCTION("""COMPUTED_VALUE"""),280.0)</f>
        <v>280</v>
      </c>
      <c r="B218" s="8">
        <f>IFERROR(__xludf.DUMMYFUNCTION("""COMPUTED_VALUE"""),984.0)</f>
        <v>984</v>
      </c>
      <c r="C218" s="8">
        <f>IFERROR(__xludf.DUMMYFUNCTION("""COMPUTED_VALUE"""),35.0)</f>
        <v>35</v>
      </c>
      <c r="D218" s="8" t="str">
        <f>IFERROR(__xludf.DUMMYFUNCTION("""COMPUTED_VALUE"""),"So comfortable and chic")</f>
        <v>So comfortable and chic</v>
      </c>
      <c r="E218" s="8" t="str">
        <f>IFERROR(__xludf.DUMMYFUNCTION("""COMPUTED_VALUE"""),"I'm 5'3 130# with a 32dd bust. i usually wear small in retailer/ cloth and stone/ running horses. the small fit me fine, but with no room for layers underneath. the small was very snug. would be perfect for california evenings. but, i live in the north ea"&amp;"st! the medium still has a great shape on me, still fitted at the waist (27inches), but enough room to wear a light sweater or flannel under. the medium still also looks great over my maxi dress.")</f>
        <v>I'm 5'3 130# with a 32dd bust. i usually wear small in retailer/ cloth and stone/ running horses. the small fit me fine, but with no room for layers underneath. the small was very snug. would be perfect for california evenings. but, i live in the north east! the medium still has a great shape on me, still fitted at the waist (27inches), but enough room to wear a light sweater or flannel under. the medium still also looks great over my maxi dress.</v>
      </c>
      <c r="F218" s="8">
        <f>IFERROR(__xludf.DUMMYFUNCTION("""COMPUTED_VALUE"""),5.0)</f>
        <v>5</v>
      </c>
      <c r="G218" s="8">
        <f>IFERROR(__xludf.DUMMYFUNCTION("""COMPUTED_VALUE"""),1.0)</f>
        <v>1</v>
      </c>
      <c r="H218" s="8">
        <f>IFERROR(__xludf.DUMMYFUNCTION("""COMPUTED_VALUE"""),0.0)</f>
        <v>0</v>
      </c>
      <c r="I218" s="8" t="str">
        <f>IFERROR(__xludf.DUMMYFUNCTION("""COMPUTED_VALUE"""),"General Petite")</f>
        <v>General Petite</v>
      </c>
      <c r="J218" s="8" t="str">
        <f>IFERROR(__xludf.DUMMYFUNCTION("""COMPUTED_VALUE"""),"Jackets")</f>
        <v>Jackets</v>
      </c>
      <c r="K218" s="8" t="str">
        <f>IFERROR(__xludf.DUMMYFUNCTION("""COMPUTED_VALUE"""),"Jackets")</f>
        <v>Jackets</v>
      </c>
    </row>
    <row r="219">
      <c r="A219" s="8">
        <f>IFERROR(__xludf.DUMMYFUNCTION("""COMPUTED_VALUE"""),281.0)</f>
        <v>281</v>
      </c>
      <c r="B219" s="8">
        <f>IFERROR(__xludf.DUMMYFUNCTION("""COMPUTED_VALUE"""),1104.0)</f>
        <v>1104</v>
      </c>
      <c r="C219" s="8">
        <f>IFERROR(__xludf.DUMMYFUNCTION("""COMPUTED_VALUE"""),45.0)</f>
        <v>45</v>
      </c>
      <c r="D219" s="8"/>
      <c r="E219" s="8" t="str">
        <f>IFERROR(__xludf.DUMMYFUNCTION("""COMPUTED_VALUE"""),"This dress is gorgeous!!! i love it! i bought it to wear to a july wedding. i got the navy and it is so fresh and crisp in color. the sizing is on spot! i slipped it on and it was comfortable, easy and stylish. i am 5'7"" and typically xs. it falls exactl"&amp;"y as portrayed in the online photos. it is lined in the skirt and the top is stretch jersey in the best weight! i am in love!")</f>
        <v>This dress is gorgeous!!! i love it! i bought it to wear to a july wedding. i got the navy and it is so fresh and crisp in color. the sizing is on spot! i slipped it on and it was comfortable, easy and stylish. i am 5'7" and typically xs. it falls exactly as portrayed in the online photos. it is lined in the skirt and the top is stretch jersey in the best weight! i am in love!</v>
      </c>
      <c r="F219" s="8">
        <f>IFERROR(__xludf.DUMMYFUNCTION("""COMPUTED_VALUE"""),5.0)</f>
        <v>5</v>
      </c>
      <c r="G219" s="8">
        <f>IFERROR(__xludf.DUMMYFUNCTION("""COMPUTED_VALUE"""),1.0)</f>
        <v>1</v>
      </c>
      <c r="H219" s="8">
        <f>IFERROR(__xludf.DUMMYFUNCTION("""COMPUTED_VALUE"""),7.0)</f>
        <v>7</v>
      </c>
      <c r="I219" s="8" t="str">
        <f>IFERROR(__xludf.DUMMYFUNCTION("""COMPUTED_VALUE"""),"General")</f>
        <v>General</v>
      </c>
      <c r="J219" s="8" t="str">
        <f>IFERROR(__xludf.DUMMYFUNCTION("""COMPUTED_VALUE"""),"Dresses")</f>
        <v>Dresses</v>
      </c>
      <c r="K219" s="8" t="str">
        <f>IFERROR(__xludf.DUMMYFUNCTION("""COMPUTED_VALUE"""),"Dresses")</f>
        <v>Dresses</v>
      </c>
    </row>
    <row r="220">
      <c r="A220" s="8">
        <f>IFERROR(__xludf.DUMMYFUNCTION("""COMPUTED_VALUE"""),282.0)</f>
        <v>282</v>
      </c>
      <c r="B220" s="8">
        <f>IFERROR(__xludf.DUMMYFUNCTION("""COMPUTED_VALUE"""),868.0)</f>
        <v>868</v>
      </c>
      <c r="C220" s="8">
        <f>IFERROR(__xludf.DUMMYFUNCTION("""COMPUTED_VALUE"""),65.0)</f>
        <v>65</v>
      </c>
      <c r="D220" s="8"/>
      <c r="E220" s="8" t="str">
        <f>IFERROR(__xludf.DUMMYFUNCTION("""COMPUTED_VALUE"""),"This shirt is one of my favorite retailer purchases ever! it is well made and is perfect for work or the weekend. the first time i wore it, i received so many compliments!")</f>
        <v>This shirt is one of my favorite retailer purchases ever! it is well made and is perfect for work or the weekend. the first time i wore it, i received so many compliments!</v>
      </c>
      <c r="F220" s="8">
        <f>IFERROR(__xludf.DUMMYFUNCTION("""COMPUTED_VALUE"""),5.0)</f>
        <v>5</v>
      </c>
      <c r="G220" s="8">
        <f>IFERROR(__xludf.DUMMYFUNCTION("""COMPUTED_VALUE"""),1.0)</f>
        <v>1</v>
      </c>
      <c r="H220" s="8">
        <f>IFERROR(__xludf.DUMMYFUNCTION("""COMPUTED_VALUE"""),4.0)</f>
        <v>4</v>
      </c>
      <c r="I220" s="8" t="str">
        <f>IFERROR(__xludf.DUMMYFUNCTION("""COMPUTED_VALUE"""),"General")</f>
        <v>General</v>
      </c>
      <c r="J220" s="8" t="str">
        <f>IFERROR(__xludf.DUMMYFUNCTION("""COMPUTED_VALUE"""),"Tops")</f>
        <v>Tops</v>
      </c>
      <c r="K220" s="8" t="str">
        <f>IFERROR(__xludf.DUMMYFUNCTION("""COMPUTED_VALUE"""),"Knits")</f>
        <v>Knits</v>
      </c>
    </row>
    <row r="221">
      <c r="A221" s="8">
        <f>IFERROR(__xludf.DUMMYFUNCTION("""COMPUTED_VALUE"""),283.0)</f>
        <v>283</v>
      </c>
      <c r="B221" s="8">
        <f>IFERROR(__xludf.DUMMYFUNCTION("""COMPUTED_VALUE"""),878.0)</f>
        <v>878</v>
      </c>
      <c r="C221" s="8">
        <f>IFERROR(__xludf.DUMMYFUNCTION("""COMPUTED_VALUE"""),41.0)</f>
        <v>41</v>
      </c>
      <c r="D221" s="8" t="str">
        <f>IFERROR(__xludf.DUMMYFUNCTION("""COMPUTED_VALUE"""),"Perfect sweatshirt")</f>
        <v>Perfect sweatshirt</v>
      </c>
      <c r="E221" s="8" t="str">
        <f>IFERROR(__xludf.DUMMYFUNCTION("""COMPUTED_VALUE"""),"I want to live in this sweatshirt. it's so comfy, but also well-cut and lays nicely, not boxy at all. i'm typically a 10-12 or l in tops and the 3 is roomy without looking sloppy.")</f>
        <v>I want to live in this sweatshirt. it's so comfy, but also well-cut and lays nicely, not boxy at all. i'm typically a 10-12 or l in tops and the 3 is roomy without looking sloppy.</v>
      </c>
      <c r="F221" s="8">
        <f>IFERROR(__xludf.DUMMYFUNCTION("""COMPUTED_VALUE"""),5.0)</f>
        <v>5</v>
      </c>
      <c r="G221" s="8">
        <f>IFERROR(__xludf.DUMMYFUNCTION("""COMPUTED_VALUE"""),1.0)</f>
        <v>1</v>
      </c>
      <c r="H221" s="8">
        <f>IFERROR(__xludf.DUMMYFUNCTION("""COMPUTED_VALUE"""),1.0)</f>
        <v>1</v>
      </c>
      <c r="I221" s="8" t="str">
        <f>IFERROR(__xludf.DUMMYFUNCTION("""COMPUTED_VALUE"""),"General")</f>
        <v>General</v>
      </c>
      <c r="J221" s="8" t="str">
        <f>IFERROR(__xludf.DUMMYFUNCTION("""COMPUTED_VALUE"""),"Tops")</f>
        <v>Tops</v>
      </c>
      <c r="K221" s="8" t="str">
        <f>IFERROR(__xludf.DUMMYFUNCTION("""COMPUTED_VALUE"""),"Knits")</f>
        <v>Knits</v>
      </c>
    </row>
    <row r="222">
      <c r="A222" s="8">
        <f>IFERROR(__xludf.DUMMYFUNCTION("""COMPUTED_VALUE"""),284.0)</f>
        <v>284</v>
      </c>
      <c r="B222" s="8">
        <f>IFERROR(__xludf.DUMMYFUNCTION("""COMPUTED_VALUE"""),868.0)</f>
        <v>868</v>
      </c>
      <c r="C222" s="8">
        <f>IFERROR(__xludf.DUMMYFUNCTION("""COMPUTED_VALUE"""),69.0)</f>
        <v>69</v>
      </c>
      <c r="D222" s="8" t="str">
        <f>IFERROR(__xludf.DUMMYFUNCTION("""COMPUTED_VALUE"""),"Clever white edges")</f>
        <v>Clever white edges</v>
      </c>
      <c r="E222" s="8" t="str">
        <f>IFERROR(__xludf.DUMMYFUNCTION("""COMPUTED_VALUE"""),"I liked this top even though it was a definite 'swing' style. i ended up altering it to remove some of the fullness.
looks great with jeans as well as black pants for a dressier look. very soft and comfortable fabric. wish it was just a little bit longer.")</f>
        <v>I liked this top even though it was a definite 'swing' style. i ended up altering it to remove some of the fullness.
looks great with jeans as well as black pants for a dressier look. very soft and comfortable fabric. wish it was just a little bit longer.</v>
      </c>
      <c r="F222" s="8">
        <f>IFERROR(__xludf.DUMMYFUNCTION("""COMPUTED_VALUE"""),4.0)</f>
        <v>4</v>
      </c>
      <c r="G222" s="8">
        <f>IFERROR(__xludf.DUMMYFUNCTION("""COMPUTED_VALUE"""),1.0)</f>
        <v>1</v>
      </c>
      <c r="H222" s="8">
        <f>IFERROR(__xludf.DUMMYFUNCTION("""COMPUTED_VALUE"""),0.0)</f>
        <v>0</v>
      </c>
      <c r="I222" s="8" t="str">
        <f>IFERROR(__xludf.DUMMYFUNCTION("""COMPUTED_VALUE"""),"General")</f>
        <v>General</v>
      </c>
      <c r="J222" s="8" t="str">
        <f>IFERROR(__xludf.DUMMYFUNCTION("""COMPUTED_VALUE"""),"Tops")</f>
        <v>Tops</v>
      </c>
      <c r="K222" s="8" t="str">
        <f>IFERROR(__xludf.DUMMYFUNCTION("""COMPUTED_VALUE"""),"Knits")</f>
        <v>Knits</v>
      </c>
    </row>
    <row r="223">
      <c r="A223" s="8">
        <f>IFERROR(__xludf.DUMMYFUNCTION("""COMPUTED_VALUE"""),285.0)</f>
        <v>285</v>
      </c>
      <c r="B223" s="8">
        <f>IFERROR(__xludf.DUMMYFUNCTION("""COMPUTED_VALUE"""),1104.0)</f>
        <v>1104</v>
      </c>
      <c r="C223" s="8">
        <f>IFERROR(__xludf.DUMMYFUNCTION("""COMPUTED_VALUE"""),36.0)</f>
        <v>36</v>
      </c>
      <c r="D223" s="8" t="str">
        <f>IFERROR(__xludf.DUMMYFUNCTION("""COMPUTED_VALUE"""),"Love this dress!")</f>
        <v>Love this dress!</v>
      </c>
      <c r="E223" s="8" t="str">
        <f>IFERROR(__xludf.DUMMYFUNCTION("""COMPUTED_VALUE"""),"After missing out on last year's similar dress, i am so glad i finally purchased this one! it is beautiful in person. i bought to wear to a wedding, but i am curious if others think it might be too white? i bought the peach color. i will keep this dress n"&amp;"o matter what. hope they come out with more next season!")</f>
        <v>After missing out on last year's similar dress, i am so glad i finally purchased this one! it is beautiful in person. i bought to wear to a wedding, but i am curious if others think it might be too white? i bought the peach color. i will keep this dress no matter what. hope they come out with more next season!</v>
      </c>
      <c r="F223" s="8">
        <f>IFERROR(__xludf.DUMMYFUNCTION("""COMPUTED_VALUE"""),5.0)</f>
        <v>5</v>
      </c>
      <c r="G223" s="8">
        <f>IFERROR(__xludf.DUMMYFUNCTION("""COMPUTED_VALUE"""),1.0)</f>
        <v>1</v>
      </c>
      <c r="H223" s="8">
        <f>IFERROR(__xludf.DUMMYFUNCTION("""COMPUTED_VALUE"""),0.0)</f>
        <v>0</v>
      </c>
      <c r="I223" s="8" t="str">
        <f>IFERROR(__xludf.DUMMYFUNCTION("""COMPUTED_VALUE"""),"General")</f>
        <v>General</v>
      </c>
      <c r="J223" s="8" t="str">
        <f>IFERROR(__xludf.DUMMYFUNCTION("""COMPUTED_VALUE"""),"Dresses")</f>
        <v>Dresses</v>
      </c>
      <c r="K223" s="8" t="str">
        <f>IFERROR(__xludf.DUMMYFUNCTION("""COMPUTED_VALUE"""),"Dresses")</f>
        <v>Dresses</v>
      </c>
    </row>
    <row r="224">
      <c r="A224" s="8">
        <f>IFERROR(__xludf.DUMMYFUNCTION("""COMPUTED_VALUE"""),287.0)</f>
        <v>287</v>
      </c>
      <c r="B224" s="8">
        <f>IFERROR(__xludf.DUMMYFUNCTION("""COMPUTED_VALUE"""),984.0)</f>
        <v>984</v>
      </c>
      <c r="C224" s="8">
        <f>IFERROR(__xludf.DUMMYFUNCTION("""COMPUTED_VALUE"""),69.0)</f>
        <v>69</v>
      </c>
      <c r="D224" s="8"/>
      <c r="E224" s="8" t="str">
        <f>IFERROR(__xludf.DUMMYFUNCTION("""COMPUTED_VALUE"""),"I read the reviews and because this jacket is pilcro i took a chance. i was thrilled when i rceived this jacket. darker color of denim with weathered edges. i absolutely love it. don't let it get away. great jean jackets are hard to come by.")</f>
        <v>I read the reviews and because this jacket is pilcro i took a chance. i was thrilled when i rceived this jacket. darker color of denim with weathered edges. i absolutely love it. don't let it get away. great jean jackets are hard to come by.</v>
      </c>
      <c r="F224" s="8">
        <f>IFERROR(__xludf.DUMMYFUNCTION("""COMPUTED_VALUE"""),5.0)</f>
        <v>5</v>
      </c>
      <c r="G224" s="8">
        <f>IFERROR(__xludf.DUMMYFUNCTION("""COMPUTED_VALUE"""),1.0)</f>
        <v>1</v>
      </c>
      <c r="H224" s="8">
        <f>IFERROR(__xludf.DUMMYFUNCTION("""COMPUTED_VALUE"""),0.0)</f>
        <v>0</v>
      </c>
      <c r="I224" s="8" t="str">
        <f>IFERROR(__xludf.DUMMYFUNCTION("""COMPUTED_VALUE"""),"General Petite")</f>
        <v>General Petite</v>
      </c>
      <c r="J224" s="8" t="str">
        <f>IFERROR(__xludf.DUMMYFUNCTION("""COMPUTED_VALUE"""),"Jackets")</f>
        <v>Jackets</v>
      </c>
      <c r="K224" s="8" t="str">
        <f>IFERROR(__xludf.DUMMYFUNCTION("""COMPUTED_VALUE"""),"Jackets")</f>
        <v>Jackets</v>
      </c>
    </row>
    <row r="225">
      <c r="A225" s="8">
        <f>IFERROR(__xludf.DUMMYFUNCTION("""COMPUTED_VALUE"""),289.0)</f>
        <v>289</v>
      </c>
      <c r="B225" s="8">
        <f>IFERROR(__xludf.DUMMYFUNCTION("""COMPUTED_VALUE"""),984.0)</f>
        <v>984</v>
      </c>
      <c r="C225" s="8">
        <f>IFERROR(__xludf.DUMMYFUNCTION("""COMPUTED_VALUE"""),55.0)</f>
        <v>55</v>
      </c>
      <c r="D225" s="8" t="str">
        <f>IFERROR(__xludf.DUMMYFUNCTION("""COMPUTED_VALUE"""),"Almost perfect denim jacket")</f>
        <v>Almost perfect denim jacket</v>
      </c>
      <c r="E225" s="8" t="str">
        <f>IFERROR(__xludf.DUMMYFUNCTION("""COMPUTED_VALUE"""),"Love this denim jacket (also have it in white) the reason i didn't give it 5 stars all around is the distressing is just a bit too much (none on the back which is kind of strange). i'd love it even more if it wasn't distressed at all, then it could be dre"&amp;"ssed up much more for work. but overall it's my favorite, great fit and a bit of stretch so very comfy. please make this in some other denim colors!")</f>
        <v>Love this denim jacket (also have it in white) the reason i didn't give it 5 stars all around is the distressing is just a bit too much (none on the back which is kind of strange). i'd love it even more if it wasn't distressed at all, then it could be dressed up much more for work. but overall it's my favorite, great fit and a bit of stretch so very comfy. please make this in some other denim colors!</v>
      </c>
      <c r="F225" s="8">
        <f>IFERROR(__xludf.DUMMYFUNCTION("""COMPUTED_VALUE"""),5.0)</f>
        <v>5</v>
      </c>
      <c r="G225" s="8">
        <f>IFERROR(__xludf.DUMMYFUNCTION("""COMPUTED_VALUE"""),1.0)</f>
        <v>1</v>
      </c>
      <c r="H225" s="8">
        <f>IFERROR(__xludf.DUMMYFUNCTION("""COMPUTED_VALUE"""),0.0)</f>
        <v>0</v>
      </c>
      <c r="I225" s="8" t="str">
        <f>IFERROR(__xludf.DUMMYFUNCTION("""COMPUTED_VALUE"""),"General Petite")</f>
        <v>General Petite</v>
      </c>
      <c r="J225" s="8" t="str">
        <f>IFERROR(__xludf.DUMMYFUNCTION("""COMPUTED_VALUE"""),"Jackets")</f>
        <v>Jackets</v>
      </c>
      <c r="K225" s="8" t="str">
        <f>IFERROR(__xludf.DUMMYFUNCTION("""COMPUTED_VALUE"""),"Jackets")</f>
        <v>Jackets</v>
      </c>
    </row>
    <row r="226">
      <c r="A226" s="8">
        <f>IFERROR(__xludf.DUMMYFUNCTION("""COMPUTED_VALUE"""),290.0)</f>
        <v>290</v>
      </c>
      <c r="B226" s="8">
        <f>IFERROR(__xludf.DUMMYFUNCTION("""COMPUTED_VALUE"""),984.0)</f>
        <v>984</v>
      </c>
      <c r="C226" s="8">
        <f>IFERROR(__xludf.DUMMYFUNCTION("""COMPUTED_VALUE"""),36.0)</f>
        <v>36</v>
      </c>
      <c r="D226" s="8" t="str">
        <f>IFERROR(__xludf.DUMMYFUNCTION("""COMPUTED_VALUE"""),"Perfect")</f>
        <v>Perfect</v>
      </c>
      <c r="E226" s="8" t="str">
        <f>IFERROR(__xludf.DUMMYFUNCTION("""COMPUTED_VALUE"""),"The cut is brilliant-the wash is subtle-the weight of the denim is sturdy but not stuff-and the stretch is just right. love it. the perfect staple. a scarf in the fall and rolled sleeves in the spring.")</f>
        <v>The cut is brilliant-the wash is subtle-the weight of the denim is sturdy but not stuff-and the stretch is just right. love it. the perfect staple. a scarf in the fall and rolled sleeves in the spring.</v>
      </c>
      <c r="F226" s="8">
        <f>IFERROR(__xludf.DUMMYFUNCTION("""COMPUTED_VALUE"""),5.0)</f>
        <v>5</v>
      </c>
      <c r="G226" s="8">
        <f>IFERROR(__xludf.DUMMYFUNCTION("""COMPUTED_VALUE"""),1.0)</f>
        <v>1</v>
      </c>
      <c r="H226" s="8">
        <f>IFERROR(__xludf.DUMMYFUNCTION("""COMPUTED_VALUE"""),2.0)</f>
        <v>2</v>
      </c>
      <c r="I226" s="8" t="str">
        <f>IFERROR(__xludf.DUMMYFUNCTION("""COMPUTED_VALUE"""),"General Petite")</f>
        <v>General Petite</v>
      </c>
      <c r="J226" s="8" t="str">
        <f>IFERROR(__xludf.DUMMYFUNCTION("""COMPUTED_VALUE"""),"Jackets")</f>
        <v>Jackets</v>
      </c>
      <c r="K226" s="8" t="str">
        <f>IFERROR(__xludf.DUMMYFUNCTION("""COMPUTED_VALUE"""),"Jackets")</f>
        <v>Jackets</v>
      </c>
    </row>
    <row r="227">
      <c r="A227" s="8">
        <f>IFERROR(__xludf.DUMMYFUNCTION("""COMPUTED_VALUE"""),291.0)</f>
        <v>291</v>
      </c>
      <c r="B227" s="8">
        <f>IFERROR(__xludf.DUMMYFUNCTION("""COMPUTED_VALUE"""),984.0)</f>
        <v>984</v>
      </c>
      <c r="C227" s="8">
        <f>IFERROR(__xludf.DUMMYFUNCTION("""COMPUTED_VALUE"""),71.0)</f>
        <v>71</v>
      </c>
      <c r="D227" s="8"/>
      <c r="E227" s="8" t="str">
        <f>IFERROR(__xludf.DUMMYFUNCTION("""COMPUTED_VALUE"""),"Love it; the bit of stretch in the denim makes it less stiff than traditional denim.")</f>
        <v>Love it; the bit of stretch in the denim makes it less stiff than traditional denim.</v>
      </c>
      <c r="F227" s="8">
        <f>IFERROR(__xludf.DUMMYFUNCTION("""COMPUTED_VALUE"""),5.0)</f>
        <v>5</v>
      </c>
      <c r="G227" s="8">
        <f>IFERROR(__xludf.DUMMYFUNCTION("""COMPUTED_VALUE"""),1.0)</f>
        <v>1</v>
      </c>
      <c r="H227" s="8">
        <f>IFERROR(__xludf.DUMMYFUNCTION("""COMPUTED_VALUE"""),0.0)</f>
        <v>0</v>
      </c>
      <c r="I227" s="8" t="str">
        <f>IFERROR(__xludf.DUMMYFUNCTION("""COMPUTED_VALUE"""),"General Petite")</f>
        <v>General Petite</v>
      </c>
      <c r="J227" s="8" t="str">
        <f>IFERROR(__xludf.DUMMYFUNCTION("""COMPUTED_VALUE"""),"Jackets")</f>
        <v>Jackets</v>
      </c>
      <c r="K227" s="8" t="str">
        <f>IFERROR(__xludf.DUMMYFUNCTION("""COMPUTED_VALUE"""),"Jackets")</f>
        <v>Jackets</v>
      </c>
    </row>
    <row r="228">
      <c r="A228" s="8">
        <f>IFERROR(__xludf.DUMMYFUNCTION("""COMPUTED_VALUE"""),292.0)</f>
        <v>292</v>
      </c>
      <c r="B228" s="8">
        <f>IFERROR(__xludf.DUMMYFUNCTION("""COMPUTED_VALUE"""),1024.0)</f>
        <v>1024</v>
      </c>
      <c r="C228" s="8">
        <f>IFERROR(__xludf.DUMMYFUNCTION("""COMPUTED_VALUE"""),65.0)</f>
        <v>65</v>
      </c>
      <c r="D228" s="8" t="str">
        <f>IFERROR(__xludf.DUMMYFUNCTION("""COMPUTED_VALUE"""),"Super nice")</f>
        <v>Super nice</v>
      </c>
      <c r="E228" s="8" t="str">
        <f>IFERROR(__xludf.DUMMYFUNCTION("""COMPUTED_VALUE"""),"I love these. i'm between a 29 and 30 and as the 30s were sold out i had to go with the 29s. they fit well. as expected. very nice fabric. good design. have to wear a short shirt or one tucked in. fabric has a bit of stretch which is also nice.")</f>
        <v>I love these. i'm between a 29 and 30 and as the 30s were sold out i had to go with the 29s. they fit well. as expected. very nice fabric. good design. have to wear a short shirt or one tucked in. fabric has a bit of stretch which is also nice.</v>
      </c>
      <c r="F228" s="8">
        <f>IFERROR(__xludf.DUMMYFUNCTION("""COMPUTED_VALUE"""),5.0)</f>
        <v>5</v>
      </c>
      <c r="G228" s="8">
        <f>IFERROR(__xludf.DUMMYFUNCTION("""COMPUTED_VALUE"""),1.0)</f>
        <v>1</v>
      </c>
      <c r="H228" s="8">
        <f>IFERROR(__xludf.DUMMYFUNCTION("""COMPUTED_VALUE"""),0.0)</f>
        <v>0</v>
      </c>
      <c r="I228" s="8" t="str">
        <f>IFERROR(__xludf.DUMMYFUNCTION("""COMPUTED_VALUE"""),"General")</f>
        <v>General</v>
      </c>
      <c r="J228" s="8" t="str">
        <f>IFERROR(__xludf.DUMMYFUNCTION("""COMPUTED_VALUE"""),"Bottoms")</f>
        <v>Bottoms</v>
      </c>
      <c r="K228" s="8" t="str">
        <f>IFERROR(__xludf.DUMMYFUNCTION("""COMPUTED_VALUE"""),"Jeans")</f>
        <v>Jeans</v>
      </c>
    </row>
    <row r="229">
      <c r="A229" s="8">
        <f>IFERROR(__xludf.DUMMYFUNCTION("""COMPUTED_VALUE"""),294.0)</f>
        <v>294</v>
      </c>
      <c r="B229" s="8">
        <f>IFERROR(__xludf.DUMMYFUNCTION("""COMPUTED_VALUE"""),984.0)</f>
        <v>984</v>
      </c>
      <c r="C229" s="8">
        <f>IFERROR(__xludf.DUMMYFUNCTION("""COMPUTED_VALUE"""),43.0)</f>
        <v>43</v>
      </c>
      <c r="D229" s="8" t="str">
        <f>IFERROR(__xludf.DUMMYFUNCTION("""COMPUTED_VALUE"""),"Terrific denim jacket")</f>
        <v>Terrific denim jacket</v>
      </c>
      <c r="E229" s="8" t="str">
        <f>IFERROR(__xludf.DUMMYFUNCTION("""COMPUTED_VALUE"""),"I lost my favorite denim jacket on a trip a few years ago and haven't found one i really liked again...until now. great quality - just heavy enough but not too heavy, just stretchy enough but not too stretchy, great color/design. no complaints. i read the"&amp;" other reviews and was happy to have ordered one size larger than my normal. i typically take a small but the medium in this is perfect. it is possible i actually like this jacket better than the one i lost several years ago, which is a big endo")</f>
        <v>I lost my favorite denim jacket on a trip a few years ago and haven't found one i really liked again...until now. great quality - just heavy enough but not too heavy, just stretchy enough but not too stretchy, great color/design. no complaints. i read the other reviews and was happy to have ordered one size larger than my normal. i typically take a small but the medium in this is perfect. it is possible i actually like this jacket better than the one i lost several years ago, which is a big endo</v>
      </c>
      <c r="F229" s="8">
        <f>IFERROR(__xludf.DUMMYFUNCTION("""COMPUTED_VALUE"""),5.0)</f>
        <v>5</v>
      </c>
      <c r="G229" s="8">
        <f>IFERROR(__xludf.DUMMYFUNCTION("""COMPUTED_VALUE"""),1.0)</f>
        <v>1</v>
      </c>
      <c r="H229" s="8">
        <f>IFERROR(__xludf.DUMMYFUNCTION("""COMPUTED_VALUE"""),3.0)</f>
        <v>3</v>
      </c>
      <c r="I229" s="8" t="str">
        <f>IFERROR(__xludf.DUMMYFUNCTION("""COMPUTED_VALUE"""),"General Petite")</f>
        <v>General Petite</v>
      </c>
      <c r="J229" s="8" t="str">
        <f>IFERROR(__xludf.DUMMYFUNCTION("""COMPUTED_VALUE"""),"Jackets")</f>
        <v>Jackets</v>
      </c>
      <c r="K229" s="8" t="str">
        <f>IFERROR(__xludf.DUMMYFUNCTION("""COMPUTED_VALUE"""),"Jackets")</f>
        <v>Jackets</v>
      </c>
    </row>
    <row r="230">
      <c r="A230" s="8">
        <f>IFERROR(__xludf.DUMMYFUNCTION("""COMPUTED_VALUE"""),295.0)</f>
        <v>295</v>
      </c>
      <c r="B230" s="8">
        <f>IFERROR(__xludf.DUMMYFUNCTION("""COMPUTED_VALUE"""),1104.0)</f>
        <v>1104</v>
      </c>
      <c r="C230" s="8">
        <f>IFERROR(__xludf.DUMMYFUNCTION("""COMPUTED_VALUE"""),30.0)</f>
        <v>30</v>
      </c>
      <c r="D230" s="8"/>
      <c r="E230" s="8" t="str">
        <f>IFERROR(__xludf.DUMMYFUNCTION("""COMPUTED_VALUE"""),"Beautiful colors and silhouette (i got the navy). the skirt is lined and flows wonderfully when you walk. i've gotten a ton of compliments on it. i'm 5'9"" and the high hem falls a few inches below my knee, and the low hem falls to my ankles.")</f>
        <v>Beautiful colors and silhouette (i got the navy). the skirt is lined and flows wonderfully when you walk. i've gotten a ton of compliments on it. i'm 5'9" and the high hem falls a few inches below my knee, and the low hem falls to my ankles.</v>
      </c>
      <c r="F230" s="8">
        <f>IFERROR(__xludf.DUMMYFUNCTION("""COMPUTED_VALUE"""),5.0)</f>
        <v>5</v>
      </c>
      <c r="G230" s="8">
        <f>IFERROR(__xludf.DUMMYFUNCTION("""COMPUTED_VALUE"""),1.0)</f>
        <v>1</v>
      </c>
      <c r="H230" s="8">
        <f>IFERROR(__xludf.DUMMYFUNCTION("""COMPUTED_VALUE"""),7.0)</f>
        <v>7</v>
      </c>
      <c r="I230" s="8" t="str">
        <f>IFERROR(__xludf.DUMMYFUNCTION("""COMPUTED_VALUE"""),"General")</f>
        <v>General</v>
      </c>
      <c r="J230" s="8" t="str">
        <f>IFERROR(__xludf.DUMMYFUNCTION("""COMPUTED_VALUE"""),"Dresses")</f>
        <v>Dresses</v>
      </c>
      <c r="K230" s="8" t="str">
        <f>IFERROR(__xludf.DUMMYFUNCTION("""COMPUTED_VALUE"""),"Dresses")</f>
        <v>Dresses</v>
      </c>
    </row>
    <row r="231">
      <c r="A231" s="8">
        <f>IFERROR(__xludf.DUMMYFUNCTION("""COMPUTED_VALUE"""),296.0)</f>
        <v>296</v>
      </c>
      <c r="B231" s="8">
        <f>IFERROR(__xludf.DUMMYFUNCTION("""COMPUTED_VALUE"""),1024.0)</f>
        <v>1024</v>
      </c>
      <c r="C231" s="8">
        <f>IFERROR(__xludf.DUMMYFUNCTION("""COMPUTED_VALUE"""),40.0)</f>
        <v>40</v>
      </c>
      <c r="D231" s="8" t="str">
        <f>IFERROR(__xludf.DUMMYFUNCTION("""COMPUTED_VALUE"""),"Cute versatile culottes")</f>
        <v>Cute versatile culottes</v>
      </c>
      <c r="E231" s="8" t="str">
        <f>IFERROR(__xludf.DUMMYFUNCTION("""COMPUTED_VALUE"""),"I love these culottes and i think they will be everywhere this coming spring / summer. the high waist is perfect and looks great with shorter shirts or tucked-in. the denim is high quality and a nice medium dark color.")</f>
        <v>I love these culottes and i think they will be everywhere this coming spring / summer. the high waist is perfect and looks great with shorter shirts or tucked-in. the denim is high quality and a nice medium dark color.</v>
      </c>
      <c r="F231" s="8">
        <f>IFERROR(__xludf.DUMMYFUNCTION("""COMPUTED_VALUE"""),5.0)</f>
        <v>5</v>
      </c>
      <c r="G231" s="8">
        <f>IFERROR(__xludf.DUMMYFUNCTION("""COMPUTED_VALUE"""),1.0)</f>
        <v>1</v>
      </c>
      <c r="H231" s="8">
        <f>IFERROR(__xludf.DUMMYFUNCTION("""COMPUTED_VALUE"""),0.0)</f>
        <v>0</v>
      </c>
      <c r="I231" s="8" t="str">
        <f>IFERROR(__xludf.DUMMYFUNCTION("""COMPUTED_VALUE"""),"General")</f>
        <v>General</v>
      </c>
      <c r="J231" s="8" t="str">
        <f>IFERROR(__xludf.DUMMYFUNCTION("""COMPUTED_VALUE"""),"Bottoms")</f>
        <v>Bottoms</v>
      </c>
      <c r="K231" s="8" t="str">
        <f>IFERROR(__xludf.DUMMYFUNCTION("""COMPUTED_VALUE"""),"Jeans")</f>
        <v>Jeans</v>
      </c>
    </row>
    <row r="232">
      <c r="A232" s="8">
        <f>IFERROR(__xludf.DUMMYFUNCTION("""COMPUTED_VALUE"""),297.0)</f>
        <v>297</v>
      </c>
      <c r="B232" s="8">
        <f>IFERROR(__xludf.DUMMYFUNCTION("""COMPUTED_VALUE"""),984.0)</f>
        <v>984</v>
      </c>
      <c r="C232" s="8">
        <f>IFERROR(__xludf.DUMMYFUNCTION("""COMPUTED_VALUE"""),47.0)</f>
        <v>47</v>
      </c>
      <c r="D232" s="8" t="str">
        <f>IFERROR(__xludf.DUMMYFUNCTION("""COMPUTED_VALUE"""),"My new favorite denim jacket")</f>
        <v>My new favorite denim jacket</v>
      </c>
      <c r="E232" s="8" t="str">
        <f>IFERROR(__xludf.DUMMYFUNCTION("""COMPUTED_VALUE"""),"I'm glad i listened to the other reviewers...i ordered a large instead of my usual medium. it's roomy enough for a sweater underneath. i love the denim! it's very soft and has some stretch. my other denim jackets are stiff even after years of washing. i a"&amp;"lso love the darker denim.")</f>
        <v>I'm glad i listened to the other reviewers...i ordered a large instead of my usual medium. it's roomy enough for a sweater underneath. i love the denim! it's very soft and has some stretch. my other denim jackets are stiff even after years of washing. i also love the darker denim.</v>
      </c>
      <c r="F232" s="8">
        <f>IFERROR(__xludf.DUMMYFUNCTION("""COMPUTED_VALUE"""),5.0)</f>
        <v>5</v>
      </c>
      <c r="G232" s="8">
        <f>IFERROR(__xludf.DUMMYFUNCTION("""COMPUTED_VALUE"""),1.0)</f>
        <v>1</v>
      </c>
      <c r="H232" s="8">
        <f>IFERROR(__xludf.DUMMYFUNCTION("""COMPUTED_VALUE"""),0.0)</f>
        <v>0</v>
      </c>
      <c r="I232" s="8" t="str">
        <f>IFERROR(__xludf.DUMMYFUNCTION("""COMPUTED_VALUE"""),"General Petite")</f>
        <v>General Petite</v>
      </c>
      <c r="J232" s="8" t="str">
        <f>IFERROR(__xludf.DUMMYFUNCTION("""COMPUTED_VALUE"""),"Jackets")</f>
        <v>Jackets</v>
      </c>
      <c r="K232" s="8" t="str">
        <f>IFERROR(__xludf.DUMMYFUNCTION("""COMPUTED_VALUE"""),"Jackets")</f>
        <v>Jackets</v>
      </c>
    </row>
    <row r="233">
      <c r="A233" s="8">
        <f>IFERROR(__xludf.DUMMYFUNCTION("""COMPUTED_VALUE"""),298.0)</f>
        <v>298</v>
      </c>
      <c r="B233" s="8">
        <f>IFERROR(__xludf.DUMMYFUNCTION("""COMPUTED_VALUE"""),1104.0)</f>
        <v>1104</v>
      </c>
      <c r="C233" s="8">
        <f>IFERROR(__xludf.DUMMYFUNCTION("""COMPUTED_VALUE"""),39.0)</f>
        <v>39</v>
      </c>
      <c r="D233" s="8"/>
      <c r="E233" s="8"/>
      <c r="F233" s="8">
        <f>IFERROR(__xludf.DUMMYFUNCTION("""COMPUTED_VALUE"""),5.0)</f>
        <v>5</v>
      </c>
      <c r="G233" s="8">
        <f>IFERROR(__xludf.DUMMYFUNCTION("""COMPUTED_VALUE"""),1.0)</f>
        <v>1</v>
      </c>
      <c r="H233" s="8">
        <f>IFERROR(__xludf.DUMMYFUNCTION("""COMPUTED_VALUE"""),0.0)</f>
        <v>0</v>
      </c>
      <c r="I233" s="8" t="str">
        <f>IFERROR(__xludf.DUMMYFUNCTION("""COMPUTED_VALUE"""),"General")</f>
        <v>General</v>
      </c>
      <c r="J233" s="8" t="str">
        <f>IFERROR(__xludf.DUMMYFUNCTION("""COMPUTED_VALUE"""),"Dresses")</f>
        <v>Dresses</v>
      </c>
      <c r="K233" s="8" t="str">
        <f>IFERROR(__xludf.DUMMYFUNCTION("""COMPUTED_VALUE"""),"Dresses")</f>
        <v>Dresses</v>
      </c>
    </row>
    <row r="234">
      <c r="A234" s="8">
        <f>IFERROR(__xludf.DUMMYFUNCTION("""COMPUTED_VALUE"""),299.0)</f>
        <v>299</v>
      </c>
      <c r="B234" s="8">
        <f>IFERROR(__xludf.DUMMYFUNCTION("""COMPUTED_VALUE"""),984.0)</f>
        <v>984</v>
      </c>
      <c r="C234" s="8">
        <f>IFERROR(__xludf.DUMMYFUNCTION("""COMPUTED_VALUE"""),34.0)</f>
        <v>34</v>
      </c>
      <c r="D234" s="8" t="str">
        <f>IFERROR(__xludf.DUMMYFUNCTION("""COMPUTED_VALUE"""),"Favorite jean jacket")</f>
        <v>Favorite jean jacket</v>
      </c>
      <c r="E234" s="8" t="str">
        <f>IFERROR(__xludf.DUMMYFUNCTION("""COMPUTED_VALUE"""),"I'm 5'4"" 125 lbs ordered small. fits perfect. super soft denim. love the color love the worn in feel")</f>
        <v>I'm 5'4" 125 lbs ordered small. fits perfect. super soft denim. love the color love the worn in feel</v>
      </c>
      <c r="F234" s="8">
        <f>IFERROR(__xludf.DUMMYFUNCTION("""COMPUTED_VALUE"""),5.0)</f>
        <v>5</v>
      </c>
      <c r="G234" s="8">
        <f>IFERROR(__xludf.DUMMYFUNCTION("""COMPUTED_VALUE"""),1.0)</f>
        <v>1</v>
      </c>
      <c r="H234" s="8">
        <f>IFERROR(__xludf.DUMMYFUNCTION("""COMPUTED_VALUE"""),0.0)</f>
        <v>0</v>
      </c>
      <c r="I234" s="8" t="str">
        <f>IFERROR(__xludf.DUMMYFUNCTION("""COMPUTED_VALUE"""),"General Petite")</f>
        <v>General Petite</v>
      </c>
      <c r="J234" s="8" t="str">
        <f>IFERROR(__xludf.DUMMYFUNCTION("""COMPUTED_VALUE"""),"Jackets")</f>
        <v>Jackets</v>
      </c>
      <c r="K234" s="8" t="str">
        <f>IFERROR(__xludf.DUMMYFUNCTION("""COMPUTED_VALUE"""),"Jackets")</f>
        <v>Jackets</v>
      </c>
    </row>
    <row r="235">
      <c r="A235" s="8">
        <f>IFERROR(__xludf.DUMMYFUNCTION("""COMPUTED_VALUE"""),300.0)</f>
        <v>300</v>
      </c>
      <c r="B235" s="8">
        <f>IFERROR(__xludf.DUMMYFUNCTION("""COMPUTED_VALUE"""),1104.0)</f>
        <v>1104</v>
      </c>
      <c r="C235" s="8">
        <f>IFERROR(__xludf.DUMMYFUNCTION("""COMPUTED_VALUE"""),38.0)</f>
        <v>38</v>
      </c>
      <c r="D235" s="8"/>
      <c r="E235" s="8" t="str">
        <f>IFERROR(__xludf.DUMMYFUNCTION("""COMPUTED_VALUE"""),"This dress is stunning- vibrant colors and flirty feel to it. i got the small and i am a 34b/27 pants, 132 lbs- great fit. i only question two things- am i tall enough to pull off the extra fabric in the back and what the heck do you where for a bra? thos"&amp;"e two considerations are why i didn't give it 5 stars.")</f>
        <v>This dress is stunning- vibrant colors and flirty feel to it. i got the small and i am a 34b/27 pants, 132 lbs- great fit. i only question two things- am i tall enough to pull off the extra fabric in the back and what the heck do you where for a bra? those two considerations are why i didn't give it 5 stars.</v>
      </c>
      <c r="F235" s="8">
        <f>IFERROR(__xludf.DUMMYFUNCTION("""COMPUTED_VALUE"""),4.0)</f>
        <v>4</v>
      </c>
      <c r="G235" s="8">
        <f>IFERROR(__xludf.DUMMYFUNCTION("""COMPUTED_VALUE"""),1.0)</f>
        <v>1</v>
      </c>
      <c r="H235" s="8">
        <f>IFERROR(__xludf.DUMMYFUNCTION("""COMPUTED_VALUE"""),1.0)</f>
        <v>1</v>
      </c>
      <c r="I235" s="8" t="str">
        <f>IFERROR(__xludf.DUMMYFUNCTION("""COMPUTED_VALUE"""),"General")</f>
        <v>General</v>
      </c>
      <c r="J235" s="8" t="str">
        <f>IFERROR(__xludf.DUMMYFUNCTION("""COMPUTED_VALUE"""),"Dresses")</f>
        <v>Dresses</v>
      </c>
      <c r="K235" s="8" t="str">
        <f>IFERROR(__xludf.DUMMYFUNCTION("""COMPUTED_VALUE"""),"Dresses")</f>
        <v>Dresses</v>
      </c>
    </row>
    <row r="236">
      <c r="A236" s="8">
        <f>IFERROR(__xludf.DUMMYFUNCTION("""COMPUTED_VALUE"""),301.0)</f>
        <v>301</v>
      </c>
      <c r="B236" s="8">
        <f>IFERROR(__xludf.DUMMYFUNCTION("""COMPUTED_VALUE"""),984.0)</f>
        <v>984</v>
      </c>
      <c r="C236" s="8">
        <f>IFERROR(__xludf.DUMMYFUNCTION("""COMPUTED_VALUE"""),38.0)</f>
        <v>38</v>
      </c>
      <c r="D236" s="8" t="str">
        <f>IFERROR(__xludf.DUMMYFUNCTION("""COMPUTED_VALUE"""),"Perfect denim jacket")</f>
        <v>Perfect denim jacket</v>
      </c>
      <c r="E236" s="8" t="str">
        <f>IFERROR(__xludf.DUMMYFUNCTION("""COMPUTED_VALUE"""),"I have been searching for the perfect denim jacket and this it! i love the darker color, more modern day less 80s. it runs a little small. i am always either a s or xs at retailer. lately, their clothes seem to be running a little bigger, so i have been a"&amp;"n xs in most tops. when i order online, i never know which size to get. i ordered an xs, however it was very tight in the arms and across the shoulders. i wanted to be able to roll the sleeves up, so i returned it for a s and it fits great. i was")</f>
        <v>I have been searching for the perfect denim jacket and this it! i love the darker color, more modern day less 80s. it runs a little small. i am always either a s or xs at retailer. lately, their clothes seem to be running a little bigger, so i have been an xs in most tops. when i order online, i never know which size to get. i ordered an xs, however it was very tight in the arms and across the shoulders. i wanted to be able to roll the sleeves up, so i returned it for a s and it fits great. i was</v>
      </c>
      <c r="F236" s="8">
        <f>IFERROR(__xludf.DUMMYFUNCTION("""COMPUTED_VALUE"""),5.0)</f>
        <v>5</v>
      </c>
      <c r="G236" s="8">
        <f>IFERROR(__xludf.DUMMYFUNCTION("""COMPUTED_VALUE"""),1.0)</f>
        <v>1</v>
      </c>
      <c r="H236" s="8">
        <f>IFERROR(__xludf.DUMMYFUNCTION("""COMPUTED_VALUE"""),0.0)</f>
        <v>0</v>
      </c>
      <c r="I236" s="8" t="str">
        <f>IFERROR(__xludf.DUMMYFUNCTION("""COMPUTED_VALUE"""),"General Petite")</f>
        <v>General Petite</v>
      </c>
      <c r="J236" s="8" t="str">
        <f>IFERROR(__xludf.DUMMYFUNCTION("""COMPUTED_VALUE"""),"Jackets")</f>
        <v>Jackets</v>
      </c>
      <c r="K236" s="8" t="str">
        <f>IFERROR(__xludf.DUMMYFUNCTION("""COMPUTED_VALUE"""),"Jackets")</f>
        <v>Jackets</v>
      </c>
    </row>
    <row r="237">
      <c r="A237" s="8">
        <f>IFERROR(__xludf.DUMMYFUNCTION("""COMPUTED_VALUE"""),302.0)</f>
        <v>302</v>
      </c>
      <c r="B237" s="8">
        <f>IFERROR(__xludf.DUMMYFUNCTION("""COMPUTED_VALUE"""),895.0)</f>
        <v>895</v>
      </c>
      <c r="C237" s="8">
        <f>IFERROR(__xludf.DUMMYFUNCTION("""COMPUTED_VALUE"""),36.0)</f>
        <v>36</v>
      </c>
      <c r="D237" s="8"/>
      <c r="E237" s="8" t="str">
        <f>IFERROR(__xludf.DUMMYFUNCTION("""COMPUTED_VALUE"""),"I have received so many compliments. it's my favorite")</f>
        <v>I have received so many compliments. it's my favorite</v>
      </c>
      <c r="F237" s="8">
        <f>IFERROR(__xludf.DUMMYFUNCTION("""COMPUTED_VALUE"""),5.0)</f>
        <v>5</v>
      </c>
      <c r="G237" s="8">
        <f>IFERROR(__xludf.DUMMYFUNCTION("""COMPUTED_VALUE"""),1.0)</f>
        <v>1</v>
      </c>
      <c r="H237" s="8">
        <f>IFERROR(__xludf.DUMMYFUNCTION("""COMPUTED_VALUE"""),0.0)</f>
        <v>0</v>
      </c>
      <c r="I237" s="8" t="str">
        <f>IFERROR(__xludf.DUMMYFUNCTION("""COMPUTED_VALUE"""),"General")</f>
        <v>General</v>
      </c>
      <c r="J237" s="8" t="str">
        <f>IFERROR(__xludf.DUMMYFUNCTION("""COMPUTED_VALUE"""),"Tops")</f>
        <v>Tops</v>
      </c>
      <c r="K237" s="8" t="str">
        <f>IFERROR(__xludf.DUMMYFUNCTION("""COMPUTED_VALUE"""),"Fine gauge")</f>
        <v>Fine gauge</v>
      </c>
    </row>
    <row r="238">
      <c r="A238" s="8">
        <f>IFERROR(__xludf.DUMMYFUNCTION("""COMPUTED_VALUE"""),303.0)</f>
        <v>303</v>
      </c>
      <c r="B238" s="8">
        <f>IFERROR(__xludf.DUMMYFUNCTION("""COMPUTED_VALUE"""),1104.0)</f>
        <v>1104</v>
      </c>
      <c r="C238" s="8">
        <f>IFERROR(__xludf.DUMMYFUNCTION("""COMPUTED_VALUE"""),41.0)</f>
        <v>41</v>
      </c>
      <c r="D238" s="8" t="str">
        <f>IFERROR(__xludf.DUMMYFUNCTION("""COMPUTED_VALUE"""),"Best dress ever!")</f>
        <v>Best dress ever!</v>
      </c>
      <c r="E238" s="8" t="str">
        <f>IFERROR(__xludf.DUMMYFUNCTION("""COMPUTED_VALUE"""),"I wore this dress for the first time yesterday... i have never received so many compliments on a dress before! several people even stopped me in the streets of nyc to tell me how beautiful this dress was!
it is an absolute must-have!")</f>
        <v>I wore this dress for the first time yesterday... i have never received so many compliments on a dress before! several people even stopped me in the streets of nyc to tell me how beautiful this dress was!
it is an absolute must-have!</v>
      </c>
      <c r="F238" s="8">
        <f>IFERROR(__xludf.DUMMYFUNCTION("""COMPUTED_VALUE"""),5.0)</f>
        <v>5</v>
      </c>
      <c r="G238" s="8">
        <f>IFERROR(__xludf.DUMMYFUNCTION("""COMPUTED_VALUE"""),1.0)</f>
        <v>1</v>
      </c>
      <c r="H238" s="8">
        <f>IFERROR(__xludf.DUMMYFUNCTION("""COMPUTED_VALUE"""),0.0)</f>
        <v>0</v>
      </c>
      <c r="I238" s="8" t="str">
        <f>IFERROR(__xludf.DUMMYFUNCTION("""COMPUTED_VALUE"""),"General")</f>
        <v>General</v>
      </c>
      <c r="J238" s="8" t="str">
        <f>IFERROR(__xludf.DUMMYFUNCTION("""COMPUTED_VALUE"""),"Dresses")</f>
        <v>Dresses</v>
      </c>
      <c r="K238" s="8" t="str">
        <f>IFERROR(__xludf.DUMMYFUNCTION("""COMPUTED_VALUE"""),"Dresses")</f>
        <v>Dresses</v>
      </c>
    </row>
    <row r="239">
      <c r="A239" s="8">
        <f>IFERROR(__xludf.DUMMYFUNCTION("""COMPUTED_VALUE"""),305.0)</f>
        <v>305</v>
      </c>
      <c r="B239" s="8">
        <f>IFERROR(__xludf.DUMMYFUNCTION("""COMPUTED_VALUE"""),984.0)</f>
        <v>984</v>
      </c>
      <c r="C239" s="8">
        <f>IFERROR(__xludf.DUMMYFUNCTION("""COMPUTED_VALUE"""),47.0)</f>
        <v>47</v>
      </c>
      <c r="D239" s="8" t="str">
        <f>IFERROR(__xludf.DUMMYFUNCTION("""COMPUTED_VALUE"""),"Adorable!")</f>
        <v>Adorable!</v>
      </c>
      <c r="E239" s="8" t="str">
        <f>IFERROR(__xludf.DUMMYFUNCTION("""COMPUTED_VALUE"""),"I love this little jean jacket! i am petite and usually get a xxsp , but went for a size up. i'm glad i did. it fits a little snug. the color is true to the photo and the material is a medium to heavy denim. the arm length in the petite size is perfect fo"&amp;"r me. i love this - over maxi dresses, tanks, etc... adorable jacket - great buy!!")</f>
        <v>I love this little jean jacket! i am petite and usually get a xxsp , but went for a size up. i'm glad i did. it fits a little snug. the color is true to the photo and the material is a medium to heavy denim. the arm length in the petite size is perfect for me. i love this - over maxi dresses, tanks, etc... adorable jacket - great buy!!</v>
      </c>
      <c r="F239" s="8">
        <f>IFERROR(__xludf.DUMMYFUNCTION("""COMPUTED_VALUE"""),5.0)</f>
        <v>5</v>
      </c>
      <c r="G239" s="8">
        <f>IFERROR(__xludf.DUMMYFUNCTION("""COMPUTED_VALUE"""),1.0)</f>
        <v>1</v>
      </c>
      <c r="H239" s="8">
        <f>IFERROR(__xludf.DUMMYFUNCTION("""COMPUTED_VALUE"""),0.0)</f>
        <v>0</v>
      </c>
      <c r="I239" s="8" t="str">
        <f>IFERROR(__xludf.DUMMYFUNCTION("""COMPUTED_VALUE"""),"General Petite")</f>
        <v>General Petite</v>
      </c>
      <c r="J239" s="8" t="str">
        <f>IFERROR(__xludf.DUMMYFUNCTION("""COMPUTED_VALUE"""),"Jackets")</f>
        <v>Jackets</v>
      </c>
      <c r="K239" s="8" t="str">
        <f>IFERROR(__xludf.DUMMYFUNCTION("""COMPUTED_VALUE"""),"Jackets")</f>
        <v>Jackets</v>
      </c>
    </row>
    <row r="240">
      <c r="A240" s="8">
        <f>IFERROR(__xludf.DUMMYFUNCTION("""COMPUTED_VALUE"""),306.0)</f>
        <v>306</v>
      </c>
      <c r="B240" s="8">
        <f>IFERROR(__xludf.DUMMYFUNCTION("""COMPUTED_VALUE"""),1104.0)</f>
        <v>1104</v>
      </c>
      <c r="C240" s="8">
        <f>IFERROR(__xludf.DUMMYFUNCTION("""COMPUTED_VALUE"""),63.0)</f>
        <v>63</v>
      </c>
      <c r="D240" s="8" t="str">
        <f>IFERROR(__xludf.DUMMYFUNCTION("""COMPUTED_VALUE"""),"Stunning, flattering, and versatile.")</f>
        <v>Stunning, flattering, and versatile.</v>
      </c>
      <c r="E240" s="8" t="str">
        <f>IFERROR(__xludf.DUMMYFUNCTION("""COMPUTED_VALUE"""),"This dress first caught my eye online. due to the price i resisted. then i saw in store and tried on...i decided to hold off for a sale, but my will was getting thin. once i saw it start to sell out online, i had to take the plunge. i knew this dress was "&amp;"a must have. it is super flattering and comfy! the best of both worlds. i'm small-chested so both the s and m fit, but the seam on the s fit a bit higher, which was more flattering on me, so s is what i got. it can be dressed up or slightly down")</f>
        <v>This dress first caught my eye online. due to the price i resisted. then i saw in store and tried on...i decided to hold off for a sale, but my will was getting thin. once i saw it start to sell out online, i had to take the plunge. i knew this dress was a must have. it is super flattering and comfy! the best of both worlds. i'm small-chested so both the s and m fit, but the seam on the s fit a bit higher, which was more flattering on me, so s is what i got. it can be dressed up or slightly down</v>
      </c>
      <c r="F240" s="8">
        <f>IFERROR(__xludf.DUMMYFUNCTION("""COMPUTED_VALUE"""),5.0)</f>
        <v>5</v>
      </c>
      <c r="G240" s="8">
        <f>IFERROR(__xludf.DUMMYFUNCTION("""COMPUTED_VALUE"""),1.0)</f>
        <v>1</v>
      </c>
      <c r="H240" s="8">
        <f>IFERROR(__xludf.DUMMYFUNCTION("""COMPUTED_VALUE"""),0.0)</f>
        <v>0</v>
      </c>
      <c r="I240" s="8" t="str">
        <f>IFERROR(__xludf.DUMMYFUNCTION("""COMPUTED_VALUE"""),"General")</f>
        <v>General</v>
      </c>
      <c r="J240" s="8" t="str">
        <f>IFERROR(__xludf.DUMMYFUNCTION("""COMPUTED_VALUE"""),"Dresses")</f>
        <v>Dresses</v>
      </c>
      <c r="K240" s="8" t="str">
        <f>IFERROR(__xludf.DUMMYFUNCTION("""COMPUTED_VALUE"""),"Dresses")</f>
        <v>Dresses</v>
      </c>
    </row>
    <row r="241">
      <c r="A241" s="8">
        <f>IFERROR(__xludf.DUMMYFUNCTION("""COMPUTED_VALUE"""),307.0)</f>
        <v>307</v>
      </c>
      <c r="B241" s="8">
        <f>IFERROR(__xludf.DUMMYFUNCTION("""COMPUTED_VALUE"""),831.0)</f>
        <v>831</v>
      </c>
      <c r="C241" s="8">
        <f>IFERROR(__xludf.DUMMYFUNCTION("""COMPUTED_VALUE"""),35.0)</f>
        <v>35</v>
      </c>
      <c r="D241" s="8" t="str">
        <f>IFERROR(__xludf.DUMMYFUNCTION("""COMPUTED_VALUE"""),"Pretty blouse!")</f>
        <v>Pretty blouse!</v>
      </c>
      <c r="E241" s="8" t="str">
        <f>IFERROR(__xludf.DUMMYFUNCTION("""COMPUTED_VALUE"""),"I love this blouse! i just bought it recently and have yet to wear it out other than trying it on. this blouse looked very nice on me which can be challenging. i don't live near an retailer so i have to order online exclusively. i have larger hips (135lbs"&amp;", 5'6) and finding flattering tops can be tough. sometimes they look amazing online and then once i try them on, they just don't look right. some shirts have a tendency to accentuate my hips too much making me look shorter. this top looked great a")</f>
        <v>I love this blouse! i just bought it recently and have yet to wear it out other than trying it on. this blouse looked very nice on me which can be challenging. i don't live near an retailer so i have to order online exclusively. i have larger hips (135lbs, 5'6) and finding flattering tops can be tough. sometimes they look amazing online and then once i try them on, they just don't look right. some shirts have a tendency to accentuate my hips too much making me look shorter. this top looked great a</v>
      </c>
      <c r="F241" s="8">
        <f>IFERROR(__xludf.DUMMYFUNCTION("""COMPUTED_VALUE"""),5.0)</f>
        <v>5</v>
      </c>
      <c r="G241" s="8">
        <f>IFERROR(__xludf.DUMMYFUNCTION("""COMPUTED_VALUE"""),1.0)</f>
        <v>1</v>
      </c>
      <c r="H241" s="8">
        <f>IFERROR(__xludf.DUMMYFUNCTION("""COMPUTED_VALUE"""),0.0)</f>
        <v>0</v>
      </c>
      <c r="I241" s="8" t="str">
        <f>IFERROR(__xludf.DUMMYFUNCTION("""COMPUTED_VALUE"""),"General")</f>
        <v>General</v>
      </c>
      <c r="J241" s="8" t="str">
        <f>IFERROR(__xludf.DUMMYFUNCTION("""COMPUTED_VALUE"""),"Tops")</f>
        <v>Tops</v>
      </c>
      <c r="K241" s="8" t="str">
        <f>IFERROR(__xludf.DUMMYFUNCTION("""COMPUTED_VALUE"""),"Blouses")</f>
        <v>Blouses</v>
      </c>
    </row>
    <row r="242">
      <c r="A242" s="8">
        <f>IFERROR(__xludf.DUMMYFUNCTION("""COMPUTED_VALUE"""),308.0)</f>
        <v>308</v>
      </c>
      <c r="B242" s="8">
        <f>IFERROR(__xludf.DUMMYFUNCTION("""COMPUTED_VALUE"""),984.0)</f>
        <v>984</v>
      </c>
      <c r="C242" s="8">
        <f>IFERROR(__xludf.DUMMYFUNCTION("""COMPUTED_VALUE"""),35.0)</f>
        <v>35</v>
      </c>
      <c r="D242" s="8" t="str">
        <f>IFERROR(__xludf.DUMMYFUNCTION("""COMPUTED_VALUE"""),"Too distressed")</f>
        <v>Too distressed</v>
      </c>
      <c r="E242" s="8" t="str">
        <f>IFERROR(__xludf.DUMMYFUNCTION("""COMPUTED_VALUE"""),"First i ordered a m. i'm normally a 8-10. the m was too small so i returned and ordered a lg. the lg fits great but there is a huge area of distressing on the shoulder that will turn into a hole. i love this jacket but cannot keep it in its condition. hop"&amp;"efully i will make it to the store soon (there are none w/in an hour of me) and look before i buy.")</f>
        <v>First i ordered a m. i'm normally a 8-10. the m was too small so i returned and ordered a lg. the lg fits great but there is a huge area of distressing on the shoulder that will turn into a hole. i love this jacket but cannot keep it in its condition. hopefully i will make it to the store soon (there are none w/in an hour of me) and look before i buy.</v>
      </c>
      <c r="F242" s="8">
        <f>IFERROR(__xludf.DUMMYFUNCTION("""COMPUTED_VALUE"""),4.0)</f>
        <v>4</v>
      </c>
      <c r="G242" s="8">
        <f>IFERROR(__xludf.DUMMYFUNCTION("""COMPUTED_VALUE"""),1.0)</f>
        <v>1</v>
      </c>
      <c r="H242" s="8">
        <f>IFERROR(__xludf.DUMMYFUNCTION("""COMPUTED_VALUE"""),2.0)</f>
        <v>2</v>
      </c>
      <c r="I242" s="8" t="str">
        <f>IFERROR(__xludf.DUMMYFUNCTION("""COMPUTED_VALUE"""),"General Petite")</f>
        <v>General Petite</v>
      </c>
      <c r="J242" s="8" t="str">
        <f>IFERROR(__xludf.DUMMYFUNCTION("""COMPUTED_VALUE"""),"Jackets")</f>
        <v>Jackets</v>
      </c>
      <c r="K242" s="8" t="str">
        <f>IFERROR(__xludf.DUMMYFUNCTION("""COMPUTED_VALUE"""),"Jackets")</f>
        <v>Jackets</v>
      </c>
    </row>
    <row r="243">
      <c r="A243" s="8">
        <f>IFERROR(__xludf.DUMMYFUNCTION("""COMPUTED_VALUE"""),309.0)</f>
        <v>309</v>
      </c>
      <c r="B243" s="8">
        <f>IFERROR(__xludf.DUMMYFUNCTION("""COMPUTED_VALUE"""),1104.0)</f>
        <v>1104</v>
      </c>
      <c r="C243" s="8">
        <f>IFERROR(__xludf.DUMMYFUNCTION("""COMPUTED_VALUE"""),56.0)</f>
        <v>56</v>
      </c>
      <c r="D243" s="8" t="str">
        <f>IFERROR(__xludf.DUMMYFUNCTION("""COMPUTED_VALUE"""),"Stunning...")</f>
        <v>Stunning...</v>
      </c>
      <c r="E243" s="8" t="str">
        <f>IFERROR(__xludf.DUMMYFUNCTION("""COMPUTED_VALUE"""),"I purchased the navy color of this dress. not only did it look good, but felt good as well. since it is for a wedding, i also purchased a white crochet cropped ""sweater"" to wear over as well, making the perfect dress for the mother of the groom. could n"&amp;"ot have been happier.")</f>
        <v>I purchased the navy color of this dress. not only did it look good, but felt good as well. since it is for a wedding, i also purchased a white crochet cropped "sweater" to wear over as well, making the perfect dress for the mother of the groom. could not have been happier.</v>
      </c>
      <c r="F243" s="8">
        <f>IFERROR(__xludf.DUMMYFUNCTION("""COMPUTED_VALUE"""),5.0)</f>
        <v>5</v>
      </c>
      <c r="G243" s="8">
        <f>IFERROR(__xludf.DUMMYFUNCTION("""COMPUTED_VALUE"""),1.0)</f>
        <v>1</v>
      </c>
      <c r="H243" s="8">
        <f>IFERROR(__xludf.DUMMYFUNCTION("""COMPUTED_VALUE"""),0.0)</f>
        <v>0</v>
      </c>
      <c r="I243" s="8" t="str">
        <f>IFERROR(__xludf.DUMMYFUNCTION("""COMPUTED_VALUE"""),"General")</f>
        <v>General</v>
      </c>
      <c r="J243" s="8" t="str">
        <f>IFERROR(__xludf.DUMMYFUNCTION("""COMPUTED_VALUE"""),"Dresses")</f>
        <v>Dresses</v>
      </c>
      <c r="K243" s="8" t="str">
        <f>IFERROR(__xludf.DUMMYFUNCTION("""COMPUTED_VALUE"""),"Dresses")</f>
        <v>Dresses</v>
      </c>
    </row>
    <row r="244">
      <c r="A244" s="8">
        <f>IFERROR(__xludf.DUMMYFUNCTION("""COMPUTED_VALUE"""),310.0)</f>
        <v>310</v>
      </c>
      <c r="B244" s="8">
        <f>IFERROR(__xludf.DUMMYFUNCTION("""COMPUTED_VALUE"""),836.0)</f>
        <v>836</v>
      </c>
      <c r="C244" s="8">
        <f>IFERROR(__xludf.DUMMYFUNCTION("""COMPUTED_VALUE"""),41.0)</f>
        <v>41</v>
      </c>
      <c r="D244" s="8" t="str">
        <f>IFERROR(__xludf.DUMMYFUNCTION("""COMPUTED_VALUE"""),"Cute top")</f>
        <v>Cute top</v>
      </c>
      <c r="E244" s="8" t="str">
        <f>IFERROR(__xludf.DUMMYFUNCTION("""COMPUTED_VALUE"""),"This top looks pretty much like it does not the model. the sleeves are a nice length and are not too tight. the fabric is light weight, but not see-through. it does not wrinkle a lot. i've gotten several compliments on it and it goes with lots of differen"&amp;"t bottoms and will work under jackets too. the v-neck is pretty deep, but doesn't show so much cleavage that you couldn't wear it to work.")</f>
        <v>This top looks pretty much like it does not the model. the sleeves are a nice length and are not too tight. the fabric is light weight, but not see-through. it does not wrinkle a lot. i've gotten several compliments on it and it goes with lots of different bottoms and will work under jackets too. the v-neck is pretty deep, but doesn't show so much cleavage that you couldn't wear it to work.</v>
      </c>
      <c r="F244" s="8">
        <f>IFERROR(__xludf.DUMMYFUNCTION("""COMPUTED_VALUE"""),5.0)</f>
        <v>5</v>
      </c>
      <c r="G244" s="8">
        <f>IFERROR(__xludf.DUMMYFUNCTION("""COMPUTED_VALUE"""),1.0)</f>
        <v>1</v>
      </c>
      <c r="H244" s="8">
        <f>IFERROR(__xludf.DUMMYFUNCTION("""COMPUTED_VALUE"""),0.0)</f>
        <v>0</v>
      </c>
      <c r="I244" s="8" t="str">
        <f>IFERROR(__xludf.DUMMYFUNCTION("""COMPUTED_VALUE"""),"General")</f>
        <v>General</v>
      </c>
      <c r="J244" s="8" t="str">
        <f>IFERROR(__xludf.DUMMYFUNCTION("""COMPUTED_VALUE"""),"Tops")</f>
        <v>Tops</v>
      </c>
      <c r="K244" s="8" t="str">
        <f>IFERROR(__xludf.DUMMYFUNCTION("""COMPUTED_VALUE"""),"Blouses")</f>
        <v>Blouses</v>
      </c>
    </row>
    <row r="245">
      <c r="A245" s="8">
        <f>IFERROR(__xludf.DUMMYFUNCTION("""COMPUTED_VALUE"""),313.0)</f>
        <v>313</v>
      </c>
      <c r="B245" s="8">
        <f>IFERROR(__xludf.DUMMYFUNCTION("""COMPUTED_VALUE"""),836.0)</f>
        <v>836</v>
      </c>
      <c r="C245" s="8">
        <f>IFERROR(__xludf.DUMMYFUNCTION("""COMPUTED_VALUE"""),32.0)</f>
        <v>32</v>
      </c>
      <c r="D245" s="8" t="str">
        <f>IFERROR(__xludf.DUMMYFUNCTION("""COMPUTED_VALUE"""),"Adorable")</f>
        <v>Adorable</v>
      </c>
      <c r="E245" s="8" t="str">
        <f>IFERROR(__xludf.DUMMYFUNCTION("""COMPUTED_VALUE"""),"I purchased the floral patterned version and get complimented every time i wear it. i found it to be pretty true to size, even after washing. it's a little sheer, so you'd definitely want to wear a camisole underneath for work. it's a great top for spring"&amp;"/summer!")</f>
        <v>I purchased the floral patterned version and get complimented every time i wear it. i found it to be pretty true to size, even after washing. it's a little sheer, so you'd definitely want to wear a camisole underneath for work. it's a great top for spring/summer!</v>
      </c>
      <c r="F245" s="8">
        <f>IFERROR(__xludf.DUMMYFUNCTION("""COMPUTED_VALUE"""),4.0)</f>
        <v>4</v>
      </c>
      <c r="G245" s="8">
        <f>IFERROR(__xludf.DUMMYFUNCTION("""COMPUTED_VALUE"""),1.0)</f>
        <v>1</v>
      </c>
      <c r="H245" s="8">
        <f>IFERROR(__xludf.DUMMYFUNCTION("""COMPUTED_VALUE"""),4.0)</f>
        <v>4</v>
      </c>
      <c r="I245" s="8" t="str">
        <f>IFERROR(__xludf.DUMMYFUNCTION("""COMPUTED_VALUE"""),"General")</f>
        <v>General</v>
      </c>
      <c r="J245" s="8" t="str">
        <f>IFERROR(__xludf.DUMMYFUNCTION("""COMPUTED_VALUE"""),"Tops")</f>
        <v>Tops</v>
      </c>
      <c r="K245" s="8" t="str">
        <f>IFERROR(__xludf.DUMMYFUNCTION("""COMPUTED_VALUE"""),"Blouses")</f>
        <v>Blouses</v>
      </c>
    </row>
    <row r="246">
      <c r="A246" s="8">
        <f>IFERROR(__xludf.DUMMYFUNCTION("""COMPUTED_VALUE"""),315.0)</f>
        <v>315</v>
      </c>
      <c r="B246" s="8">
        <f>IFERROR(__xludf.DUMMYFUNCTION("""COMPUTED_VALUE"""),836.0)</f>
        <v>836</v>
      </c>
      <c r="C246" s="8">
        <f>IFERROR(__xludf.DUMMYFUNCTION("""COMPUTED_VALUE"""),21.0)</f>
        <v>21</v>
      </c>
      <c r="D246" s="8" t="str">
        <f>IFERROR(__xludf.DUMMYFUNCTION("""COMPUTED_VALUE"""),"Beautiful top!")</f>
        <v>Beautiful top!</v>
      </c>
      <c r="E246" s="8" t="str">
        <f>IFERROR(__xludf.DUMMYFUNCTION("""COMPUTED_VALUE"""),"Love this top! made with 100% cotton, a vintage look, and flattering details this top is a winner for me. i think it fits true to size (got my regular size 0) and i did not need the petite and i am fairly short (5'3""). it is somewhat see through, but wit"&amp;"h wearing a nude bra and not wearing it to work, i think it can be worn without a cami. the perfect lightweight, comfortable, standout piece for the summer time :)")</f>
        <v>Love this top! made with 100% cotton, a vintage look, and flattering details this top is a winner for me. i think it fits true to size (got my regular size 0) and i did not need the petite and i am fairly short (5'3"). it is somewhat see through, but with wearing a nude bra and not wearing it to work, i think it can be worn without a cami. the perfect lightweight, comfortable, standout piece for the summer time :)</v>
      </c>
      <c r="F246" s="8">
        <f>IFERROR(__xludf.DUMMYFUNCTION("""COMPUTED_VALUE"""),5.0)</f>
        <v>5</v>
      </c>
      <c r="G246" s="8">
        <f>IFERROR(__xludf.DUMMYFUNCTION("""COMPUTED_VALUE"""),1.0)</f>
        <v>1</v>
      </c>
      <c r="H246" s="8">
        <f>IFERROR(__xludf.DUMMYFUNCTION("""COMPUTED_VALUE"""),8.0)</f>
        <v>8</v>
      </c>
      <c r="I246" s="8" t="str">
        <f>IFERROR(__xludf.DUMMYFUNCTION("""COMPUTED_VALUE"""),"General")</f>
        <v>General</v>
      </c>
      <c r="J246" s="8" t="str">
        <f>IFERROR(__xludf.DUMMYFUNCTION("""COMPUTED_VALUE"""),"Tops")</f>
        <v>Tops</v>
      </c>
      <c r="K246" s="8" t="str">
        <f>IFERROR(__xludf.DUMMYFUNCTION("""COMPUTED_VALUE"""),"Blouses")</f>
        <v>Blouses</v>
      </c>
    </row>
    <row r="247">
      <c r="A247" s="8">
        <f>IFERROR(__xludf.DUMMYFUNCTION("""COMPUTED_VALUE"""),316.0)</f>
        <v>316</v>
      </c>
      <c r="B247" s="8">
        <f>IFERROR(__xludf.DUMMYFUNCTION("""COMPUTED_VALUE"""),836.0)</f>
        <v>836</v>
      </c>
      <c r="C247" s="8">
        <f>IFERROR(__xludf.DUMMYFUNCTION("""COMPUTED_VALUE"""),59.0)</f>
        <v>59</v>
      </c>
      <c r="D247" s="8" t="str">
        <f>IFERROR(__xludf.DUMMYFUNCTION("""COMPUTED_VALUE"""),"Love this blouse")</f>
        <v>Love this blouse</v>
      </c>
      <c r="E247" s="8" t="str">
        <f>IFERROR(__xludf.DUMMYFUNCTION("""COMPUTED_VALUE"""),"I really like this blouse a lot. very very easy to wear!! i wore with pencil skirt to work and with skort as shown similar on model with sandals on weekend. very flattering and great blue color!!! very happy with this purchase. highly recommend. i am 5'6"&amp;""" short torso and my usual 6 worked.")</f>
        <v>I really like this blouse a lot. very very easy to wear!! i wore with pencil skirt to work and with skort as shown similar on model with sandals on weekend. very flattering and great blue color!!! very happy with this purchase. highly recommend. i am 5'6" short torso and my usual 6 worked.</v>
      </c>
      <c r="F247" s="8">
        <f>IFERROR(__xludf.DUMMYFUNCTION("""COMPUTED_VALUE"""),5.0)</f>
        <v>5</v>
      </c>
      <c r="G247" s="8">
        <f>IFERROR(__xludf.DUMMYFUNCTION("""COMPUTED_VALUE"""),1.0)</f>
        <v>1</v>
      </c>
      <c r="H247" s="8">
        <f>IFERROR(__xludf.DUMMYFUNCTION("""COMPUTED_VALUE"""),0.0)</f>
        <v>0</v>
      </c>
      <c r="I247" s="8" t="str">
        <f>IFERROR(__xludf.DUMMYFUNCTION("""COMPUTED_VALUE"""),"General")</f>
        <v>General</v>
      </c>
      <c r="J247" s="8" t="str">
        <f>IFERROR(__xludf.DUMMYFUNCTION("""COMPUTED_VALUE"""),"Tops")</f>
        <v>Tops</v>
      </c>
      <c r="K247" s="8" t="str">
        <f>IFERROR(__xludf.DUMMYFUNCTION("""COMPUTED_VALUE"""),"Blouses")</f>
        <v>Blouses</v>
      </c>
    </row>
    <row r="248">
      <c r="A248" s="8">
        <f>IFERROR(__xludf.DUMMYFUNCTION("""COMPUTED_VALUE"""),317.0)</f>
        <v>317</v>
      </c>
      <c r="B248" s="8">
        <f>IFERROR(__xludf.DUMMYFUNCTION("""COMPUTED_VALUE"""),844.0)</f>
        <v>844</v>
      </c>
      <c r="C248" s="8">
        <f>IFERROR(__xludf.DUMMYFUNCTION("""COMPUTED_VALUE"""),53.0)</f>
        <v>53</v>
      </c>
      <c r="D248" s="8" t="str">
        <f>IFERROR(__xludf.DUMMYFUNCTION("""COMPUTED_VALUE"""),"Lovely printed blouse")</f>
        <v>Lovely printed blouse</v>
      </c>
      <c r="E248" s="8" t="str">
        <f>IFERROR(__xludf.DUMMYFUNCTION("""COMPUTED_VALUE"""),"I just purchased this beautiful printed blouse in the pink color and love it! i almost always wear a size small at retailer (34d-27-35) and the fit and length are both perfect on me. if you are smaller chested you can easily go down a size. i absolutely h"&amp;"ad to have this whe i first saw it at the store and noticed how popular it was as i had to order it due to it selling out like hot cakes there. what i like about it is the texture and the ruffles at the front plus the length of the sleeves stop ri")</f>
        <v>I just purchased this beautiful printed blouse in the pink color and love it! i almost always wear a size small at retailer (34d-27-35) and the fit and length are both perfect on me. if you are smaller chested you can easily go down a size. i absolutely had to have this whe i first saw it at the store and noticed how popular it was as i had to order it due to it selling out like hot cakes there. what i like about it is the texture and the ruffles at the front plus the length of the sleeves stop ri</v>
      </c>
      <c r="F248" s="8">
        <f>IFERROR(__xludf.DUMMYFUNCTION("""COMPUTED_VALUE"""),5.0)</f>
        <v>5</v>
      </c>
      <c r="G248" s="8">
        <f>IFERROR(__xludf.DUMMYFUNCTION("""COMPUTED_VALUE"""),1.0)</f>
        <v>1</v>
      </c>
      <c r="H248" s="8">
        <f>IFERROR(__xludf.DUMMYFUNCTION("""COMPUTED_VALUE"""),4.0)</f>
        <v>4</v>
      </c>
      <c r="I248" s="8" t="str">
        <f>IFERROR(__xludf.DUMMYFUNCTION("""COMPUTED_VALUE"""),"General Petite")</f>
        <v>General Petite</v>
      </c>
      <c r="J248" s="8" t="str">
        <f>IFERROR(__xludf.DUMMYFUNCTION("""COMPUTED_VALUE"""),"Tops")</f>
        <v>Tops</v>
      </c>
      <c r="K248" s="8" t="str">
        <f>IFERROR(__xludf.DUMMYFUNCTION("""COMPUTED_VALUE"""),"Blouses")</f>
        <v>Blouses</v>
      </c>
    </row>
    <row r="249">
      <c r="A249" s="8">
        <f>IFERROR(__xludf.DUMMYFUNCTION("""COMPUTED_VALUE"""),318.0)</f>
        <v>318</v>
      </c>
      <c r="B249" s="8">
        <f>IFERROR(__xludf.DUMMYFUNCTION("""COMPUTED_VALUE"""),936.0)</f>
        <v>936</v>
      </c>
      <c r="C249" s="8">
        <f>IFERROR(__xludf.DUMMYFUNCTION("""COMPUTED_VALUE"""),27.0)</f>
        <v>27</v>
      </c>
      <c r="D249" s="8" t="str">
        <f>IFERROR(__xludf.DUMMYFUNCTION("""COMPUTED_VALUE"""),"Love, love, love!")</f>
        <v>Love, love, love!</v>
      </c>
      <c r="E249" s="8" t="str">
        <f>IFERROR(__xludf.DUMMYFUNCTION("""COMPUTED_VALUE"""),"Bought this on a whim and it exceeded my expectations. i didn't know what to expect with the quality of the fabric but this is incredibly soft and warm. haven't worn it outside yet but i can see this already as one of my favorite items. i'm usually an ext"&amp;"ra-small but the xxs also fits. it's a great buy especially since it's on sale now.")</f>
        <v>Bought this on a whim and it exceeded my expectations. i didn't know what to expect with the quality of the fabric but this is incredibly soft and warm. haven't worn it outside yet but i can see this already as one of my favorite items. i'm usually an extra-small but the xxs also fits. it's a great buy especially since it's on sale now.</v>
      </c>
      <c r="F249" s="8">
        <f>IFERROR(__xludf.DUMMYFUNCTION("""COMPUTED_VALUE"""),5.0)</f>
        <v>5</v>
      </c>
      <c r="G249" s="8">
        <f>IFERROR(__xludf.DUMMYFUNCTION("""COMPUTED_VALUE"""),1.0)</f>
        <v>1</v>
      </c>
      <c r="H249" s="8">
        <f>IFERROR(__xludf.DUMMYFUNCTION("""COMPUTED_VALUE"""),2.0)</f>
        <v>2</v>
      </c>
      <c r="I249" s="8" t="str">
        <f>IFERROR(__xludf.DUMMYFUNCTION("""COMPUTED_VALUE"""),"General Petite")</f>
        <v>General Petite</v>
      </c>
      <c r="J249" s="8" t="str">
        <f>IFERROR(__xludf.DUMMYFUNCTION("""COMPUTED_VALUE"""),"Tops")</f>
        <v>Tops</v>
      </c>
      <c r="K249" s="8" t="str">
        <f>IFERROR(__xludf.DUMMYFUNCTION("""COMPUTED_VALUE"""),"Sweaters")</f>
        <v>Sweaters</v>
      </c>
    </row>
    <row r="250">
      <c r="A250" s="8">
        <f>IFERROR(__xludf.DUMMYFUNCTION("""COMPUTED_VALUE"""),319.0)</f>
        <v>319</v>
      </c>
      <c r="B250" s="8">
        <f>IFERROR(__xludf.DUMMYFUNCTION("""COMPUTED_VALUE"""),895.0)</f>
        <v>895</v>
      </c>
      <c r="C250" s="8">
        <f>IFERROR(__xludf.DUMMYFUNCTION("""COMPUTED_VALUE"""),62.0)</f>
        <v>62</v>
      </c>
      <c r="D250" s="8" t="str">
        <f>IFERROR(__xludf.DUMMYFUNCTION("""COMPUTED_VALUE"""),"Loveee")</f>
        <v>Loveee</v>
      </c>
      <c r="E250" s="8" t="str">
        <f>IFERROR(__xludf.DUMMYFUNCTION("""COMPUTED_VALUE"""),"This is an awesome vest - so soft, cozy, and i cannot wait to wear it through fall and winter. for sake of not repeating all the positive aspects that the previous reviewers did, i'll mention the one flaw...no pockets :( still totally worth full price in "&amp;"my mind though.")</f>
        <v>This is an awesome vest - so soft, cozy, and i cannot wait to wear it through fall and winter. for sake of not repeating all the positive aspects that the previous reviewers did, i'll mention the one flaw...no pockets :( still totally worth full price in my mind though.</v>
      </c>
      <c r="F250" s="8">
        <f>IFERROR(__xludf.DUMMYFUNCTION("""COMPUTED_VALUE"""),5.0)</f>
        <v>5</v>
      </c>
      <c r="G250" s="8">
        <f>IFERROR(__xludf.DUMMYFUNCTION("""COMPUTED_VALUE"""),1.0)</f>
        <v>1</v>
      </c>
      <c r="H250" s="8">
        <f>IFERROR(__xludf.DUMMYFUNCTION("""COMPUTED_VALUE"""),7.0)</f>
        <v>7</v>
      </c>
      <c r="I250" s="8" t="str">
        <f>IFERROR(__xludf.DUMMYFUNCTION("""COMPUTED_VALUE"""),"General")</f>
        <v>General</v>
      </c>
      <c r="J250" s="8" t="str">
        <f>IFERROR(__xludf.DUMMYFUNCTION("""COMPUTED_VALUE"""),"Tops")</f>
        <v>Tops</v>
      </c>
      <c r="K250" s="8" t="str">
        <f>IFERROR(__xludf.DUMMYFUNCTION("""COMPUTED_VALUE"""),"Fine gauge")</f>
        <v>Fine gauge</v>
      </c>
    </row>
    <row r="251">
      <c r="A251" s="8">
        <f>IFERROR(__xludf.DUMMYFUNCTION("""COMPUTED_VALUE"""),320.0)</f>
        <v>320</v>
      </c>
      <c r="B251" s="8">
        <f>IFERROR(__xludf.DUMMYFUNCTION("""COMPUTED_VALUE"""),836.0)</f>
        <v>836</v>
      </c>
      <c r="C251" s="8">
        <f>IFERROR(__xludf.DUMMYFUNCTION("""COMPUTED_VALUE"""),41.0)</f>
        <v>41</v>
      </c>
      <c r="D251" s="8"/>
      <c r="E251" s="8" t="str">
        <f>IFERROR(__xludf.DUMMYFUNCTION("""COMPUTED_VALUE"""),"I find that maeve shirts tend to run a little small. i'm usually an 8 but needed this in a 10. this shirt is reallly just perfect. great sleeve length. just the right amount of v neck. beautiful pattern with a vintage feel. i love the combo of stripes, po"&amp;"lka dots and sweet flowers.")</f>
        <v>I find that maeve shirts tend to run a little small. i'm usually an 8 but needed this in a 10. this shirt is reallly just perfect. great sleeve length. just the right amount of v neck. beautiful pattern with a vintage feel. i love the combo of stripes, polka dots and sweet flowers.</v>
      </c>
      <c r="F251" s="8">
        <f>IFERROR(__xludf.DUMMYFUNCTION("""COMPUTED_VALUE"""),5.0)</f>
        <v>5</v>
      </c>
      <c r="G251" s="8">
        <f>IFERROR(__xludf.DUMMYFUNCTION("""COMPUTED_VALUE"""),1.0)</f>
        <v>1</v>
      </c>
      <c r="H251" s="8">
        <f>IFERROR(__xludf.DUMMYFUNCTION("""COMPUTED_VALUE"""),23.0)</f>
        <v>23</v>
      </c>
      <c r="I251" s="8" t="str">
        <f>IFERROR(__xludf.DUMMYFUNCTION("""COMPUTED_VALUE"""),"General")</f>
        <v>General</v>
      </c>
      <c r="J251" s="8" t="str">
        <f>IFERROR(__xludf.DUMMYFUNCTION("""COMPUTED_VALUE"""),"Tops")</f>
        <v>Tops</v>
      </c>
      <c r="K251" s="8" t="str">
        <f>IFERROR(__xludf.DUMMYFUNCTION("""COMPUTED_VALUE"""),"Blouses")</f>
        <v>Blouses</v>
      </c>
    </row>
    <row r="252">
      <c r="A252" s="8">
        <f>IFERROR(__xludf.DUMMYFUNCTION("""COMPUTED_VALUE"""),321.0)</f>
        <v>321</v>
      </c>
      <c r="B252" s="8">
        <f>IFERROR(__xludf.DUMMYFUNCTION("""COMPUTED_VALUE"""),831.0)</f>
        <v>831</v>
      </c>
      <c r="C252" s="8">
        <f>IFERROR(__xludf.DUMMYFUNCTION("""COMPUTED_VALUE"""),50.0)</f>
        <v>50</v>
      </c>
      <c r="D252" s="8" t="str">
        <f>IFERROR(__xludf.DUMMYFUNCTION("""COMPUTED_VALUE"""),"My favorite new blouse")</f>
        <v>My favorite new blouse</v>
      </c>
      <c r="E252" s="8" t="str">
        <f>IFERROR(__xludf.DUMMYFUNCTION("""COMPUTED_VALUE"""),"This blouse is so pretty. i love the long tie. the pattern is very unique. it is a thin, light weight fabric so you can easily wear it underneath a leather jacket.")</f>
        <v>This blouse is so pretty. i love the long tie. the pattern is very unique. it is a thin, light weight fabric so you can easily wear it underneath a leather jacket.</v>
      </c>
      <c r="F252" s="8">
        <f>IFERROR(__xludf.DUMMYFUNCTION("""COMPUTED_VALUE"""),5.0)</f>
        <v>5</v>
      </c>
      <c r="G252" s="8">
        <f>IFERROR(__xludf.DUMMYFUNCTION("""COMPUTED_VALUE"""),1.0)</f>
        <v>1</v>
      </c>
      <c r="H252" s="8">
        <f>IFERROR(__xludf.DUMMYFUNCTION("""COMPUTED_VALUE"""),3.0)</f>
        <v>3</v>
      </c>
      <c r="I252" s="8" t="str">
        <f>IFERROR(__xludf.DUMMYFUNCTION("""COMPUTED_VALUE"""),"General")</f>
        <v>General</v>
      </c>
      <c r="J252" s="8" t="str">
        <f>IFERROR(__xludf.DUMMYFUNCTION("""COMPUTED_VALUE"""),"Tops")</f>
        <v>Tops</v>
      </c>
      <c r="K252" s="8" t="str">
        <f>IFERROR(__xludf.DUMMYFUNCTION("""COMPUTED_VALUE"""),"Blouses")</f>
        <v>Blouses</v>
      </c>
    </row>
    <row r="253">
      <c r="A253" s="8">
        <f>IFERROR(__xludf.DUMMYFUNCTION("""COMPUTED_VALUE"""),322.0)</f>
        <v>322</v>
      </c>
      <c r="B253" s="8">
        <f>IFERROR(__xludf.DUMMYFUNCTION("""COMPUTED_VALUE"""),844.0)</f>
        <v>844</v>
      </c>
      <c r="C253" s="8">
        <f>IFERROR(__xludf.DUMMYFUNCTION("""COMPUTED_VALUE"""),54.0)</f>
        <v>54</v>
      </c>
      <c r="D253" s="8" t="str">
        <f>IFERROR(__xludf.DUMMYFUNCTION("""COMPUTED_VALUE"""),"A standout")</f>
        <v>A standout</v>
      </c>
      <c r="E253" s="8" t="str">
        <f>IFERROR(__xludf.DUMMYFUNCTION("""COMPUTED_VALUE"""),"This is a beautiful blouse...sheer and feminine. i am small busted and slender so i need a size smaller than usual. it is a full top...can't tell exactly how full in the photos but with a small chest there is just too much under the arms. so if your chest"&amp;" is more ample you could prob order your regular size. this is supposed to be a full, shorter fit...i would say the style is going to look better on someone who is a little taller with a medium sized bust rather than someone who is shorter and b")</f>
        <v>This is a beautiful blouse...sheer and feminine. i am small busted and slender so i need a size smaller than usual. it is a full top...can't tell exactly how full in the photos but with a small chest there is just too much under the arms. so if your chest is more ample you could prob order your regular size. this is supposed to be a full, shorter fit...i would say the style is going to look better on someone who is a little taller with a medium sized bust rather than someone who is shorter and b</v>
      </c>
      <c r="F253" s="8">
        <f>IFERROR(__xludf.DUMMYFUNCTION("""COMPUTED_VALUE"""),5.0)</f>
        <v>5</v>
      </c>
      <c r="G253" s="8">
        <f>IFERROR(__xludf.DUMMYFUNCTION("""COMPUTED_VALUE"""),1.0)</f>
        <v>1</v>
      </c>
      <c r="H253" s="8">
        <f>IFERROR(__xludf.DUMMYFUNCTION("""COMPUTED_VALUE"""),13.0)</f>
        <v>13</v>
      </c>
      <c r="I253" s="8" t="str">
        <f>IFERROR(__xludf.DUMMYFUNCTION("""COMPUTED_VALUE"""),"General Petite")</f>
        <v>General Petite</v>
      </c>
      <c r="J253" s="8" t="str">
        <f>IFERROR(__xludf.DUMMYFUNCTION("""COMPUTED_VALUE"""),"Tops")</f>
        <v>Tops</v>
      </c>
      <c r="K253" s="8" t="str">
        <f>IFERROR(__xludf.DUMMYFUNCTION("""COMPUTED_VALUE"""),"Blouses")</f>
        <v>Blouses</v>
      </c>
    </row>
    <row r="254">
      <c r="A254" s="8">
        <f>IFERROR(__xludf.DUMMYFUNCTION("""COMPUTED_VALUE"""),323.0)</f>
        <v>323</v>
      </c>
      <c r="B254" s="8">
        <f>IFERROR(__xludf.DUMMYFUNCTION("""COMPUTED_VALUE"""),895.0)</f>
        <v>895</v>
      </c>
      <c r="C254" s="8">
        <f>IFERROR(__xludf.DUMMYFUNCTION("""COMPUTED_VALUE"""),47.0)</f>
        <v>47</v>
      </c>
      <c r="D254" s="8"/>
      <c r="E254" s="8"/>
      <c r="F254" s="8">
        <f>IFERROR(__xludf.DUMMYFUNCTION("""COMPUTED_VALUE"""),5.0)</f>
        <v>5</v>
      </c>
      <c r="G254" s="8">
        <f>IFERROR(__xludf.DUMMYFUNCTION("""COMPUTED_VALUE"""),1.0)</f>
        <v>1</v>
      </c>
      <c r="H254" s="8">
        <f>IFERROR(__xludf.DUMMYFUNCTION("""COMPUTED_VALUE"""),0.0)</f>
        <v>0</v>
      </c>
      <c r="I254" s="8" t="str">
        <f>IFERROR(__xludf.DUMMYFUNCTION("""COMPUTED_VALUE"""),"General")</f>
        <v>General</v>
      </c>
      <c r="J254" s="8" t="str">
        <f>IFERROR(__xludf.DUMMYFUNCTION("""COMPUTED_VALUE"""),"Tops")</f>
        <v>Tops</v>
      </c>
      <c r="K254" s="8" t="str">
        <f>IFERROR(__xludf.DUMMYFUNCTION("""COMPUTED_VALUE"""),"Fine gauge")</f>
        <v>Fine gauge</v>
      </c>
    </row>
    <row r="255">
      <c r="A255" s="8">
        <f>IFERROR(__xludf.DUMMYFUNCTION("""COMPUTED_VALUE"""),324.0)</f>
        <v>324</v>
      </c>
      <c r="B255" s="8">
        <f>IFERROR(__xludf.DUMMYFUNCTION("""COMPUTED_VALUE"""),1066.0)</f>
        <v>1066</v>
      </c>
      <c r="C255" s="8">
        <f>IFERROR(__xludf.DUMMYFUNCTION("""COMPUTED_VALUE"""),41.0)</f>
        <v>41</v>
      </c>
      <c r="D255" s="8" t="str">
        <f>IFERROR(__xludf.DUMMYFUNCTION("""COMPUTED_VALUE"""),"Lovely!")</f>
        <v>Lovely!</v>
      </c>
      <c r="E255" s="8" t="str">
        <f>IFERROR(__xludf.DUMMYFUNCTION("""COMPUTED_VALUE"""),"The photo of these is truly misleading - they are a beautiful vibrant print - see the close-up photo. they are much longer on a regular person - they come a few inches above my ankle and i am 5'5""there is a neat slit off to the side on the front of each "&amp;"(like a pleat) that really allows a nice flow. these look great with boots, flats and do sit lower on the waste as i think they run slightly large. not lined, but drape beautifully. there are pockets (sewn closed upon purchase) and pack pockets.")</f>
        <v>The photo of these is truly misleading - they are a beautiful vibrant print - see the close-up photo. they are much longer on a regular person - they come a few inches above my ankle and i am 5'5"there is a neat slit off to the side on the front of each (like a pleat) that really allows a nice flow. these look great with boots, flats and do sit lower on the waste as i think they run slightly large. not lined, but drape beautifully. there are pockets (sewn closed upon purchase) and pack pockets.</v>
      </c>
      <c r="F255" s="8">
        <f>IFERROR(__xludf.DUMMYFUNCTION("""COMPUTED_VALUE"""),5.0)</f>
        <v>5</v>
      </c>
      <c r="G255" s="8">
        <f>IFERROR(__xludf.DUMMYFUNCTION("""COMPUTED_VALUE"""),1.0)</f>
        <v>1</v>
      </c>
      <c r="H255" s="8">
        <f>IFERROR(__xludf.DUMMYFUNCTION("""COMPUTED_VALUE"""),0.0)</f>
        <v>0</v>
      </c>
      <c r="I255" s="8" t="str">
        <f>IFERROR(__xludf.DUMMYFUNCTION("""COMPUTED_VALUE"""),"General")</f>
        <v>General</v>
      </c>
      <c r="J255" s="8" t="str">
        <f>IFERROR(__xludf.DUMMYFUNCTION("""COMPUTED_VALUE"""),"Bottoms")</f>
        <v>Bottoms</v>
      </c>
      <c r="K255" s="8" t="str">
        <f>IFERROR(__xludf.DUMMYFUNCTION("""COMPUTED_VALUE"""),"Pants")</f>
        <v>Pants</v>
      </c>
    </row>
    <row r="256">
      <c r="A256" s="8">
        <f>IFERROR(__xludf.DUMMYFUNCTION("""COMPUTED_VALUE"""),326.0)</f>
        <v>326</v>
      </c>
      <c r="B256" s="8">
        <f>IFERROR(__xludf.DUMMYFUNCTION("""COMPUTED_VALUE"""),836.0)</f>
        <v>836</v>
      </c>
      <c r="C256" s="8">
        <f>IFERROR(__xludf.DUMMYFUNCTION("""COMPUTED_VALUE"""),43.0)</f>
        <v>43</v>
      </c>
      <c r="D256" s="8" t="str">
        <f>IFERROR(__xludf.DUMMYFUNCTION("""COMPUTED_VALUE"""),"Better in person")</f>
        <v>Better in person</v>
      </c>
      <c r="E256" s="8" t="str">
        <f>IFERROR(__xludf.DUMMYFUNCTION("""COMPUTED_VALUE"""),"I didn't think anything of this top online (i really don't care for how they styled it) but in store it was more interesting. i'm currently anywhere between a 2-4-6 / xs-s-m, depending on the style, 5'3"" 120lb 34b. size 2 regular in this top fit me perfe"&amp;"ctly. for some reason, on me, the sleeves were elongating and flattering (closer to my elbow) and the overall length hit me perfectly at the hip like on the model, the fabric is lightweight and therefore slightly sheer but, due to the color and p")</f>
        <v>I didn't think anything of this top online (i really don't care for how they styled it) but in store it was more interesting. i'm currently anywhere between a 2-4-6 / xs-s-m, depending on the style, 5'3" 120lb 34b. size 2 regular in this top fit me perfectly. for some reason, on me, the sleeves were elongating and flattering (closer to my elbow) and the overall length hit me perfectly at the hip like on the model, the fabric is lightweight and therefore slightly sheer but, due to the color and p</v>
      </c>
      <c r="F256" s="8">
        <f>IFERROR(__xludf.DUMMYFUNCTION("""COMPUTED_VALUE"""),5.0)</f>
        <v>5</v>
      </c>
      <c r="G256" s="8">
        <f>IFERROR(__xludf.DUMMYFUNCTION("""COMPUTED_VALUE"""),1.0)</f>
        <v>1</v>
      </c>
      <c r="H256" s="8">
        <f>IFERROR(__xludf.DUMMYFUNCTION("""COMPUTED_VALUE"""),1.0)</f>
        <v>1</v>
      </c>
      <c r="I256" s="8" t="str">
        <f>IFERROR(__xludf.DUMMYFUNCTION("""COMPUTED_VALUE"""),"General")</f>
        <v>General</v>
      </c>
      <c r="J256" s="8" t="str">
        <f>IFERROR(__xludf.DUMMYFUNCTION("""COMPUTED_VALUE"""),"Tops")</f>
        <v>Tops</v>
      </c>
      <c r="K256" s="8" t="str">
        <f>IFERROR(__xludf.DUMMYFUNCTION("""COMPUTED_VALUE"""),"Blouses")</f>
        <v>Blouses</v>
      </c>
    </row>
    <row r="257">
      <c r="A257" s="8">
        <f>IFERROR(__xludf.DUMMYFUNCTION("""COMPUTED_VALUE"""),327.0)</f>
        <v>327</v>
      </c>
      <c r="B257" s="8">
        <f>IFERROR(__xludf.DUMMYFUNCTION("""COMPUTED_VALUE"""),836.0)</f>
        <v>836</v>
      </c>
      <c r="C257" s="8">
        <f>IFERROR(__xludf.DUMMYFUNCTION("""COMPUTED_VALUE"""),23.0)</f>
        <v>23</v>
      </c>
      <c r="D257" s="8" t="str">
        <f>IFERROR(__xludf.DUMMYFUNCTION("""COMPUTED_VALUE"""),"Cuter is person")</f>
        <v>Cuter is person</v>
      </c>
      <c r="E257" s="8" t="str">
        <f>IFERROR(__xludf.DUMMYFUNCTION("""COMPUTED_VALUE"""),"Nice fabric and cute design. a little low cut.")</f>
        <v>Nice fabric and cute design. a little low cut.</v>
      </c>
      <c r="F257" s="8">
        <f>IFERROR(__xludf.DUMMYFUNCTION("""COMPUTED_VALUE"""),4.0)</f>
        <v>4</v>
      </c>
      <c r="G257" s="8">
        <f>IFERROR(__xludf.DUMMYFUNCTION("""COMPUTED_VALUE"""),1.0)</f>
        <v>1</v>
      </c>
      <c r="H257" s="8">
        <f>IFERROR(__xludf.DUMMYFUNCTION("""COMPUTED_VALUE"""),0.0)</f>
        <v>0</v>
      </c>
      <c r="I257" s="8" t="str">
        <f>IFERROR(__xludf.DUMMYFUNCTION("""COMPUTED_VALUE"""),"General")</f>
        <v>General</v>
      </c>
      <c r="J257" s="8" t="str">
        <f>IFERROR(__xludf.DUMMYFUNCTION("""COMPUTED_VALUE"""),"Tops")</f>
        <v>Tops</v>
      </c>
      <c r="K257" s="8" t="str">
        <f>IFERROR(__xludf.DUMMYFUNCTION("""COMPUTED_VALUE"""),"Blouses")</f>
        <v>Blouses</v>
      </c>
    </row>
    <row r="258">
      <c r="A258" s="8">
        <f>IFERROR(__xludf.DUMMYFUNCTION("""COMPUTED_VALUE"""),328.0)</f>
        <v>328</v>
      </c>
      <c r="B258" s="8">
        <f>IFERROR(__xludf.DUMMYFUNCTION("""COMPUTED_VALUE"""),907.0)</f>
        <v>907</v>
      </c>
      <c r="C258" s="8">
        <f>IFERROR(__xludf.DUMMYFUNCTION("""COMPUTED_VALUE"""),25.0)</f>
        <v>25</v>
      </c>
      <c r="D258" s="8"/>
      <c r="E258" s="8" t="str">
        <f>IFERROR(__xludf.DUMMYFUNCTION("""COMPUTED_VALUE"""),"I absolutely love this sweater!! it's soft, easy to wash, and looks great!")</f>
        <v>I absolutely love this sweater!! it's soft, easy to wash, and looks great!</v>
      </c>
      <c r="F258" s="8">
        <f>IFERROR(__xludf.DUMMYFUNCTION("""COMPUTED_VALUE"""),5.0)</f>
        <v>5</v>
      </c>
      <c r="G258" s="8">
        <f>IFERROR(__xludf.DUMMYFUNCTION("""COMPUTED_VALUE"""),1.0)</f>
        <v>1</v>
      </c>
      <c r="H258" s="8">
        <f>IFERROR(__xludf.DUMMYFUNCTION("""COMPUTED_VALUE"""),0.0)</f>
        <v>0</v>
      </c>
      <c r="I258" s="8" t="str">
        <f>IFERROR(__xludf.DUMMYFUNCTION("""COMPUTED_VALUE"""),"General")</f>
        <v>General</v>
      </c>
      <c r="J258" s="8" t="str">
        <f>IFERROR(__xludf.DUMMYFUNCTION("""COMPUTED_VALUE"""),"Tops")</f>
        <v>Tops</v>
      </c>
      <c r="K258" s="8" t="str">
        <f>IFERROR(__xludf.DUMMYFUNCTION("""COMPUTED_VALUE"""),"Fine gauge")</f>
        <v>Fine gauge</v>
      </c>
    </row>
    <row r="259">
      <c r="A259" s="8">
        <f>IFERROR(__xludf.DUMMYFUNCTION("""COMPUTED_VALUE"""),329.0)</f>
        <v>329</v>
      </c>
      <c r="B259" s="8">
        <f>IFERROR(__xludf.DUMMYFUNCTION("""COMPUTED_VALUE"""),836.0)</f>
        <v>836</v>
      </c>
      <c r="C259" s="8">
        <f>IFERROR(__xludf.DUMMYFUNCTION("""COMPUTED_VALUE"""),51.0)</f>
        <v>51</v>
      </c>
      <c r="D259" s="8" t="str">
        <f>IFERROR(__xludf.DUMMYFUNCTION("""COMPUTED_VALUE"""),"Airy and flattering")</f>
        <v>Airy and flattering</v>
      </c>
      <c r="E259" s="8" t="str">
        <f>IFERROR(__xludf.DUMMYFUNCTION("""COMPUTED_VALUE"""),"The blue motif is a gorgeous indigo with an interesting pattern. a short tunic that drapes nicely and is flattering. very happy with this purchase. i plan to buy a 2nd for my mom to keep her cool and stylish.")</f>
        <v>The blue motif is a gorgeous indigo with an interesting pattern. a short tunic that drapes nicely and is flattering. very happy with this purchase. i plan to buy a 2nd for my mom to keep her cool and stylish.</v>
      </c>
      <c r="F259" s="8">
        <f>IFERROR(__xludf.DUMMYFUNCTION("""COMPUTED_VALUE"""),5.0)</f>
        <v>5</v>
      </c>
      <c r="G259" s="8">
        <f>IFERROR(__xludf.DUMMYFUNCTION("""COMPUTED_VALUE"""),1.0)</f>
        <v>1</v>
      </c>
      <c r="H259" s="8">
        <f>IFERROR(__xludf.DUMMYFUNCTION("""COMPUTED_VALUE"""),0.0)</f>
        <v>0</v>
      </c>
      <c r="I259" s="8" t="str">
        <f>IFERROR(__xludf.DUMMYFUNCTION("""COMPUTED_VALUE"""),"General")</f>
        <v>General</v>
      </c>
      <c r="J259" s="8" t="str">
        <f>IFERROR(__xludf.DUMMYFUNCTION("""COMPUTED_VALUE"""),"Tops")</f>
        <v>Tops</v>
      </c>
      <c r="K259" s="8" t="str">
        <f>IFERROR(__xludf.DUMMYFUNCTION("""COMPUTED_VALUE"""),"Blouses")</f>
        <v>Blouses</v>
      </c>
    </row>
    <row r="260">
      <c r="A260" s="8">
        <f>IFERROR(__xludf.DUMMYFUNCTION("""COMPUTED_VALUE"""),331.0)</f>
        <v>331</v>
      </c>
      <c r="B260" s="8">
        <f>IFERROR(__xludf.DUMMYFUNCTION("""COMPUTED_VALUE"""),1103.0)</f>
        <v>1103</v>
      </c>
      <c r="C260" s="8">
        <f>IFERROR(__xludf.DUMMYFUNCTION("""COMPUTED_VALUE"""),49.0)</f>
        <v>49</v>
      </c>
      <c r="D260" s="8" t="str">
        <f>IFERROR(__xludf.DUMMYFUNCTION("""COMPUTED_VALUE"""),"Beautiful color")</f>
        <v>Beautiful color</v>
      </c>
      <c r="E260" s="8" t="str">
        <f>IFERROR(__xludf.DUMMYFUNCTION("""COMPUTED_VALUE"""),"This dress has potential, but it didn't work for me. it runs true to size to a little big, i ordered medium, my usual size for maeve). as for length it fit me as the model (5'9""). the reason i'm not keeping it is that i wish it had some darts in the back"&amp;" to help define the waist a bit,")</f>
        <v>This dress has potential, but it didn't work for me. it runs true to size to a little big, i ordered medium, my usual size for maeve). as for length it fit me as the model (5'9"). the reason i'm not keeping it is that i wish it had some darts in the back to help define the waist a bit,</v>
      </c>
      <c r="F260" s="8">
        <f>IFERROR(__xludf.DUMMYFUNCTION("""COMPUTED_VALUE"""),4.0)</f>
        <v>4</v>
      </c>
      <c r="G260" s="8">
        <f>IFERROR(__xludf.DUMMYFUNCTION("""COMPUTED_VALUE"""),1.0)</f>
        <v>1</v>
      </c>
      <c r="H260" s="8">
        <f>IFERROR(__xludf.DUMMYFUNCTION("""COMPUTED_VALUE"""),2.0)</f>
        <v>2</v>
      </c>
      <c r="I260" s="8" t="str">
        <f>IFERROR(__xludf.DUMMYFUNCTION("""COMPUTED_VALUE"""),"General")</f>
        <v>General</v>
      </c>
      <c r="J260" s="8" t="str">
        <f>IFERROR(__xludf.DUMMYFUNCTION("""COMPUTED_VALUE"""),"Dresses")</f>
        <v>Dresses</v>
      </c>
      <c r="K260" s="8" t="str">
        <f>IFERROR(__xludf.DUMMYFUNCTION("""COMPUTED_VALUE"""),"Dresses")</f>
        <v>Dresses</v>
      </c>
    </row>
    <row r="261">
      <c r="A261" s="8">
        <f>IFERROR(__xludf.DUMMYFUNCTION("""COMPUTED_VALUE"""),332.0)</f>
        <v>332</v>
      </c>
      <c r="B261" s="8">
        <f>IFERROR(__xludf.DUMMYFUNCTION("""COMPUTED_VALUE"""),866.0)</f>
        <v>866</v>
      </c>
      <c r="C261" s="8">
        <f>IFERROR(__xludf.DUMMYFUNCTION("""COMPUTED_VALUE"""),46.0)</f>
        <v>46</v>
      </c>
      <c r="D261" s="8" t="str">
        <f>IFERROR(__xludf.DUMMYFUNCTION("""COMPUTED_VALUE"""),"Really good quality tee!")</f>
        <v>Really good quality tee!</v>
      </c>
      <c r="E261" s="8" t="str">
        <f>IFERROR(__xludf.DUMMYFUNCTION("""COMPUTED_VALUE"""),"I love this tee! the material is thick but not too thick. it's highly flattering- i love that the sleeves are a longer short sleeve to cover up the bingo wings. the shimmer on the front adds something special.")</f>
        <v>I love this tee! the material is thick but not too thick. it's highly flattering- i love that the sleeves are a longer short sleeve to cover up the bingo wings. the shimmer on the front adds something special.</v>
      </c>
      <c r="F261" s="8">
        <f>IFERROR(__xludf.DUMMYFUNCTION("""COMPUTED_VALUE"""),5.0)</f>
        <v>5</v>
      </c>
      <c r="G261" s="8">
        <f>IFERROR(__xludf.DUMMYFUNCTION("""COMPUTED_VALUE"""),1.0)</f>
        <v>1</v>
      </c>
      <c r="H261" s="8">
        <f>IFERROR(__xludf.DUMMYFUNCTION("""COMPUTED_VALUE"""),5.0)</f>
        <v>5</v>
      </c>
      <c r="I261" s="8" t="str">
        <f>IFERROR(__xludf.DUMMYFUNCTION("""COMPUTED_VALUE"""),"General")</f>
        <v>General</v>
      </c>
      <c r="J261" s="8" t="str">
        <f>IFERROR(__xludf.DUMMYFUNCTION("""COMPUTED_VALUE"""),"Tops")</f>
        <v>Tops</v>
      </c>
      <c r="K261" s="8" t="str">
        <f>IFERROR(__xludf.DUMMYFUNCTION("""COMPUTED_VALUE"""),"Knits")</f>
        <v>Knits</v>
      </c>
    </row>
    <row r="262">
      <c r="A262" s="8">
        <f>IFERROR(__xludf.DUMMYFUNCTION("""COMPUTED_VALUE"""),333.0)</f>
        <v>333</v>
      </c>
      <c r="B262" s="8">
        <f>IFERROR(__xludf.DUMMYFUNCTION("""COMPUTED_VALUE"""),907.0)</f>
        <v>907</v>
      </c>
      <c r="C262" s="8">
        <f>IFERROR(__xludf.DUMMYFUNCTION("""COMPUTED_VALUE"""),29.0)</f>
        <v>29</v>
      </c>
      <c r="D262" s="8" t="str">
        <f>IFERROR(__xludf.DUMMYFUNCTION("""COMPUTED_VALUE"""),"Cute top")</f>
        <v>Cute top</v>
      </c>
      <c r="E262" s="8" t="str">
        <f>IFERROR(__xludf.DUMMYFUNCTION("""COMPUTED_VALUE"""),"I got this top in the black and i love it. the bottom is a silky material that's really beautiful, and the cutout details are really pretty. so many of retailer's sweaters are enormous, but this one fits tts. 
my one complaint is that the bottom white pa"&amp;"rt wrinkles really easily.")</f>
        <v>I got this top in the black and i love it. the bottom is a silky material that's really beautiful, and the cutout details are really pretty. so many of retailer's sweaters are enormous, but this one fits tts. 
my one complaint is that the bottom white part wrinkles really easily.</v>
      </c>
      <c r="F262" s="8">
        <f>IFERROR(__xludf.DUMMYFUNCTION("""COMPUTED_VALUE"""),5.0)</f>
        <v>5</v>
      </c>
      <c r="G262" s="8">
        <f>IFERROR(__xludf.DUMMYFUNCTION("""COMPUTED_VALUE"""),1.0)</f>
        <v>1</v>
      </c>
      <c r="H262" s="8">
        <f>IFERROR(__xludf.DUMMYFUNCTION("""COMPUTED_VALUE"""),6.0)</f>
        <v>6</v>
      </c>
      <c r="I262" s="8" t="str">
        <f>IFERROR(__xludf.DUMMYFUNCTION("""COMPUTED_VALUE"""),"General")</f>
        <v>General</v>
      </c>
      <c r="J262" s="8" t="str">
        <f>IFERROR(__xludf.DUMMYFUNCTION("""COMPUTED_VALUE"""),"Tops")</f>
        <v>Tops</v>
      </c>
      <c r="K262" s="8" t="str">
        <f>IFERROR(__xludf.DUMMYFUNCTION("""COMPUTED_VALUE"""),"Fine gauge")</f>
        <v>Fine gauge</v>
      </c>
    </row>
    <row r="263">
      <c r="A263" s="8">
        <f>IFERROR(__xludf.DUMMYFUNCTION("""COMPUTED_VALUE"""),335.0)</f>
        <v>335</v>
      </c>
      <c r="B263" s="8">
        <f>IFERROR(__xludf.DUMMYFUNCTION("""COMPUTED_VALUE"""),895.0)</f>
        <v>895</v>
      </c>
      <c r="C263" s="8">
        <f>IFERROR(__xludf.DUMMYFUNCTION("""COMPUTED_VALUE"""),66.0)</f>
        <v>66</v>
      </c>
      <c r="D263" s="8" t="str">
        <f>IFERROR(__xludf.DUMMYFUNCTION("""COMPUTED_VALUE"""),"Cutest vest")</f>
        <v>Cutest vest</v>
      </c>
      <c r="E263" s="8" t="str">
        <f>IFERROR(__xludf.DUMMYFUNCTION("""COMPUTED_VALUE"""),"My daughter and i both purchased this vest at an retailer store. this vest is so flattering on and is so much cuter in person than in the online picture. it is chic and stylish and will definitely be a staple for fall and winter.")</f>
        <v>My daughter and i both purchased this vest at an retailer store. this vest is so flattering on and is so much cuter in person than in the online picture. it is chic and stylish and will definitely be a staple for fall and winter.</v>
      </c>
      <c r="F263" s="8">
        <f>IFERROR(__xludf.DUMMYFUNCTION("""COMPUTED_VALUE"""),5.0)</f>
        <v>5</v>
      </c>
      <c r="G263" s="8">
        <f>IFERROR(__xludf.DUMMYFUNCTION("""COMPUTED_VALUE"""),1.0)</f>
        <v>1</v>
      </c>
      <c r="H263" s="8">
        <f>IFERROR(__xludf.DUMMYFUNCTION("""COMPUTED_VALUE"""),6.0)</f>
        <v>6</v>
      </c>
      <c r="I263" s="8" t="str">
        <f>IFERROR(__xludf.DUMMYFUNCTION("""COMPUTED_VALUE"""),"General")</f>
        <v>General</v>
      </c>
      <c r="J263" s="8" t="str">
        <f>IFERROR(__xludf.DUMMYFUNCTION("""COMPUTED_VALUE"""),"Tops")</f>
        <v>Tops</v>
      </c>
      <c r="K263" s="8" t="str">
        <f>IFERROR(__xludf.DUMMYFUNCTION("""COMPUTED_VALUE"""),"Fine gauge")</f>
        <v>Fine gauge</v>
      </c>
    </row>
    <row r="264">
      <c r="A264" s="8">
        <f>IFERROR(__xludf.DUMMYFUNCTION("""COMPUTED_VALUE"""),336.0)</f>
        <v>336</v>
      </c>
      <c r="B264" s="8">
        <f>IFERROR(__xludf.DUMMYFUNCTION("""COMPUTED_VALUE"""),895.0)</f>
        <v>895</v>
      </c>
      <c r="C264" s="8">
        <f>IFERROR(__xludf.DUMMYFUNCTION("""COMPUTED_VALUE"""),32.0)</f>
        <v>32</v>
      </c>
      <c r="D264" s="8"/>
      <c r="E264" s="8" t="str">
        <f>IFERROR(__xludf.DUMMYFUNCTION("""COMPUTED_VALUE"""),"This is a great piece to help ease on in to the chillier days of fall and winter. it's versatile- i can see myself wearing it with plain short or long sleeved tees or even tops with more elaborate padderns or button downs! there's so many options i cannot"&amp;" wait to put this gorgeous piece to use! just as an fyi, the sleeve openings are slightly unfinished and have a frayed effect to them. this may not even be noticeable if you're not looking right up close. for me, this adds to the unique quality")</f>
        <v>This is a great piece to help ease on in to the chillier days of fall and winter. it's versatile- i can see myself wearing it with plain short or long sleeved tees or even tops with more elaborate padderns or button downs! there's so many options i cannot wait to put this gorgeous piece to use! just as an fyi, the sleeve openings are slightly unfinished and have a frayed effect to them. this may not even be noticeable if you're not looking right up close. for me, this adds to the unique quality</v>
      </c>
      <c r="F264" s="8">
        <f>IFERROR(__xludf.DUMMYFUNCTION("""COMPUTED_VALUE"""),5.0)</f>
        <v>5</v>
      </c>
      <c r="G264" s="8">
        <f>IFERROR(__xludf.DUMMYFUNCTION("""COMPUTED_VALUE"""),1.0)</f>
        <v>1</v>
      </c>
      <c r="H264" s="8">
        <f>IFERROR(__xludf.DUMMYFUNCTION("""COMPUTED_VALUE"""),2.0)</f>
        <v>2</v>
      </c>
      <c r="I264" s="8" t="str">
        <f>IFERROR(__xludf.DUMMYFUNCTION("""COMPUTED_VALUE"""),"General")</f>
        <v>General</v>
      </c>
      <c r="J264" s="8" t="str">
        <f>IFERROR(__xludf.DUMMYFUNCTION("""COMPUTED_VALUE"""),"Tops")</f>
        <v>Tops</v>
      </c>
      <c r="K264" s="8" t="str">
        <f>IFERROR(__xludf.DUMMYFUNCTION("""COMPUTED_VALUE"""),"Fine gauge")</f>
        <v>Fine gauge</v>
      </c>
    </row>
    <row r="265">
      <c r="A265" s="8">
        <f>IFERROR(__xludf.DUMMYFUNCTION("""COMPUTED_VALUE"""),337.0)</f>
        <v>337</v>
      </c>
      <c r="B265" s="8">
        <f>IFERROR(__xludf.DUMMYFUNCTION("""COMPUTED_VALUE"""),1080.0)</f>
        <v>1080</v>
      </c>
      <c r="C265" s="8">
        <f>IFERROR(__xludf.DUMMYFUNCTION("""COMPUTED_VALUE"""),74.0)</f>
        <v>74</v>
      </c>
      <c r="D265" s="8" t="str">
        <f>IFERROR(__xludf.DUMMYFUNCTION("""COMPUTED_VALUE"""),"Beautiful, vintage feel, delicate beadwork")</f>
        <v>Beautiful, vintage feel, delicate beadwork</v>
      </c>
      <c r="E265" s="8" t="str">
        <f>IFERROR(__xludf.DUMMYFUNCTION("""COMPUTED_VALUE"""),"I just got this dress in the mail today and it is even better in person! the description didn't give as much information as i wanted so i'm going to be very detailed in this review. i did take off one star for quality because some of the beads are already"&amp;" loose (two fell off when i picked the dress up for the first time), and i'll have to hand sew others on more tightly. my usual size is a pxs or p0, and there were no petite sizes available. however the size 0 fits perfectly, no alterations need")</f>
        <v>I just got this dress in the mail today and it is even better in person! the description didn't give as much information as i wanted so i'm going to be very detailed in this review. i did take off one star for quality because some of the beads are already loose (two fell off when i picked the dress up for the first time), and i'll have to hand sew others on more tightly. my usual size is a pxs or p0, and there were no petite sizes available. however the size 0 fits perfectly, no alterations need</v>
      </c>
      <c r="F265" s="8">
        <f>IFERROR(__xludf.DUMMYFUNCTION("""COMPUTED_VALUE"""),5.0)</f>
        <v>5</v>
      </c>
      <c r="G265" s="8">
        <f>IFERROR(__xludf.DUMMYFUNCTION("""COMPUTED_VALUE"""),1.0)</f>
        <v>1</v>
      </c>
      <c r="H265" s="8">
        <f>IFERROR(__xludf.DUMMYFUNCTION("""COMPUTED_VALUE"""),9.0)</f>
        <v>9</v>
      </c>
      <c r="I265" s="8" t="str">
        <f>IFERROR(__xludf.DUMMYFUNCTION("""COMPUTED_VALUE"""),"General Petite")</f>
        <v>General Petite</v>
      </c>
      <c r="J265" s="8" t="str">
        <f>IFERROR(__xludf.DUMMYFUNCTION("""COMPUTED_VALUE"""),"Dresses")</f>
        <v>Dresses</v>
      </c>
      <c r="K265" s="8" t="str">
        <f>IFERROR(__xludf.DUMMYFUNCTION("""COMPUTED_VALUE"""),"Dresses")</f>
        <v>Dresses</v>
      </c>
    </row>
    <row r="266">
      <c r="A266" s="8">
        <f>IFERROR(__xludf.DUMMYFUNCTION("""COMPUTED_VALUE"""),338.0)</f>
        <v>338</v>
      </c>
      <c r="B266" s="8">
        <f>IFERROR(__xludf.DUMMYFUNCTION("""COMPUTED_VALUE"""),831.0)</f>
        <v>831</v>
      </c>
      <c r="C266" s="8">
        <f>IFERROR(__xludf.DUMMYFUNCTION("""COMPUTED_VALUE"""),63.0)</f>
        <v>63</v>
      </c>
      <c r="D266" s="8" t="str">
        <f>IFERROR(__xludf.DUMMYFUNCTION("""COMPUTED_VALUE"""),"Very interesting design")</f>
        <v>Very interesting design</v>
      </c>
      <c r="E266" s="8" t="str">
        <f>IFERROR(__xludf.DUMMYFUNCTION("""COMPUTED_VALUE"""),"When i received this blouse, ai noticed that there were gold dots all over the blouse and they were very sticky. some of the fabric would stick to these dots. i thought it was because the weather was sticky and humid. however, after hanging on my closet d"&amp;"oor, the dots are still sticky. i do love the design and fabric so i will try not to let the sticky dots bother me.")</f>
        <v>When i received this blouse, ai noticed that there were gold dots all over the blouse and they were very sticky. some of the fabric would stick to these dots. i thought it was because the weather was sticky and humid. however, after hanging on my closet door, the dots are still sticky. i do love the design and fabric so i will try not to let the sticky dots bother me.</v>
      </c>
      <c r="F266" s="8">
        <f>IFERROR(__xludf.DUMMYFUNCTION("""COMPUTED_VALUE"""),5.0)</f>
        <v>5</v>
      </c>
      <c r="G266" s="8">
        <f>IFERROR(__xludf.DUMMYFUNCTION("""COMPUTED_VALUE"""),1.0)</f>
        <v>1</v>
      </c>
      <c r="H266" s="8">
        <f>IFERROR(__xludf.DUMMYFUNCTION("""COMPUTED_VALUE"""),0.0)</f>
        <v>0</v>
      </c>
      <c r="I266" s="8" t="str">
        <f>IFERROR(__xludf.DUMMYFUNCTION("""COMPUTED_VALUE"""),"General")</f>
        <v>General</v>
      </c>
      <c r="J266" s="8" t="str">
        <f>IFERROR(__xludf.DUMMYFUNCTION("""COMPUTED_VALUE"""),"Tops")</f>
        <v>Tops</v>
      </c>
      <c r="K266" s="8" t="str">
        <f>IFERROR(__xludf.DUMMYFUNCTION("""COMPUTED_VALUE"""),"Blouses")</f>
        <v>Blouses</v>
      </c>
    </row>
    <row r="267">
      <c r="A267" s="8">
        <f>IFERROR(__xludf.DUMMYFUNCTION("""COMPUTED_VALUE"""),339.0)</f>
        <v>339</v>
      </c>
      <c r="B267" s="8">
        <f>IFERROR(__xludf.DUMMYFUNCTION("""COMPUTED_VALUE"""),844.0)</f>
        <v>844</v>
      </c>
      <c r="C267" s="8">
        <f>IFERROR(__xludf.DUMMYFUNCTION("""COMPUTED_VALUE"""),41.0)</f>
        <v>41</v>
      </c>
      <c r="D267" s="8" t="str">
        <f>IFERROR(__xludf.DUMMYFUNCTION("""COMPUTED_VALUE"""),"Fun and flowy")</f>
        <v>Fun and flowy</v>
      </c>
      <c r="E267" s="8" t="str">
        <f>IFERROR(__xludf.DUMMYFUNCTION("""COMPUTED_VALUE"""),"Wasn't sure about this top based on reviews, but glad i purchased! pretty print, looks great with denim. very loose, flowy top. hangs a little short, but that's the style of this blouse. fit true to size. i usually wear a 2/4 and xs/sm with 30dd. size sma"&amp;"ll worked for me.")</f>
        <v>Wasn't sure about this top based on reviews, but glad i purchased! pretty print, looks great with denim. very loose, flowy top. hangs a little short, but that's the style of this blouse. fit true to size. i usually wear a 2/4 and xs/sm with 30dd. size small worked for me.</v>
      </c>
      <c r="F267" s="8">
        <f>IFERROR(__xludf.DUMMYFUNCTION("""COMPUTED_VALUE"""),5.0)</f>
        <v>5</v>
      </c>
      <c r="G267" s="8">
        <f>IFERROR(__xludf.DUMMYFUNCTION("""COMPUTED_VALUE"""),1.0)</f>
        <v>1</v>
      </c>
      <c r="H267" s="8">
        <f>IFERROR(__xludf.DUMMYFUNCTION("""COMPUTED_VALUE"""),0.0)</f>
        <v>0</v>
      </c>
      <c r="I267" s="8" t="str">
        <f>IFERROR(__xludf.DUMMYFUNCTION("""COMPUTED_VALUE"""),"General Petite")</f>
        <v>General Petite</v>
      </c>
      <c r="J267" s="8" t="str">
        <f>IFERROR(__xludf.DUMMYFUNCTION("""COMPUTED_VALUE"""),"Tops")</f>
        <v>Tops</v>
      </c>
      <c r="K267" s="8" t="str">
        <f>IFERROR(__xludf.DUMMYFUNCTION("""COMPUTED_VALUE"""),"Blouses")</f>
        <v>Blouses</v>
      </c>
    </row>
    <row r="268">
      <c r="A268" s="8">
        <f>IFERROR(__xludf.DUMMYFUNCTION("""COMPUTED_VALUE"""),340.0)</f>
        <v>340</v>
      </c>
      <c r="B268" s="8">
        <f>IFERROR(__xludf.DUMMYFUNCTION("""COMPUTED_VALUE"""),844.0)</f>
        <v>844</v>
      </c>
      <c r="C268" s="8">
        <f>IFERROR(__xludf.DUMMYFUNCTION("""COMPUTED_VALUE"""),40.0)</f>
        <v>40</v>
      </c>
      <c r="D268" s="8" t="str">
        <f>IFERROR(__xludf.DUMMYFUNCTION("""COMPUTED_VALUE"""),"Beautiful shirt")</f>
        <v>Beautiful shirt</v>
      </c>
      <c r="E268" s="8" t="str">
        <f>IFERROR(__xludf.DUMMYFUNCTION("""COMPUTED_VALUE"""),"Ordered the shirt online. beautiful print and good quality material. runs very large - size down 1 may be 2 sizes as the material on the body is very wide. i will be exchanging it in the store.")</f>
        <v>Ordered the shirt online. beautiful print and good quality material. runs very large - size down 1 may be 2 sizes as the material on the body is very wide. i will be exchanging it in the store.</v>
      </c>
      <c r="F268" s="8">
        <f>IFERROR(__xludf.DUMMYFUNCTION("""COMPUTED_VALUE"""),4.0)</f>
        <v>4</v>
      </c>
      <c r="G268" s="8">
        <f>IFERROR(__xludf.DUMMYFUNCTION("""COMPUTED_VALUE"""),1.0)</f>
        <v>1</v>
      </c>
      <c r="H268" s="8">
        <f>IFERROR(__xludf.DUMMYFUNCTION("""COMPUTED_VALUE"""),0.0)</f>
        <v>0</v>
      </c>
      <c r="I268" s="8" t="str">
        <f>IFERROR(__xludf.DUMMYFUNCTION("""COMPUTED_VALUE"""),"General Petite")</f>
        <v>General Petite</v>
      </c>
      <c r="J268" s="8" t="str">
        <f>IFERROR(__xludf.DUMMYFUNCTION("""COMPUTED_VALUE"""),"Tops")</f>
        <v>Tops</v>
      </c>
      <c r="K268" s="8" t="str">
        <f>IFERROR(__xludf.DUMMYFUNCTION("""COMPUTED_VALUE"""),"Blouses")</f>
        <v>Blouses</v>
      </c>
    </row>
    <row r="269">
      <c r="A269" s="8">
        <f>IFERROR(__xludf.DUMMYFUNCTION("""COMPUTED_VALUE"""),341.0)</f>
        <v>341</v>
      </c>
      <c r="B269" s="8">
        <f>IFERROR(__xludf.DUMMYFUNCTION("""COMPUTED_VALUE"""),831.0)</f>
        <v>831</v>
      </c>
      <c r="C269" s="8">
        <f>IFERROR(__xludf.DUMMYFUNCTION("""COMPUTED_VALUE"""),40.0)</f>
        <v>40</v>
      </c>
      <c r="D269" s="8" t="str">
        <f>IFERROR(__xludf.DUMMYFUNCTION("""COMPUTED_VALUE"""),"Beautiful fabric")</f>
        <v>Beautiful fabric</v>
      </c>
      <c r="E269" s="8" t="str">
        <f>IFERROR(__xludf.DUMMYFUNCTION("""COMPUTED_VALUE"""),"This too is so beautiful in person. there is gold dots all over the blouse that are not overwhelming. i love this top with business attire and denim. fits tts.")</f>
        <v>This too is so beautiful in person. there is gold dots all over the blouse that are not overwhelming. i love this top with business attire and denim. fits tts.</v>
      </c>
      <c r="F269" s="8">
        <f>IFERROR(__xludf.DUMMYFUNCTION("""COMPUTED_VALUE"""),5.0)</f>
        <v>5</v>
      </c>
      <c r="G269" s="8">
        <f>IFERROR(__xludf.DUMMYFUNCTION("""COMPUTED_VALUE"""),1.0)</f>
        <v>1</v>
      </c>
      <c r="H269" s="8">
        <f>IFERROR(__xludf.DUMMYFUNCTION("""COMPUTED_VALUE"""),0.0)</f>
        <v>0</v>
      </c>
      <c r="I269" s="8" t="str">
        <f>IFERROR(__xludf.DUMMYFUNCTION("""COMPUTED_VALUE"""),"General")</f>
        <v>General</v>
      </c>
      <c r="J269" s="8" t="str">
        <f>IFERROR(__xludf.DUMMYFUNCTION("""COMPUTED_VALUE"""),"Tops")</f>
        <v>Tops</v>
      </c>
      <c r="K269" s="8" t="str">
        <f>IFERROR(__xludf.DUMMYFUNCTION("""COMPUTED_VALUE"""),"Blouses")</f>
        <v>Blouses</v>
      </c>
    </row>
    <row r="270">
      <c r="A270" s="8">
        <f>IFERROR(__xludf.DUMMYFUNCTION("""COMPUTED_VALUE"""),342.0)</f>
        <v>342</v>
      </c>
      <c r="B270" s="8">
        <f>IFERROR(__xludf.DUMMYFUNCTION("""COMPUTED_VALUE"""),836.0)</f>
        <v>836</v>
      </c>
      <c r="C270" s="8">
        <f>IFERROR(__xludf.DUMMYFUNCTION("""COMPUTED_VALUE"""),32.0)</f>
        <v>32</v>
      </c>
      <c r="D270" s="8"/>
      <c r="E270" s="8"/>
      <c r="F270" s="8">
        <f>IFERROR(__xludf.DUMMYFUNCTION("""COMPUTED_VALUE"""),5.0)</f>
        <v>5</v>
      </c>
      <c r="G270" s="8">
        <f>IFERROR(__xludf.DUMMYFUNCTION("""COMPUTED_VALUE"""),1.0)</f>
        <v>1</v>
      </c>
      <c r="H270" s="8">
        <f>IFERROR(__xludf.DUMMYFUNCTION("""COMPUTED_VALUE"""),0.0)</f>
        <v>0</v>
      </c>
      <c r="I270" s="8" t="str">
        <f>IFERROR(__xludf.DUMMYFUNCTION("""COMPUTED_VALUE"""),"General")</f>
        <v>General</v>
      </c>
      <c r="J270" s="8" t="str">
        <f>IFERROR(__xludf.DUMMYFUNCTION("""COMPUTED_VALUE"""),"Tops")</f>
        <v>Tops</v>
      </c>
      <c r="K270" s="8" t="str">
        <f>IFERROR(__xludf.DUMMYFUNCTION("""COMPUTED_VALUE"""),"Blouses")</f>
        <v>Blouses</v>
      </c>
    </row>
    <row r="271">
      <c r="A271" s="8">
        <f>IFERROR(__xludf.DUMMYFUNCTION("""COMPUTED_VALUE"""),343.0)</f>
        <v>343</v>
      </c>
      <c r="B271" s="8">
        <f>IFERROR(__xludf.DUMMYFUNCTION("""COMPUTED_VALUE"""),907.0)</f>
        <v>907</v>
      </c>
      <c r="C271" s="8">
        <f>IFERROR(__xludf.DUMMYFUNCTION("""COMPUTED_VALUE"""),49.0)</f>
        <v>49</v>
      </c>
      <c r="D271" s="8" t="str">
        <f>IFERROR(__xludf.DUMMYFUNCTION("""COMPUTED_VALUE"""),"Nice basic piece, will get a lot of wear.")</f>
        <v>Nice basic piece, will get a lot of wear.</v>
      </c>
      <c r="E271" s="8" t="str">
        <f>IFERROR(__xludf.DUMMYFUNCTION("""COMPUTED_VALUE"""),"I tried this in the store and i like it - nice and soft, good basic design that will pair with many pieces. but i decided to wait because of the price. i'm sure i would get a lot of use out of this top, but ultimately it didn't thrill me enough to make it"&amp;" my top priority purchase. i bought a sweater that was on sale instead. still, a very nice top. i may buy it eventually, especially if it goes on sale.")</f>
        <v>I tried this in the store and i like it - nice and soft, good basic design that will pair with many pieces. but i decided to wait because of the price. i'm sure i would get a lot of use out of this top, but ultimately it didn't thrill me enough to make it my top priority purchase. i bought a sweater that was on sale instead. still, a very nice top. i may buy it eventually, especially if it goes on sale.</v>
      </c>
      <c r="F271" s="8">
        <f>IFERROR(__xludf.DUMMYFUNCTION("""COMPUTED_VALUE"""),5.0)</f>
        <v>5</v>
      </c>
      <c r="G271" s="8">
        <f>IFERROR(__xludf.DUMMYFUNCTION("""COMPUTED_VALUE"""),1.0)</f>
        <v>1</v>
      </c>
      <c r="H271" s="8">
        <f>IFERROR(__xludf.DUMMYFUNCTION("""COMPUTED_VALUE"""),3.0)</f>
        <v>3</v>
      </c>
      <c r="I271" s="8" t="str">
        <f>IFERROR(__xludf.DUMMYFUNCTION("""COMPUTED_VALUE"""),"General")</f>
        <v>General</v>
      </c>
      <c r="J271" s="8" t="str">
        <f>IFERROR(__xludf.DUMMYFUNCTION("""COMPUTED_VALUE"""),"Tops")</f>
        <v>Tops</v>
      </c>
      <c r="K271" s="8" t="str">
        <f>IFERROR(__xludf.DUMMYFUNCTION("""COMPUTED_VALUE"""),"Fine gauge")</f>
        <v>Fine gauge</v>
      </c>
    </row>
    <row r="272">
      <c r="A272" s="8">
        <f>IFERROR(__xludf.DUMMYFUNCTION("""COMPUTED_VALUE"""),345.0)</f>
        <v>345</v>
      </c>
      <c r="B272" s="8">
        <f>IFERROR(__xludf.DUMMYFUNCTION("""COMPUTED_VALUE"""),895.0)</f>
        <v>895</v>
      </c>
      <c r="C272" s="8">
        <f>IFERROR(__xludf.DUMMYFUNCTION("""COMPUTED_VALUE"""),24.0)</f>
        <v>24</v>
      </c>
      <c r="D272" s="8"/>
      <c r="E272" s="8"/>
      <c r="F272" s="8">
        <f>IFERROR(__xludf.DUMMYFUNCTION("""COMPUTED_VALUE"""),5.0)</f>
        <v>5</v>
      </c>
      <c r="G272" s="8">
        <f>IFERROR(__xludf.DUMMYFUNCTION("""COMPUTED_VALUE"""),1.0)</f>
        <v>1</v>
      </c>
      <c r="H272" s="8">
        <f>IFERROR(__xludf.DUMMYFUNCTION("""COMPUTED_VALUE"""),0.0)</f>
        <v>0</v>
      </c>
      <c r="I272" s="8" t="str">
        <f>IFERROR(__xludf.DUMMYFUNCTION("""COMPUTED_VALUE"""),"General")</f>
        <v>General</v>
      </c>
      <c r="J272" s="8" t="str">
        <f>IFERROR(__xludf.DUMMYFUNCTION("""COMPUTED_VALUE"""),"Tops")</f>
        <v>Tops</v>
      </c>
      <c r="K272" s="8" t="str">
        <f>IFERROR(__xludf.DUMMYFUNCTION("""COMPUTED_VALUE"""),"Fine gauge")</f>
        <v>Fine gauge</v>
      </c>
    </row>
    <row r="273">
      <c r="A273" s="8">
        <f>IFERROR(__xludf.DUMMYFUNCTION("""COMPUTED_VALUE"""),346.0)</f>
        <v>346</v>
      </c>
      <c r="B273" s="8">
        <f>IFERROR(__xludf.DUMMYFUNCTION("""COMPUTED_VALUE"""),895.0)</f>
        <v>895</v>
      </c>
      <c r="C273" s="8">
        <f>IFERROR(__xludf.DUMMYFUNCTION("""COMPUTED_VALUE"""),70.0)</f>
        <v>70</v>
      </c>
      <c r="D273" s="8" t="str">
        <f>IFERROR(__xludf.DUMMYFUNCTION("""COMPUTED_VALUE"""),"Soft patterned long vest")</f>
        <v>Soft patterned long vest</v>
      </c>
      <c r="E273" s="8" t="str">
        <f>IFERROR(__xludf.DUMMYFUNCTION("""COMPUTED_VALUE"""),"I bought this in a petite size s after trying on the regular size in the store. it was a good move because the proportions in length and width are more flattering. the pattern is busy but works well with patterns in the same color group. it has no finishe"&amp;"d seams on any edge but that makes it drape nicely. it is a soft, soft fabric, almost fleece-like but not plush.")</f>
        <v>I bought this in a petite size s after trying on the regular size in the store. it was a good move because the proportions in length and width are more flattering. the pattern is busy but works well with patterns in the same color group. it has no finished seams on any edge but that makes it drape nicely. it is a soft, soft fabric, almost fleece-like but not plush.</v>
      </c>
      <c r="F273" s="8">
        <f>IFERROR(__xludf.DUMMYFUNCTION("""COMPUTED_VALUE"""),5.0)</f>
        <v>5</v>
      </c>
      <c r="G273" s="8">
        <f>IFERROR(__xludf.DUMMYFUNCTION("""COMPUTED_VALUE"""),1.0)</f>
        <v>1</v>
      </c>
      <c r="H273" s="8">
        <f>IFERROR(__xludf.DUMMYFUNCTION("""COMPUTED_VALUE"""),1.0)</f>
        <v>1</v>
      </c>
      <c r="I273" s="8" t="str">
        <f>IFERROR(__xludf.DUMMYFUNCTION("""COMPUTED_VALUE"""),"General")</f>
        <v>General</v>
      </c>
      <c r="J273" s="8" t="str">
        <f>IFERROR(__xludf.DUMMYFUNCTION("""COMPUTED_VALUE"""),"Tops")</f>
        <v>Tops</v>
      </c>
      <c r="K273" s="8" t="str">
        <f>IFERROR(__xludf.DUMMYFUNCTION("""COMPUTED_VALUE"""),"Fine gauge")</f>
        <v>Fine gauge</v>
      </c>
    </row>
    <row r="274">
      <c r="A274" s="8">
        <f>IFERROR(__xludf.DUMMYFUNCTION("""COMPUTED_VALUE"""),347.0)</f>
        <v>347</v>
      </c>
      <c r="B274" s="8">
        <f>IFERROR(__xludf.DUMMYFUNCTION("""COMPUTED_VALUE"""),907.0)</f>
        <v>907</v>
      </c>
      <c r="C274" s="8">
        <f>IFERROR(__xludf.DUMMYFUNCTION("""COMPUTED_VALUE"""),30.0)</f>
        <v>30</v>
      </c>
      <c r="D274" s="8" t="str">
        <f>IFERROR(__xludf.DUMMYFUNCTION("""COMPUTED_VALUE"""),"Great piece")</f>
        <v>Great piece</v>
      </c>
      <c r="E274" s="8" t="str">
        <f>IFERROR(__xludf.DUMMYFUNCTION("""COMPUTED_VALUE"""),"I love how soft the sweater materials is and that the built in layer piece falls so nicely. i purchased a small in black and have already worn it with jeans and heels for a dinner and with cropped work pants for the office. the bottom piece does wrinkle a"&amp;" lot but you can easily smooth it out. really quality materials and on sale this is quite a steal!")</f>
        <v>I love how soft the sweater materials is and that the built in layer piece falls so nicely. i purchased a small in black and have already worn it with jeans and heels for a dinner and with cropped work pants for the office. the bottom piece does wrinkle a lot but you can easily smooth it out. really quality materials and on sale this is quite a steal!</v>
      </c>
      <c r="F274" s="8">
        <f>IFERROR(__xludf.DUMMYFUNCTION("""COMPUTED_VALUE"""),5.0)</f>
        <v>5</v>
      </c>
      <c r="G274" s="8">
        <f>IFERROR(__xludf.DUMMYFUNCTION("""COMPUTED_VALUE"""),1.0)</f>
        <v>1</v>
      </c>
      <c r="H274" s="8">
        <f>IFERROR(__xludf.DUMMYFUNCTION("""COMPUTED_VALUE"""),1.0)</f>
        <v>1</v>
      </c>
      <c r="I274" s="8" t="str">
        <f>IFERROR(__xludf.DUMMYFUNCTION("""COMPUTED_VALUE"""),"General")</f>
        <v>General</v>
      </c>
      <c r="J274" s="8" t="str">
        <f>IFERROR(__xludf.DUMMYFUNCTION("""COMPUTED_VALUE"""),"Tops")</f>
        <v>Tops</v>
      </c>
      <c r="K274" s="8" t="str">
        <f>IFERROR(__xludf.DUMMYFUNCTION("""COMPUTED_VALUE"""),"Fine gauge")</f>
        <v>Fine gauge</v>
      </c>
    </row>
    <row r="275">
      <c r="A275" s="8">
        <f>IFERROR(__xludf.DUMMYFUNCTION("""COMPUTED_VALUE"""),348.0)</f>
        <v>348</v>
      </c>
      <c r="B275" s="8">
        <f>IFERROR(__xludf.DUMMYFUNCTION("""COMPUTED_VALUE"""),844.0)</f>
        <v>844</v>
      </c>
      <c r="C275" s="8">
        <f>IFERROR(__xludf.DUMMYFUNCTION("""COMPUTED_VALUE"""),47.0)</f>
        <v>47</v>
      </c>
      <c r="D275" s="8" t="str">
        <f>IFERROR(__xludf.DUMMYFUNCTION("""COMPUTED_VALUE"""),"Beautiful and timeless")</f>
        <v>Beautiful and timeless</v>
      </c>
      <c r="E275" s="8" t="str">
        <f>IFERROR(__xludf.DUMMYFUNCTION("""COMPUTED_VALUE"""),"I am 5.6"", 138 pounds. i purchased this in a size small. it is flowy and not too short. it has a comfortable, but still feminine and beautiful fit. one of my favorite new blouses...the red print is gorgeous")</f>
        <v>I am 5.6", 138 pounds. i purchased this in a size small. it is flowy and not too short. it has a comfortable, but still feminine and beautiful fit. one of my favorite new blouses...the red print is gorgeous</v>
      </c>
      <c r="F275" s="8">
        <f>IFERROR(__xludf.DUMMYFUNCTION("""COMPUTED_VALUE"""),5.0)</f>
        <v>5</v>
      </c>
      <c r="G275" s="8">
        <f>IFERROR(__xludf.DUMMYFUNCTION("""COMPUTED_VALUE"""),1.0)</f>
        <v>1</v>
      </c>
      <c r="H275" s="8">
        <f>IFERROR(__xludf.DUMMYFUNCTION("""COMPUTED_VALUE"""),0.0)</f>
        <v>0</v>
      </c>
      <c r="I275" s="8" t="str">
        <f>IFERROR(__xludf.DUMMYFUNCTION("""COMPUTED_VALUE"""),"General Petite")</f>
        <v>General Petite</v>
      </c>
      <c r="J275" s="8" t="str">
        <f>IFERROR(__xludf.DUMMYFUNCTION("""COMPUTED_VALUE"""),"Tops")</f>
        <v>Tops</v>
      </c>
      <c r="K275" s="8" t="str">
        <f>IFERROR(__xludf.DUMMYFUNCTION("""COMPUTED_VALUE"""),"Blouses")</f>
        <v>Blouses</v>
      </c>
    </row>
    <row r="276">
      <c r="A276" s="8">
        <f>IFERROR(__xludf.DUMMYFUNCTION("""COMPUTED_VALUE"""),351.0)</f>
        <v>351</v>
      </c>
      <c r="B276" s="8">
        <f>IFERROR(__xludf.DUMMYFUNCTION("""COMPUTED_VALUE"""),844.0)</f>
        <v>844</v>
      </c>
      <c r="C276" s="8">
        <f>IFERROR(__xludf.DUMMYFUNCTION("""COMPUTED_VALUE"""),69.0)</f>
        <v>69</v>
      </c>
      <c r="D276" s="8" t="str">
        <f>IFERROR(__xludf.DUMMYFUNCTION("""COMPUTED_VALUE"""),"Ruffled buttondown")</f>
        <v>Ruffled buttondown</v>
      </c>
      <c r="E276" s="8" t="str">
        <f>IFERROR(__xludf.DUMMYFUNCTION("""COMPUTED_VALUE"""),"Very pretty blouse. i love the print, and color of the pink floral. tts, i ordered the xs, because of the roomy cut of the blouse. i'm 5'8"", 117 lbs. it fit great. the cut is a little wider then pictured, but still cute. not to short as mentioned by anot"&amp;"her review, and i have a longer torso, i wasn't crazy about the victorian collar, so tucked it under, and it looks great!")</f>
        <v>Very pretty blouse. i love the print, and color of the pink floral. tts, i ordered the xs, because of the roomy cut of the blouse. i'm 5'8", 117 lbs. it fit great. the cut is a little wider then pictured, but still cute. not to short as mentioned by another review, and i have a longer torso, i wasn't crazy about the victorian collar, so tucked it under, and it looks great!</v>
      </c>
      <c r="F276" s="8">
        <f>IFERROR(__xludf.DUMMYFUNCTION("""COMPUTED_VALUE"""),4.0)</f>
        <v>4</v>
      </c>
      <c r="G276" s="8">
        <f>IFERROR(__xludf.DUMMYFUNCTION("""COMPUTED_VALUE"""),1.0)</f>
        <v>1</v>
      </c>
      <c r="H276" s="8">
        <f>IFERROR(__xludf.DUMMYFUNCTION("""COMPUTED_VALUE"""),7.0)</f>
        <v>7</v>
      </c>
      <c r="I276" s="8" t="str">
        <f>IFERROR(__xludf.DUMMYFUNCTION("""COMPUTED_VALUE"""),"General Petite")</f>
        <v>General Petite</v>
      </c>
      <c r="J276" s="8" t="str">
        <f>IFERROR(__xludf.DUMMYFUNCTION("""COMPUTED_VALUE"""),"Tops")</f>
        <v>Tops</v>
      </c>
      <c r="K276" s="8" t="str">
        <f>IFERROR(__xludf.DUMMYFUNCTION("""COMPUTED_VALUE"""),"Blouses")</f>
        <v>Blouses</v>
      </c>
    </row>
    <row r="277">
      <c r="A277" s="8">
        <f>IFERROR(__xludf.DUMMYFUNCTION("""COMPUTED_VALUE"""),352.0)</f>
        <v>352</v>
      </c>
      <c r="B277" s="8">
        <f>IFERROR(__xludf.DUMMYFUNCTION("""COMPUTED_VALUE"""),844.0)</f>
        <v>844</v>
      </c>
      <c r="C277" s="8">
        <f>IFERROR(__xludf.DUMMYFUNCTION("""COMPUTED_VALUE"""),52.0)</f>
        <v>52</v>
      </c>
      <c r="D277" s="8" t="str">
        <f>IFERROR(__xludf.DUMMYFUNCTION("""COMPUTED_VALUE"""),"Exquisite blouse, runs huge")</f>
        <v>Exquisite blouse, runs huge</v>
      </c>
      <c r="E277" s="8" t="str">
        <f>IFERROR(__xludf.DUMMYFUNCTION("""COMPUTED_VALUE"""),"I normally wear a large or extra-large; the medium is still very billowy on me. this blouse is ethereal and lovely, though - pretty and funky at the same time. it's sheer but somehow not revealing. perfect for when you want to look composed and cool on th"&amp;"e hottest day of the summer.")</f>
        <v>I normally wear a large or extra-large; the medium is still very billowy on me. this blouse is ethereal and lovely, though - pretty and funky at the same time. it's sheer but somehow not revealing. perfect for when you want to look composed and cool on the hottest day of the summer.</v>
      </c>
      <c r="F277" s="8">
        <f>IFERROR(__xludf.DUMMYFUNCTION("""COMPUTED_VALUE"""),5.0)</f>
        <v>5</v>
      </c>
      <c r="G277" s="8">
        <f>IFERROR(__xludf.DUMMYFUNCTION("""COMPUTED_VALUE"""),1.0)</f>
        <v>1</v>
      </c>
      <c r="H277" s="8">
        <f>IFERROR(__xludf.DUMMYFUNCTION("""COMPUTED_VALUE"""),1.0)</f>
        <v>1</v>
      </c>
      <c r="I277" s="8" t="str">
        <f>IFERROR(__xludf.DUMMYFUNCTION("""COMPUTED_VALUE"""),"General Petite")</f>
        <v>General Petite</v>
      </c>
      <c r="J277" s="8" t="str">
        <f>IFERROR(__xludf.DUMMYFUNCTION("""COMPUTED_VALUE"""),"Tops")</f>
        <v>Tops</v>
      </c>
      <c r="K277" s="8" t="str">
        <f>IFERROR(__xludf.DUMMYFUNCTION("""COMPUTED_VALUE"""),"Blouses")</f>
        <v>Blouses</v>
      </c>
    </row>
    <row r="278">
      <c r="A278" s="8">
        <f>IFERROR(__xludf.DUMMYFUNCTION("""COMPUTED_VALUE"""),354.0)</f>
        <v>354</v>
      </c>
      <c r="B278" s="8">
        <f>IFERROR(__xludf.DUMMYFUNCTION("""COMPUTED_VALUE"""),907.0)</f>
        <v>907</v>
      </c>
      <c r="C278" s="8">
        <f>IFERROR(__xludf.DUMMYFUNCTION("""COMPUTED_VALUE"""),37.0)</f>
        <v>37</v>
      </c>
      <c r="D278" s="8" t="str">
        <f>IFERROR(__xludf.DUMMYFUNCTION("""COMPUTED_VALUE"""),"Soft sweater")</f>
        <v>Soft sweater</v>
      </c>
      <c r="E278" s="8" t="str">
        <f>IFERROR(__xludf.DUMMYFUNCTION("""COMPUTED_VALUE"""),"I saw this in-store, tried it on, and was sold. it is not just super soft but very flattering on. i am petite, 105 lbs and bought the xs in black- the sleeves are short enough that no petite size was needed. i will wear this a lot with both skirts and jea"&amp;"ns.")</f>
        <v>I saw this in-store, tried it on, and was sold. it is not just super soft but very flattering on. i am petite, 105 lbs and bought the xs in black- the sleeves are short enough that no petite size was needed. i will wear this a lot with both skirts and jeans.</v>
      </c>
      <c r="F278" s="8">
        <f>IFERROR(__xludf.DUMMYFUNCTION("""COMPUTED_VALUE"""),5.0)</f>
        <v>5</v>
      </c>
      <c r="G278" s="8">
        <f>IFERROR(__xludf.DUMMYFUNCTION("""COMPUTED_VALUE"""),1.0)</f>
        <v>1</v>
      </c>
      <c r="H278" s="8">
        <f>IFERROR(__xludf.DUMMYFUNCTION("""COMPUTED_VALUE"""),4.0)</f>
        <v>4</v>
      </c>
      <c r="I278" s="8" t="str">
        <f>IFERROR(__xludf.DUMMYFUNCTION("""COMPUTED_VALUE"""),"General")</f>
        <v>General</v>
      </c>
      <c r="J278" s="8" t="str">
        <f>IFERROR(__xludf.DUMMYFUNCTION("""COMPUTED_VALUE"""),"Tops")</f>
        <v>Tops</v>
      </c>
      <c r="K278" s="8" t="str">
        <f>IFERROR(__xludf.DUMMYFUNCTION("""COMPUTED_VALUE"""),"Fine gauge")</f>
        <v>Fine gauge</v>
      </c>
    </row>
    <row r="279">
      <c r="A279" s="8">
        <f>IFERROR(__xludf.DUMMYFUNCTION("""COMPUTED_VALUE"""),355.0)</f>
        <v>355</v>
      </c>
      <c r="B279" s="8">
        <f>IFERROR(__xludf.DUMMYFUNCTION("""COMPUTED_VALUE"""),936.0)</f>
        <v>936</v>
      </c>
      <c r="C279" s="8">
        <f>IFERROR(__xludf.DUMMYFUNCTION("""COMPUTED_VALUE"""),32.0)</f>
        <v>32</v>
      </c>
      <c r="D279" s="8"/>
      <c r="E279" s="8" t="str">
        <f>IFERROR(__xludf.DUMMYFUNCTION("""COMPUTED_VALUE"""),"Love this. it's heavy/warm, stylish and a great throw on any outfit. oversized style.")</f>
        <v>Love this. it's heavy/warm, stylish and a great throw on any outfit. oversized style.</v>
      </c>
      <c r="F279" s="8">
        <f>IFERROR(__xludf.DUMMYFUNCTION("""COMPUTED_VALUE"""),5.0)</f>
        <v>5</v>
      </c>
      <c r="G279" s="8">
        <f>IFERROR(__xludf.DUMMYFUNCTION("""COMPUTED_VALUE"""),1.0)</f>
        <v>1</v>
      </c>
      <c r="H279" s="8">
        <f>IFERROR(__xludf.DUMMYFUNCTION("""COMPUTED_VALUE"""),0.0)</f>
        <v>0</v>
      </c>
      <c r="I279" s="8" t="str">
        <f>IFERROR(__xludf.DUMMYFUNCTION("""COMPUTED_VALUE"""),"General Petite")</f>
        <v>General Petite</v>
      </c>
      <c r="J279" s="8" t="str">
        <f>IFERROR(__xludf.DUMMYFUNCTION("""COMPUTED_VALUE"""),"Tops")</f>
        <v>Tops</v>
      </c>
      <c r="K279" s="8" t="str">
        <f>IFERROR(__xludf.DUMMYFUNCTION("""COMPUTED_VALUE"""),"Sweaters")</f>
        <v>Sweaters</v>
      </c>
    </row>
    <row r="280">
      <c r="A280" s="8">
        <f>IFERROR(__xludf.DUMMYFUNCTION("""COMPUTED_VALUE"""),357.0)</f>
        <v>357</v>
      </c>
      <c r="B280" s="8">
        <f>IFERROR(__xludf.DUMMYFUNCTION("""COMPUTED_VALUE"""),907.0)</f>
        <v>907</v>
      </c>
      <c r="C280" s="8">
        <f>IFERROR(__xludf.DUMMYFUNCTION("""COMPUTED_VALUE"""),51.0)</f>
        <v>51</v>
      </c>
      <c r="D280" s="8" t="str">
        <f>IFERROR(__xludf.DUMMYFUNCTION("""COMPUTED_VALUE"""),"Worth the sale price")</f>
        <v>Worth the sale price</v>
      </c>
      <c r="E280" s="8" t="str">
        <f>IFERROR(__xludf.DUMMYFUNCTION("""COMPUTED_VALUE"""),"Tts. i'm wearing a small. the black goes with so many of my charlie print pants. washed nicely. layers flat to dry. had to iron the shell underneath. great for casual office.")</f>
        <v>Tts. i'm wearing a small. the black goes with so many of my charlie print pants. washed nicely. layers flat to dry. had to iron the shell underneath. great for casual office.</v>
      </c>
      <c r="F280" s="8">
        <f>IFERROR(__xludf.DUMMYFUNCTION("""COMPUTED_VALUE"""),5.0)</f>
        <v>5</v>
      </c>
      <c r="G280" s="8">
        <f>IFERROR(__xludf.DUMMYFUNCTION("""COMPUTED_VALUE"""),1.0)</f>
        <v>1</v>
      </c>
      <c r="H280" s="8">
        <f>IFERROR(__xludf.DUMMYFUNCTION("""COMPUTED_VALUE"""),2.0)</f>
        <v>2</v>
      </c>
      <c r="I280" s="8" t="str">
        <f>IFERROR(__xludf.DUMMYFUNCTION("""COMPUTED_VALUE"""),"General")</f>
        <v>General</v>
      </c>
      <c r="J280" s="8" t="str">
        <f>IFERROR(__xludf.DUMMYFUNCTION("""COMPUTED_VALUE"""),"Tops")</f>
        <v>Tops</v>
      </c>
      <c r="K280" s="8" t="str">
        <f>IFERROR(__xludf.DUMMYFUNCTION("""COMPUTED_VALUE"""),"Fine gauge")</f>
        <v>Fine gauge</v>
      </c>
    </row>
    <row r="281">
      <c r="A281" s="8">
        <f>IFERROR(__xludf.DUMMYFUNCTION("""COMPUTED_VALUE"""),360.0)</f>
        <v>360</v>
      </c>
      <c r="B281" s="8">
        <f>IFERROR(__xludf.DUMMYFUNCTION("""COMPUTED_VALUE"""),936.0)</f>
        <v>936</v>
      </c>
      <c r="C281" s="8">
        <f>IFERROR(__xludf.DUMMYFUNCTION("""COMPUTED_VALUE"""),50.0)</f>
        <v>50</v>
      </c>
      <c r="D281" s="8" t="str">
        <f>IFERROR(__xludf.DUMMYFUNCTION("""COMPUTED_VALUE"""),"Amazing sweatercoat!")</f>
        <v>Amazing sweatercoat!</v>
      </c>
      <c r="E281" s="8" t="str">
        <f>IFERROR(__xludf.DUMMYFUNCTION("""COMPUTED_VALUE"""),"I gave this four stars only because the lining has some polyester (poly/rayon blend) in it and i don't like polyester; still, i couldn't pass it up due to the chic look and the oh so warm feel of the coat. it's like wrapping yourself in a warm blanket and"&amp;" the wine color looks amazing! it's a little on the pricey side. since i consider it more of a sweater than a coat, i would have liked the price better if it was $100 less. it was one of those items that was hard to take off once i put it on. i")</f>
        <v>I gave this four stars only because the lining has some polyester (poly/rayon blend) in it and i don't like polyester; still, i couldn't pass it up due to the chic look and the oh so warm feel of the coat. it's like wrapping yourself in a warm blanket and the wine color looks amazing! it's a little on the pricey side. since i consider it more of a sweater than a coat, i would have liked the price better if it was $100 less. it was one of those items that was hard to take off once i put it on. i</v>
      </c>
      <c r="F281" s="8">
        <f>IFERROR(__xludf.DUMMYFUNCTION("""COMPUTED_VALUE"""),4.0)</f>
        <v>4</v>
      </c>
      <c r="G281" s="8">
        <f>IFERROR(__xludf.DUMMYFUNCTION("""COMPUTED_VALUE"""),1.0)</f>
        <v>1</v>
      </c>
      <c r="H281" s="8">
        <f>IFERROR(__xludf.DUMMYFUNCTION("""COMPUTED_VALUE"""),17.0)</f>
        <v>17</v>
      </c>
      <c r="I281" s="8" t="str">
        <f>IFERROR(__xludf.DUMMYFUNCTION("""COMPUTED_VALUE"""),"General Petite")</f>
        <v>General Petite</v>
      </c>
      <c r="J281" s="8" t="str">
        <f>IFERROR(__xludf.DUMMYFUNCTION("""COMPUTED_VALUE"""),"Tops")</f>
        <v>Tops</v>
      </c>
      <c r="K281" s="8" t="str">
        <f>IFERROR(__xludf.DUMMYFUNCTION("""COMPUTED_VALUE"""),"Sweaters")</f>
        <v>Sweaters</v>
      </c>
    </row>
    <row r="282">
      <c r="A282" s="8">
        <f>IFERROR(__xludf.DUMMYFUNCTION("""COMPUTED_VALUE"""),361.0)</f>
        <v>361</v>
      </c>
      <c r="B282" s="8">
        <f>IFERROR(__xludf.DUMMYFUNCTION("""COMPUTED_VALUE"""),895.0)</f>
        <v>895</v>
      </c>
      <c r="C282" s="8">
        <f>IFERROR(__xludf.DUMMYFUNCTION("""COMPUTED_VALUE"""),36.0)</f>
        <v>36</v>
      </c>
      <c r="D282" s="8" t="str">
        <f>IFERROR(__xludf.DUMMYFUNCTION("""COMPUTED_VALUE"""),"Great piece for layering")</f>
        <v>Great piece for layering</v>
      </c>
      <c r="E282" s="8" t="str">
        <f>IFERROR(__xludf.DUMMYFUNCTION("""COMPUTED_VALUE"""),"I like this sleeveless sweater - it adds warmth and visual interest without adding a lot of bulk. paired with black/white patterns it's pretty versatile (as seen in the pics) - a great staple for a more casual office environment. being a taller girl i lov"&amp;"e the length on it, and find it's flattering for my curvy figure.")</f>
        <v>I like this sleeveless sweater - it adds warmth and visual interest without adding a lot of bulk. paired with black/white patterns it's pretty versatile (as seen in the pics) - a great staple for a more casual office environment. being a taller girl i love the length on it, and find it's flattering for my curvy figure.</v>
      </c>
      <c r="F282" s="8">
        <f>IFERROR(__xludf.DUMMYFUNCTION("""COMPUTED_VALUE"""),5.0)</f>
        <v>5</v>
      </c>
      <c r="G282" s="8">
        <f>IFERROR(__xludf.DUMMYFUNCTION("""COMPUTED_VALUE"""),1.0)</f>
        <v>1</v>
      </c>
      <c r="H282" s="8">
        <f>IFERROR(__xludf.DUMMYFUNCTION("""COMPUTED_VALUE"""),0.0)</f>
        <v>0</v>
      </c>
      <c r="I282" s="8" t="str">
        <f>IFERROR(__xludf.DUMMYFUNCTION("""COMPUTED_VALUE"""),"General Petite")</f>
        <v>General Petite</v>
      </c>
      <c r="J282" s="8" t="str">
        <f>IFERROR(__xludf.DUMMYFUNCTION("""COMPUTED_VALUE"""),"Tops")</f>
        <v>Tops</v>
      </c>
      <c r="K282" s="8" t="str">
        <f>IFERROR(__xludf.DUMMYFUNCTION("""COMPUTED_VALUE"""),"Fine gauge")</f>
        <v>Fine gauge</v>
      </c>
    </row>
    <row r="283">
      <c r="A283" s="8">
        <f>IFERROR(__xludf.DUMMYFUNCTION("""COMPUTED_VALUE"""),363.0)</f>
        <v>363</v>
      </c>
      <c r="B283" s="8">
        <f>IFERROR(__xludf.DUMMYFUNCTION("""COMPUTED_VALUE"""),580.0)</f>
        <v>580</v>
      </c>
      <c r="C283" s="8">
        <f>IFERROR(__xludf.DUMMYFUNCTION("""COMPUTED_VALUE"""),60.0)</f>
        <v>60</v>
      </c>
      <c r="D283" s="8" t="str">
        <f>IFERROR(__xludf.DUMMYFUNCTION("""COMPUTED_VALUE"""),"Nice thin sweatshirt")</f>
        <v>Nice thin sweatshirt</v>
      </c>
      <c r="E283" s="8" t="str">
        <f>IFERROR(__xludf.DUMMYFUNCTION("""COMPUTED_VALUE"""),"I love the sweatshirt 
 clay color is very different it's a nice light fabric with nice detailed edges 
 although it is an oversized piece it hangs and fits well although i am petite
 great light sweatshirt for spring and summer")</f>
        <v>I love the sweatshirt 
 clay color is very different it's a nice light fabric with nice detailed edges 
 although it is an oversized piece it hangs and fits well although i am petite
 great light sweatshirt for spring and summer</v>
      </c>
      <c r="F283" s="8">
        <f>IFERROR(__xludf.DUMMYFUNCTION("""COMPUTED_VALUE"""),5.0)</f>
        <v>5</v>
      </c>
      <c r="G283" s="8">
        <f>IFERROR(__xludf.DUMMYFUNCTION("""COMPUTED_VALUE"""),1.0)</f>
        <v>1</v>
      </c>
      <c r="H283" s="8">
        <f>IFERROR(__xludf.DUMMYFUNCTION("""COMPUTED_VALUE"""),1.0)</f>
        <v>1</v>
      </c>
      <c r="I283" s="8" t="str">
        <f>IFERROR(__xludf.DUMMYFUNCTION("""COMPUTED_VALUE"""),"Initmates")</f>
        <v>Initmates</v>
      </c>
      <c r="J283" s="8" t="str">
        <f>IFERROR(__xludf.DUMMYFUNCTION("""COMPUTED_VALUE"""),"Intimate")</f>
        <v>Intimate</v>
      </c>
      <c r="K283" s="8" t="str">
        <f>IFERROR(__xludf.DUMMYFUNCTION("""COMPUTED_VALUE"""),"Lounge")</f>
        <v>Lounge</v>
      </c>
    </row>
    <row r="284">
      <c r="A284" s="8">
        <f>IFERROR(__xludf.DUMMYFUNCTION("""COMPUTED_VALUE"""),364.0)</f>
        <v>364</v>
      </c>
      <c r="B284" s="8">
        <f>IFERROR(__xludf.DUMMYFUNCTION("""COMPUTED_VALUE"""),895.0)</f>
        <v>895</v>
      </c>
      <c r="C284" s="8">
        <f>IFERROR(__xludf.DUMMYFUNCTION("""COMPUTED_VALUE"""),46.0)</f>
        <v>46</v>
      </c>
      <c r="D284" s="8" t="str">
        <f>IFERROR(__xludf.DUMMYFUNCTION("""COMPUTED_VALUE"""),"That special lauer")</f>
        <v>That special lauer</v>
      </c>
      <c r="E284" s="8" t="str">
        <f>IFERROR(__xludf.DUMMYFUNCTION("""COMPUTED_VALUE"""),"Love the patterns and the length.  i basically would agree with all the reviewers including the person who noted no pockets. 
it's really a special piece and on sale, very worth it!")</f>
        <v>Love the patterns and the length.  i basically would agree with all the reviewers including the person who noted no pockets. 
it's really a special piece and on sale, very worth it!</v>
      </c>
      <c r="F284" s="8">
        <f>IFERROR(__xludf.DUMMYFUNCTION("""COMPUTED_VALUE"""),5.0)</f>
        <v>5</v>
      </c>
      <c r="G284" s="8">
        <f>IFERROR(__xludf.DUMMYFUNCTION("""COMPUTED_VALUE"""),1.0)</f>
        <v>1</v>
      </c>
      <c r="H284" s="8">
        <f>IFERROR(__xludf.DUMMYFUNCTION("""COMPUTED_VALUE"""),0.0)</f>
        <v>0</v>
      </c>
      <c r="I284" s="8" t="str">
        <f>IFERROR(__xludf.DUMMYFUNCTION("""COMPUTED_VALUE"""),"General Petite")</f>
        <v>General Petite</v>
      </c>
      <c r="J284" s="8" t="str">
        <f>IFERROR(__xludf.DUMMYFUNCTION("""COMPUTED_VALUE"""),"Tops")</f>
        <v>Tops</v>
      </c>
      <c r="K284" s="8" t="str">
        <f>IFERROR(__xludf.DUMMYFUNCTION("""COMPUTED_VALUE"""),"Fine gauge")</f>
        <v>Fine gauge</v>
      </c>
    </row>
    <row r="285">
      <c r="A285" s="8">
        <f>IFERROR(__xludf.DUMMYFUNCTION("""COMPUTED_VALUE"""),365.0)</f>
        <v>365</v>
      </c>
      <c r="B285" s="8">
        <f>IFERROR(__xludf.DUMMYFUNCTION("""COMPUTED_VALUE"""),862.0)</f>
        <v>862</v>
      </c>
      <c r="C285" s="8">
        <f>IFERROR(__xludf.DUMMYFUNCTION("""COMPUTED_VALUE"""),38.0)</f>
        <v>38</v>
      </c>
      <c r="D285" s="8" t="str">
        <f>IFERROR(__xludf.DUMMYFUNCTION("""COMPUTED_VALUE"""),"Comfy and cute")</f>
        <v>Comfy and cute</v>
      </c>
      <c r="E285" s="8" t="str">
        <f>IFERROR(__xludf.DUMMYFUNCTION("""COMPUTED_VALUE"""),"Very comfy and light. can be casual with jeans and boots or dress it up with a nice necklace and pencil skirt.")</f>
        <v>Very comfy and light. can be casual with jeans and boots or dress it up with a nice necklace and pencil skirt.</v>
      </c>
      <c r="F285" s="8">
        <f>IFERROR(__xludf.DUMMYFUNCTION("""COMPUTED_VALUE"""),4.0)</f>
        <v>4</v>
      </c>
      <c r="G285" s="8">
        <f>IFERROR(__xludf.DUMMYFUNCTION("""COMPUTED_VALUE"""),1.0)</f>
        <v>1</v>
      </c>
      <c r="H285" s="8">
        <f>IFERROR(__xludf.DUMMYFUNCTION("""COMPUTED_VALUE"""),0.0)</f>
        <v>0</v>
      </c>
      <c r="I285" s="8" t="str">
        <f>IFERROR(__xludf.DUMMYFUNCTION("""COMPUTED_VALUE"""),"General")</f>
        <v>General</v>
      </c>
      <c r="J285" s="8" t="str">
        <f>IFERROR(__xludf.DUMMYFUNCTION("""COMPUTED_VALUE"""),"Tops")</f>
        <v>Tops</v>
      </c>
      <c r="K285" s="8" t="str">
        <f>IFERROR(__xludf.DUMMYFUNCTION("""COMPUTED_VALUE"""),"Knits")</f>
        <v>Knits</v>
      </c>
    </row>
    <row r="286">
      <c r="A286" s="8">
        <f>IFERROR(__xludf.DUMMYFUNCTION("""COMPUTED_VALUE"""),366.0)</f>
        <v>366</v>
      </c>
      <c r="B286" s="8">
        <f>IFERROR(__xludf.DUMMYFUNCTION("""COMPUTED_VALUE"""),862.0)</f>
        <v>862</v>
      </c>
      <c r="C286" s="8">
        <f>IFERROR(__xludf.DUMMYFUNCTION("""COMPUTED_VALUE"""),37.0)</f>
        <v>37</v>
      </c>
      <c r="D286" s="8" t="str">
        <f>IFERROR(__xludf.DUMMYFUNCTION("""COMPUTED_VALUE"""),"Looks better when tried on; very cute")</f>
        <v>Looks better when tried on; very cute</v>
      </c>
      <c r="E286" s="8" t="str">
        <f>IFERROR(__xludf.DUMMYFUNCTION("""COMPUTED_VALUE"""),"I got the navy stripe version of this shirt and it has a very cute nautical vibe to it. i am either an xs or s in antho, and went with the xs for this shirt as i think the s would be too boxy. normally i would have overlooked this shirt as it's rather uni"&amp;"mpressive on the hanger, but it was on sale so i tried it on. very cute when tried on! it fits well across the shoulders but isn't too clingy in the body, which i like. the fabric is very comfortable and the shoulder detail gives it a little mor")</f>
        <v>I got the navy stripe version of this shirt and it has a very cute nautical vibe to it. i am either an xs or s in antho, and went with the xs for this shirt as i think the s would be too boxy. normally i would have overlooked this shirt as it's rather unimpressive on the hanger, but it was on sale so i tried it on. very cute when tried on! it fits well across the shoulders but isn't too clingy in the body, which i like. the fabric is very comfortable and the shoulder detail gives it a little mor</v>
      </c>
      <c r="F286" s="8">
        <f>IFERROR(__xludf.DUMMYFUNCTION("""COMPUTED_VALUE"""),5.0)</f>
        <v>5</v>
      </c>
      <c r="G286" s="8">
        <f>IFERROR(__xludf.DUMMYFUNCTION("""COMPUTED_VALUE"""),1.0)</f>
        <v>1</v>
      </c>
      <c r="H286" s="8">
        <f>IFERROR(__xludf.DUMMYFUNCTION("""COMPUTED_VALUE"""),1.0)</f>
        <v>1</v>
      </c>
      <c r="I286" s="8" t="str">
        <f>IFERROR(__xludf.DUMMYFUNCTION("""COMPUTED_VALUE"""),"General")</f>
        <v>General</v>
      </c>
      <c r="J286" s="8" t="str">
        <f>IFERROR(__xludf.DUMMYFUNCTION("""COMPUTED_VALUE"""),"Tops")</f>
        <v>Tops</v>
      </c>
      <c r="K286" s="8" t="str">
        <f>IFERROR(__xludf.DUMMYFUNCTION("""COMPUTED_VALUE"""),"Knits")</f>
        <v>Knits</v>
      </c>
    </row>
    <row r="287">
      <c r="A287" s="8">
        <f>IFERROR(__xludf.DUMMYFUNCTION("""COMPUTED_VALUE"""),367.0)</f>
        <v>367</v>
      </c>
      <c r="B287" s="8">
        <f>IFERROR(__xludf.DUMMYFUNCTION("""COMPUTED_VALUE"""),844.0)</f>
        <v>844</v>
      </c>
      <c r="C287" s="8">
        <f>IFERROR(__xludf.DUMMYFUNCTION("""COMPUTED_VALUE"""),46.0)</f>
        <v>46</v>
      </c>
      <c r="D287" s="8" t="str">
        <f>IFERROR(__xludf.DUMMYFUNCTION("""COMPUTED_VALUE"""),"Romantic print, elegant &amp; beautiful - i love it!")</f>
        <v>Romantic print, elegant &amp; beautiful - i love it!</v>
      </c>
      <c r="E287" s="8" t="str">
        <f>IFERROR(__xludf.DUMMYFUNCTION("""COMPUTED_VALUE"""),"Not sure why this shirt is getting bad reviews. i am tall and have a long torso, so perhaps that is the issue for some who find it not so flattering? maybe if your taller it hangs better? i have to say... i love everything about it. it is a fantastic prin"&amp;"t, it is very flowy but i don't think it's too much in that regard. i think it is fitting with the romantic, girly style of the garment. in my opinion not too short, just right. i took a medium, i am 5'8"" and athletic.")</f>
        <v>Not sure why this shirt is getting bad reviews. i am tall and have a long torso, so perhaps that is the issue for some who find it not so flattering? maybe if your taller it hangs better? i have to say... i love everything about it. it is a fantastic print, it is very flowy but i don't think it's too much in that regard. i think it is fitting with the romantic, girly style of the garment. in my opinion not too short, just right. i took a medium, i am 5'8" and athletic.</v>
      </c>
      <c r="F287" s="8">
        <f>IFERROR(__xludf.DUMMYFUNCTION("""COMPUTED_VALUE"""),5.0)</f>
        <v>5</v>
      </c>
      <c r="G287" s="8">
        <f>IFERROR(__xludf.DUMMYFUNCTION("""COMPUTED_VALUE"""),1.0)</f>
        <v>1</v>
      </c>
      <c r="H287" s="8">
        <f>IFERROR(__xludf.DUMMYFUNCTION("""COMPUTED_VALUE"""),4.0)</f>
        <v>4</v>
      </c>
      <c r="I287" s="8" t="str">
        <f>IFERROR(__xludf.DUMMYFUNCTION("""COMPUTED_VALUE"""),"General Petite")</f>
        <v>General Petite</v>
      </c>
      <c r="J287" s="8" t="str">
        <f>IFERROR(__xludf.DUMMYFUNCTION("""COMPUTED_VALUE"""),"Tops")</f>
        <v>Tops</v>
      </c>
      <c r="K287" s="8" t="str">
        <f>IFERROR(__xludf.DUMMYFUNCTION("""COMPUTED_VALUE"""),"Blouses")</f>
        <v>Blouses</v>
      </c>
    </row>
    <row r="288">
      <c r="A288" s="8">
        <f>IFERROR(__xludf.DUMMYFUNCTION("""COMPUTED_VALUE"""),369.0)</f>
        <v>369</v>
      </c>
      <c r="B288" s="8">
        <f>IFERROR(__xludf.DUMMYFUNCTION("""COMPUTED_VALUE"""),895.0)</f>
        <v>895</v>
      </c>
      <c r="C288" s="8">
        <f>IFERROR(__xludf.DUMMYFUNCTION("""COMPUTED_VALUE"""),39.0)</f>
        <v>39</v>
      </c>
      <c r="D288" s="8" t="str">
        <f>IFERROR(__xludf.DUMMYFUNCTION("""COMPUTED_VALUE"""),"Positively agree")</f>
        <v>Positively agree</v>
      </c>
      <c r="E288" s="8" t="str">
        <f>IFERROR(__xludf.DUMMYFUNCTION("""COMPUTED_VALUE"""),"All the rave reviews are true!  this vest is plush and funky and i love wearing it. i'm having fun figuring out different outfits to wear with this. this is a great three season layering piece and i'm thrilled i was able to get it on sale.  my only regret"&amp;" was the lack of a petite selection.")</f>
        <v>All the rave reviews are true!  this vest is plush and funky and i love wearing it. i'm having fun figuring out different outfits to wear with this. this is a great three season layering piece and i'm thrilled i was able to get it on sale.  my only regret was the lack of a petite selection.</v>
      </c>
      <c r="F288" s="8">
        <f>IFERROR(__xludf.DUMMYFUNCTION("""COMPUTED_VALUE"""),5.0)</f>
        <v>5</v>
      </c>
      <c r="G288" s="8">
        <f>IFERROR(__xludf.DUMMYFUNCTION("""COMPUTED_VALUE"""),1.0)</f>
        <v>1</v>
      </c>
      <c r="H288" s="8">
        <f>IFERROR(__xludf.DUMMYFUNCTION("""COMPUTED_VALUE"""),0.0)</f>
        <v>0</v>
      </c>
      <c r="I288" s="8" t="str">
        <f>IFERROR(__xludf.DUMMYFUNCTION("""COMPUTED_VALUE"""),"General Petite")</f>
        <v>General Petite</v>
      </c>
      <c r="J288" s="8" t="str">
        <f>IFERROR(__xludf.DUMMYFUNCTION("""COMPUTED_VALUE"""),"Tops")</f>
        <v>Tops</v>
      </c>
      <c r="K288" s="8" t="str">
        <f>IFERROR(__xludf.DUMMYFUNCTION("""COMPUTED_VALUE"""),"Fine gauge")</f>
        <v>Fine gauge</v>
      </c>
    </row>
    <row r="289">
      <c r="A289" s="8">
        <f>IFERROR(__xludf.DUMMYFUNCTION("""COMPUTED_VALUE"""),370.0)</f>
        <v>370</v>
      </c>
      <c r="B289" s="8">
        <f>IFERROR(__xludf.DUMMYFUNCTION("""COMPUTED_VALUE"""),836.0)</f>
        <v>836</v>
      </c>
      <c r="C289" s="8">
        <f>IFERROR(__xludf.DUMMYFUNCTION("""COMPUTED_VALUE"""),25.0)</f>
        <v>25</v>
      </c>
      <c r="D289" s="8"/>
      <c r="E289" s="8" t="str">
        <f>IFERROR(__xludf.DUMMYFUNCTION("""COMPUTED_VALUE"""),"I love this top. i got it on sale and am so glad that i did. it is a short too but still super flattering. it isn't too boxy on me.")</f>
        <v>I love this top. i got it on sale and am so glad that i did. it is a short too but still super flattering. it isn't too boxy on me.</v>
      </c>
      <c r="F289" s="8">
        <f>IFERROR(__xludf.DUMMYFUNCTION("""COMPUTED_VALUE"""),5.0)</f>
        <v>5</v>
      </c>
      <c r="G289" s="8">
        <f>IFERROR(__xludf.DUMMYFUNCTION("""COMPUTED_VALUE"""),1.0)</f>
        <v>1</v>
      </c>
      <c r="H289" s="8">
        <f>IFERROR(__xludf.DUMMYFUNCTION("""COMPUTED_VALUE"""),0.0)</f>
        <v>0</v>
      </c>
      <c r="I289" s="8" t="str">
        <f>IFERROR(__xludf.DUMMYFUNCTION("""COMPUTED_VALUE"""),"General")</f>
        <v>General</v>
      </c>
      <c r="J289" s="8" t="str">
        <f>IFERROR(__xludf.DUMMYFUNCTION("""COMPUTED_VALUE"""),"Tops")</f>
        <v>Tops</v>
      </c>
      <c r="K289" s="8" t="str">
        <f>IFERROR(__xludf.DUMMYFUNCTION("""COMPUTED_VALUE"""),"Blouses")</f>
        <v>Blouses</v>
      </c>
    </row>
    <row r="290">
      <c r="A290" s="8">
        <f>IFERROR(__xludf.DUMMYFUNCTION("""COMPUTED_VALUE"""),371.0)</f>
        <v>371</v>
      </c>
      <c r="B290" s="8">
        <f>IFERROR(__xludf.DUMMYFUNCTION("""COMPUTED_VALUE"""),895.0)</f>
        <v>895</v>
      </c>
      <c r="C290" s="8">
        <f>IFERROR(__xludf.DUMMYFUNCTION("""COMPUTED_VALUE"""),64.0)</f>
        <v>64</v>
      </c>
      <c r="D290" s="8" t="str">
        <f>IFERROR(__xludf.DUMMYFUNCTION("""COMPUTED_VALUE"""),"Love the print &amp; style")</f>
        <v>Love the print &amp; style</v>
      </c>
      <c r="E290" s="8" t="str">
        <f>IFERROR(__xludf.DUMMYFUNCTION("""COMPUTED_VALUE"""),"I tried this on the other day at the local store in a size xs/s. although it's wool i didn't notice that is was itchy &amp; usually wool bothers me. i am of small build but i did like the long &amp; oversized look. i admit i am drawn to the print anyways. i notic"&amp;"ed the right armhole was larger than the left so i tried on another xs/s - it was the same. probably the armholes will be smaller in the petite sizes. i decided to make other purchases but will order the petite xs/s in a few wks since the invent")</f>
        <v>I tried this on the other day at the local store in a size xs/s. although it's wool i didn't notice that is was itchy &amp; usually wool bothers me. i am of small build but i did like the long &amp; oversized look. i admit i am drawn to the print anyways. i noticed the right armhole was larger than the left so i tried on another xs/s - it was the same. probably the armholes will be smaller in the petite sizes. i decided to make other purchases but will order the petite xs/s in a few wks since the invent</v>
      </c>
      <c r="F290" s="8">
        <f>IFERROR(__xludf.DUMMYFUNCTION("""COMPUTED_VALUE"""),5.0)</f>
        <v>5</v>
      </c>
      <c r="G290" s="8">
        <f>IFERROR(__xludf.DUMMYFUNCTION("""COMPUTED_VALUE"""),1.0)</f>
        <v>1</v>
      </c>
      <c r="H290" s="8">
        <f>IFERROR(__xludf.DUMMYFUNCTION("""COMPUTED_VALUE"""),4.0)</f>
        <v>4</v>
      </c>
      <c r="I290" s="8" t="str">
        <f>IFERROR(__xludf.DUMMYFUNCTION("""COMPUTED_VALUE"""),"General Petite")</f>
        <v>General Petite</v>
      </c>
      <c r="J290" s="8" t="str">
        <f>IFERROR(__xludf.DUMMYFUNCTION("""COMPUTED_VALUE"""),"Tops")</f>
        <v>Tops</v>
      </c>
      <c r="K290" s="8" t="str">
        <f>IFERROR(__xludf.DUMMYFUNCTION("""COMPUTED_VALUE"""),"Fine gauge")</f>
        <v>Fine gauge</v>
      </c>
    </row>
    <row r="291">
      <c r="A291" s="8">
        <f>IFERROR(__xludf.DUMMYFUNCTION("""COMPUTED_VALUE"""),372.0)</f>
        <v>372</v>
      </c>
      <c r="B291" s="8">
        <f>IFERROR(__xludf.DUMMYFUNCTION("""COMPUTED_VALUE"""),895.0)</f>
        <v>895</v>
      </c>
      <c r="C291" s="8">
        <f>IFERROR(__xludf.DUMMYFUNCTION("""COMPUTED_VALUE"""),57.0)</f>
        <v>57</v>
      </c>
      <c r="D291" s="8" t="str">
        <f>IFERROR(__xludf.DUMMYFUNCTION("""COMPUTED_VALUE"""),"So cool")</f>
        <v>So cool</v>
      </c>
      <c r="E291" s="8" t="str">
        <f>IFERROR(__xludf.DUMMYFUNCTION("""COMPUTED_VALUE"""),"This has great drape, length, the pattern is super versatile with solids or prints. i am finding the wool to be itchy around the neck, so not sure if i will keep, though i don't seem to want to take it off! has a lightweight, boiled wool texture, contrast"&amp;"ing print and design so cool!")</f>
        <v>This has great drape, length, the pattern is super versatile with solids or prints. i am finding the wool to be itchy around the neck, so not sure if i will keep, though i don't seem to want to take it off! has a lightweight, boiled wool texture, contrasting print and design so cool!</v>
      </c>
      <c r="F291" s="8">
        <f>IFERROR(__xludf.DUMMYFUNCTION("""COMPUTED_VALUE"""),5.0)</f>
        <v>5</v>
      </c>
      <c r="G291" s="8">
        <f>IFERROR(__xludf.DUMMYFUNCTION("""COMPUTED_VALUE"""),1.0)</f>
        <v>1</v>
      </c>
      <c r="H291" s="8">
        <f>IFERROR(__xludf.DUMMYFUNCTION("""COMPUTED_VALUE"""),1.0)</f>
        <v>1</v>
      </c>
      <c r="I291" s="8" t="str">
        <f>IFERROR(__xludf.DUMMYFUNCTION("""COMPUTED_VALUE"""),"General Petite")</f>
        <v>General Petite</v>
      </c>
      <c r="J291" s="8" t="str">
        <f>IFERROR(__xludf.DUMMYFUNCTION("""COMPUTED_VALUE"""),"Tops")</f>
        <v>Tops</v>
      </c>
      <c r="K291" s="8" t="str">
        <f>IFERROR(__xludf.DUMMYFUNCTION("""COMPUTED_VALUE"""),"Fine gauge")</f>
        <v>Fine gauge</v>
      </c>
    </row>
    <row r="292">
      <c r="A292" s="8">
        <f>IFERROR(__xludf.DUMMYFUNCTION("""COMPUTED_VALUE"""),373.0)</f>
        <v>373</v>
      </c>
      <c r="B292" s="8">
        <f>IFERROR(__xludf.DUMMYFUNCTION("""COMPUTED_VALUE"""),895.0)</f>
        <v>895</v>
      </c>
      <c r="C292" s="8">
        <f>IFERROR(__xludf.DUMMYFUNCTION("""COMPUTED_VALUE"""),44.0)</f>
        <v>44</v>
      </c>
      <c r="D292" s="8" t="str">
        <f>IFERROR(__xludf.DUMMYFUNCTION("""COMPUTED_VALUE"""),"Modern black and white")</f>
        <v>Modern black and white</v>
      </c>
      <c r="E292" s="8" t="str">
        <f>IFERROR(__xludf.DUMMYFUNCTION("""COMPUTED_VALUE"""),"I was skeptical about this duster and had to see it in person, and it was love at first sight. the black and white makes it versatile, and the pattern makes it interesting and fashion forward. more importantly, the pattern is cleverly designed which doesn"&amp;"'t compete with your wardrobe should you wear a bright color or a similar pattern (as shown on model). i purchased the regular xs/s and it fit me fine (i'm 5'2"", 34b, 26 waist, and 36 hips) and the hem falls about two inches below my knees. the")</f>
        <v>I was skeptical about this duster and had to see it in person, and it was love at first sight. the black and white makes it versatile, and the pattern makes it interesting and fashion forward. more importantly, the pattern is cleverly designed which doesn't compete with your wardrobe should you wear a bright color or a similar pattern (as shown on model). i purchased the regular xs/s and it fit me fine (i'm 5'2", 34b, 26 waist, and 36 hips) and the hem falls about two inches below my knees. the</v>
      </c>
      <c r="F292" s="8">
        <f>IFERROR(__xludf.DUMMYFUNCTION("""COMPUTED_VALUE"""),5.0)</f>
        <v>5</v>
      </c>
      <c r="G292" s="8">
        <f>IFERROR(__xludf.DUMMYFUNCTION("""COMPUTED_VALUE"""),1.0)</f>
        <v>1</v>
      </c>
      <c r="H292" s="8">
        <f>IFERROR(__xludf.DUMMYFUNCTION("""COMPUTED_VALUE"""),2.0)</f>
        <v>2</v>
      </c>
      <c r="I292" s="8" t="str">
        <f>IFERROR(__xludf.DUMMYFUNCTION("""COMPUTED_VALUE"""),"General Petite")</f>
        <v>General Petite</v>
      </c>
      <c r="J292" s="8" t="str">
        <f>IFERROR(__xludf.DUMMYFUNCTION("""COMPUTED_VALUE"""),"Tops")</f>
        <v>Tops</v>
      </c>
      <c r="K292" s="8" t="str">
        <f>IFERROR(__xludf.DUMMYFUNCTION("""COMPUTED_VALUE"""),"Fine gauge")</f>
        <v>Fine gauge</v>
      </c>
    </row>
    <row r="293">
      <c r="A293" s="8">
        <f>IFERROR(__xludf.DUMMYFUNCTION("""COMPUTED_VALUE"""),374.0)</f>
        <v>374</v>
      </c>
      <c r="B293" s="8">
        <f>IFERROR(__xludf.DUMMYFUNCTION("""COMPUTED_VALUE"""),836.0)</f>
        <v>836</v>
      </c>
      <c r="C293" s="8">
        <f>IFERROR(__xludf.DUMMYFUNCTION("""COMPUTED_VALUE"""),44.0)</f>
        <v>44</v>
      </c>
      <c r="D293" s="8" t="str">
        <f>IFERROR(__xludf.DUMMYFUNCTION("""COMPUTED_VALUE"""),"Subdued sexy")</f>
        <v>Subdued sexy</v>
      </c>
      <c r="E293" s="8" t="str">
        <f>IFERROR(__xludf.DUMMYFUNCTION("""COMPUTED_VALUE"""),"Surprisingly flattering on, especially with pants/jeans. extremely figure flattering because it enhances the figure and hides flaws: the pleating enhances the bust, the v-cut provides a touch of a peekaboo (not enough to show cleavage but it's there in a "&amp;"super flattering way), the hem flares out a bit to hide the tummy and enhance the bust even more; the short sleeves are versatile so it can be worn in the office, under a jacket, or just plain for going out. the material is not too thick but not")</f>
        <v>Surprisingly flattering on, especially with pants/jeans. extremely figure flattering because it enhances the figure and hides flaws: the pleating enhances the bust, the v-cut provides a touch of a peekaboo (not enough to show cleavage but it's there in a super flattering way), the hem flares out a bit to hide the tummy and enhance the bust even more; the short sleeves are versatile so it can be worn in the office, under a jacket, or just plain for going out. the material is not too thick but not</v>
      </c>
      <c r="F293" s="8">
        <f>IFERROR(__xludf.DUMMYFUNCTION("""COMPUTED_VALUE"""),5.0)</f>
        <v>5</v>
      </c>
      <c r="G293" s="8">
        <f>IFERROR(__xludf.DUMMYFUNCTION("""COMPUTED_VALUE"""),1.0)</f>
        <v>1</v>
      </c>
      <c r="H293" s="8">
        <f>IFERROR(__xludf.DUMMYFUNCTION("""COMPUTED_VALUE"""),6.0)</f>
        <v>6</v>
      </c>
      <c r="I293" s="8" t="str">
        <f>IFERROR(__xludf.DUMMYFUNCTION("""COMPUTED_VALUE"""),"General")</f>
        <v>General</v>
      </c>
      <c r="J293" s="8" t="str">
        <f>IFERROR(__xludf.DUMMYFUNCTION("""COMPUTED_VALUE"""),"Tops")</f>
        <v>Tops</v>
      </c>
      <c r="K293" s="8" t="str">
        <f>IFERROR(__xludf.DUMMYFUNCTION("""COMPUTED_VALUE"""),"Blouses")</f>
        <v>Blouses</v>
      </c>
    </row>
    <row r="294">
      <c r="A294" s="8">
        <f>IFERROR(__xludf.DUMMYFUNCTION("""COMPUTED_VALUE"""),375.0)</f>
        <v>375</v>
      </c>
      <c r="B294" s="8">
        <f>IFERROR(__xludf.DUMMYFUNCTION("""COMPUTED_VALUE"""),859.0)</f>
        <v>859</v>
      </c>
      <c r="C294" s="8">
        <f>IFERROR(__xludf.DUMMYFUNCTION("""COMPUTED_VALUE"""),26.0)</f>
        <v>26</v>
      </c>
      <c r="D294" s="8" t="str">
        <f>IFERROR(__xludf.DUMMYFUNCTION("""COMPUTED_VALUE"""),"So sexy")</f>
        <v>So sexy</v>
      </c>
      <c r="E294" s="8" t="str">
        <f>IFERROR(__xludf.DUMMYFUNCTION("""COMPUTED_VALUE"""),"The top runs small, it is a very sexy and slimming top. i tried in l, it was too small so i have ordered it in xl. i hope it fits because it is very fitted and i am worried that the bottom will roll to the top with a fabric like this. but it is a very sex"&amp;"y, good looking, and slimming top. i love it!!")</f>
        <v>The top runs small, it is a very sexy and slimming top. i tried in l, it was too small so i have ordered it in xl. i hope it fits because it is very fitted and i am worried that the bottom will roll to the top with a fabric like this. but it is a very sexy, good looking, and slimming top. i love it!!</v>
      </c>
      <c r="F294" s="8">
        <f>IFERROR(__xludf.DUMMYFUNCTION("""COMPUTED_VALUE"""),4.0)</f>
        <v>4</v>
      </c>
      <c r="G294" s="8">
        <f>IFERROR(__xludf.DUMMYFUNCTION("""COMPUTED_VALUE"""),1.0)</f>
        <v>1</v>
      </c>
      <c r="H294" s="8">
        <f>IFERROR(__xludf.DUMMYFUNCTION("""COMPUTED_VALUE"""),0.0)</f>
        <v>0</v>
      </c>
      <c r="I294" s="8" t="str">
        <f>IFERROR(__xludf.DUMMYFUNCTION("""COMPUTED_VALUE"""),"General")</f>
        <v>General</v>
      </c>
      <c r="J294" s="8" t="str">
        <f>IFERROR(__xludf.DUMMYFUNCTION("""COMPUTED_VALUE"""),"Tops")</f>
        <v>Tops</v>
      </c>
      <c r="K294" s="8" t="str">
        <f>IFERROR(__xludf.DUMMYFUNCTION("""COMPUTED_VALUE"""),"Knits")</f>
        <v>Knits</v>
      </c>
    </row>
    <row r="295">
      <c r="A295" s="8">
        <f>IFERROR(__xludf.DUMMYFUNCTION("""COMPUTED_VALUE"""),377.0)</f>
        <v>377</v>
      </c>
      <c r="B295" s="8">
        <f>IFERROR(__xludf.DUMMYFUNCTION("""COMPUTED_VALUE"""),1049.0)</f>
        <v>1049</v>
      </c>
      <c r="C295" s="8">
        <f>IFERROR(__xludf.DUMMYFUNCTION("""COMPUTED_VALUE"""),48.0)</f>
        <v>48</v>
      </c>
      <c r="D295" s="8" t="str">
        <f>IFERROR(__xludf.DUMMYFUNCTION("""COMPUTED_VALUE"""),"One of my favorite pieces for night")</f>
        <v>One of my favorite pieces for night</v>
      </c>
      <c r="E295" s="8" t="str">
        <f>IFERROR(__xludf.DUMMYFUNCTION("""COMPUTED_VALUE"""),"An excellent going out to dinner, to a lounge, etc. piece. super flattering, sexy, feminine and trendy! can be dressed up or down with some nice accessories. i'm only 5 feet and very wary of jumpsuits, but this was excellent!")</f>
        <v>An excellent going out to dinner, to a lounge, etc. piece. super flattering, sexy, feminine and trendy! can be dressed up or down with some nice accessories. i'm only 5 feet and very wary of jumpsuits, but this was excellent!</v>
      </c>
      <c r="F295" s="8">
        <f>IFERROR(__xludf.DUMMYFUNCTION("""COMPUTED_VALUE"""),5.0)</f>
        <v>5</v>
      </c>
      <c r="G295" s="8">
        <f>IFERROR(__xludf.DUMMYFUNCTION("""COMPUTED_VALUE"""),1.0)</f>
        <v>1</v>
      </c>
      <c r="H295" s="8">
        <f>IFERROR(__xludf.DUMMYFUNCTION("""COMPUTED_VALUE"""),0.0)</f>
        <v>0</v>
      </c>
      <c r="I295" s="8" t="str">
        <f>IFERROR(__xludf.DUMMYFUNCTION("""COMPUTED_VALUE"""),"General")</f>
        <v>General</v>
      </c>
      <c r="J295" s="8" t="str">
        <f>IFERROR(__xludf.DUMMYFUNCTION("""COMPUTED_VALUE"""),"Bottoms")</f>
        <v>Bottoms</v>
      </c>
      <c r="K295" s="8" t="str">
        <f>IFERROR(__xludf.DUMMYFUNCTION("""COMPUTED_VALUE"""),"Pants")</f>
        <v>Pants</v>
      </c>
    </row>
    <row r="296">
      <c r="A296" s="8">
        <f>IFERROR(__xludf.DUMMYFUNCTION("""COMPUTED_VALUE"""),378.0)</f>
        <v>378</v>
      </c>
      <c r="B296" s="8">
        <f>IFERROR(__xludf.DUMMYFUNCTION("""COMPUTED_VALUE"""),862.0)</f>
        <v>862</v>
      </c>
      <c r="C296" s="8">
        <f>IFERROR(__xludf.DUMMYFUNCTION("""COMPUTED_VALUE"""),35.0)</f>
        <v>35</v>
      </c>
      <c r="D296" s="8"/>
      <c r="E296" s="8" t="str">
        <f>IFERROR(__xludf.DUMMYFUNCTION("""COMPUTED_VALUE"""),"I would've looked right over this online but i saw it in store and had to try on. the navy and the white were both cute but i tried the navy. i'm usually a m but went with the s b/c it looked better fitted. this shirt has a very vintage feel to it and is "&amp;"slinky and comfy. i can't wait to wear. would look great with white jeans!")</f>
        <v>I would've looked right over this online but i saw it in store and had to try on. the navy and the white were both cute but i tried the navy. i'm usually a m but went with the s b/c it looked better fitted. this shirt has a very vintage feel to it and is slinky and comfy. i can't wait to wear. would look great with white jeans!</v>
      </c>
      <c r="F296" s="8">
        <f>IFERROR(__xludf.DUMMYFUNCTION("""COMPUTED_VALUE"""),5.0)</f>
        <v>5</v>
      </c>
      <c r="G296" s="8">
        <f>IFERROR(__xludf.DUMMYFUNCTION("""COMPUTED_VALUE"""),1.0)</f>
        <v>1</v>
      </c>
      <c r="H296" s="8">
        <f>IFERROR(__xludf.DUMMYFUNCTION("""COMPUTED_VALUE"""),10.0)</f>
        <v>10</v>
      </c>
      <c r="I296" s="8" t="str">
        <f>IFERROR(__xludf.DUMMYFUNCTION("""COMPUTED_VALUE"""),"General")</f>
        <v>General</v>
      </c>
      <c r="J296" s="8" t="str">
        <f>IFERROR(__xludf.DUMMYFUNCTION("""COMPUTED_VALUE"""),"Tops")</f>
        <v>Tops</v>
      </c>
      <c r="K296" s="8" t="str">
        <f>IFERROR(__xludf.DUMMYFUNCTION("""COMPUTED_VALUE"""),"Knits")</f>
        <v>Knits</v>
      </c>
    </row>
    <row r="297">
      <c r="A297" s="8">
        <f>IFERROR(__xludf.DUMMYFUNCTION("""COMPUTED_VALUE"""),379.0)</f>
        <v>379</v>
      </c>
      <c r="B297" s="8">
        <f>IFERROR(__xludf.DUMMYFUNCTION("""COMPUTED_VALUE"""),1089.0)</f>
        <v>1089</v>
      </c>
      <c r="C297" s="8">
        <f>IFERROR(__xludf.DUMMYFUNCTION("""COMPUTED_VALUE"""),67.0)</f>
        <v>67</v>
      </c>
      <c r="D297" s="8" t="str">
        <f>IFERROR(__xludf.DUMMYFUNCTION("""COMPUTED_VALUE"""),"Elegant and eye-catching")</f>
        <v>Elegant and eye-catching</v>
      </c>
      <c r="E297" s="8" t="str">
        <f>IFERROR(__xludf.DUMMYFUNCTION("""COMPUTED_VALUE"""),"This elegant white lace dress attracted compliments everywhere i wore it. it is classic with just the right amount of quirkiness . i like everything about it!")</f>
        <v>This elegant white lace dress attracted compliments everywhere i wore it. it is classic with just the right amount of quirkiness . i like everything about it!</v>
      </c>
      <c r="F297" s="8">
        <f>IFERROR(__xludf.DUMMYFUNCTION("""COMPUTED_VALUE"""),5.0)</f>
        <v>5</v>
      </c>
      <c r="G297" s="8">
        <f>IFERROR(__xludf.DUMMYFUNCTION("""COMPUTED_VALUE"""),1.0)</f>
        <v>1</v>
      </c>
      <c r="H297" s="8">
        <f>IFERROR(__xludf.DUMMYFUNCTION("""COMPUTED_VALUE"""),0.0)</f>
        <v>0</v>
      </c>
      <c r="I297" s="8" t="str">
        <f>IFERROR(__xludf.DUMMYFUNCTION("""COMPUTED_VALUE"""),"General Petite")</f>
        <v>General Petite</v>
      </c>
      <c r="J297" s="8" t="str">
        <f>IFERROR(__xludf.DUMMYFUNCTION("""COMPUTED_VALUE"""),"Dresses")</f>
        <v>Dresses</v>
      </c>
      <c r="K297" s="8" t="str">
        <f>IFERROR(__xludf.DUMMYFUNCTION("""COMPUTED_VALUE"""),"Dresses")</f>
        <v>Dresses</v>
      </c>
    </row>
    <row r="298">
      <c r="A298" s="8">
        <f>IFERROR(__xludf.DUMMYFUNCTION("""COMPUTED_VALUE"""),380.0)</f>
        <v>380</v>
      </c>
      <c r="B298" s="8">
        <f>IFERROR(__xludf.DUMMYFUNCTION("""COMPUTED_VALUE"""),1089.0)</f>
        <v>1089</v>
      </c>
      <c r="C298" s="8">
        <f>IFERROR(__xludf.DUMMYFUNCTION("""COMPUTED_VALUE"""),24.0)</f>
        <v>24</v>
      </c>
      <c r="D298" s="8" t="str">
        <f>IFERROR(__xludf.DUMMYFUNCTION("""COMPUTED_VALUE"""),"Work-appropriate lace")</f>
        <v>Work-appropriate lace</v>
      </c>
      <c r="E298" s="8" t="str">
        <f>IFERROR(__xludf.DUMMYFUNCTION("""COMPUTED_VALUE"""),"I've been looking for the perfect work-appropriate lace dress (for a casual/creative work environment) for a while, and this was just the ticket! the pointed collar and demure shape add some structure to the feminine lace. i rolled the sleeves to a short-"&amp;"sleeve length just to tone done the cutesy factor a tiny bit more (although the sleeves, worn long, are absolutely gorgeous!). the lace isn't exactly the highest quality lace that retailer has ever used, but pretty nonetheless. i'm 5'5 /125 and th")</f>
        <v>I've been looking for the perfect work-appropriate lace dress (for a casual/creative work environment) for a while, and this was just the ticket! the pointed collar and demure shape add some structure to the feminine lace. i rolled the sleeves to a short-sleeve length just to tone done the cutesy factor a tiny bit more (although the sleeves, worn long, are absolutely gorgeous!). the lace isn't exactly the highest quality lace that retailer has ever used, but pretty nonetheless. i'm 5'5 /125 and th</v>
      </c>
      <c r="F298" s="8">
        <f>IFERROR(__xludf.DUMMYFUNCTION("""COMPUTED_VALUE"""),4.0)</f>
        <v>4</v>
      </c>
      <c r="G298" s="8">
        <f>IFERROR(__xludf.DUMMYFUNCTION("""COMPUTED_VALUE"""),1.0)</f>
        <v>1</v>
      </c>
      <c r="H298" s="8">
        <f>IFERROR(__xludf.DUMMYFUNCTION("""COMPUTED_VALUE"""),1.0)</f>
        <v>1</v>
      </c>
      <c r="I298" s="8" t="str">
        <f>IFERROR(__xludf.DUMMYFUNCTION("""COMPUTED_VALUE"""),"General Petite")</f>
        <v>General Petite</v>
      </c>
      <c r="J298" s="8" t="str">
        <f>IFERROR(__xludf.DUMMYFUNCTION("""COMPUTED_VALUE"""),"Dresses")</f>
        <v>Dresses</v>
      </c>
      <c r="K298" s="8" t="str">
        <f>IFERROR(__xludf.DUMMYFUNCTION("""COMPUTED_VALUE"""),"Dresses")</f>
        <v>Dresses</v>
      </c>
    </row>
    <row r="299">
      <c r="A299" s="8">
        <f>IFERROR(__xludf.DUMMYFUNCTION("""COMPUTED_VALUE"""),382.0)</f>
        <v>382</v>
      </c>
      <c r="B299" s="8">
        <f>IFERROR(__xludf.DUMMYFUNCTION("""COMPUTED_VALUE"""),127.0)</f>
        <v>127</v>
      </c>
      <c r="C299" s="8">
        <f>IFERROR(__xludf.DUMMYFUNCTION("""COMPUTED_VALUE"""),47.0)</f>
        <v>47</v>
      </c>
      <c r="D299" s="8" t="str">
        <f>IFERROR(__xludf.DUMMYFUNCTION("""COMPUTED_VALUE"""),"Soft and cozy")</f>
        <v>Soft and cozy</v>
      </c>
      <c r="E299" s="8" t="str">
        <f>IFERROR(__xludf.DUMMYFUNCTION("""COMPUTED_VALUE"""),"Comfy cozy and a bit on the big size, even for an oversized piece. order a size down, even if you want a boxier look. unsure how the fabric will hold up-but if it does it will be a great get.")</f>
        <v>Comfy cozy and a bit on the big size, even for an oversized piece. order a size down, even if you want a boxier look. unsure how the fabric will hold up-but if it does it will be a great get.</v>
      </c>
      <c r="F299" s="8">
        <f>IFERROR(__xludf.DUMMYFUNCTION("""COMPUTED_VALUE"""),4.0)</f>
        <v>4</v>
      </c>
      <c r="G299" s="8">
        <f>IFERROR(__xludf.DUMMYFUNCTION("""COMPUTED_VALUE"""),1.0)</f>
        <v>1</v>
      </c>
      <c r="H299" s="8">
        <f>IFERROR(__xludf.DUMMYFUNCTION("""COMPUTED_VALUE"""),0.0)</f>
        <v>0</v>
      </c>
      <c r="I299" s="8" t="str">
        <f>IFERROR(__xludf.DUMMYFUNCTION("""COMPUTED_VALUE"""),"General Petite")</f>
        <v>General Petite</v>
      </c>
      <c r="J299" s="8" t="str">
        <f>IFERROR(__xludf.DUMMYFUNCTION("""COMPUTED_VALUE"""),"Intimate")</f>
        <v>Intimate</v>
      </c>
      <c r="K299" s="8" t="str">
        <f>IFERROR(__xludf.DUMMYFUNCTION("""COMPUTED_VALUE"""),"Lounge")</f>
        <v>Lounge</v>
      </c>
    </row>
    <row r="300">
      <c r="A300" s="8">
        <f>IFERROR(__xludf.DUMMYFUNCTION("""COMPUTED_VALUE"""),384.0)</f>
        <v>384</v>
      </c>
      <c r="B300" s="8">
        <f>IFERROR(__xludf.DUMMYFUNCTION("""COMPUTED_VALUE"""),936.0)</f>
        <v>936</v>
      </c>
      <c r="C300" s="8">
        <f>IFERROR(__xludf.DUMMYFUNCTION("""COMPUTED_VALUE"""),29.0)</f>
        <v>29</v>
      </c>
      <c r="D300" s="8" t="str">
        <f>IFERROR(__xludf.DUMMYFUNCTION("""COMPUTED_VALUE"""),"Terrific sweater with great detail; runs large")</f>
        <v>Terrific sweater with great detail; runs large</v>
      </c>
      <c r="E300" s="8" t="str">
        <f>IFERROR(__xludf.DUMMYFUNCTION("""COMPUTED_VALUE"""),"I ordered the sweater in a medium but it was too large - so reordered it in the small and it fits perfectly. love the length- it hits mid hip. it is more of an a-line than straight as show in the picture. the detail is fun and the sweater is well made. hi"&amp;"ghly recommend it- i have received lots of compliments on this sweater.")</f>
        <v>I ordered the sweater in a medium but it was too large - so reordered it in the small and it fits perfectly. love the length- it hits mid hip. it is more of an a-line than straight as show in the picture. the detail is fun and the sweater is well made. highly recommend it- i have received lots of compliments on this sweater.</v>
      </c>
      <c r="F300" s="8">
        <f>IFERROR(__xludf.DUMMYFUNCTION("""COMPUTED_VALUE"""),5.0)</f>
        <v>5</v>
      </c>
      <c r="G300" s="8">
        <f>IFERROR(__xludf.DUMMYFUNCTION("""COMPUTED_VALUE"""),1.0)</f>
        <v>1</v>
      </c>
      <c r="H300" s="8">
        <f>IFERROR(__xludf.DUMMYFUNCTION("""COMPUTED_VALUE"""),0.0)</f>
        <v>0</v>
      </c>
      <c r="I300" s="8" t="str">
        <f>IFERROR(__xludf.DUMMYFUNCTION("""COMPUTED_VALUE"""),"General")</f>
        <v>General</v>
      </c>
      <c r="J300" s="8" t="str">
        <f>IFERROR(__xludf.DUMMYFUNCTION("""COMPUTED_VALUE"""),"Tops")</f>
        <v>Tops</v>
      </c>
      <c r="K300" s="8" t="str">
        <f>IFERROR(__xludf.DUMMYFUNCTION("""COMPUTED_VALUE"""),"Sweaters")</f>
        <v>Sweaters</v>
      </c>
    </row>
    <row r="301">
      <c r="A301" s="8">
        <f>IFERROR(__xludf.DUMMYFUNCTION("""COMPUTED_VALUE"""),385.0)</f>
        <v>385</v>
      </c>
      <c r="B301" s="8">
        <f>IFERROR(__xludf.DUMMYFUNCTION("""COMPUTED_VALUE"""),902.0)</f>
        <v>902</v>
      </c>
      <c r="C301" s="8">
        <f>IFERROR(__xludf.DUMMYFUNCTION("""COMPUTED_VALUE"""),54.0)</f>
        <v>54</v>
      </c>
      <c r="D301" s="8" t="str">
        <f>IFERROR(__xludf.DUMMYFUNCTION("""COMPUTED_VALUE"""),"Pretty/different style")</f>
        <v>Pretty/different style</v>
      </c>
      <c r="E301" s="8" t="str">
        <f>IFERROR(__xludf.DUMMYFUNCTION("""COMPUTED_VALUE"""),"I love this top, it's design is very pretty and like nothing that i have. i think this top runs true to size, i'm usually an xs/s in tops and i went with the s for this one and it fits great. i will say that the top layer of material will snag very easily"&amp;", so while wearing it you have to be very careful!!")</f>
        <v>I love this top, it's design is very pretty and like nothing that i have. i think this top runs true to size, i'm usually an xs/s in tops and i went with the s for this one and it fits great. i will say that the top layer of material will snag very easily, so while wearing it you have to be very careful!!</v>
      </c>
      <c r="F301" s="8">
        <f>IFERROR(__xludf.DUMMYFUNCTION("""COMPUTED_VALUE"""),4.0)</f>
        <v>4</v>
      </c>
      <c r="G301" s="8">
        <f>IFERROR(__xludf.DUMMYFUNCTION("""COMPUTED_VALUE"""),1.0)</f>
        <v>1</v>
      </c>
      <c r="H301" s="8">
        <f>IFERROR(__xludf.DUMMYFUNCTION("""COMPUTED_VALUE"""),3.0)</f>
        <v>3</v>
      </c>
      <c r="I301" s="8" t="str">
        <f>IFERROR(__xludf.DUMMYFUNCTION("""COMPUTED_VALUE"""),"General")</f>
        <v>General</v>
      </c>
      <c r="J301" s="8" t="str">
        <f>IFERROR(__xludf.DUMMYFUNCTION("""COMPUTED_VALUE"""),"Tops")</f>
        <v>Tops</v>
      </c>
      <c r="K301" s="8" t="str">
        <f>IFERROR(__xludf.DUMMYFUNCTION("""COMPUTED_VALUE"""),"Fine gauge")</f>
        <v>Fine gauge</v>
      </c>
    </row>
    <row r="302">
      <c r="A302" s="8">
        <f>IFERROR(__xludf.DUMMYFUNCTION("""COMPUTED_VALUE"""),387.0)</f>
        <v>387</v>
      </c>
      <c r="B302" s="8">
        <f>IFERROR(__xludf.DUMMYFUNCTION("""COMPUTED_VALUE"""),936.0)</f>
        <v>936</v>
      </c>
      <c r="C302" s="8">
        <f>IFERROR(__xludf.DUMMYFUNCTION("""COMPUTED_VALUE"""),62.0)</f>
        <v>62</v>
      </c>
      <c r="D302" s="8" t="str">
        <f>IFERROR(__xludf.DUMMYFUNCTION("""COMPUTED_VALUE"""),"Beautiful!")</f>
        <v>Beautiful!</v>
      </c>
      <c r="E302" s="8" t="str">
        <f>IFERROR(__xludf.DUMMYFUNCTION("""COMPUTED_VALUE"""),"This sweater is of nice quality and has such great detail to it - love the pattern to the knit and the ribbon detail is unique and beautiful. the knit itself is of mid to thicker weight, so definitely appropriate for winter, fall, and cooler spring days. "&amp;"i bought my normal size small and felt like it had more of a slub fit than pictured in the model shot - it was wider down the torso and a little shorter (not tunic length like picture). i'm 5'7"" with a longer torso and this hit maybe mid-bum and")</f>
        <v>This sweater is of nice quality and has such great detail to it - love the pattern to the knit and the ribbon detail is unique and beautiful. the knit itself is of mid to thicker weight, so definitely appropriate for winter, fall, and cooler spring days. i bought my normal size small and felt like it had more of a slub fit than pictured in the model shot - it was wider down the torso and a little shorter (not tunic length like picture). i'm 5'7" with a longer torso and this hit maybe mid-bum and</v>
      </c>
      <c r="F302" s="8">
        <f>IFERROR(__xludf.DUMMYFUNCTION("""COMPUTED_VALUE"""),5.0)</f>
        <v>5</v>
      </c>
      <c r="G302" s="8">
        <f>IFERROR(__xludf.DUMMYFUNCTION("""COMPUTED_VALUE"""),1.0)</f>
        <v>1</v>
      </c>
      <c r="H302" s="8">
        <f>IFERROR(__xludf.DUMMYFUNCTION("""COMPUTED_VALUE"""),9.0)</f>
        <v>9</v>
      </c>
      <c r="I302" s="8" t="str">
        <f>IFERROR(__xludf.DUMMYFUNCTION("""COMPUTED_VALUE"""),"General")</f>
        <v>General</v>
      </c>
      <c r="J302" s="8" t="str">
        <f>IFERROR(__xludf.DUMMYFUNCTION("""COMPUTED_VALUE"""),"Tops")</f>
        <v>Tops</v>
      </c>
      <c r="K302" s="8" t="str">
        <f>IFERROR(__xludf.DUMMYFUNCTION("""COMPUTED_VALUE"""),"Sweaters")</f>
        <v>Sweaters</v>
      </c>
    </row>
    <row r="303">
      <c r="A303" s="8">
        <f>IFERROR(__xludf.DUMMYFUNCTION("""COMPUTED_VALUE"""),388.0)</f>
        <v>388</v>
      </c>
      <c r="B303" s="8">
        <f>IFERROR(__xludf.DUMMYFUNCTION("""COMPUTED_VALUE"""),127.0)</f>
        <v>127</v>
      </c>
      <c r="C303" s="8">
        <f>IFERROR(__xludf.DUMMYFUNCTION("""COMPUTED_VALUE"""),29.0)</f>
        <v>29</v>
      </c>
      <c r="D303" s="8" t="str">
        <f>IFERROR(__xludf.DUMMYFUNCTION("""COMPUTED_VALUE"""),"Great with leggings!")</f>
        <v>Great with leggings!</v>
      </c>
      <c r="E303" s="8" t="str">
        <f>IFERROR(__xludf.DUMMYFUNCTION("""COMPUTED_VALUE"""),"I really like the appearance of this item, and it looks pleasing with many different styles of leggings. it does run a little large. i am a ""true to size"" small, and this hangs on me a little, but i love the design of the back. it is so soft and comfort"&amp;"able!")</f>
        <v>I really like the appearance of this item, and it looks pleasing with many different styles of leggings. it does run a little large. i am a "true to size" small, and this hangs on me a little, but i love the design of the back. it is so soft and comfortable!</v>
      </c>
      <c r="F303" s="8">
        <f>IFERROR(__xludf.DUMMYFUNCTION("""COMPUTED_VALUE"""),4.0)</f>
        <v>4</v>
      </c>
      <c r="G303" s="8">
        <f>IFERROR(__xludf.DUMMYFUNCTION("""COMPUTED_VALUE"""),1.0)</f>
        <v>1</v>
      </c>
      <c r="H303" s="8">
        <f>IFERROR(__xludf.DUMMYFUNCTION("""COMPUTED_VALUE"""),0.0)</f>
        <v>0</v>
      </c>
      <c r="I303" s="8" t="str">
        <f>IFERROR(__xludf.DUMMYFUNCTION("""COMPUTED_VALUE"""),"General Petite")</f>
        <v>General Petite</v>
      </c>
      <c r="J303" s="8" t="str">
        <f>IFERROR(__xludf.DUMMYFUNCTION("""COMPUTED_VALUE"""),"Intimate")</f>
        <v>Intimate</v>
      </c>
      <c r="K303" s="8" t="str">
        <f>IFERROR(__xludf.DUMMYFUNCTION("""COMPUTED_VALUE"""),"Lounge")</f>
        <v>Lounge</v>
      </c>
    </row>
    <row r="304">
      <c r="A304" s="8">
        <f>IFERROR(__xludf.DUMMYFUNCTION("""COMPUTED_VALUE"""),390.0)</f>
        <v>390</v>
      </c>
      <c r="B304" s="8">
        <f>IFERROR(__xludf.DUMMYFUNCTION("""COMPUTED_VALUE"""),1086.0)</f>
        <v>1086</v>
      </c>
      <c r="C304" s="8">
        <f>IFERROR(__xludf.DUMMYFUNCTION("""COMPUTED_VALUE"""),25.0)</f>
        <v>25</v>
      </c>
      <c r="D304" s="8" t="str">
        <f>IFERROR(__xludf.DUMMYFUNCTION("""COMPUTED_VALUE"""),"Flattering and fun!")</f>
        <v>Flattering and fun!</v>
      </c>
      <c r="E304" s="8" t="str">
        <f>IFERROR(__xludf.DUMMYFUNCTION("""COMPUTED_VALUE"""),"Ordered this dress online, and i love it! i was looking for an understated but fun new years dress and this was exactly what i was looking for. the only minor qualm i had about the dress was that the velvet dots that hit where the seams met made the dress"&amp;" look puffier than it should some parts around the waist, but for the most part, the dress fit very well and was very flattering, may just need a little bit of ironing. i am 5'9 and usually am more conscious of how things fit around my hips, and")</f>
        <v>Ordered this dress online, and i love it! i was looking for an understated but fun new years dress and this was exactly what i was looking for. the only minor qualm i had about the dress was that the velvet dots that hit where the seams met made the dress look puffier than it should some parts around the waist, but for the most part, the dress fit very well and was very flattering, may just need a little bit of ironing. i am 5'9 and usually am more conscious of how things fit around my hips, and</v>
      </c>
      <c r="F304" s="8">
        <f>IFERROR(__xludf.DUMMYFUNCTION("""COMPUTED_VALUE"""),4.0)</f>
        <v>4</v>
      </c>
      <c r="G304" s="8">
        <f>IFERROR(__xludf.DUMMYFUNCTION("""COMPUTED_VALUE"""),1.0)</f>
        <v>1</v>
      </c>
      <c r="H304" s="8">
        <f>IFERROR(__xludf.DUMMYFUNCTION("""COMPUTED_VALUE"""),9.0)</f>
        <v>9</v>
      </c>
      <c r="I304" s="8" t="str">
        <f>IFERROR(__xludf.DUMMYFUNCTION("""COMPUTED_VALUE"""),"General")</f>
        <v>General</v>
      </c>
      <c r="J304" s="8" t="str">
        <f>IFERROR(__xludf.DUMMYFUNCTION("""COMPUTED_VALUE"""),"Dresses")</f>
        <v>Dresses</v>
      </c>
      <c r="K304" s="8" t="str">
        <f>IFERROR(__xludf.DUMMYFUNCTION("""COMPUTED_VALUE"""),"Dresses")</f>
        <v>Dresses</v>
      </c>
    </row>
    <row r="305">
      <c r="A305" s="8">
        <f>IFERROR(__xludf.DUMMYFUNCTION("""COMPUTED_VALUE"""),391.0)</f>
        <v>391</v>
      </c>
      <c r="B305" s="8">
        <f>IFERROR(__xludf.DUMMYFUNCTION("""COMPUTED_VALUE"""),936.0)</f>
        <v>936</v>
      </c>
      <c r="C305" s="8">
        <f>IFERROR(__xludf.DUMMYFUNCTION("""COMPUTED_VALUE"""),33.0)</f>
        <v>33</v>
      </c>
      <c r="D305" s="8" t="str">
        <f>IFERROR(__xludf.DUMMYFUNCTION("""COMPUTED_VALUE"""),"Love love love!")</f>
        <v>Love love love!</v>
      </c>
      <c r="E305" s="8" t="str">
        <f>IFERROR(__xludf.DUMMYFUNCTION("""COMPUTED_VALUE"""),"I saw this online but it never struck me as something i would wear. however, after seeing it in the store it really caught my eye with its detailing, so i tried it on. what a great decision because it is so much more beautiful in person, and very soft and"&amp;" warm. it's a perfect winter sweater to start the new year. i am 5'-7"", 138 lbs. and the medium fit perfectly, though it's a little shorter on me than shown in the photos.")</f>
        <v>I saw this online but it never struck me as something i would wear. however, after seeing it in the store it really caught my eye with its detailing, so i tried it on. what a great decision because it is so much more beautiful in person, and very soft and warm. it's a perfect winter sweater to start the new year. i am 5'-7", 138 lbs. and the medium fit perfectly, though it's a little shorter on me than shown in the photos.</v>
      </c>
      <c r="F305" s="8">
        <f>IFERROR(__xludf.DUMMYFUNCTION("""COMPUTED_VALUE"""),5.0)</f>
        <v>5</v>
      </c>
      <c r="G305" s="8">
        <f>IFERROR(__xludf.DUMMYFUNCTION("""COMPUTED_VALUE"""),1.0)</f>
        <v>1</v>
      </c>
      <c r="H305" s="8">
        <f>IFERROR(__xludf.DUMMYFUNCTION("""COMPUTED_VALUE"""),1.0)</f>
        <v>1</v>
      </c>
      <c r="I305" s="8" t="str">
        <f>IFERROR(__xludf.DUMMYFUNCTION("""COMPUTED_VALUE"""),"General")</f>
        <v>General</v>
      </c>
      <c r="J305" s="8" t="str">
        <f>IFERROR(__xludf.DUMMYFUNCTION("""COMPUTED_VALUE"""),"Tops")</f>
        <v>Tops</v>
      </c>
      <c r="K305" s="8" t="str">
        <f>IFERROR(__xludf.DUMMYFUNCTION("""COMPUTED_VALUE"""),"Sweaters")</f>
        <v>Sweaters</v>
      </c>
    </row>
    <row r="306">
      <c r="A306" s="8">
        <f>IFERROR(__xludf.DUMMYFUNCTION("""COMPUTED_VALUE"""),393.0)</f>
        <v>393</v>
      </c>
      <c r="B306" s="8">
        <f>IFERROR(__xludf.DUMMYFUNCTION("""COMPUTED_VALUE"""),1081.0)</f>
        <v>1081</v>
      </c>
      <c r="C306" s="8">
        <f>IFERROR(__xludf.DUMMYFUNCTION("""COMPUTED_VALUE"""),53.0)</f>
        <v>53</v>
      </c>
      <c r="D306" s="8" t="str">
        <f>IFERROR(__xludf.DUMMYFUNCTION("""COMPUTED_VALUE"""),"Lovely dress, small top, different color")</f>
        <v>Lovely dress, small top, different color</v>
      </c>
      <c r="E306" s="8" t="str">
        <f>IFERROR(__xludf.DUMMYFUNCTION("""COMPUTED_VALUE"""),"Like the reviewers before me, this dress runs small in the rib cage. i normally take a 12 and am a 32b. the max size that this dress comes in is a 12 so i could only order a 12. it just fit but that is because i am a smaller 12 on the top. there is no wig"&amp;"gle room in the dress. 
that being said, it is a really cute style and shape - rather like a 50's style dress if you will with a sexy back. i am curvy on the bottom and this dress hides the flaws there for sure. however, because it is a fulle")</f>
        <v>Like the reviewers before me, this dress runs small in the rib cage. i normally take a 12 and am a 32b. the max size that this dress comes in is a 12 so i could only order a 12. it just fit but that is because i am a smaller 12 on the top. there is no wiggle room in the dress. 
that being said, it is a really cute style and shape - rather like a 50's style dress if you will with a sexy back. i am curvy on the bottom and this dress hides the flaws there for sure. however, because it is a fulle</v>
      </c>
      <c r="F306" s="8">
        <f>IFERROR(__xludf.DUMMYFUNCTION("""COMPUTED_VALUE"""),4.0)</f>
        <v>4</v>
      </c>
      <c r="G306" s="8">
        <f>IFERROR(__xludf.DUMMYFUNCTION("""COMPUTED_VALUE"""),1.0)</f>
        <v>1</v>
      </c>
      <c r="H306" s="8">
        <f>IFERROR(__xludf.DUMMYFUNCTION("""COMPUTED_VALUE"""),3.0)</f>
        <v>3</v>
      </c>
      <c r="I306" s="8" t="str">
        <f>IFERROR(__xludf.DUMMYFUNCTION("""COMPUTED_VALUE"""),"General Petite")</f>
        <v>General Petite</v>
      </c>
      <c r="J306" s="8" t="str">
        <f>IFERROR(__xludf.DUMMYFUNCTION("""COMPUTED_VALUE"""),"Dresses")</f>
        <v>Dresses</v>
      </c>
      <c r="K306" s="8" t="str">
        <f>IFERROR(__xludf.DUMMYFUNCTION("""COMPUTED_VALUE"""),"Dresses")</f>
        <v>Dresses</v>
      </c>
    </row>
    <row r="307">
      <c r="A307" s="8">
        <f>IFERROR(__xludf.DUMMYFUNCTION("""COMPUTED_VALUE"""),397.0)</f>
        <v>397</v>
      </c>
      <c r="B307" s="8">
        <f>IFERROR(__xludf.DUMMYFUNCTION("""COMPUTED_VALUE"""),1035.0)</f>
        <v>1035</v>
      </c>
      <c r="C307" s="8">
        <f>IFERROR(__xludf.DUMMYFUNCTION("""COMPUTED_VALUE"""),32.0)</f>
        <v>32</v>
      </c>
      <c r="D307" s="8" t="str">
        <f>IFERROR(__xludf.DUMMYFUNCTION("""COMPUTED_VALUE"""),"Loving these jeans!")</f>
        <v>Loving these jeans!</v>
      </c>
      <c r="E307" s="8" t="str">
        <f>IFERROR(__xludf.DUMMYFUNCTION("""COMPUTED_VALUE"""),"Great fit! no bagging and sagging and they fit true to size. very cute! for reference, i&amp;#39;m 5&amp;#39;2, 115 lbs and take a 26p. they look just like they do on the model. i highly recommend!")</f>
        <v>Great fit! no bagging and sagging and they fit true to size. very cute! for reference, i&amp;#39;m 5&amp;#39;2, 115 lbs and take a 26p. they look just like they do on the model. i highly recommend!</v>
      </c>
      <c r="F307" s="8">
        <f>IFERROR(__xludf.DUMMYFUNCTION("""COMPUTED_VALUE"""),5.0)</f>
        <v>5</v>
      </c>
      <c r="G307" s="8">
        <f>IFERROR(__xludf.DUMMYFUNCTION("""COMPUTED_VALUE"""),1.0)</f>
        <v>1</v>
      </c>
      <c r="H307" s="8">
        <f>IFERROR(__xludf.DUMMYFUNCTION("""COMPUTED_VALUE"""),0.0)</f>
        <v>0</v>
      </c>
      <c r="I307" s="8" t="str">
        <f>IFERROR(__xludf.DUMMYFUNCTION("""COMPUTED_VALUE"""),"General")</f>
        <v>General</v>
      </c>
      <c r="J307" s="8" t="str">
        <f>IFERROR(__xludf.DUMMYFUNCTION("""COMPUTED_VALUE"""),"Bottoms")</f>
        <v>Bottoms</v>
      </c>
      <c r="K307" s="8" t="str">
        <f>IFERROR(__xludf.DUMMYFUNCTION("""COMPUTED_VALUE"""),"Jeans")</f>
        <v>Jeans</v>
      </c>
    </row>
    <row r="308">
      <c r="A308" s="8">
        <f>IFERROR(__xludf.DUMMYFUNCTION("""COMPUTED_VALUE"""),398.0)</f>
        <v>398</v>
      </c>
      <c r="B308" s="8">
        <f>IFERROR(__xludf.DUMMYFUNCTION("""COMPUTED_VALUE"""),902.0)</f>
        <v>902</v>
      </c>
      <c r="C308" s="8">
        <f>IFERROR(__xludf.DUMMYFUNCTION("""COMPUTED_VALUE"""),38.0)</f>
        <v>38</v>
      </c>
      <c r="D308" s="8" t="str">
        <f>IFERROR(__xludf.DUMMYFUNCTION("""COMPUTED_VALUE"""),"Lovely but runs big")</f>
        <v>Lovely but runs big</v>
      </c>
      <c r="E308" s="8" t="str">
        <f>IFERROR(__xludf.DUMMYFUNCTION("""COMPUTED_VALUE"""),"Just tried 'layered sadie top' and it felt so nice on. good hand feel for both materials but note that the knit on top is a little too delicate for machine wash but can be hand washed. this item is definitely ""vanity-sized"". i'm 5'1, 113lbs and the xs l"&amp;"ooked nothing like how it does on the model. it was flowy as depicted but it came down much lower on me and looked a little maternity-esque. highly recommend because it's gorgeous and well made but i would definitely come in and try it out for you")</f>
        <v>Just tried 'layered sadie top' and it felt so nice on. good hand feel for both materials but note that the knit on top is a little too delicate for machine wash but can be hand washed. this item is definitely "vanity-sized". i'm 5'1, 113lbs and the xs looked nothing like how it does on the model. it was flowy as depicted but it came down much lower on me and looked a little maternity-esque. highly recommend because it's gorgeous and well made but i would definitely come in and try it out for you</v>
      </c>
      <c r="F308" s="8">
        <f>IFERROR(__xludf.DUMMYFUNCTION("""COMPUTED_VALUE"""),4.0)</f>
        <v>4</v>
      </c>
      <c r="G308" s="8">
        <f>IFERROR(__xludf.DUMMYFUNCTION("""COMPUTED_VALUE"""),1.0)</f>
        <v>1</v>
      </c>
      <c r="H308" s="8">
        <f>IFERROR(__xludf.DUMMYFUNCTION("""COMPUTED_VALUE"""),6.0)</f>
        <v>6</v>
      </c>
      <c r="I308" s="8" t="str">
        <f>IFERROR(__xludf.DUMMYFUNCTION("""COMPUTED_VALUE"""),"General")</f>
        <v>General</v>
      </c>
      <c r="J308" s="8" t="str">
        <f>IFERROR(__xludf.DUMMYFUNCTION("""COMPUTED_VALUE"""),"Tops")</f>
        <v>Tops</v>
      </c>
      <c r="K308" s="8" t="str">
        <f>IFERROR(__xludf.DUMMYFUNCTION("""COMPUTED_VALUE"""),"Fine gauge")</f>
        <v>Fine gauge</v>
      </c>
    </row>
    <row r="309">
      <c r="A309" s="8">
        <f>IFERROR(__xludf.DUMMYFUNCTION("""COMPUTED_VALUE"""),399.0)</f>
        <v>399</v>
      </c>
      <c r="B309" s="8">
        <f>IFERROR(__xludf.DUMMYFUNCTION("""COMPUTED_VALUE"""),995.0)</f>
        <v>995</v>
      </c>
      <c r="C309" s="8">
        <f>IFERROR(__xludf.DUMMYFUNCTION("""COMPUTED_VALUE"""),62.0)</f>
        <v>62</v>
      </c>
      <c r="D309" s="8" t="str">
        <f>IFERROR(__xludf.DUMMYFUNCTION("""COMPUTED_VALUE"""),"Possibly the cutest skirt ever!")</f>
        <v>Possibly the cutest skirt ever!</v>
      </c>
      <c r="E309" s="8" t="str">
        <f>IFERROR(__xludf.DUMMYFUNCTION("""COMPUTED_VALUE"""),"The length is perfect. the cut of the hemline makes it off the charts cute. i love it w ghillie type flats or booties. pair w a big warm sweater, or a sleek turtleneck, and watch heads turn as you enter the room! i promise! love this skirt.")</f>
        <v>The length is perfect. the cut of the hemline makes it off the charts cute. i love it w ghillie type flats or booties. pair w a big warm sweater, or a sleek turtleneck, and watch heads turn as you enter the room! i promise! love this skirt.</v>
      </c>
      <c r="F309" s="8">
        <f>IFERROR(__xludf.DUMMYFUNCTION("""COMPUTED_VALUE"""),5.0)</f>
        <v>5</v>
      </c>
      <c r="G309" s="8">
        <f>IFERROR(__xludf.DUMMYFUNCTION("""COMPUTED_VALUE"""),1.0)</f>
        <v>1</v>
      </c>
      <c r="H309" s="8">
        <f>IFERROR(__xludf.DUMMYFUNCTION("""COMPUTED_VALUE"""),11.0)</f>
        <v>11</v>
      </c>
      <c r="I309" s="8" t="str">
        <f>IFERROR(__xludf.DUMMYFUNCTION("""COMPUTED_VALUE"""),"General")</f>
        <v>General</v>
      </c>
      <c r="J309" s="8" t="str">
        <f>IFERROR(__xludf.DUMMYFUNCTION("""COMPUTED_VALUE"""),"Bottoms")</f>
        <v>Bottoms</v>
      </c>
      <c r="K309" s="8" t="str">
        <f>IFERROR(__xludf.DUMMYFUNCTION("""COMPUTED_VALUE"""),"Skirts")</f>
        <v>Skirts</v>
      </c>
    </row>
    <row r="310">
      <c r="A310" s="8">
        <f>IFERROR(__xludf.DUMMYFUNCTION("""COMPUTED_VALUE"""),400.0)</f>
        <v>400</v>
      </c>
      <c r="B310" s="8">
        <f>IFERROR(__xludf.DUMMYFUNCTION("""COMPUTED_VALUE"""),1104.0)</f>
        <v>1104</v>
      </c>
      <c r="C310" s="8">
        <f>IFERROR(__xludf.DUMMYFUNCTION("""COMPUTED_VALUE"""),35.0)</f>
        <v>35</v>
      </c>
      <c r="D310" s="8"/>
      <c r="E310" s="8"/>
      <c r="F310" s="8">
        <f>IFERROR(__xludf.DUMMYFUNCTION("""COMPUTED_VALUE"""),5.0)</f>
        <v>5</v>
      </c>
      <c r="G310" s="8">
        <f>IFERROR(__xludf.DUMMYFUNCTION("""COMPUTED_VALUE"""),1.0)</f>
        <v>1</v>
      </c>
      <c r="H310" s="8">
        <f>IFERROR(__xludf.DUMMYFUNCTION("""COMPUTED_VALUE"""),0.0)</f>
        <v>0</v>
      </c>
      <c r="I310" s="8" t="str">
        <f>IFERROR(__xludf.DUMMYFUNCTION("""COMPUTED_VALUE"""),"General")</f>
        <v>General</v>
      </c>
      <c r="J310" s="8" t="str">
        <f>IFERROR(__xludf.DUMMYFUNCTION("""COMPUTED_VALUE"""),"Dresses")</f>
        <v>Dresses</v>
      </c>
      <c r="K310" s="8" t="str">
        <f>IFERROR(__xludf.DUMMYFUNCTION("""COMPUTED_VALUE"""),"Dresses")</f>
        <v>Dresses</v>
      </c>
    </row>
    <row r="311">
      <c r="A311" s="8">
        <f>IFERROR(__xludf.DUMMYFUNCTION("""COMPUTED_VALUE"""),401.0)</f>
        <v>401</v>
      </c>
      <c r="B311" s="8">
        <f>IFERROR(__xludf.DUMMYFUNCTION("""COMPUTED_VALUE"""),1089.0)</f>
        <v>1089</v>
      </c>
      <c r="C311" s="8">
        <f>IFERROR(__xludf.DUMMYFUNCTION("""COMPUTED_VALUE"""),34.0)</f>
        <v>34</v>
      </c>
      <c r="D311" s="8" t="str">
        <f>IFERROR(__xludf.DUMMYFUNCTION("""COMPUTED_VALUE"""),"Classic")</f>
        <v>Classic</v>
      </c>
      <c r="E311" s="8" t="str">
        <f>IFERROR(__xludf.DUMMYFUNCTION("""COMPUTED_VALUE"""),"This dress is beautifully constructed. it is very fitted and does run on the small side. it will be a perfect derby dress. the lace is lovely and the pearl buttons are great touch. age appropriate for anyone..a very 
pretty dress. simple, classic and gorg"&amp;"eous!")</f>
        <v>This dress is beautifully constructed. it is very fitted and does run on the small side. it will be a perfect derby dress. the lace is lovely and the pearl buttons are great touch. age appropriate for anyone..a very 
pretty dress. simple, classic and gorgeous!</v>
      </c>
      <c r="F311" s="8">
        <f>IFERROR(__xludf.DUMMYFUNCTION("""COMPUTED_VALUE"""),5.0)</f>
        <v>5</v>
      </c>
      <c r="G311" s="8">
        <f>IFERROR(__xludf.DUMMYFUNCTION("""COMPUTED_VALUE"""),1.0)</f>
        <v>1</v>
      </c>
      <c r="H311" s="8">
        <f>IFERROR(__xludf.DUMMYFUNCTION("""COMPUTED_VALUE"""),0.0)</f>
        <v>0</v>
      </c>
      <c r="I311" s="8" t="str">
        <f>IFERROR(__xludf.DUMMYFUNCTION("""COMPUTED_VALUE"""),"General Petite")</f>
        <v>General Petite</v>
      </c>
      <c r="J311" s="8" t="str">
        <f>IFERROR(__xludf.DUMMYFUNCTION("""COMPUTED_VALUE"""),"Dresses")</f>
        <v>Dresses</v>
      </c>
      <c r="K311" s="8" t="str">
        <f>IFERROR(__xludf.DUMMYFUNCTION("""COMPUTED_VALUE"""),"Dresses")</f>
        <v>Dresses</v>
      </c>
    </row>
    <row r="312">
      <c r="A312" s="8">
        <f>IFERROR(__xludf.DUMMYFUNCTION("""COMPUTED_VALUE"""),404.0)</f>
        <v>404</v>
      </c>
      <c r="B312" s="8">
        <f>IFERROR(__xludf.DUMMYFUNCTION("""COMPUTED_VALUE"""),902.0)</f>
        <v>902</v>
      </c>
      <c r="C312" s="8">
        <f>IFERROR(__xludf.DUMMYFUNCTION("""COMPUTED_VALUE"""),58.0)</f>
        <v>58</v>
      </c>
      <c r="D312" s="8" t="str">
        <f>IFERROR(__xludf.DUMMYFUNCTION("""COMPUTED_VALUE"""),"Sweet little top")</f>
        <v>Sweet little top</v>
      </c>
      <c r="E312" s="8" t="str">
        <f>IFERROR(__xludf.DUMMYFUNCTION("""COMPUTED_VALUE"""),"The color is a very soft peach, and the knit top over the gauze is a very light, summer-weight knit. i can see this being worn casual, or dressed up with a statement necklace and nice skirt / pants.")</f>
        <v>The color is a very soft peach, and the knit top over the gauze is a very light, summer-weight knit. i can see this being worn casual, or dressed up with a statement necklace and nice skirt / pants.</v>
      </c>
      <c r="F312" s="8">
        <f>IFERROR(__xludf.DUMMYFUNCTION("""COMPUTED_VALUE"""),5.0)</f>
        <v>5</v>
      </c>
      <c r="G312" s="8">
        <f>IFERROR(__xludf.DUMMYFUNCTION("""COMPUTED_VALUE"""),1.0)</f>
        <v>1</v>
      </c>
      <c r="H312" s="8">
        <f>IFERROR(__xludf.DUMMYFUNCTION("""COMPUTED_VALUE"""),3.0)</f>
        <v>3</v>
      </c>
      <c r="I312" s="8" t="str">
        <f>IFERROR(__xludf.DUMMYFUNCTION("""COMPUTED_VALUE"""),"General")</f>
        <v>General</v>
      </c>
      <c r="J312" s="8" t="str">
        <f>IFERROR(__xludf.DUMMYFUNCTION("""COMPUTED_VALUE"""),"Tops")</f>
        <v>Tops</v>
      </c>
      <c r="K312" s="8" t="str">
        <f>IFERROR(__xludf.DUMMYFUNCTION("""COMPUTED_VALUE"""),"Fine gauge")</f>
        <v>Fine gauge</v>
      </c>
    </row>
    <row r="313">
      <c r="A313" s="8">
        <f>IFERROR(__xludf.DUMMYFUNCTION("""COMPUTED_VALUE"""),405.0)</f>
        <v>405</v>
      </c>
      <c r="B313" s="8">
        <f>IFERROR(__xludf.DUMMYFUNCTION("""COMPUTED_VALUE"""),1094.0)</f>
        <v>1094</v>
      </c>
      <c r="C313" s="8">
        <f>IFERROR(__xludf.DUMMYFUNCTION("""COMPUTED_VALUE"""),40.0)</f>
        <v>40</v>
      </c>
      <c r="D313" s="8" t="str">
        <f>IFERROR(__xludf.DUMMYFUNCTION("""COMPUTED_VALUE"""),"Comfortable and dressy")</f>
        <v>Comfortable and dressy</v>
      </c>
      <c r="E313" s="8" t="str">
        <f>IFERROR(__xludf.DUMMYFUNCTION("""COMPUTED_VALUE"""),"I bought the dress that has the cream skirt with large flowers. i wore it for a wedding and was not only very comfortable with the pockets and the cotton top, i looked good. i got a lot of compliments on the outfit. people thought it was a shirt and blous"&amp;"e rather than a dress. i loved the high low skirt. the sizing was accurate and the dress is easy to clean.")</f>
        <v>I bought the dress that has the cream skirt with large flowers. i wore it for a wedding and was not only very comfortable with the pockets and the cotton top, i looked good. i got a lot of compliments on the outfit. people thought it was a shirt and blouse rather than a dress. i loved the high low skirt. the sizing was accurate and the dress is easy to clean.</v>
      </c>
      <c r="F313" s="8">
        <f>IFERROR(__xludf.DUMMYFUNCTION("""COMPUTED_VALUE"""),5.0)</f>
        <v>5</v>
      </c>
      <c r="G313" s="8">
        <f>IFERROR(__xludf.DUMMYFUNCTION("""COMPUTED_VALUE"""),1.0)</f>
        <v>1</v>
      </c>
      <c r="H313" s="8">
        <f>IFERROR(__xludf.DUMMYFUNCTION("""COMPUTED_VALUE"""),1.0)</f>
        <v>1</v>
      </c>
      <c r="I313" s="8" t="str">
        <f>IFERROR(__xludf.DUMMYFUNCTION("""COMPUTED_VALUE"""),"General")</f>
        <v>General</v>
      </c>
      <c r="J313" s="8" t="str">
        <f>IFERROR(__xludf.DUMMYFUNCTION("""COMPUTED_VALUE"""),"Dresses")</f>
        <v>Dresses</v>
      </c>
      <c r="K313" s="8" t="str">
        <f>IFERROR(__xludf.DUMMYFUNCTION("""COMPUTED_VALUE"""),"Dresses")</f>
        <v>Dresses</v>
      </c>
    </row>
    <row r="314">
      <c r="A314" s="8">
        <f>IFERROR(__xludf.DUMMYFUNCTION("""COMPUTED_VALUE"""),407.0)</f>
        <v>407</v>
      </c>
      <c r="B314" s="8">
        <f>IFERROR(__xludf.DUMMYFUNCTION("""COMPUTED_VALUE"""),936.0)</f>
        <v>936</v>
      </c>
      <c r="C314" s="8">
        <f>IFERROR(__xludf.DUMMYFUNCTION("""COMPUTED_VALUE"""),55.0)</f>
        <v>55</v>
      </c>
      <c r="D314" s="8" t="str">
        <f>IFERROR(__xludf.DUMMYFUNCTION("""COMPUTED_VALUE"""),"Soft, feminine, versatile")</f>
        <v>Soft, feminine, versatile</v>
      </c>
      <c r="E314" s="8" t="str">
        <f>IFERROR(__xludf.DUMMYFUNCTION("""COMPUTED_VALUE"""),"Soft, comfortable, stylish. i eagerly awaited the arrival of this beautiful sweater and was not disappointed. the sizing was accurate for a perfect fit and i love the feminine detailing and shape of the necklne. the ribbons add an extra touch of style to "&amp;"a sweater that is both casual and elegant at the same time. very versatile.")</f>
        <v>Soft, comfortable, stylish. i eagerly awaited the arrival of this beautiful sweater and was not disappointed. the sizing was accurate for a perfect fit and i love the feminine detailing and shape of the necklne. the ribbons add an extra touch of style to a sweater that is both casual and elegant at the same time. very versatile.</v>
      </c>
      <c r="F314" s="8">
        <f>IFERROR(__xludf.DUMMYFUNCTION("""COMPUTED_VALUE"""),5.0)</f>
        <v>5</v>
      </c>
      <c r="G314" s="8">
        <f>IFERROR(__xludf.DUMMYFUNCTION("""COMPUTED_VALUE"""),1.0)</f>
        <v>1</v>
      </c>
      <c r="H314" s="8">
        <f>IFERROR(__xludf.DUMMYFUNCTION("""COMPUTED_VALUE"""),1.0)</f>
        <v>1</v>
      </c>
      <c r="I314" s="8" t="str">
        <f>IFERROR(__xludf.DUMMYFUNCTION("""COMPUTED_VALUE"""),"General")</f>
        <v>General</v>
      </c>
      <c r="J314" s="8" t="str">
        <f>IFERROR(__xludf.DUMMYFUNCTION("""COMPUTED_VALUE"""),"Tops")</f>
        <v>Tops</v>
      </c>
      <c r="K314" s="8" t="str">
        <f>IFERROR(__xludf.DUMMYFUNCTION("""COMPUTED_VALUE"""),"Sweaters")</f>
        <v>Sweaters</v>
      </c>
    </row>
    <row r="315">
      <c r="A315" s="8">
        <f>IFERROR(__xludf.DUMMYFUNCTION("""COMPUTED_VALUE"""),408.0)</f>
        <v>408</v>
      </c>
      <c r="B315" s="8">
        <f>IFERROR(__xludf.DUMMYFUNCTION("""COMPUTED_VALUE"""),1036.0)</f>
        <v>1036</v>
      </c>
      <c r="C315" s="8">
        <f>IFERROR(__xludf.DUMMYFUNCTION("""COMPUTED_VALUE"""),66.0)</f>
        <v>66</v>
      </c>
      <c r="D315" s="8" t="str">
        <f>IFERROR(__xludf.DUMMYFUNCTION("""COMPUTED_VALUE"""),"Stylish option good for petites")</f>
        <v>Stylish option good for petites</v>
      </c>
      <c r="E315" s="8" t="str">
        <f>IFERROR(__xludf.DUMMYFUNCTION("""COMPUTED_VALUE"""),"This is my first pair of mcguire jeans, and i like the fabric and fit.  thank goodness for petite sizing!  these 32p fit just right on my hips, with no gap between the waistband and my body.  fits through thigh and hips and pretty slim all the way down.  "&amp;"nice stretch.  of course, the proof will be after wearing a few times and washing.  i will update my review if i do not like them so much after that,")</f>
        <v>This is my first pair of mcguire jeans, and i like the fabric and fit.  thank goodness for petite sizing!  these 32p fit just right on my hips, with no gap between the waistband and my body.  fits through thigh and hips and pretty slim all the way down.  nice stretch.  of course, the proof will be after wearing a few times and washing.  i will update my review if i do not like them so much after that,</v>
      </c>
      <c r="F315" s="8">
        <f>IFERROR(__xludf.DUMMYFUNCTION("""COMPUTED_VALUE"""),4.0)</f>
        <v>4</v>
      </c>
      <c r="G315" s="8">
        <f>IFERROR(__xludf.DUMMYFUNCTION("""COMPUTED_VALUE"""),1.0)</f>
        <v>1</v>
      </c>
      <c r="H315" s="8">
        <f>IFERROR(__xludf.DUMMYFUNCTION("""COMPUTED_VALUE"""),0.0)</f>
        <v>0</v>
      </c>
      <c r="I315" s="8" t="str">
        <f>IFERROR(__xludf.DUMMYFUNCTION("""COMPUTED_VALUE"""),"General")</f>
        <v>General</v>
      </c>
      <c r="J315" s="8" t="str">
        <f>IFERROR(__xludf.DUMMYFUNCTION("""COMPUTED_VALUE"""),"Bottoms")</f>
        <v>Bottoms</v>
      </c>
      <c r="K315" s="8" t="str">
        <f>IFERROR(__xludf.DUMMYFUNCTION("""COMPUTED_VALUE"""),"Jeans")</f>
        <v>Jeans</v>
      </c>
    </row>
    <row r="316">
      <c r="A316" s="8">
        <f>IFERROR(__xludf.DUMMYFUNCTION("""COMPUTED_VALUE"""),409.0)</f>
        <v>409</v>
      </c>
      <c r="B316" s="8">
        <f>IFERROR(__xludf.DUMMYFUNCTION("""COMPUTED_VALUE"""),936.0)</f>
        <v>936</v>
      </c>
      <c r="C316" s="8">
        <f>IFERROR(__xludf.DUMMYFUNCTION("""COMPUTED_VALUE"""),39.0)</f>
        <v>39</v>
      </c>
      <c r="D316" s="8" t="str">
        <f>IFERROR(__xludf.DUMMYFUNCTION("""COMPUTED_VALUE"""),"Sweet casual")</f>
        <v>Sweet casual</v>
      </c>
      <c r="E316" s="8" t="str">
        <f>IFERROR(__xludf.DUMMYFUNCTION("""COMPUTED_VALUE"""),"Adorable sweater with a loose knit that helps slim down my man-back appearance. cut is tapered to the body but with a soft flare at the bottom hem. not clingy, very soft fabric doesn't accentuate bulges so i am happy about it's forgiving silhouette.")</f>
        <v>Adorable sweater with a loose knit that helps slim down my man-back appearance. cut is tapered to the body but with a soft flare at the bottom hem. not clingy, very soft fabric doesn't accentuate bulges so i am happy about it's forgiving silhouette.</v>
      </c>
      <c r="F316" s="8">
        <f>IFERROR(__xludf.DUMMYFUNCTION("""COMPUTED_VALUE"""),5.0)</f>
        <v>5</v>
      </c>
      <c r="G316" s="8">
        <f>IFERROR(__xludf.DUMMYFUNCTION("""COMPUTED_VALUE"""),1.0)</f>
        <v>1</v>
      </c>
      <c r="H316" s="8">
        <f>IFERROR(__xludf.DUMMYFUNCTION("""COMPUTED_VALUE"""),0.0)</f>
        <v>0</v>
      </c>
      <c r="I316" s="8" t="str">
        <f>IFERROR(__xludf.DUMMYFUNCTION("""COMPUTED_VALUE"""),"General")</f>
        <v>General</v>
      </c>
      <c r="J316" s="8" t="str">
        <f>IFERROR(__xludf.DUMMYFUNCTION("""COMPUTED_VALUE"""),"Tops")</f>
        <v>Tops</v>
      </c>
      <c r="K316" s="8" t="str">
        <f>IFERROR(__xludf.DUMMYFUNCTION("""COMPUTED_VALUE"""),"Sweaters")</f>
        <v>Sweaters</v>
      </c>
    </row>
    <row r="317">
      <c r="A317" s="8">
        <f>IFERROR(__xludf.DUMMYFUNCTION("""COMPUTED_VALUE"""),410.0)</f>
        <v>410</v>
      </c>
      <c r="B317" s="8">
        <f>IFERROR(__xludf.DUMMYFUNCTION("""COMPUTED_VALUE"""),1094.0)</f>
        <v>1094</v>
      </c>
      <c r="C317" s="8">
        <f>IFERROR(__xludf.DUMMYFUNCTION("""COMPUTED_VALUE"""),30.0)</f>
        <v>30</v>
      </c>
      <c r="D317" s="8" t="str">
        <f>IFERROR(__xludf.DUMMYFUNCTION("""COMPUTED_VALUE"""),"A perfect investment")</f>
        <v>A perfect investment</v>
      </c>
      <c r="E317" s="8" t="str">
        <f>IFERROR(__xludf.DUMMYFUNCTION("""COMPUTED_VALUE"""),"I walked into retailer with low hopes of finding a dress for a friend's spring wedding, as a lot of this season's dresses are more casual, but was drawn to this pretty number for multiple reasons: it can certainly be dressed up or down depending upon acce"&amp;"ssories, the fabric feels incredible, it has pockets, and it's really fun yet classy as heck. typically i wear a 10/m in dresses, but they only had a 12 in store, so i took it and made it work by tightening the sash a bit extra and wearing a bra w")</f>
        <v>I walked into retailer with low hopes of finding a dress for a friend's spring wedding, as a lot of this season's dresses are more casual, but was drawn to this pretty number for multiple reasons: it can certainly be dressed up or down depending upon accessories, the fabric feels incredible, it has pockets, and it's really fun yet classy as heck. typically i wear a 10/m in dresses, but they only had a 12 in store, so i took it and made it work by tightening the sash a bit extra and wearing a bra w</v>
      </c>
      <c r="F317" s="8">
        <f>IFERROR(__xludf.DUMMYFUNCTION("""COMPUTED_VALUE"""),5.0)</f>
        <v>5</v>
      </c>
      <c r="G317" s="8">
        <f>IFERROR(__xludf.DUMMYFUNCTION("""COMPUTED_VALUE"""),1.0)</f>
        <v>1</v>
      </c>
      <c r="H317" s="8">
        <f>IFERROR(__xludf.DUMMYFUNCTION("""COMPUTED_VALUE"""),1.0)</f>
        <v>1</v>
      </c>
      <c r="I317" s="8" t="str">
        <f>IFERROR(__xludf.DUMMYFUNCTION("""COMPUTED_VALUE"""),"General")</f>
        <v>General</v>
      </c>
      <c r="J317" s="8" t="str">
        <f>IFERROR(__xludf.DUMMYFUNCTION("""COMPUTED_VALUE"""),"Dresses")</f>
        <v>Dresses</v>
      </c>
      <c r="K317" s="8" t="str">
        <f>IFERROR(__xludf.DUMMYFUNCTION("""COMPUTED_VALUE"""),"Dresses")</f>
        <v>Dresses</v>
      </c>
    </row>
    <row r="318">
      <c r="A318" s="8">
        <f>IFERROR(__xludf.DUMMYFUNCTION("""COMPUTED_VALUE"""),411.0)</f>
        <v>411</v>
      </c>
      <c r="B318" s="8">
        <f>IFERROR(__xludf.DUMMYFUNCTION("""COMPUTED_VALUE"""),1094.0)</f>
        <v>1094</v>
      </c>
      <c r="C318" s="8">
        <f>IFERROR(__xludf.DUMMYFUNCTION("""COMPUTED_VALUE"""),53.0)</f>
        <v>53</v>
      </c>
      <c r="D318" s="8" t="str">
        <f>IFERROR(__xludf.DUMMYFUNCTION("""COMPUTED_VALUE"""),"This dress is gorgeous!")</f>
        <v>This dress is gorgeous!</v>
      </c>
      <c r="E318" s="8" t="str">
        <f>IFERROR(__xludf.DUMMYFUNCTION("""COMPUTED_VALUE"""),"I was able to snatch this dress up just before it sold out (and i see it's now back in stock!). the quality of the fabrics is outstanding, not flimsy at all. the top is stretchy. normally i would wear a 2 at retailer, but the only choice i had was 0 and i"&amp;"t fit. i am 5'5"" tall, 125 lbs. everything about this dress makes me smile and i can't wait to wear it to my holiday party! don't hesitate if you are on the fence.")</f>
        <v>I was able to snatch this dress up just before it sold out (and i see it's now back in stock!). the quality of the fabrics is outstanding, not flimsy at all. the top is stretchy. normally i would wear a 2 at retailer, but the only choice i had was 0 and it fit. i am 5'5" tall, 125 lbs. everything about this dress makes me smile and i can't wait to wear it to my holiday party! don't hesitate if you are on the fence.</v>
      </c>
      <c r="F318" s="8">
        <f>IFERROR(__xludf.DUMMYFUNCTION("""COMPUTED_VALUE"""),5.0)</f>
        <v>5</v>
      </c>
      <c r="G318" s="8">
        <f>IFERROR(__xludf.DUMMYFUNCTION("""COMPUTED_VALUE"""),1.0)</f>
        <v>1</v>
      </c>
      <c r="H318" s="8">
        <f>IFERROR(__xludf.DUMMYFUNCTION("""COMPUTED_VALUE"""),3.0)</f>
        <v>3</v>
      </c>
      <c r="I318" s="8" t="str">
        <f>IFERROR(__xludf.DUMMYFUNCTION("""COMPUTED_VALUE"""),"General")</f>
        <v>General</v>
      </c>
      <c r="J318" s="8" t="str">
        <f>IFERROR(__xludf.DUMMYFUNCTION("""COMPUTED_VALUE"""),"Dresses")</f>
        <v>Dresses</v>
      </c>
      <c r="K318" s="8" t="str">
        <f>IFERROR(__xludf.DUMMYFUNCTION("""COMPUTED_VALUE"""),"Dresses")</f>
        <v>Dresses</v>
      </c>
    </row>
    <row r="319">
      <c r="A319" s="8">
        <f>IFERROR(__xludf.DUMMYFUNCTION("""COMPUTED_VALUE"""),412.0)</f>
        <v>412</v>
      </c>
      <c r="B319" s="8">
        <f>IFERROR(__xludf.DUMMYFUNCTION("""COMPUTED_VALUE"""),1086.0)</f>
        <v>1086</v>
      </c>
      <c r="C319" s="8">
        <f>IFERROR(__xludf.DUMMYFUNCTION("""COMPUTED_VALUE"""),23.0)</f>
        <v>23</v>
      </c>
      <c r="D319" s="8" t="str">
        <f>IFERROR(__xludf.DUMMYFUNCTION("""COMPUTED_VALUE"""),"Great dress, rough zipper")</f>
        <v>Great dress, rough zipper</v>
      </c>
      <c r="E319" s="8" t="str">
        <f>IFERROR(__xludf.DUMMYFUNCTION("""COMPUTED_VALUE"""),"I saw this dress online and immediately went to the store to try on! it took three sales asscoaites to help me zip the dress but once it was on it was beautiful! the bodice fits really nicely. true to size. there was extra fabric around the waist bust not"&amp;"hing that made the fit look weird. love love love!!! wearing for christmas eve!")</f>
        <v>I saw this dress online and immediately went to the store to try on! it took three sales asscoaites to help me zip the dress but once it was on it was beautiful! the bodice fits really nicely. true to size. there was extra fabric around the waist bust nothing that made the fit look weird. love love love!!! wearing for christmas eve!</v>
      </c>
      <c r="F319" s="8">
        <f>IFERROR(__xludf.DUMMYFUNCTION("""COMPUTED_VALUE"""),5.0)</f>
        <v>5</v>
      </c>
      <c r="G319" s="8">
        <f>IFERROR(__xludf.DUMMYFUNCTION("""COMPUTED_VALUE"""),1.0)</f>
        <v>1</v>
      </c>
      <c r="H319" s="8">
        <f>IFERROR(__xludf.DUMMYFUNCTION("""COMPUTED_VALUE"""),6.0)</f>
        <v>6</v>
      </c>
      <c r="I319" s="8" t="str">
        <f>IFERROR(__xludf.DUMMYFUNCTION("""COMPUTED_VALUE"""),"General")</f>
        <v>General</v>
      </c>
      <c r="J319" s="8" t="str">
        <f>IFERROR(__xludf.DUMMYFUNCTION("""COMPUTED_VALUE"""),"Dresses")</f>
        <v>Dresses</v>
      </c>
      <c r="K319" s="8" t="str">
        <f>IFERROR(__xludf.DUMMYFUNCTION("""COMPUTED_VALUE"""),"Dresses")</f>
        <v>Dresses</v>
      </c>
    </row>
    <row r="320">
      <c r="A320" s="8">
        <f>IFERROR(__xludf.DUMMYFUNCTION("""COMPUTED_VALUE"""),413.0)</f>
        <v>413</v>
      </c>
      <c r="B320" s="8">
        <f>IFERROR(__xludf.DUMMYFUNCTION("""COMPUTED_VALUE"""),127.0)</f>
        <v>127</v>
      </c>
      <c r="C320" s="8">
        <f>IFERROR(__xludf.DUMMYFUNCTION("""COMPUTED_VALUE"""),37.0)</f>
        <v>37</v>
      </c>
      <c r="D320" s="8"/>
      <c r="E320" s="8" t="str">
        <f>IFERROR(__xludf.DUMMYFUNCTION("""COMPUTED_VALUE"""),"I got he green color with gray accent stitching, looks awesome with gray tone leggings. super soft, definitely runs a little big (5'6"" 140 lbs i ordered the small) but not in an unflattering way.")</f>
        <v>I got he green color with gray accent stitching, looks awesome with gray tone leggings. super soft, definitely runs a little big (5'6" 140 lbs i ordered the small) but not in an unflattering way.</v>
      </c>
      <c r="F320" s="8">
        <f>IFERROR(__xludf.DUMMYFUNCTION("""COMPUTED_VALUE"""),5.0)</f>
        <v>5</v>
      </c>
      <c r="G320" s="8">
        <f>IFERROR(__xludf.DUMMYFUNCTION("""COMPUTED_VALUE"""),1.0)</f>
        <v>1</v>
      </c>
      <c r="H320" s="8">
        <f>IFERROR(__xludf.DUMMYFUNCTION("""COMPUTED_VALUE"""),1.0)</f>
        <v>1</v>
      </c>
      <c r="I320" s="8" t="str">
        <f>IFERROR(__xludf.DUMMYFUNCTION("""COMPUTED_VALUE"""),"General Petite")</f>
        <v>General Petite</v>
      </c>
      <c r="J320" s="8" t="str">
        <f>IFERROR(__xludf.DUMMYFUNCTION("""COMPUTED_VALUE"""),"Intimate")</f>
        <v>Intimate</v>
      </c>
      <c r="K320" s="8" t="str">
        <f>IFERROR(__xludf.DUMMYFUNCTION("""COMPUTED_VALUE"""),"Lounge")</f>
        <v>Lounge</v>
      </c>
    </row>
    <row r="321">
      <c r="A321" s="8">
        <f>IFERROR(__xludf.DUMMYFUNCTION("""COMPUTED_VALUE"""),414.0)</f>
        <v>414</v>
      </c>
      <c r="B321" s="8">
        <f>IFERROR(__xludf.DUMMYFUNCTION("""COMPUTED_VALUE"""),127.0)</f>
        <v>127</v>
      </c>
      <c r="C321" s="8">
        <f>IFERROR(__xludf.DUMMYFUNCTION("""COMPUTED_VALUE"""),51.0)</f>
        <v>51</v>
      </c>
      <c r="D321" s="8" t="str">
        <f>IFERROR(__xludf.DUMMYFUNCTION("""COMPUTED_VALUE"""),"Cute &amp; comfy top")</f>
        <v>Cute &amp; comfy top</v>
      </c>
      <c r="E321" s="8" t="str">
        <f>IFERROR(__xludf.DUMMYFUNCTION("""COMPUTED_VALUE"""),"Love this tunic, it's super comfy &amp; cute. i have in cream and love so much i ordered in mint. looks great with jeans and boots")</f>
        <v>Love this tunic, it's super comfy &amp; cute. i have in cream and love so much i ordered in mint. looks great with jeans and boots</v>
      </c>
      <c r="F321" s="8">
        <f>IFERROR(__xludf.DUMMYFUNCTION("""COMPUTED_VALUE"""),5.0)</f>
        <v>5</v>
      </c>
      <c r="G321" s="8">
        <f>IFERROR(__xludf.DUMMYFUNCTION("""COMPUTED_VALUE"""),1.0)</f>
        <v>1</v>
      </c>
      <c r="H321" s="8">
        <f>IFERROR(__xludf.DUMMYFUNCTION("""COMPUTED_VALUE"""),0.0)</f>
        <v>0</v>
      </c>
      <c r="I321" s="8" t="str">
        <f>IFERROR(__xludf.DUMMYFUNCTION("""COMPUTED_VALUE"""),"General Petite")</f>
        <v>General Petite</v>
      </c>
      <c r="J321" s="8" t="str">
        <f>IFERROR(__xludf.DUMMYFUNCTION("""COMPUTED_VALUE"""),"Intimate")</f>
        <v>Intimate</v>
      </c>
      <c r="K321" s="8" t="str">
        <f>IFERROR(__xludf.DUMMYFUNCTION("""COMPUTED_VALUE"""),"Lounge")</f>
        <v>Lounge</v>
      </c>
    </row>
    <row r="322">
      <c r="A322" s="8">
        <f>IFERROR(__xludf.DUMMYFUNCTION("""COMPUTED_VALUE"""),415.0)</f>
        <v>415</v>
      </c>
      <c r="B322" s="8">
        <f>IFERROR(__xludf.DUMMYFUNCTION("""COMPUTED_VALUE"""),1083.0)</f>
        <v>1083</v>
      </c>
      <c r="C322" s="8">
        <f>IFERROR(__xludf.DUMMYFUNCTION("""COMPUTED_VALUE"""),37.0)</f>
        <v>37</v>
      </c>
      <c r="D322" s="8" t="str">
        <f>IFERROR(__xludf.DUMMYFUNCTION("""COMPUTED_VALUE"""),"Flattering and great buy on sale!")</f>
        <v>Flattering and great buy on sale!</v>
      </c>
      <c r="E322" s="8" t="str">
        <f>IFERROR(__xludf.DUMMYFUNCTION("""COMPUTED_VALUE"""),"I thought this dress was worth reviewing since my opinion differs from many others.
i agree that the fabric is quite thin compared to what you may be used to with byron lars dresses, but the flattering fit and quality (has a nice built in slip) i found to"&amp;" be what you may expect from the brand. if you go in thinking it's more of a spring/summer dress, you will not be disappointed.
however, i find the sizing to be slightly off. i usually wear a 2p (i'm 5'2""), or a 0 regular.
i ordered several size")</f>
        <v>I thought this dress was worth reviewing since my opinion differs from many others.
i agree that the fabric is quite thin compared to what you may be used to with byron lars dresses, but the flattering fit and quality (has a nice built in slip) i found to be what you may expect from the brand. if you go in thinking it's more of a spring/summer dress, you will not be disappointed.
however, i find the sizing to be slightly off. i usually wear a 2p (i'm 5'2"), or a 0 regular.
i ordered several size</v>
      </c>
      <c r="F322" s="8">
        <f>IFERROR(__xludf.DUMMYFUNCTION("""COMPUTED_VALUE"""),4.0)</f>
        <v>4</v>
      </c>
      <c r="G322" s="8">
        <f>IFERROR(__xludf.DUMMYFUNCTION("""COMPUTED_VALUE"""),1.0)</f>
        <v>1</v>
      </c>
      <c r="H322" s="8">
        <f>IFERROR(__xludf.DUMMYFUNCTION("""COMPUTED_VALUE"""),2.0)</f>
        <v>2</v>
      </c>
      <c r="I322" s="8" t="str">
        <f>IFERROR(__xludf.DUMMYFUNCTION("""COMPUTED_VALUE"""),"General")</f>
        <v>General</v>
      </c>
      <c r="J322" s="8" t="str">
        <f>IFERROR(__xludf.DUMMYFUNCTION("""COMPUTED_VALUE"""),"Dresses")</f>
        <v>Dresses</v>
      </c>
      <c r="K322" s="8" t="str">
        <f>IFERROR(__xludf.DUMMYFUNCTION("""COMPUTED_VALUE"""),"Dresses")</f>
        <v>Dresses</v>
      </c>
    </row>
    <row r="323">
      <c r="A323" s="8">
        <f>IFERROR(__xludf.DUMMYFUNCTION("""COMPUTED_VALUE"""),416.0)</f>
        <v>416</v>
      </c>
      <c r="B323" s="8">
        <f>IFERROR(__xludf.DUMMYFUNCTION("""COMPUTED_VALUE"""),872.0)</f>
        <v>872</v>
      </c>
      <c r="C323" s="8">
        <f>IFERROR(__xludf.DUMMYFUNCTION("""COMPUTED_VALUE"""),35.0)</f>
        <v>35</v>
      </c>
      <c r="D323" s="8" t="str">
        <f>IFERROR(__xludf.DUMMYFUNCTION("""COMPUTED_VALUE"""),"I love this shirt")</f>
        <v>I love this shirt</v>
      </c>
      <c r="E323" s="8" t="str">
        <f>IFERROR(__xludf.DUMMYFUNCTION("""COMPUTED_VALUE"""),"I really love this lace-up shirt, but i only liked it in black on me. i like it open like the model is wearing it, but i had to have it a little more closed because the lace part does go down a ways-and i felt like i was revealing a little too much. i wou"&amp;"ld likely wear it open, but then have to pair it with a cami underneath to feel comfortable. i absolutely love the whole outfit as-pictured, and also reviewed the polka dot pants. i wish the laces were a little longer than they are-if you have i")</f>
        <v>I really love this lace-up shirt, but i only liked it in black on me. i like it open like the model is wearing it, but i had to have it a little more closed because the lace part does go down a ways-and i felt like i was revealing a little too much. i would likely wear it open, but then have to pair it with a cami underneath to feel comfortable. i absolutely love the whole outfit as-pictured, and also reviewed the polka dot pants. i wish the laces were a little longer than they are-if you have i</v>
      </c>
      <c r="F323" s="8">
        <f>IFERROR(__xludf.DUMMYFUNCTION("""COMPUTED_VALUE"""),5.0)</f>
        <v>5</v>
      </c>
      <c r="G323" s="8">
        <f>IFERROR(__xludf.DUMMYFUNCTION("""COMPUTED_VALUE"""),1.0)</f>
        <v>1</v>
      </c>
      <c r="H323" s="8">
        <f>IFERROR(__xludf.DUMMYFUNCTION("""COMPUTED_VALUE"""),14.0)</f>
        <v>14</v>
      </c>
      <c r="I323" s="8" t="str">
        <f>IFERROR(__xludf.DUMMYFUNCTION("""COMPUTED_VALUE"""),"General")</f>
        <v>General</v>
      </c>
      <c r="J323" s="8" t="str">
        <f>IFERROR(__xludf.DUMMYFUNCTION("""COMPUTED_VALUE"""),"Tops")</f>
        <v>Tops</v>
      </c>
      <c r="K323" s="8" t="str">
        <f>IFERROR(__xludf.DUMMYFUNCTION("""COMPUTED_VALUE"""),"Knits")</f>
        <v>Knits</v>
      </c>
    </row>
    <row r="324">
      <c r="A324" s="8">
        <f>IFERROR(__xludf.DUMMYFUNCTION("""COMPUTED_VALUE"""),418.0)</f>
        <v>418</v>
      </c>
      <c r="B324" s="8">
        <f>IFERROR(__xludf.DUMMYFUNCTION("""COMPUTED_VALUE"""),831.0)</f>
        <v>831</v>
      </c>
      <c r="C324" s="8">
        <f>IFERROR(__xludf.DUMMYFUNCTION("""COMPUTED_VALUE"""),40.0)</f>
        <v>40</v>
      </c>
      <c r="D324" s="8" t="str">
        <f>IFERROR(__xludf.DUMMYFUNCTION("""COMPUTED_VALUE"""),"Super comfy")</f>
        <v>Super comfy</v>
      </c>
      <c r="E324" s="8" t="str">
        <f>IFERROR(__xludf.DUMMYFUNCTION("""COMPUTED_VALUE"""),"Love this blouse, it;s super comfy, looks awesome with jeans. this blouse runs true to size i purchased in my normal size small.")</f>
        <v>Love this blouse, it;s super comfy, looks awesome with jeans. this blouse runs true to size i purchased in my normal size small.</v>
      </c>
      <c r="F324" s="8">
        <f>IFERROR(__xludf.DUMMYFUNCTION("""COMPUTED_VALUE"""),5.0)</f>
        <v>5</v>
      </c>
      <c r="G324" s="8">
        <f>IFERROR(__xludf.DUMMYFUNCTION("""COMPUTED_VALUE"""),1.0)</f>
        <v>1</v>
      </c>
      <c r="H324" s="8">
        <f>IFERROR(__xludf.DUMMYFUNCTION("""COMPUTED_VALUE"""),0.0)</f>
        <v>0</v>
      </c>
      <c r="I324" s="8" t="str">
        <f>IFERROR(__xludf.DUMMYFUNCTION("""COMPUTED_VALUE"""),"General")</f>
        <v>General</v>
      </c>
      <c r="J324" s="8" t="str">
        <f>IFERROR(__xludf.DUMMYFUNCTION("""COMPUTED_VALUE"""),"Tops")</f>
        <v>Tops</v>
      </c>
      <c r="K324" s="8" t="str">
        <f>IFERROR(__xludf.DUMMYFUNCTION("""COMPUTED_VALUE"""),"Blouses")</f>
        <v>Blouses</v>
      </c>
    </row>
    <row r="325">
      <c r="A325" s="8">
        <f>IFERROR(__xludf.DUMMYFUNCTION("""COMPUTED_VALUE"""),420.0)</f>
        <v>420</v>
      </c>
      <c r="B325" s="8">
        <f>IFERROR(__xludf.DUMMYFUNCTION("""COMPUTED_VALUE"""),1077.0)</f>
        <v>1077</v>
      </c>
      <c r="C325" s="8">
        <f>IFERROR(__xludf.DUMMYFUNCTION("""COMPUTED_VALUE"""),68.0)</f>
        <v>68</v>
      </c>
      <c r="D325" s="8" t="str">
        <f>IFERROR(__xludf.DUMMYFUNCTION("""COMPUTED_VALUE"""),"Easy and stylish")</f>
        <v>Easy and stylish</v>
      </c>
      <c r="E325" s="8" t="str">
        <f>IFERROR(__xludf.DUMMYFUNCTION("""COMPUTED_VALUE"""),"I was hesitant based on the reviews, but i'm glad i ordered this dress (in blue). the material is like a french dot texture that is soft but still a bit structured. i had no issues with the fit. it's appropriately just a little oversized. the styling is v"&amp;"ery mod!")</f>
        <v>I was hesitant based on the reviews, but i'm glad i ordered this dress (in blue). the material is like a french dot texture that is soft but still a bit structured. i had no issues with the fit. it's appropriately just a little oversized. the styling is very mod!</v>
      </c>
      <c r="F325" s="8">
        <f>IFERROR(__xludf.DUMMYFUNCTION("""COMPUTED_VALUE"""),5.0)</f>
        <v>5</v>
      </c>
      <c r="G325" s="8">
        <f>IFERROR(__xludf.DUMMYFUNCTION("""COMPUTED_VALUE"""),1.0)</f>
        <v>1</v>
      </c>
      <c r="H325" s="8">
        <f>IFERROR(__xludf.DUMMYFUNCTION("""COMPUTED_VALUE"""),2.0)</f>
        <v>2</v>
      </c>
      <c r="I325" s="8" t="str">
        <f>IFERROR(__xludf.DUMMYFUNCTION("""COMPUTED_VALUE"""),"General")</f>
        <v>General</v>
      </c>
      <c r="J325" s="8" t="str">
        <f>IFERROR(__xludf.DUMMYFUNCTION("""COMPUTED_VALUE"""),"Dresses")</f>
        <v>Dresses</v>
      </c>
      <c r="K325" s="8" t="str">
        <f>IFERROR(__xludf.DUMMYFUNCTION("""COMPUTED_VALUE"""),"Dresses")</f>
        <v>Dresses</v>
      </c>
    </row>
    <row r="326">
      <c r="A326" s="8">
        <f>IFERROR(__xludf.DUMMYFUNCTION("""COMPUTED_VALUE"""),421.0)</f>
        <v>421</v>
      </c>
      <c r="B326" s="8">
        <f>IFERROR(__xludf.DUMMYFUNCTION("""COMPUTED_VALUE"""),872.0)</f>
        <v>872</v>
      </c>
      <c r="C326" s="8">
        <f>IFERROR(__xludf.DUMMYFUNCTION("""COMPUTED_VALUE"""),65.0)</f>
        <v>65</v>
      </c>
      <c r="D326" s="8"/>
      <c r="E326" s="8" t="str">
        <f>IFERROR(__xludf.DUMMYFUNCTION("""COMPUTED_VALUE"""),"Great feature...perfect lacing...do not need to worry that it is too low since there is material behind the bottom of the lacing. like 3/4 length sleeve. gives top the right proportion.")</f>
        <v>Great feature...perfect lacing...do not need to worry that it is too low since there is material behind the bottom of the lacing. like 3/4 length sleeve. gives top the right proportion.</v>
      </c>
      <c r="F326" s="8">
        <f>IFERROR(__xludf.DUMMYFUNCTION("""COMPUTED_VALUE"""),4.0)</f>
        <v>4</v>
      </c>
      <c r="G326" s="8">
        <f>IFERROR(__xludf.DUMMYFUNCTION("""COMPUTED_VALUE"""),1.0)</f>
        <v>1</v>
      </c>
      <c r="H326" s="8">
        <f>IFERROR(__xludf.DUMMYFUNCTION("""COMPUTED_VALUE"""),0.0)</f>
        <v>0</v>
      </c>
      <c r="I326" s="8" t="str">
        <f>IFERROR(__xludf.DUMMYFUNCTION("""COMPUTED_VALUE"""),"General")</f>
        <v>General</v>
      </c>
      <c r="J326" s="8" t="str">
        <f>IFERROR(__xludf.DUMMYFUNCTION("""COMPUTED_VALUE"""),"Tops")</f>
        <v>Tops</v>
      </c>
      <c r="K326" s="8" t="str">
        <f>IFERROR(__xludf.DUMMYFUNCTION("""COMPUTED_VALUE"""),"Knits")</f>
        <v>Knits</v>
      </c>
    </row>
    <row r="327">
      <c r="A327" s="8">
        <f>IFERROR(__xludf.DUMMYFUNCTION("""COMPUTED_VALUE"""),422.0)</f>
        <v>422</v>
      </c>
      <c r="B327" s="8">
        <f>IFERROR(__xludf.DUMMYFUNCTION("""COMPUTED_VALUE"""),964.0)</f>
        <v>964</v>
      </c>
      <c r="C327" s="8">
        <f>IFERROR(__xludf.DUMMYFUNCTION("""COMPUTED_VALUE"""),37.0)</f>
        <v>37</v>
      </c>
      <c r="D327" s="8" t="str">
        <f>IFERROR(__xludf.DUMMYFUNCTION("""COMPUTED_VALUE"""),"Very versatile")</f>
        <v>Very versatile</v>
      </c>
      <c r="E327" s="8" t="str">
        <f>IFERROR(__xludf.DUMMYFUNCTION("""COMPUTED_VALUE"""),"I purchased this jacket in green, x-small a while back and wasn?t 100% sure about it due to the size. i?m 5?3?, 117 lbs and a 33a and thought it was a little snug so i tried on the small and that was way too big so i kept the xs. i have worn it a few time"&amp;"s and it does look great however i can only wear thin tops with it. recently i purchased the black, x-small and this i love. it?s looser then the green so i can get away with thicker tops. 
i do recommend both jackets. they are pricey for what")</f>
        <v>I purchased this jacket in green, x-small a while back and wasn?t 100% sure about it due to the size. i?m 5?3?, 117 lbs and a 33a and thought it was a little snug so i tried on the small and that was way too big so i kept the xs. i have worn it a few times and it does look great however i can only wear thin tops with it. recently i purchased the black, x-small and this i love. it?s looser then the green so i can get away with thicker tops. 
i do recommend both jackets. they are pricey for what</v>
      </c>
      <c r="F327" s="8">
        <f>IFERROR(__xludf.DUMMYFUNCTION("""COMPUTED_VALUE"""),5.0)</f>
        <v>5</v>
      </c>
      <c r="G327" s="8">
        <f>IFERROR(__xludf.DUMMYFUNCTION("""COMPUTED_VALUE"""),1.0)</f>
        <v>1</v>
      </c>
      <c r="H327" s="8">
        <f>IFERROR(__xludf.DUMMYFUNCTION("""COMPUTED_VALUE"""),2.0)</f>
        <v>2</v>
      </c>
      <c r="I327" s="8" t="str">
        <f>IFERROR(__xludf.DUMMYFUNCTION("""COMPUTED_VALUE"""),"General")</f>
        <v>General</v>
      </c>
      <c r="J327" s="8" t="str">
        <f>IFERROR(__xludf.DUMMYFUNCTION("""COMPUTED_VALUE"""),"Jackets")</f>
        <v>Jackets</v>
      </c>
      <c r="K327" s="8" t="str">
        <f>IFERROR(__xludf.DUMMYFUNCTION("""COMPUTED_VALUE"""),"Jackets")</f>
        <v>Jackets</v>
      </c>
    </row>
    <row r="328">
      <c r="A328" s="8">
        <f>IFERROR(__xludf.DUMMYFUNCTION("""COMPUTED_VALUE"""),424.0)</f>
        <v>424</v>
      </c>
      <c r="B328" s="8">
        <f>IFERROR(__xludf.DUMMYFUNCTION("""COMPUTED_VALUE"""),872.0)</f>
        <v>872</v>
      </c>
      <c r="C328" s="8">
        <f>IFERROR(__xludf.DUMMYFUNCTION("""COMPUTED_VALUE"""),22.0)</f>
        <v>22</v>
      </c>
      <c r="D328" s="8" t="str">
        <f>IFERROR(__xludf.DUMMYFUNCTION("""COMPUTED_VALUE"""),"Love the lace up design!")</f>
        <v>Love the lace up design!</v>
      </c>
      <c r="E328" s="8" t="str">
        <f>IFERROR(__xludf.DUMMYFUNCTION("""COMPUTED_VALUE"""),"I love the lace up design and bought the red xsp, fabric is a bit thin and mediocre quality, but over all happy with purchase. wish this top came in navy and white as well. even a navy/white stripe would be a fun option too. thanks you for offering this t"&amp;"op in a petite size. :)")</f>
        <v>I love the lace up design and bought the red xsp, fabric is a bit thin and mediocre quality, but over all happy with purchase. wish this top came in navy and white as well. even a navy/white stripe would be a fun option too. thanks you for offering this top in a petite size. :)</v>
      </c>
      <c r="F328" s="8">
        <f>IFERROR(__xludf.DUMMYFUNCTION("""COMPUTED_VALUE"""),4.0)</f>
        <v>4</v>
      </c>
      <c r="G328" s="8">
        <f>IFERROR(__xludf.DUMMYFUNCTION("""COMPUTED_VALUE"""),1.0)</f>
        <v>1</v>
      </c>
      <c r="H328" s="8">
        <f>IFERROR(__xludf.DUMMYFUNCTION("""COMPUTED_VALUE"""),1.0)</f>
        <v>1</v>
      </c>
      <c r="I328" s="8" t="str">
        <f>IFERROR(__xludf.DUMMYFUNCTION("""COMPUTED_VALUE"""),"General")</f>
        <v>General</v>
      </c>
      <c r="J328" s="8" t="str">
        <f>IFERROR(__xludf.DUMMYFUNCTION("""COMPUTED_VALUE"""),"Tops")</f>
        <v>Tops</v>
      </c>
      <c r="K328" s="8" t="str">
        <f>IFERROR(__xludf.DUMMYFUNCTION("""COMPUTED_VALUE"""),"Knits")</f>
        <v>Knits</v>
      </c>
    </row>
    <row r="329">
      <c r="A329" s="8">
        <f>IFERROR(__xludf.DUMMYFUNCTION("""COMPUTED_VALUE"""),425.0)</f>
        <v>425</v>
      </c>
      <c r="B329" s="8">
        <f>IFERROR(__xludf.DUMMYFUNCTION("""COMPUTED_VALUE"""),1083.0)</f>
        <v>1083</v>
      </c>
      <c r="C329" s="8">
        <f>IFERROR(__xludf.DUMMYFUNCTION("""COMPUTED_VALUE"""),50.0)</f>
        <v>50</v>
      </c>
      <c r="D329" s="8"/>
      <c r="E329" s="8"/>
      <c r="F329" s="8">
        <f>IFERROR(__xludf.DUMMYFUNCTION("""COMPUTED_VALUE"""),5.0)</f>
        <v>5</v>
      </c>
      <c r="G329" s="8">
        <f>IFERROR(__xludf.DUMMYFUNCTION("""COMPUTED_VALUE"""),1.0)</f>
        <v>1</v>
      </c>
      <c r="H329" s="8">
        <f>IFERROR(__xludf.DUMMYFUNCTION("""COMPUTED_VALUE"""),0.0)</f>
        <v>0</v>
      </c>
      <c r="I329" s="8" t="str">
        <f>IFERROR(__xludf.DUMMYFUNCTION("""COMPUTED_VALUE"""),"General")</f>
        <v>General</v>
      </c>
      <c r="J329" s="8" t="str">
        <f>IFERROR(__xludf.DUMMYFUNCTION("""COMPUTED_VALUE"""),"Dresses")</f>
        <v>Dresses</v>
      </c>
      <c r="K329" s="8" t="str">
        <f>IFERROR(__xludf.DUMMYFUNCTION("""COMPUTED_VALUE"""),"Dresses")</f>
        <v>Dresses</v>
      </c>
    </row>
    <row r="330">
      <c r="A330" s="8">
        <f>IFERROR(__xludf.DUMMYFUNCTION("""COMPUTED_VALUE"""),426.0)</f>
        <v>426</v>
      </c>
      <c r="B330" s="8">
        <f>IFERROR(__xludf.DUMMYFUNCTION("""COMPUTED_VALUE"""),829.0)</f>
        <v>829</v>
      </c>
      <c r="C330" s="8">
        <f>IFERROR(__xludf.DUMMYFUNCTION("""COMPUTED_VALUE"""),33.0)</f>
        <v>33</v>
      </c>
      <c r="D330" s="8" t="str">
        <f>IFERROR(__xludf.DUMMYFUNCTION("""COMPUTED_VALUE"""),"Disappointed")</f>
        <v>Disappointed</v>
      </c>
      <c r="E330" s="8" t="str">
        <f>IFERROR(__xludf.DUMMYFUNCTION("""COMPUTED_VALUE"""),"I got this shirt in the mail today and was really excited to try it on. other reviewers said that it ran large so i ordered a size down and it fit perfect. i looked in the mirror and noticed the ruffles were misaligned and obviously so. i want to exchange"&amp;" it in the store but seeing that the size is not longer available online, i'm not really sure i'll find another one in my size.")</f>
        <v>I got this shirt in the mail today and was really excited to try it on. other reviewers said that it ran large so i ordered a size down and it fit perfect. i looked in the mirror and noticed the ruffles were misaligned and obviously so. i want to exchange it in the store but seeing that the size is not longer available online, i'm not really sure i'll find another one in my size.</v>
      </c>
      <c r="F330" s="8">
        <f>IFERROR(__xludf.DUMMYFUNCTION("""COMPUTED_VALUE"""),4.0)</f>
        <v>4</v>
      </c>
      <c r="G330" s="8">
        <f>IFERROR(__xludf.DUMMYFUNCTION("""COMPUTED_VALUE"""),1.0)</f>
        <v>1</v>
      </c>
      <c r="H330" s="8">
        <f>IFERROR(__xludf.DUMMYFUNCTION("""COMPUTED_VALUE"""),0.0)</f>
        <v>0</v>
      </c>
      <c r="I330" s="8" t="str">
        <f>IFERROR(__xludf.DUMMYFUNCTION("""COMPUTED_VALUE"""),"General")</f>
        <v>General</v>
      </c>
      <c r="J330" s="8" t="str">
        <f>IFERROR(__xludf.DUMMYFUNCTION("""COMPUTED_VALUE"""),"Tops")</f>
        <v>Tops</v>
      </c>
      <c r="K330" s="8" t="str">
        <f>IFERROR(__xludf.DUMMYFUNCTION("""COMPUTED_VALUE"""),"Blouses")</f>
        <v>Blouses</v>
      </c>
    </row>
    <row r="331">
      <c r="A331" s="8">
        <f>IFERROR(__xludf.DUMMYFUNCTION("""COMPUTED_VALUE"""),427.0)</f>
        <v>427</v>
      </c>
      <c r="B331" s="8">
        <f>IFERROR(__xludf.DUMMYFUNCTION("""COMPUTED_VALUE"""),964.0)</f>
        <v>964</v>
      </c>
      <c r="C331" s="8">
        <f>IFERROR(__xludf.DUMMYFUNCTION("""COMPUTED_VALUE"""),33.0)</f>
        <v>33</v>
      </c>
      <c r="D331" s="8" t="str">
        <f>IFERROR(__xludf.DUMMYFUNCTION("""COMPUTED_VALUE"""),"Very chic")</f>
        <v>Very chic</v>
      </c>
      <c r="E331" s="8" t="str">
        <f>IFERROR(__xludf.DUMMYFUNCTION("""COMPUTED_VALUE"""),"I love this jacket over a dress! it's snug fitting so can't wear anything bulky under it, but super stylish and comfy stretchy material. it's a bit pricey but i get a lot of wear out of it so worth it to me.")</f>
        <v>I love this jacket over a dress! it's snug fitting so can't wear anything bulky under it, but super stylish and comfy stretchy material. it's a bit pricey but i get a lot of wear out of it so worth it to me.</v>
      </c>
      <c r="F331" s="8">
        <f>IFERROR(__xludf.DUMMYFUNCTION("""COMPUTED_VALUE"""),5.0)</f>
        <v>5</v>
      </c>
      <c r="G331" s="8">
        <f>IFERROR(__xludf.DUMMYFUNCTION("""COMPUTED_VALUE"""),1.0)</f>
        <v>1</v>
      </c>
      <c r="H331" s="8">
        <f>IFERROR(__xludf.DUMMYFUNCTION("""COMPUTED_VALUE"""),0.0)</f>
        <v>0</v>
      </c>
      <c r="I331" s="8" t="str">
        <f>IFERROR(__xludf.DUMMYFUNCTION("""COMPUTED_VALUE"""),"General")</f>
        <v>General</v>
      </c>
      <c r="J331" s="8" t="str">
        <f>IFERROR(__xludf.DUMMYFUNCTION("""COMPUTED_VALUE"""),"Jackets")</f>
        <v>Jackets</v>
      </c>
      <c r="K331" s="8" t="str">
        <f>IFERROR(__xludf.DUMMYFUNCTION("""COMPUTED_VALUE"""),"Jackets")</f>
        <v>Jackets</v>
      </c>
    </row>
    <row r="332">
      <c r="A332" s="8">
        <f>IFERROR(__xludf.DUMMYFUNCTION("""COMPUTED_VALUE"""),428.0)</f>
        <v>428</v>
      </c>
      <c r="B332" s="8">
        <f>IFERROR(__xludf.DUMMYFUNCTION("""COMPUTED_VALUE"""),1089.0)</f>
        <v>1089</v>
      </c>
      <c r="C332" s="8">
        <f>IFERROR(__xludf.DUMMYFUNCTION("""COMPUTED_VALUE"""),38.0)</f>
        <v>38</v>
      </c>
      <c r="D332" s="8"/>
      <c r="E332" s="8" t="str">
        <f>IFERROR(__xludf.DUMMYFUNCTION("""COMPUTED_VALUE"""),"I'm 5'1 and 110 lbs.  i ordered this in a xsp and i could barely zip it up.  and when i did i couldn't breathe. i tried again and ordered a sp and it's perfect! now i just need somewhere to wear it.")</f>
        <v>I'm 5'1 and 110 lbs.  i ordered this in a xsp and i could barely zip it up.  and when i did i couldn't breathe. i tried again and ordered a sp and it's perfect! now i just need somewhere to wear it.</v>
      </c>
      <c r="F332" s="8">
        <f>IFERROR(__xludf.DUMMYFUNCTION("""COMPUTED_VALUE"""),5.0)</f>
        <v>5</v>
      </c>
      <c r="G332" s="8">
        <f>IFERROR(__xludf.DUMMYFUNCTION("""COMPUTED_VALUE"""),1.0)</f>
        <v>1</v>
      </c>
      <c r="H332" s="8">
        <f>IFERROR(__xludf.DUMMYFUNCTION("""COMPUTED_VALUE"""),0.0)</f>
        <v>0</v>
      </c>
      <c r="I332" s="8" t="str">
        <f>IFERROR(__xludf.DUMMYFUNCTION("""COMPUTED_VALUE"""),"General Petite")</f>
        <v>General Petite</v>
      </c>
      <c r="J332" s="8" t="str">
        <f>IFERROR(__xludf.DUMMYFUNCTION("""COMPUTED_VALUE"""),"Dresses")</f>
        <v>Dresses</v>
      </c>
      <c r="K332" s="8" t="str">
        <f>IFERROR(__xludf.DUMMYFUNCTION("""COMPUTED_VALUE"""),"Dresses")</f>
        <v>Dresses</v>
      </c>
    </row>
    <row r="333">
      <c r="A333" s="8">
        <f>IFERROR(__xludf.DUMMYFUNCTION("""COMPUTED_VALUE"""),429.0)</f>
        <v>429</v>
      </c>
      <c r="B333" s="8">
        <f>IFERROR(__xludf.DUMMYFUNCTION("""COMPUTED_VALUE"""),829.0)</f>
        <v>829</v>
      </c>
      <c r="C333" s="8">
        <f>IFERROR(__xludf.DUMMYFUNCTION("""COMPUTED_VALUE"""),32.0)</f>
        <v>32</v>
      </c>
      <c r="D333" s="8"/>
      <c r="E333" s="8" t="str">
        <f>IFERROR(__xludf.DUMMYFUNCTION("""COMPUTED_VALUE"""),"Beautiful shirt, hits me a little higher. i'm not sure i'm going to keep it just because i have something similar but its a beautiful top. i'm 5'6"" and carrying a little extra baby weight right now so i'm an 8-10 instead of my usual 6-8. i ordered an 8 a"&amp;"nd it fit well.")</f>
        <v>Beautiful shirt, hits me a little higher. i'm not sure i'm going to keep it just because i have something similar but its a beautiful top. i'm 5'6" and carrying a little extra baby weight right now so i'm an 8-10 instead of my usual 6-8. i ordered an 8 and it fit well.</v>
      </c>
      <c r="F333" s="8">
        <f>IFERROR(__xludf.DUMMYFUNCTION("""COMPUTED_VALUE"""),5.0)</f>
        <v>5</v>
      </c>
      <c r="G333" s="8">
        <f>IFERROR(__xludf.DUMMYFUNCTION("""COMPUTED_VALUE"""),1.0)</f>
        <v>1</v>
      </c>
      <c r="H333" s="8">
        <f>IFERROR(__xludf.DUMMYFUNCTION("""COMPUTED_VALUE"""),0.0)</f>
        <v>0</v>
      </c>
      <c r="I333" s="8" t="str">
        <f>IFERROR(__xludf.DUMMYFUNCTION("""COMPUTED_VALUE"""),"General")</f>
        <v>General</v>
      </c>
      <c r="J333" s="8" t="str">
        <f>IFERROR(__xludf.DUMMYFUNCTION("""COMPUTED_VALUE"""),"Tops")</f>
        <v>Tops</v>
      </c>
      <c r="K333" s="8" t="str">
        <f>IFERROR(__xludf.DUMMYFUNCTION("""COMPUTED_VALUE"""),"Blouses")</f>
        <v>Blouses</v>
      </c>
    </row>
    <row r="334">
      <c r="A334" s="8">
        <f>IFERROR(__xludf.DUMMYFUNCTION("""COMPUTED_VALUE"""),430.0)</f>
        <v>430</v>
      </c>
      <c r="B334" s="8">
        <f>IFERROR(__xludf.DUMMYFUNCTION("""COMPUTED_VALUE"""),829.0)</f>
        <v>829</v>
      </c>
      <c r="C334" s="8">
        <f>IFERROR(__xludf.DUMMYFUNCTION("""COMPUTED_VALUE"""),51.0)</f>
        <v>51</v>
      </c>
      <c r="D334" s="8" t="str">
        <f>IFERROR(__xludf.DUMMYFUNCTION("""COMPUTED_VALUE"""),"Beautiful and versatile top!")</f>
        <v>Beautiful and versatile top!</v>
      </c>
      <c r="E334" s="8" t="str">
        <f>IFERROR(__xludf.DUMMYFUNCTION("""COMPUTED_VALUE"""),"I love this blouse because it's great for work with cardigan over it, and great for going out with skirt, pants or jeans. it is tts and very flattering, light weight, and comfortable.")</f>
        <v>I love this blouse because it's great for work with cardigan over it, and great for going out with skirt, pants or jeans. it is tts and very flattering, light weight, and comfortable.</v>
      </c>
      <c r="F334" s="8">
        <f>IFERROR(__xludf.DUMMYFUNCTION("""COMPUTED_VALUE"""),5.0)</f>
        <v>5</v>
      </c>
      <c r="G334" s="8">
        <f>IFERROR(__xludf.DUMMYFUNCTION("""COMPUTED_VALUE"""),1.0)</f>
        <v>1</v>
      </c>
      <c r="H334" s="8">
        <f>IFERROR(__xludf.DUMMYFUNCTION("""COMPUTED_VALUE"""),0.0)</f>
        <v>0</v>
      </c>
      <c r="I334" s="8" t="str">
        <f>IFERROR(__xludf.DUMMYFUNCTION("""COMPUTED_VALUE"""),"General")</f>
        <v>General</v>
      </c>
      <c r="J334" s="8" t="str">
        <f>IFERROR(__xludf.DUMMYFUNCTION("""COMPUTED_VALUE"""),"Tops")</f>
        <v>Tops</v>
      </c>
      <c r="K334" s="8" t="str">
        <f>IFERROR(__xludf.DUMMYFUNCTION("""COMPUTED_VALUE"""),"Blouses")</f>
        <v>Blouses</v>
      </c>
    </row>
    <row r="335">
      <c r="A335" s="8">
        <f>IFERROR(__xludf.DUMMYFUNCTION("""COMPUTED_VALUE"""),431.0)</f>
        <v>431</v>
      </c>
      <c r="B335" s="8">
        <f>IFERROR(__xludf.DUMMYFUNCTION("""COMPUTED_VALUE"""),967.0)</f>
        <v>967</v>
      </c>
      <c r="C335" s="8">
        <f>IFERROR(__xludf.DUMMYFUNCTION("""COMPUTED_VALUE"""),56.0)</f>
        <v>56</v>
      </c>
      <c r="D335" s="8" t="str">
        <f>IFERROR(__xludf.DUMMYFUNCTION("""COMPUTED_VALUE"""),"So pretty and soft")</f>
        <v>So pretty and soft</v>
      </c>
      <c r="E335" s="8" t="str">
        <f>IFERROR(__xludf.DUMMYFUNCTION("""COMPUTED_VALUE"""),"I happened upon this in my local store despite the fact that it is an online exclusive. i love finding returns so i can see them in person. i loved the soft colors right away. my hesitation was the standup collar but it actually folds down just fine and g"&amp;"ives the vest lapels too. it also looks nice belted, left slightly open. i usually wear small or xs in tops and the small fits nicely. it doesn't need to close since there are no built-in fasteners. i will wear it with a long button down shirt o")</f>
        <v>I happened upon this in my local store despite the fact that it is an online exclusive. i love finding returns so i can see them in person. i loved the soft colors right away. my hesitation was the standup collar but it actually folds down just fine and gives the vest lapels too. it also looks nice belted, left slightly open. i usually wear small or xs in tops and the small fits nicely. it doesn't need to close since there are no built-in fasteners. i will wear it with a long button down shirt o</v>
      </c>
      <c r="F335" s="8">
        <f>IFERROR(__xludf.DUMMYFUNCTION("""COMPUTED_VALUE"""),5.0)</f>
        <v>5</v>
      </c>
      <c r="G335" s="8">
        <f>IFERROR(__xludf.DUMMYFUNCTION("""COMPUTED_VALUE"""),1.0)</f>
        <v>1</v>
      </c>
      <c r="H335" s="8">
        <f>IFERROR(__xludf.DUMMYFUNCTION("""COMPUTED_VALUE"""),1.0)</f>
        <v>1</v>
      </c>
      <c r="I335" s="8" t="str">
        <f>IFERROR(__xludf.DUMMYFUNCTION("""COMPUTED_VALUE"""),"General")</f>
        <v>General</v>
      </c>
      <c r="J335" s="8" t="str">
        <f>IFERROR(__xludf.DUMMYFUNCTION("""COMPUTED_VALUE"""),"Jackets")</f>
        <v>Jackets</v>
      </c>
      <c r="K335" s="8" t="str">
        <f>IFERROR(__xludf.DUMMYFUNCTION("""COMPUTED_VALUE"""),"Jackets")</f>
        <v>Jackets</v>
      </c>
    </row>
    <row r="336">
      <c r="A336" s="8">
        <f>IFERROR(__xludf.DUMMYFUNCTION("""COMPUTED_VALUE"""),432.0)</f>
        <v>432</v>
      </c>
      <c r="B336" s="8">
        <f>IFERROR(__xludf.DUMMYFUNCTION("""COMPUTED_VALUE"""),829.0)</f>
        <v>829</v>
      </c>
      <c r="C336" s="8">
        <f>IFERROR(__xludf.DUMMYFUNCTION("""COMPUTED_VALUE"""),38.0)</f>
        <v>38</v>
      </c>
      <c r="D336" s="8" t="str">
        <f>IFERROR(__xludf.DUMMYFUNCTION("""COMPUTED_VALUE"""),"Great for work or fun")</f>
        <v>Great for work or fun</v>
      </c>
      <c r="E336" s="8" t="str">
        <f>IFERROR(__xludf.DUMMYFUNCTION("""COMPUTED_VALUE"""),"I found this to fit tts. i sometimes wear petite, but found the petite sizing to be a little off. i have a pretty short torso, but found the petite to be too short. i opted for the regular sizing and got a 6; it fits great. this top is great for work (sty"&amp;"led with a cardigan or blazer) or for play. i can see it dressing up or down very easily.")</f>
        <v>I found this to fit tts. i sometimes wear petite, but found the petite sizing to be a little off. i have a pretty short torso, but found the petite to be too short. i opted for the regular sizing and got a 6; it fits great. this top is great for work (styled with a cardigan or blazer) or for play. i can see it dressing up or down very easily.</v>
      </c>
      <c r="F336" s="8">
        <f>IFERROR(__xludf.DUMMYFUNCTION("""COMPUTED_VALUE"""),4.0)</f>
        <v>4</v>
      </c>
      <c r="G336" s="8">
        <f>IFERROR(__xludf.DUMMYFUNCTION("""COMPUTED_VALUE"""),1.0)</f>
        <v>1</v>
      </c>
      <c r="H336" s="8">
        <f>IFERROR(__xludf.DUMMYFUNCTION("""COMPUTED_VALUE"""),2.0)</f>
        <v>2</v>
      </c>
      <c r="I336" s="8" t="str">
        <f>IFERROR(__xludf.DUMMYFUNCTION("""COMPUTED_VALUE"""),"General")</f>
        <v>General</v>
      </c>
      <c r="J336" s="8" t="str">
        <f>IFERROR(__xludf.DUMMYFUNCTION("""COMPUTED_VALUE"""),"Tops")</f>
        <v>Tops</v>
      </c>
      <c r="K336" s="8" t="str">
        <f>IFERROR(__xludf.DUMMYFUNCTION("""COMPUTED_VALUE"""),"Blouses")</f>
        <v>Blouses</v>
      </c>
    </row>
    <row r="337">
      <c r="A337" s="8">
        <f>IFERROR(__xludf.DUMMYFUNCTION("""COMPUTED_VALUE"""),433.0)</f>
        <v>433</v>
      </c>
      <c r="B337" s="8">
        <f>IFERROR(__xludf.DUMMYFUNCTION("""COMPUTED_VALUE"""),829.0)</f>
        <v>829</v>
      </c>
      <c r="C337" s="8">
        <f>IFERROR(__xludf.DUMMYFUNCTION("""COMPUTED_VALUE"""),35.0)</f>
        <v>35</v>
      </c>
      <c r="D337" s="8" t="str">
        <f>IFERROR(__xludf.DUMMYFUNCTION("""COMPUTED_VALUE"""),"Perfect shirt for work or night out.")</f>
        <v>Perfect shirt for work or night out.</v>
      </c>
      <c r="E337" s="8" t="str">
        <f>IFERROR(__xludf.DUMMYFUNCTION("""COMPUTED_VALUE"""),"I ordered the mustard yellow in 10 and found the shirt to fit true to size. it works great with a skirt and with jeans but i did need to wear it with high rise jeans otherwise it came right to the top of my normal jeans and i didn't want to risk showing a"&amp;"ny skin at work. 
the color is amazing and looks good with just about any color bottom so there is a lot of room to have fun with the top. 
being larger on top the ruffles did not bother me at all, but rather act like an accessory - i find")</f>
        <v>I ordered the mustard yellow in 10 and found the shirt to fit true to size. it works great with a skirt and with jeans but i did need to wear it with high rise jeans otherwise it came right to the top of my normal jeans and i didn't want to risk showing any skin at work. 
the color is amazing and looks good with just about any color bottom so there is a lot of room to have fun with the top. 
being larger on top the ruffles did not bother me at all, but rather act like an accessory - i find</v>
      </c>
      <c r="F337" s="8">
        <f>IFERROR(__xludf.DUMMYFUNCTION("""COMPUTED_VALUE"""),4.0)</f>
        <v>4</v>
      </c>
      <c r="G337" s="8">
        <f>IFERROR(__xludf.DUMMYFUNCTION("""COMPUTED_VALUE"""),1.0)</f>
        <v>1</v>
      </c>
      <c r="H337" s="8">
        <f>IFERROR(__xludf.DUMMYFUNCTION("""COMPUTED_VALUE"""),0.0)</f>
        <v>0</v>
      </c>
      <c r="I337" s="8" t="str">
        <f>IFERROR(__xludf.DUMMYFUNCTION("""COMPUTED_VALUE"""),"General")</f>
        <v>General</v>
      </c>
      <c r="J337" s="8" t="str">
        <f>IFERROR(__xludf.DUMMYFUNCTION("""COMPUTED_VALUE"""),"Tops")</f>
        <v>Tops</v>
      </c>
      <c r="K337" s="8" t="str">
        <f>IFERROR(__xludf.DUMMYFUNCTION("""COMPUTED_VALUE"""),"Blouses")</f>
        <v>Blouses</v>
      </c>
    </row>
    <row r="338">
      <c r="A338" s="8">
        <f>IFERROR(__xludf.DUMMYFUNCTION("""COMPUTED_VALUE"""),434.0)</f>
        <v>434</v>
      </c>
      <c r="B338" s="8">
        <f>IFERROR(__xludf.DUMMYFUNCTION("""COMPUTED_VALUE"""),872.0)</f>
        <v>872</v>
      </c>
      <c r="C338" s="8">
        <f>IFERROR(__xludf.DUMMYFUNCTION("""COMPUTED_VALUE"""),48.0)</f>
        <v>48</v>
      </c>
      <c r="D338" s="8" t="str">
        <f>IFERROR(__xludf.DUMMYFUNCTION("""COMPUTED_VALUE"""),"Flattering tee")</f>
        <v>Flattering tee</v>
      </c>
      <c r="E338" s="8" t="str">
        <f>IFERROR(__xludf.DUMMYFUNCTION("""COMPUTED_VALUE"""),"I just tried this top in red in xs and i think it's cute. it's fairly fitted in my opinion; the sleeves are pretty snug but there's stretch to them. i was fine with the fabric and the size xs (i'm ~105 lbs, 34aa) even though sometimes i fit better in xspe"&amp;"tite. the only downside is that the washing instructions say to remove the tie before machine washing, and i guess that put me off a little (the idea of re-lacing it every time). so i haven't yet bought it. the red is vibrant, tomato red and the")</f>
        <v>I just tried this top in red in xs and i think it's cute. it's fairly fitted in my opinion; the sleeves are pretty snug but there's stretch to them. i was fine with the fabric and the size xs (i'm ~105 lbs, 34aa) even though sometimes i fit better in xspetite. the only downside is that the washing instructions say to remove the tie before machine washing, and i guess that put me off a little (the idea of re-lacing it every time). so i haven't yet bought it. the red is vibrant, tomato red and the</v>
      </c>
      <c r="F338" s="8">
        <f>IFERROR(__xludf.DUMMYFUNCTION("""COMPUTED_VALUE"""),4.0)</f>
        <v>4</v>
      </c>
      <c r="G338" s="8">
        <f>IFERROR(__xludf.DUMMYFUNCTION("""COMPUTED_VALUE"""),1.0)</f>
        <v>1</v>
      </c>
      <c r="H338" s="8">
        <f>IFERROR(__xludf.DUMMYFUNCTION("""COMPUTED_VALUE"""),19.0)</f>
        <v>19</v>
      </c>
      <c r="I338" s="8" t="str">
        <f>IFERROR(__xludf.DUMMYFUNCTION("""COMPUTED_VALUE"""),"General")</f>
        <v>General</v>
      </c>
      <c r="J338" s="8" t="str">
        <f>IFERROR(__xludf.DUMMYFUNCTION("""COMPUTED_VALUE"""),"Tops")</f>
        <v>Tops</v>
      </c>
      <c r="K338" s="8" t="str">
        <f>IFERROR(__xludf.DUMMYFUNCTION("""COMPUTED_VALUE"""),"Knits")</f>
        <v>Knits</v>
      </c>
    </row>
    <row r="339">
      <c r="A339" s="8">
        <f>IFERROR(__xludf.DUMMYFUNCTION("""COMPUTED_VALUE"""),435.0)</f>
        <v>435</v>
      </c>
      <c r="B339" s="8">
        <f>IFERROR(__xludf.DUMMYFUNCTION("""COMPUTED_VALUE"""),872.0)</f>
        <v>872</v>
      </c>
      <c r="C339" s="8">
        <f>IFERROR(__xludf.DUMMYFUNCTION("""COMPUTED_VALUE"""),31.0)</f>
        <v>31</v>
      </c>
      <c r="D339" s="8"/>
      <c r="E339" s="8" t="str">
        <f>IFERROR(__xludf.DUMMYFUNCTION("""COMPUTED_VALUE"""),"The cut of this shirt is lovely and well thought out, the opening for the arm are not too big like some other shirts. i liked the material and the melon/ salmon color which i ordered was more vibrant in person. this does run large so i wished i had ordere"&amp;"d one size down.")</f>
        <v>The cut of this shirt is lovely and well thought out, the opening for the arm are not too big like some other shirts. i liked the material and the melon/ salmon color which i ordered was more vibrant in person. this does run large so i wished i had ordered one size down.</v>
      </c>
      <c r="F339" s="8">
        <f>IFERROR(__xludf.DUMMYFUNCTION("""COMPUTED_VALUE"""),4.0)</f>
        <v>4</v>
      </c>
      <c r="G339" s="8">
        <f>IFERROR(__xludf.DUMMYFUNCTION("""COMPUTED_VALUE"""),1.0)</f>
        <v>1</v>
      </c>
      <c r="H339" s="8">
        <f>IFERROR(__xludf.DUMMYFUNCTION("""COMPUTED_VALUE"""),0.0)</f>
        <v>0</v>
      </c>
      <c r="I339" s="8" t="str">
        <f>IFERROR(__xludf.DUMMYFUNCTION("""COMPUTED_VALUE"""),"General")</f>
        <v>General</v>
      </c>
      <c r="J339" s="8" t="str">
        <f>IFERROR(__xludf.DUMMYFUNCTION("""COMPUTED_VALUE"""),"Tops")</f>
        <v>Tops</v>
      </c>
      <c r="K339" s="8" t="str">
        <f>IFERROR(__xludf.DUMMYFUNCTION("""COMPUTED_VALUE"""),"Knits")</f>
        <v>Knits</v>
      </c>
    </row>
    <row r="340">
      <c r="A340" s="8">
        <f>IFERROR(__xludf.DUMMYFUNCTION("""COMPUTED_VALUE"""),436.0)</f>
        <v>436</v>
      </c>
      <c r="B340" s="8">
        <f>IFERROR(__xludf.DUMMYFUNCTION("""COMPUTED_VALUE"""),149.0)</f>
        <v>149</v>
      </c>
      <c r="C340" s="8">
        <f>IFERROR(__xludf.DUMMYFUNCTION("""COMPUTED_VALUE"""),38.0)</f>
        <v>38</v>
      </c>
      <c r="D340" s="8" t="str">
        <f>IFERROR(__xludf.DUMMYFUNCTION("""COMPUTED_VALUE"""),"So soft and comfy and fit for yoga!")</f>
        <v>So soft and comfy and fit for yoga!</v>
      </c>
      <c r="E340" s="8" t="str">
        <f>IFERROR(__xludf.DUMMYFUNCTION("""COMPUTED_VALUE"""),"5'6"" 113lbs purchased size small in rich navy. so soft and comfy and i like that the cuffs help the pants not ride (even during sleep). i like that the fit is slim but not constricting on legs as all my yoga pants. tested this at my local vinyasa class a"&amp;"nd it held up without making me too hot (and i sweat a lot).
my biggest complaint is that the fabric pills right out of the packaging. actually their tag says the fabric does this and over time will continue to do this more and more because of i")</f>
        <v>5'6" 113lbs purchased size small in rich navy. so soft and comfy and i like that the cuffs help the pants not ride (even during sleep). i like that the fit is slim but not constricting on legs as all my yoga pants. tested this at my local vinyasa class and it held up without making me too hot (and i sweat a lot).
my biggest complaint is that the fabric pills right out of the packaging. actually their tag says the fabric does this and over time will continue to do this more and more because of i</v>
      </c>
      <c r="F340" s="8">
        <f>IFERROR(__xludf.DUMMYFUNCTION("""COMPUTED_VALUE"""),4.0)</f>
        <v>4</v>
      </c>
      <c r="G340" s="8">
        <f>IFERROR(__xludf.DUMMYFUNCTION("""COMPUTED_VALUE"""),1.0)</f>
        <v>1</v>
      </c>
      <c r="H340" s="8">
        <f>IFERROR(__xludf.DUMMYFUNCTION("""COMPUTED_VALUE"""),1.0)</f>
        <v>1</v>
      </c>
      <c r="I340" s="8" t="str">
        <f>IFERROR(__xludf.DUMMYFUNCTION("""COMPUTED_VALUE"""),"Initmates")</f>
        <v>Initmates</v>
      </c>
      <c r="J340" s="8" t="str">
        <f>IFERROR(__xludf.DUMMYFUNCTION("""COMPUTED_VALUE"""),"Intimate")</f>
        <v>Intimate</v>
      </c>
      <c r="K340" s="8" t="str">
        <f>IFERROR(__xludf.DUMMYFUNCTION("""COMPUTED_VALUE"""),"Lounge")</f>
        <v>Lounge</v>
      </c>
    </row>
    <row r="341">
      <c r="A341" s="8">
        <f>IFERROR(__xludf.DUMMYFUNCTION("""COMPUTED_VALUE"""),437.0)</f>
        <v>437</v>
      </c>
      <c r="B341" s="8">
        <f>IFERROR(__xludf.DUMMYFUNCTION("""COMPUTED_VALUE"""),964.0)</f>
        <v>964</v>
      </c>
      <c r="C341" s="8">
        <f>IFERROR(__xludf.DUMMYFUNCTION("""COMPUTED_VALUE"""),58.0)</f>
        <v>58</v>
      </c>
      <c r="D341" s="8" t="str">
        <f>IFERROR(__xludf.DUMMYFUNCTION("""COMPUTED_VALUE"""),"Funky and classy")</f>
        <v>Funky and classy</v>
      </c>
      <c r="E341" s="8" t="str">
        <f>IFERROR(__xludf.DUMMYFUNCTION("""COMPUTED_VALUE"""),"Great looking jacket with attitude. the color is more like a faded black or deep charcoal grey. i'm usually a large petite but this is snug in the chest. luckily it's a knit so i can make it work by zipping it partway and leaving the top half open.")</f>
        <v>Great looking jacket with attitude. the color is more like a faded black or deep charcoal grey. i'm usually a large petite but this is snug in the chest. luckily it's a knit so i can make it work by zipping it partway and leaving the top half open.</v>
      </c>
      <c r="F341" s="8">
        <f>IFERROR(__xludf.DUMMYFUNCTION("""COMPUTED_VALUE"""),5.0)</f>
        <v>5</v>
      </c>
      <c r="G341" s="8">
        <f>IFERROR(__xludf.DUMMYFUNCTION("""COMPUTED_VALUE"""),1.0)</f>
        <v>1</v>
      </c>
      <c r="H341" s="8">
        <f>IFERROR(__xludf.DUMMYFUNCTION("""COMPUTED_VALUE"""),4.0)</f>
        <v>4</v>
      </c>
      <c r="I341" s="8" t="str">
        <f>IFERROR(__xludf.DUMMYFUNCTION("""COMPUTED_VALUE"""),"General")</f>
        <v>General</v>
      </c>
      <c r="J341" s="8" t="str">
        <f>IFERROR(__xludf.DUMMYFUNCTION("""COMPUTED_VALUE"""),"Jackets")</f>
        <v>Jackets</v>
      </c>
      <c r="K341" s="8" t="str">
        <f>IFERROR(__xludf.DUMMYFUNCTION("""COMPUTED_VALUE"""),"Jackets")</f>
        <v>Jackets</v>
      </c>
    </row>
    <row r="342">
      <c r="A342" s="8">
        <f>IFERROR(__xludf.DUMMYFUNCTION("""COMPUTED_VALUE"""),438.0)</f>
        <v>438</v>
      </c>
      <c r="B342" s="8">
        <f>IFERROR(__xludf.DUMMYFUNCTION("""COMPUTED_VALUE"""),1030.0)</f>
        <v>1030</v>
      </c>
      <c r="C342" s="8">
        <f>IFERROR(__xludf.DUMMYFUNCTION("""COMPUTED_VALUE"""),63.0)</f>
        <v>63</v>
      </c>
      <c r="D342" s="8" t="str">
        <f>IFERROR(__xludf.DUMMYFUNCTION("""COMPUTED_VALUE"""),"Really cute!")</f>
        <v>Really cute!</v>
      </c>
      <c r="E342" s="8" t="str">
        <f>IFERROR(__xludf.DUMMYFUNCTION("""COMPUTED_VALUE"""),"These jeans are so cute! they are perfect for petites too! i am fit, look way younger than my age and get so many compliments when i wear these jeans. i'm. i'm 5'2"", 115 libs and they definitely fit tight in a good way. just like the photo pretty much. t"&amp;"hey are not small like the white mother ankle fray jeans for sale on the site now. those definitely run smaller so these are true to size with a tight fit.")</f>
        <v>These jeans are so cute! they are perfect for petites too! i am fit, look way younger than my age and get so many compliments when i wear these jeans. i'm. i'm 5'2", 115 libs and they definitely fit tight in a good way. just like the photo pretty much. they are not small like the white mother ankle fray jeans for sale on the site now. those definitely run smaller so these are true to size with a tight fit.</v>
      </c>
      <c r="F342" s="8">
        <f>IFERROR(__xludf.DUMMYFUNCTION("""COMPUTED_VALUE"""),5.0)</f>
        <v>5</v>
      </c>
      <c r="G342" s="8">
        <f>IFERROR(__xludf.DUMMYFUNCTION("""COMPUTED_VALUE"""),1.0)</f>
        <v>1</v>
      </c>
      <c r="H342" s="8">
        <f>IFERROR(__xludf.DUMMYFUNCTION("""COMPUTED_VALUE"""),1.0)</f>
        <v>1</v>
      </c>
      <c r="I342" s="8" t="str">
        <f>IFERROR(__xludf.DUMMYFUNCTION("""COMPUTED_VALUE"""),"General")</f>
        <v>General</v>
      </c>
      <c r="J342" s="8" t="str">
        <f>IFERROR(__xludf.DUMMYFUNCTION("""COMPUTED_VALUE"""),"Bottoms")</f>
        <v>Bottoms</v>
      </c>
      <c r="K342" s="8" t="str">
        <f>IFERROR(__xludf.DUMMYFUNCTION("""COMPUTED_VALUE"""),"Jeans")</f>
        <v>Jeans</v>
      </c>
    </row>
    <row r="343">
      <c r="A343" s="8">
        <f>IFERROR(__xludf.DUMMYFUNCTION("""COMPUTED_VALUE"""),439.0)</f>
        <v>439</v>
      </c>
      <c r="B343" s="8">
        <f>IFERROR(__xludf.DUMMYFUNCTION("""COMPUTED_VALUE"""),964.0)</f>
        <v>964</v>
      </c>
      <c r="C343" s="8">
        <f>IFERROR(__xludf.DUMMYFUNCTION("""COMPUTED_VALUE"""),40.0)</f>
        <v>40</v>
      </c>
      <c r="D343" s="8" t="str">
        <f>IFERROR(__xludf.DUMMYFUNCTION("""COMPUTED_VALUE"""),"Love. this. jacket.")</f>
        <v>Love. this. jacket.</v>
      </c>
      <c r="E343" s="8" t="str">
        <f>IFERROR(__xludf.DUMMYFUNCTION("""COMPUTED_VALUE"""),"I live in los angeles and this is the perfect beginning of fall jacket! i've worn it with dresses and with jeans. definitely has enough extra room to slip a hoodie or small seater on underneath when it gets colder. it's soft and stylish. the only downside"&amp;" is that the pockets aren't really deep enough to put anything in.")</f>
        <v>I live in los angeles and this is the perfect beginning of fall jacket! i've worn it with dresses and with jeans. definitely has enough extra room to slip a hoodie or small seater on underneath when it gets colder. it's soft and stylish. the only downside is that the pockets aren't really deep enough to put anything in.</v>
      </c>
      <c r="F343" s="8">
        <f>IFERROR(__xludf.DUMMYFUNCTION("""COMPUTED_VALUE"""),5.0)</f>
        <v>5</v>
      </c>
      <c r="G343" s="8">
        <f>IFERROR(__xludf.DUMMYFUNCTION("""COMPUTED_VALUE"""),1.0)</f>
        <v>1</v>
      </c>
      <c r="H343" s="8">
        <f>IFERROR(__xludf.DUMMYFUNCTION("""COMPUTED_VALUE"""),5.0)</f>
        <v>5</v>
      </c>
      <c r="I343" s="8" t="str">
        <f>IFERROR(__xludf.DUMMYFUNCTION("""COMPUTED_VALUE"""),"General")</f>
        <v>General</v>
      </c>
      <c r="J343" s="8" t="str">
        <f>IFERROR(__xludf.DUMMYFUNCTION("""COMPUTED_VALUE"""),"Jackets")</f>
        <v>Jackets</v>
      </c>
      <c r="K343" s="8" t="str">
        <f>IFERROR(__xludf.DUMMYFUNCTION("""COMPUTED_VALUE"""),"Jackets")</f>
        <v>Jackets</v>
      </c>
    </row>
    <row r="344">
      <c r="A344" s="8">
        <f>IFERROR(__xludf.DUMMYFUNCTION("""COMPUTED_VALUE"""),441.0)</f>
        <v>441</v>
      </c>
      <c r="B344" s="8">
        <f>IFERROR(__xludf.DUMMYFUNCTION("""COMPUTED_VALUE"""),872.0)</f>
        <v>872</v>
      </c>
      <c r="C344" s="8">
        <f>IFERROR(__xludf.DUMMYFUNCTION("""COMPUTED_VALUE"""),60.0)</f>
        <v>60</v>
      </c>
      <c r="D344" s="8" t="str">
        <f>IFERROR(__xludf.DUMMYFUNCTION("""COMPUTED_VALUE"""),"Cute top")</f>
        <v>Cute top</v>
      </c>
      <c r="E344" s="8" t="str">
        <f>IFERROR(__xludf.DUMMYFUNCTION("""COMPUTED_VALUE"""),"I really like this top. it's super cute - perfect for a football game or fairly casual event. the material is ribbed and is thick enough that you can't see through. i purchased this top in red and initially in petite but ended up returning it for the regu"&amp;"lar size. i love this top!")</f>
        <v>I really like this top. it's super cute - perfect for a football game or fairly casual event. the material is ribbed and is thick enough that you can't see through. i purchased this top in red and initially in petite but ended up returning it for the regular size. i love this top!</v>
      </c>
      <c r="F344" s="8">
        <f>IFERROR(__xludf.DUMMYFUNCTION("""COMPUTED_VALUE"""),4.0)</f>
        <v>4</v>
      </c>
      <c r="G344" s="8">
        <f>IFERROR(__xludf.DUMMYFUNCTION("""COMPUTED_VALUE"""),1.0)</f>
        <v>1</v>
      </c>
      <c r="H344" s="8">
        <f>IFERROR(__xludf.DUMMYFUNCTION("""COMPUTED_VALUE"""),1.0)</f>
        <v>1</v>
      </c>
      <c r="I344" s="8" t="str">
        <f>IFERROR(__xludf.DUMMYFUNCTION("""COMPUTED_VALUE"""),"General")</f>
        <v>General</v>
      </c>
      <c r="J344" s="8" t="str">
        <f>IFERROR(__xludf.DUMMYFUNCTION("""COMPUTED_VALUE"""),"Tops")</f>
        <v>Tops</v>
      </c>
      <c r="K344" s="8" t="str">
        <f>IFERROR(__xludf.DUMMYFUNCTION("""COMPUTED_VALUE"""),"Knits")</f>
        <v>Knits</v>
      </c>
    </row>
    <row r="345">
      <c r="A345" s="8">
        <f>IFERROR(__xludf.DUMMYFUNCTION("""COMPUTED_VALUE"""),442.0)</f>
        <v>442</v>
      </c>
      <c r="B345" s="8">
        <f>IFERROR(__xludf.DUMMYFUNCTION("""COMPUTED_VALUE"""),872.0)</f>
        <v>872</v>
      </c>
      <c r="C345" s="8">
        <f>IFERROR(__xludf.DUMMYFUNCTION("""COMPUTED_VALUE"""),60.0)</f>
        <v>60</v>
      </c>
      <c r="D345" s="8" t="str">
        <f>IFERROR(__xludf.DUMMYFUNCTION("""COMPUTED_VALUE"""),"Red tee")</f>
        <v>Red tee</v>
      </c>
      <c r="E345" s="8" t="str">
        <f>IFERROR(__xludf.DUMMYFUNCTION("""COMPUTED_VALUE"""),"Nice tee, true red,3/4 sleeves, lacing is a nice touch. good quality and great sale price.")</f>
        <v>Nice tee, true red,3/4 sleeves, lacing is a nice touch. good quality and great sale price.</v>
      </c>
      <c r="F345" s="8">
        <f>IFERROR(__xludf.DUMMYFUNCTION("""COMPUTED_VALUE"""),5.0)</f>
        <v>5</v>
      </c>
      <c r="G345" s="8">
        <f>IFERROR(__xludf.DUMMYFUNCTION("""COMPUTED_VALUE"""),1.0)</f>
        <v>1</v>
      </c>
      <c r="H345" s="8">
        <f>IFERROR(__xludf.DUMMYFUNCTION("""COMPUTED_VALUE"""),1.0)</f>
        <v>1</v>
      </c>
      <c r="I345" s="8" t="str">
        <f>IFERROR(__xludf.DUMMYFUNCTION("""COMPUTED_VALUE"""),"General")</f>
        <v>General</v>
      </c>
      <c r="J345" s="8" t="str">
        <f>IFERROR(__xludf.DUMMYFUNCTION("""COMPUTED_VALUE"""),"Tops")</f>
        <v>Tops</v>
      </c>
      <c r="K345" s="8" t="str">
        <f>IFERROR(__xludf.DUMMYFUNCTION("""COMPUTED_VALUE"""),"Knits")</f>
        <v>Knits</v>
      </c>
    </row>
    <row r="346">
      <c r="A346" s="8">
        <f>IFERROR(__xludf.DUMMYFUNCTION("""COMPUTED_VALUE"""),443.0)</f>
        <v>443</v>
      </c>
      <c r="B346" s="8">
        <f>IFERROR(__xludf.DUMMYFUNCTION("""COMPUTED_VALUE"""),829.0)</f>
        <v>829</v>
      </c>
      <c r="C346" s="8">
        <f>IFERROR(__xludf.DUMMYFUNCTION("""COMPUTED_VALUE"""),48.0)</f>
        <v>48</v>
      </c>
      <c r="D346" s="8" t="str">
        <f>IFERROR(__xludf.DUMMYFUNCTION("""COMPUTED_VALUE"""),"Undecided")</f>
        <v>Undecided</v>
      </c>
      <c r="E346" s="8" t="str">
        <f>IFERROR(__xludf.DUMMYFUNCTION("""COMPUTED_VALUE"""),"Feminine and lovely flutters indeed. i am on the fence. i ordered in a petite - had to size down - and something about bust and arm holes not completely right. given the light and airiness of this tank it does not seem right to have to wear a camisole und"&amp;"erneath which is what it would need for work wear.")</f>
        <v>Feminine and lovely flutters indeed. i am on the fence. i ordered in a petite - had to size down - and something about bust and arm holes not completely right. given the light and airiness of this tank it does not seem right to have to wear a camisole underneath which is what it would need for work wear.</v>
      </c>
      <c r="F346" s="8">
        <f>IFERROR(__xludf.DUMMYFUNCTION("""COMPUTED_VALUE"""),4.0)</f>
        <v>4</v>
      </c>
      <c r="G346" s="8">
        <f>IFERROR(__xludf.DUMMYFUNCTION("""COMPUTED_VALUE"""),1.0)</f>
        <v>1</v>
      </c>
      <c r="H346" s="8">
        <f>IFERROR(__xludf.DUMMYFUNCTION("""COMPUTED_VALUE"""),6.0)</f>
        <v>6</v>
      </c>
      <c r="I346" s="8" t="str">
        <f>IFERROR(__xludf.DUMMYFUNCTION("""COMPUTED_VALUE"""),"General")</f>
        <v>General</v>
      </c>
      <c r="J346" s="8" t="str">
        <f>IFERROR(__xludf.DUMMYFUNCTION("""COMPUTED_VALUE"""),"Tops")</f>
        <v>Tops</v>
      </c>
      <c r="K346" s="8" t="str">
        <f>IFERROR(__xludf.DUMMYFUNCTION("""COMPUTED_VALUE"""),"Blouses")</f>
        <v>Blouses</v>
      </c>
    </row>
    <row r="347">
      <c r="A347" s="8">
        <f>IFERROR(__xludf.DUMMYFUNCTION("""COMPUTED_VALUE"""),444.0)</f>
        <v>444</v>
      </c>
      <c r="B347" s="8">
        <f>IFERROR(__xludf.DUMMYFUNCTION("""COMPUTED_VALUE"""),872.0)</f>
        <v>872</v>
      </c>
      <c r="C347" s="8">
        <f>IFERROR(__xludf.DUMMYFUNCTION("""COMPUTED_VALUE"""),70.0)</f>
        <v>70</v>
      </c>
      <c r="D347" s="8" t="str">
        <f>IFERROR(__xludf.DUMMYFUNCTION("""COMPUTED_VALUE"""),"Great casual shirt")</f>
        <v>Great casual shirt</v>
      </c>
      <c r="E347" s="8" t="str">
        <f>IFERROR(__xludf.DUMMYFUNCTION("""COMPUTED_VALUE"""),"Very nice casual, inexpensive shirt and the laced neckline is great....not too revealing and easily worn tied 
without looking prudish. and of course, open as well")</f>
        <v>Very nice casual, inexpensive shirt and the laced neckline is great....not too revealing and easily worn tied 
without looking prudish. and of course, open as well</v>
      </c>
      <c r="F347" s="8">
        <f>IFERROR(__xludf.DUMMYFUNCTION("""COMPUTED_VALUE"""),4.0)</f>
        <v>4</v>
      </c>
      <c r="G347" s="8">
        <f>IFERROR(__xludf.DUMMYFUNCTION("""COMPUTED_VALUE"""),1.0)</f>
        <v>1</v>
      </c>
      <c r="H347" s="8">
        <f>IFERROR(__xludf.DUMMYFUNCTION("""COMPUTED_VALUE"""),0.0)</f>
        <v>0</v>
      </c>
      <c r="I347" s="8" t="str">
        <f>IFERROR(__xludf.DUMMYFUNCTION("""COMPUTED_VALUE"""),"General")</f>
        <v>General</v>
      </c>
      <c r="J347" s="8" t="str">
        <f>IFERROR(__xludf.DUMMYFUNCTION("""COMPUTED_VALUE"""),"Tops")</f>
        <v>Tops</v>
      </c>
      <c r="K347" s="8" t="str">
        <f>IFERROR(__xludf.DUMMYFUNCTION("""COMPUTED_VALUE"""),"Knits")</f>
        <v>Knits</v>
      </c>
    </row>
    <row r="348">
      <c r="A348" s="8">
        <f>IFERROR(__xludf.DUMMYFUNCTION("""COMPUTED_VALUE"""),445.0)</f>
        <v>445</v>
      </c>
      <c r="B348" s="8">
        <f>IFERROR(__xludf.DUMMYFUNCTION("""COMPUTED_VALUE"""),964.0)</f>
        <v>964</v>
      </c>
      <c r="C348" s="8">
        <f>IFERROR(__xludf.DUMMYFUNCTION("""COMPUTED_VALUE"""),27.0)</f>
        <v>27</v>
      </c>
      <c r="D348" s="8" t="str">
        <f>IFERROR(__xludf.DUMMYFUNCTION("""COMPUTED_VALUE"""),"So much better irl")</f>
        <v>So much better irl</v>
      </c>
      <c r="E348" s="8" t="str">
        <f>IFERROR(__xludf.DUMMYFUNCTION("""COMPUTED_VALUE"""),"When i ordered this little jacket i knew i would like it, upon arrival i fell in love. it is a little edgy with leather detailing and with stretch in all the right places, the crop is super flattering. appeared online to be a bit more of a sweatshirt mate"&amp;"rial but it has so much structure and holds its shape!")</f>
        <v>When i ordered this little jacket i knew i would like it, upon arrival i fell in love. it is a little edgy with leather detailing and with stretch in all the right places, the crop is super flattering. appeared online to be a bit more of a sweatshirt material but it has so much structure and holds its shape!</v>
      </c>
      <c r="F348" s="8">
        <f>IFERROR(__xludf.DUMMYFUNCTION("""COMPUTED_VALUE"""),5.0)</f>
        <v>5</v>
      </c>
      <c r="G348" s="8">
        <f>IFERROR(__xludf.DUMMYFUNCTION("""COMPUTED_VALUE"""),1.0)</f>
        <v>1</v>
      </c>
      <c r="H348" s="8">
        <f>IFERROR(__xludf.DUMMYFUNCTION("""COMPUTED_VALUE"""),0.0)</f>
        <v>0</v>
      </c>
      <c r="I348" s="8" t="str">
        <f>IFERROR(__xludf.DUMMYFUNCTION("""COMPUTED_VALUE"""),"General")</f>
        <v>General</v>
      </c>
      <c r="J348" s="8" t="str">
        <f>IFERROR(__xludf.DUMMYFUNCTION("""COMPUTED_VALUE"""),"Jackets")</f>
        <v>Jackets</v>
      </c>
      <c r="K348" s="8" t="str">
        <f>IFERROR(__xludf.DUMMYFUNCTION("""COMPUTED_VALUE"""),"Jackets")</f>
        <v>Jackets</v>
      </c>
    </row>
    <row r="349">
      <c r="A349" s="8">
        <f>IFERROR(__xludf.DUMMYFUNCTION("""COMPUTED_VALUE"""),448.0)</f>
        <v>448</v>
      </c>
      <c r="B349" s="8">
        <f>IFERROR(__xludf.DUMMYFUNCTION("""COMPUTED_VALUE"""),872.0)</f>
        <v>872</v>
      </c>
      <c r="C349" s="8">
        <f>IFERROR(__xludf.DUMMYFUNCTION("""COMPUTED_VALUE"""),51.0)</f>
        <v>51</v>
      </c>
      <c r="D349" s="8" t="str">
        <f>IFERROR(__xludf.DUMMYFUNCTION("""COMPUTED_VALUE"""),"Vibrant red color")</f>
        <v>Vibrant red color</v>
      </c>
      <c r="E349" s="8" t="str">
        <f>IFERROR(__xludf.DUMMYFUNCTION("""COMPUTED_VALUE"""),"I got this shirt in red and black. both colors vibrant and material of shirt is nice cotton blend. will get lots of use from both shirts.")</f>
        <v>I got this shirt in red and black. both colors vibrant and material of shirt is nice cotton blend. will get lots of use from both shirts.</v>
      </c>
      <c r="F349" s="8">
        <f>IFERROR(__xludf.DUMMYFUNCTION("""COMPUTED_VALUE"""),5.0)</f>
        <v>5</v>
      </c>
      <c r="G349" s="8">
        <f>IFERROR(__xludf.DUMMYFUNCTION("""COMPUTED_VALUE"""),1.0)</f>
        <v>1</v>
      </c>
      <c r="H349" s="8">
        <f>IFERROR(__xludf.DUMMYFUNCTION("""COMPUTED_VALUE"""),1.0)</f>
        <v>1</v>
      </c>
      <c r="I349" s="8" t="str">
        <f>IFERROR(__xludf.DUMMYFUNCTION("""COMPUTED_VALUE"""),"General")</f>
        <v>General</v>
      </c>
      <c r="J349" s="8" t="str">
        <f>IFERROR(__xludf.DUMMYFUNCTION("""COMPUTED_VALUE"""),"Tops")</f>
        <v>Tops</v>
      </c>
      <c r="K349" s="8" t="str">
        <f>IFERROR(__xludf.DUMMYFUNCTION("""COMPUTED_VALUE"""),"Knits")</f>
        <v>Knits</v>
      </c>
    </row>
    <row r="350">
      <c r="A350" s="8">
        <f>IFERROR(__xludf.DUMMYFUNCTION("""COMPUTED_VALUE"""),449.0)</f>
        <v>449</v>
      </c>
      <c r="B350" s="8">
        <f>IFERROR(__xludf.DUMMYFUNCTION("""COMPUTED_VALUE"""),872.0)</f>
        <v>872</v>
      </c>
      <c r="C350" s="8">
        <f>IFERROR(__xludf.DUMMYFUNCTION("""COMPUTED_VALUE"""),48.0)</f>
        <v>48</v>
      </c>
      <c r="D350" s="8" t="str">
        <f>IFERROR(__xludf.DUMMYFUNCTION("""COMPUTED_VALUE"""),"Love")</f>
        <v>Love</v>
      </c>
      <c r="E350" s="8" t="str">
        <f>IFERROR(__xludf.DUMMYFUNCTION("""COMPUTED_VALUE"""),"This is the most flattering shirt--love the fit and color!")</f>
        <v>This is the most flattering shirt--love the fit and color!</v>
      </c>
      <c r="F350" s="8">
        <f>IFERROR(__xludf.DUMMYFUNCTION("""COMPUTED_VALUE"""),5.0)</f>
        <v>5</v>
      </c>
      <c r="G350" s="8">
        <f>IFERROR(__xludf.DUMMYFUNCTION("""COMPUTED_VALUE"""),1.0)</f>
        <v>1</v>
      </c>
      <c r="H350" s="8">
        <f>IFERROR(__xludf.DUMMYFUNCTION("""COMPUTED_VALUE"""),0.0)</f>
        <v>0</v>
      </c>
      <c r="I350" s="8" t="str">
        <f>IFERROR(__xludf.DUMMYFUNCTION("""COMPUTED_VALUE"""),"General")</f>
        <v>General</v>
      </c>
      <c r="J350" s="8" t="str">
        <f>IFERROR(__xludf.DUMMYFUNCTION("""COMPUTED_VALUE"""),"Tops")</f>
        <v>Tops</v>
      </c>
      <c r="K350" s="8" t="str">
        <f>IFERROR(__xludf.DUMMYFUNCTION("""COMPUTED_VALUE"""),"Knits")</f>
        <v>Knits</v>
      </c>
    </row>
    <row r="351">
      <c r="A351" s="8">
        <f>IFERROR(__xludf.DUMMYFUNCTION("""COMPUTED_VALUE"""),451.0)</f>
        <v>451</v>
      </c>
      <c r="B351" s="8">
        <f>IFERROR(__xludf.DUMMYFUNCTION("""COMPUTED_VALUE"""),967.0)</f>
        <v>967</v>
      </c>
      <c r="C351" s="8">
        <f>IFERROR(__xludf.DUMMYFUNCTION("""COMPUTED_VALUE"""),56.0)</f>
        <v>56</v>
      </c>
      <c r="D351" s="8" t="str">
        <f>IFERROR(__xludf.DUMMYFUNCTION("""COMPUTED_VALUE"""),"Great plaid!")</f>
        <v>Great plaid!</v>
      </c>
      <c r="E351" s="8" t="str">
        <f>IFERROR(__xludf.DUMMYFUNCTION("""COMPUTED_VALUE"""),"This vest is very warm and soft. it is actually a fleece that almost appears as wool. the plaid is beautiful-a pretty soft pink with the black and charcoal colors. i ordered a size large and the fit is okay. an xl would have been too big under the arms an"&amp;"d in the bust area however, i would have liked it a little looser in the bottom half. i kept the large as there is no closure to the vest. it just hangs open.")</f>
        <v>This vest is very warm and soft. it is actually a fleece that almost appears as wool. the plaid is beautiful-a pretty soft pink with the black and charcoal colors. i ordered a size large and the fit is okay. an xl would have been too big under the arms and in the bust area however, i would have liked it a little looser in the bottom half. i kept the large as there is no closure to the vest. it just hangs open.</v>
      </c>
      <c r="F351" s="8">
        <f>IFERROR(__xludf.DUMMYFUNCTION("""COMPUTED_VALUE"""),4.0)</f>
        <v>4</v>
      </c>
      <c r="G351" s="8">
        <f>IFERROR(__xludf.DUMMYFUNCTION("""COMPUTED_VALUE"""),1.0)</f>
        <v>1</v>
      </c>
      <c r="H351" s="8">
        <f>IFERROR(__xludf.DUMMYFUNCTION("""COMPUTED_VALUE"""),1.0)</f>
        <v>1</v>
      </c>
      <c r="I351" s="8" t="str">
        <f>IFERROR(__xludf.DUMMYFUNCTION("""COMPUTED_VALUE"""),"General")</f>
        <v>General</v>
      </c>
      <c r="J351" s="8" t="str">
        <f>IFERROR(__xludf.DUMMYFUNCTION("""COMPUTED_VALUE"""),"Jackets")</f>
        <v>Jackets</v>
      </c>
      <c r="K351" s="8" t="str">
        <f>IFERROR(__xludf.DUMMYFUNCTION("""COMPUTED_VALUE"""),"Jackets")</f>
        <v>Jackets</v>
      </c>
    </row>
    <row r="352">
      <c r="A352" s="8">
        <f>IFERROR(__xludf.DUMMYFUNCTION("""COMPUTED_VALUE"""),452.0)</f>
        <v>452</v>
      </c>
      <c r="B352" s="8">
        <f>IFERROR(__xludf.DUMMYFUNCTION("""COMPUTED_VALUE"""),872.0)</f>
        <v>872</v>
      </c>
      <c r="C352" s="8">
        <f>IFERROR(__xludf.DUMMYFUNCTION("""COMPUTED_VALUE"""),27.0)</f>
        <v>27</v>
      </c>
      <c r="D352" s="8" t="str">
        <f>IFERROR(__xludf.DUMMYFUNCTION("""COMPUTED_VALUE"""),"In love with this shirt")</f>
        <v>In love with this shirt</v>
      </c>
      <c r="E352" s="8" t="str">
        <f>IFERROR(__xludf.DUMMYFUNCTION("""COMPUTED_VALUE"""),"I love this shirt so much that i've now bought it in 2 colors -- the olive green and the red. probably would have bought it in black too if i didn't already have enough black shirts. it's both a plain and simple tee, but with the fun lace-up detail at the"&amp;" neckline that keeps it from being boring.
it runs true to size but is very fitted. however, due to the thickness of the material, i didn't feel like any unflattering bumps or lumps were being highlighted, despite how close the shirt fit to my")</f>
        <v>I love this shirt so much that i've now bought it in 2 colors -- the olive green and the red. probably would have bought it in black too if i didn't already have enough black shirts. it's both a plain and simple tee, but with the fun lace-up detail at the neckline that keeps it from being boring.
it runs true to size but is very fitted. however, due to the thickness of the material, i didn't feel like any unflattering bumps or lumps were being highlighted, despite how close the shirt fit to my</v>
      </c>
      <c r="F352" s="8">
        <f>IFERROR(__xludf.DUMMYFUNCTION("""COMPUTED_VALUE"""),5.0)</f>
        <v>5</v>
      </c>
      <c r="G352" s="8">
        <f>IFERROR(__xludf.DUMMYFUNCTION("""COMPUTED_VALUE"""),1.0)</f>
        <v>1</v>
      </c>
      <c r="H352" s="8">
        <f>IFERROR(__xludf.DUMMYFUNCTION("""COMPUTED_VALUE"""),2.0)</f>
        <v>2</v>
      </c>
      <c r="I352" s="8" t="str">
        <f>IFERROR(__xludf.DUMMYFUNCTION("""COMPUTED_VALUE"""),"General")</f>
        <v>General</v>
      </c>
      <c r="J352" s="8" t="str">
        <f>IFERROR(__xludf.DUMMYFUNCTION("""COMPUTED_VALUE"""),"Tops")</f>
        <v>Tops</v>
      </c>
      <c r="K352" s="8" t="str">
        <f>IFERROR(__xludf.DUMMYFUNCTION("""COMPUTED_VALUE"""),"Knits")</f>
        <v>Knits</v>
      </c>
    </row>
    <row r="353">
      <c r="A353" s="8">
        <f>IFERROR(__xludf.DUMMYFUNCTION("""COMPUTED_VALUE"""),453.0)</f>
        <v>453</v>
      </c>
      <c r="B353" s="8">
        <f>IFERROR(__xludf.DUMMYFUNCTION("""COMPUTED_VALUE"""),964.0)</f>
        <v>964</v>
      </c>
      <c r="C353" s="8">
        <f>IFERROR(__xludf.DUMMYFUNCTION("""COMPUTED_VALUE"""),44.0)</f>
        <v>44</v>
      </c>
      <c r="D353" s="8" t="str">
        <f>IFERROR(__xludf.DUMMYFUNCTION("""COMPUTED_VALUE"""),"Perfection.")</f>
        <v>Perfection.</v>
      </c>
      <c r="E353" s="8" t="str">
        <f>IFERROR(__xludf.DUMMYFUNCTION("""COMPUTED_VALUE"""),"Don't try this on, if you don't plan to buy it. it feels amazing!!! i bought the black and it is a lovely charcoal color and matches so much.")</f>
        <v>Don't try this on, if you don't plan to buy it. it feels amazing!!! i bought the black and it is a lovely charcoal color and matches so much.</v>
      </c>
      <c r="F353" s="8">
        <f>IFERROR(__xludf.DUMMYFUNCTION("""COMPUTED_VALUE"""),5.0)</f>
        <v>5</v>
      </c>
      <c r="G353" s="8">
        <f>IFERROR(__xludf.DUMMYFUNCTION("""COMPUTED_VALUE"""),1.0)</f>
        <v>1</v>
      </c>
      <c r="H353" s="8">
        <f>IFERROR(__xludf.DUMMYFUNCTION("""COMPUTED_VALUE"""),1.0)</f>
        <v>1</v>
      </c>
      <c r="I353" s="8" t="str">
        <f>IFERROR(__xludf.DUMMYFUNCTION("""COMPUTED_VALUE"""),"General")</f>
        <v>General</v>
      </c>
      <c r="J353" s="8" t="str">
        <f>IFERROR(__xludf.DUMMYFUNCTION("""COMPUTED_VALUE"""),"Jackets")</f>
        <v>Jackets</v>
      </c>
      <c r="K353" s="8" t="str">
        <f>IFERROR(__xludf.DUMMYFUNCTION("""COMPUTED_VALUE"""),"Jackets")</f>
        <v>Jackets</v>
      </c>
    </row>
    <row r="354">
      <c r="A354" s="8">
        <f>IFERROR(__xludf.DUMMYFUNCTION("""COMPUTED_VALUE"""),454.0)</f>
        <v>454</v>
      </c>
      <c r="B354" s="8">
        <f>IFERROR(__xludf.DUMMYFUNCTION("""COMPUTED_VALUE"""),872.0)</f>
        <v>872</v>
      </c>
      <c r="C354" s="8">
        <f>IFERROR(__xludf.DUMMYFUNCTION("""COMPUTED_VALUE"""),39.0)</f>
        <v>39</v>
      </c>
      <c r="D354" s="8" t="str">
        <f>IFERROR(__xludf.DUMMYFUNCTION("""COMPUTED_VALUE"""),"Perfect!")</f>
        <v>Perfect!</v>
      </c>
      <c r="E354" s="8" t="str">
        <f>IFERROR(__xludf.DUMMYFUNCTION("""COMPUTED_VALUE"""),"I like the lace-up trend, but most designs are too revealing. this shirt is super sexy, but not immodest. i bought it in black and am now buying another color. to me, the fabric feels soft and thick, very nice.")</f>
        <v>I like the lace-up trend, but most designs are too revealing. this shirt is super sexy, but not immodest. i bought it in black and am now buying another color. to me, the fabric feels soft and thick, very nice.</v>
      </c>
      <c r="F354" s="8">
        <f>IFERROR(__xludf.DUMMYFUNCTION("""COMPUTED_VALUE"""),5.0)</f>
        <v>5</v>
      </c>
      <c r="G354" s="8">
        <f>IFERROR(__xludf.DUMMYFUNCTION("""COMPUTED_VALUE"""),1.0)</f>
        <v>1</v>
      </c>
      <c r="H354" s="8">
        <f>IFERROR(__xludf.DUMMYFUNCTION("""COMPUTED_VALUE"""),2.0)</f>
        <v>2</v>
      </c>
      <c r="I354" s="8" t="str">
        <f>IFERROR(__xludf.DUMMYFUNCTION("""COMPUTED_VALUE"""),"General")</f>
        <v>General</v>
      </c>
      <c r="J354" s="8" t="str">
        <f>IFERROR(__xludf.DUMMYFUNCTION("""COMPUTED_VALUE"""),"Tops")</f>
        <v>Tops</v>
      </c>
      <c r="K354" s="8" t="str">
        <f>IFERROR(__xludf.DUMMYFUNCTION("""COMPUTED_VALUE"""),"Knits")</f>
        <v>Knits</v>
      </c>
    </row>
    <row r="355">
      <c r="A355" s="8">
        <f>IFERROR(__xludf.DUMMYFUNCTION("""COMPUTED_VALUE"""),455.0)</f>
        <v>455</v>
      </c>
      <c r="B355" s="8">
        <f>IFERROR(__xludf.DUMMYFUNCTION("""COMPUTED_VALUE"""),234.0)</f>
        <v>234</v>
      </c>
      <c r="C355" s="8">
        <f>IFERROR(__xludf.DUMMYFUNCTION("""COMPUTED_VALUE"""),33.0)</f>
        <v>33</v>
      </c>
      <c r="D355" s="8"/>
      <c r="E355" s="8"/>
      <c r="F355" s="8">
        <f>IFERROR(__xludf.DUMMYFUNCTION("""COMPUTED_VALUE"""),5.0)</f>
        <v>5</v>
      </c>
      <c r="G355" s="8">
        <f>IFERROR(__xludf.DUMMYFUNCTION("""COMPUTED_VALUE"""),1.0)</f>
        <v>1</v>
      </c>
      <c r="H355" s="8">
        <f>IFERROR(__xludf.DUMMYFUNCTION("""COMPUTED_VALUE"""),0.0)</f>
        <v>0</v>
      </c>
      <c r="I355" s="8" t="str">
        <f>IFERROR(__xludf.DUMMYFUNCTION("""COMPUTED_VALUE"""),"Initmates")</f>
        <v>Initmates</v>
      </c>
      <c r="J355" s="8" t="str">
        <f>IFERROR(__xludf.DUMMYFUNCTION("""COMPUTED_VALUE"""),"Intimate")</f>
        <v>Intimate</v>
      </c>
      <c r="K355" s="8" t="str">
        <f>IFERROR(__xludf.DUMMYFUNCTION("""COMPUTED_VALUE"""),"Swim")</f>
        <v>Swim</v>
      </c>
    </row>
    <row r="356">
      <c r="A356" s="8">
        <f>IFERROR(__xludf.DUMMYFUNCTION("""COMPUTED_VALUE"""),456.0)</f>
        <v>456</v>
      </c>
      <c r="B356" s="8">
        <f>IFERROR(__xludf.DUMMYFUNCTION("""COMPUTED_VALUE"""),149.0)</f>
        <v>149</v>
      </c>
      <c r="C356" s="8">
        <f>IFERROR(__xludf.DUMMYFUNCTION("""COMPUTED_VALUE"""),33.0)</f>
        <v>33</v>
      </c>
      <c r="D356" s="8" t="str">
        <f>IFERROR(__xludf.DUMMYFUNCTION("""COMPUTED_VALUE"""),"The most comfortable pants ever")</f>
        <v>The most comfortable pants ever</v>
      </c>
      <c r="E356" s="8" t="str">
        <f>IFERROR(__xludf.DUMMYFUNCTION("""COMPUTED_VALUE"""),"I have these pants in navy and they're amazing! i cuff the hem in half and they look like joggers. they're ridiculously comfortable and tts but are not very thick so i'm pretty sure ivory would be see through; especially if you wear them during practice.")</f>
        <v>I have these pants in navy and they're amazing! i cuff the hem in half and they look like joggers. they're ridiculously comfortable and tts but are not very thick so i'm pretty sure ivory would be see through; especially if you wear them during practice.</v>
      </c>
      <c r="F356" s="8">
        <f>IFERROR(__xludf.DUMMYFUNCTION("""COMPUTED_VALUE"""),4.0)</f>
        <v>4</v>
      </c>
      <c r="G356" s="8">
        <f>IFERROR(__xludf.DUMMYFUNCTION("""COMPUTED_VALUE"""),1.0)</f>
        <v>1</v>
      </c>
      <c r="H356" s="8">
        <f>IFERROR(__xludf.DUMMYFUNCTION("""COMPUTED_VALUE"""),0.0)</f>
        <v>0</v>
      </c>
      <c r="I356" s="8" t="str">
        <f>IFERROR(__xludf.DUMMYFUNCTION("""COMPUTED_VALUE"""),"Initmates")</f>
        <v>Initmates</v>
      </c>
      <c r="J356" s="8" t="str">
        <f>IFERROR(__xludf.DUMMYFUNCTION("""COMPUTED_VALUE"""),"Intimate")</f>
        <v>Intimate</v>
      </c>
      <c r="K356" s="8" t="str">
        <f>IFERROR(__xludf.DUMMYFUNCTION("""COMPUTED_VALUE"""),"Lounge")</f>
        <v>Lounge</v>
      </c>
    </row>
    <row r="357">
      <c r="A357" s="8">
        <f>IFERROR(__xludf.DUMMYFUNCTION("""COMPUTED_VALUE"""),457.0)</f>
        <v>457</v>
      </c>
      <c r="B357" s="8">
        <f>IFERROR(__xludf.DUMMYFUNCTION("""COMPUTED_VALUE"""),829.0)</f>
        <v>829</v>
      </c>
      <c r="C357" s="8">
        <f>IFERROR(__xludf.DUMMYFUNCTION("""COMPUTED_VALUE"""),60.0)</f>
        <v>60</v>
      </c>
      <c r="D357" s="8" t="str">
        <f>IFERROR(__xludf.DUMMYFUNCTION("""COMPUTED_VALUE"""),"Perfect top for work")</f>
        <v>Perfect top for work</v>
      </c>
      <c r="E357" s="8" t="str">
        <f>IFERROR(__xludf.DUMMYFUNCTION("""COMPUTED_VALUE"""),"I got this top in navy and i love it. it's loose and flowy and comfortable, yet dressy enough to wear for work (or dress down with jeans). i'm 5'4"", 125lbs and the 6 was a bit large on me. i could've sized down a little but i actually liked the loose fit"&amp;", and the length was long enough to tuck in if i wanted to. definitely recommend.")</f>
        <v>I got this top in navy and i love it. it's loose and flowy and comfortable, yet dressy enough to wear for work (or dress down with jeans). i'm 5'4", 125lbs and the 6 was a bit large on me. i could've sized down a little but i actually liked the loose fit, and the length was long enough to tuck in if i wanted to. definitely recommend.</v>
      </c>
      <c r="F357" s="8">
        <f>IFERROR(__xludf.DUMMYFUNCTION("""COMPUTED_VALUE"""),4.0)</f>
        <v>4</v>
      </c>
      <c r="G357" s="8">
        <f>IFERROR(__xludf.DUMMYFUNCTION("""COMPUTED_VALUE"""),1.0)</f>
        <v>1</v>
      </c>
      <c r="H357" s="8">
        <f>IFERROR(__xludf.DUMMYFUNCTION("""COMPUTED_VALUE"""),0.0)</f>
        <v>0</v>
      </c>
      <c r="I357" s="8" t="str">
        <f>IFERROR(__xludf.DUMMYFUNCTION("""COMPUTED_VALUE"""),"General")</f>
        <v>General</v>
      </c>
      <c r="J357" s="8" t="str">
        <f>IFERROR(__xludf.DUMMYFUNCTION("""COMPUTED_VALUE"""),"Tops")</f>
        <v>Tops</v>
      </c>
      <c r="K357" s="8" t="str">
        <f>IFERROR(__xludf.DUMMYFUNCTION("""COMPUTED_VALUE"""),"Blouses")</f>
        <v>Blouses</v>
      </c>
    </row>
    <row r="358">
      <c r="A358" s="8">
        <f>IFERROR(__xludf.DUMMYFUNCTION("""COMPUTED_VALUE"""),458.0)</f>
        <v>458</v>
      </c>
      <c r="B358" s="8">
        <f>IFERROR(__xludf.DUMMYFUNCTION("""COMPUTED_VALUE"""),829.0)</f>
        <v>829</v>
      </c>
      <c r="C358" s="8">
        <f>IFERROR(__xludf.DUMMYFUNCTION("""COMPUTED_VALUE"""),44.0)</f>
        <v>44</v>
      </c>
      <c r="D358" s="8" t="str">
        <f>IFERROR(__xludf.DUMMYFUNCTION("""COMPUTED_VALUE"""),"Overall, i like it, but some sizing issues...")</f>
        <v>Overall, i like it, but some sizing issues...</v>
      </c>
      <c r="E358" s="8" t="str">
        <f>IFERROR(__xludf.DUMMYFUNCTION("""COMPUTED_VALUE"""),"I purchased the navy in this top and i really like the design and the style for the price (i believe the navy is on sale). my issue is that i do have to wear either a camisole or a little bralette or bandeau or something under it because it is too low cut"&amp;" in the front on me and the arm holes are ridiculously large. i might have been better off sizing down, but i bought it online, so i just decided to live with it. pretty top, though i do think it runs large.")</f>
        <v>I purchased the navy in this top and i really like the design and the style for the price (i believe the navy is on sale). my issue is that i do have to wear either a camisole or a little bralette or bandeau or something under it because it is too low cut in the front on me and the arm holes are ridiculously large. i might have been better off sizing down, but i bought it online, so i just decided to live with it. pretty top, though i do think it runs large.</v>
      </c>
      <c r="F358" s="8">
        <f>IFERROR(__xludf.DUMMYFUNCTION("""COMPUTED_VALUE"""),4.0)</f>
        <v>4</v>
      </c>
      <c r="G358" s="8">
        <f>IFERROR(__xludf.DUMMYFUNCTION("""COMPUTED_VALUE"""),1.0)</f>
        <v>1</v>
      </c>
      <c r="H358" s="8">
        <f>IFERROR(__xludf.DUMMYFUNCTION("""COMPUTED_VALUE"""),0.0)</f>
        <v>0</v>
      </c>
      <c r="I358" s="8" t="str">
        <f>IFERROR(__xludf.DUMMYFUNCTION("""COMPUTED_VALUE"""),"General")</f>
        <v>General</v>
      </c>
      <c r="J358" s="8" t="str">
        <f>IFERROR(__xludf.DUMMYFUNCTION("""COMPUTED_VALUE"""),"Tops")</f>
        <v>Tops</v>
      </c>
      <c r="K358" s="8" t="str">
        <f>IFERROR(__xludf.DUMMYFUNCTION("""COMPUTED_VALUE"""),"Blouses")</f>
        <v>Blouses</v>
      </c>
    </row>
    <row r="359">
      <c r="A359" s="8">
        <f>IFERROR(__xludf.DUMMYFUNCTION("""COMPUTED_VALUE"""),459.0)</f>
        <v>459</v>
      </c>
      <c r="B359" s="8">
        <f>IFERROR(__xludf.DUMMYFUNCTION("""COMPUTED_VALUE"""),872.0)</f>
        <v>872</v>
      </c>
      <c r="C359" s="8">
        <f>IFERROR(__xludf.DUMMYFUNCTION("""COMPUTED_VALUE"""),71.0)</f>
        <v>71</v>
      </c>
      <c r="D359" s="8"/>
      <c r="E359" s="8" t="str">
        <f>IFERROR(__xludf.DUMMYFUNCTION("""COMPUTED_VALUE"""),"Great shirt. the neckline is super flattering. the fabric has some weight to it. right now i am in a ""fat stage""...and it still looked good. it will look even better without the midriff bulge! i bought the shirt in black. i'm thinking of ordering it in "&amp;"red...it's that good.")</f>
        <v>Great shirt. the neckline is super flattering. the fabric has some weight to it. right now i am in a "fat stage"...and it still looked good. it will look even better without the midriff bulge! i bought the shirt in black. i'm thinking of ordering it in red...it's that good.</v>
      </c>
      <c r="F359" s="8">
        <f>IFERROR(__xludf.DUMMYFUNCTION("""COMPUTED_VALUE"""),5.0)</f>
        <v>5</v>
      </c>
      <c r="G359" s="8">
        <f>IFERROR(__xludf.DUMMYFUNCTION("""COMPUTED_VALUE"""),1.0)</f>
        <v>1</v>
      </c>
      <c r="H359" s="8">
        <f>IFERROR(__xludf.DUMMYFUNCTION("""COMPUTED_VALUE"""),0.0)</f>
        <v>0</v>
      </c>
      <c r="I359" s="8" t="str">
        <f>IFERROR(__xludf.DUMMYFUNCTION("""COMPUTED_VALUE"""),"General")</f>
        <v>General</v>
      </c>
      <c r="J359" s="8" t="str">
        <f>IFERROR(__xludf.DUMMYFUNCTION("""COMPUTED_VALUE"""),"Tops")</f>
        <v>Tops</v>
      </c>
      <c r="K359" s="8" t="str">
        <f>IFERROR(__xludf.DUMMYFUNCTION("""COMPUTED_VALUE"""),"Knits")</f>
        <v>Knits</v>
      </c>
    </row>
    <row r="360">
      <c r="A360" s="8">
        <f>IFERROR(__xludf.DUMMYFUNCTION("""COMPUTED_VALUE"""),460.0)</f>
        <v>460</v>
      </c>
      <c r="B360" s="8">
        <f>IFERROR(__xludf.DUMMYFUNCTION("""COMPUTED_VALUE"""),872.0)</f>
        <v>872</v>
      </c>
      <c r="C360" s="8">
        <f>IFERROR(__xludf.DUMMYFUNCTION("""COMPUTED_VALUE"""),44.0)</f>
        <v>44</v>
      </c>
      <c r="D360" s="8"/>
      <c r="E360" s="8" t="str">
        <f>IFERROR(__xludf.DUMMYFUNCTION("""COMPUTED_VALUE"""),"This is a great shirt that goes with everything. it's super sexy and i have to say....the girls look great in it! i bought the black first and went back for the green. the quality of the shirt is great...not cheap and no smell, at least not in my experien"&amp;"ce,  like was mentioned by another reviewer. i can't say enough about how cute this shirt is!")</f>
        <v>This is a great shirt that goes with everything. it's super sexy and i have to say....the girls look great in it! i bought the black first and went back for the green. the quality of the shirt is great...not cheap and no smell, at least not in my experience,  like was mentioned by another reviewer. i can't say enough about how cute this shirt is!</v>
      </c>
      <c r="F360" s="8">
        <f>IFERROR(__xludf.DUMMYFUNCTION("""COMPUTED_VALUE"""),5.0)</f>
        <v>5</v>
      </c>
      <c r="G360" s="8">
        <f>IFERROR(__xludf.DUMMYFUNCTION("""COMPUTED_VALUE"""),1.0)</f>
        <v>1</v>
      </c>
      <c r="H360" s="8">
        <f>IFERROR(__xludf.DUMMYFUNCTION("""COMPUTED_VALUE"""),6.0)</f>
        <v>6</v>
      </c>
      <c r="I360" s="8" t="str">
        <f>IFERROR(__xludf.DUMMYFUNCTION("""COMPUTED_VALUE"""),"General")</f>
        <v>General</v>
      </c>
      <c r="J360" s="8" t="str">
        <f>IFERROR(__xludf.DUMMYFUNCTION("""COMPUTED_VALUE"""),"Tops")</f>
        <v>Tops</v>
      </c>
      <c r="K360" s="8" t="str">
        <f>IFERROR(__xludf.DUMMYFUNCTION("""COMPUTED_VALUE"""),"Knits")</f>
        <v>Knits</v>
      </c>
    </row>
    <row r="361">
      <c r="A361" s="8">
        <f>IFERROR(__xludf.DUMMYFUNCTION("""COMPUTED_VALUE"""),461.0)</f>
        <v>461</v>
      </c>
      <c r="B361" s="8">
        <f>IFERROR(__xludf.DUMMYFUNCTION("""COMPUTED_VALUE"""),850.0)</f>
        <v>850</v>
      </c>
      <c r="C361" s="8">
        <f>IFERROR(__xludf.DUMMYFUNCTION("""COMPUTED_VALUE"""),52.0)</f>
        <v>52</v>
      </c>
      <c r="D361" s="8" t="str">
        <f>IFERROR(__xludf.DUMMYFUNCTION("""COMPUTED_VALUE"""),"Very pretty, boho chic")</f>
        <v>Very pretty, boho chic</v>
      </c>
      <c r="E361" s="8" t="str">
        <f>IFERROR(__xludf.DUMMYFUNCTION("""COMPUTED_VALUE"""),"I purchased this blouse because i love a 70's vibe in my tops. it is a beautiful, colorful top, but the colors weren't flattering on me. having said that, the cut is nice, the fabric is lightweight and flows nicely, and the fit was fine on me. i am a curv"&amp;"y 5'5"" with a 36 c cup. go for it if this is a style you like. one other note, i wish it had been a bit longer, but i am older and prefer a little more coverage. it's just a personal preference. i think the picture is an accurate depiction.")</f>
        <v>I purchased this blouse because i love a 70's vibe in my tops. it is a beautiful, colorful top, but the colors weren't flattering on me. having said that, the cut is nice, the fabric is lightweight and flows nicely, and the fit was fine on me. i am a curvy 5'5" with a 36 c cup. go for it if this is a style you like. one other note, i wish it had been a bit longer, but i am older and prefer a little more coverage. it's just a personal preference. i think the picture is an accurate depiction.</v>
      </c>
      <c r="F361" s="8">
        <f>IFERROR(__xludf.DUMMYFUNCTION("""COMPUTED_VALUE"""),5.0)</f>
        <v>5</v>
      </c>
      <c r="G361" s="8">
        <f>IFERROR(__xludf.DUMMYFUNCTION("""COMPUTED_VALUE"""),1.0)</f>
        <v>1</v>
      </c>
      <c r="H361" s="8">
        <f>IFERROR(__xludf.DUMMYFUNCTION("""COMPUTED_VALUE"""),5.0)</f>
        <v>5</v>
      </c>
      <c r="I361" s="8" t="str">
        <f>IFERROR(__xludf.DUMMYFUNCTION("""COMPUTED_VALUE"""),"General Petite")</f>
        <v>General Petite</v>
      </c>
      <c r="J361" s="8" t="str">
        <f>IFERROR(__xludf.DUMMYFUNCTION("""COMPUTED_VALUE"""),"Tops")</f>
        <v>Tops</v>
      </c>
      <c r="K361" s="8" t="str">
        <f>IFERROR(__xludf.DUMMYFUNCTION("""COMPUTED_VALUE"""),"Blouses")</f>
        <v>Blouses</v>
      </c>
    </row>
    <row r="362">
      <c r="A362" s="8">
        <f>IFERROR(__xludf.DUMMYFUNCTION("""COMPUTED_VALUE"""),463.0)</f>
        <v>463</v>
      </c>
      <c r="B362" s="8">
        <f>IFERROR(__xludf.DUMMYFUNCTION("""COMPUTED_VALUE"""),724.0)</f>
        <v>724</v>
      </c>
      <c r="C362" s="8">
        <f>IFERROR(__xludf.DUMMYFUNCTION("""COMPUTED_VALUE"""),69.0)</f>
        <v>69</v>
      </c>
      <c r="D362" s="8" t="str">
        <f>IFERROR(__xludf.DUMMYFUNCTION("""COMPUTED_VALUE"""),"Cute slip but very body hugging")</f>
        <v>Cute slip but very body hugging</v>
      </c>
      <c r="E362" s="8" t="str">
        <f>IFERROR(__xludf.DUMMYFUNCTION("""COMPUTED_VALUE"""),"Ordered this in white. it is really nice and sexy but very body hugging and unforgiving. perhaps it is my large stomach, but it hugs a bit too much for my liking. yet i think overall the design is very nice so i am keeping it and hoping i can lose some we"&amp;"ight in my tum.")</f>
        <v>Ordered this in white. it is really nice and sexy but very body hugging and unforgiving. perhaps it is my large stomach, but it hugs a bit too much for my liking. yet i think overall the design is very nice so i am keeping it and hoping i can lose some weight in my tum.</v>
      </c>
      <c r="F362" s="8">
        <f>IFERROR(__xludf.DUMMYFUNCTION("""COMPUTED_VALUE"""),4.0)</f>
        <v>4</v>
      </c>
      <c r="G362" s="8">
        <f>IFERROR(__xludf.DUMMYFUNCTION("""COMPUTED_VALUE"""),1.0)</f>
        <v>1</v>
      </c>
      <c r="H362" s="8">
        <f>IFERROR(__xludf.DUMMYFUNCTION("""COMPUTED_VALUE"""),1.0)</f>
        <v>1</v>
      </c>
      <c r="I362" s="8" t="str">
        <f>IFERROR(__xludf.DUMMYFUNCTION("""COMPUTED_VALUE"""),"Initmates")</f>
        <v>Initmates</v>
      </c>
      <c r="J362" s="8" t="str">
        <f>IFERROR(__xludf.DUMMYFUNCTION("""COMPUTED_VALUE"""),"Intimate")</f>
        <v>Intimate</v>
      </c>
      <c r="K362" s="8" t="str">
        <f>IFERROR(__xludf.DUMMYFUNCTION("""COMPUTED_VALUE"""),"Intimates")</f>
        <v>Intimates</v>
      </c>
    </row>
    <row r="363">
      <c r="A363" s="8">
        <f>IFERROR(__xludf.DUMMYFUNCTION("""COMPUTED_VALUE"""),464.0)</f>
        <v>464</v>
      </c>
      <c r="B363" s="8">
        <f>IFERROR(__xludf.DUMMYFUNCTION("""COMPUTED_VALUE"""),833.0)</f>
        <v>833</v>
      </c>
      <c r="C363" s="8">
        <f>IFERROR(__xludf.DUMMYFUNCTION("""COMPUTED_VALUE"""),48.0)</f>
        <v>48</v>
      </c>
      <c r="D363" s="8" t="str">
        <f>IFERROR(__xludf.DUMMYFUNCTION("""COMPUTED_VALUE"""),"Lovely romantic blouse")</f>
        <v>Lovely romantic blouse</v>
      </c>
      <c r="E363" s="8" t="str">
        <f>IFERROR(__xludf.DUMMYFUNCTION("""COMPUTED_VALUE"""),"This is one of those you have to try it on to appreciate the lovely unique design. it is a very unique, flowing, romantic piece. it is sheer and i would wear a nude camisole underneath. i am normally a size small and bought a size 2 (i tried on a 6 in the"&amp;" store just to see what it looked like, fell in love with the look and the retailer associate recommended i buy a size 2). love it!")</f>
        <v>This is one of those you have to try it on to appreciate the lovely unique design. it is a very unique, flowing, romantic piece. it is sheer and i would wear a nude camisole underneath. i am normally a size small and bought a size 2 (i tried on a 6 in the store just to see what it looked like, fell in love with the look and the retailer associate recommended i buy a size 2). love it!</v>
      </c>
      <c r="F363" s="8">
        <f>IFERROR(__xludf.DUMMYFUNCTION("""COMPUTED_VALUE"""),5.0)</f>
        <v>5</v>
      </c>
      <c r="G363" s="8">
        <f>IFERROR(__xludf.DUMMYFUNCTION("""COMPUTED_VALUE"""),1.0)</f>
        <v>1</v>
      </c>
      <c r="H363" s="8">
        <f>IFERROR(__xludf.DUMMYFUNCTION("""COMPUTED_VALUE"""),0.0)</f>
        <v>0</v>
      </c>
      <c r="I363" s="8" t="str">
        <f>IFERROR(__xludf.DUMMYFUNCTION("""COMPUTED_VALUE"""),"General")</f>
        <v>General</v>
      </c>
      <c r="J363" s="8" t="str">
        <f>IFERROR(__xludf.DUMMYFUNCTION("""COMPUTED_VALUE"""),"Tops")</f>
        <v>Tops</v>
      </c>
      <c r="K363" s="8" t="str">
        <f>IFERROR(__xludf.DUMMYFUNCTION("""COMPUTED_VALUE"""),"Blouses")</f>
        <v>Blouses</v>
      </c>
    </row>
    <row r="364">
      <c r="A364" s="8">
        <f>IFERROR(__xludf.DUMMYFUNCTION("""COMPUTED_VALUE"""),465.0)</f>
        <v>465</v>
      </c>
      <c r="B364" s="8">
        <f>IFERROR(__xludf.DUMMYFUNCTION("""COMPUTED_VALUE"""),862.0)</f>
        <v>862</v>
      </c>
      <c r="C364" s="8">
        <f>IFERROR(__xludf.DUMMYFUNCTION("""COMPUTED_VALUE"""),35.0)</f>
        <v>35</v>
      </c>
      <c r="D364" s="8" t="str">
        <f>IFERROR(__xludf.DUMMYFUNCTION("""COMPUTED_VALUE"""),"Extra fabric in back adds a lot")</f>
        <v>Extra fabric in back adds a lot</v>
      </c>
      <c r="E364" s="8" t="str">
        <f>IFERROR(__xludf.DUMMYFUNCTION("""COMPUTED_VALUE"""),"I got to try this on today and i really like it. the fabric is a normal t-shirt kind of fabric (i was hoping it would have been kind of special) and the v-neck in the front does go down a ways so that some cleavage is showing. i would feel comfortable wea"&amp;"ring it as-is outside of work, but would have to pair it with a cami if i would going to wear it to work. normally, i am not a huge fan of v-neck in the back and it drives me crazy thanks cami's these days are often made with a ""versatile"" v and")</f>
        <v>I got to try this on today and i really like it. the fabric is a normal t-shirt kind of fabric (i was hoping it would have been kind of special) and the v-neck in the front does go down a ways so that some cleavage is showing. i would feel comfortable wearing it as-is outside of work, but would have to pair it with a cami if i would going to wear it to work. normally, i am not a huge fan of v-neck in the back and it drives me crazy thanks cami's these days are often made with a "versatile" v and</v>
      </c>
      <c r="F364" s="8">
        <f>IFERROR(__xludf.DUMMYFUNCTION("""COMPUTED_VALUE"""),5.0)</f>
        <v>5</v>
      </c>
      <c r="G364" s="8">
        <f>IFERROR(__xludf.DUMMYFUNCTION("""COMPUTED_VALUE"""),1.0)</f>
        <v>1</v>
      </c>
      <c r="H364" s="8">
        <f>IFERROR(__xludf.DUMMYFUNCTION("""COMPUTED_VALUE"""),6.0)</f>
        <v>6</v>
      </c>
      <c r="I364" s="8" t="str">
        <f>IFERROR(__xludf.DUMMYFUNCTION("""COMPUTED_VALUE"""),"General")</f>
        <v>General</v>
      </c>
      <c r="J364" s="8" t="str">
        <f>IFERROR(__xludf.DUMMYFUNCTION("""COMPUTED_VALUE"""),"Tops")</f>
        <v>Tops</v>
      </c>
      <c r="K364" s="8" t="str">
        <f>IFERROR(__xludf.DUMMYFUNCTION("""COMPUTED_VALUE"""),"Knits")</f>
        <v>Knits</v>
      </c>
    </row>
    <row r="365">
      <c r="A365" s="8">
        <f>IFERROR(__xludf.DUMMYFUNCTION("""COMPUTED_VALUE"""),466.0)</f>
        <v>466</v>
      </c>
      <c r="B365" s="8">
        <f>IFERROR(__xludf.DUMMYFUNCTION("""COMPUTED_VALUE"""),850.0)</f>
        <v>850</v>
      </c>
      <c r="C365" s="8">
        <f>IFERROR(__xludf.DUMMYFUNCTION("""COMPUTED_VALUE"""),59.0)</f>
        <v>59</v>
      </c>
      <c r="D365" s="8"/>
      <c r="E365" s="8" t="str">
        <f>IFERROR(__xludf.DUMMYFUNCTION("""COMPUTED_VALUE"""),"A breath of fresh air. spring flowers! easy to wear. very feminine and flattering. looks great with denim, orange, reds , etc. very happy with this purchase.")</f>
        <v>A breath of fresh air. spring flowers! easy to wear. very feminine and flattering. looks great with denim, orange, reds , etc. very happy with this purchase.</v>
      </c>
      <c r="F365" s="8">
        <f>IFERROR(__xludf.DUMMYFUNCTION("""COMPUTED_VALUE"""),5.0)</f>
        <v>5</v>
      </c>
      <c r="G365" s="8">
        <f>IFERROR(__xludf.DUMMYFUNCTION("""COMPUTED_VALUE"""),1.0)</f>
        <v>1</v>
      </c>
      <c r="H365" s="8">
        <f>IFERROR(__xludf.DUMMYFUNCTION("""COMPUTED_VALUE"""),4.0)</f>
        <v>4</v>
      </c>
      <c r="I365" s="8" t="str">
        <f>IFERROR(__xludf.DUMMYFUNCTION("""COMPUTED_VALUE"""),"General Petite")</f>
        <v>General Petite</v>
      </c>
      <c r="J365" s="8" t="str">
        <f>IFERROR(__xludf.DUMMYFUNCTION("""COMPUTED_VALUE"""),"Tops")</f>
        <v>Tops</v>
      </c>
      <c r="K365" s="8" t="str">
        <f>IFERROR(__xludf.DUMMYFUNCTION("""COMPUTED_VALUE"""),"Blouses")</f>
        <v>Blouses</v>
      </c>
    </row>
    <row r="366">
      <c r="A366" s="8">
        <f>IFERROR(__xludf.DUMMYFUNCTION("""COMPUTED_VALUE"""),467.0)</f>
        <v>467</v>
      </c>
      <c r="B366" s="8">
        <f>IFERROR(__xludf.DUMMYFUNCTION("""COMPUTED_VALUE"""),1078.0)</f>
        <v>1078</v>
      </c>
      <c r="C366" s="8">
        <f>IFERROR(__xludf.DUMMYFUNCTION("""COMPUTED_VALUE"""),61.0)</f>
        <v>61</v>
      </c>
      <c r="D366" s="8" t="str">
        <f>IFERROR(__xludf.DUMMYFUNCTION("""COMPUTED_VALUE"""),"Great sweater dress!")</f>
        <v>Great sweater dress!</v>
      </c>
      <c r="E366" s="8" t="str">
        <f>IFERROR(__xludf.DUMMYFUNCTION("""COMPUTED_VALUE"""),"Nice fit and flare style, not clingy at all. i got the grey color, petite large, fits perfect. will wear with tights/boots or booties. lots of color options to accessorize with.")</f>
        <v>Nice fit and flare style, not clingy at all. i got the grey color, petite large, fits perfect. will wear with tights/boots or booties. lots of color options to accessorize with.</v>
      </c>
      <c r="F366" s="8">
        <f>IFERROR(__xludf.DUMMYFUNCTION("""COMPUTED_VALUE"""),5.0)</f>
        <v>5</v>
      </c>
      <c r="G366" s="8">
        <f>IFERROR(__xludf.DUMMYFUNCTION("""COMPUTED_VALUE"""),1.0)</f>
        <v>1</v>
      </c>
      <c r="H366" s="8">
        <f>IFERROR(__xludf.DUMMYFUNCTION("""COMPUTED_VALUE"""),1.0)</f>
        <v>1</v>
      </c>
      <c r="I366" s="8" t="str">
        <f>IFERROR(__xludf.DUMMYFUNCTION("""COMPUTED_VALUE"""),"General")</f>
        <v>General</v>
      </c>
      <c r="J366" s="8" t="str">
        <f>IFERROR(__xludf.DUMMYFUNCTION("""COMPUTED_VALUE"""),"Dresses")</f>
        <v>Dresses</v>
      </c>
      <c r="K366" s="8" t="str">
        <f>IFERROR(__xludf.DUMMYFUNCTION("""COMPUTED_VALUE"""),"Dresses")</f>
        <v>Dresses</v>
      </c>
    </row>
    <row r="367">
      <c r="A367" s="8">
        <f>IFERROR(__xludf.DUMMYFUNCTION("""COMPUTED_VALUE"""),468.0)</f>
        <v>468</v>
      </c>
      <c r="B367" s="8">
        <f>IFERROR(__xludf.DUMMYFUNCTION("""COMPUTED_VALUE"""),850.0)</f>
        <v>850</v>
      </c>
      <c r="C367" s="8">
        <f>IFERROR(__xludf.DUMMYFUNCTION("""COMPUTED_VALUE"""),45.0)</f>
        <v>45</v>
      </c>
      <c r="D367" s="8" t="str">
        <f>IFERROR(__xludf.DUMMYFUNCTION("""COMPUTED_VALUE"""),"Pretty blouse")</f>
        <v>Pretty blouse</v>
      </c>
      <c r="E367" s="8" t="str">
        <f>IFERROR(__xludf.DUMMYFUNCTION("""COMPUTED_VALUE"""),"This top is soo pretty with a cool edge.
it looks and feels like really good quality.")</f>
        <v>This top is soo pretty with a cool edge.
it looks and feels like really good quality.</v>
      </c>
      <c r="F367" s="8">
        <f>IFERROR(__xludf.DUMMYFUNCTION("""COMPUTED_VALUE"""),5.0)</f>
        <v>5</v>
      </c>
      <c r="G367" s="8">
        <f>IFERROR(__xludf.DUMMYFUNCTION("""COMPUTED_VALUE"""),1.0)</f>
        <v>1</v>
      </c>
      <c r="H367" s="8">
        <f>IFERROR(__xludf.DUMMYFUNCTION("""COMPUTED_VALUE"""),0.0)</f>
        <v>0</v>
      </c>
      <c r="I367" s="8" t="str">
        <f>IFERROR(__xludf.DUMMYFUNCTION("""COMPUTED_VALUE"""),"General Petite")</f>
        <v>General Petite</v>
      </c>
      <c r="J367" s="8" t="str">
        <f>IFERROR(__xludf.DUMMYFUNCTION("""COMPUTED_VALUE"""),"Tops")</f>
        <v>Tops</v>
      </c>
      <c r="K367" s="8" t="str">
        <f>IFERROR(__xludf.DUMMYFUNCTION("""COMPUTED_VALUE"""),"Blouses")</f>
        <v>Blouses</v>
      </c>
    </row>
    <row r="368">
      <c r="A368" s="8">
        <f>IFERROR(__xludf.DUMMYFUNCTION("""COMPUTED_VALUE"""),469.0)</f>
        <v>469</v>
      </c>
      <c r="B368" s="8">
        <f>IFERROR(__xludf.DUMMYFUNCTION("""COMPUTED_VALUE"""),1104.0)</f>
        <v>1104</v>
      </c>
      <c r="C368" s="8">
        <f>IFERROR(__xludf.DUMMYFUNCTION("""COMPUTED_VALUE"""),25.0)</f>
        <v>25</v>
      </c>
      <c r="D368" s="8" t="str">
        <f>IFERROR(__xludf.DUMMYFUNCTION("""COMPUTED_VALUE"""),"Love, love this flattering dress")</f>
        <v>Love, love this flattering dress</v>
      </c>
      <c r="E368" s="8" t="str">
        <f>IFERROR(__xludf.DUMMYFUNCTION("""COMPUTED_VALUE"""),"This dress is flattering in all the right places. it has a gorgeous skirt with a comfortable, form-fitting top. it provides just the right amount of coverage. i love it so much i bought it in two colors!")</f>
        <v>This dress is flattering in all the right places. it has a gorgeous skirt with a comfortable, form-fitting top. it provides just the right amount of coverage. i love it so much i bought it in two colors!</v>
      </c>
      <c r="F368" s="8">
        <f>IFERROR(__xludf.DUMMYFUNCTION("""COMPUTED_VALUE"""),5.0)</f>
        <v>5</v>
      </c>
      <c r="G368" s="8">
        <f>IFERROR(__xludf.DUMMYFUNCTION("""COMPUTED_VALUE"""),1.0)</f>
        <v>1</v>
      </c>
      <c r="H368" s="8">
        <f>IFERROR(__xludf.DUMMYFUNCTION("""COMPUTED_VALUE"""),1.0)</f>
        <v>1</v>
      </c>
      <c r="I368" s="8" t="str">
        <f>IFERROR(__xludf.DUMMYFUNCTION("""COMPUTED_VALUE"""),"General")</f>
        <v>General</v>
      </c>
      <c r="J368" s="8" t="str">
        <f>IFERROR(__xludf.DUMMYFUNCTION("""COMPUTED_VALUE"""),"Dresses")</f>
        <v>Dresses</v>
      </c>
      <c r="K368" s="8" t="str">
        <f>IFERROR(__xludf.DUMMYFUNCTION("""COMPUTED_VALUE"""),"Dresses")</f>
        <v>Dresses</v>
      </c>
    </row>
    <row r="369">
      <c r="A369" s="8">
        <f>IFERROR(__xludf.DUMMYFUNCTION("""COMPUTED_VALUE"""),471.0)</f>
        <v>471</v>
      </c>
      <c r="B369" s="8">
        <f>IFERROR(__xludf.DUMMYFUNCTION("""COMPUTED_VALUE"""),984.0)</f>
        <v>984</v>
      </c>
      <c r="C369" s="8">
        <f>IFERROR(__xludf.DUMMYFUNCTION("""COMPUTED_VALUE"""),40.0)</f>
        <v>40</v>
      </c>
      <c r="D369" s="8" t="str">
        <f>IFERROR(__xludf.DUMMYFUNCTION("""COMPUTED_VALUE"""),"Love it.")</f>
        <v>Love it.</v>
      </c>
      <c r="E369" s="8" t="str">
        <f>IFERROR(__xludf.DUMMYFUNCTION("""COMPUTED_VALUE"""),"I simply love this jacket. it's comfortable, soft and has a relaxed fit that is easy to wear. i wish i had bought mine while it was on sale.")</f>
        <v>I simply love this jacket. it's comfortable, soft and has a relaxed fit that is easy to wear. i wish i had bought mine while it was on sale.</v>
      </c>
      <c r="F369" s="8">
        <f>IFERROR(__xludf.DUMMYFUNCTION("""COMPUTED_VALUE"""),4.0)</f>
        <v>4</v>
      </c>
      <c r="G369" s="8">
        <f>IFERROR(__xludf.DUMMYFUNCTION("""COMPUTED_VALUE"""),1.0)</f>
        <v>1</v>
      </c>
      <c r="H369" s="8">
        <f>IFERROR(__xludf.DUMMYFUNCTION("""COMPUTED_VALUE"""),0.0)</f>
        <v>0</v>
      </c>
      <c r="I369" s="8" t="str">
        <f>IFERROR(__xludf.DUMMYFUNCTION("""COMPUTED_VALUE"""),"General")</f>
        <v>General</v>
      </c>
      <c r="J369" s="8" t="str">
        <f>IFERROR(__xludf.DUMMYFUNCTION("""COMPUTED_VALUE"""),"Jackets")</f>
        <v>Jackets</v>
      </c>
      <c r="K369" s="8" t="str">
        <f>IFERROR(__xludf.DUMMYFUNCTION("""COMPUTED_VALUE"""),"Jackets")</f>
        <v>Jackets</v>
      </c>
    </row>
    <row r="370">
      <c r="A370" s="8">
        <f>IFERROR(__xludf.DUMMYFUNCTION("""COMPUTED_VALUE"""),472.0)</f>
        <v>472</v>
      </c>
      <c r="B370" s="8">
        <f>IFERROR(__xludf.DUMMYFUNCTION("""COMPUTED_VALUE"""),850.0)</f>
        <v>850</v>
      </c>
      <c r="C370" s="8">
        <f>IFERROR(__xludf.DUMMYFUNCTION("""COMPUTED_VALUE"""),68.0)</f>
        <v>68</v>
      </c>
      <c r="D370" s="8" t="str">
        <f>IFERROR(__xludf.DUMMYFUNCTION("""COMPUTED_VALUE"""),"Gorgeous top with a hint of pizazz")</f>
        <v>Gorgeous top with a hint of pizazz</v>
      </c>
      <c r="E370" s="8" t="str">
        <f>IFERROR(__xludf.DUMMYFUNCTION("""COMPUTED_VALUE"""),"I love this top! it's easily both day and night-worthy with a splash of sexiness in a front peek-a-boo design. lovely embossed design all over.")</f>
        <v>I love this top! it's easily both day and night-worthy with a splash of sexiness in a front peek-a-boo design. lovely embossed design all over.</v>
      </c>
      <c r="F370" s="8">
        <f>IFERROR(__xludf.DUMMYFUNCTION("""COMPUTED_VALUE"""),5.0)</f>
        <v>5</v>
      </c>
      <c r="G370" s="8">
        <f>IFERROR(__xludf.DUMMYFUNCTION("""COMPUTED_VALUE"""),1.0)</f>
        <v>1</v>
      </c>
      <c r="H370" s="8">
        <f>IFERROR(__xludf.DUMMYFUNCTION("""COMPUTED_VALUE"""),3.0)</f>
        <v>3</v>
      </c>
      <c r="I370" s="8" t="str">
        <f>IFERROR(__xludf.DUMMYFUNCTION("""COMPUTED_VALUE"""),"General Petite")</f>
        <v>General Petite</v>
      </c>
      <c r="J370" s="8" t="str">
        <f>IFERROR(__xludf.DUMMYFUNCTION("""COMPUTED_VALUE"""),"Tops")</f>
        <v>Tops</v>
      </c>
      <c r="K370" s="8" t="str">
        <f>IFERROR(__xludf.DUMMYFUNCTION("""COMPUTED_VALUE"""),"Blouses")</f>
        <v>Blouses</v>
      </c>
    </row>
    <row r="371">
      <c r="A371" s="8">
        <f>IFERROR(__xludf.DUMMYFUNCTION("""COMPUTED_VALUE"""),473.0)</f>
        <v>473</v>
      </c>
      <c r="B371" s="8">
        <f>IFERROR(__xludf.DUMMYFUNCTION("""COMPUTED_VALUE"""),204.0)</f>
        <v>204</v>
      </c>
      <c r="C371" s="8">
        <f>IFERROR(__xludf.DUMMYFUNCTION("""COMPUTED_VALUE"""),30.0)</f>
        <v>30</v>
      </c>
      <c r="D371" s="8" t="str">
        <f>IFERROR(__xludf.DUMMYFUNCTION("""COMPUTED_VALUE"""),"Else lingerie jardin silk bralette review")</f>
        <v>Else lingerie jardin silk bralette review</v>
      </c>
      <c r="E371" s="8" t="str">
        <f>IFERROR(__xludf.DUMMYFUNCTION("""COMPUTED_VALUE"""),"This bra is extremely comfortable and surprisingly supportive considering the lack of padding or firm material. it also runs large.")</f>
        <v>This bra is extremely comfortable and surprisingly supportive considering the lack of padding or firm material. it also runs large.</v>
      </c>
      <c r="F371" s="8">
        <f>IFERROR(__xludf.DUMMYFUNCTION("""COMPUTED_VALUE"""),5.0)</f>
        <v>5</v>
      </c>
      <c r="G371" s="8">
        <f>IFERROR(__xludf.DUMMYFUNCTION("""COMPUTED_VALUE"""),1.0)</f>
        <v>1</v>
      </c>
      <c r="H371" s="8">
        <f>IFERROR(__xludf.DUMMYFUNCTION("""COMPUTED_VALUE"""),0.0)</f>
        <v>0</v>
      </c>
      <c r="I371" s="8" t="str">
        <f>IFERROR(__xludf.DUMMYFUNCTION("""COMPUTED_VALUE"""),"Initmates")</f>
        <v>Initmates</v>
      </c>
      <c r="J371" s="8" t="str">
        <f>IFERROR(__xludf.DUMMYFUNCTION("""COMPUTED_VALUE"""),"Intimate")</f>
        <v>Intimate</v>
      </c>
      <c r="K371" s="8" t="str">
        <f>IFERROR(__xludf.DUMMYFUNCTION("""COMPUTED_VALUE"""),"Intimates")</f>
        <v>Intimates</v>
      </c>
    </row>
    <row r="372">
      <c r="A372" s="8">
        <f>IFERROR(__xludf.DUMMYFUNCTION("""COMPUTED_VALUE"""),474.0)</f>
        <v>474</v>
      </c>
      <c r="B372" s="8">
        <f>IFERROR(__xludf.DUMMYFUNCTION("""COMPUTED_VALUE"""),1078.0)</f>
        <v>1078</v>
      </c>
      <c r="C372" s="8">
        <f>IFERROR(__xludf.DUMMYFUNCTION("""COMPUTED_VALUE"""),20.0)</f>
        <v>20</v>
      </c>
      <c r="D372" s="8" t="str">
        <f>IFERROR(__xludf.DUMMYFUNCTION("""COMPUTED_VALUE"""),"Super cute and flattering too")</f>
        <v>Super cute and flattering too</v>
      </c>
      <c r="E372" s="8" t="str">
        <f>IFERROR(__xludf.DUMMYFUNCTION("""COMPUTED_VALUE"""),"I love this sweater dress and get compliments every time i wear it.. i bought the navy in size xs. the pattern and colors are just fun and youthful, although you don't have to be young to look good in this dress. the dress is fitted, but the skirt flares,"&amp;" making it flattering if you have hips like me. the material is not too heavy so you can wear this 3 seasons fall, winter, spring. as other reviews have mentioned the dress is short. i am 5'9"" so it does hit well above my knees. this isn't an is")</f>
        <v>I love this sweater dress and get compliments every time i wear it.. i bought the navy in size xs. the pattern and colors are just fun and youthful, although you don't have to be young to look good in this dress. the dress is fitted, but the skirt flares, making it flattering if you have hips like me. the material is not too heavy so you can wear this 3 seasons fall, winter, spring. as other reviews have mentioned the dress is short. i am 5'9" so it does hit well above my knees. this isn't an is</v>
      </c>
      <c r="F372" s="8">
        <f>IFERROR(__xludf.DUMMYFUNCTION("""COMPUTED_VALUE"""),5.0)</f>
        <v>5</v>
      </c>
      <c r="G372" s="8">
        <f>IFERROR(__xludf.DUMMYFUNCTION("""COMPUTED_VALUE"""),1.0)</f>
        <v>1</v>
      </c>
      <c r="H372" s="8">
        <f>IFERROR(__xludf.DUMMYFUNCTION("""COMPUTED_VALUE"""),1.0)</f>
        <v>1</v>
      </c>
      <c r="I372" s="8" t="str">
        <f>IFERROR(__xludf.DUMMYFUNCTION("""COMPUTED_VALUE"""),"General")</f>
        <v>General</v>
      </c>
      <c r="J372" s="8" t="str">
        <f>IFERROR(__xludf.DUMMYFUNCTION("""COMPUTED_VALUE"""),"Dresses")</f>
        <v>Dresses</v>
      </c>
      <c r="K372" s="8" t="str">
        <f>IFERROR(__xludf.DUMMYFUNCTION("""COMPUTED_VALUE"""),"Dresses")</f>
        <v>Dresses</v>
      </c>
    </row>
    <row r="373">
      <c r="A373" s="8">
        <f>IFERROR(__xludf.DUMMYFUNCTION("""COMPUTED_VALUE"""),476.0)</f>
        <v>476</v>
      </c>
      <c r="B373" s="8">
        <f>IFERROR(__xludf.DUMMYFUNCTION("""COMPUTED_VALUE"""),1078.0)</f>
        <v>1078</v>
      </c>
      <c r="C373" s="8">
        <f>IFERROR(__xludf.DUMMYFUNCTION("""COMPUTED_VALUE"""),52.0)</f>
        <v>52</v>
      </c>
      <c r="D373" s="8" t="str">
        <f>IFERROR(__xludf.DUMMYFUNCTION("""COMPUTED_VALUE"""),"Fun dress")</f>
        <v>Fun dress</v>
      </c>
      <c r="E373" s="8" t="str">
        <f>IFERROR(__xludf.DUMMYFUNCTION("""COMPUTED_VALUE"""),"Extremely flattering. an easy dress to wear - good choice for both day and evening")</f>
        <v>Extremely flattering. an easy dress to wear - good choice for both day and evening</v>
      </c>
      <c r="F373" s="8">
        <f>IFERROR(__xludf.DUMMYFUNCTION("""COMPUTED_VALUE"""),5.0)</f>
        <v>5</v>
      </c>
      <c r="G373" s="8">
        <f>IFERROR(__xludf.DUMMYFUNCTION("""COMPUTED_VALUE"""),1.0)</f>
        <v>1</v>
      </c>
      <c r="H373" s="8">
        <f>IFERROR(__xludf.DUMMYFUNCTION("""COMPUTED_VALUE"""),1.0)</f>
        <v>1</v>
      </c>
      <c r="I373" s="8" t="str">
        <f>IFERROR(__xludf.DUMMYFUNCTION("""COMPUTED_VALUE"""),"General")</f>
        <v>General</v>
      </c>
      <c r="J373" s="8" t="str">
        <f>IFERROR(__xludf.DUMMYFUNCTION("""COMPUTED_VALUE"""),"Dresses")</f>
        <v>Dresses</v>
      </c>
      <c r="K373" s="8" t="str">
        <f>IFERROR(__xludf.DUMMYFUNCTION("""COMPUTED_VALUE"""),"Dresses")</f>
        <v>Dresses</v>
      </c>
    </row>
    <row r="374">
      <c r="A374" s="8">
        <f>IFERROR(__xludf.DUMMYFUNCTION("""COMPUTED_VALUE"""),477.0)</f>
        <v>477</v>
      </c>
      <c r="B374" s="8">
        <f>IFERROR(__xludf.DUMMYFUNCTION("""COMPUTED_VALUE"""),984.0)</f>
        <v>984</v>
      </c>
      <c r="C374" s="8">
        <f>IFERROR(__xludf.DUMMYFUNCTION("""COMPUTED_VALUE"""),42.0)</f>
        <v>42</v>
      </c>
      <c r="D374" s="8" t="str">
        <f>IFERROR(__xludf.DUMMYFUNCTION("""COMPUTED_VALUE"""),"Very cute jacket!")</f>
        <v>Very cute jacket!</v>
      </c>
      <c r="E374" s="8" t="str">
        <f>IFERROR(__xludf.DUMMYFUNCTION("""COMPUTED_VALUE"""),"I took a chance and tried on this jacket today at the store. at first i was worried that it might look boxy on me but as soon as i put it on, it was love at first sight! it's so cute and very comfy! the sleeves are slightly long on me but that's been a re"&amp;"current issue regarding all my jackets. i'm only 5'3"" about 124 lbs. and it fit me very well. because it's a bit cropped, it makes me look taller. glad the weather is starting to warm up so i can find more excuses to wear it. i didn't need anoth")</f>
        <v>I took a chance and tried on this jacket today at the store. at first i was worried that it might look boxy on me but as soon as i put it on, it was love at first sight! it's so cute and very comfy! the sleeves are slightly long on me but that's been a recurrent issue regarding all my jackets. i'm only 5'3" about 124 lbs. and it fit me very well. because it's a bit cropped, it makes me look taller. glad the weather is starting to warm up so i can find more excuses to wear it. i didn't need anoth</v>
      </c>
      <c r="F374" s="8">
        <f>IFERROR(__xludf.DUMMYFUNCTION("""COMPUTED_VALUE"""),5.0)</f>
        <v>5</v>
      </c>
      <c r="G374" s="8">
        <f>IFERROR(__xludf.DUMMYFUNCTION("""COMPUTED_VALUE"""),1.0)</f>
        <v>1</v>
      </c>
      <c r="H374" s="8">
        <f>IFERROR(__xludf.DUMMYFUNCTION("""COMPUTED_VALUE"""),2.0)</f>
        <v>2</v>
      </c>
      <c r="I374" s="8" t="str">
        <f>IFERROR(__xludf.DUMMYFUNCTION("""COMPUTED_VALUE"""),"General")</f>
        <v>General</v>
      </c>
      <c r="J374" s="8" t="str">
        <f>IFERROR(__xludf.DUMMYFUNCTION("""COMPUTED_VALUE"""),"Jackets")</f>
        <v>Jackets</v>
      </c>
      <c r="K374" s="8" t="str">
        <f>IFERROR(__xludf.DUMMYFUNCTION("""COMPUTED_VALUE"""),"Jackets")</f>
        <v>Jackets</v>
      </c>
    </row>
    <row r="375">
      <c r="A375" s="8">
        <f>IFERROR(__xludf.DUMMYFUNCTION("""COMPUTED_VALUE"""),478.0)</f>
        <v>478</v>
      </c>
      <c r="B375" s="8">
        <f>IFERROR(__xludf.DUMMYFUNCTION("""COMPUTED_VALUE"""),1008.0)</f>
        <v>1008</v>
      </c>
      <c r="C375" s="8">
        <f>IFERROR(__xludf.DUMMYFUNCTION("""COMPUTED_VALUE"""),24.0)</f>
        <v>24</v>
      </c>
      <c r="D375" s="8" t="str">
        <f>IFERROR(__xludf.DUMMYFUNCTION("""COMPUTED_VALUE"""),"Cute but too large")</f>
        <v>Cute but too large</v>
      </c>
      <c r="E375" s="8" t="str">
        <f>IFERROR(__xludf.DUMMYFUNCTION("""COMPUTED_VALUE"""),"Bought this in an xs and i liked the style of the skirt. it was long enough to wear to work. 
however the waist was too large and would not stay up on my waist. returned.")</f>
        <v>Bought this in an xs and i liked the style of the skirt. it was long enough to wear to work. 
however the waist was too large and would not stay up on my waist. returned.</v>
      </c>
      <c r="F375" s="8">
        <f>IFERROR(__xludf.DUMMYFUNCTION("""COMPUTED_VALUE"""),4.0)</f>
        <v>4</v>
      </c>
      <c r="G375" s="8">
        <f>IFERROR(__xludf.DUMMYFUNCTION("""COMPUTED_VALUE"""),1.0)</f>
        <v>1</v>
      </c>
      <c r="H375" s="8">
        <f>IFERROR(__xludf.DUMMYFUNCTION("""COMPUTED_VALUE"""),0.0)</f>
        <v>0</v>
      </c>
      <c r="I375" s="8" t="str">
        <f>IFERROR(__xludf.DUMMYFUNCTION("""COMPUTED_VALUE"""),"General")</f>
        <v>General</v>
      </c>
      <c r="J375" s="8" t="str">
        <f>IFERROR(__xludf.DUMMYFUNCTION("""COMPUTED_VALUE"""),"Bottoms")</f>
        <v>Bottoms</v>
      </c>
      <c r="K375" s="8" t="str">
        <f>IFERROR(__xludf.DUMMYFUNCTION("""COMPUTED_VALUE"""),"Skirts")</f>
        <v>Skirts</v>
      </c>
    </row>
    <row r="376">
      <c r="A376" s="8">
        <f>IFERROR(__xludf.DUMMYFUNCTION("""COMPUTED_VALUE"""),479.0)</f>
        <v>479</v>
      </c>
      <c r="B376" s="8">
        <f>IFERROR(__xludf.DUMMYFUNCTION("""COMPUTED_VALUE"""),841.0)</f>
        <v>841</v>
      </c>
      <c r="C376" s="8">
        <f>IFERROR(__xludf.DUMMYFUNCTION("""COMPUTED_VALUE"""),43.0)</f>
        <v>43</v>
      </c>
      <c r="D376" s="8" t="str">
        <f>IFERROR(__xludf.DUMMYFUNCTION("""COMPUTED_VALUE"""),"Great, but size down.")</f>
        <v>Great, but size down.</v>
      </c>
      <c r="E376" s="8" t="str">
        <f>IFERROR(__xludf.DUMMYFUNCTION("""COMPUTED_VALUE"""),"I ordered this top in the solid navy. the quality seemed very good, and my overall impression was favorable. what i liked was that the top stayed off the shoulders even when i was moving. so many of the on-trend ""cold shoulder"" tops simply do not stay p"&amp;"ut with even the slightest movement. unfortunately, this top ran quite a bit large. if you are in between sizes - i definitely recommend sizing down. i've not seen the printed floral option, but the dark navy is lovely and looks chic with white bo")</f>
        <v>I ordered this top in the solid navy. the quality seemed very good, and my overall impression was favorable. what i liked was that the top stayed off the shoulders even when i was moving. so many of the on-trend "cold shoulder" tops simply do not stay put with even the slightest movement. unfortunately, this top ran quite a bit large. if you are in between sizes - i definitely recommend sizing down. i've not seen the printed floral option, but the dark navy is lovely and looks chic with white bo</v>
      </c>
      <c r="F376" s="8">
        <f>IFERROR(__xludf.DUMMYFUNCTION("""COMPUTED_VALUE"""),4.0)</f>
        <v>4</v>
      </c>
      <c r="G376" s="8">
        <f>IFERROR(__xludf.DUMMYFUNCTION("""COMPUTED_VALUE"""),1.0)</f>
        <v>1</v>
      </c>
      <c r="H376" s="8">
        <f>IFERROR(__xludf.DUMMYFUNCTION("""COMPUTED_VALUE"""),0.0)</f>
        <v>0</v>
      </c>
      <c r="I376" s="8" t="str">
        <f>IFERROR(__xludf.DUMMYFUNCTION("""COMPUTED_VALUE"""),"General Petite")</f>
        <v>General Petite</v>
      </c>
      <c r="J376" s="8" t="str">
        <f>IFERROR(__xludf.DUMMYFUNCTION("""COMPUTED_VALUE"""),"Tops")</f>
        <v>Tops</v>
      </c>
      <c r="K376" s="8" t="str">
        <f>IFERROR(__xludf.DUMMYFUNCTION("""COMPUTED_VALUE"""),"Blouses")</f>
        <v>Blouses</v>
      </c>
    </row>
    <row r="377">
      <c r="A377" s="8">
        <f>IFERROR(__xludf.DUMMYFUNCTION("""COMPUTED_VALUE"""),481.0)</f>
        <v>481</v>
      </c>
      <c r="B377" s="8">
        <f>IFERROR(__xludf.DUMMYFUNCTION("""COMPUTED_VALUE"""),850.0)</f>
        <v>850</v>
      </c>
      <c r="C377" s="8">
        <f>IFERROR(__xludf.DUMMYFUNCTION("""COMPUTED_VALUE"""),39.0)</f>
        <v>39</v>
      </c>
      <c r="D377" s="8" t="str">
        <f>IFERROR(__xludf.DUMMYFUNCTION("""COMPUTED_VALUE"""),"Pretty adn flattering")</f>
        <v>Pretty adn flattering</v>
      </c>
      <c r="E377" s="8" t="str">
        <f>IFERROR(__xludf.DUMMYFUNCTION("""COMPUTED_VALUE"""),"I tried on the usual xs in the patterned style, and it fit really nicely. the colors are very nice in person, vibrant. teh cut is flatering and gives a nice definition at the waist i also love the lace up neck detailing. the sleeves flutter out, and will "&amp;"give a bit more volume, if i would change something that would be it. i would make the sleeves more fitter or perhaps shirter with the flutter. i am 115 lbs for reference...")</f>
        <v>I tried on the usual xs in the patterned style, and it fit really nicely. the colors are very nice in person, vibrant. teh cut is flatering and gives a nice definition at the waist i also love the lace up neck detailing. the sleeves flutter out, and will give a bit more volume, if i would change something that would be it. i would make the sleeves more fitter or perhaps shirter with the flutter. i am 115 lbs for reference...</v>
      </c>
      <c r="F377" s="8">
        <f>IFERROR(__xludf.DUMMYFUNCTION("""COMPUTED_VALUE"""),5.0)</f>
        <v>5</v>
      </c>
      <c r="G377" s="8">
        <f>IFERROR(__xludf.DUMMYFUNCTION("""COMPUTED_VALUE"""),1.0)</f>
        <v>1</v>
      </c>
      <c r="H377" s="8">
        <f>IFERROR(__xludf.DUMMYFUNCTION("""COMPUTED_VALUE"""),1.0)</f>
        <v>1</v>
      </c>
      <c r="I377" s="8" t="str">
        <f>IFERROR(__xludf.DUMMYFUNCTION("""COMPUTED_VALUE"""),"General Petite")</f>
        <v>General Petite</v>
      </c>
      <c r="J377" s="8" t="str">
        <f>IFERROR(__xludf.DUMMYFUNCTION("""COMPUTED_VALUE"""),"Tops")</f>
        <v>Tops</v>
      </c>
      <c r="K377" s="8" t="str">
        <f>IFERROR(__xludf.DUMMYFUNCTION("""COMPUTED_VALUE"""),"Blouses")</f>
        <v>Blouses</v>
      </c>
    </row>
    <row r="378">
      <c r="A378" s="8">
        <f>IFERROR(__xludf.DUMMYFUNCTION("""COMPUTED_VALUE"""),482.0)</f>
        <v>482</v>
      </c>
      <c r="B378" s="8">
        <f>IFERROR(__xludf.DUMMYFUNCTION("""COMPUTED_VALUE"""),1081.0)</f>
        <v>1081</v>
      </c>
      <c r="C378" s="8">
        <f>IFERROR(__xludf.DUMMYFUNCTION("""COMPUTED_VALUE"""),39.0)</f>
        <v>39</v>
      </c>
      <c r="D378" s="8" t="str">
        <f>IFERROR(__xludf.DUMMYFUNCTION("""COMPUTED_VALUE"""),"Love everything about htis dress")</f>
        <v>Love everything about htis dress</v>
      </c>
      <c r="E378" s="8" t="str">
        <f>IFERROR(__xludf.DUMMYFUNCTION("""COMPUTED_VALUE"""),"I had it on my wish list for a long time, not sure whether i should purchase, i even hesitated when it went on sale, but boy, am i glad i did order it... it is crazy comfortable, flattering, and love that it looks black but is blue... i ordered both xs an"&amp;"d xs p and decided to go with the petite as it will look super cute in the fall with boots. not too short (i am 5 foot 1.5)... the fake leather part concerned me at first, but i like it now... nothing bad ot say about it!")</f>
        <v>I had it on my wish list for a long time, not sure whether i should purchase, i even hesitated when it went on sale, but boy, am i glad i did order it... it is crazy comfortable, flattering, and love that it looks black but is blue... i ordered both xs and xs p and decided to go with the petite as it will look super cute in the fall with boots. not too short (i am 5 foot 1.5)... the fake leather part concerned me at first, but i like it now... nothing bad ot say about it!</v>
      </c>
      <c r="F378" s="8">
        <f>IFERROR(__xludf.DUMMYFUNCTION("""COMPUTED_VALUE"""),5.0)</f>
        <v>5</v>
      </c>
      <c r="G378" s="8">
        <f>IFERROR(__xludf.DUMMYFUNCTION("""COMPUTED_VALUE"""),1.0)</f>
        <v>1</v>
      </c>
      <c r="H378" s="8">
        <f>IFERROR(__xludf.DUMMYFUNCTION("""COMPUTED_VALUE"""),0.0)</f>
        <v>0</v>
      </c>
      <c r="I378" s="8" t="str">
        <f>IFERROR(__xludf.DUMMYFUNCTION("""COMPUTED_VALUE"""),"General")</f>
        <v>General</v>
      </c>
      <c r="J378" s="8" t="str">
        <f>IFERROR(__xludf.DUMMYFUNCTION("""COMPUTED_VALUE"""),"Dresses")</f>
        <v>Dresses</v>
      </c>
      <c r="K378" s="8" t="str">
        <f>IFERROR(__xludf.DUMMYFUNCTION("""COMPUTED_VALUE"""),"Dresses")</f>
        <v>Dresses</v>
      </c>
    </row>
    <row r="379">
      <c r="A379" s="8">
        <f>IFERROR(__xludf.DUMMYFUNCTION("""COMPUTED_VALUE"""),483.0)</f>
        <v>483</v>
      </c>
      <c r="B379" s="8">
        <f>IFERROR(__xludf.DUMMYFUNCTION("""COMPUTED_VALUE"""),833.0)</f>
        <v>833</v>
      </c>
      <c r="C379" s="8">
        <f>IFERROR(__xludf.DUMMYFUNCTION("""COMPUTED_VALUE"""),39.0)</f>
        <v>39</v>
      </c>
      <c r="D379" s="8"/>
      <c r="E379" s="8" t="str">
        <f>IFERROR(__xludf.DUMMYFUNCTION("""COMPUTED_VALUE"""),"I tried this on in store and since my usual size 6 wasn't available i tried on a 4. it was a little snug in the upper sleeves and shoulders but was lovely otherwise. i passed on it and waited for it to go on sale to order it online. i got it in my usual s"&amp;"ize 6 but it seemed to me like it was 2 sizes bigger than the 4. i have decided to keep it but i just wasn't thrilled with the fit.")</f>
        <v>I tried this on in store and since my usual size 6 wasn't available i tried on a 4. it was a little snug in the upper sleeves and shoulders but was lovely otherwise. i passed on it and waited for it to go on sale to order it online. i got it in my usual size 6 but it seemed to me like it was 2 sizes bigger than the 4. i have decided to keep it but i just wasn't thrilled with the fit.</v>
      </c>
      <c r="F379" s="8">
        <f>IFERROR(__xludf.DUMMYFUNCTION("""COMPUTED_VALUE"""),4.0)</f>
        <v>4</v>
      </c>
      <c r="G379" s="8">
        <f>IFERROR(__xludf.DUMMYFUNCTION("""COMPUTED_VALUE"""),1.0)</f>
        <v>1</v>
      </c>
      <c r="H379" s="8">
        <f>IFERROR(__xludf.DUMMYFUNCTION("""COMPUTED_VALUE"""),1.0)</f>
        <v>1</v>
      </c>
      <c r="I379" s="8" t="str">
        <f>IFERROR(__xludf.DUMMYFUNCTION("""COMPUTED_VALUE"""),"General")</f>
        <v>General</v>
      </c>
      <c r="J379" s="8" t="str">
        <f>IFERROR(__xludf.DUMMYFUNCTION("""COMPUTED_VALUE"""),"Tops")</f>
        <v>Tops</v>
      </c>
      <c r="K379" s="8" t="str">
        <f>IFERROR(__xludf.DUMMYFUNCTION("""COMPUTED_VALUE"""),"Blouses")</f>
        <v>Blouses</v>
      </c>
    </row>
    <row r="380">
      <c r="A380" s="8">
        <f>IFERROR(__xludf.DUMMYFUNCTION("""COMPUTED_VALUE"""),484.0)</f>
        <v>484</v>
      </c>
      <c r="B380" s="8">
        <f>IFERROR(__xludf.DUMMYFUNCTION("""COMPUTED_VALUE"""),850.0)</f>
        <v>850</v>
      </c>
      <c r="C380" s="8">
        <f>IFERROR(__xludf.DUMMYFUNCTION("""COMPUTED_VALUE"""),57.0)</f>
        <v>57</v>
      </c>
      <c r="D380" s="8" t="str">
        <f>IFERROR(__xludf.DUMMYFUNCTION("""COMPUTED_VALUE"""),"Manette clipdot blouse")</f>
        <v>Manette clipdot blouse</v>
      </c>
      <c r="E380" s="8" t="str">
        <f>IFERROR(__xludf.DUMMYFUNCTION("""COMPUTED_VALUE"""),"I agree that this blouse is boxy, but because it's not too long in length it evens it out. any longer or shorter would make it look too boxy. it's great for work to dinner during the week &amp; goes great with jeans too.")</f>
        <v>I agree that this blouse is boxy, but because it's not too long in length it evens it out. any longer or shorter would make it look too boxy. it's great for work to dinner during the week &amp; goes great with jeans too.</v>
      </c>
      <c r="F380" s="8">
        <f>IFERROR(__xludf.DUMMYFUNCTION("""COMPUTED_VALUE"""),4.0)</f>
        <v>4</v>
      </c>
      <c r="G380" s="8">
        <f>IFERROR(__xludf.DUMMYFUNCTION("""COMPUTED_VALUE"""),1.0)</f>
        <v>1</v>
      </c>
      <c r="H380" s="8">
        <f>IFERROR(__xludf.DUMMYFUNCTION("""COMPUTED_VALUE"""),0.0)</f>
        <v>0</v>
      </c>
      <c r="I380" s="8" t="str">
        <f>IFERROR(__xludf.DUMMYFUNCTION("""COMPUTED_VALUE"""),"General Petite")</f>
        <v>General Petite</v>
      </c>
      <c r="J380" s="8" t="str">
        <f>IFERROR(__xludf.DUMMYFUNCTION("""COMPUTED_VALUE"""),"Tops")</f>
        <v>Tops</v>
      </c>
      <c r="K380" s="8" t="str">
        <f>IFERROR(__xludf.DUMMYFUNCTION("""COMPUTED_VALUE"""),"Blouses")</f>
        <v>Blouses</v>
      </c>
    </row>
    <row r="381">
      <c r="A381" s="8">
        <f>IFERROR(__xludf.DUMMYFUNCTION("""COMPUTED_VALUE"""),485.0)</f>
        <v>485</v>
      </c>
      <c r="B381" s="8">
        <f>IFERROR(__xludf.DUMMYFUNCTION("""COMPUTED_VALUE"""),862.0)</f>
        <v>862</v>
      </c>
      <c r="C381" s="8">
        <f>IFERROR(__xludf.DUMMYFUNCTION("""COMPUTED_VALUE"""),35.0)</f>
        <v>35</v>
      </c>
      <c r="D381" s="8" t="str">
        <f>IFERROR(__xludf.DUMMYFUNCTION("""COMPUTED_VALUE"""),"Runs large")</f>
        <v>Runs large</v>
      </c>
      <c r="E381" s="8" t="str">
        <f>IFERROR(__xludf.DUMMYFUNCTION("""COMPUTED_VALUE"""),"Soft cotton in very stylish yet simple style. regrettably, i listened to reviews that said it ran tts and ended up w a baggy long one that won't work even if i shrink it. that will teach me-- always order multiple sizes!")</f>
        <v>Soft cotton in very stylish yet simple style. regrettably, i listened to reviews that said it ran tts and ended up w a baggy long one that won't work even if i shrink it. that will teach me-- always order multiple sizes!</v>
      </c>
      <c r="F381" s="8">
        <f>IFERROR(__xludf.DUMMYFUNCTION("""COMPUTED_VALUE"""),4.0)</f>
        <v>4</v>
      </c>
      <c r="G381" s="8">
        <f>IFERROR(__xludf.DUMMYFUNCTION("""COMPUTED_VALUE"""),1.0)</f>
        <v>1</v>
      </c>
      <c r="H381" s="8">
        <f>IFERROR(__xludf.DUMMYFUNCTION("""COMPUTED_VALUE"""),0.0)</f>
        <v>0</v>
      </c>
      <c r="I381" s="8" t="str">
        <f>IFERROR(__xludf.DUMMYFUNCTION("""COMPUTED_VALUE"""),"General Petite")</f>
        <v>General Petite</v>
      </c>
      <c r="J381" s="8" t="str">
        <f>IFERROR(__xludf.DUMMYFUNCTION("""COMPUTED_VALUE"""),"Tops")</f>
        <v>Tops</v>
      </c>
      <c r="K381" s="8" t="str">
        <f>IFERROR(__xludf.DUMMYFUNCTION("""COMPUTED_VALUE"""),"Knits")</f>
        <v>Knits</v>
      </c>
    </row>
    <row r="382">
      <c r="A382" s="8">
        <f>IFERROR(__xludf.DUMMYFUNCTION("""COMPUTED_VALUE"""),486.0)</f>
        <v>486</v>
      </c>
      <c r="B382" s="8">
        <f>IFERROR(__xludf.DUMMYFUNCTION("""COMPUTED_VALUE"""),1078.0)</f>
        <v>1078</v>
      </c>
      <c r="C382" s="8">
        <f>IFERROR(__xludf.DUMMYFUNCTION("""COMPUTED_VALUE"""),46.0)</f>
        <v>46</v>
      </c>
      <c r="D382" s="8" t="str">
        <f>IFERROR(__xludf.DUMMYFUNCTION("""COMPUTED_VALUE"""),"Fun mix of colors in the grey version")</f>
        <v>Fun mix of colors in the grey version</v>
      </c>
      <c r="E382" s="8" t="str">
        <f>IFERROR(__xludf.DUMMYFUNCTION("""COMPUTED_VALUE"""),"I ordered this dress in size xl in the grey/red/yellow combination. i love everything about this dress. it's comfortable. the colors are cheerful. the proportions of where the stripes are placed works. but, i have to return this dress. it's too short for "&amp;"what i'm comfortable wearing. i saw from the photos that this comes mid-thigh on the taller models. i hoped that would mean it would be more knee-length for me. unfortunately, it's just too short and i'd feel self-conscious. i don't want to deal")</f>
        <v>I ordered this dress in size xl in the grey/red/yellow combination. i love everything about this dress. it's comfortable. the colors are cheerful. the proportions of where the stripes are placed works. but, i have to return this dress. it's too short for what i'm comfortable wearing. i saw from the photos that this comes mid-thigh on the taller models. i hoped that would mean it would be more knee-length for me. unfortunately, it's just too short and i'd feel self-conscious. i don't want to deal</v>
      </c>
      <c r="F382" s="8">
        <f>IFERROR(__xludf.DUMMYFUNCTION("""COMPUTED_VALUE"""),5.0)</f>
        <v>5</v>
      </c>
      <c r="G382" s="8">
        <f>IFERROR(__xludf.DUMMYFUNCTION("""COMPUTED_VALUE"""),1.0)</f>
        <v>1</v>
      </c>
      <c r="H382" s="8">
        <f>IFERROR(__xludf.DUMMYFUNCTION("""COMPUTED_VALUE"""),1.0)</f>
        <v>1</v>
      </c>
      <c r="I382" s="8" t="str">
        <f>IFERROR(__xludf.DUMMYFUNCTION("""COMPUTED_VALUE"""),"General")</f>
        <v>General</v>
      </c>
      <c r="J382" s="8" t="str">
        <f>IFERROR(__xludf.DUMMYFUNCTION("""COMPUTED_VALUE"""),"Dresses")</f>
        <v>Dresses</v>
      </c>
      <c r="K382" s="8" t="str">
        <f>IFERROR(__xludf.DUMMYFUNCTION("""COMPUTED_VALUE"""),"Dresses")</f>
        <v>Dresses</v>
      </c>
    </row>
    <row r="383">
      <c r="A383" s="8">
        <f>IFERROR(__xludf.DUMMYFUNCTION("""COMPUTED_VALUE"""),487.0)</f>
        <v>487</v>
      </c>
      <c r="B383" s="8">
        <f>IFERROR(__xludf.DUMMYFUNCTION("""COMPUTED_VALUE"""),850.0)</f>
        <v>850</v>
      </c>
      <c r="C383" s="8">
        <f>IFERROR(__xludf.DUMMYFUNCTION("""COMPUTED_VALUE"""),51.0)</f>
        <v>51</v>
      </c>
      <c r="D383" s="8" t="str">
        <f>IFERROR(__xludf.DUMMYFUNCTION("""COMPUTED_VALUE"""),"So pretty and great style")</f>
        <v>So pretty and great style</v>
      </c>
      <c r="E383" s="8" t="str">
        <f>IFERROR(__xludf.DUMMYFUNCTION("""COMPUTED_VALUE"""),"I had to order this blouse since it is named after the town i live in. it does not disappoint. the flowers are so pretty and it has great style. there is a little piece in the neckline so it is not too revealing. the sleeves are loose and cover the bra st"&amp;"rap underneath. the back has a little bit of elastic so it does not look like a maternity shirt and it gives you some shape. i can't wait for it to warm up and to wear this!")</f>
        <v>I had to order this blouse since it is named after the town i live in. it does not disappoint. the flowers are so pretty and it has great style. there is a little piece in the neckline so it is not too revealing. the sleeves are loose and cover the bra strap underneath. the back has a little bit of elastic so it does not look like a maternity shirt and it gives you some shape. i can't wait for it to warm up and to wear this!</v>
      </c>
      <c r="F383" s="8">
        <f>IFERROR(__xludf.DUMMYFUNCTION("""COMPUTED_VALUE"""),5.0)</f>
        <v>5</v>
      </c>
      <c r="G383" s="8">
        <f>IFERROR(__xludf.DUMMYFUNCTION("""COMPUTED_VALUE"""),1.0)</f>
        <v>1</v>
      </c>
      <c r="H383" s="8">
        <f>IFERROR(__xludf.DUMMYFUNCTION("""COMPUTED_VALUE"""),4.0)</f>
        <v>4</v>
      </c>
      <c r="I383" s="8" t="str">
        <f>IFERROR(__xludf.DUMMYFUNCTION("""COMPUTED_VALUE"""),"General Petite")</f>
        <v>General Petite</v>
      </c>
      <c r="J383" s="8" t="str">
        <f>IFERROR(__xludf.DUMMYFUNCTION("""COMPUTED_VALUE"""),"Tops")</f>
        <v>Tops</v>
      </c>
      <c r="K383" s="8" t="str">
        <f>IFERROR(__xludf.DUMMYFUNCTION("""COMPUTED_VALUE"""),"Blouses")</f>
        <v>Blouses</v>
      </c>
    </row>
    <row r="384">
      <c r="A384" s="8">
        <f>IFERROR(__xludf.DUMMYFUNCTION("""COMPUTED_VALUE"""),488.0)</f>
        <v>488</v>
      </c>
      <c r="B384" s="8">
        <f>IFERROR(__xludf.DUMMYFUNCTION("""COMPUTED_VALUE"""),850.0)</f>
        <v>850</v>
      </c>
      <c r="C384" s="8">
        <f>IFERROR(__xludf.DUMMYFUNCTION("""COMPUTED_VALUE"""),39.0)</f>
        <v>39</v>
      </c>
      <c r="D384" s="8"/>
      <c r="E384" s="8" t="str">
        <f>IFERROR(__xludf.DUMMYFUNCTION("""COMPUTED_VALUE"""),"Perfect trans top.  skinnies or boyfriend and booties.  love the mixed prints")</f>
        <v>Perfect trans top.  skinnies or boyfriend and booties.  love the mixed prints</v>
      </c>
      <c r="F384" s="8">
        <f>IFERROR(__xludf.DUMMYFUNCTION("""COMPUTED_VALUE"""),5.0)</f>
        <v>5</v>
      </c>
      <c r="G384" s="8">
        <f>IFERROR(__xludf.DUMMYFUNCTION("""COMPUTED_VALUE"""),1.0)</f>
        <v>1</v>
      </c>
      <c r="H384" s="8">
        <f>IFERROR(__xludf.DUMMYFUNCTION("""COMPUTED_VALUE"""),0.0)</f>
        <v>0</v>
      </c>
      <c r="I384" s="8" t="str">
        <f>IFERROR(__xludf.DUMMYFUNCTION("""COMPUTED_VALUE"""),"General Petite")</f>
        <v>General Petite</v>
      </c>
      <c r="J384" s="8" t="str">
        <f>IFERROR(__xludf.DUMMYFUNCTION("""COMPUTED_VALUE"""),"Tops")</f>
        <v>Tops</v>
      </c>
      <c r="K384" s="8" t="str">
        <f>IFERROR(__xludf.DUMMYFUNCTION("""COMPUTED_VALUE"""),"Blouses")</f>
        <v>Blouses</v>
      </c>
    </row>
    <row r="385">
      <c r="A385" s="8">
        <f>IFERROR(__xludf.DUMMYFUNCTION("""COMPUTED_VALUE"""),489.0)</f>
        <v>489</v>
      </c>
      <c r="B385" s="8">
        <f>IFERROR(__xludf.DUMMYFUNCTION("""COMPUTED_VALUE"""),831.0)</f>
        <v>831</v>
      </c>
      <c r="C385" s="8">
        <f>IFERROR(__xludf.DUMMYFUNCTION("""COMPUTED_VALUE"""),55.0)</f>
        <v>55</v>
      </c>
      <c r="D385" s="8" t="str">
        <f>IFERROR(__xludf.DUMMYFUNCTION("""COMPUTED_VALUE"""),"Retailer like it used to be!")</f>
        <v>Retailer like it used to be!</v>
      </c>
      <c r="E385" s="8" t="str">
        <f>IFERROR(__xludf.DUMMYFUNCTION("""COMPUTED_VALUE"""),"This top reminds me of the special tops i got ""once upon a time""...when retailer adopted a more curatorial approach to their store. this is a beautifully-made top...quite dramatic but comfortable. i've received many compliments each time i've worn it. i"&amp;"t has wonderful drapery and movement.")</f>
        <v>This top reminds me of the special tops i got "once upon a time"...when retailer adopted a more curatorial approach to their store. this is a beautifully-made top...quite dramatic but comfortable. i've received many compliments each time i've worn it. it has wonderful drapery and movement.</v>
      </c>
      <c r="F385" s="8">
        <f>IFERROR(__xludf.DUMMYFUNCTION("""COMPUTED_VALUE"""),5.0)</f>
        <v>5</v>
      </c>
      <c r="G385" s="8">
        <f>IFERROR(__xludf.DUMMYFUNCTION("""COMPUTED_VALUE"""),1.0)</f>
        <v>1</v>
      </c>
      <c r="H385" s="8">
        <f>IFERROR(__xludf.DUMMYFUNCTION("""COMPUTED_VALUE"""),0.0)</f>
        <v>0</v>
      </c>
      <c r="I385" s="8" t="str">
        <f>IFERROR(__xludf.DUMMYFUNCTION("""COMPUTED_VALUE"""),"General")</f>
        <v>General</v>
      </c>
      <c r="J385" s="8" t="str">
        <f>IFERROR(__xludf.DUMMYFUNCTION("""COMPUTED_VALUE"""),"Tops")</f>
        <v>Tops</v>
      </c>
      <c r="K385" s="8" t="str">
        <f>IFERROR(__xludf.DUMMYFUNCTION("""COMPUTED_VALUE"""),"Blouses")</f>
        <v>Blouses</v>
      </c>
    </row>
    <row r="386">
      <c r="A386" s="8">
        <f>IFERROR(__xludf.DUMMYFUNCTION("""COMPUTED_VALUE"""),490.0)</f>
        <v>490</v>
      </c>
      <c r="B386" s="8">
        <f>IFERROR(__xludf.DUMMYFUNCTION("""COMPUTED_VALUE"""),833.0)</f>
        <v>833</v>
      </c>
      <c r="C386" s="8">
        <f>IFERROR(__xludf.DUMMYFUNCTION("""COMPUTED_VALUE"""),42.0)</f>
        <v>42</v>
      </c>
      <c r="D386" s="8" t="str">
        <f>IFERROR(__xludf.DUMMYFUNCTION("""COMPUTED_VALUE"""),"Lovely")</f>
        <v>Lovely</v>
      </c>
      <c r="E386" s="8" t="str">
        <f>IFERROR(__xludf.DUMMYFUNCTION("""COMPUTED_VALUE"""),"This blouse is so pretty and well made. it will be a new favorite with dark jeans and boots. it is very boho and a lovely blouse to feel dressed up a bit on a jeans day. loose in a flattering way (it does not look like a maternity top). very happy!")</f>
        <v>This blouse is so pretty and well made. it will be a new favorite with dark jeans and boots. it is very boho and a lovely blouse to feel dressed up a bit on a jeans day. loose in a flattering way (it does not look like a maternity top). very happy!</v>
      </c>
      <c r="F386" s="8">
        <f>IFERROR(__xludf.DUMMYFUNCTION("""COMPUTED_VALUE"""),5.0)</f>
        <v>5</v>
      </c>
      <c r="G386" s="8">
        <f>IFERROR(__xludf.DUMMYFUNCTION("""COMPUTED_VALUE"""),1.0)</f>
        <v>1</v>
      </c>
      <c r="H386" s="8">
        <f>IFERROR(__xludf.DUMMYFUNCTION("""COMPUTED_VALUE"""),0.0)</f>
        <v>0</v>
      </c>
      <c r="I386" s="8" t="str">
        <f>IFERROR(__xludf.DUMMYFUNCTION("""COMPUTED_VALUE"""),"General")</f>
        <v>General</v>
      </c>
      <c r="J386" s="8" t="str">
        <f>IFERROR(__xludf.DUMMYFUNCTION("""COMPUTED_VALUE"""),"Tops")</f>
        <v>Tops</v>
      </c>
      <c r="K386" s="8" t="str">
        <f>IFERROR(__xludf.DUMMYFUNCTION("""COMPUTED_VALUE"""),"Blouses")</f>
        <v>Blouses</v>
      </c>
    </row>
    <row r="387">
      <c r="A387" s="8">
        <f>IFERROR(__xludf.DUMMYFUNCTION("""COMPUTED_VALUE"""),491.0)</f>
        <v>491</v>
      </c>
      <c r="B387" s="8">
        <f>IFERROR(__xludf.DUMMYFUNCTION("""COMPUTED_VALUE"""),984.0)</f>
        <v>984</v>
      </c>
      <c r="C387" s="8">
        <f>IFERROR(__xludf.DUMMYFUNCTION("""COMPUTED_VALUE"""),40.0)</f>
        <v>40</v>
      </c>
      <c r="D387" s="8" t="str">
        <f>IFERROR(__xludf.DUMMYFUNCTION("""COMPUTED_VALUE"""),"Cute jacket")</f>
        <v>Cute jacket</v>
      </c>
      <c r="E387" s="8" t="str">
        <f>IFERROR(__xludf.DUMMYFUNCTION("""COMPUTED_VALUE"""),"I love the layered look of this jacket. i got it in navy which matches everything. i think it's a little on the large side for me. i ordered a small. i'm 5'2"" 130 lbs. super comfortable. the inner layer is very soft. once you wash it, the outside is soft"&amp;" too. i've already worn mine several times. happy.")</f>
        <v>I love the layered look of this jacket. i got it in navy which matches everything. i think it's a little on the large side for me. i ordered a small. i'm 5'2" 130 lbs. super comfortable. the inner layer is very soft. once you wash it, the outside is soft too. i've already worn mine several times. happy.</v>
      </c>
      <c r="F387" s="8">
        <f>IFERROR(__xludf.DUMMYFUNCTION("""COMPUTED_VALUE"""),4.0)</f>
        <v>4</v>
      </c>
      <c r="G387" s="8">
        <f>IFERROR(__xludf.DUMMYFUNCTION("""COMPUTED_VALUE"""),1.0)</f>
        <v>1</v>
      </c>
      <c r="H387" s="8">
        <f>IFERROR(__xludf.DUMMYFUNCTION("""COMPUTED_VALUE"""),0.0)</f>
        <v>0</v>
      </c>
      <c r="I387" s="8" t="str">
        <f>IFERROR(__xludf.DUMMYFUNCTION("""COMPUTED_VALUE"""),"General")</f>
        <v>General</v>
      </c>
      <c r="J387" s="8" t="str">
        <f>IFERROR(__xludf.DUMMYFUNCTION("""COMPUTED_VALUE"""),"Jackets")</f>
        <v>Jackets</v>
      </c>
      <c r="K387" s="8" t="str">
        <f>IFERROR(__xludf.DUMMYFUNCTION("""COMPUTED_VALUE"""),"Jackets")</f>
        <v>Jackets</v>
      </c>
    </row>
    <row r="388">
      <c r="A388" s="8">
        <f>IFERROR(__xludf.DUMMYFUNCTION("""COMPUTED_VALUE"""),492.0)</f>
        <v>492</v>
      </c>
      <c r="B388" s="8">
        <f>IFERROR(__xludf.DUMMYFUNCTION("""COMPUTED_VALUE"""),1078.0)</f>
        <v>1078</v>
      </c>
      <c r="C388" s="8">
        <f>IFERROR(__xludf.DUMMYFUNCTION("""COMPUTED_VALUE"""),31.0)</f>
        <v>31</v>
      </c>
      <c r="D388" s="8" t="str">
        <f>IFERROR(__xludf.DUMMYFUNCTION("""COMPUTED_VALUE"""),"For the shorter girls")</f>
        <v>For the shorter girls</v>
      </c>
      <c r="E388" s="8" t="str">
        <f>IFERROR(__xludf.DUMMYFUNCTION("""COMPUTED_VALUE"""),"I really wanted to love this dress, but it was so short! i'm only 5'6"" so i don't consider myself really tall, but the dress only came a couple of inches lower than my butt! way too short for me. my husband asked if it was a shirt or dress haha. but i th"&amp;"ink this would look adorable on someone a few inches shorter. or someone younger who can pull of a short shirt :)")</f>
        <v>I really wanted to love this dress, but it was so short! i'm only 5'6" so i don't consider myself really tall, but the dress only came a couple of inches lower than my butt! way too short for me. my husband asked if it was a shirt or dress haha. but i think this would look adorable on someone a few inches shorter. or someone younger who can pull of a short shirt :)</v>
      </c>
      <c r="F388" s="8">
        <f>IFERROR(__xludf.DUMMYFUNCTION("""COMPUTED_VALUE"""),4.0)</f>
        <v>4</v>
      </c>
      <c r="G388" s="8">
        <f>IFERROR(__xludf.DUMMYFUNCTION("""COMPUTED_VALUE"""),1.0)</f>
        <v>1</v>
      </c>
      <c r="H388" s="8">
        <f>IFERROR(__xludf.DUMMYFUNCTION("""COMPUTED_VALUE"""),4.0)</f>
        <v>4</v>
      </c>
      <c r="I388" s="8" t="str">
        <f>IFERROR(__xludf.DUMMYFUNCTION("""COMPUTED_VALUE"""),"General")</f>
        <v>General</v>
      </c>
      <c r="J388" s="8" t="str">
        <f>IFERROR(__xludf.DUMMYFUNCTION("""COMPUTED_VALUE"""),"Dresses")</f>
        <v>Dresses</v>
      </c>
      <c r="K388" s="8" t="str">
        <f>IFERROR(__xludf.DUMMYFUNCTION("""COMPUTED_VALUE"""),"Dresses")</f>
        <v>Dresses</v>
      </c>
    </row>
    <row r="389">
      <c r="A389" s="8">
        <f>IFERROR(__xludf.DUMMYFUNCTION("""COMPUTED_VALUE"""),493.0)</f>
        <v>493</v>
      </c>
      <c r="B389" s="8">
        <f>IFERROR(__xludf.DUMMYFUNCTION("""COMPUTED_VALUE"""),1104.0)</f>
        <v>1104</v>
      </c>
      <c r="C389" s="8">
        <f>IFERROR(__xludf.DUMMYFUNCTION("""COMPUTED_VALUE"""),39.0)</f>
        <v>39</v>
      </c>
      <c r="D389" s="8"/>
      <c r="E389" s="8"/>
      <c r="F389" s="8">
        <f>IFERROR(__xludf.DUMMYFUNCTION("""COMPUTED_VALUE"""),5.0)</f>
        <v>5</v>
      </c>
      <c r="G389" s="8">
        <f>IFERROR(__xludf.DUMMYFUNCTION("""COMPUTED_VALUE"""),1.0)</f>
        <v>1</v>
      </c>
      <c r="H389" s="8">
        <f>IFERROR(__xludf.DUMMYFUNCTION("""COMPUTED_VALUE"""),0.0)</f>
        <v>0</v>
      </c>
      <c r="I389" s="8" t="str">
        <f>IFERROR(__xludf.DUMMYFUNCTION("""COMPUTED_VALUE"""),"General")</f>
        <v>General</v>
      </c>
      <c r="J389" s="8" t="str">
        <f>IFERROR(__xludf.DUMMYFUNCTION("""COMPUTED_VALUE"""),"Dresses")</f>
        <v>Dresses</v>
      </c>
      <c r="K389" s="8" t="str">
        <f>IFERROR(__xludf.DUMMYFUNCTION("""COMPUTED_VALUE"""),"Dresses")</f>
        <v>Dresses</v>
      </c>
    </row>
    <row r="390">
      <c r="A390" s="8">
        <f>IFERROR(__xludf.DUMMYFUNCTION("""COMPUTED_VALUE"""),494.0)</f>
        <v>494</v>
      </c>
      <c r="B390" s="8">
        <f>IFERROR(__xludf.DUMMYFUNCTION("""COMPUTED_VALUE"""),1081.0)</f>
        <v>1081</v>
      </c>
      <c r="C390" s="8">
        <f>IFERROR(__xludf.DUMMYFUNCTION("""COMPUTED_VALUE"""),59.0)</f>
        <v>59</v>
      </c>
      <c r="D390" s="8" t="str">
        <f>IFERROR(__xludf.DUMMYFUNCTION("""COMPUTED_VALUE"""),"Flattering and comfortable")</f>
        <v>Flattering and comfortable</v>
      </c>
      <c r="E390" s="8" t="str">
        <f>IFERROR(__xludf.DUMMYFUNCTION("""COMPUTED_VALUE"""),"I ordered size small and medium because i can go either way depending on brands. and both look great! there is no significant difference except medium fell about 1 inch longer. i am 5'4"" and size small hem fell about 1"" above knee. size medium felt tab "&amp;"bit more loose but i thought fabric may stretch a bit after wear so i'm keeping size small. what a beautiful dress! although the body of dress is jersey material, it is lined so there is good coverage. i tend to not like ""faux leather"" since they")</f>
        <v>I ordered size small and medium because i can go either way depending on brands. and both look great! there is no significant difference except medium fell about 1 inch longer. i am 5'4" and size small hem fell about 1" above knee. size medium felt tab bit more loose but i thought fabric may stretch a bit after wear so i'm keeping size small. what a beautiful dress! although the body of dress is jersey material, it is lined so there is good coverage. i tend to not like "faux leather" since they</v>
      </c>
      <c r="F390" s="8">
        <f>IFERROR(__xludf.DUMMYFUNCTION("""COMPUTED_VALUE"""),5.0)</f>
        <v>5</v>
      </c>
      <c r="G390" s="8">
        <f>IFERROR(__xludf.DUMMYFUNCTION("""COMPUTED_VALUE"""),1.0)</f>
        <v>1</v>
      </c>
      <c r="H390" s="8">
        <f>IFERROR(__xludf.DUMMYFUNCTION("""COMPUTED_VALUE"""),10.0)</f>
        <v>10</v>
      </c>
      <c r="I390" s="8" t="str">
        <f>IFERROR(__xludf.DUMMYFUNCTION("""COMPUTED_VALUE"""),"General")</f>
        <v>General</v>
      </c>
      <c r="J390" s="8" t="str">
        <f>IFERROR(__xludf.DUMMYFUNCTION("""COMPUTED_VALUE"""),"Dresses")</f>
        <v>Dresses</v>
      </c>
      <c r="K390" s="8" t="str">
        <f>IFERROR(__xludf.DUMMYFUNCTION("""COMPUTED_VALUE"""),"Dresses")</f>
        <v>Dresses</v>
      </c>
    </row>
    <row r="391">
      <c r="A391" s="8">
        <f>IFERROR(__xludf.DUMMYFUNCTION("""COMPUTED_VALUE"""),495.0)</f>
        <v>495</v>
      </c>
      <c r="B391" s="8">
        <f>IFERROR(__xludf.DUMMYFUNCTION("""COMPUTED_VALUE"""),833.0)</f>
        <v>833</v>
      </c>
      <c r="C391" s="8">
        <f>IFERROR(__xludf.DUMMYFUNCTION("""COMPUTED_VALUE"""),53.0)</f>
        <v>53</v>
      </c>
      <c r="D391" s="8" t="str">
        <f>IFERROR(__xludf.DUMMYFUNCTION("""COMPUTED_VALUE"""),"Still love it even if...")</f>
        <v>Still love it even if...</v>
      </c>
      <c r="E391" s="8" t="str">
        <f>IFERROR(__xludf.DUMMYFUNCTION("""COMPUTED_VALUE"""),"...there's enough room for a small family to live under the chest and trunk area of the blouse! sorry-had to say that! all kidding aside-since it's been thirty plus years ago since we were wearing these, many of us have forgotten what peasant blouses trul"&amp;"y fit like. this is no exception- it is very billowy, flouncy, and roomy-more so even than today's peasant styles, i think. it is lovely and quite fitted across the chest -so that's how i ordered my size and it worked. i think if one sizes down")</f>
        <v>...there's enough room for a small family to live under the chest and trunk area of the blouse! sorry-had to say that! all kidding aside-since it's been thirty plus years ago since we were wearing these, many of us have forgotten what peasant blouses truly fit like. this is no exception- it is very billowy, flouncy, and roomy-more so even than today's peasant styles, i think. it is lovely and quite fitted across the chest -so that's how i ordered my size and it worked. i think if one sizes down</v>
      </c>
      <c r="F391" s="8">
        <f>IFERROR(__xludf.DUMMYFUNCTION("""COMPUTED_VALUE"""),4.0)</f>
        <v>4</v>
      </c>
      <c r="G391" s="8">
        <f>IFERROR(__xludf.DUMMYFUNCTION("""COMPUTED_VALUE"""),1.0)</f>
        <v>1</v>
      </c>
      <c r="H391" s="8">
        <f>IFERROR(__xludf.DUMMYFUNCTION("""COMPUTED_VALUE"""),0.0)</f>
        <v>0</v>
      </c>
      <c r="I391" s="8" t="str">
        <f>IFERROR(__xludf.DUMMYFUNCTION("""COMPUTED_VALUE"""),"General")</f>
        <v>General</v>
      </c>
      <c r="J391" s="8" t="str">
        <f>IFERROR(__xludf.DUMMYFUNCTION("""COMPUTED_VALUE"""),"Tops")</f>
        <v>Tops</v>
      </c>
      <c r="K391" s="8" t="str">
        <f>IFERROR(__xludf.DUMMYFUNCTION("""COMPUTED_VALUE"""),"Blouses")</f>
        <v>Blouses</v>
      </c>
    </row>
    <row r="392">
      <c r="A392" s="8">
        <f>IFERROR(__xludf.DUMMYFUNCTION("""COMPUTED_VALUE"""),496.0)</f>
        <v>496</v>
      </c>
      <c r="B392" s="8">
        <f>IFERROR(__xludf.DUMMYFUNCTION("""COMPUTED_VALUE"""),850.0)</f>
        <v>850</v>
      </c>
      <c r="C392" s="8">
        <f>IFERROR(__xludf.DUMMYFUNCTION("""COMPUTED_VALUE"""),41.0)</f>
        <v>41</v>
      </c>
      <c r="D392" s="8" t="str">
        <f>IFERROR(__xludf.DUMMYFUNCTION("""COMPUTED_VALUE"""),"Pretty spring flowers")</f>
        <v>Pretty spring flowers</v>
      </c>
      <c r="E392" s="8" t="str">
        <f>IFERROR(__xludf.DUMMYFUNCTION("""COMPUTED_VALUE"""),"This top is so pretty and feminine. the different floral patterns work very well together and add an interesting flare to this unique blouse. the fit is very comfortable yet still very flattering due to the empire waist and flared sleeves. the fit is true"&amp;" to size, i usually wear a size medium or 10 in retailer tops and the size 10 fit quite nicely. this top is a great addition to any spring wardrobe and should transition nicely into summer as well.")</f>
        <v>This top is so pretty and feminine. the different floral patterns work very well together and add an interesting flare to this unique blouse. the fit is very comfortable yet still very flattering due to the empire waist and flared sleeves. the fit is true to size, i usually wear a size medium or 10 in retailer tops and the size 10 fit quite nicely. this top is a great addition to any spring wardrobe and should transition nicely into summer as well.</v>
      </c>
      <c r="F392" s="8">
        <f>IFERROR(__xludf.DUMMYFUNCTION("""COMPUTED_VALUE"""),5.0)</f>
        <v>5</v>
      </c>
      <c r="G392" s="8">
        <f>IFERROR(__xludf.DUMMYFUNCTION("""COMPUTED_VALUE"""),1.0)</f>
        <v>1</v>
      </c>
      <c r="H392" s="8">
        <f>IFERROR(__xludf.DUMMYFUNCTION("""COMPUTED_VALUE"""),1.0)</f>
        <v>1</v>
      </c>
      <c r="I392" s="8" t="str">
        <f>IFERROR(__xludf.DUMMYFUNCTION("""COMPUTED_VALUE"""),"General Petite")</f>
        <v>General Petite</v>
      </c>
      <c r="J392" s="8" t="str">
        <f>IFERROR(__xludf.DUMMYFUNCTION("""COMPUTED_VALUE"""),"Tops")</f>
        <v>Tops</v>
      </c>
      <c r="K392" s="8" t="str">
        <f>IFERROR(__xludf.DUMMYFUNCTION("""COMPUTED_VALUE"""),"Blouses")</f>
        <v>Blouses</v>
      </c>
    </row>
    <row r="393">
      <c r="A393" s="8">
        <f>IFERROR(__xludf.DUMMYFUNCTION("""COMPUTED_VALUE"""),497.0)</f>
        <v>497</v>
      </c>
      <c r="B393" s="8">
        <f>IFERROR(__xludf.DUMMYFUNCTION("""COMPUTED_VALUE"""),1078.0)</f>
        <v>1078</v>
      </c>
      <c r="C393" s="8">
        <f>IFERROR(__xludf.DUMMYFUNCTION("""COMPUTED_VALUE"""),49.0)</f>
        <v>49</v>
      </c>
      <c r="D393" s="8"/>
      <c r="E393" s="8" t="str">
        <f>IFERROR(__xludf.DUMMYFUNCTION("""COMPUTED_VALUE"""),"Very cute, very comfortable. for me aesthetics and comfort must go hand in hand. this dress fits the bill.")</f>
        <v>Very cute, very comfortable. for me aesthetics and comfort must go hand in hand. this dress fits the bill.</v>
      </c>
      <c r="F393" s="8">
        <f>IFERROR(__xludf.DUMMYFUNCTION("""COMPUTED_VALUE"""),5.0)</f>
        <v>5</v>
      </c>
      <c r="G393" s="8">
        <f>IFERROR(__xludf.DUMMYFUNCTION("""COMPUTED_VALUE"""),1.0)</f>
        <v>1</v>
      </c>
      <c r="H393" s="8">
        <f>IFERROR(__xludf.DUMMYFUNCTION("""COMPUTED_VALUE"""),2.0)</f>
        <v>2</v>
      </c>
      <c r="I393" s="8" t="str">
        <f>IFERROR(__xludf.DUMMYFUNCTION("""COMPUTED_VALUE"""),"General")</f>
        <v>General</v>
      </c>
      <c r="J393" s="8" t="str">
        <f>IFERROR(__xludf.DUMMYFUNCTION("""COMPUTED_VALUE"""),"Dresses")</f>
        <v>Dresses</v>
      </c>
      <c r="K393" s="8" t="str">
        <f>IFERROR(__xludf.DUMMYFUNCTION("""COMPUTED_VALUE"""),"Dresses")</f>
        <v>Dresses</v>
      </c>
    </row>
    <row r="394">
      <c r="A394" s="8">
        <f>IFERROR(__xludf.DUMMYFUNCTION("""COMPUTED_VALUE"""),501.0)</f>
        <v>501</v>
      </c>
      <c r="B394" s="8">
        <f>IFERROR(__xludf.DUMMYFUNCTION("""COMPUTED_VALUE"""),850.0)</f>
        <v>850</v>
      </c>
      <c r="C394" s="8">
        <f>IFERROR(__xludf.DUMMYFUNCTION("""COMPUTED_VALUE"""),49.0)</f>
        <v>49</v>
      </c>
      <c r="D394" s="8" t="str">
        <f>IFERROR(__xludf.DUMMYFUNCTION("""COMPUTED_VALUE"""),"Pretty top for work days")</f>
        <v>Pretty top for work days</v>
      </c>
      <c r="E394" s="8" t="str">
        <f>IFERROR(__xludf.DUMMYFUNCTION("""COMPUTED_VALUE"""),"This is a pretty top that is conservative enough for the office, with a modest neckline. there is a little hidden snap or button under the bow at the neck so you don't have to keep fussing with the tie the fit is loose in the waist and high at the neck, s"&amp;"o the sheer parts are the only thing to give it a little flirtiness. there is a matching camisole underneath that snaps in at the shoulders. overall, i thought it was nice when i tried it at the store, but it didn't have enough extra ""wow"" to ge")</f>
        <v>This is a pretty top that is conservative enough for the office, with a modest neckline. there is a little hidden snap or button under the bow at the neck so you don't have to keep fussing with the tie the fit is loose in the waist and high at the neck, so the sheer parts are the only thing to give it a little flirtiness. there is a matching camisole underneath that snaps in at the shoulders. overall, i thought it was nice when i tried it at the store, but it didn't have enough extra "wow" to ge</v>
      </c>
      <c r="F394" s="8">
        <f>IFERROR(__xludf.DUMMYFUNCTION("""COMPUTED_VALUE"""),4.0)</f>
        <v>4</v>
      </c>
      <c r="G394" s="8">
        <f>IFERROR(__xludf.DUMMYFUNCTION("""COMPUTED_VALUE"""),1.0)</f>
        <v>1</v>
      </c>
      <c r="H394" s="8">
        <f>IFERROR(__xludf.DUMMYFUNCTION("""COMPUTED_VALUE"""),2.0)</f>
        <v>2</v>
      </c>
      <c r="I394" s="8" t="str">
        <f>IFERROR(__xludf.DUMMYFUNCTION("""COMPUTED_VALUE"""),"General Petite")</f>
        <v>General Petite</v>
      </c>
      <c r="J394" s="8" t="str">
        <f>IFERROR(__xludf.DUMMYFUNCTION("""COMPUTED_VALUE"""),"Tops")</f>
        <v>Tops</v>
      </c>
      <c r="K394" s="8" t="str">
        <f>IFERROR(__xludf.DUMMYFUNCTION("""COMPUTED_VALUE"""),"Blouses")</f>
        <v>Blouses</v>
      </c>
    </row>
    <row r="395">
      <c r="A395" s="8">
        <f>IFERROR(__xludf.DUMMYFUNCTION("""COMPUTED_VALUE"""),502.0)</f>
        <v>502</v>
      </c>
      <c r="B395" s="8">
        <f>IFERROR(__xludf.DUMMYFUNCTION("""COMPUTED_VALUE"""),1078.0)</f>
        <v>1078</v>
      </c>
      <c r="C395" s="8">
        <f>IFERROR(__xludf.DUMMYFUNCTION("""COMPUTED_VALUE"""),39.0)</f>
        <v>39</v>
      </c>
      <c r="D395" s="8" t="str">
        <f>IFERROR(__xludf.DUMMYFUNCTION("""COMPUTED_VALUE"""),"Love this dress")</f>
        <v>Love this dress</v>
      </c>
      <c r="E395" s="8" t="str">
        <f>IFERROR(__xludf.DUMMYFUNCTION("""COMPUTED_VALUE"""),"Very comfortable and versatile. got lots of compliments.")</f>
        <v>Very comfortable and versatile. got lots of compliments.</v>
      </c>
      <c r="F395" s="8">
        <f>IFERROR(__xludf.DUMMYFUNCTION("""COMPUTED_VALUE"""),5.0)</f>
        <v>5</v>
      </c>
      <c r="G395" s="8">
        <f>IFERROR(__xludf.DUMMYFUNCTION("""COMPUTED_VALUE"""),1.0)</f>
        <v>1</v>
      </c>
      <c r="H395" s="8">
        <f>IFERROR(__xludf.DUMMYFUNCTION("""COMPUTED_VALUE"""),0.0)</f>
        <v>0</v>
      </c>
      <c r="I395" s="8" t="str">
        <f>IFERROR(__xludf.DUMMYFUNCTION("""COMPUTED_VALUE"""),"General")</f>
        <v>General</v>
      </c>
      <c r="J395" s="8" t="str">
        <f>IFERROR(__xludf.DUMMYFUNCTION("""COMPUTED_VALUE"""),"Dresses")</f>
        <v>Dresses</v>
      </c>
      <c r="K395" s="8" t="str">
        <f>IFERROR(__xludf.DUMMYFUNCTION("""COMPUTED_VALUE"""),"Dresses")</f>
        <v>Dresses</v>
      </c>
    </row>
    <row r="396">
      <c r="A396" s="8">
        <f>IFERROR(__xludf.DUMMYFUNCTION("""COMPUTED_VALUE"""),504.0)</f>
        <v>504</v>
      </c>
      <c r="B396" s="8">
        <f>IFERROR(__xludf.DUMMYFUNCTION("""COMPUTED_VALUE"""),850.0)</f>
        <v>850</v>
      </c>
      <c r="C396" s="8">
        <f>IFERROR(__xludf.DUMMYFUNCTION("""COMPUTED_VALUE"""),57.0)</f>
        <v>57</v>
      </c>
      <c r="D396" s="8" t="str">
        <f>IFERROR(__xludf.DUMMYFUNCTION("""COMPUTED_VALUE"""),"Feminine, flattering, versatile")</f>
        <v>Feminine, flattering, versatile</v>
      </c>
      <c r="E396" s="8" t="str">
        <f>IFERROR(__xludf.DUMMYFUNCTION("""COMPUTED_VALUE"""),"The combination of vintage and bohemian styles seems as if it would be flattering on all figure types. and i love the combination of smaller and larger prints. the only thing i didn't like is that on the blouse i received, placement of the larger print on"&amp;" the bodice is asymmetrical (unlike the photo). it might not bother some customers, but it wasn't what i was expecting, so i ordered a new one. i may keep it even if the second one is off, because other than that small thing, i think the top wou")</f>
        <v>The combination of vintage and bohemian styles seems as if it would be flattering on all figure types. and i love the combination of smaller and larger prints. the only thing i didn't like is that on the blouse i received, placement of the larger print on the bodice is asymmetrical (unlike the photo). it might not bother some customers, but it wasn't what i was expecting, so i ordered a new one. i may keep it even if the second one is off, because other than that small thing, i think the top wou</v>
      </c>
      <c r="F396" s="8">
        <f>IFERROR(__xludf.DUMMYFUNCTION("""COMPUTED_VALUE"""),5.0)</f>
        <v>5</v>
      </c>
      <c r="G396" s="8">
        <f>IFERROR(__xludf.DUMMYFUNCTION("""COMPUTED_VALUE"""),1.0)</f>
        <v>1</v>
      </c>
      <c r="H396" s="8">
        <f>IFERROR(__xludf.DUMMYFUNCTION("""COMPUTED_VALUE"""),0.0)</f>
        <v>0</v>
      </c>
      <c r="I396" s="8" t="str">
        <f>IFERROR(__xludf.DUMMYFUNCTION("""COMPUTED_VALUE"""),"General Petite")</f>
        <v>General Petite</v>
      </c>
      <c r="J396" s="8" t="str">
        <f>IFERROR(__xludf.DUMMYFUNCTION("""COMPUTED_VALUE"""),"Tops")</f>
        <v>Tops</v>
      </c>
      <c r="K396" s="8" t="str">
        <f>IFERROR(__xludf.DUMMYFUNCTION("""COMPUTED_VALUE"""),"Blouses")</f>
        <v>Blouses</v>
      </c>
    </row>
    <row r="397">
      <c r="A397" s="8">
        <f>IFERROR(__xludf.DUMMYFUNCTION("""COMPUTED_VALUE"""),505.0)</f>
        <v>505</v>
      </c>
      <c r="B397" s="8">
        <f>IFERROR(__xludf.DUMMYFUNCTION("""COMPUTED_VALUE"""),833.0)</f>
        <v>833</v>
      </c>
      <c r="C397" s="8">
        <f>IFERROR(__xludf.DUMMYFUNCTION("""COMPUTED_VALUE"""),56.0)</f>
        <v>56</v>
      </c>
      <c r="D397" s="8"/>
      <c r="E397" s="8" t="str">
        <f>IFERROR(__xludf.DUMMYFUNCTION("""COMPUTED_VALUE"""),"Love the fabric &amp; lace on this top. like other reviews said the arm area is tight where the lace meets the fabric which makes the fit uncomfortable. sadly this top is going back. if you have very skinny upper arms this top will fit fine.")</f>
        <v>Love the fabric &amp; lace on this top. like other reviews said the arm area is tight where the lace meets the fabric which makes the fit uncomfortable. sadly this top is going back. if you have very skinny upper arms this top will fit fine.</v>
      </c>
      <c r="F397" s="8">
        <f>IFERROR(__xludf.DUMMYFUNCTION("""COMPUTED_VALUE"""),4.0)</f>
        <v>4</v>
      </c>
      <c r="G397" s="8">
        <f>IFERROR(__xludf.DUMMYFUNCTION("""COMPUTED_VALUE"""),1.0)</f>
        <v>1</v>
      </c>
      <c r="H397" s="8">
        <f>IFERROR(__xludf.DUMMYFUNCTION("""COMPUTED_VALUE"""),0.0)</f>
        <v>0</v>
      </c>
      <c r="I397" s="8" t="str">
        <f>IFERROR(__xludf.DUMMYFUNCTION("""COMPUTED_VALUE"""),"General")</f>
        <v>General</v>
      </c>
      <c r="J397" s="8" t="str">
        <f>IFERROR(__xludf.DUMMYFUNCTION("""COMPUTED_VALUE"""),"Tops")</f>
        <v>Tops</v>
      </c>
      <c r="K397" s="8" t="str">
        <f>IFERROR(__xludf.DUMMYFUNCTION("""COMPUTED_VALUE"""),"Blouses")</f>
        <v>Blouses</v>
      </c>
    </row>
    <row r="398">
      <c r="A398" s="8">
        <f>IFERROR(__xludf.DUMMYFUNCTION("""COMPUTED_VALUE"""),507.0)</f>
        <v>507</v>
      </c>
      <c r="B398" s="8">
        <f>IFERROR(__xludf.DUMMYFUNCTION("""COMPUTED_VALUE"""),850.0)</f>
        <v>850</v>
      </c>
      <c r="C398" s="8">
        <f>IFERROR(__xludf.DUMMYFUNCTION("""COMPUTED_VALUE"""),58.0)</f>
        <v>58</v>
      </c>
      <c r="D398" s="8" t="str">
        <f>IFERROR(__xludf.DUMMYFUNCTION("""COMPUTED_VALUE"""),"Awesome top")</f>
        <v>Awesome top</v>
      </c>
      <c r="E398" s="8" t="str">
        <f>IFERROR(__xludf.DUMMYFUNCTION("""COMPUTED_VALUE"""),"Saw this online and had to try it on when i found it in the store. i usually wear an 8 or a 10 depending on how things run, (i'm a 34 dd), so i tried on both sizes. i really could not see much of a difference between the two and was torn as to which size "&amp;"to get. the 10 was just a tad looser so i went with that one, but seriously i could not find or feel much of a difference. it is a very figure flattering top, and a plus that you can machine wash it. simply awesome!")</f>
        <v>Saw this online and had to try it on when i found it in the store. i usually wear an 8 or a 10 depending on how things run, (i'm a 34 dd), so i tried on both sizes. i really could not see much of a difference between the two and was torn as to which size to get. the 10 was just a tad looser so i went with that one, but seriously i could not find or feel much of a difference. it is a very figure flattering top, and a plus that you can machine wash it. simply awesome!</v>
      </c>
      <c r="F398" s="8">
        <f>IFERROR(__xludf.DUMMYFUNCTION("""COMPUTED_VALUE"""),5.0)</f>
        <v>5</v>
      </c>
      <c r="G398" s="8">
        <f>IFERROR(__xludf.DUMMYFUNCTION("""COMPUTED_VALUE"""),1.0)</f>
        <v>1</v>
      </c>
      <c r="H398" s="8">
        <f>IFERROR(__xludf.DUMMYFUNCTION("""COMPUTED_VALUE"""),7.0)</f>
        <v>7</v>
      </c>
      <c r="I398" s="8" t="str">
        <f>IFERROR(__xludf.DUMMYFUNCTION("""COMPUTED_VALUE"""),"General Petite")</f>
        <v>General Petite</v>
      </c>
      <c r="J398" s="8" t="str">
        <f>IFERROR(__xludf.DUMMYFUNCTION("""COMPUTED_VALUE"""),"Tops")</f>
        <v>Tops</v>
      </c>
      <c r="K398" s="8" t="str">
        <f>IFERROR(__xludf.DUMMYFUNCTION("""COMPUTED_VALUE"""),"Blouses")</f>
        <v>Blouses</v>
      </c>
    </row>
    <row r="399">
      <c r="A399" s="8">
        <f>IFERROR(__xludf.DUMMYFUNCTION("""COMPUTED_VALUE"""),508.0)</f>
        <v>508</v>
      </c>
      <c r="B399" s="8">
        <f>IFERROR(__xludf.DUMMYFUNCTION("""COMPUTED_VALUE"""),1078.0)</f>
        <v>1078</v>
      </c>
      <c r="C399" s="8">
        <f>IFERROR(__xludf.DUMMYFUNCTION("""COMPUTED_VALUE"""),67.0)</f>
        <v>67</v>
      </c>
      <c r="D399" s="8" t="str">
        <f>IFERROR(__xludf.DUMMYFUNCTION("""COMPUTED_VALUE"""),"Comfy, cute, and colorful.")</f>
        <v>Comfy, cute, and colorful.</v>
      </c>
      <c r="E399" s="8" t="str">
        <f>IFERROR(__xludf.DUMMYFUNCTION("""COMPUTED_VALUE"""),"This knit dress is very comfortable. i liked the various colors used in the stripes. my only issue with it, is that the skirt of the dress flares out oddly and is quite short. in my opinion, this dress, with its sturdy fabric and long sleeves, would appea"&amp;"r more proportional with a longer skirt. skirt length, along with horizontal stripes just did not work for me. regrettably, i sent it back.")</f>
        <v>This knit dress is very comfortable. i liked the various colors used in the stripes. my only issue with it, is that the skirt of the dress flares out oddly and is quite short. in my opinion, this dress, with its sturdy fabric and long sleeves, would appear more proportional with a longer skirt. skirt length, along with horizontal stripes just did not work for me. regrettably, i sent it back.</v>
      </c>
      <c r="F399" s="8">
        <f>IFERROR(__xludf.DUMMYFUNCTION("""COMPUTED_VALUE"""),4.0)</f>
        <v>4</v>
      </c>
      <c r="G399" s="8">
        <f>IFERROR(__xludf.DUMMYFUNCTION("""COMPUTED_VALUE"""),1.0)</f>
        <v>1</v>
      </c>
      <c r="H399" s="8">
        <f>IFERROR(__xludf.DUMMYFUNCTION("""COMPUTED_VALUE"""),0.0)</f>
        <v>0</v>
      </c>
      <c r="I399" s="8" t="str">
        <f>IFERROR(__xludf.DUMMYFUNCTION("""COMPUTED_VALUE"""),"General")</f>
        <v>General</v>
      </c>
      <c r="J399" s="8" t="str">
        <f>IFERROR(__xludf.DUMMYFUNCTION("""COMPUTED_VALUE"""),"Dresses")</f>
        <v>Dresses</v>
      </c>
      <c r="K399" s="8" t="str">
        <f>IFERROR(__xludf.DUMMYFUNCTION("""COMPUTED_VALUE"""),"Dresses")</f>
        <v>Dresses</v>
      </c>
    </row>
    <row r="400">
      <c r="A400" s="8">
        <f>IFERROR(__xludf.DUMMYFUNCTION("""COMPUTED_VALUE"""),509.0)</f>
        <v>509</v>
      </c>
      <c r="B400" s="8">
        <f>IFERROR(__xludf.DUMMYFUNCTION("""COMPUTED_VALUE"""),1078.0)</f>
        <v>1078</v>
      </c>
      <c r="C400" s="8">
        <f>IFERROR(__xludf.DUMMYFUNCTION("""COMPUTED_VALUE"""),36.0)</f>
        <v>36</v>
      </c>
      <c r="D400" s="8" t="str">
        <f>IFERROR(__xludf.DUMMYFUNCTION("""COMPUTED_VALUE"""),"Best fitting dress")</f>
        <v>Best fitting dress</v>
      </c>
      <c r="E400" s="8" t="str">
        <f>IFERROR(__xludf.DUMMYFUNCTION("""COMPUTED_VALUE"""),"Love love this dress. fits so great. i normally wouldn't have picked this dress. more preppy than my normal style. fits amazing. my hubby has complimented me more on this dress than anything else i've ever owned. the fit &amp; flare style is super flattering "&amp;"i felt it fit tts.")</f>
        <v>Love love this dress. fits so great. i normally wouldn't have picked this dress. more preppy than my normal style. fits amazing. my hubby has complimented me more on this dress than anything else i've ever owned. the fit &amp; flare style is super flattering i felt it fit tts.</v>
      </c>
      <c r="F400" s="8">
        <f>IFERROR(__xludf.DUMMYFUNCTION("""COMPUTED_VALUE"""),5.0)</f>
        <v>5</v>
      </c>
      <c r="G400" s="8">
        <f>IFERROR(__xludf.DUMMYFUNCTION("""COMPUTED_VALUE"""),1.0)</f>
        <v>1</v>
      </c>
      <c r="H400" s="8">
        <f>IFERROR(__xludf.DUMMYFUNCTION("""COMPUTED_VALUE"""),8.0)</f>
        <v>8</v>
      </c>
      <c r="I400" s="8" t="str">
        <f>IFERROR(__xludf.DUMMYFUNCTION("""COMPUTED_VALUE"""),"General")</f>
        <v>General</v>
      </c>
      <c r="J400" s="8" t="str">
        <f>IFERROR(__xludf.DUMMYFUNCTION("""COMPUTED_VALUE"""),"Dresses")</f>
        <v>Dresses</v>
      </c>
      <c r="K400" s="8" t="str">
        <f>IFERROR(__xludf.DUMMYFUNCTION("""COMPUTED_VALUE"""),"Dresses")</f>
        <v>Dresses</v>
      </c>
    </row>
    <row r="401">
      <c r="A401" s="8">
        <f>IFERROR(__xludf.DUMMYFUNCTION("""COMPUTED_VALUE"""),510.0)</f>
        <v>510</v>
      </c>
      <c r="B401" s="8">
        <f>IFERROR(__xludf.DUMMYFUNCTION("""COMPUTED_VALUE"""),850.0)</f>
        <v>850</v>
      </c>
      <c r="C401" s="8">
        <f>IFERROR(__xludf.DUMMYFUNCTION("""COMPUTED_VALUE"""),27.0)</f>
        <v>27</v>
      </c>
      <c r="D401" s="8" t="str">
        <f>IFERROR(__xludf.DUMMYFUNCTION("""COMPUTED_VALUE"""),"Gorgeous, flattering blouse!")</f>
        <v>Gorgeous, flattering blouse!</v>
      </c>
      <c r="E401" s="8" t="str">
        <f>IFERROR(__xludf.DUMMYFUNCTION("""COMPUTED_VALUE"""),"This is one of my absolute favorites! the design is perfect, and the fabric is so beautiful. i don't love the coral color, but the mixed pattern is amazing. it runs a little large. i sized down one size and it fit perfectly. it's very flowy and comfortabl"&amp;"e. it's these unique, special designs that end of being my favorite retailer purchases. i've gotten so many compliments. very highly recommend!")</f>
        <v>This is one of my absolute favorites! the design is perfect, and the fabric is so beautiful. i don't love the coral color, but the mixed pattern is amazing. it runs a little large. i sized down one size and it fit perfectly. it's very flowy and comfortable. it's these unique, special designs that end of being my favorite retailer purchases. i've gotten so many compliments. very highly recommend!</v>
      </c>
      <c r="F401" s="8">
        <f>IFERROR(__xludf.DUMMYFUNCTION("""COMPUTED_VALUE"""),5.0)</f>
        <v>5</v>
      </c>
      <c r="G401" s="8">
        <f>IFERROR(__xludf.DUMMYFUNCTION("""COMPUTED_VALUE"""),1.0)</f>
        <v>1</v>
      </c>
      <c r="H401" s="8">
        <f>IFERROR(__xludf.DUMMYFUNCTION("""COMPUTED_VALUE"""),4.0)</f>
        <v>4</v>
      </c>
      <c r="I401" s="8" t="str">
        <f>IFERROR(__xludf.DUMMYFUNCTION("""COMPUTED_VALUE"""),"General Petite")</f>
        <v>General Petite</v>
      </c>
      <c r="J401" s="8" t="str">
        <f>IFERROR(__xludf.DUMMYFUNCTION("""COMPUTED_VALUE"""),"Tops")</f>
        <v>Tops</v>
      </c>
      <c r="K401" s="8" t="str">
        <f>IFERROR(__xludf.DUMMYFUNCTION("""COMPUTED_VALUE"""),"Blouses")</f>
        <v>Blouses</v>
      </c>
    </row>
    <row r="402">
      <c r="A402" s="8">
        <f>IFERROR(__xludf.DUMMYFUNCTION("""COMPUTED_VALUE"""),512.0)</f>
        <v>512</v>
      </c>
      <c r="B402" s="8">
        <f>IFERROR(__xludf.DUMMYFUNCTION("""COMPUTED_VALUE"""),1078.0)</f>
        <v>1078</v>
      </c>
      <c r="C402" s="8">
        <f>IFERROR(__xludf.DUMMYFUNCTION("""COMPUTED_VALUE"""),49.0)</f>
        <v>49</v>
      </c>
      <c r="D402" s="8" t="str">
        <f>IFERROR(__xludf.DUMMYFUNCTION("""COMPUTED_VALUE"""),"Cute but skip the petite unless you are very short")</f>
        <v>Cute but skip the petite unless you are very short</v>
      </c>
      <c r="E402" s="8" t="str">
        <f>IFERROR(__xludf.DUMMYFUNCTION("""COMPUTED_VALUE"""),"Beautiful colors, especially the pink. i am 5'3"" and about 124 lb. i got the small petite but am thinking of exchanging it for the regular xs. not only is it short hem-wise, which i don't really mind, but it is short in the waist. very pretty and good fa"&amp;"bric.")</f>
        <v>Beautiful colors, especially the pink. i am 5'3" and about 124 lb. i got the small petite but am thinking of exchanging it for the regular xs. not only is it short hem-wise, which i don't really mind, but it is short in the waist. very pretty and good fabric.</v>
      </c>
      <c r="F402" s="8">
        <f>IFERROR(__xludf.DUMMYFUNCTION("""COMPUTED_VALUE"""),5.0)</f>
        <v>5</v>
      </c>
      <c r="G402" s="8">
        <f>IFERROR(__xludf.DUMMYFUNCTION("""COMPUTED_VALUE"""),1.0)</f>
        <v>1</v>
      </c>
      <c r="H402" s="8">
        <f>IFERROR(__xludf.DUMMYFUNCTION("""COMPUTED_VALUE"""),3.0)</f>
        <v>3</v>
      </c>
      <c r="I402" s="8" t="str">
        <f>IFERROR(__xludf.DUMMYFUNCTION("""COMPUTED_VALUE"""),"General")</f>
        <v>General</v>
      </c>
      <c r="J402" s="8" t="str">
        <f>IFERROR(__xludf.DUMMYFUNCTION("""COMPUTED_VALUE"""),"Dresses")</f>
        <v>Dresses</v>
      </c>
      <c r="K402" s="8" t="str">
        <f>IFERROR(__xludf.DUMMYFUNCTION("""COMPUTED_VALUE"""),"Dresses")</f>
        <v>Dresses</v>
      </c>
    </row>
    <row r="403">
      <c r="A403" s="8">
        <f>IFERROR(__xludf.DUMMYFUNCTION("""COMPUTED_VALUE"""),514.0)</f>
        <v>514</v>
      </c>
      <c r="B403" s="8">
        <f>IFERROR(__xludf.DUMMYFUNCTION("""COMPUTED_VALUE"""),1081.0)</f>
        <v>1081</v>
      </c>
      <c r="C403" s="8">
        <f>IFERROR(__xludf.DUMMYFUNCTION("""COMPUTED_VALUE"""),35.0)</f>
        <v>35</v>
      </c>
      <c r="D403" s="8" t="str">
        <f>IFERROR(__xludf.DUMMYFUNCTION("""COMPUTED_VALUE"""),"Elegant and well made")</f>
        <v>Elegant and well made</v>
      </c>
      <c r="E403" s="8" t="str">
        <f>IFERROR(__xludf.DUMMYFUNCTION("""COMPUTED_VALUE"""),"This dress caught my eye because i don't have anything like it. i wear between a m &amp; l and preferred the large in this dress because i have a large bust. i usually wear a 10 in slacks and 12 in tops. i love the lace on this dress because it looks very del"&amp;"icate in the picture but it is very heavy and well sewn onto the fabric. it is durable while still looking elegant. i also like that it is in navy and not black. it is also nicely lined. i plan on wearing a colorful scarf with this dress.")</f>
        <v>This dress caught my eye because i don't have anything like it. i wear between a m &amp; l and preferred the large in this dress because i have a large bust. i usually wear a 10 in slacks and 12 in tops. i love the lace on this dress because it looks very delicate in the picture but it is very heavy and well sewn onto the fabric. it is durable while still looking elegant. i also like that it is in navy and not black. it is also nicely lined. i plan on wearing a colorful scarf with this dress.</v>
      </c>
      <c r="F403" s="8">
        <f>IFERROR(__xludf.DUMMYFUNCTION("""COMPUTED_VALUE"""),5.0)</f>
        <v>5</v>
      </c>
      <c r="G403" s="8">
        <f>IFERROR(__xludf.DUMMYFUNCTION("""COMPUTED_VALUE"""),1.0)</f>
        <v>1</v>
      </c>
      <c r="H403" s="8">
        <f>IFERROR(__xludf.DUMMYFUNCTION("""COMPUTED_VALUE"""),3.0)</f>
        <v>3</v>
      </c>
      <c r="I403" s="8" t="str">
        <f>IFERROR(__xludf.DUMMYFUNCTION("""COMPUTED_VALUE"""),"General Petite")</f>
        <v>General Petite</v>
      </c>
      <c r="J403" s="8" t="str">
        <f>IFERROR(__xludf.DUMMYFUNCTION("""COMPUTED_VALUE"""),"Dresses")</f>
        <v>Dresses</v>
      </c>
      <c r="K403" s="8" t="str">
        <f>IFERROR(__xludf.DUMMYFUNCTION("""COMPUTED_VALUE"""),"Dresses")</f>
        <v>Dresses</v>
      </c>
    </row>
    <row r="404">
      <c r="A404" s="8">
        <f>IFERROR(__xludf.DUMMYFUNCTION("""COMPUTED_VALUE"""),515.0)</f>
        <v>515</v>
      </c>
      <c r="B404" s="8">
        <f>IFERROR(__xludf.DUMMYFUNCTION("""COMPUTED_VALUE"""),833.0)</f>
        <v>833</v>
      </c>
      <c r="C404" s="8">
        <f>IFERROR(__xludf.DUMMYFUNCTION("""COMPUTED_VALUE"""),60.0)</f>
        <v>60</v>
      </c>
      <c r="D404" s="8" t="str">
        <f>IFERROR(__xludf.DUMMYFUNCTION("""COMPUTED_VALUE"""),"Lovely")</f>
        <v>Lovely</v>
      </c>
      <c r="E404" s="8" t="str">
        <f>IFERROR(__xludf.DUMMYFUNCTION("""COMPUTED_VALUE"""),"A beautiful combination of eyelet with a soft fabric which lays beautifully. this does not make you look bigger then you are and i kept tts so the eyelet did not pull. mine fits perfectly. i personally will wear a cami under it as it is a bit sheer for me"&amp;". it has an almost peacock print to it in colors of brown and tan. the black buttons down the back adds interest and charm. just adore it!")</f>
        <v>A beautiful combination of eyelet with a soft fabric which lays beautifully. this does not make you look bigger then you are and i kept tts so the eyelet did not pull. mine fits perfectly. i personally will wear a cami under it as it is a bit sheer for me. it has an almost peacock print to it in colors of brown and tan. the black buttons down the back adds interest and charm. just adore it!</v>
      </c>
      <c r="F404" s="8">
        <f>IFERROR(__xludf.DUMMYFUNCTION("""COMPUTED_VALUE"""),5.0)</f>
        <v>5</v>
      </c>
      <c r="G404" s="8">
        <f>IFERROR(__xludf.DUMMYFUNCTION("""COMPUTED_VALUE"""),1.0)</f>
        <v>1</v>
      </c>
      <c r="H404" s="8">
        <f>IFERROR(__xludf.DUMMYFUNCTION("""COMPUTED_VALUE"""),3.0)</f>
        <v>3</v>
      </c>
      <c r="I404" s="8" t="str">
        <f>IFERROR(__xludf.DUMMYFUNCTION("""COMPUTED_VALUE"""),"General")</f>
        <v>General</v>
      </c>
      <c r="J404" s="8" t="str">
        <f>IFERROR(__xludf.DUMMYFUNCTION("""COMPUTED_VALUE"""),"Tops")</f>
        <v>Tops</v>
      </c>
      <c r="K404" s="8" t="str">
        <f>IFERROR(__xludf.DUMMYFUNCTION("""COMPUTED_VALUE"""),"Blouses")</f>
        <v>Blouses</v>
      </c>
    </row>
    <row r="405">
      <c r="A405" s="8">
        <f>IFERROR(__xludf.DUMMYFUNCTION("""COMPUTED_VALUE"""),516.0)</f>
        <v>516</v>
      </c>
      <c r="B405" s="8">
        <f>IFERROR(__xludf.DUMMYFUNCTION("""COMPUTED_VALUE"""),1081.0)</f>
        <v>1081</v>
      </c>
      <c r="C405" s="8">
        <f>IFERROR(__xludf.DUMMYFUNCTION("""COMPUTED_VALUE"""),53.0)</f>
        <v>53</v>
      </c>
      <c r="D405" s="8" t="str">
        <f>IFERROR(__xludf.DUMMYFUNCTION("""COMPUTED_VALUE"""),"Well made")</f>
        <v>Well made</v>
      </c>
      <c r="E405" s="8" t="str">
        <f>IFERROR(__xludf.DUMMYFUNCTION("""COMPUTED_VALUE"""),"This dress looks great on me. it gives a slender appearance which hides a lot and it's easy and comfortable to wear.")</f>
        <v>This dress looks great on me. it gives a slender appearance which hides a lot and it's easy and comfortable to wear.</v>
      </c>
      <c r="F405" s="8">
        <f>IFERROR(__xludf.DUMMYFUNCTION("""COMPUTED_VALUE"""),5.0)</f>
        <v>5</v>
      </c>
      <c r="G405" s="8">
        <f>IFERROR(__xludf.DUMMYFUNCTION("""COMPUTED_VALUE"""),1.0)</f>
        <v>1</v>
      </c>
      <c r="H405" s="8">
        <f>IFERROR(__xludf.DUMMYFUNCTION("""COMPUTED_VALUE"""),1.0)</f>
        <v>1</v>
      </c>
      <c r="I405" s="8" t="str">
        <f>IFERROR(__xludf.DUMMYFUNCTION("""COMPUTED_VALUE"""),"General Petite")</f>
        <v>General Petite</v>
      </c>
      <c r="J405" s="8" t="str">
        <f>IFERROR(__xludf.DUMMYFUNCTION("""COMPUTED_VALUE"""),"Dresses")</f>
        <v>Dresses</v>
      </c>
      <c r="K405" s="8" t="str">
        <f>IFERROR(__xludf.DUMMYFUNCTION("""COMPUTED_VALUE"""),"Dresses")</f>
        <v>Dresses</v>
      </c>
    </row>
    <row r="406">
      <c r="A406" s="8">
        <f>IFERROR(__xludf.DUMMYFUNCTION("""COMPUTED_VALUE"""),517.0)</f>
        <v>517</v>
      </c>
      <c r="B406" s="8">
        <f>IFERROR(__xludf.DUMMYFUNCTION("""COMPUTED_VALUE"""),850.0)</f>
        <v>850</v>
      </c>
      <c r="C406" s="8">
        <f>IFERROR(__xludf.DUMMYFUNCTION("""COMPUTED_VALUE"""),38.0)</f>
        <v>38</v>
      </c>
      <c r="D406" s="8" t="str">
        <f>IFERROR(__xludf.DUMMYFUNCTION("""COMPUTED_VALUE"""),"Beautiful blouse; very flattering")</f>
        <v>Beautiful blouse; very flattering</v>
      </c>
      <c r="E406" s="8" t="str">
        <f>IFERROR(__xludf.DUMMYFUNCTION("""COMPUTED_VALUE"""),"Overall, gorgeous blouse; very flattering. i love the sleeves; very unique and also flattering. i love how the blouse is a fit-and-flare from the bust. it's fitted at the bust (but not tight) and drapes with an a-line style. the fit of this blouse is trul"&amp;"y flattering to the figure. no issues with inappropriate amounts of cleavage showing or anything. the ties are weighted on the end with metal tubes, which i really like because it makes the strings drape nicely. the back drapes beautifully. i fe")</f>
        <v>Overall, gorgeous blouse; very flattering. i love the sleeves; very unique and also flattering. i love how the blouse is a fit-and-flare from the bust. it's fitted at the bust (but not tight) and drapes with an a-line style. the fit of this blouse is truly flattering to the figure. no issues with inappropriate amounts of cleavage showing or anything. the ties are weighted on the end with metal tubes, which i really like because it makes the strings drape nicely. the back drapes beautifully. i fe</v>
      </c>
      <c r="F406" s="8">
        <f>IFERROR(__xludf.DUMMYFUNCTION("""COMPUTED_VALUE"""),4.0)</f>
        <v>4</v>
      </c>
      <c r="G406" s="8">
        <f>IFERROR(__xludf.DUMMYFUNCTION("""COMPUTED_VALUE"""),1.0)</f>
        <v>1</v>
      </c>
      <c r="H406" s="8">
        <f>IFERROR(__xludf.DUMMYFUNCTION("""COMPUTED_VALUE"""),29.0)</f>
        <v>29</v>
      </c>
      <c r="I406" s="8" t="str">
        <f>IFERROR(__xludf.DUMMYFUNCTION("""COMPUTED_VALUE"""),"General Petite")</f>
        <v>General Petite</v>
      </c>
      <c r="J406" s="8" t="str">
        <f>IFERROR(__xludf.DUMMYFUNCTION("""COMPUTED_VALUE"""),"Tops")</f>
        <v>Tops</v>
      </c>
      <c r="K406" s="8" t="str">
        <f>IFERROR(__xludf.DUMMYFUNCTION("""COMPUTED_VALUE"""),"Blouses")</f>
        <v>Blouses</v>
      </c>
    </row>
    <row r="407">
      <c r="A407" s="8">
        <f>IFERROR(__xludf.DUMMYFUNCTION("""COMPUTED_VALUE"""),519.0)</f>
        <v>519</v>
      </c>
      <c r="B407" s="8">
        <f>IFERROR(__xludf.DUMMYFUNCTION("""COMPUTED_VALUE"""),850.0)</f>
        <v>850</v>
      </c>
      <c r="C407" s="8">
        <f>IFERROR(__xludf.DUMMYFUNCTION("""COMPUTED_VALUE"""),37.0)</f>
        <v>37</v>
      </c>
      <c r="D407" s="8"/>
      <c r="E407" s="8"/>
      <c r="F407" s="8">
        <f>IFERROR(__xludf.DUMMYFUNCTION("""COMPUTED_VALUE"""),5.0)</f>
        <v>5</v>
      </c>
      <c r="G407" s="8">
        <f>IFERROR(__xludf.DUMMYFUNCTION("""COMPUTED_VALUE"""),1.0)</f>
        <v>1</v>
      </c>
      <c r="H407" s="8">
        <f>IFERROR(__xludf.DUMMYFUNCTION("""COMPUTED_VALUE"""),0.0)</f>
        <v>0</v>
      </c>
      <c r="I407" s="8" t="str">
        <f>IFERROR(__xludf.DUMMYFUNCTION("""COMPUTED_VALUE"""),"General Petite")</f>
        <v>General Petite</v>
      </c>
      <c r="J407" s="8" t="str">
        <f>IFERROR(__xludf.DUMMYFUNCTION("""COMPUTED_VALUE"""),"Tops")</f>
        <v>Tops</v>
      </c>
      <c r="K407" s="8" t="str">
        <f>IFERROR(__xludf.DUMMYFUNCTION("""COMPUTED_VALUE"""),"Blouses")</f>
        <v>Blouses</v>
      </c>
    </row>
    <row r="408">
      <c r="A408" s="8">
        <f>IFERROR(__xludf.DUMMYFUNCTION("""COMPUTED_VALUE"""),520.0)</f>
        <v>520</v>
      </c>
      <c r="B408" s="8">
        <f>IFERROR(__xludf.DUMMYFUNCTION("""COMPUTED_VALUE"""),984.0)</f>
        <v>984</v>
      </c>
      <c r="C408" s="8">
        <f>IFERROR(__xludf.DUMMYFUNCTION("""COMPUTED_VALUE"""),42.0)</f>
        <v>42</v>
      </c>
      <c r="D408" s="8" t="str">
        <f>IFERROR(__xludf.DUMMYFUNCTION("""COMPUTED_VALUE"""),"Looks better on")</f>
        <v>Looks better on</v>
      </c>
      <c r="E408" s="8" t="str">
        <f>IFERROR(__xludf.DUMMYFUNCTION("""COMPUTED_VALUE"""),"I first saw this jacket hanging at the store and it didn't look very cute. i saw it again on sale so i decided to try it on. i'm so glad i did! the inside gray material is so soft. i have broad shoulders and this jacket did not hinder my arms at all. it i"&amp;"s very comfortable. i bought the x-small and was very surprised at how roomy it was. the sleeves are a tad bit long but the gray inner lining has an elastic cuff so it can be pushed up. not sure if the xx-small would've been too small or if the")</f>
        <v>I first saw this jacket hanging at the store and it didn't look very cute. i saw it again on sale so i decided to try it on. i'm so glad i did! the inside gray material is so soft. i have broad shoulders and this jacket did not hinder my arms at all. it is very comfortable. i bought the x-small and was very surprised at how roomy it was. the sleeves are a tad bit long but the gray inner lining has an elastic cuff so it can be pushed up. not sure if the xx-small would've been too small or if the</v>
      </c>
      <c r="F408" s="8">
        <f>IFERROR(__xludf.DUMMYFUNCTION("""COMPUTED_VALUE"""),5.0)</f>
        <v>5</v>
      </c>
      <c r="G408" s="8">
        <f>IFERROR(__xludf.DUMMYFUNCTION("""COMPUTED_VALUE"""),1.0)</f>
        <v>1</v>
      </c>
      <c r="H408" s="8">
        <f>IFERROR(__xludf.DUMMYFUNCTION("""COMPUTED_VALUE"""),0.0)</f>
        <v>0</v>
      </c>
      <c r="I408" s="8" t="str">
        <f>IFERROR(__xludf.DUMMYFUNCTION("""COMPUTED_VALUE"""),"General")</f>
        <v>General</v>
      </c>
      <c r="J408" s="8" t="str">
        <f>IFERROR(__xludf.DUMMYFUNCTION("""COMPUTED_VALUE"""),"Jackets")</f>
        <v>Jackets</v>
      </c>
      <c r="K408" s="8" t="str">
        <f>IFERROR(__xludf.DUMMYFUNCTION("""COMPUTED_VALUE"""),"Jackets")</f>
        <v>Jackets</v>
      </c>
    </row>
    <row r="409">
      <c r="A409" s="8">
        <f>IFERROR(__xludf.DUMMYFUNCTION("""COMPUTED_VALUE"""),521.0)</f>
        <v>521</v>
      </c>
      <c r="B409" s="8">
        <f>IFERROR(__xludf.DUMMYFUNCTION("""COMPUTED_VALUE"""),850.0)</f>
        <v>850</v>
      </c>
      <c r="C409" s="8">
        <f>IFERROR(__xludf.DUMMYFUNCTION("""COMPUTED_VALUE"""),50.0)</f>
        <v>50</v>
      </c>
      <c r="D409" s="8"/>
      <c r="E409" s="8" t="str">
        <f>IFERROR(__xludf.DUMMYFUNCTION("""COMPUTED_VALUE"""),"Good quality material. i got size 10 which is a little too big - size 8 would probably be better. very pretty, feminine top. a little too full in the waist/skirt area.")</f>
        <v>Good quality material. i got size 10 which is a little too big - size 8 would probably be better. very pretty, feminine top. a little too full in the waist/skirt area.</v>
      </c>
      <c r="F409" s="8">
        <f>IFERROR(__xludf.DUMMYFUNCTION("""COMPUTED_VALUE"""),4.0)</f>
        <v>4</v>
      </c>
      <c r="G409" s="8">
        <f>IFERROR(__xludf.DUMMYFUNCTION("""COMPUTED_VALUE"""),1.0)</f>
        <v>1</v>
      </c>
      <c r="H409" s="8">
        <f>IFERROR(__xludf.DUMMYFUNCTION("""COMPUTED_VALUE"""),0.0)</f>
        <v>0</v>
      </c>
      <c r="I409" s="8" t="str">
        <f>IFERROR(__xludf.DUMMYFUNCTION("""COMPUTED_VALUE"""),"General Petite")</f>
        <v>General Petite</v>
      </c>
      <c r="J409" s="8" t="str">
        <f>IFERROR(__xludf.DUMMYFUNCTION("""COMPUTED_VALUE"""),"Tops")</f>
        <v>Tops</v>
      </c>
      <c r="K409" s="8" t="str">
        <f>IFERROR(__xludf.DUMMYFUNCTION("""COMPUTED_VALUE"""),"Blouses")</f>
        <v>Blouses</v>
      </c>
    </row>
    <row r="410">
      <c r="A410" s="8">
        <f>IFERROR(__xludf.DUMMYFUNCTION("""COMPUTED_VALUE"""),522.0)</f>
        <v>522</v>
      </c>
      <c r="B410" s="8">
        <f>IFERROR(__xludf.DUMMYFUNCTION("""COMPUTED_VALUE"""),1104.0)</f>
        <v>1104</v>
      </c>
      <c r="C410" s="8">
        <f>IFERROR(__xludf.DUMMYFUNCTION("""COMPUTED_VALUE"""),41.0)</f>
        <v>41</v>
      </c>
      <c r="D410" s="8" t="str">
        <f>IFERROR(__xludf.DUMMYFUNCTION("""COMPUTED_VALUE"""),"Fun tag sale find")</f>
        <v>Fun tag sale find</v>
      </c>
      <c r="E410" s="8" t="str">
        <f>IFERROR(__xludf.DUMMYFUNCTION("""COMPUTED_VALUE"""),"For me, the tag sale is an opportunity to take a second look at items that i may have overlooked earlier, to pick up something fun at a good price. i found this dress in two colors in my size in the store! i took my usual xxsp at 32-24.5-32. length is per"&amp;"fect - just above the knee and the top is flattering with not too much fabric in the skirt. overall, this is a really cute staple dress. looking forward to wearing it in the spring. larger busted ladies size up. it is meant to be fitted in the t")</f>
        <v>For me, the tag sale is an opportunity to take a second look at items that i may have overlooked earlier, to pick up something fun at a good price. i found this dress in two colors in my size in the store! i took my usual xxsp at 32-24.5-32. length is perfect - just above the knee and the top is flattering with not too much fabric in the skirt. overall, this is a really cute staple dress. looking forward to wearing it in the spring. larger busted ladies size up. it is meant to be fitted in the t</v>
      </c>
      <c r="F410" s="8">
        <f>IFERROR(__xludf.DUMMYFUNCTION("""COMPUTED_VALUE"""),5.0)</f>
        <v>5</v>
      </c>
      <c r="G410" s="8">
        <f>IFERROR(__xludf.DUMMYFUNCTION("""COMPUTED_VALUE"""),1.0)</f>
        <v>1</v>
      </c>
      <c r="H410" s="8">
        <f>IFERROR(__xludf.DUMMYFUNCTION("""COMPUTED_VALUE"""),4.0)</f>
        <v>4</v>
      </c>
      <c r="I410" s="8" t="str">
        <f>IFERROR(__xludf.DUMMYFUNCTION("""COMPUTED_VALUE"""),"General")</f>
        <v>General</v>
      </c>
      <c r="J410" s="8" t="str">
        <f>IFERROR(__xludf.DUMMYFUNCTION("""COMPUTED_VALUE"""),"Dresses")</f>
        <v>Dresses</v>
      </c>
      <c r="K410" s="8" t="str">
        <f>IFERROR(__xludf.DUMMYFUNCTION("""COMPUTED_VALUE"""),"Dresses")</f>
        <v>Dresses</v>
      </c>
    </row>
    <row r="411">
      <c r="A411" s="8">
        <f>IFERROR(__xludf.DUMMYFUNCTION("""COMPUTED_VALUE"""),524.0)</f>
        <v>524</v>
      </c>
      <c r="B411" s="8">
        <f>IFERROR(__xludf.DUMMYFUNCTION("""COMPUTED_VALUE"""),1104.0)</f>
        <v>1104</v>
      </c>
      <c r="C411" s="8">
        <f>IFERROR(__xludf.DUMMYFUNCTION("""COMPUTED_VALUE"""),26.0)</f>
        <v>26</v>
      </c>
      <c r="D411" s="8" t="str">
        <f>IFERROR(__xludf.DUMMYFUNCTION("""COMPUTED_VALUE"""),"Great dress")</f>
        <v>Great dress</v>
      </c>
      <c r="E411" s="8" t="str">
        <f>IFERROR(__xludf.DUMMYFUNCTION("""COMPUTED_VALUE"""),"I absolutely love everything about this dress. it can be dressed up or down. no complaints.")</f>
        <v>I absolutely love everything about this dress. it can be dressed up or down. no complaints.</v>
      </c>
      <c r="F411" s="8">
        <f>IFERROR(__xludf.DUMMYFUNCTION("""COMPUTED_VALUE"""),5.0)</f>
        <v>5</v>
      </c>
      <c r="G411" s="8">
        <f>IFERROR(__xludf.DUMMYFUNCTION("""COMPUTED_VALUE"""),1.0)</f>
        <v>1</v>
      </c>
      <c r="H411" s="8">
        <f>IFERROR(__xludf.DUMMYFUNCTION("""COMPUTED_VALUE"""),4.0)</f>
        <v>4</v>
      </c>
      <c r="I411" s="8" t="str">
        <f>IFERROR(__xludf.DUMMYFUNCTION("""COMPUTED_VALUE"""),"General")</f>
        <v>General</v>
      </c>
      <c r="J411" s="8" t="str">
        <f>IFERROR(__xludf.DUMMYFUNCTION("""COMPUTED_VALUE"""),"Dresses")</f>
        <v>Dresses</v>
      </c>
      <c r="K411" s="8" t="str">
        <f>IFERROR(__xludf.DUMMYFUNCTION("""COMPUTED_VALUE"""),"Dresses")</f>
        <v>Dresses</v>
      </c>
    </row>
    <row r="412">
      <c r="A412" s="8">
        <f>IFERROR(__xludf.DUMMYFUNCTION("""COMPUTED_VALUE"""),525.0)</f>
        <v>525</v>
      </c>
      <c r="B412" s="8">
        <f>IFERROR(__xludf.DUMMYFUNCTION("""COMPUTED_VALUE"""),1078.0)</f>
        <v>1078</v>
      </c>
      <c r="C412" s="8">
        <f>IFERROR(__xludf.DUMMYFUNCTION("""COMPUTED_VALUE"""),25.0)</f>
        <v>25</v>
      </c>
      <c r="D412" s="8" t="str">
        <f>IFERROR(__xludf.DUMMYFUNCTION("""COMPUTED_VALUE"""),"Cute and fun!")</f>
        <v>Cute and fun!</v>
      </c>
      <c r="E412" s="8" t="str">
        <f>IFERROR(__xludf.DUMMYFUNCTION("""COMPUTED_VALUE"""),"The horizontal lines on the skirt and top gives the wearer and very nice dress. i am short so i got the 6 petite and it fits perfectly. the fabric is thick and stretchy.")</f>
        <v>The horizontal lines on the skirt and top gives the wearer and very nice dress. i am short so i got the 6 petite and it fits perfectly. the fabric is thick and stretchy.</v>
      </c>
      <c r="F412" s="8">
        <f>IFERROR(__xludf.DUMMYFUNCTION("""COMPUTED_VALUE"""),5.0)</f>
        <v>5</v>
      </c>
      <c r="G412" s="8">
        <f>IFERROR(__xludf.DUMMYFUNCTION("""COMPUTED_VALUE"""),1.0)</f>
        <v>1</v>
      </c>
      <c r="H412" s="8">
        <f>IFERROR(__xludf.DUMMYFUNCTION("""COMPUTED_VALUE"""),0.0)</f>
        <v>0</v>
      </c>
      <c r="I412" s="8" t="str">
        <f>IFERROR(__xludf.DUMMYFUNCTION("""COMPUTED_VALUE"""),"General")</f>
        <v>General</v>
      </c>
      <c r="J412" s="8" t="str">
        <f>IFERROR(__xludf.DUMMYFUNCTION("""COMPUTED_VALUE"""),"Dresses")</f>
        <v>Dresses</v>
      </c>
      <c r="K412" s="8" t="str">
        <f>IFERROR(__xludf.DUMMYFUNCTION("""COMPUTED_VALUE"""),"Dresses")</f>
        <v>Dresses</v>
      </c>
    </row>
    <row r="413">
      <c r="A413" s="8">
        <f>IFERROR(__xludf.DUMMYFUNCTION("""COMPUTED_VALUE"""),526.0)</f>
        <v>526</v>
      </c>
      <c r="B413" s="8">
        <f>IFERROR(__xludf.DUMMYFUNCTION("""COMPUTED_VALUE"""),850.0)</f>
        <v>850</v>
      </c>
      <c r="C413" s="8">
        <f>IFERROR(__xludf.DUMMYFUNCTION("""COMPUTED_VALUE"""),34.0)</f>
        <v>34</v>
      </c>
      <c r="D413" s="8" t="str">
        <f>IFERROR(__xludf.DUMMYFUNCTION("""COMPUTED_VALUE"""),"The right kind of casual")</f>
        <v>The right kind of casual</v>
      </c>
      <c r="E413" s="8" t="str">
        <f>IFERROR(__xludf.DUMMYFUNCTION("""COMPUTED_VALUE"""),"This is a great top to pair with jeans to step a casual night up a notch.")</f>
        <v>This is a great top to pair with jeans to step a casual night up a notch.</v>
      </c>
      <c r="F413" s="8">
        <f>IFERROR(__xludf.DUMMYFUNCTION("""COMPUTED_VALUE"""),5.0)</f>
        <v>5</v>
      </c>
      <c r="G413" s="8">
        <f>IFERROR(__xludf.DUMMYFUNCTION("""COMPUTED_VALUE"""),1.0)</f>
        <v>1</v>
      </c>
      <c r="H413" s="8">
        <f>IFERROR(__xludf.DUMMYFUNCTION("""COMPUTED_VALUE"""),1.0)</f>
        <v>1</v>
      </c>
      <c r="I413" s="8" t="str">
        <f>IFERROR(__xludf.DUMMYFUNCTION("""COMPUTED_VALUE"""),"General Petite")</f>
        <v>General Petite</v>
      </c>
      <c r="J413" s="8" t="str">
        <f>IFERROR(__xludf.DUMMYFUNCTION("""COMPUTED_VALUE"""),"Tops")</f>
        <v>Tops</v>
      </c>
      <c r="K413" s="8" t="str">
        <f>IFERROR(__xludf.DUMMYFUNCTION("""COMPUTED_VALUE"""),"Blouses")</f>
        <v>Blouses</v>
      </c>
    </row>
    <row r="414">
      <c r="A414" s="8">
        <f>IFERROR(__xludf.DUMMYFUNCTION("""COMPUTED_VALUE"""),527.0)</f>
        <v>527</v>
      </c>
      <c r="B414" s="8">
        <f>IFERROR(__xludf.DUMMYFUNCTION("""COMPUTED_VALUE"""),850.0)</f>
        <v>850</v>
      </c>
      <c r="C414" s="8">
        <f>IFERROR(__xludf.DUMMYFUNCTION("""COMPUTED_VALUE"""),25.0)</f>
        <v>25</v>
      </c>
      <c r="D414" s="8"/>
      <c r="E414" s="8"/>
      <c r="F414" s="8">
        <f>IFERROR(__xludf.DUMMYFUNCTION("""COMPUTED_VALUE"""),5.0)</f>
        <v>5</v>
      </c>
      <c r="G414" s="8">
        <f>IFERROR(__xludf.DUMMYFUNCTION("""COMPUTED_VALUE"""),1.0)</f>
        <v>1</v>
      </c>
      <c r="H414" s="8">
        <f>IFERROR(__xludf.DUMMYFUNCTION("""COMPUTED_VALUE"""),0.0)</f>
        <v>0</v>
      </c>
      <c r="I414" s="8" t="str">
        <f>IFERROR(__xludf.DUMMYFUNCTION("""COMPUTED_VALUE"""),"General Petite")</f>
        <v>General Petite</v>
      </c>
      <c r="J414" s="8" t="str">
        <f>IFERROR(__xludf.DUMMYFUNCTION("""COMPUTED_VALUE"""),"Tops")</f>
        <v>Tops</v>
      </c>
      <c r="K414" s="8" t="str">
        <f>IFERROR(__xludf.DUMMYFUNCTION("""COMPUTED_VALUE"""),"Blouses")</f>
        <v>Blouses</v>
      </c>
    </row>
    <row r="415">
      <c r="A415" s="8">
        <f>IFERROR(__xludf.DUMMYFUNCTION("""COMPUTED_VALUE"""),529.0)</f>
        <v>529</v>
      </c>
      <c r="B415" s="8">
        <f>IFERROR(__xludf.DUMMYFUNCTION("""COMPUTED_VALUE"""),1078.0)</f>
        <v>1078</v>
      </c>
      <c r="C415" s="8">
        <f>IFERROR(__xludf.DUMMYFUNCTION("""COMPUTED_VALUE"""),47.0)</f>
        <v>47</v>
      </c>
      <c r="D415" s="8" t="str">
        <f>IFERROR(__xludf.DUMMYFUNCTION("""COMPUTED_VALUE"""),"Great dress or tunic")</f>
        <v>Great dress or tunic</v>
      </c>
      <c r="E415" s="8" t="str">
        <f>IFERROR(__xludf.DUMMYFUNCTION("""COMPUTED_VALUE"""),"The colors are more vibrant than the photo indicates. indeed, though, the dress is very short and does pair well with leggings and boots.
i like that the dress highlights my hour glass figure, but with a generous nod to my curves with the accommodating s"&amp;"kater skirt.
love it! will be easy to wear casually and work appropriate, too. the sale price was a huge bonus.")</f>
        <v>The colors are more vibrant than the photo indicates. indeed, though, the dress is very short and does pair well with leggings and boots.
i like that the dress highlights my hour glass figure, but with a generous nod to my curves with the accommodating skater skirt.
love it! will be easy to wear casually and work appropriate, too. the sale price was a huge bonus.</v>
      </c>
      <c r="F415" s="8">
        <f>IFERROR(__xludf.DUMMYFUNCTION("""COMPUTED_VALUE"""),5.0)</f>
        <v>5</v>
      </c>
      <c r="G415" s="8">
        <f>IFERROR(__xludf.DUMMYFUNCTION("""COMPUTED_VALUE"""),1.0)</f>
        <v>1</v>
      </c>
      <c r="H415" s="8">
        <f>IFERROR(__xludf.DUMMYFUNCTION("""COMPUTED_VALUE"""),1.0)</f>
        <v>1</v>
      </c>
      <c r="I415" s="8" t="str">
        <f>IFERROR(__xludf.DUMMYFUNCTION("""COMPUTED_VALUE"""),"General")</f>
        <v>General</v>
      </c>
      <c r="J415" s="8" t="str">
        <f>IFERROR(__xludf.DUMMYFUNCTION("""COMPUTED_VALUE"""),"Dresses")</f>
        <v>Dresses</v>
      </c>
      <c r="K415" s="8" t="str">
        <f>IFERROR(__xludf.DUMMYFUNCTION("""COMPUTED_VALUE"""),"Dresses")</f>
        <v>Dresses</v>
      </c>
    </row>
    <row r="416">
      <c r="A416" s="8">
        <f>IFERROR(__xludf.DUMMYFUNCTION("""COMPUTED_VALUE"""),530.0)</f>
        <v>530</v>
      </c>
      <c r="B416" s="8">
        <f>IFERROR(__xludf.DUMMYFUNCTION("""COMPUTED_VALUE"""),984.0)</f>
        <v>984</v>
      </c>
      <c r="C416" s="8">
        <f>IFERROR(__xludf.DUMMYFUNCTION("""COMPUTED_VALUE"""),61.0)</f>
        <v>61</v>
      </c>
      <c r="D416" s="8" t="str">
        <f>IFERROR(__xludf.DUMMYFUNCTION("""COMPUTED_VALUE"""),"Top coat")</f>
        <v>Top coat</v>
      </c>
      <c r="E416" s="8" t="str">
        <f>IFERROR(__xludf.DUMMYFUNCTION("""COMPUTED_VALUE"""),"Top of the line! very well made and on sale to boot. i love the style and received a compliment from my sister when i wore it. i love the layered look.")</f>
        <v>Top of the line! very well made and on sale to boot. i love the style and received a compliment from my sister when i wore it. i love the layered look.</v>
      </c>
      <c r="F416" s="8">
        <f>IFERROR(__xludf.DUMMYFUNCTION("""COMPUTED_VALUE"""),5.0)</f>
        <v>5</v>
      </c>
      <c r="G416" s="8">
        <f>IFERROR(__xludf.DUMMYFUNCTION("""COMPUTED_VALUE"""),1.0)</f>
        <v>1</v>
      </c>
      <c r="H416" s="8">
        <f>IFERROR(__xludf.DUMMYFUNCTION("""COMPUTED_VALUE"""),0.0)</f>
        <v>0</v>
      </c>
      <c r="I416" s="8" t="str">
        <f>IFERROR(__xludf.DUMMYFUNCTION("""COMPUTED_VALUE"""),"General")</f>
        <v>General</v>
      </c>
      <c r="J416" s="8" t="str">
        <f>IFERROR(__xludf.DUMMYFUNCTION("""COMPUTED_VALUE"""),"Jackets")</f>
        <v>Jackets</v>
      </c>
      <c r="K416" s="8" t="str">
        <f>IFERROR(__xludf.DUMMYFUNCTION("""COMPUTED_VALUE"""),"Jackets")</f>
        <v>Jackets</v>
      </c>
    </row>
    <row r="417">
      <c r="A417" s="8">
        <f>IFERROR(__xludf.DUMMYFUNCTION("""COMPUTED_VALUE"""),531.0)</f>
        <v>531</v>
      </c>
      <c r="B417" s="8">
        <f>IFERROR(__xludf.DUMMYFUNCTION("""COMPUTED_VALUE"""),850.0)</f>
        <v>850</v>
      </c>
      <c r="C417" s="8">
        <f>IFERROR(__xludf.DUMMYFUNCTION("""COMPUTED_VALUE"""),52.0)</f>
        <v>52</v>
      </c>
      <c r="D417" s="8" t="str">
        <f>IFERROR(__xludf.DUMMYFUNCTION("""COMPUTED_VALUE"""),"Love, love, love this tunic!")</f>
        <v>Love, love, love this tunic!</v>
      </c>
      <c r="E417" s="8" t="str">
        <f>IFERROR(__xludf.DUMMYFUNCTION("""COMPUTED_VALUE"""),"Perfect little summer tunic that is very flattering. paired with a skirt, jeans or cropped black pants- this top is perfect! the cut in the front is not overly deep- so a cami is not necessary. i am usually a l or xl or 12 in retailer tops and i have a 10"&amp;" in this top. so it is sized slightly larger than usual.")</f>
        <v>Perfect little summer tunic that is very flattering. paired with a skirt, jeans or cropped black pants- this top is perfect! the cut in the front is not overly deep- so a cami is not necessary. i am usually a l or xl or 12 in retailer tops and i have a 10 in this top. so it is sized slightly larger than usual.</v>
      </c>
      <c r="F417" s="8">
        <f>IFERROR(__xludf.DUMMYFUNCTION("""COMPUTED_VALUE"""),5.0)</f>
        <v>5</v>
      </c>
      <c r="G417" s="8">
        <f>IFERROR(__xludf.DUMMYFUNCTION("""COMPUTED_VALUE"""),1.0)</f>
        <v>1</v>
      </c>
      <c r="H417" s="8">
        <f>IFERROR(__xludf.DUMMYFUNCTION("""COMPUTED_VALUE"""),1.0)</f>
        <v>1</v>
      </c>
      <c r="I417" s="8" t="str">
        <f>IFERROR(__xludf.DUMMYFUNCTION("""COMPUTED_VALUE"""),"General")</f>
        <v>General</v>
      </c>
      <c r="J417" s="8" t="str">
        <f>IFERROR(__xludf.DUMMYFUNCTION("""COMPUTED_VALUE"""),"Tops")</f>
        <v>Tops</v>
      </c>
      <c r="K417" s="8" t="str">
        <f>IFERROR(__xludf.DUMMYFUNCTION("""COMPUTED_VALUE"""),"Blouses")</f>
        <v>Blouses</v>
      </c>
    </row>
    <row r="418">
      <c r="A418" s="8">
        <f>IFERROR(__xludf.DUMMYFUNCTION("""COMPUTED_VALUE"""),534.0)</f>
        <v>534</v>
      </c>
      <c r="B418" s="8">
        <f>IFERROR(__xludf.DUMMYFUNCTION("""COMPUTED_VALUE"""),850.0)</f>
        <v>850</v>
      </c>
      <c r="C418" s="8">
        <f>IFERROR(__xludf.DUMMYFUNCTION("""COMPUTED_VALUE"""),39.0)</f>
        <v>39</v>
      </c>
      <c r="D418" s="8" t="str">
        <f>IFERROR(__xludf.DUMMYFUNCTION("""COMPUTED_VALUE"""),"Perfect top!")</f>
        <v>Perfect top!</v>
      </c>
      <c r="E418" s="8" t="str">
        <f>IFERROR(__xludf.DUMMYFUNCTION("""COMPUTED_VALUE"""),"This blouse fit better than i expected. looks great with jeans and is an easy go to top!")</f>
        <v>This blouse fit better than i expected. looks great with jeans and is an easy go to top!</v>
      </c>
      <c r="F418" s="8">
        <f>IFERROR(__xludf.DUMMYFUNCTION("""COMPUTED_VALUE"""),5.0)</f>
        <v>5</v>
      </c>
      <c r="G418" s="8">
        <f>IFERROR(__xludf.DUMMYFUNCTION("""COMPUTED_VALUE"""),1.0)</f>
        <v>1</v>
      </c>
      <c r="H418" s="8">
        <f>IFERROR(__xludf.DUMMYFUNCTION("""COMPUTED_VALUE"""),0.0)</f>
        <v>0</v>
      </c>
      <c r="I418" s="8" t="str">
        <f>IFERROR(__xludf.DUMMYFUNCTION("""COMPUTED_VALUE"""),"General")</f>
        <v>General</v>
      </c>
      <c r="J418" s="8" t="str">
        <f>IFERROR(__xludf.DUMMYFUNCTION("""COMPUTED_VALUE"""),"Tops")</f>
        <v>Tops</v>
      </c>
      <c r="K418" s="8" t="str">
        <f>IFERROR(__xludf.DUMMYFUNCTION("""COMPUTED_VALUE"""),"Blouses")</f>
        <v>Blouses</v>
      </c>
    </row>
    <row r="419">
      <c r="A419" s="8">
        <f>IFERROR(__xludf.DUMMYFUNCTION("""COMPUTED_VALUE"""),535.0)</f>
        <v>535</v>
      </c>
      <c r="B419" s="8">
        <f>IFERROR(__xludf.DUMMYFUNCTION("""COMPUTED_VALUE"""),1081.0)</f>
        <v>1081</v>
      </c>
      <c r="C419" s="8">
        <f>IFERROR(__xludf.DUMMYFUNCTION("""COMPUTED_VALUE"""),40.0)</f>
        <v>40</v>
      </c>
      <c r="D419" s="8" t="str">
        <f>IFERROR(__xludf.DUMMYFUNCTION("""COMPUTED_VALUE"""),"Comfortable and chic")</f>
        <v>Comfortable and chic</v>
      </c>
      <c r="E419" s="8" t="str">
        <f>IFERROR(__xludf.DUMMYFUNCTION("""COMPUTED_VALUE"""),"This dress is so comfortable, and i love the unique faux leather skirt and lace design. it really adds a special touch to the dress. i only gave it four stars because the top half is pretty boring...i wish the neckline wasn't so matronly. i'll definitely "&amp;"need a bib necklace or scarf to dress it up. i'm 5'5"" and 115 and ordered the xs. i wish the dress cut in a little more at the sides to accentuate an hourglass figure, also. my husband loved it.")</f>
        <v>This dress is so comfortable, and i love the unique faux leather skirt and lace design. it really adds a special touch to the dress. i only gave it four stars because the top half is pretty boring...i wish the neckline wasn't so matronly. i'll definitely need a bib necklace or scarf to dress it up. i'm 5'5" and 115 and ordered the xs. i wish the dress cut in a little more at the sides to accentuate an hourglass figure, also. my husband loved it.</v>
      </c>
      <c r="F419" s="8">
        <f>IFERROR(__xludf.DUMMYFUNCTION("""COMPUTED_VALUE"""),4.0)</f>
        <v>4</v>
      </c>
      <c r="G419" s="8">
        <f>IFERROR(__xludf.DUMMYFUNCTION("""COMPUTED_VALUE"""),1.0)</f>
        <v>1</v>
      </c>
      <c r="H419" s="8">
        <f>IFERROR(__xludf.DUMMYFUNCTION("""COMPUTED_VALUE"""),0.0)</f>
        <v>0</v>
      </c>
      <c r="I419" s="8" t="str">
        <f>IFERROR(__xludf.DUMMYFUNCTION("""COMPUTED_VALUE"""),"General Petite")</f>
        <v>General Petite</v>
      </c>
      <c r="J419" s="8" t="str">
        <f>IFERROR(__xludf.DUMMYFUNCTION("""COMPUTED_VALUE"""),"Dresses")</f>
        <v>Dresses</v>
      </c>
      <c r="K419" s="8" t="str">
        <f>IFERROR(__xludf.DUMMYFUNCTION("""COMPUTED_VALUE"""),"Dresses")</f>
        <v>Dresses</v>
      </c>
    </row>
    <row r="420">
      <c r="A420" s="8">
        <f>IFERROR(__xludf.DUMMYFUNCTION("""COMPUTED_VALUE"""),536.0)</f>
        <v>536</v>
      </c>
      <c r="B420" s="8">
        <f>IFERROR(__xludf.DUMMYFUNCTION("""COMPUTED_VALUE"""),984.0)</f>
        <v>984</v>
      </c>
      <c r="C420" s="8">
        <f>IFERROR(__xludf.DUMMYFUNCTION("""COMPUTED_VALUE"""),53.0)</f>
        <v>53</v>
      </c>
      <c r="D420" s="8"/>
      <c r="E420" s="8"/>
      <c r="F420" s="8">
        <f>IFERROR(__xludf.DUMMYFUNCTION("""COMPUTED_VALUE"""),5.0)</f>
        <v>5</v>
      </c>
      <c r="G420" s="8">
        <f>IFERROR(__xludf.DUMMYFUNCTION("""COMPUTED_VALUE"""),1.0)</f>
        <v>1</v>
      </c>
      <c r="H420" s="8">
        <f>IFERROR(__xludf.DUMMYFUNCTION("""COMPUTED_VALUE"""),0.0)</f>
        <v>0</v>
      </c>
      <c r="I420" s="8" t="str">
        <f>IFERROR(__xludf.DUMMYFUNCTION("""COMPUTED_VALUE"""),"General")</f>
        <v>General</v>
      </c>
      <c r="J420" s="8" t="str">
        <f>IFERROR(__xludf.DUMMYFUNCTION("""COMPUTED_VALUE"""),"Jackets")</f>
        <v>Jackets</v>
      </c>
      <c r="K420" s="8" t="str">
        <f>IFERROR(__xludf.DUMMYFUNCTION("""COMPUTED_VALUE"""),"Jackets")</f>
        <v>Jackets</v>
      </c>
    </row>
    <row r="421">
      <c r="A421" s="8">
        <f>IFERROR(__xludf.DUMMYFUNCTION("""COMPUTED_VALUE"""),537.0)</f>
        <v>537</v>
      </c>
      <c r="B421" s="8">
        <f>IFERROR(__xludf.DUMMYFUNCTION("""COMPUTED_VALUE"""),850.0)</f>
        <v>850</v>
      </c>
      <c r="C421" s="8">
        <f>IFERROR(__xludf.DUMMYFUNCTION("""COMPUTED_VALUE"""),45.0)</f>
        <v>45</v>
      </c>
      <c r="D421" s="8" t="str">
        <f>IFERROR(__xludf.DUMMYFUNCTION("""COMPUTED_VALUE"""),"Perfect balance of classy and sexy")</f>
        <v>Perfect balance of classy and sexy</v>
      </c>
      <c r="E421" s="8" t="str">
        <f>IFERROR(__xludf.DUMMYFUNCTION("""COMPUTED_VALUE"""),"I love this top! not sure if i would picked it up in the store; i received it as a gift from my husband. kudos to him as it was a great choice. i love that the sheerness and lace make me feel a little sexy but the long sleeves and camisole offer the modes"&amp;"ty i tend to crave. really beautiful and can be worn either with jeans or a dressier skinny pant for a night out. hd in paris never fails to please with their aesthetic and quality.")</f>
        <v>I love this top! not sure if i would picked it up in the store; i received it as a gift from my husband. kudos to him as it was a great choice. i love that the sheerness and lace make me feel a little sexy but the long sleeves and camisole offer the modesty i tend to crave. really beautiful and can be worn either with jeans or a dressier skinny pant for a night out. hd in paris never fails to please with their aesthetic and quality.</v>
      </c>
      <c r="F421" s="8">
        <f>IFERROR(__xludf.DUMMYFUNCTION("""COMPUTED_VALUE"""),5.0)</f>
        <v>5</v>
      </c>
      <c r="G421" s="8">
        <f>IFERROR(__xludf.DUMMYFUNCTION("""COMPUTED_VALUE"""),1.0)</f>
        <v>1</v>
      </c>
      <c r="H421" s="8">
        <f>IFERROR(__xludf.DUMMYFUNCTION("""COMPUTED_VALUE"""),1.0)</f>
        <v>1</v>
      </c>
      <c r="I421" s="8" t="str">
        <f>IFERROR(__xludf.DUMMYFUNCTION("""COMPUTED_VALUE"""),"General")</f>
        <v>General</v>
      </c>
      <c r="J421" s="8" t="str">
        <f>IFERROR(__xludf.DUMMYFUNCTION("""COMPUTED_VALUE"""),"Tops")</f>
        <v>Tops</v>
      </c>
      <c r="K421" s="8" t="str">
        <f>IFERROR(__xludf.DUMMYFUNCTION("""COMPUTED_VALUE"""),"Blouses")</f>
        <v>Blouses</v>
      </c>
    </row>
    <row r="422">
      <c r="A422" s="8">
        <f>IFERROR(__xludf.DUMMYFUNCTION("""COMPUTED_VALUE"""),538.0)</f>
        <v>538</v>
      </c>
      <c r="B422" s="8">
        <f>IFERROR(__xludf.DUMMYFUNCTION("""COMPUTED_VALUE"""),850.0)</f>
        <v>850</v>
      </c>
      <c r="C422" s="8">
        <f>IFERROR(__xludf.DUMMYFUNCTION("""COMPUTED_VALUE"""),28.0)</f>
        <v>28</v>
      </c>
      <c r="D422" s="8" t="str">
        <f>IFERROR(__xludf.DUMMYFUNCTION("""COMPUTED_VALUE"""),"Great top")</f>
        <v>Great top</v>
      </c>
      <c r="E422" s="8" t="str">
        <f>IFERROR(__xludf.DUMMYFUNCTION("""COMPUTED_VALUE"""),"This top is great for spring- it's super light and can be dressed up or down depending on what you're wearing it for. fits true to size and is great quality.")</f>
        <v>This top is great for spring- it's super light and can be dressed up or down depending on what you're wearing it for. fits true to size and is great quality.</v>
      </c>
      <c r="F422" s="8">
        <f>IFERROR(__xludf.DUMMYFUNCTION("""COMPUTED_VALUE"""),4.0)</f>
        <v>4</v>
      </c>
      <c r="G422" s="8">
        <f>IFERROR(__xludf.DUMMYFUNCTION("""COMPUTED_VALUE"""),1.0)</f>
        <v>1</v>
      </c>
      <c r="H422" s="8">
        <f>IFERROR(__xludf.DUMMYFUNCTION("""COMPUTED_VALUE"""),0.0)</f>
        <v>0</v>
      </c>
      <c r="I422" s="8" t="str">
        <f>IFERROR(__xludf.DUMMYFUNCTION("""COMPUTED_VALUE"""),"General")</f>
        <v>General</v>
      </c>
      <c r="J422" s="8" t="str">
        <f>IFERROR(__xludf.DUMMYFUNCTION("""COMPUTED_VALUE"""),"Tops")</f>
        <v>Tops</v>
      </c>
      <c r="K422" s="8" t="str">
        <f>IFERROR(__xludf.DUMMYFUNCTION("""COMPUTED_VALUE"""),"Blouses")</f>
        <v>Blouses</v>
      </c>
    </row>
    <row r="423">
      <c r="A423" s="8">
        <f>IFERROR(__xludf.DUMMYFUNCTION("""COMPUTED_VALUE"""),539.0)</f>
        <v>539</v>
      </c>
      <c r="B423" s="8">
        <f>IFERROR(__xludf.DUMMYFUNCTION("""COMPUTED_VALUE"""),1104.0)</f>
        <v>1104</v>
      </c>
      <c r="C423" s="8">
        <f>IFERROR(__xludf.DUMMYFUNCTION("""COMPUTED_VALUE"""),33.0)</f>
        <v>33</v>
      </c>
      <c r="D423" s="8" t="str">
        <f>IFERROR(__xludf.DUMMYFUNCTION("""COMPUTED_VALUE"""),"Cute fit, perfect length")</f>
        <v>Cute fit, perfect length</v>
      </c>
      <c r="E423" s="8" t="str">
        <f>IFERROR(__xludf.DUMMYFUNCTION("""COMPUTED_VALUE"""),"I've admired the various iterations of this dress and finally found one in the sale room, much to my delight! i'm generally a sale shopper, so this doesn't mean i didn't think it was priced well. i have the oatmeal top with yellow/gold/orange pattern on t"&amp;"he skirt in xs. the small fits comfortably up top, but on my petite frame, the top just looked too big, so i went with xs. i suppose the straps are a bit confusing, but their easy to figure out if you just look at them for a moment before puttin")</f>
        <v>I've admired the various iterations of this dress and finally found one in the sale room, much to my delight! i'm generally a sale shopper, so this doesn't mean i didn't think it was priced well. i have the oatmeal top with yellow/gold/orange pattern on the skirt in xs. the small fits comfortably up top, but on my petite frame, the top just looked too big, so i went with xs. i suppose the straps are a bit confusing, but their easy to figure out if you just look at them for a moment before puttin</v>
      </c>
      <c r="F423" s="8">
        <f>IFERROR(__xludf.DUMMYFUNCTION("""COMPUTED_VALUE"""),5.0)</f>
        <v>5</v>
      </c>
      <c r="G423" s="8">
        <f>IFERROR(__xludf.DUMMYFUNCTION("""COMPUTED_VALUE"""),1.0)</f>
        <v>1</v>
      </c>
      <c r="H423" s="8">
        <f>IFERROR(__xludf.DUMMYFUNCTION("""COMPUTED_VALUE"""),0.0)</f>
        <v>0</v>
      </c>
      <c r="I423" s="8" t="str">
        <f>IFERROR(__xludf.DUMMYFUNCTION("""COMPUTED_VALUE"""),"General")</f>
        <v>General</v>
      </c>
      <c r="J423" s="8" t="str">
        <f>IFERROR(__xludf.DUMMYFUNCTION("""COMPUTED_VALUE"""),"Dresses")</f>
        <v>Dresses</v>
      </c>
      <c r="K423" s="8" t="str">
        <f>IFERROR(__xludf.DUMMYFUNCTION("""COMPUTED_VALUE"""),"Dresses")</f>
        <v>Dresses</v>
      </c>
    </row>
    <row r="424">
      <c r="A424" s="8">
        <f>IFERROR(__xludf.DUMMYFUNCTION("""COMPUTED_VALUE"""),540.0)</f>
        <v>540</v>
      </c>
      <c r="B424" s="8">
        <f>IFERROR(__xludf.DUMMYFUNCTION("""COMPUTED_VALUE"""),1078.0)</f>
        <v>1078</v>
      </c>
      <c r="C424" s="8">
        <f>IFERROR(__xludf.DUMMYFUNCTION("""COMPUTED_VALUE"""),71.0)</f>
        <v>71</v>
      </c>
      <c r="D424" s="8" t="str">
        <f>IFERROR(__xludf.DUMMYFUNCTION("""COMPUTED_VALUE"""),"Flattering")</f>
        <v>Flattering</v>
      </c>
      <c r="E424" s="8" t="str">
        <f>IFERROR(__xludf.DUMMYFUNCTION("""COMPUTED_VALUE"""),"This dress is comfortable as well as flattering, which does not happen very often!
looks good with navy tights too!")</f>
        <v>This dress is comfortable as well as flattering, which does not happen very often!
looks good with navy tights too!</v>
      </c>
      <c r="F424" s="8">
        <f>IFERROR(__xludf.DUMMYFUNCTION("""COMPUTED_VALUE"""),5.0)</f>
        <v>5</v>
      </c>
      <c r="G424" s="8">
        <f>IFERROR(__xludf.DUMMYFUNCTION("""COMPUTED_VALUE"""),1.0)</f>
        <v>1</v>
      </c>
      <c r="H424" s="8">
        <f>IFERROR(__xludf.DUMMYFUNCTION("""COMPUTED_VALUE"""),0.0)</f>
        <v>0</v>
      </c>
      <c r="I424" s="8" t="str">
        <f>IFERROR(__xludf.DUMMYFUNCTION("""COMPUTED_VALUE"""),"General")</f>
        <v>General</v>
      </c>
      <c r="J424" s="8" t="str">
        <f>IFERROR(__xludf.DUMMYFUNCTION("""COMPUTED_VALUE"""),"Dresses")</f>
        <v>Dresses</v>
      </c>
      <c r="K424" s="8" t="str">
        <f>IFERROR(__xludf.DUMMYFUNCTION("""COMPUTED_VALUE"""),"Dresses")</f>
        <v>Dresses</v>
      </c>
    </row>
    <row r="425">
      <c r="A425" s="8">
        <f>IFERROR(__xludf.DUMMYFUNCTION("""COMPUTED_VALUE"""),541.0)</f>
        <v>541</v>
      </c>
      <c r="B425" s="8">
        <f>IFERROR(__xludf.DUMMYFUNCTION("""COMPUTED_VALUE"""),984.0)</f>
        <v>984</v>
      </c>
      <c r="C425" s="8">
        <f>IFERROR(__xludf.DUMMYFUNCTION("""COMPUTED_VALUE"""),46.0)</f>
        <v>46</v>
      </c>
      <c r="D425" s="8"/>
      <c r="E425" s="8" t="str">
        <f>IFERROR(__xludf.DUMMYFUNCTION("""COMPUTED_VALUE"""),"Love love love this jacket!! great spring and fall weather.. very stylish!!")</f>
        <v>Love love love this jacket!! great spring and fall weather.. very stylish!!</v>
      </c>
      <c r="F425" s="8">
        <f>IFERROR(__xludf.DUMMYFUNCTION("""COMPUTED_VALUE"""),5.0)</f>
        <v>5</v>
      </c>
      <c r="G425" s="8">
        <f>IFERROR(__xludf.DUMMYFUNCTION("""COMPUTED_VALUE"""),1.0)</f>
        <v>1</v>
      </c>
      <c r="H425" s="8">
        <f>IFERROR(__xludf.DUMMYFUNCTION("""COMPUTED_VALUE"""),0.0)</f>
        <v>0</v>
      </c>
      <c r="I425" s="8" t="str">
        <f>IFERROR(__xludf.DUMMYFUNCTION("""COMPUTED_VALUE"""),"General")</f>
        <v>General</v>
      </c>
      <c r="J425" s="8" t="str">
        <f>IFERROR(__xludf.DUMMYFUNCTION("""COMPUTED_VALUE"""),"Jackets")</f>
        <v>Jackets</v>
      </c>
      <c r="K425" s="8" t="str">
        <f>IFERROR(__xludf.DUMMYFUNCTION("""COMPUTED_VALUE"""),"Jackets")</f>
        <v>Jackets</v>
      </c>
    </row>
    <row r="426">
      <c r="A426" s="8">
        <f>IFERROR(__xludf.DUMMYFUNCTION("""COMPUTED_VALUE"""),542.0)</f>
        <v>542</v>
      </c>
      <c r="B426" s="8">
        <f>IFERROR(__xludf.DUMMYFUNCTION("""COMPUTED_VALUE"""),984.0)</f>
        <v>984</v>
      </c>
      <c r="C426" s="8">
        <f>IFERROR(__xludf.DUMMYFUNCTION("""COMPUTED_VALUE"""),56.0)</f>
        <v>56</v>
      </c>
      <c r="D426" s="8"/>
      <c r="E426" s="8"/>
      <c r="F426" s="8">
        <f>IFERROR(__xludf.DUMMYFUNCTION("""COMPUTED_VALUE"""),5.0)</f>
        <v>5</v>
      </c>
      <c r="G426" s="8">
        <f>IFERROR(__xludf.DUMMYFUNCTION("""COMPUTED_VALUE"""),1.0)</f>
        <v>1</v>
      </c>
      <c r="H426" s="8">
        <f>IFERROR(__xludf.DUMMYFUNCTION("""COMPUTED_VALUE"""),0.0)</f>
        <v>0</v>
      </c>
      <c r="I426" s="8" t="str">
        <f>IFERROR(__xludf.DUMMYFUNCTION("""COMPUTED_VALUE"""),"General")</f>
        <v>General</v>
      </c>
      <c r="J426" s="8" t="str">
        <f>IFERROR(__xludf.DUMMYFUNCTION("""COMPUTED_VALUE"""),"Jackets")</f>
        <v>Jackets</v>
      </c>
      <c r="K426" s="8" t="str">
        <f>IFERROR(__xludf.DUMMYFUNCTION("""COMPUTED_VALUE"""),"Jackets")</f>
        <v>Jackets</v>
      </c>
    </row>
    <row r="427">
      <c r="A427" s="8">
        <f>IFERROR(__xludf.DUMMYFUNCTION("""COMPUTED_VALUE"""),543.0)</f>
        <v>543</v>
      </c>
      <c r="B427" s="8">
        <f>IFERROR(__xludf.DUMMYFUNCTION("""COMPUTED_VALUE"""),1078.0)</f>
        <v>1078</v>
      </c>
      <c r="C427" s="8">
        <f>IFERROR(__xludf.DUMMYFUNCTION("""COMPUTED_VALUE"""),36.0)</f>
        <v>36</v>
      </c>
      <c r="D427" s="8" t="str">
        <f>IFERROR(__xludf.DUMMYFUNCTION("""COMPUTED_VALUE"""),"Cute dress")</f>
        <v>Cute dress</v>
      </c>
      <c r="E427" s="8" t="str">
        <f>IFERROR(__xludf.DUMMYFUNCTION("""COMPUTED_VALUE"""),"Based on some reviews i decided to get the regular xs, even tho i am an xs petite (5'2, 107 lb, 32c) i found the fit to be flattering -- fitted enough but not too loose or tight. the length is perfect and work appropriate, and the material has some weight"&amp;" to it. the grey one is colorful and cute. the only problem is the bagginess of the arms -- very unflattering. if i push the sleeves up, it hides the bagginess a little, but i would like to have the option to wear the dress with long sleeves., s")</f>
        <v>Based on some reviews i decided to get the regular xs, even tho i am an xs petite (5'2, 107 lb, 32c) i found the fit to be flattering -- fitted enough but not too loose or tight. the length is perfect and work appropriate, and the material has some weight to it. the grey one is colorful and cute. the only problem is the bagginess of the arms -- very unflattering. if i push the sleeves up, it hides the bagginess a little, but i would like to have the option to wear the dress with long sleeves., s</v>
      </c>
      <c r="F427" s="8">
        <f>IFERROR(__xludf.DUMMYFUNCTION("""COMPUTED_VALUE"""),4.0)</f>
        <v>4</v>
      </c>
      <c r="G427" s="8">
        <f>IFERROR(__xludf.DUMMYFUNCTION("""COMPUTED_VALUE"""),1.0)</f>
        <v>1</v>
      </c>
      <c r="H427" s="8">
        <f>IFERROR(__xludf.DUMMYFUNCTION("""COMPUTED_VALUE"""),2.0)</f>
        <v>2</v>
      </c>
      <c r="I427" s="8" t="str">
        <f>IFERROR(__xludf.DUMMYFUNCTION("""COMPUTED_VALUE"""),"General")</f>
        <v>General</v>
      </c>
      <c r="J427" s="8" t="str">
        <f>IFERROR(__xludf.DUMMYFUNCTION("""COMPUTED_VALUE"""),"Dresses")</f>
        <v>Dresses</v>
      </c>
      <c r="K427" s="8" t="str">
        <f>IFERROR(__xludf.DUMMYFUNCTION("""COMPUTED_VALUE"""),"Dresses")</f>
        <v>Dresses</v>
      </c>
    </row>
    <row r="428">
      <c r="A428" s="8">
        <f>IFERROR(__xludf.DUMMYFUNCTION("""COMPUTED_VALUE"""),544.0)</f>
        <v>544</v>
      </c>
      <c r="B428" s="8">
        <f>IFERROR(__xludf.DUMMYFUNCTION("""COMPUTED_VALUE"""),1104.0)</f>
        <v>1104</v>
      </c>
      <c r="C428" s="8">
        <f>IFERROR(__xludf.DUMMYFUNCTION("""COMPUTED_VALUE"""),35.0)</f>
        <v>35</v>
      </c>
      <c r="D428" s="8" t="str">
        <f>IFERROR(__xludf.DUMMYFUNCTION("""COMPUTED_VALUE"""),"Great fit")</f>
        <v>Great fit</v>
      </c>
      <c r="E428" s="8" t="str">
        <f>IFERROR(__xludf.DUMMYFUNCTION("""COMPUTED_VALUE"""),"I purchased this dress because i have a similar one with a linen skirt from the spring. the skirt on this dress is a heavier fabric and it lays very nicely. the top provides good coverage for my larger chest and i took my typical xs size. i would definite"&amp;"ly recommend this purchase.")</f>
        <v>I purchased this dress because i have a similar one with a linen skirt from the spring. the skirt on this dress is a heavier fabric and it lays very nicely. the top provides good coverage for my larger chest and i took my typical xs size. i would definitely recommend this purchase.</v>
      </c>
      <c r="F428" s="8">
        <f>IFERROR(__xludf.DUMMYFUNCTION("""COMPUTED_VALUE"""),5.0)</f>
        <v>5</v>
      </c>
      <c r="G428" s="8">
        <f>IFERROR(__xludf.DUMMYFUNCTION("""COMPUTED_VALUE"""),1.0)</f>
        <v>1</v>
      </c>
      <c r="H428" s="8">
        <f>IFERROR(__xludf.DUMMYFUNCTION("""COMPUTED_VALUE"""),0.0)</f>
        <v>0</v>
      </c>
      <c r="I428" s="8" t="str">
        <f>IFERROR(__xludf.DUMMYFUNCTION("""COMPUTED_VALUE"""),"General")</f>
        <v>General</v>
      </c>
      <c r="J428" s="8" t="str">
        <f>IFERROR(__xludf.DUMMYFUNCTION("""COMPUTED_VALUE"""),"Dresses")</f>
        <v>Dresses</v>
      </c>
      <c r="K428" s="8" t="str">
        <f>IFERROR(__xludf.DUMMYFUNCTION("""COMPUTED_VALUE"""),"Dresses")</f>
        <v>Dresses</v>
      </c>
    </row>
    <row r="429">
      <c r="A429" s="8">
        <f>IFERROR(__xludf.DUMMYFUNCTION("""COMPUTED_VALUE"""),545.0)</f>
        <v>545</v>
      </c>
      <c r="B429" s="8">
        <f>IFERROR(__xludf.DUMMYFUNCTION("""COMPUTED_VALUE"""),984.0)</f>
        <v>984</v>
      </c>
      <c r="C429" s="8">
        <f>IFERROR(__xludf.DUMMYFUNCTION("""COMPUTED_VALUE"""),58.0)</f>
        <v>58</v>
      </c>
      <c r="D429" s="8" t="str">
        <f>IFERROR(__xludf.DUMMYFUNCTION("""COMPUTED_VALUE"""),"Comfortable and great looking")</f>
        <v>Comfortable and great looking</v>
      </c>
      <c r="E429" s="8" t="str">
        <f>IFERROR(__xludf.DUMMYFUNCTION("""COMPUTED_VALUE"""),"This jacket looked so good and felt so comfortable on- i almost didn't send back the first one that arrived with a little bit of damage at the bottom of the inner zippered sweatshirt, but i did exchange it and am just as happy with the fit and feel of the"&amp;" second one. it hangs well no matter how you fasten the front, or leave it open. great looking, casual but stylish and neat. a good grey, and a good blue.")</f>
        <v>This jacket looked so good and felt so comfortable on- i almost didn't send back the first one that arrived with a little bit of damage at the bottom of the inner zippered sweatshirt, but i did exchange it and am just as happy with the fit and feel of the second one. it hangs well no matter how you fasten the front, or leave it open. great looking, casual but stylish and neat. a good grey, and a good blue.</v>
      </c>
      <c r="F429" s="8">
        <f>IFERROR(__xludf.DUMMYFUNCTION("""COMPUTED_VALUE"""),5.0)</f>
        <v>5</v>
      </c>
      <c r="G429" s="8">
        <f>IFERROR(__xludf.DUMMYFUNCTION("""COMPUTED_VALUE"""),1.0)</f>
        <v>1</v>
      </c>
      <c r="H429" s="8">
        <f>IFERROR(__xludf.DUMMYFUNCTION("""COMPUTED_VALUE"""),6.0)</f>
        <v>6</v>
      </c>
      <c r="I429" s="8" t="str">
        <f>IFERROR(__xludf.DUMMYFUNCTION("""COMPUTED_VALUE"""),"General")</f>
        <v>General</v>
      </c>
      <c r="J429" s="8" t="str">
        <f>IFERROR(__xludf.DUMMYFUNCTION("""COMPUTED_VALUE"""),"Jackets")</f>
        <v>Jackets</v>
      </c>
      <c r="K429" s="8" t="str">
        <f>IFERROR(__xludf.DUMMYFUNCTION("""COMPUTED_VALUE"""),"Jackets")</f>
        <v>Jackets</v>
      </c>
    </row>
    <row r="430">
      <c r="A430" s="8">
        <f>IFERROR(__xludf.DUMMYFUNCTION("""COMPUTED_VALUE"""),546.0)</f>
        <v>546</v>
      </c>
      <c r="B430" s="8">
        <f>IFERROR(__xludf.DUMMYFUNCTION("""COMPUTED_VALUE"""),1078.0)</f>
        <v>1078</v>
      </c>
      <c r="C430" s="8">
        <f>IFERROR(__xludf.DUMMYFUNCTION("""COMPUTED_VALUE"""),53.0)</f>
        <v>53</v>
      </c>
      <c r="D430" s="8" t="str">
        <f>IFERROR(__xludf.DUMMYFUNCTION("""COMPUTED_VALUE"""),"Love this dress!")</f>
        <v>Love this dress!</v>
      </c>
      <c r="E430" s="8" t="str">
        <f>IFERROR(__xludf.DUMMYFUNCTION("""COMPUTED_VALUE"""),"I went to my local store and they only had the blue dress in stock, i had seen it online and i didn't expect to like the blue one. i tried it on anyway, and it was adorable! i struggled to choose, but i ordered the gray one at the store and they shipped i"&amp;"t directly to me. it arrived quickly and i love it!")</f>
        <v>I went to my local store and they only had the blue dress in stock, i had seen it online and i didn't expect to like the blue one. i tried it on anyway, and it was adorable! i struggled to choose, but i ordered the gray one at the store and they shipped it directly to me. it arrived quickly and i love it!</v>
      </c>
      <c r="F430" s="8">
        <f>IFERROR(__xludf.DUMMYFUNCTION("""COMPUTED_VALUE"""),5.0)</f>
        <v>5</v>
      </c>
      <c r="G430" s="8">
        <f>IFERROR(__xludf.DUMMYFUNCTION("""COMPUTED_VALUE"""),1.0)</f>
        <v>1</v>
      </c>
      <c r="H430" s="8">
        <f>IFERROR(__xludf.DUMMYFUNCTION("""COMPUTED_VALUE"""),2.0)</f>
        <v>2</v>
      </c>
      <c r="I430" s="8" t="str">
        <f>IFERROR(__xludf.DUMMYFUNCTION("""COMPUTED_VALUE"""),"General")</f>
        <v>General</v>
      </c>
      <c r="J430" s="8" t="str">
        <f>IFERROR(__xludf.DUMMYFUNCTION("""COMPUTED_VALUE"""),"Dresses")</f>
        <v>Dresses</v>
      </c>
      <c r="K430" s="8" t="str">
        <f>IFERROR(__xludf.DUMMYFUNCTION("""COMPUTED_VALUE"""),"Dresses")</f>
        <v>Dresses</v>
      </c>
    </row>
    <row r="431">
      <c r="A431" s="8">
        <f>IFERROR(__xludf.DUMMYFUNCTION("""COMPUTED_VALUE"""),547.0)</f>
        <v>547</v>
      </c>
      <c r="B431" s="8">
        <f>IFERROR(__xludf.DUMMYFUNCTION("""COMPUTED_VALUE"""),984.0)</f>
        <v>984</v>
      </c>
      <c r="C431" s="8">
        <f>IFERROR(__xludf.DUMMYFUNCTION("""COMPUTED_VALUE"""),64.0)</f>
        <v>64</v>
      </c>
      <c r="D431" s="8" t="str">
        <f>IFERROR(__xludf.DUMMYFUNCTION("""COMPUTED_VALUE"""),"Great jacket!")</f>
        <v>Great jacket!</v>
      </c>
      <c r="E431" s="8" t="str">
        <f>IFERROR(__xludf.DUMMYFUNCTION("""COMPUTED_VALUE"""),"This jacket has a nautical look which is a refreshing change for this year. it is double breasted &amp; a stretchy cotton, which i love. i am a big fan of cotton. it appealed to me so much that i ordered both the white &amp; the navy in the regular size small. i "&amp;"am of small build at 5'3"", 117# &amp; expected that the sleeves c/b a little long. i avoid ordering petite size jackets b/c sometimes they are snug in the shoulders. ok, so the regular s was a good length at the bottom of my hips, but arms were bagg")</f>
        <v>This jacket has a nautical look which is a refreshing change for this year. it is double breasted &amp; a stretchy cotton, which i love. i am a big fan of cotton. it appealed to me so much that i ordered both the white &amp; the navy in the regular size small. i am of small build at 5'3", 117# &amp; expected that the sleeves c/b a little long. i avoid ordering petite size jackets b/c sometimes they are snug in the shoulders. ok, so the regular s was a good length at the bottom of my hips, but arms were bagg</v>
      </c>
      <c r="F431" s="8">
        <f>IFERROR(__xludf.DUMMYFUNCTION("""COMPUTED_VALUE"""),5.0)</f>
        <v>5</v>
      </c>
      <c r="G431" s="8">
        <f>IFERROR(__xludf.DUMMYFUNCTION("""COMPUTED_VALUE"""),1.0)</f>
        <v>1</v>
      </c>
      <c r="H431" s="8">
        <f>IFERROR(__xludf.DUMMYFUNCTION("""COMPUTED_VALUE"""),32.0)</f>
        <v>32</v>
      </c>
      <c r="I431" s="8" t="str">
        <f>IFERROR(__xludf.DUMMYFUNCTION("""COMPUTED_VALUE"""),"General")</f>
        <v>General</v>
      </c>
      <c r="J431" s="8" t="str">
        <f>IFERROR(__xludf.DUMMYFUNCTION("""COMPUTED_VALUE"""),"Jackets")</f>
        <v>Jackets</v>
      </c>
      <c r="K431" s="8" t="str">
        <f>IFERROR(__xludf.DUMMYFUNCTION("""COMPUTED_VALUE"""),"Jackets")</f>
        <v>Jackets</v>
      </c>
    </row>
    <row r="432">
      <c r="A432" s="8">
        <f>IFERROR(__xludf.DUMMYFUNCTION("""COMPUTED_VALUE"""),549.0)</f>
        <v>549</v>
      </c>
      <c r="B432" s="8">
        <f>IFERROR(__xludf.DUMMYFUNCTION("""COMPUTED_VALUE"""),850.0)</f>
        <v>850</v>
      </c>
      <c r="C432" s="8">
        <f>IFERROR(__xludf.DUMMYFUNCTION("""COMPUTED_VALUE"""),44.0)</f>
        <v>44</v>
      </c>
      <c r="D432" s="8" t="str">
        <f>IFERROR(__xludf.DUMMYFUNCTION("""COMPUTED_VALUE"""),"Feminine and pretty")</f>
        <v>Feminine and pretty</v>
      </c>
      <c r="E432" s="8" t="str">
        <f>IFERROR(__xludf.DUMMYFUNCTION("""COMPUTED_VALUE"""),"This top is gorgeous and versatile. i wear it with jeans and dress it up with a skirt. so happy to have this in my wardrobe.")</f>
        <v>This top is gorgeous and versatile. i wear it with jeans and dress it up with a skirt. so happy to have this in my wardrobe.</v>
      </c>
      <c r="F432" s="8">
        <f>IFERROR(__xludf.DUMMYFUNCTION("""COMPUTED_VALUE"""),5.0)</f>
        <v>5</v>
      </c>
      <c r="G432" s="8">
        <f>IFERROR(__xludf.DUMMYFUNCTION("""COMPUTED_VALUE"""),1.0)</f>
        <v>1</v>
      </c>
      <c r="H432" s="8">
        <f>IFERROR(__xludf.DUMMYFUNCTION("""COMPUTED_VALUE"""),0.0)</f>
        <v>0</v>
      </c>
      <c r="I432" s="8" t="str">
        <f>IFERROR(__xludf.DUMMYFUNCTION("""COMPUTED_VALUE"""),"General")</f>
        <v>General</v>
      </c>
      <c r="J432" s="8" t="str">
        <f>IFERROR(__xludf.DUMMYFUNCTION("""COMPUTED_VALUE"""),"Tops")</f>
        <v>Tops</v>
      </c>
      <c r="K432" s="8" t="str">
        <f>IFERROR(__xludf.DUMMYFUNCTION("""COMPUTED_VALUE"""),"Blouses")</f>
        <v>Blouses</v>
      </c>
    </row>
    <row r="433">
      <c r="A433" s="8">
        <f>IFERROR(__xludf.DUMMYFUNCTION("""COMPUTED_VALUE"""),552.0)</f>
        <v>552</v>
      </c>
      <c r="B433" s="8">
        <f>IFERROR(__xludf.DUMMYFUNCTION("""COMPUTED_VALUE"""),984.0)</f>
        <v>984</v>
      </c>
      <c r="C433" s="8">
        <f>IFERROR(__xludf.DUMMYFUNCTION("""COMPUTED_VALUE"""),52.0)</f>
        <v>52</v>
      </c>
      <c r="D433" s="8"/>
      <c r="E433" s="8" t="str">
        <f>IFERROR(__xludf.DUMMYFUNCTION("""COMPUTED_VALUE"""),"The jacket is great, the quality is very good and the fit too, the best part is how it looks !")</f>
        <v>The jacket is great, the quality is very good and the fit too, the best part is how it looks !</v>
      </c>
      <c r="F433" s="8">
        <f>IFERROR(__xludf.DUMMYFUNCTION("""COMPUTED_VALUE"""),5.0)</f>
        <v>5</v>
      </c>
      <c r="G433" s="8">
        <f>IFERROR(__xludf.DUMMYFUNCTION("""COMPUTED_VALUE"""),1.0)</f>
        <v>1</v>
      </c>
      <c r="H433" s="8">
        <f>IFERROR(__xludf.DUMMYFUNCTION("""COMPUTED_VALUE"""),0.0)</f>
        <v>0</v>
      </c>
      <c r="I433" s="8" t="str">
        <f>IFERROR(__xludf.DUMMYFUNCTION("""COMPUTED_VALUE"""),"General")</f>
        <v>General</v>
      </c>
      <c r="J433" s="8" t="str">
        <f>IFERROR(__xludf.DUMMYFUNCTION("""COMPUTED_VALUE"""),"Jackets")</f>
        <v>Jackets</v>
      </c>
      <c r="K433" s="8" t="str">
        <f>IFERROR(__xludf.DUMMYFUNCTION("""COMPUTED_VALUE"""),"Jackets")</f>
        <v>Jackets</v>
      </c>
    </row>
    <row r="434">
      <c r="A434" s="8">
        <f>IFERROR(__xludf.DUMMYFUNCTION("""COMPUTED_VALUE"""),553.0)</f>
        <v>553</v>
      </c>
      <c r="B434" s="8">
        <f>IFERROR(__xludf.DUMMYFUNCTION("""COMPUTED_VALUE"""),850.0)</f>
        <v>850</v>
      </c>
      <c r="C434" s="8">
        <f>IFERROR(__xludf.DUMMYFUNCTION("""COMPUTED_VALUE"""),56.0)</f>
        <v>56</v>
      </c>
      <c r="D434" s="8" t="str">
        <f>IFERROR(__xludf.DUMMYFUNCTION("""COMPUTED_VALUE"""),"Runs large through the chest...")</f>
        <v>Runs large through the chest...</v>
      </c>
      <c r="E434" s="8" t="str">
        <f>IFERROR(__xludf.DUMMYFUNCTION("""COMPUTED_VALUE"""),"So pretty, but does run large. i am an 8-10 , got the 8 and big through the chest. had to return for this reason. if you are on the busty side it will look fab on you.")</f>
        <v>So pretty, but does run large. i am an 8-10 , got the 8 and big through the chest. had to return for this reason. if you are on the busty side it will look fab on you.</v>
      </c>
      <c r="F434" s="8">
        <f>IFERROR(__xludf.DUMMYFUNCTION("""COMPUTED_VALUE"""),4.0)</f>
        <v>4</v>
      </c>
      <c r="G434" s="8">
        <f>IFERROR(__xludf.DUMMYFUNCTION("""COMPUTED_VALUE"""),1.0)</f>
        <v>1</v>
      </c>
      <c r="H434" s="8">
        <f>IFERROR(__xludf.DUMMYFUNCTION("""COMPUTED_VALUE"""),0.0)</f>
        <v>0</v>
      </c>
      <c r="I434" s="8" t="str">
        <f>IFERROR(__xludf.DUMMYFUNCTION("""COMPUTED_VALUE"""),"General")</f>
        <v>General</v>
      </c>
      <c r="J434" s="8" t="str">
        <f>IFERROR(__xludf.DUMMYFUNCTION("""COMPUTED_VALUE"""),"Tops")</f>
        <v>Tops</v>
      </c>
      <c r="K434" s="8" t="str">
        <f>IFERROR(__xludf.DUMMYFUNCTION("""COMPUTED_VALUE"""),"Blouses")</f>
        <v>Blouses</v>
      </c>
    </row>
    <row r="435">
      <c r="A435" s="8">
        <f>IFERROR(__xludf.DUMMYFUNCTION("""COMPUTED_VALUE"""),554.0)</f>
        <v>554</v>
      </c>
      <c r="B435" s="8">
        <f>IFERROR(__xludf.DUMMYFUNCTION("""COMPUTED_VALUE"""),1078.0)</f>
        <v>1078</v>
      </c>
      <c r="C435" s="8">
        <f>IFERROR(__xludf.DUMMYFUNCTION("""COMPUTED_VALUE"""),45.0)</f>
        <v>45</v>
      </c>
      <c r="D435" s="8"/>
      <c r="E435" s="8"/>
      <c r="F435" s="8">
        <f>IFERROR(__xludf.DUMMYFUNCTION("""COMPUTED_VALUE"""),5.0)</f>
        <v>5</v>
      </c>
      <c r="G435" s="8">
        <f>IFERROR(__xludf.DUMMYFUNCTION("""COMPUTED_VALUE"""),1.0)</f>
        <v>1</v>
      </c>
      <c r="H435" s="8">
        <f>IFERROR(__xludf.DUMMYFUNCTION("""COMPUTED_VALUE"""),0.0)</f>
        <v>0</v>
      </c>
      <c r="I435" s="8" t="str">
        <f>IFERROR(__xludf.DUMMYFUNCTION("""COMPUTED_VALUE"""),"General")</f>
        <v>General</v>
      </c>
      <c r="J435" s="8" t="str">
        <f>IFERROR(__xludf.DUMMYFUNCTION("""COMPUTED_VALUE"""),"Dresses")</f>
        <v>Dresses</v>
      </c>
      <c r="K435" s="8" t="str">
        <f>IFERROR(__xludf.DUMMYFUNCTION("""COMPUTED_VALUE"""),"Dresses")</f>
        <v>Dresses</v>
      </c>
    </row>
    <row r="436">
      <c r="A436" s="8">
        <f>IFERROR(__xludf.DUMMYFUNCTION("""COMPUTED_VALUE"""),555.0)</f>
        <v>555</v>
      </c>
      <c r="B436" s="8">
        <f>IFERROR(__xludf.DUMMYFUNCTION("""COMPUTED_VALUE"""),984.0)</f>
        <v>984</v>
      </c>
      <c r="C436" s="8">
        <f>IFERROR(__xludf.DUMMYFUNCTION("""COMPUTED_VALUE"""),35.0)</f>
        <v>35</v>
      </c>
      <c r="D436" s="8" t="str">
        <f>IFERROR(__xludf.DUMMYFUNCTION("""COMPUTED_VALUE"""),"Love! my new favorite jacket!")</f>
        <v>Love! my new favorite jacket!</v>
      </c>
      <c r="E436" s="8" t="str">
        <f>IFERROR(__xludf.DUMMYFUNCTION("""COMPUTED_VALUE"""),"I was looking for a stylish spring/fall jacket and this one seemed to fit the bill. i was shocked by the quality and softness of the material and construction of this jacket. i could honestly not believe how comfortable and cute this felt and looked on me"&amp;". i can't wear it enough! i am a short 5'2"" but 36d and have 31"" waist so i ordered a size m and l to see which would work best. as it turned out the m fit with plenty of room! i am normally a 12/14 so i was surprised by this. if you are on the")</f>
        <v>I was looking for a stylish spring/fall jacket and this one seemed to fit the bill. i was shocked by the quality and softness of the material and construction of this jacket. i could honestly not believe how comfortable and cute this felt and looked on me. i can't wear it enough! i am a short 5'2" but 36d and have 31" waist so i ordered a size m and l to see which would work best. as it turned out the m fit with plenty of room! i am normally a 12/14 so i was surprised by this. if you are on the</v>
      </c>
      <c r="F436" s="8">
        <f>IFERROR(__xludf.DUMMYFUNCTION("""COMPUTED_VALUE"""),5.0)</f>
        <v>5</v>
      </c>
      <c r="G436" s="8">
        <f>IFERROR(__xludf.DUMMYFUNCTION("""COMPUTED_VALUE"""),1.0)</f>
        <v>1</v>
      </c>
      <c r="H436" s="8">
        <f>IFERROR(__xludf.DUMMYFUNCTION("""COMPUTED_VALUE"""),0.0)</f>
        <v>0</v>
      </c>
      <c r="I436" s="8" t="str">
        <f>IFERROR(__xludf.DUMMYFUNCTION("""COMPUTED_VALUE"""),"General")</f>
        <v>General</v>
      </c>
      <c r="J436" s="8" t="str">
        <f>IFERROR(__xludf.DUMMYFUNCTION("""COMPUTED_VALUE"""),"Jackets")</f>
        <v>Jackets</v>
      </c>
      <c r="K436" s="8" t="str">
        <f>IFERROR(__xludf.DUMMYFUNCTION("""COMPUTED_VALUE"""),"Jackets")</f>
        <v>Jackets</v>
      </c>
    </row>
    <row r="437">
      <c r="A437" s="8">
        <f>IFERROR(__xludf.DUMMYFUNCTION("""COMPUTED_VALUE"""),556.0)</f>
        <v>556</v>
      </c>
      <c r="B437" s="8">
        <f>IFERROR(__xludf.DUMMYFUNCTION("""COMPUTED_VALUE"""),831.0)</f>
        <v>831</v>
      </c>
      <c r="C437" s="8">
        <f>IFERROR(__xludf.DUMMYFUNCTION("""COMPUTED_VALUE"""),38.0)</f>
        <v>38</v>
      </c>
      <c r="D437" s="8" t="str">
        <f>IFERROR(__xludf.DUMMYFUNCTION("""COMPUTED_VALUE"""),"Lovely blouse!")</f>
        <v>Lovely blouse!</v>
      </c>
      <c r="E437" s="8" t="str">
        <f>IFERROR(__xludf.DUMMYFUNCTION("""COMPUTED_VALUE"""),"Love the detail and the way it hangs. i sometimes struggle with blousy tops because i have a larger chest, but this one didn't make me look pregnant! i purchased this with the 30% off... i wouldn't have paid full price for it.")</f>
        <v>Love the detail and the way it hangs. i sometimes struggle with blousy tops because i have a larger chest, but this one didn't make me look pregnant! i purchased this with the 30% off... i wouldn't have paid full price for it.</v>
      </c>
      <c r="F437" s="8">
        <f>IFERROR(__xludf.DUMMYFUNCTION("""COMPUTED_VALUE"""),4.0)</f>
        <v>4</v>
      </c>
      <c r="G437" s="8">
        <f>IFERROR(__xludf.DUMMYFUNCTION("""COMPUTED_VALUE"""),1.0)</f>
        <v>1</v>
      </c>
      <c r="H437" s="8">
        <f>IFERROR(__xludf.DUMMYFUNCTION("""COMPUTED_VALUE"""),0.0)</f>
        <v>0</v>
      </c>
      <c r="I437" s="8" t="str">
        <f>IFERROR(__xludf.DUMMYFUNCTION("""COMPUTED_VALUE"""),"General")</f>
        <v>General</v>
      </c>
      <c r="J437" s="8" t="str">
        <f>IFERROR(__xludf.DUMMYFUNCTION("""COMPUTED_VALUE"""),"Tops")</f>
        <v>Tops</v>
      </c>
      <c r="K437" s="8" t="str">
        <f>IFERROR(__xludf.DUMMYFUNCTION("""COMPUTED_VALUE"""),"Blouses")</f>
        <v>Blouses</v>
      </c>
    </row>
    <row r="438">
      <c r="A438" s="8">
        <f>IFERROR(__xludf.DUMMYFUNCTION("""COMPUTED_VALUE"""),557.0)</f>
        <v>557</v>
      </c>
      <c r="B438" s="8">
        <f>IFERROR(__xludf.DUMMYFUNCTION("""COMPUTED_VALUE"""),1086.0)</f>
        <v>1086</v>
      </c>
      <c r="C438" s="8">
        <f>IFERROR(__xludf.DUMMYFUNCTION("""COMPUTED_VALUE"""),32.0)</f>
        <v>32</v>
      </c>
      <c r="D438" s="8" t="str">
        <f>IFERROR(__xludf.DUMMYFUNCTION("""COMPUTED_VALUE"""),"Love the lace detail")</f>
        <v>Love the lace detail</v>
      </c>
      <c r="E438" s="8" t="str">
        <f>IFERROR(__xludf.DUMMYFUNCTION("""COMPUTED_VALUE"""),"I really wanted this to work. for me the arm cutout was too wide. a cap or lace flutter sleeve would've worked . also expected a little more length felt like the petite length.")</f>
        <v>I really wanted this to work. for me the arm cutout was too wide. a cap or lace flutter sleeve would've worked . also expected a little more length felt like the petite length.</v>
      </c>
      <c r="F438" s="8">
        <f>IFERROR(__xludf.DUMMYFUNCTION("""COMPUTED_VALUE"""),4.0)</f>
        <v>4</v>
      </c>
      <c r="G438" s="8">
        <f>IFERROR(__xludf.DUMMYFUNCTION("""COMPUTED_VALUE"""),1.0)</f>
        <v>1</v>
      </c>
      <c r="H438" s="8">
        <f>IFERROR(__xludf.DUMMYFUNCTION("""COMPUTED_VALUE"""),0.0)</f>
        <v>0</v>
      </c>
      <c r="I438" s="8" t="str">
        <f>IFERROR(__xludf.DUMMYFUNCTION("""COMPUTED_VALUE"""),"General")</f>
        <v>General</v>
      </c>
      <c r="J438" s="8" t="str">
        <f>IFERROR(__xludf.DUMMYFUNCTION("""COMPUTED_VALUE"""),"Dresses")</f>
        <v>Dresses</v>
      </c>
      <c r="K438" s="8" t="str">
        <f>IFERROR(__xludf.DUMMYFUNCTION("""COMPUTED_VALUE"""),"Dresses")</f>
        <v>Dresses</v>
      </c>
    </row>
    <row r="439">
      <c r="A439" s="8">
        <f>IFERROR(__xludf.DUMMYFUNCTION("""COMPUTED_VALUE"""),558.0)</f>
        <v>558</v>
      </c>
      <c r="B439" s="8">
        <f>IFERROR(__xludf.DUMMYFUNCTION("""COMPUTED_VALUE"""),1044.0)</f>
        <v>1044</v>
      </c>
      <c r="C439" s="8">
        <f>IFERROR(__xludf.DUMMYFUNCTION("""COMPUTED_VALUE"""),39.0)</f>
        <v>39</v>
      </c>
      <c r="D439" s="8"/>
      <c r="E439" s="8" t="str">
        <f>IFERROR(__xludf.DUMMYFUNCTION("""COMPUTED_VALUE"""),"I just received these pants and i am very pleased.  they are a little longer than i expected them to be, but that actually works out well because now i can wear them to the office.")</f>
        <v>I just received these pants and i am very pleased.  they are a little longer than i expected them to be, but that actually works out well because now i can wear them to the office.</v>
      </c>
      <c r="F439" s="8">
        <f>IFERROR(__xludf.DUMMYFUNCTION("""COMPUTED_VALUE"""),5.0)</f>
        <v>5</v>
      </c>
      <c r="G439" s="8">
        <f>IFERROR(__xludf.DUMMYFUNCTION("""COMPUTED_VALUE"""),1.0)</f>
        <v>1</v>
      </c>
      <c r="H439" s="8">
        <f>IFERROR(__xludf.DUMMYFUNCTION("""COMPUTED_VALUE"""),0.0)</f>
        <v>0</v>
      </c>
      <c r="I439" s="8" t="str">
        <f>IFERROR(__xludf.DUMMYFUNCTION("""COMPUTED_VALUE"""),"General Petite")</f>
        <v>General Petite</v>
      </c>
      <c r="J439" s="8" t="str">
        <f>IFERROR(__xludf.DUMMYFUNCTION("""COMPUTED_VALUE"""),"Bottoms")</f>
        <v>Bottoms</v>
      </c>
      <c r="K439" s="8" t="str">
        <f>IFERROR(__xludf.DUMMYFUNCTION("""COMPUTED_VALUE"""),"Pants")</f>
        <v>Pants</v>
      </c>
    </row>
    <row r="440">
      <c r="A440" s="8">
        <f>IFERROR(__xludf.DUMMYFUNCTION("""COMPUTED_VALUE"""),559.0)</f>
        <v>559</v>
      </c>
      <c r="B440" s="8">
        <f>IFERROR(__xludf.DUMMYFUNCTION("""COMPUTED_VALUE"""),820.0)</f>
        <v>820</v>
      </c>
      <c r="C440" s="8">
        <f>IFERROR(__xludf.DUMMYFUNCTION("""COMPUTED_VALUE"""),32.0)</f>
        <v>32</v>
      </c>
      <c r="D440" s="8" t="str">
        <f>IFERROR(__xludf.DUMMYFUNCTION("""COMPUTED_VALUE"""),"Cute")</f>
        <v>Cute</v>
      </c>
      <c r="E440" s="8" t="str">
        <f>IFERROR(__xludf.DUMMYFUNCTION("""COMPUTED_VALUE"""),"Cute and pretty, runs a little wide and short, just slightly. i feel like i have that issue with all retailer clothes though. love the back.")</f>
        <v>Cute and pretty, runs a little wide and short, just slightly. i feel like i have that issue with all retailer clothes though. love the back.</v>
      </c>
      <c r="F440" s="8">
        <f>IFERROR(__xludf.DUMMYFUNCTION("""COMPUTED_VALUE"""),4.0)</f>
        <v>4</v>
      </c>
      <c r="G440" s="8">
        <f>IFERROR(__xludf.DUMMYFUNCTION("""COMPUTED_VALUE"""),1.0)</f>
        <v>1</v>
      </c>
      <c r="H440" s="8">
        <f>IFERROR(__xludf.DUMMYFUNCTION("""COMPUTED_VALUE"""),0.0)</f>
        <v>0</v>
      </c>
      <c r="I440" s="8" t="str">
        <f>IFERROR(__xludf.DUMMYFUNCTION("""COMPUTED_VALUE"""),"General")</f>
        <v>General</v>
      </c>
      <c r="J440" s="8" t="str">
        <f>IFERROR(__xludf.DUMMYFUNCTION("""COMPUTED_VALUE"""),"Tops")</f>
        <v>Tops</v>
      </c>
      <c r="K440" s="8" t="str">
        <f>IFERROR(__xludf.DUMMYFUNCTION("""COMPUTED_VALUE"""),"Blouses")</f>
        <v>Blouses</v>
      </c>
    </row>
    <row r="441">
      <c r="A441" s="8">
        <f>IFERROR(__xludf.DUMMYFUNCTION("""COMPUTED_VALUE"""),560.0)</f>
        <v>560</v>
      </c>
      <c r="B441" s="8">
        <f>IFERROR(__xludf.DUMMYFUNCTION("""COMPUTED_VALUE"""),1094.0)</f>
        <v>1094</v>
      </c>
      <c r="C441" s="8">
        <f>IFERROR(__xludf.DUMMYFUNCTION("""COMPUTED_VALUE"""),35.0)</f>
        <v>35</v>
      </c>
      <c r="D441" s="8" t="str">
        <f>IFERROR(__xludf.DUMMYFUNCTION("""COMPUTED_VALUE"""),"Gorgeous dress")</f>
        <v>Gorgeous dress</v>
      </c>
      <c r="E441" s="8" t="str">
        <f>IFERROR(__xludf.DUMMYFUNCTION("""COMPUTED_VALUE"""),"I was hoping this would go on sale and now it finally has! i loved this dress just as much in person as i have online. the fabric is interesting-it looks almost plastic in the online pictures but don't be fooled, it is still a comfortable fabric. it is al"&amp;"most like lots of diamond pieces were actually sewn together to make this dress and i love it. there is a sipper down the side to make it easier to get into, but also in the back there is bunched up fabric which is made to be ore bendable for th")</f>
        <v>I was hoping this would go on sale and now it finally has! i loved this dress just as much in person as i have online. the fabric is interesting-it looks almost plastic in the online pictures but don't be fooled, it is still a comfortable fabric. it is almost like lots of diamond pieces were actually sewn together to make this dress and i love it. there is a sipper down the side to make it easier to get into, but also in the back there is bunched up fabric which is made to be ore bendable for th</v>
      </c>
      <c r="F441" s="8">
        <f>IFERROR(__xludf.DUMMYFUNCTION("""COMPUTED_VALUE"""),5.0)</f>
        <v>5</v>
      </c>
      <c r="G441" s="8">
        <f>IFERROR(__xludf.DUMMYFUNCTION("""COMPUTED_VALUE"""),1.0)</f>
        <v>1</v>
      </c>
      <c r="H441" s="8">
        <f>IFERROR(__xludf.DUMMYFUNCTION("""COMPUTED_VALUE"""),2.0)</f>
        <v>2</v>
      </c>
      <c r="I441" s="8" t="str">
        <f>IFERROR(__xludf.DUMMYFUNCTION("""COMPUTED_VALUE"""),"General")</f>
        <v>General</v>
      </c>
      <c r="J441" s="8" t="str">
        <f>IFERROR(__xludf.DUMMYFUNCTION("""COMPUTED_VALUE"""),"Dresses")</f>
        <v>Dresses</v>
      </c>
      <c r="K441" s="8" t="str">
        <f>IFERROR(__xludf.DUMMYFUNCTION("""COMPUTED_VALUE"""),"Dresses")</f>
        <v>Dresses</v>
      </c>
    </row>
    <row r="442">
      <c r="A442" s="8">
        <f>IFERROR(__xludf.DUMMYFUNCTION("""COMPUTED_VALUE"""),561.0)</f>
        <v>561</v>
      </c>
      <c r="B442" s="8">
        <f>IFERROR(__xludf.DUMMYFUNCTION("""COMPUTED_VALUE"""),1094.0)</f>
        <v>1094</v>
      </c>
      <c r="C442" s="8">
        <f>IFERROR(__xludf.DUMMYFUNCTION("""COMPUTED_VALUE"""),34.0)</f>
        <v>34</v>
      </c>
      <c r="D442" s="8" t="str">
        <f>IFERROR(__xludf.DUMMYFUNCTION("""COMPUTED_VALUE"""),"A must buy!!")</f>
        <v>A must buy!!</v>
      </c>
      <c r="E442" s="8" t="str">
        <f>IFERROR(__xludf.DUMMYFUNCTION("""COMPUTED_VALUE"""),"I tried this dress on and felt amazing in it.  i got home and showed my husband my purchases.  i told him i wasn't sure if i should have bought this one and told him to be honest with me.  he said it looked great and he was glad i bought it.  so great for"&amp;" a spring wedding. fits true to size.  i am 125 5'4"" c-cup and i bought my normal size 0.  this made my waist look really small.")</f>
        <v>I tried this dress on and felt amazing in it.  i got home and showed my husband my purchases.  i told him i wasn't sure if i should have bought this one and told him to be honest with me.  he said it looked great and he was glad i bought it.  so great for a spring wedding. fits true to size.  i am 125 5'4" c-cup and i bought my normal size 0.  this made my waist look really small.</v>
      </c>
      <c r="F442" s="8">
        <f>IFERROR(__xludf.DUMMYFUNCTION("""COMPUTED_VALUE"""),5.0)</f>
        <v>5</v>
      </c>
      <c r="G442" s="8">
        <f>IFERROR(__xludf.DUMMYFUNCTION("""COMPUTED_VALUE"""),1.0)</f>
        <v>1</v>
      </c>
      <c r="H442" s="8">
        <f>IFERROR(__xludf.DUMMYFUNCTION("""COMPUTED_VALUE"""),0.0)</f>
        <v>0</v>
      </c>
      <c r="I442" s="8" t="str">
        <f>IFERROR(__xludf.DUMMYFUNCTION("""COMPUTED_VALUE"""),"General")</f>
        <v>General</v>
      </c>
      <c r="J442" s="8" t="str">
        <f>IFERROR(__xludf.DUMMYFUNCTION("""COMPUTED_VALUE"""),"Dresses")</f>
        <v>Dresses</v>
      </c>
      <c r="K442" s="8" t="str">
        <f>IFERROR(__xludf.DUMMYFUNCTION("""COMPUTED_VALUE"""),"Dresses")</f>
        <v>Dresses</v>
      </c>
    </row>
    <row r="443">
      <c r="A443" s="8">
        <f>IFERROR(__xludf.DUMMYFUNCTION("""COMPUTED_VALUE"""),562.0)</f>
        <v>562</v>
      </c>
      <c r="B443" s="8">
        <f>IFERROR(__xludf.DUMMYFUNCTION("""COMPUTED_VALUE"""),995.0)</f>
        <v>995</v>
      </c>
      <c r="C443" s="8">
        <f>IFERROR(__xludf.DUMMYFUNCTION("""COMPUTED_VALUE"""),48.0)</f>
        <v>48</v>
      </c>
      <c r="D443" s="8"/>
      <c r="E443" s="8"/>
      <c r="F443" s="8">
        <f>IFERROR(__xludf.DUMMYFUNCTION("""COMPUTED_VALUE"""),5.0)</f>
        <v>5</v>
      </c>
      <c r="G443" s="8">
        <f>IFERROR(__xludf.DUMMYFUNCTION("""COMPUTED_VALUE"""),1.0)</f>
        <v>1</v>
      </c>
      <c r="H443" s="8">
        <f>IFERROR(__xludf.DUMMYFUNCTION("""COMPUTED_VALUE"""),0.0)</f>
        <v>0</v>
      </c>
      <c r="I443" s="8" t="str">
        <f>IFERROR(__xludf.DUMMYFUNCTION("""COMPUTED_VALUE"""),"General")</f>
        <v>General</v>
      </c>
      <c r="J443" s="8" t="str">
        <f>IFERROR(__xludf.DUMMYFUNCTION("""COMPUTED_VALUE"""),"Bottoms")</f>
        <v>Bottoms</v>
      </c>
      <c r="K443" s="8" t="str">
        <f>IFERROR(__xludf.DUMMYFUNCTION("""COMPUTED_VALUE"""),"Skirts")</f>
        <v>Skirts</v>
      </c>
    </row>
    <row r="444">
      <c r="A444" s="8">
        <f>IFERROR(__xludf.DUMMYFUNCTION("""COMPUTED_VALUE"""),563.0)</f>
        <v>563</v>
      </c>
      <c r="B444" s="8">
        <f>IFERROR(__xludf.DUMMYFUNCTION("""COMPUTED_VALUE"""),1094.0)</f>
        <v>1094</v>
      </c>
      <c r="C444" s="8">
        <f>IFERROR(__xludf.DUMMYFUNCTION("""COMPUTED_VALUE"""),36.0)</f>
        <v>36</v>
      </c>
      <c r="D444" s="8" t="str">
        <f>IFERROR(__xludf.DUMMYFUNCTION("""COMPUTED_VALUE"""),"Prety dress that fits true to size")</f>
        <v>Prety dress that fits true to size</v>
      </c>
      <c r="E444" s="8" t="str">
        <f>IFERROR(__xludf.DUMMYFUNCTION("""COMPUTED_VALUE"""),"Wow the mixed reviews on this dress would make someone not get it at all.
it is true to size. i'm a 6 and the six fit as a glove on me.
the material is not at all stiff. i actually wished it was a bit more structured. but that didn't bother me.
i was able"&amp;" to close the zipper by myself.
i'm 5'7"" 144lb 36a.
the top feels confortable to me as well. i don't considered myself curve like jlo but i have hips. the dress does not make me feel bigger at all.
the only down side is that it looks more expens")</f>
        <v>Wow the mixed reviews on this dress would make someone not get it at all.
it is true to size. i'm a 6 and the six fit as a glove on me.
the material is not at all stiff. i actually wished it was a bit more structured. but that didn't bother me.
i was able to close the zipper by myself.
i'm 5'7" 144lb 36a.
the top feels confortable to me as well. i don't considered myself curve like jlo but i have hips. the dress does not make me feel bigger at all.
the only down side is that it looks more expens</v>
      </c>
      <c r="F444" s="8">
        <f>IFERROR(__xludf.DUMMYFUNCTION("""COMPUTED_VALUE"""),4.0)</f>
        <v>4</v>
      </c>
      <c r="G444" s="8">
        <f>IFERROR(__xludf.DUMMYFUNCTION("""COMPUTED_VALUE"""),1.0)</f>
        <v>1</v>
      </c>
      <c r="H444" s="8">
        <f>IFERROR(__xludf.DUMMYFUNCTION("""COMPUTED_VALUE"""),1.0)</f>
        <v>1</v>
      </c>
      <c r="I444" s="8" t="str">
        <f>IFERROR(__xludf.DUMMYFUNCTION("""COMPUTED_VALUE"""),"General")</f>
        <v>General</v>
      </c>
      <c r="J444" s="8" t="str">
        <f>IFERROR(__xludf.DUMMYFUNCTION("""COMPUTED_VALUE"""),"Dresses")</f>
        <v>Dresses</v>
      </c>
      <c r="K444" s="8" t="str">
        <f>IFERROR(__xludf.DUMMYFUNCTION("""COMPUTED_VALUE"""),"Dresses")</f>
        <v>Dresses</v>
      </c>
    </row>
    <row r="445">
      <c r="A445" s="8">
        <f>IFERROR(__xludf.DUMMYFUNCTION("""COMPUTED_VALUE"""),564.0)</f>
        <v>564</v>
      </c>
      <c r="B445" s="8">
        <f>IFERROR(__xludf.DUMMYFUNCTION("""COMPUTED_VALUE"""),1060.0)</f>
        <v>1060</v>
      </c>
      <c r="C445" s="8">
        <f>IFERROR(__xludf.DUMMYFUNCTION("""COMPUTED_VALUE"""),40.0)</f>
        <v>40</v>
      </c>
      <c r="D445" s="8" t="str">
        <f>IFERROR(__xludf.DUMMYFUNCTION("""COMPUTED_VALUE"""),"Very nice, just as pictured")</f>
        <v>Very nice, just as pictured</v>
      </c>
      <c r="E445" s="8" t="str">
        <f>IFERROR(__xludf.DUMMYFUNCTION("""COMPUTED_VALUE"""),"This is a very nice jumpsuit; reviewers were correct stating that torso is long &amp; fit better a taller person. as soon as i read the reviews i went on and placed an order for size 8, i'm 6ft tall 160lb and it has been very difficult to find a jumpsuit to f"&amp;"it my long torso. this one however turned out to be perfect! true to size and fit, not only that, the fabric is very soft and good quality, very interesting style of the jumpsuit, looks much better in person! i particularly liked cropped, wide-l")</f>
        <v>This is a very nice jumpsuit; reviewers were correct stating that torso is long &amp; fit better a taller person. as soon as i read the reviews i went on and placed an order for size 8, i'm 6ft tall 160lb and it has been very difficult to find a jumpsuit to fit my long torso. this one however turned out to be perfect! true to size and fit, not only that, the fabric is very soft and good quality, very interesting style of the jumpsuit, looks much better in person! i particularly liked cropped, wide-l</v>
      </c>
      <c r="F445" s="8">
        <f>IFERROR(__xludf.DUMMYFUNCTION("""COMPUTED_VALUE"""),5.0)</f>
        <v>5</v>
      </c>
      <c r="G445" s="8">
        <f>IFERROR(__xludf.DUMMYFUNCTION("""COMPUTED_VALUE"""),1.0)</f>
        <v>1</v>
      </c>
      <c r="H445" s="8">
        <f>IFERROR(__xludf.DUMMYFUNCTION("""COMPUTED_VALUE"""),0.0)</f>
        <v>0</v>
      </c>
      <c r="I445" s="8" t="str">
        <f>IFERROR(__xludf.DUMMYFUNCTION("""COMPUTED_VALUE"""),"General")</f>
        <v>General</v>
      </c>
      <c r="J445" s="8" t="str">
        <f>IFERROR(__xludf.DUMMYFUNCTION("""COMPUTED_VALUE"""),"Bottoms")</f>
        <v>Bottoms</v>
      </c>
      <c r="K445" s="8" t="str">
        <f>IFERROR(__xludf.DUMMYFUNCTION("""COMPUTED_VALUE"""),"Pants")</f>
        <v>Pants</v>
      </c>
    </row>
    <row r="446">
      <c r="A446" s="8">
        <f>IFERROR(__xludf.DUMMYFUNCTION("""COMPUTED_VALUE"""),566.0)</f>
        <v>566</v>
      </c>
      <c r="B446" s="8">
        <f>IFERROR(__xludf.DUMMYFUNCTION("""COMPUTED_VALUE"""),1037.0)</f>
        <v>1037</v>
      </c>
      <c r="C446" s="8">
        <f>IFERROR(__xludf.DUMMYFUNCTION("""COMPUTED_VALUE"""),41.0)</f>
        <v>41</v>
      </c>
      <c r="D446" s="8" t="str">
        <f>IFERROR(__xludf.DUMMYFUNCTION("""COMPUTED_VALUE"""),"Glad i took a chance on these!")</f>
        <v>Glad i took a chance on these!</v>
      </c>
      <c r="E446" s="8" t="str">
        <f>IFERROR(__xludf.DUMMYFUNCTION("""COMPUTED_VALUE"""),"A nice alternative to jeans, good fit. i like the casual but edgy rocker look they have. will look good with booties and full length boots. i took the same size that i do in all pilcro pants.")</f>
        <v>A nice alternative to jeans, good fit. i like the casual but edgy rocker look they have. will look good with booties and full length boots. i took the same size that i do in all pilcro pants.</v>
      </c>
      <c r="F446" s="8">
        <f>IFERROR(__xludf.DUMMYFUNCTION("""COMPUTED_VALUE"""),4.0)</f>
        <v>4</v>
      </c>
      <c r="G446" s="8">
        <f>IFERROR(__xludf.DUMMYFUNCTION("""COMPUTED_VALUE"""),1.0)</f>
        <v>1</v>
      </c>
      <c r="H446" s="8">
        <f>IFERROR(__xludf.DUMMYFUNCTION("""COMPUTED_VALUE"""),0.0)</f>
        <v>0</v>
      </c>
      <c r="I446" s="8" t="str">
        <f>IFERROR(__xludf.DUMMYFUNCTION("""COMPUTED_VALUE"""),"General Petite")</f>
        <v>General Petite</v>
      </c>
      <c r="J446" s="8" t="str">
        <f>IFERROR(__xludf.DUMMYFUNCTION("""COMPUTED_VALUE"""),"Bottoms")</f>
        <v>Bottoms</v>
      </c>
      <c r="K446" s="8" t="str">
        <f>IFERROR(__xludf.DUMMYFUNCTION("""COMPUTED_VALUE"""),"Jeans")</f>
        <v>Jeans</v>
      </c>
    </row>
    <row r="447">
      <c r="A447" s="8">
        <f>IFERROR(__xludf.DUMMYFUNCTION("""COMPUTED_VALUE"""),567.0)</f>
        <v>567</v>
      </c>
      <c r="B447" s="8">
        <f>IFERROR(__xludf.DUMMYFUNCTION("""COMPUTED_VALUE"""),875.0)</f>
        <v>875</v>
      </c>
      <c r="C447" s="8">
        <f>IFERROR(__xludf.DUMMYFUNCTION("""COMPUTED_VALUE"""),33.0)</f>
        <v>33</v>
      </c>
      <c r="D447" s="8" t="str">
        <f>IFERROR(__xludf.DUMMYFUNCTION("""COMPUTED_VALUE"""),"Adorable top!!")</f>
        <v>Adorable top!!</v>
      </c>
      <c r="E447" s="8" t="str">
        <f>IFERROR(__xludf.DUMMYFUNCTION("""COMPUTED_VALUE"""),"I love , love this top !! it looks just like the picture on model. the front is a soft t-shirt and the back is so cute and flattering . super unique and comfortable style.!! i am 5'4 -105 and xs fits perfect.")</f>
        <v>I love , love this top !! it looks just like the picture on model. the front is a soft t-shirt and the back is so cute and flattering . super unique and comfortable style.!! i am 5'4 -105 and xs fits perfect.</v>
      </c>
      <c r="F447" s="8">
        <f>IFERROR(__xludf.DUMMYFUNCTION("""COMPUTED_VALUE"""),5.0)</f>
        <v>5</v>
      </c>
      <c r="G447" s="8">
        <f>IFERROR(__xludf.DUMMYFUNCTION("""COMPUTED_VALUE"""),1.0)</f>
        <v>1</v>
      </c>
      <c r="H447" s="8">
        <f>IFERROR(__xludf.DUMMYFUNCTION("""COMPUTED_VALUE"""),2.0)</f>
        <v>2</v>
      </c>
      <c r="I447" s="8" t="str">
        <f>IFERROR(__xludf.DUMMYFUNCTION("""COMPUTED_VALUE"""),"General")</f>
        <v>General</v>
      </c>
      <c r="J447" s="8" t="str">
        <f>IFERROR(__xludf.DUMMYFUNCTION("""COMPUTED_VALUE"""),"Tops")</f>
        <v>Tops</v>
      </c>
      <c r="K447" s="8" t="str">
        <f>IFERROR(__xludf.DUMMYFUNCTION("""COMPUTED_VALUE"""),"Knits")</f>
        <v>Knits</v>
      </c>
    </row>
    <row r="448">
      <c r="A448" s="8">
        <f>IFERROR(__xludf.DUMMYFUNCTION("""COMPUTED_VALUE"""),568.0)</f>
        <v>568</v>
      </c>
      <c r="B448" s="8">
        <f>IFERROR(__xludf.DUMMYFUNCTION("""COMPUTED_VALUE"""),875.0)</f>
        <v>875</v>
      </c>
      <c r="C448" s="8">
        <f>IFERROR(__xludf.DUMMYFUNCTION("""COMPUTED_VALUE"""),33.0)</f>
        <v>33</v>
      </c>
      <c r="D448" s="8" t="str">
        <f>IFERROR(__xludf.DUMMYFUNCTION("""COMPUTED_VALUE"""),"Cute top!")</f>
        <v>Cute top!</v>
      </c>
      <c r="E448" s="8" t="str">
        <f>IFERROR(__xludf.DUMMYFUNCTION("""COMPUTED_VALUE"""),"This is a very cute and unique top!! i absolutely love the back, which makes up for my indifference of the front. i'm a little heavier in the middle, so it hides it a bit, but the light blue from the back that shows on the sides makes me feel a little wid"&amp;"er. it's not perfect, but i like it enough to keep it. i got lots of compliments on it when i wore it. it's very comfortable too. i just wish the front had a little more to it or was a tad longer. overall very happy.")</f>
        <v>This is a very cute and unique top!! i absolutely love the back, which makes up for my indifference of the front. i'm a little heavier in the middle, so it hides it a bit, but the light blue from the back that shows on the sides makes me feel a little wider. it's not perfect, but i like it enough to keep it. i got lots of compliments on it when i wore it. it's very comfortable too. i just wish the front had a little more to it or was a tad longer. overall very happy.</v>
      </c>
      <c r="F448" s="8">
        <f>IFERROR(__xludf.DUMMYFUNCTION("""COMPUTED_VALUE"""),4.0)</f>
        <v>4</v>
      </c>
      <c r="G448" s="8">
        <f>IFERROR(__xludf.DUMMYFUNCTION("""COMPUTED_VALUE"""),1.0)</f>
        <v>1</v>
      </c>
      <c r="H448" s="8">
        <f>IFERROR(__xludf.DUMMYFUNCTION("""COMPUTED_VALUE"""),3.0)</f>
        <v>3</v>
      </c>
      <c r="I448" s="8" t="str">
        <f>IFERROR(__xludf.DUMMYFUNCTION("""COMPUTED_VALUE"""),"General")</f>
        <v>General</v>
      </c>
      <c r="J448" s="8" t="str">
        <f>IFERROR(__xludf.DUMMYFUNCTION("""COMPUTED_VALUE"""),"Tops")</f>
        <v>Tops</v>
      </c>
      <c r="K448" s="8" t="str">
        <f>IFERROR(__xludf.DUMMYFUNCTION("""COMPUTED_VALUE"""),"Knits")</f>
        <v>Knits</v>
      </c>
    </row>
    <row r="449">
      <c r="A449" s="8">
        <f>IFERROR(__xludf.DUMMYFUNCTION("""COMPUTED_VALUE"""),569.0)</f>
        <v>569</v>
      </c>
      <c r="B449" s="8">
        <f>IFERROR(__xludf.DUMMYFUNCTION("""COMPUTED_VALUE"""),820.0)</f>
        <v>820</v>
      </c>
      <c r="C449" s="8">
        <f>IFERROR(__xludf.DUMMYFUNCTION("""COMPUTED_VALUE"""),39.0)</f>
        <v>39</v>
      </c>
      <c r="D449" s="8" t="str">
        <f>IFERROR(__xludf.DUMMYFUNCTION("""COMPUTED_VALUE"""),"Love")</f>
        <v>Love</v>
      </c>
      <c r="E449" s="8" t="str">
        <f>IFERROR(__xludf.DUMMYFUNCTION("""COMPUTED_VALUE"""),"This top is so lovely, i was worried of the color on my pale skin, but it is complementary, nice warm tones. yes, it is a tank, but i can see this as a transition piece into fall with a nice blazer, jeans, boots... the xs regular is perfect for me, length"&amp;" is adequate. if i were to go with petite, i might think it is too short. it is flowy, but still has shape, more than a swing top, so very flattering. the back is really cute too, definitely need a strapless for me, due to the thin straps...")</f>
        <v>This top is so lovely, i was worried of the color on my pale skin, but it is complementary, nice warm tones. yes, it is a tank, but i can see this as a transition piece into fall with a nice blazer, jeans, boots... the xs regular is perfect for me, length is adequate. if i were to go with petite, i might think it is too short. it is flowy, but still has shape, more than a swing top, so very flattering. the back is really cute too, definitely need a strapless for me, due to the thin straps...</v>
      </c>
      <c r="F449" s="8">
        <f>IFERROR(__xludf.DUMMYFUNCTION("""COMPUTED_VALUE"""),5.0)</f>
        <v>5</v>
      </c>
      <c r="G449" s="8">
        <f>IFERROR(__xludf.DUMMYFUNCTION("""COMPUTED_VALUE"""),1.0)</f>
        <v>1</v>
      </c>
      <c r="H449" s="8">
        <f>IFERROR(__xludf.DUMMYFUNCTION("""COMPUTED_VALUE"""),3.0)</f>
        <v>3</v>
      </c>
      <c r="I449" s="8" t="str">
        <f>IFERROR(__xludf.DUMMYFUNCTION("""COMPUTED_VALUE"""),"General")</f>
        <v>General</v>
      </c>
      <c r="J449" s="8" t="str">
        <f>IFERROR(__xludf.DUMMYFUNCTION("""COMPUTED_VALUE"""),"Tops")</f>
        <v>Tops</v>
      </c>
      <c r="K449" s="8" t="str">
        <f>IFERROR(__xludf.DUMMYFUNCTION("""COMPUTED_VALUE"""),"Blouses")</f>
        <v>Blouses</v>
      </c>
    </row>
    <row r="450">
      <c r="A450" s="8">
        <f>IFERROR(__xludf.DUMMYFUNCTION("""COMPUTED_VALUE"""),570.0)</f>
        <v>570</v>
      </c>
      <c r="B450" s="8">
        <f>IFERROR(__xludf.DUMMYFUNCTION("""COMPUTED_VALUE"""),1037.0)</f>
        <v>1037</v>
      </c>
      <c r="C450" s="8">
        <f>IFERROR(__xludf.DUMMYFUNCTION("""COMPUTED_VALUE"""),54.0)</f>
        <v>54</v>
      </c>
      <c r="D450" s="8" t="str">
        <f>IFERROR(__xludf.DUMMYFUNCTION("""COMPUTED_VALUE"""),"Comfortable and unique")</f>
        <v>Comfortable and unique</v>
      </c>
      <c r="E450" s="8" t="str">
        <f>IFERROR(__xludf.DUMMYFUNCTION("""COMPUTED_VALUE"""),"Great pants, like the edginess of the design in the material. kinda rocker like. soft material that's stretchy and hopefully will hold its shape during the day. the color is listed as black but it's more of a dark gray with a slight blue hint.")</f>
        <v>Great pants, like the edginess of the design in the material. kinda rocker like. soft material that's stretchy and hopefully will hold its shape during the day. the color is listed as black but it's more of a dark gray with a slight blue hint.</v>
      </c>
      <c r="F450" s="8">
        <f>IFERROR(__xludf.DUMMYFUNCTION("""COMPUTED_VALUE"""),4.0)</f>
        <v>4</v>
      </c>
      <c r="G450" s="8">
        <f>IFERROR(__xludf.DUMMYFUNCTION("""COMPUTED_VALUE"""),1.0)</f>
        <v>1</v>
      </c>
      <c r="H450" s="8">
        <f>IFERROR(__xludf.DUMMYFUNCTION("""COMPUTED_VALUE"""),4.0)</f>
        <v>4</v>
      </c>
      <c r="I450" s="8" t="str">
        <f>IFERROR(__xludf.DUMMYFUNCTION("""COMPUTED_VALUE"""),"General Petite")</f>
        <v>General Petite</v>
      </c>
      <c r="J450" s="8" t="str">
        <f>IFERROR(__xludf.DUMMYFUNCTION("""COMPUTED_VALUE"""),"Bottoms")</f>
        <v>Bottoms</v>
      </c>
      <c r="K450" s="8" t="str">
        <f>IFERROR(__xludf.DUMMYFUNCTION("""COMPUTED_VALUE"""),"Jeans")</f>
        <v>Jeans</v>
      </c>
    </row>
    <row r="451">
      <c r="A451" s="8">
        <f>IFERROR(__xludf.DUMMYFUNCTION("""COMPUTED_VALUE"""),571.0)</f>
        <v>571</v>
      </c>
      <c r="B451" s="8">
        <f>IFERROR(__xludf.DUMMYFUNCTION("""COMPUTED_VALUE"""),820.0)</f>
        <v>820</v>
      </c>
      <c r="C451" s="8">
        <f>IFERROR(__xludf.DUMMYFUNCTION("""COMPUTED_VALUE"""),44.0)</f>
        <v>44</v>
      </c>
      <c r="D451" s="8"/>
      <c r="E451" s="8"/>
      <c r="F451" s="8">
        <f>IFERROR(__xludf.DUMMYFUNCTION("""COMPUTED_VALUE"""),4.0)</f>
        <v>4</v>
      </c>
      <c r="G451" s="8">
        <f>IFERROR(__xludf.DUMMYFUNCTION("""COMPUTED_VALUE"""),1.0)</f>
        <v>1</v>
      </c>
      <c r="H451" s="8">
        <f>IFERROR(__xludf.DUMMYFUNCTION("""COMPUTED_VALUE"""),0.0)</f>
        <v>0</v>
      </c>
      <c r="I451" s="8" t="str">
        <f>IFERROR(__xludf.DUMMYFUNCTION("""COMPUTED_VALUE"""),"General")</f>
        <v>General</v>
      </c>
      <c r="J451" s="8" t="str">
        <f>IFERROR(__xludf.DUMMYFUNCTION("""COMPUTED_VALUE"""),"Tops")</f>
        <v>Tops</v>
      </c>
      <c r="K451" s="8" t="str">
        <f>IFERROR(__xludf.DUMMYFUNCTION("""COMPUTED_VALUE"""),"Blouses")</f>
        <v>Blouses</v>
      </c>
    </row>
    <row r="452">
      <c r="A452" s="8">
        <f>IFERROR(__xludf.DUMMYFUNCTION("""COMPUTED_VALUE"""),572.0)</f>
        <v>572</v>
      </c>
      <c r="B452" s="8">
        <f>IFERROR(__xludf.DUMMYFUNCTION("""COMPUTED_VALUE"""),1037.0)</f>
        <v>1037</v>
      </c>
      <c r="C452" s="8">
        <f>IFERROR(__xludf.DUMMYFUNCTION("""COMPUTED_VALUE"""),39.0)</f>
        <v>39</v>
      </c>
      <c r="D452" s="8"/>
      <c r="E452" s="8" t="str">
        <f>IFERROR(__xludf.DUMMYFUNCTION("""COMPUTED_VALUE"""),"I love these! they are a perfect addition to my fall wardrobe, and just like all other pilcro jeans, they are a great fit and true to size.")</f>
        <v>I love these! they are a perfect addition to my fall wardrobe, and just like all other pilcro jeans, they are a great fit and true to size.</v>
      </c>
      <c r="F452" s="8">
        <f>IFERROR(__xludf.DUMMYFUNCTION("""COMPUTED_VALUE"""),5.0)</f>
        <v>5</v>
      </c>
      <c r="G452" s="8">
        <f>IFERROR(__xludf.DUMMYFUNCTION("""COMPUTED_VALUE"""),1.0)</f>
        <v>1</v>
      </c>
      <c r="H452" s="8">
        <f>IFERROR(__xludf.DUMMYFUNCTION("""COMPUTED_VALUE"""),0.0)</f>
        <v>0</v>
      </c>
      <c r="I452" s="8" t="str">
        <f>IFERROR(__xludf.DUMMYFUNCTION("""COMPUTED_VALUE"""),"General")</f>
        <v>General</v>
      </c>
      <c r="J452" s="8" t="str">
        <f>IFERROR(__xludf.DUMMYFUNCTION("""COMPUTED_VALUE"""),"Bottoms")</f>
        <v>Bottoms</v>
      </c>
      <c r="K452" s="8" t="str">
        <f>IFERROR(__xludf.DUMMYFUNCTION("""COMPUTED_VALUE"""),"Jeans")</f>
        <v>Jeans</v>
      </c>
    </row>
    <row r="453">
      <c r="A453" s="8">
        <f>IFERROR(__xludf.DUMMYFUNCTION("""COMPUTED_VALUE"""),573.0)</f>
        <v>573</v>
      </c>
      <c r="B453" s="8">
        <f>IFERROR(__xludf.DUMMYFUNCTION("""COMPUTED_VALUE"""),820.0)</f>
        <v>820</v>
      </c>
      <c r="C453" s="8">
        <f>IFERROR(__xludf.DUMMYFUNCTION("""COMPUTED_VALUE"""),24.0)</f>
        <v>24</v>
      </c>
      <c r="D453" s="8" t="str">
        <f>IFERROR(__xludf.DUMMYFUNCTION("""COMPUTED_VALUE"""),"Fits so well!")</f>
        <v>Fits so well!</v>
      </c>
      <c r="E453" s="8" t="str">
        <f>IFERROR(__xludf.DUMMYFUNCTION("""COMPUTED_VALUE"""),"I often have a hard time finding items that fit true to size, but this top fits perfectly. it is cut really well and very flattering.")</f>
        <v>I often have a hard time finding items that fit true to size, but this top fits perfectly. it is cut really well and very flattering.</v>
      </c>
      <c r="F453" s="8">
        <f>IFERROR(__xludf.DUMMYFUNCTION("""COMPUTED_VALUE"""),5.0)</f>
        <v>5</v>
      </c>
      <c r="G453" s="8">
        <f>IFERROR(__xludf.DUMMYFUNCTION("""COMPUTED_VALUE"""),1.0)</f>
        <v>1</v>
      </c>
      <c r="H453" s="8">
        <f>IFERROR(__xludf.DUMMYFUNCTION("""COMPUTED_VALUE"""),0.0)</f>
        <v>0</v>
      </c>
      <c r="I453" s="8" t="str">
        <f>IFERROR(__xludf.DUMMYFUNCTION("""COMPUTED_VALUE"""),"General")</f>
        <v>General</v>
      </c>
      <c r="J453" s="8" t="str">
        <f>IFERROR(__xludf.DUMMYFUNCTION("""COMPUTED_VALUE"""),"Tops")</f>
        <v>Tops</v>
      </c>
      <c r="K453" s="8" t="str">
        <f>IFERROR(__xludf.DUMMYFUNCTION("""COMPUTED_VALUE"""),"Blouses")</f>
        <v>Blouses</v>
      </c>
    </row>
    <row r="454">
      <c r="A454" s="8">
        <f>IFERROR(__xludf.DUMMYFUNCTION("""COMPUTED_VALUE"""),575.0)</f>
        <v>575</v>
      </c>
      <c r="B454" s="8">
        <f>IFERROR(__xludf.DUMMYFUNCTION("""COMPUTED_VALUE"""),1094.0)</f>
        <v>1094</v>
      </c>
      <c r="C454" s="8">
        <f>IFERROR(__xludf.DUMMYFUNCTION("""COMPUTED_VALUE"""),64.0)</f>
        <v>64</v>
      </c>
      <c r="D454" s="8" t="str">
        <f>IFERROR(__xludf.DUMMYFUNCTION("""COMPUTED_VALUE"""),"Stunning special occasion dress")</f>
        <v>Stunning special occasion dress</v>
      </c>
      <c r="E454" s="8" t="str">
        <f>IFERROR(__xludf.DUMMYFUNCTION("""COMPUTED_VALUE"""),"I'm surprised i'm the first to review this dress! it is a must for the holidays and any special occasion! it is absolutely gorgeous! it is so feminine and seductive; it's one of those dresses that would be stunning on anyone! it is a quality dress, beauti"&amp;"fully made, looks just like the photo. i'm 5'9"" &amp; the hemline falls at the top of my knees. the neckline is exquisite &amp; really ""makes"" the dress. i purchased the black version but if i was younger i'd get it in red as it would garner quite a bit")</f>
        <v>I'm surprised i'm the first to review this dress! it is a must for the holidays and any special occasion! it is absolutely gorgeous! it is so feminine and seductive; it's one of those dresses that would be stunning on anyone! it is a quality dress, beautifully made, looks just like the photo. i'm 5'9" &amp; the hemline falls at the top of my knees. the neckline is exquisite &amp; really "makes" the dress. i purchased the black version but if i was younger i'd get it in red as it would garner quite a bit</v>
      </c>
      <c r="F454" s="8">
        <f>IFERROR(__xludf.DUMMYFUNCTION("""COMPUTED_VALUE"""),5.0)</f>
        <v>5</v>
      </c>
      <c r="G454" s="8">
        <f>IFERROR(__xludf.DUMMYFUNCTION("""COMPUTED_VALUE"""),1.0)</f>
        <v>1</v>
      </c>
      <c r="H454" s="8">
        <f>IFERROR(__xludf.DUMMYFUNCTION("""COMPUTED_VALUE"""),30.0)</f>
        <v>30</v>
      </c>
      <c r="I454" s="8" t="str">
        <f>IFERROR(__xludf.DUMMYFUNCTION("""COMPUTED_VALUE"""),"General")</f>
        <v>General</v>
      </c>
      <c r="J454" s="8" t="str">
        <f>IFERROR(__xludf.DUMMYFUNCTION("""COMPUTED_VALUE"""),"Dresses")</f>
        <v>Dresses</v>
      </c>
      <c r="K454" s="8" t="str">
        <f>IFERROR(__xludf.DUMMYFUNCTION("""COMPUTED_VALUE"""),"Dresses")</f>
        <v>Dresses</v>
      </c>
    </row>
    <row r="455">
      <c r="A455" s="8">
        <f>IFERROR(__xludf.DUMMYFUNCTION("""COMPUTED_VALUE"""),576.0)</f>
        <v>576</v>
      </c>
      <c r="B455" s="8">
        <f>IFERROR(__xludf.DUMMYFUNCTION("""COMPUTED_VALUE"""),833.0)</f>
        <v>833</v>
      </c>
      <c r="C455" s="8">
        <f>IFERROR(__xludf.DUMMYFUNCTION("""COMPUTED_VALUE"""),40.0)</f>
        <v>40</v>
      </c>
      <c r="D455" s="8" t="str">
        <f>IFERROR(__xludf.DUMMYFUNCTION("""COMPUTED_VALUE"""),"Love this shirt")</f>
        <v>Love this shirt</v>
      </c>
      <c r="E455" s="8" t="str">
        <f>IFERROR(__xludf.DUMMYFUNCTION("""COMPUTED_VALUE"""),"This shirt is very nice quality and looks stunning. it does run tight in the shoulder area and is a bit of a challenge getting off, but as long as i don't rip it one of these times all will be well! it looks so nice on that i overlook that design flaw.")</f>
        <v>This shirt is very nice quality and looks stunning. it does run tight in the shoulder area and is a bit of a challenge getting off, but as long as i don't rip it one of these times all will be well! it looks so nice on that i overlook that design flaw.</v>
      </c>
      <c r="F455" s="8">
        <f>IFERROR(__xludf.DUMMYFUNCTION("""COMPUTED_VALUE"""),5.0)</f>
        <v>5</v>
      </c>
      <c r="G455" s="8">
        <f>IFERROR(__xludf.DUMMYFUNCTION("""COMPUTED_VALUE"""),1.0)</f>
        <v>1</v>
      </c>
      <c r="H455" s="8">
        <f>IFERROR(__xludf.DUMMYFUNCTION("""COMPUTED_VALUE"""),1.0)</f>
        <v>1</v>
      </c>
      <c r="I455" s="8" t="str">
        <f>IFERROR(__xludf.DUMMYFUNCTION("""COMPUTED_VALUE"""),"General")</f>
        <v>General</v>
      </c>
      <c r="J455" s="8" t="str">
        <f>IFERROR(__xludf.DUMMYFUNCTION("""COMPUTED_VALUE"""),"Tops")</f>
        <v>Tops</v>
      </c>
      <c r="K455" s="8" t="str">
        <f>IFERROR(__xludf.DUMMYFUNCTION("""COMPUTED_VALUE"""),"Blouses")</f>
        <v>Blouses</v>
      </c>
    </row>
    <row r="456">
      <c r="A456" s="8">
        <f>IFERROR(__xludf.DUMMYFUNCTION("""COMPUTED_VALUE"""),577.0)</f>
        <v>577</v>
      </c>
      <c r="B456" s="8">
        <f>IFERROR(__xludf.DUMMYFUNCTION("""COMPUTED_VALUE"""),995.0)</f>
        <v>995</v>
      </c>
      <c r="C456" s="8">
        <f>IFERROR(__xludf.DUMMYFUNCTION("""COMPUTED_VALUE"""),39.0)</f>
        <v>39</v>
      </c>
      <c r="D456" s="8" t="str">
        <f>IFERROR(__xludf.DUMMYFUNCTION("""COMPUTED_VALUE"""),"Comfortable, soft")</f>
        <v>Comfortable, soft</v>
      </c>
      <c r="E456" s="8" t="str">
        <f>IFERROR(__xludf.DUMMYFUNCTION("""COMPUTED_VALUE"""),"The material is very soft and it looks just like it does on the model with the exception that it gets a little wrinkly at the hem and turns up at the corners. i like it and have already worn it a few times.")</f>
        <v>The material is very soft and it looks just like it does on the model with the exception that it gets a little wrinkly at the hem and turns up at the corners. i like it and have already worn it a few times.</v>
      </c>
      <c r="F456" s="8">
        <f>IFERROR(__xludf.DUMMYFUNCTION("""COMPUTED_VALUE"""),4.0)</f>
        <v>4</v>
      </c>
      <c r="G456" s="8">
        <f>IFERROR(__xludf.DUMMYFUNCTION("""COMPUTED_VALUE"""),1.0)</f>
        <v>1</v>
      </c>
      <c r="H456" s="8">
        <f>IFERROR(__xludf.DUMMYFUNCTION("""COMPUTED_VALUE"""),0.0)</f>
        <v>0</v>
      </c>
      <c r="I456" s="8" t="str">
        <f>IFERROR(__xludf.DUMMYFUNCTION("""COMPUTED_VALUE"""),"General")</f>
        <v>General</v>
      </c>
      <c r="J456" s="8" t="str">
        <f>IFERROR(__xludf.DUMMYFUNCTION("""COMPUTED_VALUE"""),"Bottoms")</f>
        <v>Bottoms</v>
      </c>
      <c r="K456" s="8" t="str">
        <f>IFERROR(__xludf.DUMMYFUNCTION("""COMPUTED_VALUE"""),"Skirts")</f>
        <v>Skirts</v>
      </c>
    </row>
    <row r="457">
      <c r="A457" s="8">
        <f>IFERROR(__xludf.DUMMYFUNCTION("""COMPUTED_VALUE"""),584.0)</f>
        <v>584</v>
      </c>
      <c r="B457" s="8">
        <f>IFERROR(__xludf.DUMMYFUNCTION("""COMPUTED_VALUE"""),1094.0)</f>
        <v>1094</v>
      </c>
      <c r="C457" s="8">
        <f>IFERROR(__xludf.DUMMYFUNCTION("""COMPUTED_VALUE"""),48.0)</f>
        <v>48</v>
      </c>
      <c r="D457" s="8" t="str">
        <f>IFERROR(__xludf.DUMMYFUNCTION("""COMPUTED_VALUE"""),"Cute outfit")</f>
        <v>Cute outfit</v>
      </c>
      <c r="E457" s="8" t="str">
        <f>IFERROR(__xludf.DUMMYFUNCTION("""COMPUTED_VALUE"""),"I love the color and the style, however it doesn't look as well as the model as i don't have a small waist like the model does. still overall, i love this dress and it is well made and comfortable")</f>
        <v>I love the color and the style, however it doesn't look as well as the model as i don't have a small waist like the model does. still overall, i love this dress and it is well made and comfortable</v>
      </c>
      <c r="F457" s="8">
        <f>IFERROR(__xludf.DUMMYFUNCTION("""COMPUTED_VALUE"""),4.0)</f>
        <v>4</v>
      </c>
      <c r="G457" s="8">
        <f>IFERROR(__xludf.DUMMYFUNCTION("""COMPUTED_VALUE"""),1.0)</f>
        <v>1</v>
      </c>
      <c r="H457" s="8">
        <f>IFERROR(__xludf.DUMMYFUNCTION("""COMPUTED_VALUE"""),2.0)</f>
        <v>2</v>
      </c>
      <c r="I457" s="8" t="str">
        <f>IFERROR(__xludf.DUMMYFUNCTION("""COMPUTED_VALUE"""),"General")</f>
        <v>General</v>
      </c>
      <c r="J457" s="8" t="str">
        <f>IFERROR(__xludf.DUMMYFUNCTION("""COMPUTED_VALUE"""),"Dresses")</f>
        <v>Dresses</v>
      </c>
      <c r="K457" s="8" t="str">
        <f>IFERROR(__xludf.DUMMYFUNCTION("""COMPUTED_VALUE"""),"Dresses")</f>
        <v>Dresses</v>
      </c>
    </row>
    <row r="458">
      <c r="A458" s="8">
        <f>IFERROR(__xludf.DUMMYFUNCTION("""COMPUTED_VALUE"""),585.0)</f>
        <v>585</v>
      </c>
      <c r="B458" s="8">
        <f>IFERROR(__xludf.DUMMYFUNCTION("""COMPUTED_VALUE"""),835.0)</f>
        <v>835</v>
      </c>
      <c r="C458" s="8">
        <f>IFERROR(__xludf.DUMMYFUNCTION("""COMPUTED_VALUE"""),66.0)</f>
        <v>66</v>
      </c>
      <c r="D458" s="8" t="str">
        <f>IFERROR(__xludf.DUMMYFUNCTION("""COMPUTED_VALUE"""),"So good")</f>
        <v>So good</v>
      </c>
      <c r="E458" s="8" t="str">
        <f>IFERROR(__xludf.DUMMYFUNCTION("""COMPUTED_VALUE"""),"Love this blouse! its so darn cute. the fabric is soft, flows nicely and is just absolutely stunning without being over the top. it falls at the lower part of my hip. the softness of the fabric would make this easy to tuck in. the body of the shirt, sleev"&amp;"es, cuffs and placket are contrasting florals in black and creamy white. the top part is a brownish burgundy color and the flowers/butterflies are embroidered in goldenrod yellow, peach, creamy white, two mauve tones, turquoise and brown. the li")</f>
        <v>Love this blouse! its so darn cute. the fabric is soft, flows nicely and is just absolutely stunning without being over the top. it falls at the lower part of my hip. the softness of the fabric would make this easy to tuck in. the body of the shirt, sleeves, cuffs and placket are contrasting florals in black and creamy white. the top part is a brownish burgundy color and the flowers/butterflies are embroidered in goldenrod yellow, peach, creamy white, two mauve tones, turquoise and brown. the li</v>
      </c>
      <c r="F458" s="8">
        <f>IFERROR(__xludf.DUMMYFUNCTION("""COMPUTED_VALUE"""),5.0)</f>
        <v>5</v>
      </c>
      <c r="G458" s="8">
        <f>IFERROR(__xludf.DUMMYFUNCTION("""COMPUTED_VALUE"""),1.0)</f>
        <v>1</v>
      </c>
      <c r="H458" s="8">
        <f>IFERROR(__xludf.DUMMYFUNCTION("""COMPUTED_VALUE"""),2.0)</f>
        <v>2</v>
      </c>
      <c r="I458" s="8" t="str">
        <f>IFERROR(__xludf.DUMMYFUNCTION("""COMPUTED_VALUE"""),"General")</f>
        <v>General</v>
      </c>
      <c r="J458" s="8" t="str">
        <f>IFERROR(__xludf.DUMMYFUNCTION("""COMPUTED_VALUE"""),"Tops")</f>
        <v>Tops</v>
      </c>
      <c r="K458" s="8" t="str">
        <f>IFERROR(__xludf.DUMMYFUNCTION("""COMPUTED_VALUE"""),"Blouses")</f>
        <v>Blouses</v>
      </c>
    </row>
    <row r="459">
      <c r="A459" s="8">
        <f>IFERROR(__xludf.DUMMYFUNCTION("""COMPUTED_VALUE"""),586.0)</f>
        <v>586</v>
      </c>
      <c r="B459" s="8">
        <f>IFERROR(__xludf.DUMMYFUNCTION("""COMPUTED_VALUE"""),1094.0)</f>
        <v>1094</v>
      </c>
      <c r="C459" s="8">
        <f>IFERROR(__xludf.DUMMYFUNCTION("""COMPUTED_VALUE"""),25.0)</f>
        <v>25</v>
      </c>
      <c r="D459" s="8" t="str">
        <f>IFERROR(__xludf.DUMMYFUNCTION("""COMPUTED_VALUE"""),"Love this dress")</f>
        <v>Love this dress</v>
      </c>
      <c r="E459" s="8" t="str">
        <f>IFERROR(__xludf.DUMMYFUNCTION("""COMPUTED_VALUE"""),"I am 5'3"" 130 and curvy and this dress fit me perfectly. it's great for parties and weddings (depending on how formal). the only reason i gave it four stars is because the fabric is a little strange; the ribbing for the squares is almost like a pillowy f"&amp;"abric, and it feels a little bit on the cheaper side but luckily it doesn't look cheap. nonetheless, i love this dress and would definitely recommend!")</f>
        <v>I am 5'3" 130 and curvy and this dress fit me perfectly. it's great for parties and weddings (depending on how formal). the only reason i gave it four stars is because the fabric is a little strange; the ribbing for the squares is almost like a pillowy fabric, and it feels a little bit on the cheaper side but luckily it doesn't look cheap. nonetheless, i love this dress and would definitely recommend!</v>
      </c>
      <c r="F459" s="8">
        <f>IFERROR(__xludf.DUMMYFUNCTION("""COMPUTED_VALUE"""),4.0)</f>
        <v>4</v>
      </c>
      <c r="G459" s="8">
        <f>IFERROR(__xludf.DUMMYFUNCTION("""COMPUTED_VALUE"""),1.0)</f>
        <v>1</v>
      </c>
      <c r="H459" s="8">
        <f>IFERROR(__xludf.DUMMYFUNCTION("""COMPUTED_VALUE"""),0.0)</f>
        <v>0</v>
      </c>
      <c r="I459" s="8" t="str">
        <f>IFERROR(__xludf.DUMMYFUNCTION("""COMPUTED_VALUE"""),"General")</f>
        <v>General</v>
      </c>
      <c r="J459" s="8" t="str">
        <f>IFERROR(__xludf.DUMMYFUNCTION("""COMPUTED_VALUE"""),"Dresses")</f>
        <v>Dresses</v>
      </c>
      <c r="K459" s="8" t="str">
        <f>IFERROR(__xludf.DUMMYFUNCTION("""COMPUTED_VALUE"""),"Dresses")</f>
        <v>Dresses</v>
      </c>
    </row>
    <row r="460">
      <c r="A460" s="8">
        <f>IFERROR(__xludf.DUMMYFUNCTION("""COMPUTED_VALUE"""),587.0)</f>
        <v>587</v>
      </c>
      <c r="B460" s="8">
        <f>IFERROR(__xludf.DUMMYFUNCTION("""COMPUTED_VALUE"""),1094.0)</f>
        <v>1094</v>
      </c>
      <c r="C460" s="8">
        <f>IFERROR(__xludf.DUMMYFUNCTION("""COMPUTED_VALUE"""),36.0)</f>
        <v>36</v>
      </c>
      <c r="D460" s="8" t="str">
        <f>IFERROR(__xludf.DUMMYFUNCTION("""COMPUTED_VALUE"""),"Classy little dress")</f>
        <v>Classy little dress</v>
      </c>
      <c r="E460" s="8" t="str">
        <f>IFERROR(__xludf.DUMMYFUNCTION("""COMPUTED_VALUE"""),"Love this dress! just wore it last night to an early valentine's dinner. very classy, simple, but gorgeous. i'm a size 2 in just about everything but i always buy a size 4 in retailer dresses because i'm tall (5'9"") and have broad shoulders and a long to"&amp;"rso, and sizing up in dresses works better all around. i am also not busty (32b). i did get this in a 4. this dress was a little awkward at first trying to hook and then zip but once i got that down it worked. the hook is right up under your")</f>
        <v>Love this dress! just wore it last night to an early valentine's dinner. very classy, simple, but gorgeous. i'm a size 2 in just about everything but i always buy a size 4 in retailer dresses because i'm tall (5'9") and have broad shoulders and a long torso, and sizing up in dresses works better all around. i am also not busty (32b). i did get this in a 4. this dress was a little awkward at first trying to hook and then zip but once i got that down it worked. the hook is right up under your</v>
      </c>
      <c r="F460" s="8">
        <f>IFERROR(__xludf.DUMMYFUNCTION("""COMPUTED_VALUE"""),4.0)</f>
        <v>4</v>
      </c>
      <c r="G460" s="8">
        <f>IFERROR(__xludf.DUMMYFUNCTION("""COMPUTED_VALUE"""),1.0)</f>
        <v>1</v>
      </c>
      <c r="H460" s="8">
        <f>IFERROR(__xludf.DUMMYFUNCTION("""COMPUTED_VALUE"""),0.0)</f>
        <v>0</v>
      </c>
      <c r="I460" s="8" t="str">
        <f>IFERROR(__xludf.DUMMYFUNCTION("""COMPUTED_VALUE"""),"General")</f>
        <v>General</v>
      </c>
      <c r="J460" s="8" t="str">
        <f>IFERROR(__xludf.DUMMYFUNCTION("""COMPUTED_VALUE"""),"Dresses")</f>
        <v>Dresses</v>
      </c>
      <c r="K460" s="8" t="str">
        <f>IFERROR(__xludf.DUMMYFUNCTION("""COMPUTED_VALUE"""),"Dresses")</f>
        <v>Dresses</v>
      </c>
    </row>
    <row r="461">
      <c r="A461" s="8">
        <f>IFERROR(__xludf.DUMMYFUNCTION("""COMPUTED_VALUE"""),589.0)</f>
        <v>589</v>
      </c>
      <c r="B461" s="8">
        <f>IFERROR(__xludf.DUMMYFUNCTION("""COMPUTED_VALUE"""),823.0)</f>
        <v>823</v>
      </c>
      <c r="C461" s="8">
        <f>IFERROR(__xludf.DUMMYFUNCTION("""COMPUTED_VALUE"""),37.0)</f>
        <v>37</v>
      </c>
      <c r="D461" s="8"/>
      <c r="E461" s="8" t="str">
        <f>IFERROR(__xludf.DUMMYFUNCTION("""COMPUTED_VALUE"""),"This is a beautiful top. it extended longer than i had hoped and a petite size was not available, so i ended up returning it. but it is beautiful and the tassels on the sides make it truly unique.")</f>
        <v>This is a beautiful top. it extended longer than i had hoped and a petite size was not available, so i ended up returning it. but it is beautiful and the tassels on the sides make it truly unique.</v>
      </c>
      <c r="F461" s="8">
        <f>IFERROR(__xludf.DUMMYFUNCTION("""COMPUTED_VALUE"""),5.0)</f>
        <v>5</v>
      </c>
      <c r="G461" s="8">
        <f>IFERROR(__xludf.DUMMYFUNCTION("""COMPUTED_VALUE"""),1.0)</f>
        <v>1</v>
      </c>
      <c r="H461" s="8">
        <f>IFERROR(__xludf.DUMMYFUNCTION("""COMPUTED_VALUE"""),1.0)</f>
        <v>1</v>
      </c>
      <c r="I461" s="8" t="str">
        <f>IFERROR(__xludf.DUMMYFUNCTION("""COMPUTED_VALUE"""),"General")</f>
        <v>General</v>
      </c>
      <c r="J461" s="8" t="str">
        <f>IFERROR(__xludf.DUMMYFUNCTION("""COMPUTED_VALUE"""),"Tops")</f>
        <v>Tops</v>
      </c>
      <c r="K461" s="8" t="str">
        <f>IFERROR(__xludf.DUMMYFUNCTION("""COMPUTED_VALUE"""),"Blouses")</f>
        <v>Blouses</v>
      </c>
    </row>
    <row r="462">
      <c r="A462" s="8">
        <f>IFERROR(__xludf.DUMMYFUNCTION("""COMPUTED_VALUE"""),590.0)</f>
        <v>590</v>
      </c>
      <c r="B462" s="8">
        <f>IFERROR(__xludf.DUMMYFUNCTION("""COMPUTED_VALUE"""),835.0)</f>
        <v>835</v>
      </c>
      <c r="C462" s="8">
        <f>IFERROR(__xludf.DUMMYFUNCTION("""COMPUTED_VALUE"""),42.0)</f>
        <v>42</v>
      </c>
      <c r="D462" s="8" t="str">
        <f>IFERROR(__xludf.DUMMYFUNCTION("""COMPUTED_VALUE"""),"Unique piece / boho chic")</f>
        <v>Unique piece / boho chic</v>
      </c>
      <c r="E462" s="8" t="str">
        <f>IFERROR(__xludf.DUMMYFUNCTION("""COMPUTED_VALUE"""),"Love this blouse! i took a chance on ordering it and wasn't sure what i would think. this blouse is fabulous!!! it has a boho-chic flair to it in a sophisticated way. it's one of those ""special"" pieces from retailer; elegant, quirky, sophisticated.
the "&amp;"details are great, too. of course the embroidery is beautiful; but there are a couple more fun details. the cuffs on the sleeve have multiple buttons; so that you can button them tight or just enough to roll the cuff once. when the cuff is r")</f>
        <v>Love this blouse! i took a chance on ordering it and wasn't sure what i would think. this blouse is fabulous!!! it has a boho-chic flair to it in a sophisticated way. it's one of those "special" pieces from retailer; elegant, quirky, sophisticated.
the details are great, too. of course the embroidery is beautiful; but there are a couple more fun details. the cuffs on the sleeve have multiple buttons; so that you can button them tight or just enough to roll the cuff once. when the cuff is r</v>
      </c>
      <c r="F462" s="8">
        <f>IFERROR(__xludf.DUMMYFUNCTION("""COMPUTED_VALUE"""),5.0)</f>
        <v>5</v>
      </c>
      <c r="G462" s="8">
        <f>IFERROR(__xludf.DUMMYFUNCTION("""COMPUTED_VALUE"""),1.0)</f>
        <v>1</v>
      </c>
      <c r="H462" s="8">
        <f>IFERROR(__xludf.DUMMYFUNCTION("""COMPUTED_VALUE"""),1.0)</f>
        <v>1</v>
      </c>
      <c r="I462" s="8" t="str">
        <f>IFERROR(__xludf.DUMMYFUNCTION("""COMPUTED_VALUE"""),"General")</f>
        <v>General</v>
      </c>
      <c r="J462" s="8" t="str">
        <f>IFERROR(__xludf.DUMMYFUNCTION("""COMPUTED_VALUE"""),"Tops")</f>
        <v>Tops</v>
      </c>
      <c r="K462" s="8" t="str">
        <f>IFERROR(__xludf.DUMMYFUNCTION("""COMPUTED_VALUE"""),"Blouses")</f>
        <v>Blouses</v>
      </c>
    </row>
    <row r="463">
      <c r="A463" s="8">
        <f>IFERROR(__xludf.DUMMYFUNCTION("""COMPUTED_VALUE"""),591.0)</f>
        <v>591</v>
      </c>
      <c r="B463" s="8">
        <f>IFERROR(__xludf.DUMMYFUNCTION("""COMPUTED_VALUE"""),833.0)</f>
        <v>833</v>
      </c>
      <c r="C463" s="8">
        <f>IFERROR(__xludf.DUMMYFUNCTION("""COMPUTED_VALUE"""),26.0)</f>
        <v>26</v>
      </c>
      <c r="D463" s="8" t="str">
        <f>IFERROR(__xludf.DUMMYFUNCTION("""COMPUTED_VALUE"""),"My favorite black top.")</f>
        <v>My favorite black top.</v>
      </c>
      <c r="E463" s="8" t="str">
        <f>IFERROR(__xludf.DUMMYFUNCTION("""COMPUTED_VALUE"""),"This is a timeless top. i loved the overall look of the top and after eyeing it for several days decided to purchase it. warning, the shoulder area is cut small due to the fabric at the top. i am usually a size 12 (because of ddd chest) but i bumped up to"&amp;" a 14 and it was perfect.")</f>
        <v>This is a timeless top. i loved the overall look of the top and after eyeing it for several days decided to purchase it. warning, the shoulder area is cut small due to the fabric at the top. i am usually a size 12 (because of ddd chest) but i bumped up to a 14 and it was perfect.</v>
      </c>
      <c r="F463" s="8">
        <f>IFERROR(__xludf.DUMMYFUNCTION("""COMPUTED_VALUE"""),4.0)</f>
        <v>4</v>
      </c>
      <c r="G463" s="8">
        <f>IFERROR(__xludf.DUMMYFUNCTION("""COMPUTED_VALUE"""),1.0)</f>
        <v>1</v>
      </c>
      <c r="H463" s="8">
        <f>IFERROR(__xludf.DUMMYFUNCTION("""COMPUTED_VALUE"""),1.0)</f>
        <v>1</v>
      </c>
      <c r="I463" s="8" t="str">
        <f>IFERROR(__xludf.DUMMYFUNCTION("""COMPUTED_VALUE"""),"General")</f>
        <v>General</v>
      </c>
      <c r="J463" s="8" t="str">
        <f>IFERROR(__xludf.DUMMYFUNCTION("""COMPUTED_VALUE"""),"Tops")</f>
        <v>Tops</v>
      </c>
      <c r="K463" s="8" t="str">
        <f>IFERROR(__xludf.DUMMYFUNCTION("""COMPUTED_VALUE"""),"Blouses")</f>
        <v>Blouses</v>
      </c>
    </row>
    <row r="464">
      <c r="A464" s="8">
        <f>IFERROR(__xludf.DUMMYFUNCTION("""COMPUTED_VALUE"""),592.0)</f>
        <v>592</v>
      </c>
      <c r="B464" s="8">
        <f>IFERROR(__xludf.DUMMYFUNCTION("""COMPUTED_VALUE"""),833.0)</f>
        <v>833</v>
      </c>
      <c r="C464" s="8">
        <f>IFERROR(__xludf.DUMMYFUNCTION("""COMPUTED_VALUE"""),33.0)</f>
        <v>33</v>
      </c>
      <c r="D464" s="8" t="str">
        <f>IFERROR(__xludf.DUMMYFUNCTION("""COMPUTED_VALUE"""),"Super flattering")</f>
        <v>Super flattering</v>
      </c>
      <c r="E464" s="8" t="str">
        <f>IFERROR(__xludf.DUMMYFUNCTION("""COMPUTED_VALUE"""),"Love this top! it is super flattering with a long floaty body. i usually wear a 4 but sized up to a 6 due to the reviews and am happy with it but think a 4 would have fit as well.")</f>
        <v>Love this top! it is super flattering with a long floaty body. i usually wear a 4 but sized up to a 6 due to the reviews and am happy with it but think a 4 would have fit as well.</v>
      </c>
      <c r="F464" s="8">
        <f>IFERROR(__xludf.DUMMYFUNCTION("""COMPUTED_VALUE"""),5.0)</f>
        <v>5</v>
      </c>
      <c r="G464" s="8">
        <f>IFERROR(__xludf.DUMMYFUNCTION("""COMPUTED_VALUE"""),1.0)</f>
        <v>1</v>
      </c>
      <c r="H464" s="8">
        <f>IFERROR(__xludf.DUMMYFUNCTION("""COMPUTED_VALUE"""),2.0)</f>
        <v>2</v>
      </c>
      <c r="I464" s="8" t="str">
        <f>IFERROR(__xludf.DUMMYFUNCTION("""COMPUTED_VALUE"""),"General")</f>
        <v>General</v>
      </c>
      <c r="J464" s="8" t="str">
        <f>IFERROR(__xludf.DUMMYFUNCTION("""COMPUTED_VALUE"""),"Tops")</f>
        <v>Tops</v>
      </c>
      <c r="K464" s="8" t="str">
        <f>IFERROR(__xludf.DUMMYFUNCTION("""COMPUTED_VALUE"""),"Blouses")</f>
        <v>Blouses</v>
      </c>
    </row>
    <row r="465">
      <c r="A465" s="8">
        <f>IFERROR(__xludf.DUMMYFUNCTION("""COMPUTED_VALUE"""),593.0)</f>
        <v>593</v>
      </c>
      <c r="B465" s="8">
        <f>IFERROR(__xludf.DUMMYFUNCTION("""COMPUTED_VALUE"""),820.0)</f>
        <v>820</v>
      </c>
      <c r="C465" s="8">
        <f>IFERROR(__xludf.DUMMYFUNCTION("""COMPUTED_VALUE"""),52.0)</f>
        <v>52</v>
      </c>
      <c r="D465" s="8" t="str">
        <f>IFERROR(__xludf.DUMMYFUNCTION("""COMPUTED_VALUE"""),"Pretty tank")</f>
        <v>Pretty tank</v>
      </c>
      <c r="E465" s="8" t="str">
        <f>IFERROR(__xludf.DUMMYFUNCTION("""COMPUTED_VALUE"""),"Love tanks and this one is sweet and flowy. great with jeans/shorts or slacks with a jacket for the office. beautiful yellow floral with fun straps in the back that you can wear with a bra. front neckline is cut narrow so bra straps show but with nude or "&amp;"plastic straps it's not that big a deal.")</f>
        <v>Love tanks and this one is sweet and flowy. great with jeans/shorts or slacks with a jacket for the office. beautiful yellow floral with fun straps in the back that you can wear with a bra. front neckline is cut narrow so bra straps show but with nude or plastic straps it's not that big a deal.</v>
      </c>
      <c r="F465" s="8">
        <f>IFERROR(__xludf.DUMMYFUNCTION("""COMPUTED_VALUE"""),5.0)</f>
        <v>5</v>
      </c>
      <c r="G465" s="8">
        <f>IFERROR(__xludf.DUMMYFUNCTION("""COMPUTED_VALUE"""),1.0)</f>
        <v>1</v>
      </c>
      <c r="H465" s="8">
        <f>IFERROR(__xludf.DUMMYFUNCTION("""COMPUTED_VALUE"""),0.0)</f>
        <v>0</v>
      </c>
      <c r="I465" s="8" t="str">
        <f>IFERROR(__xludf.DUMMYFUNCTION("""COMPUTED_VALUE"""),"General")</f>
        <v>General</v>
      </c>
      <c r="J465" s="8" t="str">
        <f>IFERROR(__xludf.DUMMYFUNCTION("""COMPUTED_VALUE"""),"Tops")</f>
        <v>Tops</v>
      </c>
      <c r="K465" s="8" t="str">
        <f>IFERROR(__xludf.DUMMYFUNCTION("""COMPUTED_VALUE"""),"Blouses")</f>
        <v>Blouses</v>
      </c>
    </row>
    <row r="466">
      <c r="A466" s="8">
        <f>IFERROR(__xludf.DUMMYFUNCTION("""COMPUTED_VALUE"""),594.0)</f>
        <v>594</v>
      </c>
      <c r="B466" s="8">
        <f>IFERROR(__xludf.DUMMYFUNCTION("""COMPUTED_VALUE"""),835.0)</f>
        <v>835</v>
      </c>
      <c r="C466" s="8">
        <f>IFERROR(__xludf.DUMMYFUNCTION("""COMPUTED_VALUE"""),41.0)</f>
        <v>41</v>
      </c>
      <c r="D466" s="8" t="str">
        <f>IFERROR(__xludf.DUMMYFUNCTION("""COMPUTED_VALUE"""),"Different than the rest !!!")</f>
        <v>Different than the rest !!!</v>
      </c>
      <c r="E466" s="8" t="str">
        <f>IFERROR(__xludf.DUMMYFUNCTION("""COMPUTED_VALUE"""),"This is truly unique top, the  detail around the neck is a nice change!!!")</f>
        <v>This is truly unique top, the  detail around the neck is a nice change!!!</v>
      </c>
      <c r="F466" s="8">
        <f>IFERROR(__xludf.DUMMYFUNCTION("""COMPUTED_VALUE"""),5.0)</f>
        <v>5</v>
      </c>
      <c r="G466" s="8">
        <f>IFERROR(__xludf.DUMMYFUNCTION("""COMPUTED_VALUE"""),1.0)</f>
        <v>1</v>
      </c>
      <c r="H466" s="8">
        <f>IFERROR(__xludf.DUMMYFUNCTION("""COMPUTED_VALUE"""),0.0)</f>
        <v>0</v>
      </c>
      <c r="I466" s="8" t="str">
        <f>IFERROR(__xludf.DUMMYFUNCTION("""COMPUTED_VALUE"""),"General")</f>
        <v>General</v>
      </c>
      <c r="J466" s="8" t="str">
        <f>IFERROR(__xludf.DUMMYFUNCTION("""COMPUTED_VALUE"""),"Tops")</f>
        <v>Tops</v>
      </c>
      <c r="K466" s="8" t="str">
        <f>IFERROR(__xludf.DUMMYFUNCTION("""COMPUTED_VALUE"""),"Blouses")</f>
        <v>Blouses</v>
      </c>
    </row>
    <row r="467">
      <c r="A467" s="8">
        <f>IFERROR(__xludf.DUMMYFUNCTION("""COMPUTED_VALUE"""),595.0)</f>
        <v>595</v>
      </c>
      <c r="B467" s="8">
        <f>IFERROR(__xludf.DUMMYFUNCTION("""COMPUTED_VALUE"""),1060.0)</f>
        <v>1060</v>
      </c>
      <c r="C467" s="8">
        <f>IFERROR(__xludf.DUMMYFUNCTION("""COMPUTED_VALUE"""),25.0)</f>
        <v>25</v>
      </c>
      <c r="D467" s="8" t="str">
        <f>IFERROR(__xludf.DUMMYFUNCTION("""COMPUTED_VALUE"""),"Slimmingly perfect!")</f>
        <v>Slimmingly perfect!</v>
      </c>
      <c r="E467" s="8" t="str">
        <f>IFERROR(__xludf.DUMMYFUNCTION("""COMPUTED_VALUE"""),"I am 5'2"" 125 pounds and i bought the 4p. the fabric is high quality and does not cling at all but instead drapes and in a very flattering way. add that to the cut of this jumpsuit and you have elongating, very flattering lines. i could not be more pleas"&amp;"ed and regret not having bought this item earlier, since i would have enjoyed wearing it during the holidays. as other reviewers said, it is adorable and a winner.")</f>
        <v>I am 5'2" 125 pounds and i bought the 4p. the fabric is high quality and does not cling at all but instead drapes and in a very flattering way. add that to the cut of this jumpsuit and you have elongating, very flattering lines. i could not be more pleased and regret not having bought this item earlier, since i would have enjoyed wearing it during the holidays. as other reviewers said, it is adorable and a winner.</v>
      </c>
      <c r="F467" s="8">
        <f>IFERROR(__xludf.DUMMYFUNCTION("""COMPUTED_VALUE"""),5.0)</f>
        <v>5</v>
      </c>
      <c r="G467" s="8">
        <f>IFERROR(__xludf.DUMMYFUNCTION("""COMPUTED_VALUE"""),1.0)</f>
        <v>1</v>
      </c>
      <c r="H467" s="8">
        <f>IFERROR(__xludf.DUMMYFUNCTION("""COMPUTED_VALUE"""),0.0)</f>
        <v>0</v>
      </c>
      <c r="I467" s="8" t="str">
        <f>IFERROR(__xludf.DUMMYFUNCTION("""COMPUTED_VALUE"""),"General")</f>
        <v>General</v>
      </c>
      <c r="J467" s="8" t="str">
        <f>IFERROR(__xludf.DUMMYFUNCTION("""COMPUTED_VALUE"""),"Bottoms")</f>
        <v>Bottoms</v>
      </c>
      <c r="K467" s="8" t="str">
        <f>IFERROR(__xludf.DUMMYFUNCTION("""COMPUTED_VALUE"""),"Pants")</f>
        <v>Pants</v>
      </c>
    </row>
    <row r="468">
      <c r="A468" s="8">
        <f>IFERROR(__xludf.DUMMYFUNCTION("""COMPUTED_VALUE"""),597.0)</f>
        <v>597</v>
      </c>
      <c r="B468" s="8">
        <f>IFERROR(__xludf.DUMMYFUNCTION("""COMPUTED_VALUE"""),820.0)</f>
        <v>820</v>
      </c>
      <c r="C468" s="8">
        <f>IFERROR(__xludf.DUMMYFUNCTION("""COMPUTED_VALUE"""),24.0)</f>
        <v>24</v>
      </c>
      <c r="D468" s="8" t="str">
        <f>IFERROR(__xludf.DUMMYFUNCTION("""COMPUTED_VALUE"""),"Very cute, snug fit")</f>
        <v>Very cute, snug fit</v>
      </c>
      <c r="E468" s="8" t="str">
        <f>IFERROR(__xludf.DUMMYFUNCTION("""COMPUTED_VALUE"""),"Very cute flowy fit. i am generally a size small, 32-d chest. because the material has no give it fits perfectly (just barely) if it was any smaller or i was any larger it would be too small. very cute design.")</f>
        <v>Very cute flowy fit. i am generally a size small, 32-d chest. because the material has no give it fits perfectly (just barely) if it was any smaller or i was any larger it would be too small. very cute design.</v>
      </c>
      <c r="F468" s="8">
        <f>IFERROR(__xludf.DUMMYFUNCTION("""COMPUTED_VALUE"""),4.0)</f>
        <v>4</v>
      </c>
      <c r="G468" s="8">
        <f>IFERROR(__xludf.DUMMYFUNCTION("""COMPUTED_VALUE"""),1.0)</f>
        <v>1</v>
      </c>
      <c r="H468" s="8">
        <f>IFERROR(__xludf.DUMMYFUNCTION("""COMPUTED_VALUE"""),0.0)</f>
        <v>0</v>
      </c>
      <c r="I468" s="8" t="str">
        <f>IFERROR(__xludf.DUMMYFUNCTION("""COMPUTED_VALUE"""),"General")</f>
        <v>General</v>
      </c>
      <c r="J468" s="8" t="str">
        <f>IFERROR(__xludf.DUMMYFUNCTION("""COMPUTED_VALUE"""),"Tops")</f>
        <v>Tops</v>
      </c>
      <c r="K468" s="8" t="str">
        <f>IFERROR(__xludf.DUMMYFUNCTION("""COMPUTED_VALUE"""),"Blouses")</f>
        <v>Blouses</v>
      </c>
    </row>
    <row r="469">
      <c r="A469" s="8">
        <f>IFERROR(__xludf.DUMMYFUNCTION("""COMPUTED_VALUE"""),599.0)</f>
        <v>599</v>
      </c>
      <c r="B469" s="8">
        <f>IFERROR(__xludf.DUMMYFUNCTION("""COMPUTED_VALUE"""),1060.0)</f>
        <v>1060</v>
      </c>
      <c r="C469" s="8">
        <f>IFERROR(__xludf.DUMMYFUNCTION("""COMPUTED_VALUE"""),44.0)</f>
        <v>44</v>
      </c>
      <c r="D469" s="8" t="str">
        <f>IFERROR(__xludf.DUMMYFUNCTION("""COMPUTED_VALUE"""),"Surprisingly retro-adorable")</f>
        <v>Surprisingly retro-adorable</v>
      </c>
      <c r="E469" s="8" t="str">
        <f>IFERROR(__xludf.DUMMYFUNCTION("""COMPUTED_VALUE"""),"I saw this online and thought, hmm, no. then saw it in the store, touched it, and the fabric felt so soft. i am normally an 8 petite in cartonnier, but the only sizes available were 4 and 2 regulars in-store. the 4 just looked promising. i thought i'd try"&amp;" it on for laughs. but it is soooo cute i ended up taking it home. the 4 regular fits perfectly on my curvy on the bottom, 5'2, 145 lb figure. my measurements are 34(b)-29-38, and i was shocked how well this fits in a 4 regular! perfect length a")</f>
        <v>I saw this online and thought, hmm, no. then saw it in the store, touched it, and the fabric felt so soft. i am normally an 8 petite in cartonnier, but the only sizes available were 4 and 2 regulars in-store. the 4 just looked promising. i thought i'd try it on for laughs. but it is soooo cute i ended up taking it home. the 4 regular fits perfectly on my curvy on the bottom, 5'2, 145 lb figure. my measurements are 34(b)-29-38, and i was shocked how well this fits in a 4 regular! perfect length a</v>
      </c>
      <c r="F469" s="8">
        <f>IFERROR(__xludf.DUMMYFUNCTION("""COMPUTED_VALUE"""),4.0)</f>
        <v>4</v>
      </c>
      <c r="G469" s="8">
        <f>IFERROR(__xludf.DUMMYFUNCTION("""COMPUTED_VALUE"""),1.0)</f>
        <v>1</v>
      </c>
      <c r="H469" s="8">
        <f>IFERROR(__xludf.DUMMYFUNCTION("""COMPUTED_VALUE"""),1.0)</f>
        <v>1</v>
      </c>
      <c r="I469" s="8" t="str">
        <f>IFERROR(__xludf.DUMMYFUNCTION("""COMPUTED_VALUE"""),"General")</f>
        <v>General</v>
      </c>
      <c r="J469" s="8" t="str">
        <f>IFERROR(__xludf.DUMMYFUNCTION("""COMPUTED_VALUE"""),"Bottoms")</f>
        <v>Bottoms</v>
      </c>
      <c r="K469" s="8" t="str">
        <f>IFERROR(__xludf.DUMMYFUNCTION("""COMPUTED_VALUE"""),"Pants")</f>
        <v>Pants</v>
      </c>
    </row>
    <row r="470">
      <c r="A470" s="8">
        <f>IFERROR(__xludf.DUMMYFUNCTION("""COMPUTED_VALUE"""),600.0)</f>
        <v>600</v>
      </c>
      <c r="B470" s="8">
        <f>IFERROR(__xludf.DUMMYFUNCTION("""COMPUTED_VALUE"""),875.0)</f>
        <v>875</v>
      </c>
      <c r="C470" s="8">
        <f>IFERROR(__xludf.DUMMYFUNCTION("""COMPUTED_VALUE"""),66.0)</f>
        <v>66</v>
      </c>
      <c r="D470" s="8" t="str">
        <f>IFERROR(__xludf.DUMMYFUNCTION("""COMPUTED_VALUE"""),"Love")</f>
        <v>Love</v>
      </c>
      <c r="E470" s="8" t="str">
        <f>IFERROR(__xludf.DUMMYFUNCTION("""COMPUTED_VALUE"""),"Great little transitional piece. i bought the blk/blk floral one &amp; it's not your usual top. sort of quirky &amp; one of a kind looking. i think it's crazy comfortable &amp; i just love it! even its a bit chilly outdoors, toss on a scarf round one's neck &amp; head on"&amp;" out. not the kind of top you'd wear with a jacket.")</f>
        <v>Great little transitional piece. i bought the blk/blk floral one &amp; it's not your usual top. sort of quirky &amp; one of a kind looking. i think it's crazy comfortable &amp; i just love it! even its a bit chilly outdoors, toss on a scarf round one's neck &amp; head on out. not the kind of top you'd wear with a jacket.</v>
      </c>
      <c r="F470" s="8">
        <f>IFERROR(__xludf.DUMMYFUNCTION("""COMPUTED_VALUE"""),5.0)</f>
        <v>5</v>
      </c>
      <c r="G470" s="8">
        <f>IFERROR(__xludf.DUMMYFUNCTION("""COMPUTED_VALUE"""),1.0)</f>
        <v>1</v>
      </c>
      <c r="H470" s="8">
        <f>IFERROR(__xludf.DUMMYFUNCTION("""COMPUTED_VALUE"""),2.0)</f>
        <v>2</v>
      </c>
      <c r="I470" s="8" t="str">
        <f>IFERROR(__xludf.DUMMYFUNCTION("""COMPUTED_VALUE"""),"General")</f>
        <v>General</v>
      </c>
      <c r="J470" s="8" t="str">
        <f>IFERROR(__xludf.DUMMYFUNCTION("""COMPUTED_VALUE"""),"Tops")</f>
        <v>Tops</v>
      </c>
      <c r="K470" s="8" t="str">
        <f>IFERROR(__xludf.DUMMYFUNCTION("""COMPUTED_VALUE"""),"Knits")</f>
        <v>Knits</v>
      </c>
    </row>
    <row r="471">
      <c r="A471" s="8">
        <f>IFERROR(__xludf.DUMMYFUNCTION("""COMPUTED_VALUE"""),601.0)</f>
        <v>601</v>
      </c>
      <c r="B471" s="8">
        <f>IFERROR(__xludf.DUMMYFUNCTION("""COMPUTED_VALUE"""),835.0)</f>
        <v>835</v>
      </c>
      <c r="C471" s="8">
        <f>IFERROR(__xludf.DUMMYFUNCTION("""COMPUTED_VALUE"""),64.0)</f>
        <v>64</v>
      </c>
      <c r="D471" s="8" t="str">
        <f>IFERROR(__xludf.DUMMYFUNCTION("""COMPUTED_VALUE"""),"Western look")</f>
        <v>Western look</v>
      </c>
      <c r="E471" s="8" t="str">
        <f>IFERROR(__xludf.DUMMYFUNCTION("""COMPUTED_VALUE"""),"This top has a western look with lots of black and some burgundy shades.  it is very cute and the fabric is soft.")</f>
        <v>This top has a western look with lots of black and some burgundy shades.  it is very cute and the fabric is soft.</v>
      </c>
      <c r="F471" s="8">
        <f>IFERROR(__xludf.DUMMYFUNCTION("""COMPUTED_VALUE"""),5.0)</f>
        <v>5</v>
      </c>
      <c r="G471" s="8">
        <f>IFERROR(__xludf.DUMMYFUNCTION("""COMPUTED_VALUE"""),1.0)</f>
        <v>1</v>
      </c>
      <c r="H471" s="8">
        <f>IFERROR(__xludf.DUMMYFUNCTION("""COMPUTED_VALUE"""),1.0)</f>
        <v>1</v>
      </c>
      <c r="I471" s="8" t="str">
        <f>IFERROR(__xludf.DUMMYFUNCTION("""COMPUTED_VALUE"""),"General")</f>
        <v>General</v>
      </c>
      <c r="J471" s="8" t="str">
        <f>IFERROR(__xludf.DUMMYFUNCTION("""COMPUTED_VALUE"""),"Tops")</f>
        <v>Tops</v>
      </c>
      <c r="K471" s="8" t="str">
        <f>IFERROR(__xludf.DUMMYFUNCTION("""COMPUTED_VALUE"""),"Blouses")</f>
        <v>Blouses</v>
      </c>
    </row>
    <row r="472">
      <c r="A472" s="8">
        <f>IFERROR(__xludf.DUMMYFUNCTION("""COMPUTED_VALUE"""),602.0)</f>
        <v>602</v>
      </c>
      <c r="B472" s="8">
        <f>IFERROR(__xludf.DUMMYFUNCTION("""COMPUTED_VALUE"""),1078.0)</f>
        <v>1078</v>
      </c>
      <c r="C472" s="8">
        <f>IFERROR(__xludf.DUMMYFUNCTION("""COMPUTED_VALUE"""),39.0)</f>
        <v>39</v>
      </c>
      <c r="D472" s="8" t="str">
        <f>IFERROR(__xludf.DUMMYFUNCTION("""COMPUTED_VALUE"""),"Gorgeous quality knit")</f>
        <v>Gorgeous quality knit</v>
      </c>
      <c r="E472" s="8" t="str">
        <f>IFERROR(__xludf.DUMMYFUNCTION("""COMPUTED_VALUE"""),"I was lucky enough to get a hold of this intarsia sweater dress after the sale and i wish i had purchased this the first time round. it is absolutely stunning, flattering, comfortable and unique! i am 5'3"" and the regular hem fit me just fine at the ankl"&amp;"es. i think this dress runs both tts to a bit large so i would size down if your small framed and stay your usual if your busty or broad shouldered. perfectly complements my taupe booties that i already owned and a my taupe maxi sweater that has")</f>
        <v>I was lucky enough to get a hold of this intarsia sweater dress after the sale and i wish i had purchased this the first time round. it is absolutely stunning, flattering, comfortable and unique! i am 5'3" and the regular hem fit me just fine at the ankles. i think this dress runs both tts to a bit large so i would size down if your small framed and stay your usual if your busty or broad shouldered. perfectly complements my taupe booties that i already owned and a my taupe maxi sweater that has</v>
      </c>
      <c r="F472" s="8">
        <f>IFERROR(__xludf.DUMMYFUNCTION("""COMPUTED_VALUE"""),5.0)</f>
        <v>5</v>
      </c>
      <c r="G472" s="8">
        <f>IFERROR(__xludf.DUMMYFUNCTION("""COMPUTED_VALUE"""),1.0)</f>
        <v>1</v>
      </c>
      <c r="H472" s="8">
        <f>IFERROR(__xludf.DUMMYFUNCTION("""COMPUTED_VALUE"""),0.0)</f>
        <v>0</v>
      </c>
      <c r="I472" s="8" t="str">
        <f>IFERROR(__xludf.DUMMYFUNCTION("""COMPUTED_VALUE"""),"General Petite")</f>
        <v>General Petite</v>
      </c>
      <c r="J472" s="8" t="str">
        <f>IFERROR(__xludf.DUMMYFUNCTION("""COMPUTED_VALUE"""),"Dresses")</f>
        <v>Dresses</v>
      </c>
      <c r="K472" s="8" t="str">
        <f>IFERROR(__xludf.DUMMYFUNCTION("""COMPUTED_VALUE"""),"Dresses")</f>
        <v>Dresses</v>
      </c>
    </row>
    <row r="473">
      <c r="A473" s="8">
        <f>IFERROR(__xludf.DUMMYFUNCTION("""COMPUTED_VALUE"""),604.0)</f>
        <v>604</v>
      </c>
      <c r="B473" s="8">
        <f>IFERROR(__xludf.DUMMYFUNCTION("""COMPUTED_VALUE"""),820.0)</f>
        <v>820</v>
      </c>
      <c r="C473" s="8">
        <f>IFERROR(__xludf.DUMMYFUNCTION("""COMPUTED_VALUE"""),35.0)</f>
        <v>35</v>
      </c>
      <c r="D473" s="8" t="str">
        <f>IFERROR(__xludf.DUMMYFUNCTION("""COMPUTED_VALUE"""),"Great top!!")</f>
        <v>Great top!!</v>
      </c>
      <c r="E473" s="8" t="str">
        <f>IFERROR(__xludf.DUMMYFUNCTION("""COMPUTED_VALUE"""),"I purchased this top in a great sale! fits great,true to size i am xsmall-small for reference, purchased small. i ended up putting a bandeau bra on with it to feel more comfortable. it would be great in the fall with a cardigan/ sweater, or a blazer. supe"&amp;"r cute to wear alone in summer with jeans!!")</f>
        <v>I purchased this top in a great sale! fits great,true to size i am xsmall-small for reference, purchased small. i ended up putting a bandeau bra on with it to feel more comfortable. it would be great in the fall with a cardigan/ sweater, or a blazer. super cute to wear alone in summer with jeans!!</v>
      </c>
      <c r="F473" s="8">
        <f>IFERROR(__xludf.DUMMYFUNCTION("""COMPUTED_VALUE"""),5.0)</f>
        <v>5</v>
      </c>
      <c r="G473" s="8">
        <f>IFERROR(__xludf.DUMMYFUNCTION("""COMPUTED_VALUE"""),1.0)</f>
        <v>1</v>
      </c>
      <c r="H473" s="8">
        <f>IFERROR(__xludf.DUMMYFUNCTION("""COMPUTED_VALUE"""),0.0)</f>
        <v>0</v>
      </c>
      <c r="I473" s="8" t="str">
        <f>IFERROR(__xludf.DUMMYFUNCTION("""COMPUTED_VALUE"""),"General")</f>
        <v>General</v>
      </c>
      <c r="J473" s="8" t="str">
        <f>IFERROR(__xludf.DUMMYFUNCTION("""COMPUTED_VALUE"""),"Tops")</f>
        <v>Tops</v>
      </c>
      <c r="K473" s="8" t="str">
        <f>IFERROR(__xludf.DUMMYFUNCTION("""COMPUTED_VALUE"""),"Blouses")</f>
        <v>Blouses</v>
      </c>
    </row>
    <row r="474">
      <c r="A474" s="8">
        <f>IFERROR(__xludf.DUMMYFUNCTION("""COMPUTED_VALUE"""),605.0)</f>
        <v>605</v>
      </c>
      <c r="B474" s="8">
        <f>IFERROR(__xludf.DUMMYFUNCTION("""COMPUTED_VALUE"""),1072.0)</f>
        <v>1072</v>
      </c>
      <c r="C474" s="8">
        <f>IFERROR(__xludf.DUMMYFUNCTION("""COMPUTED_VALUE"""),59.0)</f>
        <v>59</v>
      </c>
      <c r="D474" s="8" t="str">
        <f>IFERROR(__xludf.DUMMYFUNCTION("""COMPUTED_VALUE"""),"Lovely but smells like last purchaser's deodorant.")</f>
        <v>Lovely but smells like last purchaser's deodorant.</v>
      </c>
      <c r="E474" s="8" t="str">
        <f>IFERROR(__xludf.DUMMYFUNCTION("""COMPUTED_VALUE"""),"I am returning the dress because it smells heavily of the last purchaser's deodorant and perfume. it was actually nauseating to put on. i am disappointed with retailer that i was sold this dress, full price, in this condition. otherwise, the dress is love"&amp;"ly. it is true to size. i am 5'5"" 110 lbs and the size 0 was perfect.")</f>
        <v>I am returning the dress because it smells heavily of the last purchaser's deodorant and perfume. it was actually nauseating to put on. i am disappointed with retailer that i was sold this dress, full price, in this condition. otherwise, the dress is lovely. it is true to size. i am 5'5" 110 lbs and the size 0 was perfect.</v>
      </c>
      <c r="F474" s="8">
        <f>IFERROR(__xludf.DUMMYFUNCTION("""COMPUTED_VALUE"""),5.0)</f>
        <v>5</v>
      </c>
      <c r="G474" s="8">
        <f>IFERROR(__xludf.DUMMYFUNCTION("""COMPUTED_VALUE"""),1.0)</f>
        <v>1</v>
      </c>
      <c r="H474" s="8">
        <f>IFERROR(__xludf.DUMMYFUNCTION("""COMPUTED_VALUE"""),0.0)</f>
        <v>0</v>
      </c>
      <c r="I474" s="8" t="str">
        <f>IFERROR(__xludf.DUMMYFUNCTION("""COMPUTED_VALUE"""),"General")</f>
        <v>General</v>
      </c>
      <c r="J474" s="8" t="str">
        <f>IFERROR(__xludf.DUMMYFUNCTION("""COMPUTED_VALUE"""),"Dresses")</f>
        <v>Dresses</v>
      </c>
      <c r="K474" s="8" t="str">
        <f>IFERROR(__xludf.DUMMYFUNCTION("""COMPUTED_VALUE"""),"Dresses")</f>
        <v>Dresses</v>
      </c>
    </row>
    <row r="475">
      <c r="A475" s="8">
        <f>IFERROR(__xludf.DUMMYFUNCTION("""COMPUTED_VALUE"""),607.0)</f>
        <v>607</v>
      </c>
      <c r="B475" s="8">
        <f>IFERROR(__xludf.DUMMYFUNCTION("""COMPUTED_VALUE"""),833.0)</f>
        <v>833</v>
      </c>
      <c r="C475" s="8">
        <f>IFERROR(__xludf.DUMMYFUNCTION("""COMPUTED_VALUE"""),40.0)</f>
        <v>40</v>
      </c>
      <c r="D475" s="8" t="str">
        <f>IFERROR(__xludf.DUMMYFUNCTION("""COMPUTED_VALUE"""),"Beautiful, but a few caveats")</f>
        <v>Beautiful, but a few caveats</v>
      </c>
      <c r="E475" s="8" t="str">
        <f>IFERROR(__xludf.DUMMYFUNCTION("""COMPUTED_VALUE"""),"This is as beautiful in person as online, but the length is shorter than the description, and the arms are tight! although i am 5'1"", i normally wear regular sizes in retailer just fine; however, the 28"" length scared me off, so i ordered a 2p. it says "&amp;"it's 26.25"" long, but it's actually just about 24"". and my normal sized arms struggled to fit into the sleeves - yikes! but it's gorgeous and was purchased with a gift card, so i will keep :-)")</f>
        <v>This is as beautiful in person as online, but the length is shorter than the description, and the arms are tight! although i am 5'1", i normally wear regular sizes in retailer just fine; however, the 28" length scared me off, so i ordered a 2p. it says it's 26.25" long, but it's actually just about 24". and my normal sized arms struggled to fit into the sleeves - yikes! but it's gorgeous and was purchased with a gift card, so i will keep :-)</v>
      </c>
      <c r="F475" s="8">
        <f>IFERROR(__xludf.DUMMYFUNCTION("""COMPUTED_VALUE"""),4.0)</f>
        <v>4</v>
      </c>
      <c r="G475" s="8">
        <f>IFERROR(__xludf.DUMMYFUNCTION("""COMPUTED_VALUE"""),1.0)</f>
        <v>1</v>
      </c>
      <c r="H475" s="8">
        <f>IFERROR(__xludf.DUMMYFUNCTION("""COMPUTED_VALUE"""),11.0)</f>
        <v>11</v>
      </c>
      <c r="I475" s="8" t="str">
        <f>IFERROR(__xludf.DUMMYFUNCTION("""COMPUTED_VALUE"""),"General")</f>
        <v>General</v>
      </c>
      <c r="J475" s="8" t="str">
        <f>IFERROR(__xludf.DUMMYFUNCTION("""COMPUTED_VALUE"""),"Tops")</f>
        <v>Tops</v>
      </c>
      <c r="K475" s="8" t="str">
        <f>IFERROR(__xludf.DUMMYFUNCTION("""COMPUTED_VALUE"""),"Blouses")</f>
        <v>Blouses</v>
      </c>
    </row>
    <row r="476">
      <c r="A476" s="8">
        <f>IFERROR(__xludf.DUMMYFUNCTION("""COMPUTED_VALUE"""),608.0)</f>
        <v>608</v>
      </c>
      <c r="B476" s="8">
        <f>IFERROR(__xludf.DUMMYFUNCTION("""COMPUTED_VALUE"""),1037.0)</f>
        <v>1037</v>
      </c>
      <c r="C476" s="8">
        <f>IFERROR(__xludf.DUMMYFUNCTION("""COMPUTED_VALUE"""),22.0)</f>
        <v>22</v>
      </c>
      <c r="D476" s="8" t="str">
        <f>IFERROR(__xludf.DUMMYFUNCTION("""COMPUTED_VALUE"""),"Fun jeggings")</f>
        <v>Fun jeggings</v>
      </c>
      <c r="E476" s="8" t="str">
        <f>IFERROR(__xludf.DUMMYFUNCTION("""COMPUTED_VALUE"""),"These pants are so soft and so comfortable! i was absolutely in love at first sight. however, i got the petite, because i am 5'3, and they were still a little longer than i like my pants to be. i wanted them to hit right above the ankle, just like the pho"&amp;"to, however, they are a tad longer. i still love them and they are still as comfy as ever, so i am gonna deal with the length!!")</f>
        <v>These pants are so soft and so comfortable! i was absolutely in love at first sight. however, i got the petite, because i am 5'3, and they were still a little longer than i like my pants to be. i wanted them to hit right above the ankle, just like the photo, however, they are a tad longer. i still love them and they are still as comfy as ever, so i am gonna deal with the length!!</v>
      </c>
      <c r="F476" s="8">
        <f>IFERROR(__xludf.DUMMYFUNCTION("""COMPUTED_VALUE"""),4.0)</f>
        <v>4</v>
      </c>
      <c r="G476" s="8">
        <f>IFERROR(__xludf.DUMMYFUNCTION("""COMPUTED_VALUE"""),1.0)</f>
        <v>1</v>
      </c>
      <c r="H476" s="8">
        <f>IFERROR(__xludf.DUMMYFUNCTION("""COMPUTED_VALUE"""),1.0)</f>
        <v>1</v>
      </c>
      <c r="I476" s="8" t="str">
        <f>IFERROR(__xludf.DUMMYFUNCTION("""COMPUTED_VALUE"""),"General")</f>
        <v>General</v>
      </c>
      <c r="J476" s="8" t="str">
        <f>IFERROR(__xludf.DUMMYFUNCTION("""COMPUTED_VALUE"""),"Bottoms")</f>
        <v>Bottoms</v>
      </c>
      <c r="K476" s="8" t="str">
        <f>IFERROR(__xludf.DUMMYFUNCTION("""COMPUTED_VALUE"""),"Jeans")</f>
        <v>Jeans</v>
      </c>
    </row>
    <row r="477">
      <c r="A477" s="8">
        <f>IFERROR(__xludf.DUMMYFUNCTION("""COMPUTED_VALUE"""),611.0)</f>
        <v>611</v>
      </c>
      <c r="B477" s="8">
        <f>IFERROR(__xludf.DUMMYFUNCTION("""COMPUTED_VALUE"""),252.0)</f>
        <v>252</v>
      </c>
      <c r="C477" s="8">
        <f>IFERROR(__xludf.DUMMYFUNCTION("""COMPUTED_VALUE"""),35.0)</f>
        <v>35</v>
      </c>
      <c r="D477" s="8"/>
      <c r="E477" s="8"/>
      <c r="F477" s="8">
        <f>IFERROR(__xludf.DUMMYFUNCTION("""COMPUTED_VALUE"""),4.0)</f>
        <v>4</v>
      </c>
      <c r="G477" s="8">
        <f>IFERROR(__xludf.DUMMYFUNCTION("""COMPUTED_VALUE"""),1.0)</f>
        <v>1</v>
      </c>
      <c r="H477" s="8">
        <f>IFERROR(__xludf.DUMMYFUNCTION("""COMPUTED_VALUE"""),0.0)</f>
        <v>0</v>
      </c>
      <c r="I477" s="8" t="str">
        <f>IFERROR(__xludf.DUMMYFUNCTION("""COMPUTED_VALUE"""),"Initmates")</f>
        <v>Initmates</v>
      </c>
      <c r="J477" s="8" t="str">
        <f>IFERROR(__xludf.DUMMYFUNCTION("""COMPUTED_VALUE"""),"Intimate")</f>
        <v>Intimate</v>
      </c>
      <c r="K477" s="8" t="str">
        <f>IFERROR(__xludf.DUMMYFUNCTION("""COMPUTED_VALUE"""),"Swim")</f>
        <v>Swim</v>
      </c>
    </row>
    <row r="478">
      <c r="A478" s="8">
        <f>IFERROR(__xludf.DUMMYFUNCTION("""COMPUTED_VALUE"""),612.0)</f>
        <v>612</v>
      </c>
      <c r="B478" s="8">
        <f>IFERROR(__xludf.DUMMYFUNCTION("""COMPUTED_VALUE"""),634.0)</f>
        <v>634</v>
      </c>
      <c r="C478" s="8">
        <f>IFERROR(__xludf.DUMMYFUNCTION("""COMPUTED_VALUE"""),29.0)</f>
        <v>29</v>
      </c>
      <c r="D478" s="8" t="str">
        <f>IFERROR(__xludf.DUMMYFUNCTION("""COMPUTED_VALUE"""),"Great casual dress to throw on")</f>
        <v>Great casual dress to throw on</v>
      </c>
      <c r="E478" s="8" t="str">
        <f>IFERROR(__xludf.DUMMYFUNCTION("""COMPUTED_VALUE"""),"I ordered a petite medium in black, and it fit great great. some of the other reviews said it was tight, but i found it pretty loose and flowy. also felt it was plenty of coverage - wore it to work (casual workplace) and transitioned to happy hour beautif"&amp;"ully.")</f>
        <v>I ordered a petite medium in black, and it fit great great. some of the other reviews said it was tight, but i found it pretty loose and flowy. also felt it was plenty of coverage - wore it to work (casual workplace) and transitioned to happy hour beautifully.</v>
      </c>
      <c r="F478" s="8">
        <f>IFERROR(__xludf.DUMMYFUNCTION("""COMPUTED_VALUE"""),4.0)</f>
        <v>4</v>
      </c>
      <c r="G478" s="8">
        <f>IFERROR(__xludf.DUMMYFUNCTION("""COMPUTED_VALUE"""),1.0)</f>
        <v>1</v>
      </c>
      <c r="H478" s="8">
        <f>IFERROR(__xludf.DUMMYFUNCTION("""COMPUTED_VALUE"""),2.0)</f>
        <v>2</v>
      </c>
      <c r="I478" s="8" t="str">
        <f>IFERROR(__xludf.DUMMYFUNCTION("""COMPUTED_VALUE"""),"General Petite")</f>
        <v>General Petite</v>
      </c>
      <c r="J478" s="8" t="str">
        <f>IFERROR(__xludf.DUMMYFUNCTION("""COMPUTED_VALUE"""),"Intimate")</f>
        <v>Intimate</v>
      </c>
      <c r="K478" s="8" t="str">
        <f>IFERROR(__xludf.DUMMYFUNCTION("""COMPUTED_VALUE"""),"Lounge")</f>
        <v>Lounge</v>
      </c>
    </row>
    <row r="479">
      <c r="A479" s="8">
        <f>IFERROR(__xludf.DUMMYFUNCTION("""COMPUTED_VALUE"""),613.0)</f>
        <v>613</v>
      </c>
      <c r="B479" s="8">
        <f>IFERROR(__xludf.DUMMYFUNCTION("""COMPUTED_VALUE"""),985.0)</f>
        <v>985</v>
      </c>
      <c r="C479" s="8">
        <f>IFERROR(__xludf.DUMMYFUNCTION("""COMPUTED_VALUE"""),24.0)</f>
        <v>24</v>
      </c>
      <c r="D479" s="8" t="str">
        <f>IFERROR(__xludf.DUMMYFUNCTION("""COMPUTED_VALUE"""),"Plaid bomb pairs fabulous with everything fall!")</f>
        <v>Plaid bomb pairs fabulous with everything fall!</v>
      </c>
      <c r="E479" s="8" t="str">
        <f>IFERROR(__xludf.DUMMYFUNCTION("""COMPUTED_VALUE"""),"I had been on the hunt for a plaid bomber to rock this fall and this retailer edition bomber surpassed all of my expectations! it literally pairs great with everything fall.. chokers, boots, dresses; you name it! it also fits very true to size. not too fi"&amp;"t to your body, and a little loose, but not too loose.. just like a bomber jacket should! i highly recommend this product.")</f>
        <v>I had been on the hunt for a plaid bomber to rock this fall and this retailer edition bomber surpassed all of my expectations! it literally pairs great with everything fall.. chokers, boots, dresses; you name it! it also fits very true to size. not too fit to your body, and a little loose, but not too loose.. just like a bomber jacket should! i highly recommend this product.</v>
      </c>
      <c r="F479" s="8">
        <f>IFERROR(__xludf.DUMMYFUNCTION("""COMPUTED_VALUE"""),5.0)</f>
        <v>5</v>
      </c>
      <c r="G479" s="8">
        <f>IFERROR(__xludf.DUMMYFUNCTION("""COMPUTED_VALUE"""),1.0)</f>
        <v>1</v>
      </c>
      <c r="H479" s="8">
        <f>IFERROR(__xludf.DUMMYFUNCTION("""COMPUTED_VALUE"""),1.0)</f>
        <v>1</v>
      </c>
      <c r="I479" s="8" t="str">
        <f>IFERROR(__xludf.DUMMYFUNCTION("""COMPUTED_VALUE"""),"General")</f>
        <v>General</v>
      </c>
      <c r="J479" s="8" t="str">
        <f>IFERROR(__xludf.DUMMYFUNCTION("""COMPUTED_VALUE"""),"Jackets")</f>
        <v>Jackets</v>
      </c>
      <c r="K479" s="8" t="str">
        <f>IFERROR(__xludf.DUMMYFUNCTION("""COMPUTED_VALUE"""),"Jackets")</f>
        <v>Jackets</v>
      </c>
    </row>
    <row r="480">
      <c r="A480" s="8">
        <f>IFERROR(__xludf.DUMMYFUNCTION("""COMPUTED_VALUE"""),614.0)</f>
        <v>614</v>
      </c>
      <c r="B480" s="8">
        <f>IFERROR(__xludf.DUMMYFUNCTION("""COMPUTED_VALUE"""),1059.0)</f>
        <v>1059</v>
      </c>
      <c r="C480" s="8">
        <f>IFERROR(__xludf.DUMMYFUNCTION("""COMPUTED_VALUE"""),37.0)</f>
        <v>37</v>
      </c>
      <c r="D480" s="8" t="str">
        <f>IFERROR(__xludf.DUMMYFUNCTION("""COMPUTED_VALUE"""),"Great staple!")</f>
        <v>Great staple!</v>
      </c>
      <c r="E480" s="8" t="str">
        <f>IFERROR(__xludf.DUMMYFUNCTION("""COMPUTED_VALUE"""),"I am pear-shaped and often have a hard time finding pants that fit just right. these did the trick!! they are slim in the waist, but have plenty of room for bigger hips. the overall fit is body skimming/hugging, but they are not tight or uncomfortable in "&amp;"any way! and i have no gapping at the waist. the fabric has a slight sheen to it and a little stretch, but they will be a perfect pant for the office. for reference, i am 5'4"", 34/26/38, and i got a 6 regular.")</f>
        <v>I am pear-shaped and often have a hard time finding pants that fit just right. these did the trick!! they are slim in the waist, but have plenty of room for bigger hips. the overall fit is body skimming/hugging, but they are not tight or uncomfortable in any way! and i have no gapping at the waist. the fabric has a slight sheen to it and a little stretch, but they will be a perfect pant for the office. for reference, i am 5'4", 34/26/38, and i got a 6 regular.</v>
      </c>
      <c r="F480" s="8">
        <f>IFERROR(__xludf.DUMMYFUNCTION("""COMPUTED_VALUE"""),5.0)</f>
        <v>5</v>
      </c>
      <c r="G480" s="8">
        <f>IFERROR(__xludf.DUMMYFUNCTION("""COMPUTED_VALUE"""),1.0)</f>
        <v>1</v>
      </c>
      <c r="H480" s="8">
        <f>IFERROR(__xludf.DUMMYFUNCTION("""COMPUTED_VALUE"""),0.0)</f>
        <v>0</v>
      </c>
      <c r="I480" s="8" t="str">
        <f>IFERROR(__xludf.DUMMYFUNCTION("""COMPUTED_VALUE"""),"General")</f>
        <v>General</v>
      </c>
      <c r="J480" s="8" t="str">
        <f>IFERROR(__xludf.DUMMYFUNCTION("""COMPUTED_VALUE"""),"Bottoms")</f>
        <v>Bottoms</v>
      </c>
      <c r="K480" s="8" t="str">
        <f>IFERROR(__xludf.DUMMYFUNCTION("""COMPUTED_VALUE"""),"Pants")</f>
        <v>Pants</v>
      </c>
    </row>
    <row r="481">
      <c r="A481" s="8">
        <f>IFERROR(__xludf.DUMMYFUNCTION("""COMPUTED_VALUE"""),615.0)</f>
        <v>615</v>
      </c>
      <c r="B481" s="8">
        <f>IFERROR(__xludf.DUMMYFUNCTION("""COMPUTED_VALUE"""),985.0)</f>
        <v>985</v>
      </c>
      <c r="C481" s="8">
        <f>IFERROR(__xludf.DUMMYFUNCTION("""COMPUTED_VALUE"""),65.0)</f>
        <v>65</v>
      </c>
      <c r="D481" s="8" t="str">
        <f>IFERROR(__xludf.DUMMYFUNCTION("""COMPUTED_VALUE"""),"Perfect fall jacket")</f>
        <v>Perfect fall jacket</v>
      </c>
      <c r="E481" s="8" t="str">
        <f>IFERROR(__xludf.DUMMYFUNCTION("""COMPUTED_VALUE"""),"This jacket is well-made and smart looking. it gave me just the boost i needed today at a difficult meeting. thank you retailer!")</f>
        <v>This jacket is well-made and smart looking. it gave me just the boost i needed today at a difficult meeting. thank you retailer!</v>
      </c>
      <c r="F481" s="8">
        <f>IFERROR(__xludf.DUMMYFUNCTION("""COMPUTED_VALUE"""),5.0)</f>
        <v>5</v>
      </c>
      <c r="G481" s="8">
        <f>IFERROR(__xludf.DUMMYFUNCTION("""COMPUTED_VALUE"""),1.0)</f>
        <v>1</v>
      </c>
      <c r="H481" s="8">
        <f>IFERROR(__xludf.DUMMYFUNCTION("""COMPUTED_VALUE"""),0.0)</f>
        <v>0</v>
      </c>
      <c r="I481" s="8" t="str">
        <f>IFERROR(__xludf.DUMMYFUNCTION("""COMPUTED_VALUE"""),"General")</f>
        <v>General</v>
      </c>
      <c r="J481" s="8" t="str">
        <f>IFERROR(__xludf.DUMMYFUNCTION("""COMPUTED_VALUE"""),"Jackets")</f>
        <v>Jackets</v>
      </c>
      <c r="K481" s="8" t="str">
        <f>IFERROR(__xludf.DUMMYFUNCTION("""COMPUTED_VALUE"""),"Jackets")</f>
        <v>Jackets</v>
      </c>
    </row>
    <row r="482">
      <c r="A482" s="8">
        <f>IFERROR(__xludf.DUMMYFUNCTION("""COMPUTED_VALUE"""),616.0)</f>
        <v>616</v>
      </c>
      <c r="B482" s="8">
        <f>IFERROR(__xludf.DUMMYFUNCTION("""COMPUTED_VALUE"""),1059.0)</f>
        <v>1059</v>
      </c>
      <c r="C482" s="8">
        <f>IFERROR(__xludf.DUMMYFUNCTION("""COMPUTED_VALUE"""),36.0)</f>
        <v>36</v>
      </c>
      <c r="D482" s="8" t="str">
        <f>IFERROR(__xludf.DUMMYFUNCTION("""COMPUTED_VALUE"""),"Must have")</f>
        <v>Must have</v>
      </c>
      <c r="E482" s="8" t="str">
        <f>IFERROR(__xludf.DUMMYFUNCTION("""COMPUTED_VALUE"""),"Perfect fit. did not lose its shape. thicker material. great quality for a great price. definitely  a wardrobe  staple. can be dressed up or down. work (business) appropriate. fits tts. for reference,  i am 5'0"", 109lbs, and the 00 petite fits perfect. f"&amp;"alls right above ankle like pictured. if they had more colours, i would get them too :)")</f>
        <v>Perfect fit. did not lose its shape. thicker material. great quality for a great price. definitely  a wardrobe  staple. can be dressed up or down. work (business) appropriate. fits tts. for reference,  i am 5'0", 109lbs, and the 00 petite fits perfect. falls right above ankle like pictured. if they had more colours, i would get them too :)</v>
      </c>
      <c r="F482" s="8">
        <f>IFERROR(__xludf.DUMMYFUNCTION("""COMPUTED_VALUE"""),5.0)</f>
        <v>5</v>
      </c>
      <c r="G482" s="8">
        <f>IFERROR(__xludf.DUMMYFUNCTION("""COMPUTED_VALUE"""),1.0)</f>
        <v>1</v>
      </c>
      <c r="H482" s="8">
        <f>IFERROR(__xludf.DUMMYFUNCTION("""COMPUTED_VALUE"""),6.0)</f>
        <v>6</v>
      </c>
      <c r="I482" s="8" t="str">
        <f>IFERROR(__xludf.DUMMYFUNCTION("""COMPUTED_VALUE"""),"General")</f>
        <v>General</v>
      </c>
      <c r="J482" s="8" t="str">
        <f>IFERROR(__xludf.DUMMYFUNCTION("""COMPUTED_VALUE"""),"Bottoms")</f>
        <v>Bottoms</v>
      </c>
      <c r="K482" s="8" t="str">
        <f>IFERROR(__xludf.DUMMYFUNCTION("""COMPUTED_VALUE"""),"Pants")</f>
        <v>Pants</v>
      </c>
    </row>
    <row r="483">
      <c r="A483" s="8">
        <f>IFERROR(__xludf.DUMMYFUNCTION("""COMPUTED_VALUE"""),617.0)</f>
        <v>617</v>
      </c>
      <c r="B483" s="8">
        <f>IFERROR(__xludf.DUMMYFUNCTION("""COMPUTED_VALUE"""),634.0)</f>
        <v>634</v>
      </c>
      <c r="C483" s="8">
        <f>IFERROR(__xludf.DUMMYFUNCTION("""COMPUTED_VALUE"""),35.0)</f>
        <v>35</v>
      </c>
      <c r="D483" s="8" t="str">
        <f>IFERROR(__xludf.DUMMYFUNCTION("""COMPUTED_VALUE"""),"Lounging dress")</f>
        <v>Lounging dress</v>
      </c>
      <c r="E483" s="8" t="str">
        <f>IFERROR(__xludf.DUMMYFUNCTION("""COMPUTED_VALUE"""),"This is a great lounging dress or a great beach cover up. i ordered up a size after reading other reviews. although, i feel like my normal size would have been fine probably. i ordered the black and it is not see through. it's very light weight and comfor"&amp;"table. i may even order in another color just because it's so great to wear around the house.")</f>
        <v>This is a great lounging dress or a great beach cover up. i ordered up a size after reading other reviews. although, i feel like my normal size would have been fine probably. i ordered the black and it is not see through. it's very light weight and comfortable. i may even order in another color just because it's so great to wear around the house.</v>
      </c>
      <c r="F483" s="8">
        <f>IFERROR(__xludf.DUMMYFUNCTION("""COMPUTED_VALUE"""),4.0)</f>
        <v>4</v>
      </c>
      <c r="G483" s="8">
        <f>IFERROR(__xludf.DUMMYFUNCTION("""COMPUTED_VALUE"""),1.0)</f>
        <v>1</v>
      </c>
      <c r="H483" s="8">
        <f>IFERROR(__xludf.DUMMYFUNCTION("""COMPUTED_VALUE"""),0.0)</f>
        <v>0</v>
      </c>
      <c r="I483" s="8" t="str">
        <f>IFERROR(__xludf.DUMMYFUNCTION("""COMPUTED_VALUE"""),"General Petite")</f>
        <v>General Petite</v>
      </c>
      <c r="J483" s="8" t="str">
        <f>IFERROR(__xludf.DUMMYFUNCTION("""COMPUTED_VALUE"""),"Intimate")</f>
        <v>Intimate</v>
      </c>
      <c r="K483" s="8" t="str">
        <f>IFERROR(__xludf.DUMMYFUNCTION("""COMPUTED_VALUE"""),"Lounge")</f>
        <v>Lounge</v>
      </c>
    </row>
    <row r="484">
      <c r="A484" s="8">
        <f>IFERROR(__xludf.DUMMYFUNCTION("""COMPUTED_VALUE"""),618.0)</f>
        <v>618</v>
      </c>
      <c r="B484" s="8">
        <f>IFERROR(__xludf.DUMMYFUNCTION("""COMPUTED_VALUE"""),1059.0)</f>
        <v>1059</v>
      </c>
      <c r="C484" s="8">
        <f>IFERROR(__xludf.DUMMYFUNCTION("""COMPUTED_VALUE"""),27.0)</f>
        <v>27</v>
      </c>
      <c r="D484" s="8" t="str">
        <f>IFERROR(__xludf.DUMMYFUNCTION("""COMPUTED_VALUE"""),"Perfect fit")</f>
        <v>Perfect fit</v>
      </c>
      <c r="E484" s="8" t="str">
        <f>IFERROR(__xludf.DUMMYFUNCTION("""COMPUTED_VALUE"""),"The fit on these pants is just right for me. i have curvy hips and a slender waste and legs. these pants don't gap in the back, as fitted pants often can. easy to dress up or down. the color hasn't held up as well as i hoped, so take care when laundering.")</f>
        <v>The fit on these pants is just right for me. i have curvy hips and a slender waste and legs. these pants don't gap in the back, as fitted pants often can. easy to dress up or down. the color hasn't held up as well as i hoped, so take care when laundering.</v>
      </c>
      <c r="F484" s="8">
        <f>IFERROR(__xludf.DUMMYFUNCTION("""COMPUTED_VALUE"""),5.0)</f>
        <v>5</v>
      </c>
      <c r="G484" s="8">
        <f>IFERROR(__xludf.DUMMYFUNCTION("""COMPUTED_VALUE"""),1.0)</f>
        <v>1</v>
      </c>
      <c r="H484" s="8">
        <f>IFERROR(__xludf.DUMMYFUNCTION("""COMPUTED_VALUE"""),3.0)</f>
        <v>3</v>
      </c>
      <c r="I484" s="8" t="str">
        <f>IFERROR(__xludf.DUMMYFUNCTION("""COMPUTED_VALUE"""),"General")</f>
        <v>General</v>
      </c>
      <c r="J484" s="8" t="str">
        <f>IFERROR(__xludf.DUMMYFUNCTION("""COMPUTED_VALUE"""),"Bottoms")</f>
        <v>Bottoms</v>
      </c>
      <c r="K484" s="8" t="str">
        <f>IFERROR(__xludf.DUMMYFUNCTION("""COMPUTED_VALUE"""),"Pants")</f>
        <v>Pants</v>
      </c>
    </row>
    <row r="485">
      <c r="A485" s="8">
        <f>IFERROR(__xludf.DUMMYFUNCTION("""COMPUTED_VALUE"""),619.0)</f>
        <v>619</v>
      </c>
      <c r="B485" s="8">
        <f>IFERROR(__xludf.DUMMYFUNCTION("""COMPUTED_VALUE"""),252.0)</f>
        <v>252</v>
      </c>
      <c r="C485" s="8">
        <f>IFERROR(__xludf.DUMMYFUNCTION("""COMPUTED_VALUE"""),36.0)</f>
        <v>36</v>
      </c>
      <c r="D485" s="8"/>
      <c r="E485" s="8" t="str">
        <f>IFERROR(__xludf.DUMMYFUNCTION("""COMPUTED_VALUE"""),"Ordered the navy and aqua in medium. the aqua fit a lot tighter than the navy seemed to be a different fabric and less stretchy. loved the color on both but returning the the aqua. normally wear size 6")</f>
        <v>Ordered the navy and aqua in medium. the aqua fit a lot tighter than the navy seemed to be a different fabric and less stretchy. loved the color on both but returning the the aqua. normally wear size 6</v>
      </c>
      <c r="F485" s="8">
        <f>IFERROR(__xludf.DUMMYFUNCTION("""COMPUTED_VALUE"""),4.0)</f>
        <v>4</v>
      </c>
      <c r="G485" s="8">
        <f>IFERROR(__xludf.DUMMYFUNCTION("""COMPUTED_VALUE"""),1.0)</f>
        <v>1</v>
      </c>
      <c r="H485" s="8">
        <f>IFERROR(__xludf.DUMMYFUNCTION("""COMPUTED_VALUE"""),0.0)</f>
        <v>0</v>
      </c>
      <c r="I485" s="8" t="str">
        <f>IFERROR(__xludf.DUMMYFUNCTION("""COMPUTED_VALUE"""),"Initmates")</f>
        <v>Initmates</v>
      </c>
      <c r="J485" s="8" t="str">
        <f>IFERROR(__xludf.DUMMYFUNCTION("""COMPUTED_VALUE"""),"Intimate")</f>
        <v>Intimate</v>
      </c>
      <c r="K485" s="8" t="str">
        <f>IFERROR(__xludf.DUMMYFUNCTION("""COMPUTED_VALUE"""),"Swim")</f>
        <v>Swim</v>
      </c>
    </row>
    <row r="486">
      <c r="A486" s="8">
        <f>IFERROR(__xludf.DUMMYFUNCTION("""COMPUTED_VALUE"""),620.0)</f>
        <v>620</v>
      </c>
      <c r="B486" s="8">
        <f>IFERROR(__xludf.DUMMYFUNCTION("""COMPUTED_VALUE"""),634.0)</f>
        <v>634</v>
      </c>
      <c r="C486" s="8">
        <f>IFERROR(__xludf.DUMMYFUNCTION("""COMPUTED_VALUE"""),28.0)</f>
        <v>28</v>
      </c>
      <c r="D486" s="8" t="str">
        <f>IFERROR(__xludf.DUMMYFUNCTION("""COMPUTED_VALUE"""),"Functional casual dress")</f>
        <v>Functional casual dress</v>
      </c>
      <c r="E486" s="8" t="str">
        <f>IFERROR(__xludf.DUMMYFUNCTION("""COMPUTED_VALUE"""),"Very comfortable fabric and fits nicely. i am 5'10"" like it states the model is, and it falls shorter on me that viewed, but still looks nice. it will be an easy dress to use for different looks.")</f>
        <v>Very comfortable fabric and fits nicely. i am 5'10" like it states the model is, and it falls shorter on me that viewed, but still looks nice. it will be an easy dress to use for different looks.</v>
      </c>
      <c r="F486" s="8">
        <f>IFERROR(__xludf.DUMMYFUNCTION("""COMPUTED_VALUE"""),5.0)</f>
        <v>5</v>
      </c>
      <c r="G486" s="8">
        <f>IFERROR(__xludf.DUMMYFUNCTION("""COMPUTED_VALUE"""),1.0)</f>
        <v>1</v>
      </c>
      <c r="H486" s="8">
        <f>IFERROR(__xludf.DUMMYFUNCTION("""COMPUTED_VALUE"""),1.0)</f>
        <v>1</v>
      </c>
      <c r="I486" s="8" t="str">
        <f>IFERROR(__xludf.DUMMYFUNCTION("""COMPUTED_VALUE"""),"General Petite")</f>
        <v>General Petite</v>
      </c>
      <c r="J486" s="8" t="str">
        <f>IFERROR(__xludf.DUMMYFUNCTION("""COMPUTED_VALUE"""),"Intimate")</f>
        <v>Intimate</v>
      </c>
      <c r="K486" s="8" t="str">
        <f>IFERROR(__xludf.DUMMYFUNCTION("""COMPUTED_VALUE"""),"Lounge")</f>
        <v>Lounge</v>
      </c>
    </row>
    <row r="487">
      <c r="A487" s="8">
        <f>IFERROR(__xludf.DUMMYFUNCTION("""COMPUTED_VALUE"""),621.0)</f>
        <v>621</v>
      </c>
      <c r="B487" s="8">
        <f>IFERROR(__xludf.DUMMYFUNCTION("""COMPUTED_VALUE"""),252.0)</f>
        <v>252</v>
      </c>
      <c r="C487" s="8">
        <f>IFERROR(__xludf.DUMMYFUNCTION("""COMPUTED_VALUE"""),46.0)</f>
        <v>46</v>
      </c>
      <c r="D487" s="8" t="str">
        <f>IFERROR(__xludf.DUMMYFUNCTION("""COMPUTED_VALUE"""),"Best bathing suit!")</f>
        <v>Best bathing suit!</v>
      </c>
      <c r="E487" s="8" t="str">
        <f>IFERROR(__xludf.DUMMYFUNCTION("""COMPUTED_VALUE"""),"When i tried on this bathing suit, i decided to not try on any others. it was just right! i usually find bathing suit shopping difficult and no fun--as i can never find a suitable bathing suit. this suit looks nice/flattering, and i can also move around i"&amp;"n it and it stays in place. i purchased it in the navy and i'm going to order it in another pattern as well. it looks modern and classic; it's a chic style. i'm a size 6 in dresses, and i purchased a size 10 in this bathing suit.")</f>
        <v>When i tried on this bathing suit, i decided to not try on any others. it was just right! i usually find bathing suit shopping difficult and no fun--as i can never find a suitable bathing suit. this suit looks nice/flattering, and i can also move around in it and it stays in place. i purchased it in the navy and i'm going to order it in another pattern as well. it looks modern and classic; it's a chic style. i'm a size 6 in dresses, and i purchased a size 10 in this bathing suit.</v>
      </c>
      <c r="F487" s="8">
        <f>IFERROR(__xludf.DUMMYFUNCTION("""COMPUTED_VALUE"""),5.0)</f>
        <v>5</v>
      </c>
      <c r="G487" s="8">
        <f>IFERROR(__xludf.DUMMYFUNCTION("""COMPUTED_VALUE"""),1.0)</f>
        <v>1</v>
      </c>
      <c r="H487" s="8">
        <f>IFERROR(__xludf.DUMMYFUNCTION("""COMPUTED_VALUE"""),0.0)</f>
        <v>0</v>
      </c>
      <c r="I487" s="8" t="str">
        <f>IFERROR(__xludf.DUMMYFUNCTION("""COMPUTED_VALUE"""),"Initmates")</f>
        <v>Initmates</v>
      </c>
      <c r="J487" s="8" t="str">
        <f>IFERROR(__xludf.DUMMYFUNCTION("""COMPUTED_VALUE"""),"Intimate")</f>
        <v>Intimate</v>
      </c>
      <c r="K487" s="8" t="str">
        <f>IFERROR(__xludf.DUMMYFUNCTION("""COMPUTED_VALUE"""),"Swim")</f>
        <v>Swim</v>
      </c>
    </row>
    <row r="488">
      <c r="A488" s="8">
        <f>IFERROR(__xludf.DUMMYFUNCTION("""COMPUTED_VALUE"""),623.0)</f>
        <v>623</v>
      </c>
      <c r="B488" s="8">
        <f>IFERROR(__xludf.DUMMYFUNCTION("""COMPUTED_VALUE"""),117.0)</f>
        <v>117</v>
      </c>
      <c r="C488" s="8">
        <f>IFERROR(__xludf.DUMMYFUNCTION("""COMPUTED_VALUE"""),57.0)</f>
        <v>57</v>
      </c>
      <c r="D488" s="8"/>
      <c r="E488" s="8" t="str">
        <f>IFERROR(__xludf.DUMMYFUNCTION("""COMPUTED_VALUE"""),"Love love love these leggings and what an amazing price point!!!")</f>
        <v>Love love love these leggings and what an amazing price point!!!</v>
      </c>
      <c r="F488" s="8">
        <f>IFERROR(__xludf.DUMMYFUNCTION("""COMPUTED_VALUE"""),5.0)</f>
        <v>5</v>
      </c>
      <c r="G488" s="8">
        <f>IFERROR(__xludf.DUMMYFUNCTION("""COMPUTED_VALUE"""),1.0)</f>
        <v>1</v>
      </c>
      <c r="H488" s="8">
        <f>IFERROR(__xludf.DUMMYFUNCTION("""COMPUTED_VALUE"""),0.0)</f>
        <v>0</v>
      </c>
      <c r="I488" s="8" t="str">
        <f>IFERROR(__xludf.DUMMYFUNCTION("""COMPUTED_VALUE"""),"Initmates")</f>
        <v>Initmates</v>
      </c>
      <c r="J488" s="8" t="str">
        <f>IFERROR(__xludf.DUMMYFUNCTION("""COMPUTED_VALUE"""),"Intimate")</f>
        <v>Intimate</v>
      </c>
      <c r="K488" s="8" t="str">
        <f>IFERROR(__xludf.DUMMYFUNCTION("""COMPUTED_VALUE"""),"Legwear")</f>
        <v>Legwear</v>
      </c>
    </row>
    <row r="489">
      <c r="A489" s="8">
        <f>IFERROR(__xludf.DUMMYFUNCTION("""COMPUTED_VALUE"""),624.0)</f>
        <v>624</v>
      </c>
      <c r="B489" s="8">
        <f>IFERROR(__xludf.DUMMYFUNCTION("""COMPUTED_VALUE"""),634.0)</f>
        <v>634</v>
      </c>
      <c r="C489" s="8">
        <f>IFERROR(__xludf.DUMMYFUNCTION("""COMPUTED_VALUE"""),69.0)</f>
        <v>69</v>
      </c>
      <c r="D489" s="8" t="str">
        <f>IFERROR(__xludf.DUMMYFUNCTION("""COMPUTED_VALUE"""),"Overpriced but so comfortable")</f>
        <v>Overpriced but so comfortable</v>
      </c>
      <c r="E489" s="8" t="str">
        <f>IFERROR(__xludf.DUMMYFUNCTION("""COMPUTED_VALUE"""),"This is a great beach/pool or lounge piece. i debated keeping but couldn't pass up how comfortable it was. hugging without being tight. i will probably only wear it with some sort of layer like a jean jack or tied shirt rather than undone unless on on the"&amp;" beach but it's so comfortable. straps are a bit long.")</f>
        <v>This is a great beach/pool or lounge piece. i debated keeping but couldn't pass up how comfortable it was. hugging without being tight. i will probably only wear it with some sort of layer like a jean jack or tied shirt rather than undone unless on on the beach but it's so comfortable. straps are a bit long.</v>
      </c>
      <c r="F489" s="8">
        <f>IFERROR(__xludf.DUMMYFUNCTION("""COMPUTED_VALUE"""),4.0)</f>
        <v>4</v>
      </c>
      <c r="G489" s="8">
        <f>IFERROR(__xludf.DUMMYFUNCTION("""COMPUTED_VALUE"""),1.0)</f>
        <v>1</v>
      </c>
      <c r="H489" s="8">
        <f>IFERROR(__xludf.DUMMYFUNCTION("""COMPUTED_VALUE"""),12.0)</f>
        <v>12</v>
      </c>
      <c r="I489" s="8" t="str">
        <f>IFERROR(__xludf.DUMMYFUNCTION("""COMPUTED_VALUE"""),"General Petite")</f>
        <v>General Petite</v>
      </c>
      <c r="J489" s="8" t="str">
        <f>IFERROR(__xludf.DUMMYFUNCTION("""COMPUTED_VALUE"""),"Intimate")</f>
        <v>Intimate</v>
      </c>
      <c r="K489" s="8" t="str">
        <f>IFERROR(__xludf.DUMMYFUNCTION("""COMPUTED_VALUE"""),"Lounge")</f>
        <v>Lounge</v>
      </c>
    </row>
    <row r="490">
      <c r="A490" s="8">
        <f>IFERROR(__xludf.DUMMYFUNCTION("""COMPUTED_VALUE"""),625.0)</f>
        <v>625</v>
      </c>
      <c r="B490" s="8">
        <f>IFERROR(__xludf.DUMMYFUNCTION("""COMPUTED_VALUE"""),252.0)</f>
        <v>252</v>
      </c>
      <c r="C490" s="8">
        <f>IFERROR(__xludf.DUMMYFUNCTION("""COMPUTED_VALUE"""),28.0)</f>
        <v>28</v>
      </c>
      <c r="D490" s="8" t="str">
        <f>IFERROR(__xludf.DUMMYFUNCTION("""COMPUTED_VALUE"""),"My new favorite swim suit")</f>
        <v>My new favorite swim suit</v>
      </c>
      <c r="E490" s="8" t="str">
        <f>IFERROR(__xludf.DUMMYFUNCTION("""COMPUTED_VALUE"""),"The colors and fit of this suit are even better than described. it is the most comfortable and flattering one-piece i have ever tried on. 
as noted by other reviewers, there is limited support in the chest; this suit will keep you covered but does not pr"&amp;"ovide lift.")</f>
        <v>The colors and fit of this suit are even better than described. it is the most comfortable and flattering one-piece i have ever tried on. 
as noted by other reviewers, there is limited support in the chest; this suit will keep you covered but does not provide lift.</v>
      </c>
      <c r="F490" s="8">
        <f>IFERROR(__xludf.DUMMYFUNCTION("""COMPUTED_VALUE"""),5.0)</f>
        <v>5</v>
      </c>
      <c r="G490" s="8">
        <f>IFERROR(__xludf.DUMMYFUNCTION("""COMPUTED_VALUE"""),1.0)</f>
        <v>1</v>
      </c>
      <c r="H490" s="8">
        <f>IFERROR(__xludf.DUMMYFUNCTION("""COMPUTED_VALUE"""),0.0)</f>
        <v>0</v>
      </c>
      <c r="I490" s="8" t="str">
        <f>IFERROR(__xludf.DUMMYFUNCTION("""COMPUTED_VALUE"""),"Initmates")</f>
        <v>Initmates</v>
      </c>
      <c r="J490" s="8" t="str">
        <f>IFERROR(__xludf.DUMMYFUNCTION("""COMPUTED_VALUE"""),"Intimate")</f>
        <v>Intimate</v>
      </c>
      <c r="K490" s="8" t="str">
        <f>IFERROR(__xludf.DUMMYFUNCTION("""COMPUTED_VALUE"""),"Swim")</f>
        <v>Swim</v>
      </c>
    </row>
    <row r="491">
      <c r="A491" s="8">
        <f>IFERROR(__xludf.DUMMYFUNCTION("""COMPUTED_VALUE"""),626.0)</f>
        <v>626</v>
      </c>
      <c r="B491" s="8">
        <f>IFERROR(__xludf.DUMMYFUNCTION("""COMPUTED_VALUE"""),252.0)</f>
        <v>252</v>
      </c>
      <c r="C491" s="8">
        <f>IFERROR(__xludf.DUMMYFUNCTION("""COMPUTED_VALUE"""),36.0)</f>
        <v>36</v>
      </c>
      <c r="D491" s="8" t="str">
        <f>IFERROR(__xludf.DUMMYFUNCTION("""COMPUTED_VALUE"""),"Perfect suit")</f>
        <v>Perfect suit</v>
      </c>
      <c r="E491" s="8" t="str">
        <f>IFERROR(__xludf.DUMMYFUNCTION("""COMPUTED_VALUE"""),"I had been looking for a one-piece that is fashionable yet practical. fabric is beautiful, fit is impeccable, no complaints on lack of support. i find if you tie it tight up top it's very practical. this was the perfect choice for me. i am 5'3"" 120 lbs a"&amp;"nd ordered the small.")</f>
        <v>I had been looking for a one-piece that is fashionable yet practical. fabric is beautiful, fit is impeccable, no complaints on lack of support. i find if you tie it tight up top it's very practical. this was the perfect choice for me. i am 5'3" 120 lbs and ordered the small.</v>
      </c>
      <c r="F491" s="8">
        <f>IFERROR(__xludf.DUMMYFUNCTION("""COMPUTED_VALUE"""),5.0)</f>
        <v>5</v>
      </c>
      <c r="G491" s="8">
        <f>IFERROR(__xludf.DUMMYFUNCTION("""COMPUTED_VALUE"""),1.0)</f>
        <v>1</v>
      </c>
      <c r="H491" s="8">
        <f>IFERROR(__xludf.DUMMYFUNCTION("""COMPUTED_VALUE"""),4.0)</f>
        <v>4</v>
      </c>
      <c r="I491" s="8" t="str">
        <f>IFERROR(__xludf.DUMMYFUNCTION("""COMPUTED_VALUE"""),"Initmates")</f>
        <v>Initmates</v>
      </c>
      <c r="J491" s="8" t="str">
        <f>IFERROR(__xludf.DUMMYFUNCTION("""COMPUTED_VALUE"""),"Intimate")</f>
        <v>Intimate</v>
      </c>
      <c r="K491" s="8" t="str">
        <f>IFERROR(__xludf.DUMMYFUNCTION("""COMPUTED_VALUE"""),"Swim")</f>
        <v>Swim</v>
      </c>
    </row>
    <row r="492">
      <c r="A492" s="8">
        <f>IFERROR(__xludf.DUMMYFUNCTION("""COMPUTED_VALUE"""),627.0)</f>
        <v>627</v>
      </c>
      <c r="B492" s="8">
        <f>IFERROR(__xludf.DUMMYFUNCTION("""COMPUTED_VALUE"""),634.0)</f>
        <v>634</v>
      </c>
      <c r="C492" s="8">
        <f>IFERROR(__xludf.DUMMYFUNCTION("""COMPUTED_VALUE"""),40.0)</f>
        <v>40</v>
      </c>
      <c r="D492" s="8" t="str">
        <f>IFERROR(__xludf.DUMMYFUNCTION("""COMPUTED_VALUE"""),"Luxurious sleepwear")</f>
        <v>Luxurious sleepwear</v>
      </c>
      <c r="E492" s="8" t="str">
        <f>IFERROR(__xludf.DUMMYFUNCTION("""COMPUTED_VALUE"""),"This is a very comfortable and sexy sleep dress, the way it drapes. i can see that the type of fabric is not suitable for out and about activities and can catch on snags, etc. very easily. once i relegated it to the nightgown category it became my favorit"&amp;"e item to wear and lounge in.")</f>
        <v>This is a very comfortable and sexy sleep dress, the way it drapes. i can see that the type of fabric is not suitable for out and about activities and can catch on snags, etc. very easily. once i relegated it to the nightgown category it became my favorite item to wear and lounge in.</v>
      </c>
      <c r="F492" s="8">
        <f>IFERROR(__xludf.DUMMYFUNCTION("""COMPUTED_VALUE"""),4.0)</f>
        <v>4</v>
      </c>
      <c r="G492" s="8">
        <f>IFERROR(__xludf.DUMMYFUNCTION("""COMPUTED_VALUE"""),1.0)</f>
        <v>1</v>
      </c>
      <c r="H492" s="8">
        <f>IFERROR(__xludf.DUMMYFUNCTION("""COMPUTED_VALUE"""),0.0)</f>
        <v>0</v>
      </c>
      <c r="I492" s="8" t="str">
        <f>IFERROR(__xludf.DUMMYFUNCTION("""COMPUTED_VALUE"""),"General Petite")</f>
        <v>General Petite</v>
      </c>
      <c r="J492" s="8" t="str">
        <f>IFERROR(__xludf.DUMMYFUNCTION("""COMPUTED_VALUE"""),"Intimate")</f>
        <v>Intimate</v>
      </c>
      <c r="K492" s="8" t="str">
        <f>IFERROR(__xludf.DUMMYFUNCTION("""COMPUTED_VALUE"""),"Lounge")</f>
        <v>Lounge</v>
      </c>
    </row>
    <row r="493">
      <c r="A493" s="8">
        <f>IFERROR(__xludf.DUMMYFUNCTION("""COMPUTED_VALUE"""),628.0)</f>
        <v>628</v>
      </c>
      <c r="B493" s="8">
        <f>IFERROR(__xludf.DUMMYFUNCTION("""COMPUTED_VALUE"""),1059.0)</f>
        <v>1059</v>
      </c>
      <c r="C493" s="8">
        <f>IFERROR(__xludf.DUMMYFUNCTION("""COMPUTED_VALUE"""),80.0)</f>
        <v>80</v>
      </c>
      <c r="D493" s="8" t="str">
        <f>IFERROR(__xludf.DUMMYFUNCTION("""COMPUTED_VALUE"""),"Please restock!!!")</f>
        <v>Please restock!!!</v>
      </c>
      <c r="E493" s="8" t="str">
        <f>IFERROR(__xludf.DUMMYFUNCTION("""COMPUTED_VALUE"""),"These sold out in my size 16 before i even knew they existed! (probably a great indication that your in-between and plus-size customers are hungry for more options from you). please restock so i can get in on this apparently-perfect pant!")</f>
        <v>These sold out in my size 16 before i even knew they existed! (probably a great indication that your in-between and plus-size customers are hungry for more options from you). please restock so i can get in on this apparently-perfect pant!</v>
      </c>
      <c r="F493" s="8">
        <f>IFERROR(__xludf.DUMMYFUNCTION("""COMPUTED_VALUE"""),5.0)</f>
        <v>5</v>
      </c>
      <c r="G493" s="8">
        <f>IFERROR(__xludf.DUMMYFUNCTION("""COMPUTED_VALUE"""),1.0)</f>
        <v>1</v>
      </c>
      <c r="H493" s="8">
        <f>IFERROR(__xludf.DUMMYFUNCTION("""COMPUTED_VALUE"""),6.0)</f>
        <v>6</v>
      </c>
      <c r="I493" s="8" t="str">
        <f>IFERROR(__xludf.DUMMYFUNCTION("""COMPUTED_VALUE"""),"General")</f>
        <v>General</v>
      </c>
      <c r="J493" s="8" t="str">
        <f>IFERROR(__xludf.DUMMYFUNCTION("""COMPUTED_VALUE"""),"Bottoms")</f>
        <v>Bottoms</v>
      </c>
      <c r="K493" s="8" t="str">
        <f>IFERROR(__xludf.DUMMYFUNCTION("""COMPUTED_VALUE"""),"Pants")</f>
        <v>Pants</v>
      </c>
    </row>
    <row r="494">
      <c r="A494" s="8">
        <f>IFERROR(__xludf.DUMMYFUNCTION("""COMPUTED_VALUE"""),629.0)</f>
        <v>629</v>
      </c>
      <c r="B494" s="8">
        <f>IFERROR(__xludf.DUMMYFUNCTION("""COMPUTED_VALUE"""),838.0)</f>
        <v>838</v>
      </c>
      <c r="C494" s="8">
        <f>IFERROR(__xludf.DUMMYFUNCTION("""COMPUTED_VALUE"""),44.0)</f>
        <v>44</v>
      </c>
      <c r="D494" s="8" t="str">
        <f>IFERROR(__xludf.DUMMYFUNCTION("""COMPUTED_VALUE"""),"Cute and unique!")</f>
        <v>Cute and unique!</v>
      </c>
      <c r="E494" s="8" t="str">
        <f>IFERROR(__xludf.DUMMYFUNCTION("""COMPUTED_VALUE"""),"I love this top! i gave it a four star because i wish it were a tad longer. i am short... 5'-1 and it does work for me, but i do tend to like my tops longer. very cute and airy in the back!")</f>
        <v>I love this top! i gave it a four star because i wish it were a tad longer. i am short... 5'-1 and it does work for me, but i do tend to like my tops longer. very cute and airy in the back!</v>
      </c>
      <c r="F494" s="8">
        <f>IFERROR(__xludf.DUMMYFUNCTION("""COMPUTED_VALUE"""),4.0)</f>
        <v>4</v>
      </c>
      <c r="G494" s="8">
        <f>IFERROR(__xludf.DUMMYFUNCTION("""COMPUTED_VALUE"""),1.0)</f>
        <v>1</v>
      </c>
      <c r="H494" s="8">
        <f>IFERROR(__xludf.DUMMYFUNCTION("""COMPUTED_VALUE"""),0.0)</f>
        <v>0</v>
      </c>
      <c r="I494" s="8" t="str">
        <f>IFERROR(__xludf.DUMMYFUNCTION("""COMPUTED_VALUE"""),"General")</f>
        <v>General</v>
      </c>
      <c r="J494" s="8" t="str">
        <f>IFERROR(__xludf.DUMMYFUNCTION("""COMPUTED_VALUE"""),"Tops")</f>
        <v>Tops</v>
      </c>
      <c r="K494" s="8" t="str">
        <f>IFERROR(__xludf.DUMMYFUNCTION("""COMPUTED_VALUE"""),"Blouses")</f>
        <v>Blouses</v>
      </c>
    </row>
    <row r="495">
      <c r="A495" s="8">
        <f>IFERROR(__xludf.DUMMYFUNCTION("""COMPUTED_VALUE"""),630.0)</f>
        <v>630</v>
      </c>
      <c r="B495" s="8">
        <f>IFERROR(__xludf.DUMMYFUNCTION("""COMPUTED_VALUE"""),252.0)</f>
        <v>252</v>
      </c>
      <c r="C495" s="8">
        <f>IFERROR(__xludf.DUMMYFUNCTION("""COMPUTED_VALUE"""),36.0)</f>
        <v>36</v>
      </c>
      <c r="D495" s="8" t="str">
        <f>IFERROR(__xludf.DUMMYFUNCTION("""COMPUTED_VALUE"""),"Great suit for busy moms!")</f>
        <v>Great suit for busy moms!</v>
      </c>
      <c r="E495" s="8" t="str">
        <f>IFERROR(__xludf.DUMMYFUNCTION("""COMPUTED_VALUE"""),"This suit fits like a glove! i've had five kids and am currently nursing my last baby so i was looking for a suit to wear to the beach this summer when i'm just not feeling a bikini. this is it! it's comfortable and not binding easy to nursing and swim in"&amp;". overall worth the extra splurge. i'm tall too so it was plenty long on my torso.")</f>
        <v>This suit fits like a glove! i've had five kids and am currently nursing my last baby so i was looking for a suit to wear to the beach this summer when i'm just not feeling a bikini. this is it! it's comfortable and not binding easy to nursing and swim in. overall worth the extra splurge. i'm tall too so it was plenty long on my torso.</v>
      </c>
      <c r="F495" s="8">
        <f>IFERROR(__xludf.DUMMYFUNCTION("""COMPUTED_VALUE"""),5.0)</f>
        <v>5</v>
      </c>
      <c r="G495" s="8">
        <f>IFERROR(__xludf.DUMMYFUNCTION("""COMPUTED_VALUE"""),1.0)</f>
        <v>1</v>
      </c>
      <c r="H495" s="8">
        <f>IFERROR(__xludf.DUMMYFUNCTION("""COMPUTED_VALUE"""),3.0)</f>
        <v>3</v>
      </c>
      <c r="I495" s="8" t="str">
        <f>IFERROR(__xludf.DUMMYFUNCTION("""COMPUTED_VALUE"""),"Initmates")</f>
        <v>Initmates</v>
      </c>
      <c r="J495" s="8" t="str">
        <f>IFERROR(__xludf.DUMMYFUNCTION("""COMPUTED_VALUE"""),"Intimate")</f>
        <v>Intimate</v>
      </c>
      <c r="K495" s="8" t="str">
        <f>IFERROR(__xludf.DUMMYFUNCTION("""COMPUTED_VALUE"""),"Swim")</f>
        <v>Swim</v>
      </c>
    </row>
    <row r="496">
      <c r="A496" s="8">
        <f>IFERROR(__xludf.DUMMYFUNCTION("""COMPUTED_VALUE"""),631.0)</f>
        <v>631</v>
      </c>
      <c r="B496" s="8">
        <f>IFERROR(__xludf.DUMMYFUNCTION("""COMPUTED_VALUE"""),838.0)</f>
        <v>838</v>
      </c>
      <c r="C496" s="8">
        <f>IFERROR(__xludf.DUMMYFUNCTION("""COMPUTED_VALUE"""),41.0)</f>
        <v>41</v>
      </c>
      <c r="D496" s="8" t="str">
        <f>IFERROR(__xludf.DUMMYFUNCTION("""COMPUTED_VALUE"""),"Beautiful top")</f>
        <v>Beautiful top</v>
      </c>
      <c r="E496" s="8" t="str">
        <f>IFERROR(__xludf.DUMMYFUNCTION("""COMPUTED_VALUE"""),"Cute top! the bright red crochet shoulders and back add the perfect pop of color to the light blue pinstriped front. it's a little loose and boxy around the bust area but overall i think it's a flattering shape. i got the regular s and don't find it too s"&amp;"hort. for reference i'm 5'2"", 134 lb, 34b. i often wear petite sizes but due to other reviews mentioning that the top is short i ordered the regular size and am happy with the length and fit.")</f>
        <v>Cute top! the bright red crochet shoulders and back add the perfect pop of color to the light blue pinstriped front. it's a little loose and boxy around the bust area but overall i think it's a flattering shape. i got the regular s and don't find it too short. for reference i'm 5'2", 134 lb, 34b. i often wear petite sizes but due to other reviews mentioning that the top is short i ordered the regular size and am happy with the length and fit.</v>
      </c>
      <c r="F496" s="8">
        <f>IFERROR(__xludf.DUMMYFUNCTION("""COMPUTED_VALUE"""),5.0)</f>
        <v>5</v>
      </c>
      <c r="G496" s="8">
        <f>IFERROR(__xludf.DUMMYFUNCTION("""COMPUTED_VALUE"""),1.0)</f>
        <v>1</v>
      </c>
      <c r="H496" s="8">
        <f>IFERROR(__xludf.DUMMYFUNCTION("""COMPUTED_VALUE"""),2.0)</f>
        <v>2</v>
      </c>
      <c r="I496" s="8" t="str">
        <f>IFERROR(__xludf.DUMMYFUNCTION("""COMPUTED_VALUE"""),"General")</f>
        <v>General</v>
      </c>
      <c r="J496" s="8" t="str">
        <f>IFERROR(__xludf.DUMMYFUNCTION("""COMPUTED_VALUE"""),"Tops")</f>
        <v>Tops</v>
      </c>
      <c r="K496" s="8" t="str">
        <f>IFERROR(__xludf.DUMMYFUNCTION("""COMPUTED_VALUE"""),"Blouses")</f>
        <v>Blouses</v>
      </c>
    </row>
    <row r="497">
      <c r="A497" s="8">
        <f>IFERROR(__xludf.DUMMYFUNCTION("""COMPUTED_VALUE"""),633.0)</f>
        <v>633</v>
      </c>
      <c r="B497" s="8">
        <f>IFERROR(__xludf.DUMMYFUNCTION("""COMPUTED_VALUE"""),634.0)</f>
        <v>634</v>
      </c>
      <c r="C497" s="8">
        <f>IFERROR(__xludf.DUMMYFUNCTION("""COMPUTED_VALUE"""),49.0)</f>
        <v>49</v>
      </c>
      <c r="D497" s="8"/>
      <c r="E497" s="8" t="str">
        <f>IFERROR(__xludf.DUMMYFUNCTION("""COMPUTED_VALUE"""),"Comfy easy dress. i bought the black version. fabric is so soft. i wear this around house, but don't hesitate to run out in it if needed. i bought medium so it was roomier and for length since i'm tall. small also fit, but was shorter than i wanted.")</f>
        <v>Comfy easy dress. i bought the black version. fabric is so soft. i wear this around house, but don't hesitate to run out in it if needed. i bought medium so it was roomier and for length since i'm tall. small also fit, but was shorter than i wanted.</v>
      </c>
      <c r="F497" s="8">
        <f>IFERROR(__xludf.DUMMYFUNCTION("""COMPUTED_VALUE"""),5.0)</f>
        <v>5</v>
      </c>
      <c r="G497" s="8">
        <f>IFERROR(__xludf.DUMMYFUNCTION("""COMPUTED_VALUE"""),1.0)</f>
        <v>1</v>
      </c>
      <c r="H497" s="8">
        <f>IFERROR(__xludf.DUMMYFUNCTION("""COMPUTED_VALUE"""),11.0)</f>
        <v>11</v>
      </c>
      <c r="I497" s="8" t="str">
        <f>IFERROR(__xludf.DUMMYFUNCTION("""COMPUTED_VALUE"""),"General Petite")</f>
        <v>General Petite</v>
      </c>
      <c r="J497" s="8" t="str">
        <f>IFERROR(__xludf.DUMMYFUNCTION("""COMPUTED_VALUE"""),"Intimate")</f>
        <v>Intimate</v>
      </c>
      <c r="K497" s="8" t="str">
        <f>IFERROR(__xludf.DUMMYFUNCTION("""COMPUTED_VALUE"""),"Lounge")</f>
        <v>Lounge</v>
      </c>
    </row>
    <row r="498">
      <c r="A498" s="8">
        <f>IFERROR(__xludf.DUMMYFUNCTION("""COMPUTED_VALUE"""),635.0)</f>
        <v>635</v>
      </c>
      <c r="B498" s="8">
        <f>IFERROR(__xludf.DUMMYFUNCTION("""COMPUTED_VALUE"""),634.0)</f>
        <v>634</v>
      </c>
      <c r="C498" s="8">
        <f>IFERROR(__xludf.DUMMYFUNCTION("""COMPUTED_VALUE"""),37.0)</f>
        <v>37</v>
      </c>
      <c r="D498" s="8" t="str">
        <f>IFERROR(__xludf.DUMMYFUNCTION("""COMPUTED_VALUE"""),"Comfy and cute")</f>
        <v>Comfy and cute</v>
      </c>
      <c r="E498" s="8" t="str">
        <f>IFERROR(__xludf.DUMMYFUNCTION("""COMPUTED_VALUE"""),"I love this dress for day and night time. the back detail is cute and works well with a racerback bra. it runs big though. i'm normally a small in dresses and the arm holes are too big in the size small on me. it was also generally too big all over. i lik"&amp;"e the length and the weight of the fabric. i purchased in the off black color.")</f>
        <v>I love this dress for day and night time. the back detail is cute and works well with a racerback bra. it runs big though. i'm normally a small in dresses and the arm holes are too big in the size small on me. it was also generally too big all over. i like the length and the weight of the fabric. i purchased in the off black color.</v>
      </c>
      <c r="F498" s="8">
        <f>IFERROR(__xludf.DUMMYFUNCTION("""COMPUTED_VALUE"""),4.0)</f>
        <v>4</v>
      </c>
      <c r="G498" s="8">
        <f>IFERROR(__xludf.DUMMYFUNCTION("""COMPUTED_VALUE"""),1.0)</f>
        <v>1</v>
      </c>
      <c r="H498" s="8">
        <f>IFERROR(__xludf.DUMMYFUNCTION("""COMPUTED_VALUE"""),0.0)</f>
        <v>0</v>
      </c>
      <c r="I498" s="8" t="str">
        <f>IFERROR(__xludf.DUMMYFUNCTION("""COMPUTED_VALUE"""),"General Petite")</f>
        <v>General Petite</v>
      </c>
      <c r="J498" s="8" t="str">
        <f>IFERROR(__xludf.DUMMYFUNCTION("""COMPUTED_VALUE"""),"Intimate")</f>
        <v>Intimate</v>
      </c>
      <c r="K498" s="8" t="str">
        <f>IFERROR(__xludf.DUMMYFUNCTION("""COMPUTED_VALUE"""),"Lounge")</f>
        <v>Lounge</v>
      </c>
    </row>
    <row r="499">
      <c r="A499" s="8">
        <f>IFERROR(__xludf.DUMMYFUNCTION("""COMPUTED_VALUE"""),636.0)</f>
        <v>636</v>
      </c>
      <c r="B499" s="8">
        <f>IFERROR(__xludf.DUMMYFUNCTION("""COMPUTED_VALUE"""),1008.0)</f>
        <v>1008</v>
      </c>
      <c r="C499" s="8">
        <f>IFERROR(__xludf.DUMMYFUNCTION("""COMPUTED_VALUE"""),38.0)</f>
        <v>38</v>
      </c>
      <c r="D499" s="8" t="str">
        <f>IFERROR(__xludf.DUMMYFUNCTION("""COMPUTED_VALUE"""),"Vibrant, effortless, beautiful")</f>
        <v>Vibrant, effortless, beautiful</v>
      </c>
      <c r="E499" s="8" t="str">
        <f>IFERROR(__xludf.DUMMYFUNCTION("""COMPUTED_VALUE"""),"I had my reservations given that i'm petite (5'2"", 108lbs) and it's midi style. i'm glad that i took a chance. i bought the red motif and it's beautiful. it's wrinkle-free right out of the package. the color is vibrant and the style is classic and effort"&amp;"less. fits true-to-size. great for work with a black tee as shown in the picture.")</f>
        <v>I had my reservations given that i'm petite (5'2", 108lbs) and it's midi style. i'm glad that i took a chance. i bought the red motif and it's beautiful. it's wrinkle-free right out of the package. the color is vibrant and the style is classic and effortless. fits true-to-size. great for work with a black tee as shown in the picture.</v>
      </c>
      <c r="F499" s="8">
        <f>IFERROR(__xludf.DUMMYFUNCTION("""COMPUTED_VALUE"""),5.0)</f>
        <v>5</v>
      </c>
      <c r="G499" s="8">
        <f>IFERROR(__xludf.DUMMYFUNCTION("""COMPUTED_VALUE"""),1.0)</f>
        <v>1</v>
      </c>
      <c r="H499" s="8">
        <f>IFERROR(__xludf.DUMMYFUNCTION("""COMPUTED_VALUE"""),4.0)</f>
        <v>4</v>
      </c>
      <c r="I499" s="8" t="str">
        <f>IFERROR(__xludf.DUMMYFUNCTION("""COMPUTED_VALUE"""),"General")</f>
        <v>General</v>
      </c>
      <c r="J499" s="8" t="str">
        <f>IFERROR(__xludf.DUMMYFUNCTION("""COMPUTED_VALUE"""),"Bottoms")</f>
        <v>Bottoms</v>
      </c>
      <c r="K499" s="8" t="str">
        <f>IFERROR(__xludf.DUMMYFUNCTION("""COMPUTED_VALUE"""),"Skirts")</f>
        <v>Skirts</v>
      </c>
    </row>
    <row r="500">
      <c r="A500" s="8">
        <f>IFERROR(__xludf.DUMMYFUNCTION("""COMPUTED_VALUE"""),637.0)</f>
        <v>637</v>
      </c>
      <c r="B500" s="8">
        <f>IFERROR(__xludf.DUMMYFUNCTION("""COMPUTED_VALUE"""),838.0)</f>
        <v>838</v>
      </c>
      <c r="C500" s="8">
        <f>IFERROR(__xludf.DUMMYFUNCTION("""COMPUTED_VALUE"""),58.0)</f>
        <v>58</v>
      </c>
      <c r="D500" s="8"/>
      <c r="E500" s="8" t="str">
        <f>IFERROR(__xludf.DUMMYFUNCTION("""COMPUTED_VALUE"""),"Cute comfortable top. fits well and will look great with skinny jeans.")</f>
        <v>Cute comfortable top. fits well and will look great with skinny jeans.</v>
      </c>
      <c r="F500" s="8">
        <f>IFERROR(__xludf.DUMMYFUNCTION("""COMPUTED_VALUE"""),5.0)</f>
        <v>5</v>
      </c>
      <c r="G500" s="8">
        <f>IFERROR(__xludf.DUMMYFUNCTION("""COMPUTED_VALUE"""),1.0)</f>
        <v>1</v>
      </c>
      <c r="H500" s="8">
        <f>IFERROR(__xludf.DUMMYFUNCTION("""COMPUTED_VALUE"""),0.0)</f>
        <v>0</v>
      </c>
      <c r="I500" s="8" t="str">
        <f>IFERROR(__xludf.DUMMYFUNCTION("""COMPUTED_VALUE"""),"General")</f>
        <v>General</v>
      </c>
      <c r="J500" s="8" t="str">
        <f>IFERROR(__xludf.DUMMYFUNCTION("""COMPUTED_VALUE"""),"Tops")</f>
        <v>Tops</v>
      </c>
      <c r="K500" s="8" t="str">
        <f>IFERROR(__xludf.DUMMYFUNCTION("""COMPUTED_VALUE"""),"Blouses")</f>
        <v>Blouses</v>
      </c>
    </row>
    <row r="501">
      <c r="A501" s="8">
        <f>IFERROR(__xludf.DUMMYFUNCTION("""COMPUTED_VALUE"""),638.0)</f>
        <v>638</v>
      </c>
      <c r="B501" s="8">
        <f>IFERROR(__xludf.DUMMYFUNCTION("""COMPUTED_VALUE"""),620.0)</f>
        <v>620</v>
      </c>
      <c r="C501" s="8">
        <f>IFERROR(__xludf.DUMMYFUNCTION("""COMPUTED_VALUE"""),47.0)</f>
        <v>47</v>
      </c>
      <c r="D501" s="8" t="str">
        <f>IFERROR(__xludf.DUMMYFUNCTION("""COMPUTED_VALUE"""),"Very cute and comfortable")</f>
        <v>Very cute and comfortable</v>
      </c>
      <c r="E501" s="8" t="str">
        <f>IFERROR(__xludf.DUMMYFUNCTION("""COMPUTED_VALUE"""),"I got the shorts and the blue motif they're really comfortable and will look cute with a tank top for the weekend.   they true to size them usually a size 4 to 6 and i got a small and that works.")</f>
        <v>I got the shorts and the blue motif they're really comfortable and will look cute with a tank top for the weekend.   they true to size them usually a size 4 to 6 and i got a small and that works.</v>
      </c>
      <c r="F501" s="8">
        <f>IFERROR(__xludf.DUMMYFUNCTION("""COMPUTED_VALUE"""),4.0)</f>
        <v>4</v>
      </c>
      <c r="G501" s="8">
        <f>IFERROR(__xludf.DUMMYFUNCTION("""COMPUTED_VALUE"""),1.0)</f>
        <v>1</v>
      </c>
      <c r="H501" s="8">
        <f>IFERROR(__xludf.DUMMYFUNCTION("""COMPUTED_VALUE"""),2.0)</f>
        <v>2</v>
      </c>
      <c r="I501" s="8" t="str">
        <f>IFERROR(__xludf.DUMMYFUNCTION("""COMPUTED_VALUE"""),"General")</f>
        <v>General</v>
      </c>
      <c r="J501" s="8" t="str">
        <f>IFERROR(__xludf.DUMMYFUNCTION("""COMPUTED_VALUE"""),"Bottoms")</f>
        <v>Bottoms</v>
      </c>
      <c r="K501" s="8" t="str">
        <f>IFERROR(__xludf.DUMMYFUNCTION("""COMPUTED_VALUE"""),"Shorts")</f>
        <v>Shorts</v>
      </c>
    </row>
    <row r="502">
      <c r="A502" s="8">
        <f>IFERROR(__xludf.DUMMYFUNCTION("""COMPUTED_VALUE"""),639.0)</f>
        <v>639</v>
      </c>
      <c r="B502" s="8">
        <f>IFERROR(__xludf.DUMMYFUNCTION("""COMPUTED_VALUE"""),634.0)</f>
        <v>634</v>
      </c>
      <c r="C502" s="8">
        <f>IFERROR(__xludf.DUMMYFUNCTION("""COMPUTED_VALUE"""),36.0)</f>
        <v>36</v>
      </c>
      <c r="D502" s="8" t="str">
        <f>IFERROR(__xludf.DUMMYFUNCTION("""COMPUTED_VALUE"""),"Super comfy")</f>
        <v>Super comfy</v>
      </c>
      <c r="E502" s="8" t="str">
        <f>IFERROR(__xludf.DUMMYFUNCTION("""COMPUTED_VALUE"""),"I purchased this dress in black and love it. its hot where i live so i am always looking for a lightweight dress that i can throw on either after the pool or out and about. i wore it to an outside concert with sandals and a simple braid, it was perfect! c"&amp;"onsidering ordering it in another color!")</f>
        <v>I purchased this dress in black and love it. its hot where i live so i am always looking for a lightweight dress that i can throw on either after the pool or out and about. i wore it to an outside concert with sandals and a simple braid, it was perfect! considering ordering it in another color!</v>
      </c>
      <c r="F502" s="8">
        <f>IFERROR(__xludf.DUMMYFUNCTION("""COMPUTED_VALUE"""),5.0)</f>
        <v>5</v>
      </c>
      <c r="G502" s="8">
        <f>IFERROR(__xludf.DUMMYFUNCTION("""COMPUTED_VALUE"""),1.0)</f>
        <v>1</v>
      </c>
      <c r="H502" s="8">
        <f>IFERROR(__xludf.DUMMYFUNCTION("""COMPUTED_VALUE"""),1.0)</f>
        <v>1</v>
      </c>
      <c r="I502" s="8" t="str">
        <f>IFERROR(__xludf.DUMMYFUNCTION("""COMPUTED_VALUE"""),"General Petite")</f>
        <v>General Petite</v>
      </c>
      <c r="J502" s="8" t="str">
        <f>IFERROR(__xludf.DUMMYFUNCTION("""COMPUTED_VALUE"""),"Intimate")</f>
        <v>Intimate</v>
      </c>
      <c r="K502" s="8" t="str">
        <f>IFERROR(__xludf.DUMMYFUNCTION("""COMPUTED_VALUE"""),"Lounge")</f>
        <v>Lounge</v>
      </c>
    </row>
    <row r="503">
      <c r="A503" s="8">
        <f>IFERROR(__xludf.DUMMYFUNCTION("""COMPUTED_VALUE"""),640.0)</f>
        <v>640</v>
      </c>
      <c r="B503" s="8">
        <f>IFERROR(__xludf.DUMMYFUNCTION("""COMPUTED_VALUE"""),1059.0)</f>
        <v>1059</v>
      </c>
      <c r="C503" s="8">
        <f>IFERROR(__xludf.DUMMYFUNCTION("""COMPUTED_VALUE"""),66.0)</f>
        <v>66</v>
      </c>
      <c r="D503" s="8" t="str">
        <f>IFERROR(__xludf.DUMMYFUNCTION("""COMPUTED_VALUE"""),"Great basic pants!")</f>
        <v>Great basic pants!</v>
      </c>
      <c r="E503" s="8" t="str">
        <f>IFERROR(__xludf.DUMMYFUNCTION("""COMPUTED_VALUE"""),"Perfect fit! can be dressed up or down! more colors please!")</f>
        <v>Perfect fit! can be dressed up or down! more colors please!</v>
      </c>
      <c r="F503" s="8">
        <f>IFERROR(__xludf.DUMMYFUNCTION("""COMPUTED_VALUE"""),5.0)</f>
        <v>5</v>
      </c>
      <c r="G503" s="8">
        <f>IFERROR(__xludf.DUMMYFUNCTION("""COMPUTED_VALUE"""),1.0)</f>
        <v>1</v>
      </c>
      <c r="H503" s="8">
        <f>IFERROR(__xludf.DUMMYFUNCTION("""COMPUTED_VALUE"""),0.0)</f>
        <v>0</v>
      </c>
      <c r="I503" s="8" t="str">
        <f>IFERROR(__xludf.DUMMYFUNCTION("""COMPUTED_VALUE"""),"General")</f>
        <v>General</v>
      </c>
      <c r="J503" s="8" t="str">
        <f>IFERROR(__xludf.DUMMYFUNCTION("""COMPUTED_VALUE"""),"Bottoms")</f>
        <v>Bottoms</v>
      </c>
      <c r="K503" s="8" t="str">
        <f>IFERROR(__xludf.DUMMYFUNCTION("""COMPUTED_VALUE"""),"Pants")</f>
        <v>Pants</v>
      </c>
    </row>
    <row r="504">
      <c r="A504" s="8">
        <f>IFERROR(__xludf.DUMMYFUNCTION("""COMPUTED_VALUE"""),641.0)</f>
        <v>641</v>
      </c>
      <c r="B504" s="8">
        <f>IFERROR(__xludf.DUMMYFUNCTION("""COMPUTED_VALUE"""),1059.0)</f>
        <v>1059</v>
      </c>
      <c r="C504" s="8">
        <f>IFERROR(__xludf.DUMMYFUNCTION("""COMPUTED_VALUE"""),51.0)</f>
        <v>51</v>
      </c>
      <c r="D504" s="8" t="str">
        <f>IFERROR(__xludf.DUMMYFUNCTION("""COMPUTED_VALUE"""),"Great pant")</f>
        <v>Great pant</v>
      </c>
      <c r="E504" s="8" t="str">
        <f>IFERROR(__xludf.DUMMYFUNCTION("""COMPUTED_VALUE"""),"This is a great pant to wear to business and when you just need something more than a jean. not so skinny a 50+ woman can wear comfortably..")</f>
        <v>This is a great pant to wear to business and when you just need something more than a jean. not so skinny a 50+ woman can wear comfortably..</v>
      </c>
      <c r="F504" s="8">
        <f>IFERROR(__xludf.DUMMYFUNCTION("""COMPUTED_VALUE"""),4.0)</f>
        <v>4</v>
      </c>
      <c r="G504" s="8">
        <f>IFERROR(__xludf.DUMMYFUNCTION("""COMPUTED_VALUE"""),1.0)</f>
        <v>1</v>
      </c>
      <c r="H504" s="8">
        <f>IFERROR(__xludf.DUMMYFUNCTION("""COMPUTED_VALUE"""),7.0)</f>
        <v>7</v>
      </c>
      <c r="I504" s="8" t="str">
        <f>IFERROR(__xludf.DUMMYFUNCTION("""COMPUTED_VALUE"""),"General")</f>
        <v>General</v>
      </c>
      <c r="J504" s="8" t="str">
        <f>IFERROR(__xludf.DUMMYFUNCTION("""COMPUTED_VALUE"""),"Bottoms")</f>
        <v>Bottoms</v>
      </c>
      <c r="K504" s="8" t="str">
        <f>IFERROR(__xludf.DUMMYFUNCTION("""COMPUTED_VALUE"""),"Pants")</f>
        <v>Pants</v>
      </c>
    </row>
    <row r="505">
      <c r="A505" s="8">
        <f>IFERROR(__xludf.DUMMYFUNCTION("""COMPUTED_VALUE"""),642.0)</f>
        <v>642</v>
      </c>
      <c r="B505" s="8">
        <f>IFERROR(__xludf.DUMMYFUNCTION("""COMPUTED_VALUE"""),1059.0)</f>
        <v>1059</v>
      </c>
      <c r="C505" s="8">
        <f>IFERROR(__xludf.DUMMYFUNCTION("""COMPUTED_VALUE"""),38.0)</f>
        <v>38</v>
      </c>
      <c r="D505" s="8" t="str">
        <f>IFERROR(__xludf.DUMMYFUNCTION("""COMPUTED_VALUE"""),"Great staple")</f>
        <v>Great staple</v>
      </c>
      <c r="E505" s="8" t="str">
        <f>IFERROR(__xludf.DUMMYFUNCTION("""COMPUTED_VALUE"""),"These are great pants. i love the fit and the taper of the leg. these will be my ""go to"" black pants for the fall season!")</f>
        <v>These are great pants. i love the fit and the taper of the leg. these will be my "go to" black pants for the fall season!</v>
      </c>
      <c r="F505" s="8">
        <f>IFERROR(__xludf.DUMMYFUNCTION("""COMPUTED_VALUE"""),5.0)</f>
        <v>5</v>
      </c>
      <c r="G505" s="8">
        <f>IFERROR(__xludf.DUMMYFUNCTION("""COMPUTED_VALUE"""),1.0)</f>
        <v>1</v>
      </c>
      <c r="H505" s="8">
        <f>IFERROR(__xludf.DUMMYFUNCTION("""COMPUTED_VALUE"""),0.0)</f>
        <v>0</v>
      </c>
      <c r="I505" s="8" t="str">
        <f>IFERROR(__xludf.DUMMYFUNCTION("""COMPUTED_VALUE"""),"General")</f>
        <v>General</v>
      </c>
      <c r="J505" s="8" t="str">
        <f>IFERROR(__xludf.DUMMYFUNCTION("""COMPUTED_VALUE"""),"Bottoms")</f>
        <v>Bottoms</v>
      </c>
      <c r="K505" s="8" t="str">
        <f>IFERROR(__xludf.DUMMYFUNCTION("""COMPUTED_VALUE"""),"Pants")</f>
        <v>Pants</v>
      </c>
    </row>
    <row r="506">
      <c r="A506" s="8">
        <f>IFERROR(__xludf.DUMMYFUNCTION("""COMPUTED_VALUE"""),643.0)</f>
        <v>643</v>
      </c>
      <c r="B506" s="8">
        <f>IFERROR(__xludf.DUMMYFUNCTION("""COMPUTED_VALUE"""),634.0)</f>
        <v>634</v>
      </c>
      <c r="C506" s="8">
        <f>IFERROR(__xludf.DUMMYFUNCTION("""COMPUTED_VALUE"""),40.0)</f>
        <v>40</v>
      </c>
      <c r="D506" s="8" t="str">
        <f>IFERROR(__xludf.DUMMYFUNCTION("""COMPUTED_VALUE"""),"Beach cover-up")</f>
        <v>Beach cover-up</v>
      </c>
      <c r="E506" s="8" t="str">
        <f>IFERROR(__xludf.DUMMYFUNCTION("""COMPUTED_VALUE"""),"I got this to wear as a beach cover-up over bathing suits. if you purchased a darker color and were small chested (i.e., you could go braless, since a bra won't work well with the low back and armholes), you might be able to pull this off as a very casual"&amp;" dress. i bought this in a xs in the coral/peach (i'm 5'7"", 129 lbs., 32dd) and it's not super see-through, but i'd never be comfortable wearing it as a dress on its own. as a beach cover-up it's cute and comfortable, but as a dress it would be")</f>
        <v>I got this to wear as a beach cover-up over bathing suits. if you purchased a darker color and were small chested (i.e., you could go braless, since a bra won't work well with the low back and armholes), you might be able to pull this off as a very casual dress. i bought this in a xs in the coral/peach (i'm 5'7", 129 lbs., 32dd) and it's not super see-through, but i'd never be comfortable wearing it as a dress on its own. as a beach cover-up it's cute and comfortable, but as a dress it would be</v>
      </c>
      <c r="F506" s="8">
        <f>IFERROR(__xludf.DUMMYFUNCTION("""COMPUTED_VALUE"""),4.0)</f>
        <v>4</v>
      </c>
      <c r="G506" s="8">
        <f>IFERROR(__xludf.DUMMYFUNCTION("""COMPUTED_VALUE"""),1.0)</f>
        <v>1</v>
      </c>
      <c r="H506" s="8">
        <f>IFERROR(__xludf.DUMMYFUNCTION("""COMPUTED_VALUE"""),2.0)</f>
        <v>2</v>
      </c>
      <c r="I506" s="8" t="str">
        <f>IFERROR(__xludf.DUMMYFUNCTION("""COMPUTED_VALUE"""),"General Petite")</f>
        <v>General Petite</v>
      </c>
      <c r="J506" s="8" t="str">
        <f>IFERROR(__xludf.DUMMYFUNCTION("""COMPUTED_VALUE"""),"Intimate")</f>
        <v>Intimate</v>
      </c>
      <c r="K506" s="8" t="str">
        <f>IFERROR(__xludf.DUMMYFUNCTION("""COMPUTED_VALUE"""),"Lounge")</f>
        <v>Lounge</v>
      </c>
    </row>
    <row r="507">
      <c r="A507" s="8">
        <f>IFERROR(__xludf.DUMMYFUNCTION("""COMPUTED_VALUE"""),645.0)</f>
        <v>645</v>
      </c>
      <c r="B507" s="8">
        <f>IFERROR(__xludf.DUMMYFUNCTION("""COMPUTED_VALUE"""),634.0)</f>
        <v>634</v>
      </c>
      <c r="C507" s="8">
        <f>IFERROR(__xludf.DUMMYFUNCTION("""COMPUTED_VALUE"""),36.0)</f>
        <v>36</v>
      </c>
      <c r="D507" s="8"/>
      <c r="E507" s="8" t="str">
        <f>IFERROR(__xludf.DUMMYFUNCTION("""COMPUTED_VALUE"""),"This is a great casual summer dress. cute as a cover up but in the black you can definitely wear it for daytime. if you're feeling bare throw on a white button down or chambray.")</f>
        <v>This is a great casual summer dress. cute as a cover up but in the black you can definitely wear it for daytime. if you're feeling bare throw on a white button down or chambray.</v>
      </c>
      <c r="F507" s="8">
        <f>IFERROR(__xludf.DUMMYFUNCTION("""COMPUTED_VALUE"""),4.0)</f>
        <v>4</v>
      </c>
      <c r="G507" s="8">
        <f>IFERROR(__xludf.DUMMYFUNCTION("""COMPUTED_VALUE"""),1.0)</f>
        <v>1</v>
      </c>
      <c r="H507" s="8">
        <f>IFERROR(__xludf.DUMMYFUNCTION("""COMPUTED_VALUE"""),1.0)</f>
        <v>1</v>
      </c>
      <c r="I507" s="8" t="str">
        <f>IFERROR(__xludf.DUMMYFUNCTION("""COMPUTED_VALUE"""),"General Petite")</f>
        <v>General Petite</v>
      </c>
      <c r="J507" s="8" t="str">
        <f>IFERROR(__xludf.DUMMYFUNCTION("""COMPUTED_VALUE"""),"Intimate")</f>
        <v>Intimate</v>
      </c>
      <c r="K507" s="8" t="str">
        <f>IFERROR(__xludf.DUMMYFUNCTION("""COMPUTED_VALUE"""),"Lounge")</f>
        <v>Lounge</v>
      </c>
    </row>
    <row r="508">
      <c r="A508" s="8">
        <f>IFERROR(__xludf.DUMMYFUNCTION("""COMPUTED_VALUE"""),647.0)</f>
        <v>647</v>
      </c>
      <c r="B508" s="8">
        <f>IFERROR(__xludf.DUMMYFUNCTION("""COMPUTED_VALUE"""),985.0)</f>
        <v>985</v>
      </c>
      <c r="C508" s="8">
        <f>IFERROR(__xludf.DUMMYFUNCTION("""COMPUTED_VALUE"""),30.0)</f>
        <v>30</v>
      </c>
      <c r="D508" s="8"/>
      <c r="E508" s="8" t="str">
        <f>IFERROR(__xludf.DUMMYFUNCTION("""COMPUTED_VALUE"""),"This is a great silhouette and the red/black plaid will be perfect for fall. it will look great with black bottoms or with jeans. the only reason i gave it 4 instead of 5 stars is that the outer shell fabric (the plaid) is a rayon twill that is a little b"&amp;"it lightweight for the silhouette, so it is bagging out a little around the zipper and the pockets. i'm hoping the quality will hold up. i bought this same jacket in a heavier weight camoflage printed tencel this spring from the same brand, and")</f>
        <v>This is a great silhouette and the red/black plaid will be perfect for fall. it will look great with black bottoms or with jeans. the only reason i gave it 4 instead of 5 stars is that the outer shell fabric (the plaid) is a rayon twill that is a little bit lightweight for the silhouette, so it is bagging out a little around the zipper and the pockets. i'm hoping the quality will hold up. i bought this same jacket in a heavier weight camoflage printed tencel this spring from the same brand, and</v>
      </c>
      <c r="F508" s="8">
        <f>IFERROR(__xludf.DUMMYFUNCTION("""COMPUTED_VALUE"""),4.0)</f>
        <v>4</v>
      </c>
      <c r="G508" s="8">
        <f>IFERROR(__xludf.DUMMYFUNCTION("""COMPUTED_VALUE"""),1.0)</f>
        <v>1</v>
      </c>
      <c r="H508" s="8">
        <f>IFERROR(__xludf.DUMMYFUNCTION("""COMPUTED_VALUE"""),1.0)</f>
        <v>1</v>
      </c>
      <c r="I508" s="8" t="str">
        <f>IFERROR(__xludf.DUMMYFUNCTION("""COMPUTED_VALUE"""),"General")</f>
        <v>General</v>
      </c>
      <c r="J508" s="8" t="str">
        <f>IFERROR(__xludf.DUMMYFUNCTION("""COMPUTED_VALUE"""),"Jackets")</f>
        <v>Jackets</v>
      </c>
      <c r="K508" s="8" t="str">
        <f>IFERROR(__xludf.DUMMYFUNCTION("""COMPUTED_VALUE"""),"Jackets")</f>
        <v>Jackets</v>
      </c>
    </row>
    <row r="509">
      <c r="A509" s="8">
        <f>IFERROR(__xludf.DUMMYFUNCTION("""COMPUTED_VALUE"""),648.0)</f>
        <v>648</v>
      </c>
      <c r="B509" s="8">
        <f>IFERROR(__xludf.DUMMYFUNCTION("""COMPUTED_VALUE"""),252.0)</f>
        <v>252</v>
      </c>
      <c r="C509" s="8">
        <f>IFERROR(__xludf.DUMMYFUNCTION("""COMPUTED_VALUE"""),35.0)</f>
        <v>35</v>
      </c>
      <c r="D509" s="8" t="str">
        <f>IFERROR(__xludf.DUMMYFUNCTION("""COMPUTED_VALUE"""),"Wonderful swimsuit")</f>
        <v>Wonderful swimsuit</v>
      </c>
      <c r="E509" s="8" t="str">
        <f>IFERROR(__xludf.DUMMYFUNCTION("""COMPUTED_VALUE"""),"This swimsuit fits exactly as i had hoped. i purchased it in the teal dot and it is a little brighter than in the photos, but i ended up liking that better. it is well made with thick (but not too thick) lined material. also, i was initially worried that "&amp;"the deep v-neck may be too deep for my liking, but once i had it on,it looked classic and not showy. i love the suit.")</f>
        <v>This swimsuit fits exactly as i had hoped. i purchased it in the teal dot and it is a little brighter than in the photos, but i ended up liking that better. it is well made with thick (but not too thick) lined material. also, i was initially worried that the deep v-neck may be too deep for my liking, but once i had it on,it looked classic and not showy. i love the suit.</v>
      </c>
      <c r="F509" s="8">
        <f>IFERROR(__xludf.DUMMYFUNCTION("""COMPUTED_VALUE"""),5.0)</f>
        <v>5</v>
      </c>
      <c r="G509" s="8">
        <f>IFERROR(__xludf.DUMMYFUNCTION("""COMPUTED_VALUE"""),1.0)</f>
        <v>1</v>
      </c>
      <c r="H509" s="8">
        <f>IFERROR(__xludf.DUMMYFUNCTION("""COMPUTED_VALUE"""),0.0)</f>
        <v>0</v>
      </c>
      <c r="I509" s="8" t="str">
        <f>IFERROR(__xludf.DUMMYFUNCTION("""COMPUTED_VALUE"""),"Initmates")</f>
        <v>Initmates</v>
      </c>
      <c r="J509" s="8" t="str">
        <f>IFERROR(__xludf.DUMMYFUNCTION("""COMPUTED_VALUE"""),"Intimate")</f>
        <v>Intimate</v>
      </c>
      <c r="K509" s="8" t="str">
        <f>IFERROR(__xludf.DUMMYFUNCTION("""COMPUTED_VALUE"""),"Swim")</f>
        <v>Swim</v>
      </c>
    </row>
    <row r="510">
      <c r="A510" s="8">
        <f>IFERROR(__xludf.DUMMYFUNCTION("""COMPUTED_VALUE"""),649.0)</f>
        <v>649</v>
      </c>
      <c r="B510" s="8">
        <f>IFERROR(__xludf.DUMMYFUNCTION("""COMPUTED_VALUE"""),1059.0)</f>
        <v>1059</v>
      </c>
      <c r="C510" s="8">
        <f>IFERROR(__xludf.DUMMYFUNCTION("""COMPUTED_VALUE"""),48.0)</f>
        <v>48</v>
      </c>
      <c r="D510" s="8" t="str">
        <f>IFERROR(__xludf.DUMMYFUNCTION("""COMPUTED_VALUE"""),"Gerat pants")</f>
        <v>Gerat pants</v>
      </c>
      <c r="E510" s="8" t="str">
        <f>IFERROR(__xludf.DUMMYFUNCTION("""COMPUTED_VALUE"""),"I love these pants. i bought as basic pants to dress up or down and they look good with flats or heels. also i like you can wash instead of dry clean.")</f>
        <v>I love these pants. i bought as basic pants to dress up or down and they look good with flats or heels. also i like you can wash instead of dry clean.</v>
      </c>
      <c r="F510" s="8">
        <f>IFERROR(__xludf.DUMMYFUNCTION("""COMPUTED_VALUE"""),5.0)</f>
        <v>5</v>
      </c>
      <c r="G510" s="8">
        <f>IFERROR(__xludf.DUMMYFUNCTION("""COMPUTED_VALUE"""),1.0)</f>
        <v>1</v>
      </c>
      <c r="H510" s="8">
        <f>IFERROR(__xludf.DUMMYFUNCTION("""COMPUTED_VALUE"""),0.0)</f>
        <v>0</v>
      </c>
      <c r="I510" s="8" t="str">
        <f>IFERROR(__xludf.DUMMYFUNCTION("""COMPUTED_VALUE"""),"General")</f>
        <v>General</v>
      </c>
      <c r="J510" s="8" t="str">
        <f>IFERROR(__xludf.DUMMYFUNCTION("""COMPUTED_VALUE"""),"Bottoms")</f>
        <v>Bottoms</v>
      </c>
      <c r="K510" s="8" t="str">
        <f>IFERROR(__xludf.DUMMYFUNCTION("""COMPUTED_VALUE"""),"Pants")</f>
        <v>Pants</v>
      </c>
    </row>
    <row r="511">
      <c r="A511" s="8">
        <f>IFERROR(__xludf.DUMMYFUNCTION("""COMPUTED_VALUE"""),650.0)</f>
        <v>650</v>
      </c>
      <c r="B511" s="8">
        <f>IFERROR(__xludf.DUMMYFUNCTION("""COMPUTED_VALUE"""),1059.0)</f>
        <v>1059</v>
      </c>
      <c r="C511" s="8">
        <f>IFERROR(__xludf.DUMMYFUNCTION("""COMPUTED_VALUE"""),49.0)</f>
        <v>49</v>
      </c>
      <c r="D511" s="8" t="str">
        <f>IFERROR(__xludf.DUMMYFUNCTION("""COMPUTED_VALUE"""),"Great pants that don't get baggy")</f>
        <v>Great pants that don't get baggy</v>
      </c>
      <c r="E511" s="8" t="str">
        <f>IFERROR(__xludf.DUMMYFUNCTION("""COMPUTED_VALUE"""),"These pants are awesome - please make them in other colors besides black and navy!")</f>
        <v>These pants are awesome - please make them in other colors besides black and navy!</v>
      </c>
      <c r="F511" s="8">
        <f>IFERROR(__xludf.DUMMYFUNCTION("""COMPUTED_VALUE"""),5.0)</f>
        <v>5</v>
      </c>
      <c r="G511" s="8">
        <f>IFERROR(__xludf.DUMMYFUNCTION("""COMPUTED_VALUE"""),1.0)</f>
        <v>1</v>
      </c>
      <c r="H511" s="8">
        <f>IFERROR(__xludf.DUMMYFUNCTION("""COMPUTED_VALUE"""),1.0)</f>
        <v>1</v>
      </c>
      <c r="I511" s="8" t="str">
        <f>IFERROR(__xludf.DUMMYFUNCTION("""COMPUTED_VALUE"""),"General")</f>
        <v>General</v>
      </c>
      <c r="J511" s="8" t="str">
        <f>IFERROR(__xludf.DUMMYFUNCTION("""COMPUTED_VALUE"""),"Bottoms")</f>
        <v>Bottoms</v>
      </c>
      <c r="K511" s="8" t="str">
        <f>IFERROR(__xludf.DUMMYFUNCTION("""COMPUTED_VALUE"""),"Pants")</f>
        <v>Pants</v>
      </c>
    </row>
    <row r="512">
      <c r="A512" s="8">
        <f>IFERROR(__xludf.DUMMYFUNCTION("""COMPUTED_VALUE"""),651.0)</f>
        <v>651</v>
      </c>
      <c r="B512" s="8">
        <f>IFERROR(__xludf.DUMMYFUNCTION("""COMPUTED_VALUE"""),252.0)</f>
        <v>252</v>
      </c>
      <c r="C512" s="8">
        <f>IFERROR(__xludf.DUMMYFUNCTION("""COMPUTED_VALUE"""),70.0)</f>
        <v>70</v>
      </c>
      <c r="D512" s="8" t="str">
        <f>IFERROR(__xludf.DUMMYFUNCTION("""COMPUTED_VALUE"""),"The perfect swimsuit - functional and stunning!")</f>
        <v>The perfect swimsuit - functional and stunning!</v>
      </c>
      <c r="E512" s="8" t="str">
        <f>IFERROR(__xludf.DUMMYFUNCTION("""COMPUTED_VALUE"""),"This is an amazing swimsuit. i had been on the hunt for the perfect one piece. i wanted something a bit on the modest side, but still sexy, and i hoped for a unique print that would make it stand out. the icing on the cake would be a suit that is function"&amp;"al enough to either lay poolside or scuba dive. enter this swimsuit from retailer. i fell in love with the teal dot print as it's unlike anything else i've seen - it's absolutely spectacular in person. i love the vibrant blue and the chic d")</f>
        <v>This is an amazing swimsuit. i had been on the hunt for the perfect one piece. i wanted something a bit on the modest side, but still sexy, and i hoped for a unique print that would make it stand out. the icing on the cake would be a suit that is functional enough to either lay poolside or scuba dive. enter this swimsuit from retailer. i fell in love with the teal dot print as it's unlike anything else i've seen - it's absolutely spectacular in person. i love the vibrant blue and the chic d</v>
      </c>
      <c r="F512" s="8">
        <f>IFERROR(__xludf.DUMMYFUNCTION("""COMPUTED_VALUE"""),5.0)</f>
        <v>5</v>
      </c>
      <c r="G512" s="8">
        <f>IFERROR(__xludf.DUMMYFUNCTION("""COMPUTED_VALUE"""),1.0)</f>
        <v>1</v>
      </c>
      <c r="H512" s="8">
        <f>IFERROR(__xludf.DUMMYFUNCTION("""COMPUTED_VALUE"""),11.0)</f>
        <v>11</v>
      </c>
      <c r="I512" s="8" t="str">
        <f>IFERROR(__xludf.DUMMYFUNCTION("""COMPUTED_VALUE"""),"Initmates")</f>
        <v>Initmates</v>
      </c>
      <c r="J512" s="8" t="str">
        <f>IFERROR(__xludf.DUMMYFUNCTION("""COMPUTED_VALUE"""),"Intimate")</f>
        <v>Intimate</v>
      </c>
      <c r="K512" s="8" t="str">
        <f>IFERROR(__xludf.DUMMYFUNCTION("""COMPUTED_VALUE"""),"Swim")</f>
        <v>Swim</v>
      </c>
    </row>
    <row r="513">
      <c r="A513" s="8">
        <f>IFERROR(__xludf.DUMMYFUNCTION("""COMPUTED_VALUE"""),652.0)</f>
        <v>652</v>
      </c>
      <c r="B513" s="8">
        <f>IFERROR(__xludf.DUMMYFUNCTION("""COMPUTED_VALUE"""),1059.0)</f>
        <v>1059</v>
      </c>
      <c r="C513" s="8">
        <f>IFERROR(__xludf.DUMMYFUNCTION("""COMPUTED_VALUE"""),40.0)</f>
        <v>40</v>
      </c>
      <c r="D513" s="8"/>
      <c r="E513" s="8" t="str">
        <f>IFERROR(__xludf.DUMMYFUNCTION("""COMPUTED_VALUE"""),"I really love these pants. just the right fabric, not too thick. so comfy. i do feel they run a bit big. they stretch out quickly so if you are in between sized, choose the smaller one.")</f>
        <v>I really love these pants. just the right fabric, not too thick. so comfy. i do feel they run a bit big. they stretch out quickly so if you are in between sized, choose the smaller one.</v>
      </c>
      <c r="F513" s="8">
        <f>IFERROR(__xludf.DUMMYFUNCTION("""COMPUTED_VALUE"""),5.0)</f>
        <v>5</v>
      </c>
      <c r="G513" s="8">
        <f>IFERROR(__xludf.DUMMYFUNCTION("""COMPUTED_VALUE"""),1.0)</f>
        <v>1</v>
      </c>
      <c r="H513" s="8">
        <f>IFERROR(__xludf.DUMMYFUNCTION("""COMPUTED_VALUE"""),8.0)</f>
        <v>8</v>
      </c>
      <c r="I513" s="8" t="str">
        <f>IFERROR(__xludf.DUMMYFUNCTION("""COMPUTED_VALUE"""),"General")</f>
        <v>General</v>
      </c>
      <c r="J513" s="8" t="str">
        <f>IFERROR(__xludf.DUMMYFUNCTION("""COMPUTED_VALUE"""),"Bottoms")</f>
        <v>Bottoms</v>
      </c>
      <c r="K513" s="8" t="str">
        <f>IFERROR(__xludf.DUMMYFUNCTION("""COMPUTED_VALUE"""),"Pants")</f>
        <v>Pants</v>
      </c>
    </row>
    <row r="514">
      <c r="A514" s="8">
        <f>IFERROR(__xludf.DUMMYFUNCTION("""COMPUTED_VALUE"""),654.0)</f>
        <v>654</v>
      </c>
      <c r="B514" s="8">
        <f>IFERROR(__xludf.DUMMYFUNCTION("""COMPUTED_VALUE"""),252.0)</f>
        <v>252</v>
      </c>
      <c r="C514" s="8">
        <f>IFERROR(__xludf.DUMMYFUNCTION("""COMPUTED_VALUE"""),27.0)</f>
        <v>27</v>
      </c>
      <c r="D514" s="8" t="str">
        <f>IFERROR(__xludf.DUMMYFUNCTION("""COMPUTED_VALUE"""),"Perfection")</f>
        <v>Perfection</v>
      </c>
      <c r="E514" s="8" t="str">
        <f>IFERROR(__xludf.DUMMYFUNCTION("""COMPUTED_VALUE"""),"I had been searching for a swimsuit that flattered my baby bump and this is it - i'm in love! for reference, i am 5'6"",170-180, 10-12 or m-l depending on the item. however, i'm currently 19 weeks pregnant so im about 185 and growing - so i went with the "&amp;"xl swimsuit. i have a 36c/38d bust and although there is no true support in the top of this suit, it holds the girls in and the deep plunge is just the right amount of sexy. the bottom has modest coverage, showing just a little bit of cheek. i go")</f>
        <v>I had been searching for a swimsuit that flattered my baby bump and this is it - i'm in love! for reference, i am 5'6",170-180, 10-12 or m-l depending on the item. however, i'm currently 19 weeks pregnant so im about 185 and growing - so i went with the xl swimsuit. i have a 36c/38d bust and although there is no true support in the top of this suit, it holds the girls in and the deep plunge is just the right amount of sexy. the bottom has modest coverage, showing just a little bit of cheek. i go</v>
      </c>
      <c r="F514" s="8">
        <f>IFERROR(__xludf.DUMMYFUNCTION("""COMPUTED_VALUE"""),5.0)</f>
        <v>5</v>
      </c>
      <c r="G514" s="8">
        <f>IFERROR(__xludf.DUMMYFUNCTION("""COMPUTED_VALUE"""),1.0)</f>
        <v>1</v>
      </c>
      <c r="H514" s="8">
        <f>IFERROR(__xludf.DUMMYFUNCTION("""COMPUTED_VALUE"""),0.0)</f>
        <v>0</v>
      </c>
      <c r="I514" s="8" t="str">
        <f>IFERROR(__xludf.DUMMYFUNCTION("""COMPUTED_VALUE"""),"Initmates")</f>
        <v>Initmates</v>
      </c>
      <c r="J514" s="8" t="str">
        <f>IFERROR(__xludf.DUMMYFUNCTION("""COMPUTED_VALUE"""),"Intimate")</f>
        <v>Intimate</v>
      </c>
      <c r="K514" s="8" t="str">
        <f>IFERROR(__xludf.DUMMYFUNCTION("""COMPUTED_VALUE"""),"Swim")</f>
        <v>Swim</v>
      </c>
    </row>
    <row r="515">
      <c r="A515" s="8">
        <f>IFERROR(__xludf.DUMMYFUNCTION("""COMPUTED_VALUE"""),655.0)</f>
        <v>655</v>
      </c>
      <c r="B515" s="8">
        <f>IFERROR(__xludf.DUMMYFUNCTION("""COMPUTED_VALUE"""),1008.0)</f>
        <v>1008</v>
      </c>
      <c r="C515" s="8">
        <f>IFERROR(__xludf.DUMMYFUNCTION("""COMPUTED_VALUE"""),46.0)</f>
        <v>46</v>
      </c>
      <c r="D515" s="8" t="str">
        <f>IFERROR(__xludf.DUMMYFUNCTION("""COMPUTED_VALUE"""),"Love it!")</f>
        <v>Love it!</v>
      </c>
      <c r="E515" s="8" t="str">
        <f>IFERROR(__xludf.DUMMYFUNCTION("""COMPUTED_VALUE"""),"I bought the first skirt at the store. loved it so much i went online and found this one and bought it too!")</f>
        <v>I bought the first skirt at the store. loved it so much i went online and found this one and bought it too!</v>
      </c>
      <c r="F515" s="8">
        <f>IFERROR(__xludf.DUMMYFUNCTION("""COMPUTED_VALUE"""),5.0)</f>
        <v>5</v>
      </c>
      <c r="G515" s="8">
        <f>IFERROR(__xludf.DUMMYFUNCTION("""COMPUTED_VALUE"""),1.0)</f>
        <v>1</v>
      </c>
      <c r="H515" s="8">
        <f>IFERROR(__xludf.DUMMYFUNCTION("""COMPUTED_VALUE"""),1.0)</f>
        <v>1</v>
      </c>
      <c r="I515" s="8" t="str">
        <f>IFERROR(__xludf.DUMMYFUNCTION("""COMPUTED_VALUE"""),"General")</f>
        <v>General</v>
      </c>
      <c r="J515" s="8" t="str">
        <f>IFERROR(__xludf.DUMMYFUNCTION("""COMPUTED_VALUE"""),"Bottoms")</f>
        <v>Bottoms</v>
      </c>
      <c r="K515" s="8" t="str">
        <f>IFERROR(__xludf.DUMMYFUNCTION("""COMPUTED_VALUE"""),"Skirts")</f>
        <v>Skirts</v>
      </c>
    </row>
    <row r="516">
      <c r="A516" s="8">
        <f>IFERROR(__xludf.DUMMYFUNCTION("""COMPUTED_VALUE"""),656.0)</f>
        <v>656</v>
      </c>
      <c r="B516" s="8">
        <f>IFERROR(__xludf.DUMMYFUNCTION("""COMPUTED_VALUE"""),943.0)</f>
        <v>943</v>
      </c>
      <c r="C516" s="8">
        <f>IFERROR(__xludf.DUMMYFUNCTION("""COMPUTED_VALUE"""),50.0)</f>
        <v>50</v>
      </c>
      <c r="D516" s="8" t="str">
        <f>IFERROR(__xludf.DUMMYFUNCTION("""COMPUTED_VALUE"""),"Thick and beautiful sweater!")</f>
        <v>Thick and beautiful sweater!</v>
      </c>
      <c r="E516" s="8" t="str">
        <f>IFERROR(__xludf.DUMMYFUNCTION("""COMPUTED_VALUE"""),"I put this runs small but it's a little more tts, except the arms are very slim! if you like to push your sleeves up like this model, you will have to wait for a while to see if the sweater loosens up. length wise it fit me a bit longer than this model an"&amp;"d i'm a petite. the color is also darker and not as red as in this sweaters, which i actually prefer. the sweater is much thicker than my other cashmere sweaters. some of the stitching seems stick out as if the sweater is worn inside out, but th")</f>
        <v>I put this runs small but it's a little more tts, except the arms are very slim! if you like to push your sleeves up like this model, you will have to wait for a while to see if the sweater loosens up. length wise it fit me a bit longer than this model and i'm a petite. the color is also darker and not as red as in this sweaters, which i actually prefer. the sweater is much thicker than my other cashmere sweaters. some of the stitching seems stick out as if the sweater is worn inside out, but th</v>
      </c>
      <c r="F516" s="8">
        <f>IFERROR(__xludf.DUMMYFUNCTION("""COMPUTED_VALUE"""),5.0)</f>
        <v>5</v>
      </c>
      <c r="G516" s="8">
        <f>IFERROR(__xludf.DUMMYFUNCTION("""COMPUTED_VALUE"""),1.0)</f>
        <v>1</v>
      </c>
      <c r="H516" s="8">
        <f>IFERROR(__xludf.DUMMYFUNCTION("""COMPUTED_VALUE"""),0.0)</f>
        <v>0</v>
      </c>
      <c r="I516" s="8" t="str">
        <f>IFERROR(__xludf.DUMMYFUNCTION("""COMPUTED_VALUE"""),"General")</f>
        <v>General</v>
      </c>
      <c r="J516" s="8" t="str">
        <f>IFERROR(__xludf.DUMMYFUNCTION("""COMPUTED_VALUE"""),"Tops")</f>
        <v>Tops</v>
      </c>
      <c r="K516" s="8" t="str">
        <f>IFERROR(__xludf.DUMMYFUNCTION("""COMPUTED_VALUE"""),"Sweaters")</f>
        <v>Sweaters</v>
      </c>
    </row>
    <row r="517">
      <c r="A517" s="8">
        <f>IFERROR(__xludf.DUMMYFUNCTION("""COMPUTED_VALUE"""),658.0)</f>
        <v>658</v>
      </c>
      <c r="B517" s="8">
        <f>IFERROR(__xludf.DUMMYFUNCTION("""COMPUTED_VALUE"""),1008.0)</f>
        <v>1008</v>
      </c>
      <c r="C517" s="8">
        <f>IFERROR(__xludf.DUMMYFUNCTION("""COMPUTED_VALUE"""),22.0)</f>
        <v>22</v>
      </c>
      <c r="D517" s="8"/>
      <c r="E517" s="8" t="str">
        <f>IFERROR(__xludf.DUMMYFUNCTION("""COMPUTED_VALUE"""),"Love the fabric fit and cut of this skirt. it hits at just the perfect spot but runs a little large and is more flattering when sizing down (atleast on me) .")</f>
        <v>Love the fabric fit and cut of this skirt. it hits at just the perfect spot but runs a little large and is more flattering when sizing down (atleast on me) .</v>
      </c>
      <c r="F517" s="8">
        <f>IFERROR(__xludf.DUMMYFUNCTION("""COMPUTED_VALUE"""),5.0)</f>
        <v>5</v>
      </c>
      <c r="G517" s="8">
        <f>IFERROR(__xludf.DUMMYFUNCTION("""COMPUTED_VALUE"""),1.0)</f>
        <v>1</v>
      </c>
      <c r="H517" s="8">
        <f>IFERROR(__xludf.DUMMYFUNCTION("""COMPUTED_VALUE"""),1.0)</f>
        <v>1</v>
      </c>
      <c r="I517" s="8" t="str">
        <f>IFERROR(__xludf.DUMMYFUNCTION("""COMPUTED_VALUE"""),"General")</f>
        <v>General</v>
      </c>
      <c r="J517" s="8" t="str">
        <f>IFERROR(__xludf.DUMMYFUNCTION("""COMPUTED_VALUE"""),"Bottoms")</f>
        <v>Bottoms</v>
      </c>
      <c r="K517" s="8" t="str">
        <f>IFERROR(__xludf.DUMMYFUNCTION("""COMPUTED_VALUE"""),"Skirts")</f>
        <v>Skirts</v>
      </c>
    </row>
    <row r="518">
      <c r="A518" s="8">
        <f>IFERROR(__xludf.DUMMYFUNCTION("""COMPUTED_VALUE"""),659.0)</f>
        <v>659</v>
      </c>
      <c r="B518" s="8">
        <f>IFERROR(__xludf.DUMMYFUNCTION("""COMPUTED_VALUE"""),252.0)</f>
        <v>252</v>
      </c>
      <c r="C518" s="8">
        <f>IFERROR(__xludf.DUMMYFUNCTION("""COMPUTED_VALUE"""),93.0)</f>
        <v>93</v>
      </c>
      <c r="D518" s="8" t="str">
        <f>IFERROR(__xludf.DUMMYFUNCTION("""COMPUTED_VALUE"""),"Amazing suit!")</f>
        <v>Amazing suit!</v>
      </c>
      <c r="E518" s="8" t="str">
        <f>IFERROR(__xludf.DUMMYFUNCTION("""COMPUTED_VALUE"""),"This is by far the cutest, most glamorous one piece i have ever tried on! it fits perfectly and is flattering in the right places, it doesn't show too much cleavage and is modest enough for family events. absolutely love this suit in navy. wasn't in love "&amp;"with the rest of the patterns, hoping they come out in more solid colors someday soon!")</f>
        <v>This is by far the cutest, most glamorous one piece i have ever tried on! it fits perfectly and is flattering in the right places, it doesn't show too much cleavage and is modest enough for family events. absolutely love this suit in navy. wasn't in love with the rest of the patterns, hoping they come out in more solid colors someday soon!</v>
      </c>
      <c r="F518" s="8">
        <f>IFERROR(__xludf.DUMMYFUNCTION("""COMPUTED_VALUE"""),5.0)</f>
        <v>5</v>
      </c>
      <c r="G518" s="8">
        <f>IFERROR(__xludf.DUMMYFUNCTION("""COMPUTED_VALUE"""),1.0)</f>
        <v>1</v>
      </c>
      <c r="H518" s="8">
        <f>IFERROR(__xludf.DUMMYFUNCTION("""COMPUTED_VALUE"""),3.0)</f>
        <v>3</v>
      </c>
      <c r="I518" s="8" t="str">
        <f>IFERROR(__xludf.DUMMYFUNCTION("""COMPUTED_VALUE"""),"Initmates")</f>
        <v>Initmates</v>
      </c>
      <c r="J518" s="8" t="str">
        <f>IFERROR(__xludf.DUMMYFUNCTION("""COMPUTED_VALUE"""),"Intimate")</f>
        <v>Intimate</v>
      </c>
      <c r="K518" s="8" t="str">
        <f>IFERROR(__xludf.DUMMYFUNCTION("""COMPUTED_VALUE"""),"Swim")</f>
        <v>Swim</v>
      </c>
    </row>
    <row r="519">
      <c r="A519" s="8">
        <f>IFERROR(__xludf.DUMMYFUNCTION("""COMPUTED_VALUE"""),660.0)</f>
        <v>660</v>
      </c>
      <c r="B519" s="8">
        <f>IFERROR(__xludf.DUMMYFUNCTION("""COMPUTED_VALUE"""),838.0)</f>
        <v>838</v>
      </c>
      <c r="C519" s="8">
        <f>IFERROR(__xludf.DUMMYFUNCTION("""COMPUTED_VALUE"""),43.0)</f>
        <v>43</v>
      </c>
      <c r="D519" s="8" t="str">
        <f>IFERROR(__xludf.DUMMYFUNCTION("""COMPUTED_VALUE"""),"Uniform top")</f>
        <v>Uniform top</v>
      </c>
      <c r="E519" s="8" t="str">
        <f>IFERROR(__xludf.DUMMYFUNCTION("""COMPUTED_VALUE"""),"I don't normally try on tops like this but i liked the product shot so much that i wanted to repeat the outfit. i grabbed a large because it wasa shorter blouse. it was huge. i sized down to the medium and it was still loose but if i were to purchase, it "&amp;"would be that size. the red against the blue was very pretty but i didn't know if felt like a little kid in a uniform. the back did not lie flat, not sure if it was because of my 36d chest or because of the shirt design. it is well made and i th")</f>
        <v>I don't normally try on tops like this but i liked the product shot so much that i wanted to repeat the outfit. i grabbed a large because it wasa shorter blouse. it was huge. i sized down to the medium and it was still loose but if i were to purchase, it would be that size. the red against the blue was very pretty but i didn't know if felt like a little kid in a uniform. the back did not lie flat, not sure if it was because of my 36d chest or because of the shirt design. it is well made and i th</v>
      </c>
      <c r="F519" s="8">
        <f>IFERROR(__xludf.DUMMYFUNCTION("""COMPUTED_VALUE"""),5.0)</f>
        <v>5</v>
      </c>
      <c r="G519" s="8">
        <f>IFERROR(__xludf.DUMMYFUNCTION("""COMPUTED_VALUE"""),1.0)</f>
        <v>1</v>
      </c>
      <c r="H519" s="8">
        <f>IFERROR(__xludf.DUMMYFUNCTION("""COMPUTED_VALUE"""),10.0)</f>
        <v>10</v>
      </c>
      <c r="I519" s="8" t="str">
        <f>IFERROR(__xludf.DUMMYFUNCTION("""COMPUTED_VALUE"""),"General")</f>
        <v>General</v>
      </c>
      <c r="J519" s="8" t="str">
        <f>IFERROR(__xludf.DUMMYFUNCTION("""COMPUTED_VALUE"""),"Tops")</f>
        <v>Tops</v>
      </c>
      <c r="K519" s="8" t="str">
        <f>IFERROR(__xludf.DUMMYFUNCTION("""COMPUTED_VALUE"""),"Blouses")</f>
        <v>Blouses</v>
      </c>
    </row>
    <row r="520">
      <c r="A520" s="8">
        <f>IFERROR(__xludf.DUMMYFUNCTION("""COMPUTED_VALUE"""),661.0)</f>
        <v>661</v>
      </c>
      <c r="B520" s="8">
        <f>IFERROR(__xludf.DUMMYFUNCTION("""COMPUTED_VALUE"""),1059.0)</f>
        <v>1059</v>
      </c>
      <c r="C520" s="8">
        <f>IFERROR(__xludf.DUMMYFUNCTION("""COMPUTED_VALUE"""),67.0)</f>
        <v>67</v>
      </c>
      <c r="D520" s="8" t="str">
        <f>IFERROR(__xludf.DUMMYFUNCTION("""COMPUTED_VALUE"""),"Perfect 24/7")</f>
        <v>Perfect 24/7</v>
      </c>
      <c r="E520" s="8" t="str">
        <f>IFERROR(__xludf.DUMMYFUNCTION("""COMPUTED_VALUE"""),"I love this ankle length pant. it is so comfortable wear it with a tunic or tee. i can wear this for 3 seasons!")</f>
        <v>I love this ankle length pant. it is so comfortable wear it with a tunic or tee. i can wear this for 3 seasons!</v>
      </c>
      <c r="F520" s="8">
        <f>IFERROR(__xludf.DUMMYFUNCTION("""COMPUTED_VALUE"""),5.0)</f>
        <v>5</v>
      </c>
      <c r="G520" s="8">
        <f>IFERROR(__xludf.DUMMYFUNCTION("""COMPUTED_VALUE"""),1.0)</f>
        <v>1</v>
      </c>
      <c r="H520" s="8">
        <f>IFERROR(__xludf.DUMMYFUNCTION("""COMPUTED_VALUE"""),4.0)</f>
        <v>4</v>
      </c>
      <c r="I520" s="8" t="str">
        <f>IFERROR(__xludf.DUMMYFUNCTION("""COMPUTED_VALUE"""),"General")</f>
        <v>General</v>
      </c>
      <c r="J520" s="8" t="str">
        <f>IFERROR(__xludf.DUMMYFUNCTION("""COMPUTED_VALUE"""),"Bottoms")</f>
        <v>Bottoms</v>
      </c>
      <c r="K520" s="8" t="str">
        <f>IFERROR(__xludf.DUMMYFUNCTION("""COMPUTED_VALUE"""),"Pants")</f>
        <v>Pants</v>
      </c>
    </row>
    <row r="521">
      <c r="A521" s="8">
        <f>IFERROR(__xludf.DUMMYFUNCTION("""COMPUTED_VALUE"""),662.0)</f>
        <v>662</v>
      </c>
      <c r="B521" s="8">
        <f>IFERROR(__xludf.DUMMYFUNCTION("""COMPUTED_VALUE"""),1059.0)</f>
        <v>1059</v>
      </c>
      <c r="C521" s="8">
        <f>IFERROR(__xludf.DUMMYFUNCTION("""COMPUTED_VALUE"""),45.0)</f>
        <v>45</v>
      </c>
      <c r="D521" s="8" t="str">
        <f>IFERROR(__xludf.DUMMYFUNCTION("""COMPUTED_VALUE"""),"Super comfy and great fit!")</f>
        <v>Super comfy and great fit!</v>
      </c>
      <c r="E521" s="8" t="str">
        <f>IFERROR(__xludf.DUMMYFUNCTION("""COMPUTED_VALUE"""),"I think this is the first time i've successfully purchased pants online. i normally have to try a bunch of styles and sizes on before i find the right ones. i gave it a shot with these, and bingo! they are great! they are a bit longer on me than on the mo"&amp;"del, because i am 5'3"" and did not order a petite. i still like how they look, hitting just above my ankle. just the right blend of conservative and cool for lecturing in front of college undergrads.")</f>
        <v>I think this is the first time i've successfully purchased pants online. i normally have to try a bunch of styles and sizes on before i find the right ones. i gave it a shot with these, and bingo! they are great! they are a bit longer on me than on the model, because i am 5'3" and did not order a petite. i still like how they look, hitting just above my ankle. just the right blend of conservative and cool for lecturing in front of college undergrads.</v>
      </c>
      <c r="F521" s="8">
        <f>IFERROR(__xludf.DUMMYFUNCTION("""COMPUTED_VALUE"""),5.0)</f>
        <v>5</v>
      </c>
      <c r="G521" s="8">
        <f>IFERROR(__xludf.DUMMYFUNCTION("""COMPUTED_VALUE"""),1.0)</f>
        <v>1</v>
      </c>
      <c r="H521" s="8">
        <f>IFERROR(__xludf.DUMMYFUNCTION("""COMPUTED_VALUE"""),0.0)</f>
        <v>0</v>
      </c>
      <c r="I521" s="8" t="str">
        <f>IFERROR(__xludf.DUMMYFUNCTION("""COMPUTED_VALUE"""),"General")</f>
        <v>General</v>
      </c>
      <c r="J521" s="8" t="str">
        <f>IFERROR(__xludf.DUMMYFUNCTION("""COMPUTED_VALUE"""),"Bottoms")</f>
        <v>Bottoms</v>
      </c>
      <c r="K521" s="8" t="str">
        <f>IFERROR(__xludf.DUMMYFUNCTION("""COMPUTED_VALUE"""),"Pants")</f>
        <v>Pants</v>
      </c>
    </row>
    <row r="522">
      <c r="A522" s="8">
        <f>IFERROR(__xludf.DUMMYFUNCTION("""COMPUTED_VALUE"""),663.0)</f>
        <v>663</v>
      </c>
      <c r="B522" s="8">
        <f>IFERROR(__xludf.DUMMYFUNCTION("""COMPUTED_VALUE"""),620.0)</f>
        <v>620</v>
      </c>
      <c r="C522" s="8">
        <f>IFERROR(__xludf.DUMMYFUNCTION("""COMPUTED_VALUE"""),42.0)</f>
        <v>42</v>
      </c>
      <c r="D522" s="8" t="str">
        <f>IFERROR(__xludf.DUMMYFUNCTION("""COMPUTED_VALUE"""),"Great shorts")</f>
        <v>Great shorts</v>
      </c>
      <c r="E522" s="8" t="str">
        <f>IFERROR(__xludf.DUMMYFUNCTION("""COMPUTED_VALUE"""),"Such cute, soft and comfortable shorts. can be worn as night wear or out and about.")</f>
        <v>Such cute, soft and comfortable shorts. can be worn as night wear or out and about.</v>
      </c>
      <c r="F522" s="8">
        <f>IFERROR(__xludf.DUMMYFUNCTION("""COMPUTED_VALUE"""),5.0)</f>
        <v>5</v>
      </c>
      <c r="G522" s="8">
        <f>IFERROR(__xludf.DUMMYFUNCTION("""COMPUTED_VALUE"""),1.0)</f>
        <v>1</v>
      </c>
      <c r="H522" s="8">
        <f>IFERROR(__xludf.DUMMYFUNCTION("""COMPUTED_VALUE"""),1.0)</f>
        <v>1</v>
      </c>
      <c r="I522" s="8" t="str">
        <f>IFERROR(__xludf.DUMMYFUNCTION("""COMPUTED_VALUE"""),"General")</f>
        <v>General</v>
      </c>
      <c r="J522" s="8" t="str">
        <f>IFERROR(__xludf.DUMMYFUNCTION("""COMPUTED_VALUE"""),"Bottoms")</f>
        <v>Bottoms</v>
      </c>
      <c r="K522" s="8" t="str">
        <f>IFERROR(__xludf.DUMMYFUNCTION("""COMPUTED_VALUE"""),"Shorts")</f>
        <v>Shorts</v>
      </c>
    </row>
    <row r="523">
      <c r="A523" s="8">
        <f>IFERROR(__xludf.DUMMYFUNCTION("""COMPUTED_VALUE"""),664.0)</f>
        <v>664</v>
      </c>
      <c r="B523" s="8">
        <f>IFERROR(__xludf.DUMMYFUNCTION("""COMPUTED_VALUE"""),1059.0)</f>
        <v>1059</v>
      </c>
      <c r="C523" s="8">
        <f>IFERROR(__xludf.DUMMYFUNCTION("""COMPUTED_VALUE"""),58.0)</f>
        <v>58</v>
      </c>
      <c r="D523" s="8" t="str">
        <f>IFERROR(__xludf.DUMMYFUNCTION("""COMPUTED_VALUE"""),"Cute slim pants")</f>
        <v>Cute slim pants</v>
      </c>
      <c r="E523" s="8" t="str">
        <f>IFERROR(__xludf.DUMMYFUNCTION("""COMPUTED_VALUE"""),"I saw these in an email and immediately went to the web to look at them. they fit well and have nice slim look. the bottom of the legs seems to fit a little slimmer on me than in the picture, but they aren't too tight.")</f>
        <v>I saw these in an email and immediately went to the web to look at them. they fit well and have nice slim look. the bottom of the legs seems to fit a little slimmer on me than in the picture, but they aren't too tight.</v>
      </c>
      <c r="F523" s="8">
        <f>IFERROR(__xludf.DUMMYFUNCTION("""COMPUTED_VALUE"""),5.0)</f>
        <v>5</v>
      </c>
      <c r="G523" s="8">
        <f>IFERROR(__xludf.DUMMYFUNCTION("""COMPUTED_VALUE"""),1.0)</f>
        <v>1</v>
      </c>
      <c r="H523" s="8">
        <f>IFERROR(__xludf.DUMMYFUNCTION("""COMPUTED_VALUE"""),6.0)</f>
        <v>6</v>
      </c>
      <c r="I523" s="8" t="str">
        <f>IFERROR(__xludf.DUMMYFUNCTION("""COMPUTED_VALUE"""),"General")</f>
        <v>General</v>
      </c>
      <c r="J523" s="8" t="str">
        <f>IFERROR(__xludf.DUMMYFUNCTION("""COMPUTED_VALUE"""),"Bottoms")</f>
        <v>Bottoms</v>
      </c>
      <c r="K523" s="8" t="str">
        <f>IFERROR(__xludf.DUMMYFUNCTION("""COMPUTED_VALUE"""),"Pants")</f>
        <v>Pants</v>
      </c>
    </row>
    <row r="524">
      <c r="A524" s="8">
        <f>IFERROR(__xludf.DUMMYFUNCTION("""COMPUTED_VALUE"""),665.0)</f>
        <v>665</v>
      </c>
      <c r="B524" s="8">
        <f>IFERROR(__xludf.DUMMYFUNCTION("""COMPUTED_VALUE"""),117.0)</f>
        <v>117</v>
      </c>
      <c r="C524" s="8">
        <f>IFERROR(__xludf.DUMMYFUNCTION("""COMPUTED_VALUE"""),52.0)</f>
        <v>52</v>
      </c>
      <c r="D524" s="8" t="str">
        <f>IFERROR(__xludf.DUMMYFUNCTION("""COMPUTED_VALUE"""),"Fabulous")</f>
        <v>Fabulous</v>
      </c>
      <c r="E524" s="8" t="str">
        <f>IFERROR(__xludf.DUMMYFUNCTION("""COMPUTED_VALUE"""),"Received many compliments the first day i wore them.. amazing fit. disagree with the other post. the
quality is amazing. i wish they had other colors. bought xs")</f>
        <v>Received many compliments the first day i wore them.. amazing fit. disagree with the other post. the
quality is amazing. i wish they had other colors. bought xs</v>
      </c>
      <c r="F524" s="8">
        <f>IFERROR(__xludf.DUMMYFUNCTION("""COMPUTED_VALUE"""),5.0)</f>
        <v>5</v>
      </c>
      <c r="G524" s="8">
        <f>IFERROR(__xludf.DUMMYFUNCTION("""COMPUTED_VALUE"""),1.0)</f>
        <v>1</v>
      </c>
      <c r="H524" s="8">
        <f>IFERROR(__xludf.DUMMYFUNCTION("""COMPUTED_VALUE"""),1.0)</f>
        <v>1</v>
      </c>
      <c r="I524" s="8" t="str">
        <f>IFERROR(__xludf.DUMMYFUNCTION("""COMPUTED_VALUE"""),"Initmates")</f>
        <v>Initmates</v>
      </c>
      <c r="J524" s="8" t="str">
        <f>IFERROR(__xludf.DUMMYFUNCTION("""COMPUTED_VALUE"""),"Intimate")</f>
        <v>Intimate</v>
      </c>
      <c r="K524" s="8" t="str">
        <f>IFERROR(__xludf.DUMMYFUNCTION("""COMPUTED_VALUE"""),"Legwear")</f>
        <v>Legwear</v>
      </c>
    </row>
    <row r="525">
      <c r="A525" s="8">
        <f>IFERROR(__xludf.DUMMYFUNCTION("""COMPUTED_VALUE"""),666.0)</f>
        <v>666</v>
      </c>
      <c r="B525" s="8">
        <f>IFERROR(__xludf.DUMMYFUNCTION("""COMPUTED_VALUE"""),252.0)</f>
        <v>252</v>
      </c>
      <c r="C525" s="8">
        <f>IFERROR(__xludf.DUMMYFUNCTION("""COMPUTED_VALUE"""),25.0)</f>
        <v>25</v>
      </c>
      <c r="D525" s="8" t="str">
        <f>IFERROR(__xludf.DUMMYFUNCTION("""COMPUTED_VALUE"""),"Cute and comfortable swimsuit!")</f>
        <v>Cute and comfortable swimsuit!</v>
      </c>
      <c r="E525" s="8" t="str">
        <f>IFERROR(__xludf.DUMMYFUNCTION("""COMPUTED_VALUE"""),"This is one of the most comfortable swimsuits i own. i purchased it in the turquoise dots print and found that it was colorful and perfect for a beach getaway. the adjustable halter style makes it really comfortable, yet cute. i highly recommend this suit"&amp;" to those looking for a unique, yet whimsical swimsuit style.")</f>
        <v>This is one of the most comfortable swimsuits i own. i purchased it in the turquoise dots print and found that it was colorful and perfect for a beach getaway. the adjustable halter style makes it really comfortable, yet cute. i highly recommend this suit to those looking for a unique, yet whimsical swimsuit style.</v>
      </c>
      <c r="F525" s="8">
        <f>IFERROR(__xludf.DUMMYFUNCTION("""COMPUTED_VALUE"""),5.0)</f>
        <v>5</v>
      </c>
      <c r="G525" s="8">
        <f>IFERROR(__xludf.DUMMYFUNCTION("""COMPUTED_VALUE"""),1.0)</f>
        <v>1</v>
      </c>
      <c r="H525" s="8">
        <f>IFERROR(__xludf.DUMMYFUNCTION("""COMPUTED_VALUE"""),1.0)</f>
        <v>1</v>
      </c>
      <c r="I525" s="8" t="str">
        <f>IFERROR(__xludf.DUMMYFUNCTION("""COMPUTED_VALUE"""),"Initmates")</f>
        <v>Initmates</v>
      </c>
      <c r="J525" s="8" t="str">
        <f>IFERROR(__xludf.DUMMYFUNCTION("""COMPUTED_VALUE"""),"Intimate")</f>
        <v>Intimate</v>
      </c>
      <c r="K525" s="8" t="str">
        <f>IFERROR(__xludf.DUMMYFUNCTION("""COMPUTED_VALUE"""),"Swim")</f>
        <v>Swim</v>
      </c>
    </row>
    <row r="526">
      <c r="A526" s="8">
        <f>IFERROR(__xludf.DUMMYFUNCTION("""COMPUTED_VALUE"""),667.0)</f>
        <v>667</v>
      </c>
      <c r="B526" s="8">
        <f>IFERROR(__xludf.DUMMYFUNCTION("""COMPUTED_VALUE"""),252.0)</f>
        <v>252</v>
      </c>
      <c r="C526" s="8">
        <f>IFERROR(__xludf.DUMMYFUNCTION("""COMPUTED_VALUE"""),35.0)</f>
        <v>35</v>
      </c>
      <c r="D526" s="8" t="str">
        <f>IFERROR(__xludf.DUMMYFUNCTION("""COMPUTED_VALUE"""),"Lacks support")</f>
        <v>Lacks support</v>
      </c>
      <c r="E526" s="8" t="str">
        <f>IFERROR(__xludf.DUMMYFUNCTION("""COMPUTED_VALUE"""),"Great swimsuit, love the fabric and pattern. the top lacks support.")</f>
        <v>Great swimsuit, love the fabric and pattern. the top lacks support.</v>
      </c>
      <c r="F526" s="8">
        <f>IFERROR(__xludf.DUMMYFUNCTION("""COMPUTED_VALUE"""),4.0)</f>
        <v>4</v>
      </c>
      <c r="G526" s="8">
        <f>IFERROR(__xludf.DUMMYFUNCTION("""COMPUTED_VALUE"""),1.0)</f>
        <v>1</v>
      </c>
      <c r="H526" s="8">
        <f>IFERROR(__xludf.DUMMYFUNCTION("""COMPUTED_VALUE"""),0.0)</f>
        <v>0</v>
      </c>
      <c r="I526" s="8" t="str">
        <f>IFERROR(__xludf.DUMMYFUNCTION("""COMPUTED_VALUE"""),"Initmates")</f>
        <v>Initmates</v>
      </c>
      <c r="J526" s="8" t="str">
        <f>IFERROR(__xludf.DUMMYFUNCTION("""COMPUTED_VALUE"""),"Intimate")</f>
        <v>Intimate</v>
      </c>
      <c r="K526" s="8" t="str">
        <f>IFERROR(__xludf.DUMMYFUNCTION("""COMPUTED_VALUE"""),"Swim")</f>
        <v>Swim</v>
      </c>
    </row>
    <row r="527">
      <c r="A527" s="8">
        <f>IFERROR(__xludf.DUMMYFUNCTION("""COMPUTED_VALUE"""),668.0)</f>
        <v>668</v>
      </c>
      <c r="B527" s="8">
        <f>IFERROR(__xludf.DUMMYFUNCTION("""COMPUTED_VALUE"""),634.0)</f>
        <v>634</v>
      </c>
      <c r="C527" s="8">
        <f>IFERROR(__xludf.DUMMYFUNCTION("""COMPUTED_VALUE"""),37.0)</f>
        <v>37</v>
      </c>
      <c r="D527" s="8" t="str">
        <f>IFERROR(__xludf.DUMMYFUNCTION("""COMPUTED_VALUE"""),"Easy breezy")</f>
        <v>Easy breezy</v>
      </c>
      <c r="E527" s="8" t="str">
        <f>IFERROR(__xludf.DUMMYFUNCTION("""COMPUTED_VALUE"""),"This dress is the best casual find. goes with everything- flips flops, tennys, jean jacket. feels little sporty and the orange was a cool addition to my closet.")</f>
        <v>This dress is the best casual find. goes with everything- flips flops, tennys, jean jacket. feels little sporty and the orange was a cool addition to my closet.</v>
      </c>
      <c r="F527" s="8">
        <f>IFERROR(__xludf.DUMMYFUNCTION("""COMPUTED_VALUE"""),4.0)</f>
        <v>4</v>
      </c>
      <c r="G527" s="8">
        <f>IFERROR(__xludf.DUMMYFUNCTION("""COMPUTED_VALUE"""),1.0)</f>
        <v>1</v>
      </c>
      <c r="H527" s="8">
        <f>IFERROR(__xludf.DUMMYFUNCTION("""COMPUTED_VALUE"""),2.0)</f>
        <v>2</v>
      </c>
      <c r="I527" s="8" t="str">
        <f>IFERROR(__xludf.DUMMYFUNCTION("""COMPUTED_VALUE"""),"General Petite")</f>
        <v>General Petite</v>
      </c>
      <c r="J527" s="8" t="str">
        <f>IFERROR(__xludf.DUMMYFUNCTION("""COMPUTED_VALUE"""),"Intimate")</f>
        <v>Intimate</v>
      </c>
      <c r="K527" s="8" t="str">
        <f>IFERROR(__xludf.DUMMYFUNCTION("""COMPUTED_VALUE"""),"Lounge")</f>
        <v>Lounge</v>
      </c>
    </row>
    <row r="528">
      <c r="A528" s="8">
        <f>IFERROR(__xludf.DUMMYFUNCTION("""COMPUTED_VALUE"""),671.0)</f>
        <v>671</v>
      </c>
      <c r="B528" s="8">
        <f>IFERROR(__xludf.DUMMYFUNCTION("""COMPUTED_VALUE"""),1059.0)</f>
        <v>1059</v>
      </c>
      <c r="C528" s="8">
        <f>IFERROR(__xludf.DUMMYFUNCTION("""COMPUTED_VALUE"""),47.0)</f>
        <v>47</v>
      </c>
      <c r="D528" s="8" t="str">
        <f>IFERROR(__xludf.DUMMYFUNCTION("""COMPUTED_VALUE"""),"Cute pants")</f>
        <v>Cute pants</v>
      </c>
      <c r="E528" s="8" t="str">
        <f>IFERROR(__xludf.DUMMYFUNCTION("""COMPUTED_VALUE"""),"These are really cute. nice fabric. i love the rise...not to low, not too high. but they are going back. i'm a size 4. i got these in a 4. they fit fine in the waist and bum but they are tight around my calves. also, they were more like ""high waters"" on"&amp;" me than cropped so a petite in the length probably would have worked better for me had these fit.")</f>
        <v>These are really cute. nice fabric. i love the rise...not to low, not too high. but they are going back. i'm a size 4. i got these in a 4. they fit fine in the waist and bum but they are tight around my calves. also, they were more like "high waters" on me than cropped so a petite in the length probably would have worked better for me had these fit.</v>
      </c>
      <c r="F528" s="8">
        <f>IFERROR(__xludf.DUMMYFUNCTION("""COMPUTED_VALUE"""),4.0)</f>
        <v>4</v>
      </c>
      <c r="G528" s="8">
        <f>IFERROR(__xludf.DUMMYFUNCTION("""COMPUTED_VALUE"""),1.0)</f>
        <v>1</v>
      </c>
      <c r="H528" s="8">
        <f>IFERROR(__xludf.DUMMYFUNCTION("""COMPUTED_VALUE"""),0.0)</f>
        <v>0</v>
      </c>
      <c r="I528" s="8" t="str">
        <f>IFERROR(__xludf.DUMMYFUNCTION("""COMPUTED_VALUE"""),"General")</f>
        <v>General</v>
      </c>
      <c r="J528" s="8" t="str">
        <f>IFERROR(__xludf.DUMMYFUNCTION("""COMPUTED_VALUE"""),"Bottoms")</f>
        <v>Bottoms</v>
      </c>
      <c r="K528" s="8" t="str">
        <f>IFERROR(__xludf.DUMMYFUNCTION("""COMPUTED_VALUE"""),"Pants")</f>
        <v>Pants</v>
      </c>
    </row>
    <row r="529">
      <c r="A529" s="8">
        <f>IFERROR(__xludf.DUMMYFUNCTION("""COMPUTED_VALUE"""),672.0)</f>
        <v>672</v>
      </c>
      <c r="B529" s="8">
        <f>IFERROR(__xludf.DUMMYFUNCTION("""COMPUTED_VALUE"""),838.0)</f>
        <v>838</v>
      </c>
      <c r="C529" s="8">
        <f>IFERROR(__xludf.DUMMYFUNCTION("""COMPUTED_VALUE"""),25.0)</f>
        <v>25</v>
      </c>
      <c r="D529" s="8"/>
      <c r="E529" s="8" t="str">
        <f>IFERROR(__xludf.DUMMYFUNCTION("""COMPUTED_VALUE"""),"This top is gorgeous! this is why i love retailer the quality is amazing. i just love how unique this top is. it's a light jean blue and white pin striped shirt with these beautiful red crochet sleeves. i'm a 34ddd i ordered the large and it's perfect. it"&amp;" is a bit shorter probably because of my chest but i was going to wear it with high waisted shorts anyways.  it's a must buy!")</f>
        <v>This top is gorgeous! this is why i love retailer the quality is amazing. i just love how unique this top is. it's a light jean blue and white pin striped shirt with these beautiful red crochet sleeves. i'm a 34ddd i ordered the large and it's perfect. it is a bit shorter probably because of my chest but i was going to wear it with high waisted shorts anyways.  it's a must buy!</v>
      </c>
      <c r="F529" s="8">
        <f>IFERROR(__xludf.DUMMYFUNCTION("""COMPUTED_VALUE"""),5.0)</f>
        <v>5</v>
      </c>
      <c r="G529" s="8">
        <f>IFERROR(__xludf.DUMMYFUNCTION("""COMPUTED_VALUE"""),1.0)</f>
        <v>1</v>
      </c>
      <c r="H529" s="8">
        <f>IFERROR(__xludf.DUMMYFUNCTION("""COMPUTED_VALUE"""),1.0)</f>
        <v>1</v>
      </c>
      <c r="I529" s="8" t="str">
        <f>IFERROR(__xludf.DUMMYFUNCTION("""COMPUTED_VALUE"""),"General")</f>
        <v>General</v>
      </c>
      <c r="J529" s="8" t="str">
        <f>IFERROR(__xludf.DUMMYFUNCTION("""COMPUTED_VALUE"""),"Tops")</f>
        <v>Tops</v>
      </c>
      <c r="K529" s="8" t="str">
        <f>IFERROR(__xludf.DUMMYFUNCTION("""COMPUTED_VALUE"""),"Blouses")</f>
        <v>Blouses</v>
      </c>
    </row>
    <row r="530">
      <c r="A530" s="8">
        <f>IFERROR(__xludf.DUMMYFUNCTION("""COMPUTED_VALUE"""),673.0)</f>
        <v>673</v>
      </c>
      <c r="B530" s="8">
        <f>IFERROR(__xludf.DUMMYFUNCTION("""COMPUTED_VALUE"""),634.0)</f>
        <v>634</v>
      </c>
      <c r="C530" s="8">
        <f>IFERROR(__xludf.DUMMYFUNCTION("""COMPUTED_VALUE"""),39.0)</f>
        <v>39</v>
      </c>
      <c r="D530" s="8" t="str">
        <f>IFERROR(__xludf.DUMMYFUNCTION("""COMPUTED_VALUE"""),"Great price for")</f>
        <v>Great price for</v>
      </c>
      <c r="E530" s="8" t="str">
        <f>IFERROR(__xludf.DUMMYFUNCTION("""COMPUTED_VALUE"""),"Sale price is a great price for a cute cover-up.  so this is not a polite company dress.  this is a ""i want to show off my cute underwear/bikini/cross-fit bod while i go get a cold pressed juice in venice"" kind of dress.  or you can just wear it at home"&amp;" like i do.  runs small btw, so size up.")</f>
        <v>Sale price is a great price for a cute cover-up.  so this is not a polite company dress.  this is a "i want to show off my cute underwear/bikini/cross-fit bod while i go get a cold pressed juice in venice" kind of dress.  or you can just wear it at home like i do.  runs small btw, so size up.</v>
      </c>
      <c r="F530" s="8">
        <f>IFERROR(__xludf.DUMMYFUNCTION("""COMPUTED_VALUE"""),5.0)</f>
        <v>5</v>
      </c>
      <c r="G530" s="8">
        <f>IFERROR(__xludf.DUMMYFUNCTION("""COMPUTED_VALUE"""),1.0)</f>
        <v>1</v>
      </c>
      <c r="H530" s="8">
        <f>IFERROR(__xludf.DUMMYFUNCTION("""COMPUTED_VALUE"""),0.0)</f>
        <v>0</v>
      </c>
      <c r="I530" s="8" t="str">
        <f>IFERROR(__xludf.DUMMYFUNCTION("""COMPUTED_VALUE"""),"General Petite")</f>
        <v>General Petite</v>
      </c>
      <c r="J530" s="8" t="str">
        <f>IFERROR(__xludf.DUMMYFUNCTION("""COMPUTED_VALUE"""),"Intimate")</f>
        <v>Intimate</v>
      </c>
      <c r="K530" s="8" t="str">
        <f>IFERROR(__xludf.DUMMYFUNCTION("""COMPUTED_VALUE"""),"Lounge")</f>
        <v>Lounge</v>
      </c>
    </row>
    <row r="531">
      <c r="A531" s="8">
        <f>IFERROR(__xludf.DUMMYFUNCTION("""COMPUTED_VALUE"""),674.0)</f>
        <v>674</v>
      </c>
      <c r="B531" s="8">
        <f>IFERROR(__xludf.DUMMYFUNCTION("""COMPUTED_VALUE"""),1059.0)</f>
        <v>1059</v>
      </c>
      <c r="C531" s="8">
        <f>IFERROR(__xludf.DUMMYFUNCTION("""COMPUTED_VALUE"""),30.0)</f>
        <v>30</v>
      </c>
      <c r="D531" s="8" t="str">
        <f>IFERROR(__xludf.DUMMYFUNCTION("""COMPUTED_VALUE"""),"Great fit")</f>
        <v>Great fit</v>
      </c>
      <c r="E531" s="8" t="str">
        <f>IFERROR(__xludf.DUMMYFUNCTION("""COMPUTED_VALUE"""),"These fit me really well. i tend to have a problem finding trousers that fit my more muscular legs and my waist. usually, if it fits my legs the waist is too big. the trousers have some stretch for a better fit. the only downside is that i had go them hem"&amp;"med (bought regular size).")</f>
        <v>These fit me really well. i tend to have a problem finding trousers that fit my more muscular legs and my waist. usually, if it fits my legs the waist is too big. the trousers have some stretch for a better fit. the only downside is that i had go them hemmed (bought regular size).</v>
      </c>
      <c r="F531" s="8">
        <f>IFERROR(__xludf.DUMMYFUNCTION("""COMPUTED_VALUE"""),5.0)</f>
        <v>5</v>
      </c>
      <c r="G531" s="8">
        <f>IFERROR(__xludf.DUMMYFUNCTION("""COMPUTED_VALUE"""),1.0)</f>
        <v>1</v>
      </c>
      <c r="H531" s="8">
        <f>IFERROR(__xludf.DUMMYFUNCTION("""COMPUTED_VALUE"""),0.0)</f>
        <v>0</v>
      </c>
      <c r="I531" s="8" t="str">
        <f>IFERROR(__xludf.DUMMYFUNCTION("""COMPUTED_VALUE"""),"General")</f>
        <v>General</v>
      </c>
      <c r="J531" s="8" t="str">
        <f>IFERROR(__xludf.DUMMYFUNCTION("""COMPUTED_VALUE"""),"Bottoms")</f>
        <v>Bottoms</v>
      </c>
      <c r="K531" s="8" t="str">
        <f>IFERROR(__xludf.DUMMYFUNCTION("""COMPUTED_VALUE"""),"Pants")</f>
        <v>Pants</v>
      </c>
    </row>
    <row r="532">
      <c r="A532" s="8">
        <f>IFERROR(__xludf.DUMMYFUNCTION("""COMPUTED_VALUE"""),677.0)</f>
        <v>677</v>
      </c>
      <c r="B532" s="8">
        <f>IFERROR(__xludf.DUMMYFUNCTION("""COMPUTED_VALUE"""),1059.0)</f>
        <v>1059</v>
      </c>
      <c r="C532" s="8">
        <f>IFERROR(__xludf.DUMMYFUNCTION("""COMPUTED_VALUE"""),45.0)</f>
        <v>45</v>
      </c>
      <c r="D532" s="8" t="str">
        <f>IFERROR(__xludf.DUMMYFUNCTION("""COMPUTED_VALUE"""),"Love these pants, highly recommend!")</f>
        <v>Love these pants, highly recommend!</v>
      </c>
      <c r="E532" s="8" t="str">
        <f>IFERROR(__xludf.DUMMYFUNCTION("""COMPUTED_VALUE"""),"I often find wearing anything described as 'slim' difficult, but these pants are absolutely wonderful. i bought in a size 12 regular length. they are perfect, both in fit and quality.")</f>
        <v>I often find wearing anything described as 'slim' difficult, but these pants are absolutely wonderful. i bought in a size 12 regular length. they are perfect, both in fit and quality.</v>
      </c>
      <c r="F532" s="8">
        <f>IFERROR(__xludf.DUMMYFUNCTION("""COMPUTED_VALUE"""),5.0)</f>
        <v>5</v>
      </c>
      <c r="G532" s="8">
        <f>IFERROR(__xludf.DUMMYFUNCTION("""COMPUTED_VALUE"""),1.0)</f>
        <v>1</v>
      </c>
      <c r="H532" s="8">
        <f>IFERROR(__xludf.DUMMYFUNCTION("""COMPUTED_VALUE"""),1.0)</f>
        <v>1</v>
      </c>
      <c r="I532" s="8" t="str">
        <f>IFERROR(__xludf.DUMMYFUNCTION("""COMPUTED_VALUE"""),"General")</f>
        <v>General</v>
      </c>
      <c r="J532" s="8" t="str">
        <f>IFERROR(__xludf.DUMMYFUNCTION("""COMPUTED_VALUE"""),"Bottoms")</f>
        <v>Bottoms</v>
      </c>
      <c r="K532" s="8" t="str">
        <f>IFERROR(__xludf.DUMMYFUNCTION("""COMPUTED_VALUE"""),"Pants")</f>
        <v>Pants</v>
      </c>
    </row>
    <row r="533">
      <c r="A533" s="8">
        <f>IFERROR(__xludf.DUMMYFUNCTION("""COMPUTED_VALUE"""),678.0)</f>
        <v>678</v>
      </c>
      <c r="B533" s="8">
        <f>IFERROR(__xludf.DUMMYFUNCTION("""COMPUTED_VALUE"""),1008.0)</f>
        <v>1008</v>
      </c>
      <c r="C533" s="8">
        <f>IFERROR(__xludf.DUMMYFUNCTION("""COMPUTED_VALUE"""),55.0)</f>
        <v>55</v>
      </c>
      <c r="D533" s="8" t="str">
        <f>IFERROR(__xludf.DUMMYFUNCTION("""COMPUTED_VALUE"""),"Great skirt!")</f>
        <v>Great skirt!</v>
      </c>
      <c r="E533" s="8" t="str">
        <f>IFERROR(__xludf.DUMMYFUNCTION("""COMPUTED_VALUE"""),"This midi skirt has a really nice drape with great seasonal colors! can't wait to pair it with my wine color booties!")</f>
        <v>This midi skirt has a really nice drape with great seasonal colors! can't wait to pair it with my wine color booties!</v>
      </c>
      <c r="F533" s="8">
        <f>IFERROR(__xludf.DUMMYFUNCTION("""COMPUTED_VALUE"""),5.0)</f>
        <v>5</v>
      </c>
      <c r="G533" s="8">
        <f>IFERROR(__xludf.DUMMYFUNCTION("""COMPUTED_VALUE"""),1.0)</f>
        <v>1</v>
      </c>
      <c r="H533" s="8">
        <f>IFERROR(__xludf.DUMMYFUNCTION("""COMPUTED_VALUE"""),1.0)</f>
        <v>1</v>
      </c>
      <c r="I533" s="8" t="str">
        <f>IFERROR(__xludf.DUMMYFUNCTION("""COMPUTED_VALUE"""),"General")</f>
        <v>General</v>
      </c>
      <c r="J533" s="8" t="str">
        <f>IFERROR(__xludf.DUMMYFUNCTION("""COMPUTED_VALUE"""),"Bottoms")</f>
        <v>Bottoms</v>
      </c>
      <c r="K533" s="8" t="str">
        <f>IFERROR(__xludf.DUMMYFUNCTION("""COMPUTED_VALUE"""),"Skirts")</f>
        <v>Skirts</v>
      </c>
    </row>
    <row r="534">
      <c r="A534" s="8">
        <f>IFERROR(__xludf.DUMMYFUNCTION("""COMPUTED_VALUE"""),679.0)</f>
        <v>679</v>
      </c>
      <c r="B534" s="8">
        <f>IFERROR(__xludf.DUMMYFUNCTION("""COMPUTED_VALUE"""),117.0)</f>
        <v>117</v>
      </c>
      <c r="C534" s="8">
        <f>IFERROR(__xludf.DUMMYFUNCTION("""COMPUTED_VALUE"""),34.0)</f>
        <v>34</v>
      </c>
      <c r="D534" s="8" t="str">
        <f>IFERROR(__xludf.DUMMYFUNCTION("""COMPUTED_VALUE"""),"Mixed feelings")</f>
        <v>Mixed feelings</v>
      </c>
      <c r="E534" s="8" t="str">
        <f>IFERROR(__xludf.DUMMYFUNCTION("""COMPUTED_VALUE"""),"I ordered these in a size small on sale, thinking that because of the material, they might not fit. they are actually very cute, and fit in the waist/legs, but in the crotch area, as another reviewer mentioned, they could fit a little better. they look fi"&amp;"ne with a longer top so i decided to keep them.")</f>
        <v>I ordered these in a size small on sale, thinking that because of the material, they might not fit. they are actually very cute, and fit in the waist/legs, but in the crotch area, as another reviewer mentioned, they could fit a little better. they look fine with a longer top so i decided to keep them.</v>
      </c>
      <c r="F534" s="8">
        <f>IFERROR(__xludf.DUMMYFUNCTION("""COMPUTED_VALUE"""),4.0)</f>
        <v>4</v>
      </c>
      <c r="G534" s="8">
        <f>IFERROR(__xludf.DUMMYFUNCTION("""COMPUTED_VALUE"""),1.0)</f>
        <v>1</v>
      </c>
      <c r="H534" s="8">
        <f>IFERROR(__xludf.DUMMYFUNCTION("""COMPUTED_VALUE"""),0.0)</f>
        <v>0</v>
      </c>
      <c r="I534" s="8" t="str">
        <f>IFERROR(__xludf.DUMMYFUNCTION("""COMPUTED_VALUE"""),"Initmates")</f>
        <v>Initmates</v>
      </c>
      <c r="J534" s="8" t="str">
        <f>IFERROR(__xludf.DUMMYFUNCTION("""COMPUTED_VALUE"""),"Intimate")</f>
        <v>Intimate</v>
      </c>
      <c r="K534" s="8" t="str">
        <f>IFERROR(__xludf.DUMMYFUNCTION("""COMPUTED_VALUE"""),"Legwear")</f>
        <v>Legwear</v>
      </c>
    </row>
    <row r="535">
      <c r="A535" s="8">
        <f>IFERROR(__xludf.DUMMYFUNCTION("""COMPUTED_VALUE"""),680.0)</f>
        <v>680</v>
      </c>
      <c r="B535" s="8">
        <f>IFERROR(__xludf.DUMMYFUNCTION("""COMPUTED_VALUE"""),886.0)</f>
        <v>886</v>
      </c>
      <c r="C535" s="8">
        <f>IFERROR(__xludf.DUMMYFUNCTION("""COMPUTED_VALUE"""),36.0)</f>
        <v>36</v>
      </c>
      <c r="D535" s="8"/>
      <c r="E535" s="8" t="str">
        <f>IFERROR(__xludf.DUMMYFUNCTION("""COMPUTED_VALUE"""),"Unique design. love the collar and broad cuffs. the xs regular fits me better than the s petite, which is a bit short.")</f>
        <v>Unique design. love the collar and broad cuffs. the xs regular fits me better than the s petite, which is a bit short.</v>
      </c>
      <c r="F535" s="8">
        <f>IFERROR(__xludf.DUMMYFUNCTION("""COMPUTED_VALUE"""),4.0)</f>
        <v>4</v>
      </c>
      <c r="G535" s="8">
        <f>IFERROR(__xludf.DUMMYFUNCTION("""COMPUTED_VALUE"""),1.0)</f>
        <v>1</v>
      </c>
      <c r="H535" s="8">
        <f>IFERROR(__xludf.DUMMYFUNCTION("""COMPUTED_VALUE"""),1.0)</f>
        <v>1</v>
      </c>
      <c r="I535" s="8" t="str">
        <f>IFERROR(__xludf.DUMMYFUNCTION("""COMPUTED_VALUE"""),"General")</f>
        <v>General</v>
      </c>
      <c r="J535" s="8" t="str">
        <f>IFERROR(__xludf.DUMMYFUNCTION("""COMPUTED_VALUE"""),"Tops")</f>
        <v>Tops</v>
      </c>
      <c r="K535" s="8" t="str">
        <f>IFERROR(__xludf.DUMMYFUNCTION("""COMPUTED_VALUE"""),"Knits")</f>
        <v>Knits</v>
      </c>
    </row>
    <row r="536">
      <c r="A536" s="8">
        <f>IFERROR(__xludf.DUMMYFUNCTION("""COMPUTED_VALUE"""),681.0)</f>
        <v>681</v>
      </c>
      <c r="B536" s="8">
        <f>IFERROR(__xludf.DUMMYFUNCTION("""COMPUTED_VALUE"""),1087.0)</f>
        <v>1087</v>
      </c>
      <c r="C536" s="8">
        <f>IFERROR(__xludf.DUMMYFUNCTION("""COMPUTED_VALUE"""),62.0)</f>
        <v>62</v>
      </c>
      <c r="D536" s="8" t="str">
        <f>IFERROR(__xludf.DUMMYFUNCTION("""COMPUTED_VALUE"""),"Simple but different.")</f>
        <v>Simple but different.</v>
      </c>
      <c r="E536" s="8" t="str">
        <f>IFERROR(__xludf.DUMMYFUNCTION("""COMPUTED_VALUE"""),"I bought this dress in the cream color. it was sold out online in most sizes but i stumbled upon it in person and immediately had to have it. i'm usually xs or small, and bought the small. they did not have an xs available so i can't compare, but the smal"&amp;"l was flattering and comfortable. i'm 5'5"" 120 (34c) and it falls perfectly at my ankles (no dragging) and looks great with simple, neutral sandals. as some reviewers have mentioned it has some weight to it, so it's probably not great for hot da")</f>
        <v>I bought this dress in the cream color. it was sold out online in most sizes but i stumbled upon it in person and immediately had to have it. i'm usually xs or small, and bought the small. they did not have an xs available so i can't compare, but the small was flattering and comfortable. i'm 5'5" 120 (34c) and it falls perfectly at my ankles (no dragging) and looks great with simple, neutral sandals. as some reviewers have mentioned it has some weight to it, so it's probably not great for hot da</v>
      </c>
      <c r="F536" s="8">
        <f>IFERROR(__xludf.DUMMYFUNCTION("""COMPUTED_VALUE"""),4.0)</f>
        <v>4</v>
      </c>
      <c r="G536" s="8">
        <f>IFERROR(__xludf.DUMMYFUNCTION("""COMPUTED_VALUE"""),1.0)</f>
        <v>1</v>
      </c>
      <c r="H536" s="8">
        <f>IFERROR(__xludf.DUMMYFUNCTION("""COMPUTED_VALUE"""),1.0)</f>
        <v>1</v>
      </c>
      <c r="I536" s="8" t="str">
        <f>IFERROR(__xludf.DUMMYFUNCTION("""COMPUTED_VALUE"""),"General")</f>
        <v>General</v>
      </c>
      <c r="J536" s="8" t="str">
        <f>IFERROR(__xludf.DUMMYFUNCTION("""COMPUTED_VALUE"""),"Dresses")</f>
        <v>Dresses</v>
      </c>
      <c r="K536" s="8" t="str">
        <f>IFERROR(__xludf.DUMMYFUNCTION("""COMPUTED_VALUE"""),"Dresses")</f>
        <v>Dresses</v>
      </c>
    </row>
    <row r="537">
      <c r="A537" s="8">
        <f>IFERROR(__xludf.DUMMYFUNCTION("""COMPUTED_VALUE"""),682.0)</f>
        <v>682</v>
      </c>
      <c r="B537" s="8">
        <f>IFERROR(__xludf.DUMMYFUNCTION("""COMPUTED_VALUE"""),873.0)</f>
        <v>873</v>
      </c>
      <c r="C537" s="8">
        <f>IFERROR(__xludf.DUMMYFUNCTION("""COMPUTED_VALUE"""),57.0)</f>
        <v>57</v>
      </c>
      <c r="D537" s="8"/>
      <c r="E537" s="8" t="str">
        <f>IFERROR(__xludf.DUMMYFUNCTION("""COMPUTED_VALUE"""),"This is a fabulous style top! highly recommend this top. comfortable material. retailer is consistently tried and true to a classy style!")</f>
        <v>This is a fabulous style top! highly recommend this top. comfortable material. retailer is consistently tried and true to a classy style!</v>
      </c>
      <c r="F537" s="8">
        <f>IFERROR(__xludf.DUMMYFUNCTION("""COMPUTED_VALUE"""),5.0)</f>
        <v>5</v>
      </c>
      <c r="G537" s="8">
        <f>IFERROR(__xludf.DUMMYFUNCTION("""COMPUTED_VALUE"""),1.0)</f>
        <v>1</v>
      </c>
      <c r="H537" s="8">
        <f>IFERROR(__xludf.DUMMYFUNCTION("""COMPUTED_VALUE"""),1.0)</f>
        <v>1</v>
      </c>
      <c r="I537" s="8" t="str">
        <f>IFERROR(__xludf.DUMMYFUNCTION("""COMPUTED_VALUE"""),"General")</f>
        <v>General</v>
      </c>
      <c r="J537" s="8" t="str">
        <f>IFERROR(__xludf.DUMMYFUNCTION("""COMPUTED_VALUE"""),"Tops")</f>
        <v>Tops</v>
      </c>
      <c r="K537" s="8" t="str">
        <f>IFERROR(__xludf.DUMMYFUNCTION("""COMPUTED_VALUE"""),"Knits")</f>
        <v>Knits</v>
      </c>
    </row>
    <row r="538">
      <c r="A538" s="8">
        <f>IFERROR(__xludf.DUMMYFUNCTION("""COMPUTED_VALUE"""),683.0)</f>
        <v>683</v>
      </c>
      <c r="B538" s="8">
        <f>IFERROR(__xludf.DUMMYFUNCTION("""COMPUTED_VALUE"""),1087.0)</f>
        <v>1087</v>
      </c>
      <c r="C538" s="8">
        <f>IFERROR(__xludf.DUMMYFUNCTION("""COMPUTED_VALUE"""),23.0)</f>
        <v>23</v>
      </c>
      <c r="D538" s="8" t="str">
        <f>IFERROR(__xludf.DUMMYFUNCTION("""COMPUTED_VALUE"""),"Too short")</f>
        <v>Too short</v>
      </c>
      <c r="E538" s="8" t="str">
        <f>IFERROR(__xludf.DUMMYFUNCTION("""COMPUTED_VALUE"""),"This dress is gorgeous, but i should warn all the tall ladies out there that it fits quite awkwardly. i'm 5'10"" and tried both the petite (thinking it would fall more like a midi), and the regular, hoping it would fit like a maxi should. both hit at a ve"&amp;"ry awkward spot on my mid-shin... as much as i loved and wanted it, it looked too weird to justify buying.")</f>
        <v>This dress is gorgeous, but i should warn all the tall ladies out there that it fits quite awkwardly. i'm 5'10" and tried both the petite (thinking it would fall more like a midi), and the regular, hoping it would fit like a maxi should. both hit at a very awkward spot on my mid-shin... as much as i loved and wanted it, it looked too weird to justify buying.</v>
      </c>
      <c r="F538" s="8">
        <f>IFERROR(__xludf.DUMMYFUNCTION("""COMPUTED_VALUE"""),5.0)</f>
        <v>5</v>
      </c>
      <c r="G538" s="8">
        <f>IFERROR(__xludf.DUMMYFUNCTION("""COMPUTED_VALUE"""),1.0)</f>
        <v>1</v>
      </c>
      <c r="H538" s="8">
        <f>IFERROR(__xludf.DUMMYFUNCTION("""COMPUTED_VALUE"""),0.0)</f>
        <v>0</v>
      </c>
      <c r="I538" s="8" t="str">
        <f>IFERROR(__xludf.DUMMYFUNCTION("""COMPUTED_VALUE"""),"General")</f>
        <v>General</v>
      </c>
      <c r="J538" s="8" t="str">
        <f>IFERROR(__xludf.DUMMYFUNCTION("""COMPUTED_VALUE"""),"Dresses")</f>
        <v>Dresses</v>
      </c>
      <c r="K538" s="8" t="str">
        <f>IFERROR(__xludf.DUMMYFUNCTION("""COMPUTED_VALUE"""),"Dresses")</f>
        <v>Dresses</v>
      </c>
    </row>
    <row r="539">
      <c r="A539" s="8">
        <f>IFERROR(__xludf.DUMMYFUNCTION("""COMPUTED_VALUE"""),684.0)</f>
        <v>684</v>
      </c>
      <c r="B539" s="8">
        <f>IFERROR(__xludf.DUMMYFUNCTION("""COMPUTED_VALUE"""),886.0)</f>
        <v>886</v>
      </c>
      <c r="C539" s="8">
        <f>IFERROR(__xludf.DUMMYFUNCTION("""COMPUTED_VALUE"""),37.0)</f>
        <v>37</v>
      </c>
      <c r="D539" s="8"/>
      <c r="E539" s="8" t="str">
        <f>IFERROR(__xludf.DUMMYFUNCTION("""COMPUTED_VALUE"""),"Love the coral color - so pretty in person. it is slightly lower cut on the chest than i expected. 
this is a great top for the weekends!")</f>
        <v>Love the coral color - so pretty in person. it is slightly lower cut on the chest than i expected. 
this is a great top for the weekends!</v>
      </c>
      <c r="F539" s="8">
        <f>IFERROR(__xludf.DUMMYFUNCTION("""COMPUTED_VALUE"""),4.0)</f>
        <v>4</v>
      </c>
      <c r="G539" s="8">
        <f>IFERROR(__xludf.DUMMYFUNCTION("""COMPUTED_VALUE"""),1.0)</f>
        <v>1</v>
      </c>
      <c r="H539" s="8">
        <f>IFERROR(__xludf.DUMMYFUNCTION("""COMPUTED_VALUE"""),0.0)</f>
        <v>0</v>
      </c>
      <c r="I539" s="8" t="str">
        <f>IFERROR(__xludf.DUMMYFUNCTION("""COMPUTED_VALUE"""),"General")</f>
        <v>General</v>
      </c>
      <c r="J539" s="8" t="str">
        <f>IFERROR(__xludf.DUMMYFUNCTION("""COMPUTED_VALUE"""),"Tops")</f>
        <v>Tops</v>
      </c>
      <c r="K539" s="8" t="str">
        <f>IFERROR(__xludf.DUMMYFUNCTION("""COMPUTED_VALUE"""),"Knits")</f>
        <v>Knits</v>
      </c>
    </row>
    <row r="540">
      <c r="A540" s="8">
        <f>IFERROR(__xludf.DUMMYFUNCTION("""COMPUTED_VALUE"""),685.0)</f>
        <v>685</v>
      </c>
      <c r="B540" s="8">
        <f>IFERROR(__xludf.DUMMYFUNCTION("""COMPUTED_VALUE"""),745.0)</f>
        <v>745</v>
      </c>
      <c r="C540" s="8">
        <f>IFERROR(__xludf.DUMMYFUNCTION("""COMPUTED_VALUE"""),68.0)</f>
        <v>68</v>
      </c>
      <c r="D540" s="8"/>
      <c r="E540" s="8" t="str">
        <f>IFERROR(__xludf.DUMMYFUNCTION("""COMPUTED_VALUE"""),"These are the perfect leggings. they're so soft, and they don't stretch and droop throughout a day of wearing them. i ordered the grey and moss, and they have different textures, which is fun.")</f>
        <v>These are the perfect leggings. they're so soft, and they don't stretch and droop throughout a day of wearing them. i ordered the grey and moss, and they have different textures, which is fun.</v>
      </c>
      <c r="F540" s="8">
        <f>IFERROR(__xludf.DUMMYFUNCTION("""COMPUTED_VALUE"""),5.0)</f>
        <v>5</v>
      </c>
      <c r="G540" s="8">
        <f>IFERROR(__xludf.DUMMYFUNCTION("""COMPUTED_VALUE"""),1.0)</f>
        <v>1</v>
      </c>
      <c r="H540" s="8">
        <f>IFERROR(__xludf.DUMMYFUNCTION("""COMPUTED_VALUE"""),0.0)</f>
        <v>0</v>
      </c>
      <c r="I540" s="8" t="str">
        <f>IFERROR(__xludf.DUMMYFUNCTION("""COMPUTED_VALUE"""),"Initmates")</f>
        <v>Initmates</v>
      </c>
      <c r="J540" s="8" t="str">
        <f>IFERROR(__xludf.DUMMYFUNCTION("""COMPUTED_VALUE"""),"Intimate")</f>
        <v>Intimate</v>
      </c>
      <c r="K540" s="8" t="str">
        <f>IFERROR(__xludf.DUMMYFUNCTION("""COMPUTED_VALUE"""),"Legwear")</f>
        <v>Legwear</v>
      </c>
    </row>
    <row r="541">
      <c r="A541" s="8">
        <f>IFERROR(__xludf.DUMMYFUNCTION("""COMPUTED_VALUE"""),686.0)</f>
        <v>686</v>
      </c>
      <c r="B541" s="8">
        <f>IFERROR(__xludf.DUMMYFUNCTION("""COMPUTED_VALUE"""),886.0)</f>
        <v>886</v>
      </c>
      <c r="C541" s="8">
        <f>IFERROR(__xludf.DUMMYFUNCTION("""COMPUTED_VALUE"""),58.0)</f>
        <v>58</v>
      </c>
      <c r="D541" s="8"/>
      <c r="E541" s="8"/>
      <c r="F541" s="8">
        <f>IFERROR(__xludf.DUMMYFUNCTION("""COMPUTED_VALUE"""),5.0)</f>
        <v>5</v>
      </c>
      <c r="G541" s="8">
        <f>IFERROR(__xludf.DUMMYFUNCTION("""COMPUTED_VALUE"""),1.0)</f>
        <v>1</v>
      </c>
      <c r="H541" s="8">
        <f>IFERROR(__xludf.DUMMYFUNCTION("""COMPUTED_VALUE"""),0.0)</f>
        <v>0</v>
      </c>
      <c r="I541" s="8" t="str">
        <f>IFERROR(__xludf.DUMMYFUNCTION("""COMPUTED_VALUE"""),"General")</f>
        <v>General</v>
      </c>
      <c r="J541" s="8" t="str">
        <f>IFERROR(__xludf.DUMMYFUNCTION("""COMPUTED_VALUE"""),"Tops")</f>
        <v>Tops</v>
      </c>
      <c r="K541" s="8" t="str">
        <f>IFERROR(__xludf.DUMMYFUNCTION("""COMPUTED_VALUE"""),"Knits")</f>
        <v>Knits</v>
      </c>
    </row>
    <row r="542">
      <c r="A542" s="8">
        <f>IFERROR(__xludf.DUMMYFUNCTION("""COMPUTED_VALUE"""),688.0)</f>
        <v>688</v>
      </c>
      <c r="B542" s="8">
        <f>IFERROR(__xludf.DUMMYFUNCTION("""COMPUTED_VALUE"""),1087.0)</f>
        <v>1087</v>
      </c>
      <c r="C542" s="8">
        <f>IFERROR(__xludf.DUMMYFUNCTION("""COMPUTED_VALUE"""),52.0)</f>
        <v>52</v>
      </c>
      <c r="D542" s="8" t="str">
        <f>IFERROR(__xludf.DUMMYFUNCTION("""COMPUTED_VALUE"""),"Worth it")</f>
        <v>Worth it</v>
      </c>
      <c r="E542" s="8" t="str">
        <f>IFERROR(__xludf.DUMMYFUNCTION("""COMPUTED_VALUE"""),"I never buy anything at retailer full price, but had to get this when i tried it at my local store, especially since it's back ordered for so long. it's very flattering, and super comfortable. fully lined, not see- through at all. elastic waist that's hid"&amp;"den under the sweater top. will be so easy to throw on and dress up for an evening out, or lounge in after a day at the pool or beach. looking at the model pics, i was concerned the arm pit holes came too low, but on me that is not the case. the t")</f>
        <v>I never buy anything at retailer full price, but had to get this when i tried it at my local store, especially since it's back ordered for so long. it's very flattering, and super comfortable. fully lined, not see- through at all. elastic waist that's hidden under the sweater top. will be so easy to throw on and dress up for an evening out, or lounge in after a day at the pool or beach. looking at the model pics, i was concerned the arm pit holes came too low, but on me that is not the case. the t</v>
      </c>
      <c r="F542" s="8">
        <f>IFERROR(__xludf.DUMMYFUNCTION("""COMPUTED_VALUE"""),5.0)</f>
        <v>5</v>
      </c>
      <c r="G542" s="8">
        <f>IFERROR(__xludf.DUMMYFUNCTION("""COMPUTED_VALUE"""),1.0)</f>
        <v>1</v>
      </c>
      <c r="H542" s="8">
        <f>IFERROR(__xludf.DUMMYFUNCTION("""COMPUTED_VALUE"""),84.0)</f>
        <v>84</v>
      </c>
      <c r="I542" s="8" t="str">
        <f>IFERROR(__xludf.DUMMYFUNCTION("""COMPUTED_VALUE"""),"General")</f>
        <v>General</v>
      </c>
      <c r="J542" s="8" t="str">
        <f>IFERROR(__xludf.DUMMYFUNCTION("""COMPUTED_VALUE"""),"Dresses")</f>
        <v>Dresses</v>
      </c>
      <c r="K542" s="8" t="str">
        <f>IFERROR(__xludf.DUMMYFUNCTION("""COMPUTED_VALUE"""),"Dresses")</f>
        <v>Dresses</v>
      </c>
    </row>
    <row r="543">
      <c r="A543" s="8">
        <f>IFERROR(__xludf.DUMMYFUNCTION("""COMPUTED_VALUE"""),689.0)</f>
        <v>689</v>
      </c>
      <c r="B543" s="8">
        <f>IFERROR(__xludf.DUMMYFUNCTION("""COMPUTED_VALUE"""),937.0)</f>
        <v>937</v>
      </c>
      <c r="C543" s="8">
        <f>IFERROR(__xludf.DUMMYFUNCTION("""COMPUTED_VALUE"""),39.0)</f>
        <v>39</v>
      </c>
      <c r="D543" s="8" t="str">
        <f>IFERROR(__xludf.DUMMYFUNCTION("""COMPUTED_VALUE"""),"So many compliments")</f>
        <v>So many compliments</v>
      </c>
      <c r="E543" s="8" t="str">
        <f>IFERROR(__xludf.DUMMYFUNCTION("""COMPUTED_VALUE"""),"This sweater is unique and really pretty.  i got so many compliments and i felt really girlie wearing it - it is so fun.")</f>
        <v>This sweater is unique and really pretty.  i got so many compliments and i felt really girlie wearing it - it is so fun.</v>
      </c>
      <c r="F543" s="8">
        <f>IFERROR(__xludf.DUMMYFUNCTION("""COMPUTED_VALUE"""),5.0)</f>
        <v>5</v>
      </c>
      <c r="G543" s="8">
        <f>IFERROR(__xludf.DUMMYFUNCTION("""COMPUTED_VALUE"""),1.0)</f>
        <v>1</v>
      </c>
      <c r="H543" s="8">
        <f>IFERROR(__xludf.DUMMYFUNCTION("""COMPUTED_VALUE"""),0.0)</f>
        <v>0</v>
      </c>
      <c r="I543" s="8" t="str">
        <f>IFERROR(__xludf.DUMMYFUNCTION("""COMPUTED_VALUE"""),"General")</f>
        <v>General</v>
      </c>
      <c r="J543" s="8" t="str">
        <f>IFERROR(__xludf.DUMMYFUNCTION("""COMPUTED_VALUE"""),"Tops")</f>
        <v>Tops</v>
      </c>
      <c r="K543" s="8" t="str">
        <f>IFERROR(__xludf.DUMMYFUNCTION("""COMPUTED_VALUE"""),"Sweaters")</f>
        <v>Sweaters</v>
      </c>
    </row>
    <row r="544">
      <c r="A544" s="8">
        <f>IFERROR(__xludf.DUMMYFUNCTION("""COMPUTED_VALUE"""),690.0)</f>
        <v>690</v>
      </c>
      <c r="B544" s="8">
        <f>IFERROR(__xludf.DUMMYFUNCTION("""COMPUTED_VALUE"""),937.0)</f>
        <v>937</v>
      </c>
      <c r="C544" s="8">
        <f>IFERROR(__xludf.DUMMYFUNCTION("""COMPUTED_VALUE"""),33.0)</f>
        <v>33</v>
      </c>
      <c r="D544" s="8" t="str">
        <f>IFERROR(__xludf.DUMMYFUNCTION("""COMPUTED_VALUE"""),"Great staple sweater!")</f>
        <v>Great staple sweater!</v>
      </c>
      <c r="E544" s="8" t="str">
        <f>IFERROR(__xludf.DUMMYFUNCTION("""COMPUTED_VALUE"""),"I just saw this in the store and loved it! it is shorter than pictured on the model, but it's not short. with a long shirt underneath, i'll wear it with leggings. the color is beautiful!! the size does run large - i normally wear a large at retailer, and "&amp;"i got this in a medium. i can't wait to wear it all fall and winter long!")</f>
        <v>I just saw this in the store and loved it! it is shorter than pictured on the model, but it's not short. with a long shirt underneath, i'll wear it with leggings. the color is beautiful!! the size does run large - i normally wear a large at retailer, and i got this in a medium. i can't wait to wear it all fall and winter long!</v>
      </c>
      <c r="F544" s="8">
        <f>IFERROR(__xludf.DUMMYFUNCTION("""COMPUTED_VALUE"""),5.0)</f>
        <v>5</v>
      </c>
      <c r="G544" s="8">
        <f>IFERROR(__xludf.DUMMYFUNCTION("""COMPUTED_VALUE"""),1.0)</f>
        <v>1</v>
      </c>
      <c r="H544" s="8">
        <f>IFERROR(__xludf.DUMMYFUNCTION("""COMPUTED_VALUE"""),0.0)</f>
        <v>0</v>
      </c>
      <c r="I544" s="8" t="str">
        <f>IFERROR(__xludf.DUMMYFUNCTION("""COMPUTED_VALUE"""),"General")</f>
        <v>General</v>
      </c>
      <c r="J544" s="8" t="str">
        <f>IFERROR(__xludf.DUMMYFUNCTION("""COMPUTED_VALUE"""),"Tops")</f>
        <v>Tops</v>
      </c>
      <c r="K544" s="8" t="str">
        <f>IFERROR(__xludf.DUMMYFUNCTION("""COMPUTED_VALUE"""),"Sweaters")</f>
        <v>Sweaters</v>
      </c>
    </row>
    <row r="545">
      <c r="A545" s="8">
        <f>IFERROR(__xludf.DUMMYFUNCTION("""COMPUTED_VALUE"""),691.0)</f>
        <v>691</v>
      </c>
      <c r="B545" s="8">
        <f>IFERROR(__xludf.DUMMYFUNCTION("""COMPUTED_VALUE"""),1059.0)</f>
        <v>1059</v>
      </c>
      <c r="C545" s="8">
        <f>IFERROR(__xludf.DUMMYFUNCTION("""COMPUTED_VALUE"""),48.0)</f>
        <v>48</v>
      </c>
      <c r="D545" s="8" t="str">
        <f>IFERROR(__xludf.DUMMYFUNCTION("""COMPUTED_VALUE"""),"Unique and adorable")</f>
        <v>Unique and adorable</v>
      </c>
      <c r="E545" s="8" t="str">
        <f>IFERROR(__xludf.DUMMYFUNCTION("""COMPUTED_VALUE"""),"Very fun and comfortable pants that will bring you many compliments. they do fall open when you sit down, though they have liner shorts inside for coverage. they are not appropriate for work but will become a wardrobe favorite.")</f>
        <v>Very fun and comfortable pants that will bring you many compliments. they do fall open when you sit down, though they have liner shorts inside for coverage. they are not appropriate for work but will become a wardrobe favorite.</v>
      </c>
      <c r="F545" s="8">
        <f>IFERROR(__xludf.DUMMYFUNCTION("""COMPUTED_VALUE"""),5.0)</f>
        <v>5</v>
      </c>
      <c r="G545" s="8">
        <f>IFERROR(__xludf.DUMMYFUNCTION("""COMPUTED_VALUE"""),1.0)</f>
        <v>1</v>
      </c>
      <c r="H545" s="8">
        <f>IFERROR(__xludf.DUMMYFUNCTION("""COMPUTED_VALUE"""),2.0)</f>
        <v>2</v>
      </c>
      <c r="I545" s="8" t="str">
        <f>IFERROR(__xludf.DUMMYFUNCTION("""COMPUTED_VALUE"""),"General")</f>
        <v>General</v>
      </c>
      <c r="J545" s="8" t="str">
        <f>IFERROR(__xludf.DUMMYFUNCTION("""COMPUTED_VALUE"""),"Bottoms")</f>
        <v>Bottoms</v>
      </c>
      <c r="K545" s="8" t="str">
        <f>IFERROR(__xludf.DUMMYFUNCTION("""COMPUTED_VALUE"""),"Pants")</f>
        <v>Pants</v>
      </c>
    </row>
    <row r="546">
      <c r="A546" s="8">
        <f>IFERROR(__xludf.DUMMYFUNCTION("""COMPUTED_VALUE"""),693.0)</f>
        <v>693</v>
      </c>
      <c r="B546" s="8">
        <f>IFERROR(__xludf.DUMMYFUNCTION("""COMPUTED_VALUE"""),1059.0)</f>
        <v>1059</v>
      </c>
      <c r="C546" s="8">
        <f>IFERROR(__xludf.DUMMYFUNCTION("""COMPUTED_VALUE"""),38.0)</f>
        <v>38</v>
      </c>
      <c r="D546" s="8" t="str">
        <f>IFERROR(__xludf.DUMMYFUNCTION("""COMPUTED_VALUE"""),"Fun, casual pant, perfect for summer and early fal")</f>
        <v>Fun, casual pant, perfect for summer and early fal</v>
      </c>
      <c r="E546" s="8" t="str">
        <f>IFERROR(__xludf.DUMMYFUNCTION("""COMPUTED_VALUE"""),"These pants! great casual pants, i've received so many compliments! mainly because they are flowy, and the open panels make them different! with the weather so hot, they are perfect for keeping you cool. very pleased with this purchase!")</f>
        <v>These pants! great casual pants, i've received so many compliments! mainly because they are flowy, and the open panels make them different! with the weather so hot, they are perfect for keeping you cool. very pleased with this purchase!</v>
      </c>
      <c r="F546" s="8">
        <f>IFERROR(__xludf.DUMMYFUNCTION("""COMPUTED_VALUE"""),5.0)</f>
        <v>5</v>
      </c>
      <c r="G546" s="8">
        <f>IFERROR(__xludf.DUMMYFUNCTION("""COMPUTED_VALUE"""),1.0)</f>
        <v>1</v>
      </c>
      <c r="H546" s="8">
        <f>IFERROR(__xludf.DUMMYFUNCTION("""COMPUTED_VALUE"""),1.0)</f>
        <v>1</v>
      </c>
      <c r="I546" s="8" t="str">
        <f>IFERROR(__xludf.DUMMYFUNCTION("""COMPUTED_VALUE"""),"General")</f>
        <v>General</v>
      </c>
      <c r="J546" s="8" t="str">
        <f>IFERROR(__xludf.DUMMYFUNCTION("""COMPUTED_VALUE"""),"Bottoms")</f>
        <v>Bottoms</v>
      </c>
      <c r="K546" s="8" t="str">
        <f>IFERROR(__xludf.DUMMYFUNCTION("""COMPUTED_VALUE"""),"Pants")</f>
        <v>Pants</v>
      </c>
    </row>
    <row r="547">
      <c r="A547" s="8">
        <f>IFERROR(__xludf.DUMMYFUNCTION("""COMPUTED_VALUE"""),694.0)</f>
        <v>694</v>
      </c>
      <c r="B547" s="8">
        <f>IFERROR(__xludf.DUMMYFUNCTION("""COMPUTED_VALUE"""),1110.0)</f>
        <v>1110</v>
      </c>
      <c r="C547" s="8">
        <f>IFERROR(__xludf.DUMMYFUNCTION("""COMPUTED_VALUE"""),24.0)</f>
        <v>24</v>
      </c>
      <c r="D547" s="8" t="str">
        <f>IFERROR(__xludf.DUMMYFUNCTION("""COMPUTED_VALUE"""),"Beautiful dress, weird sizing")</f>
        <v>Beautiful dress, weird sizing</v>
      </c>
      <c r="E547" s="8" t="str">
        <f>IFERROR(__xludf.DUMMYFUNCTION("""COMPUTED_VALUE"""),"After reviewing the comments for this dress i was really hesitant about buying it online, so i finally went to the store and all of the reviews are 100% true. this dress is amazing in terms of quality, but the sizing makes zero sense. i'm normally a size "&amp;"12, but based on the reviews i initially tried on a medium. even that was huge, arm holes so long you could see my entire bra. so i tried on the small and that fit perfectly. unfortunately, unless you're normally an 8(maybe) or above in sizing,")</f>
        <v>After reviewing the comments for this dress i was really hesitant about buying it online, so i finally went to the store and all of the reviews are 100% true. this dress is amazing in terms of quality, but the sizing makes zero sense. i'm normally a size 12, but based on the reviews i initially tried on a medium. even that was huge, arm holes so long you could see my entire bra. so i tried on the small and that fit perfectly. unfortunately, unless you're normally an 8(maybe) or above in sizing,</v>
      </c>
      <c r="F547" s="8">
        <f>IFERROR(__xludf.DUMMYFUNCTION("""COMPUTED_VALUE"""),4.0)</f>
        <v>4</v>
      </c>
      <c r="G547" s="8">
        <f>IFERROR(__xludf.DUMMYFUNCTION("""COMPUTED_VALUE"""),1.0)</f>
        <v>1</v>
      </c>
      <c r="H547" s="8">
        <f>IFERROR(__xludf.DUMMYFUNCTION("""COMPUTED_VALUE"""),0.0)</f>
        <v>0</v>
      </c>
      <c r="I547" s="8" t="str">
        <f>IFERROR(__xludf.DUMMYFUNCTION("""COMPUTED_VALUE"""),"General Petite")</f>
        <v>General Petite</v>
      </c>
      <c r="J547" s="8" t="str">
        <f>IFERROR(__xludf.DUMMYFUNCTION("""COMPUTED_VALUE"""),"Dresses")</f>
        <v>Dresses</v>
      </c>
      <c r="K547" s="8" t="str">
        <f>IFERROR(__xludf.DUMMYFUNCTION("""COMPUTED_VALUE"""),"Dresses")</f>
        <v>Dresses</v>
      </c>
    </row>
    <row r="548">
      <c r="A548" s="8">
        <f>IFERROR(__xludf.DUMMYFUNCTION("""COMPUTED_VALUE"""),696.0)</f>
        <v>696</v>
      </c>
      <c r="B548" s="8">
        <f>IFERROR(__xludf.DUMMYFUNCTION("""COMPUTED_VALUE"""),886.0)</f>
        <v>886</v>
      </c>
      <c r="C548" s="8">
        <f>IFERROR(__xludf.DUMMYFUNCTION("""COMPUTED_VALUE"""),52.0)</f>
        <v>52</v>
      </c>
      <c r="D548" s="8"/>
      <c r="E548" s="8" t="str">
        <f>IFERROR(__xludf.DUMMYFUNCTION("""COMPUTED_VALUE"""),"Nice basic top...i will get plenty of use out of this! love the neckline.")</f>
        <v>Nice basic top...i will get plenty of use out of this! love the neckline.</v>
      </c>
      <c r="F548" s="8">
        <f>IFERROR(__xludf.DUMMYFUNCTION("""COMPUTED_VALUE"""),5.0)</f>
        <v>5</v>
      </c>
      <c r="G548" s="8">
        <f>IFERROR(__xludf.DUMMYFUNCTION("""COMPUTED_VALUE"""),1.0)</f>
        <v>1</v>
      </c>
      <c r="H548" s="8">
        <f>IFERROR(__xludf.DUMMYFUNCTION("""COMPUTED_VALUE"""),0.0)</f>
        <v>0</v>
      </c>
      <c r="I548" s="8" t="str">
        <f>IFERROR(__xludf.DUMMYFUNCTION("""COMPUTED_VALUE"""),"General")</f>
        <v>General</v>
      </c>
      <c r="J548" s="8" t="str">
        <f>IFERROR(__xludf.DUMMYFUNCTION("""COMPUTED_VALUE"""),"Tops")</f>
        <v>Tops</v>
      </c>
      <c r="K548" s="8" t="str">
        <f>IFERROR(__xludf.DUMMYFUNCTION("""COMPUTED_VALUE"""),"Knits")</f>
        <v>Knits</v>
      </c>
    </row>
    <row r="549">
      <c r="A549" s="8">
        <f>IFERROR(__xludf.DUMMYFUNCTION("""COMPUTED_VALUE"""),697.0)</f>
        <v>697</v>
      </c>
      <c r="B549" s="8">
        <f>IFERROR(__xludf.DUMMYFUNCTION("""COMPUTED_VALUE"""),1087.0)</f>
        <v>1087</v>
      </c>
      <c r="C549" s="8">
        <f>IFERROR(__xludf.DUMMYFUNCTION("""COMPUTED_VALUE"""),36.0)</f>
        <v>36</v>
      </c>
      <c r="D549" s="8" t="str">
        <f>IFERROR(__xludf.DUMMYFUNCTION("""COMPUTED_VALUE"""),"So beautiful!")</f>
        <v>So beautiful!</v>
      </c>
      <c r="E549" s="8" t="str">
        <f>IFERROR(__xludf.DUMMYFUNCTION("""COMPUTED_VALUE"""),"I'd been eyeing this dress since i first saw it in the dress catalog when it came out. when i saw it in person, it was just as beautiful as i remembered! i'm about 140 lbs and usually wear a size s or m, but i tried the s on and decided to size down to an"&amp;" xs, because the linen flowy fabric lays a bit wide when on the body; however, the s would have worked, too! i'd say size down if you prefer your clothes a tiny bit more fitted. the fabric is beautiful and lightweight, even though there is more")</f>
        <v>I'd been eyeing this dress since i first saw it in the dress catalog when it came out. when i saw it in person, it was just as beautiful as i remembered! i'm about 140 lbs and usually wear a size s or m, but i tried the s on and decided to size down to an xs, because the linen flowy fabric lays a bit wide when on the body; however, the s would have worked, too! i'd say size down if you prefer your clothes a tiny bit more fitted. the fabric is beautiful and lightweight, even though there is more</v>
      </c>
      <c r="F549" s="8">
        <f>IFERROR(__xludf.DUMMYFUNCTION("""COMPUTED_VALUE"""),5.0)</f>
        <v>5</v>
      </c>
      <c r="G549" s="8">
        <f>IFERROR(__xludf.DUMMYFUNCTION("""COMPUTED_VALUE"""),1.0)</f>
        <v>1</v>
      </c>
      <c r="H549" s="8">
        <f>IFERROR(__xludf.DUMMYFUNCTION("""COMPUTED_VALUE"""),12.0)</f>
        <v>12</v>
      </c>
      <c r="I549" s="8" t="str">
        <f>IFERROR(__xludf.DUMMYFUNCTION("""COMPUTED_VALUE"""),"General")</f>
        <v>General</v>
      </c>
      <c r="J549" s="8" t="str">
        <f>IFERROR(__xludf.DUMMYFUNCTION("""COMPUTED_VALUE"""),"Dresses")</f>
        <v>Dresses</v>
      </c>
      <c r="K549" s="8" t="str">
        <f>IFERROR(__xludf.DUMMYFUNCTION("""COMPUTED_VALUE"""),"Dresses")</f>
        <v>Dresses</v>
      </c>
    </row>
    <row r="550">
      <c r="A550" s="8">
        <f>IFERROR(__xludf.DUMMYFUNCTION("""COMPUTED_VALUE"""),698.0)</f>
        <v>698</v>
      </c>
      <c r="B550" s="8">
        <f>IFERROR(__xludf.DUMMYFUNCTION("""COMPUTED_VALUE"""),937.0)</f>
        <v>937</v>
      </c>
      <c r="C550" s="8">
        <f>IFERROR(__xludf.DUMMYFUNCTION("""COMPUTED_VALUE"""),26.0)</f>
        <v>26</v>
      </c>
      <c r="D550" s="8" t="str">
        <f>IFERROR(__xludf.DUMMYFUNCTION("""COMPUTED_VALUE"""),"Perfect layering sweater")</f>
        <v>Perfect layering sweater</v>
      </c>
      <c r="E550" s="8" t="str">
        <f>IFERROR(__xludf.DUMMYFUNCTION("""COMPUTED_VALUE"""),"I have been searching for a pale pink sweater for fall. the color and fit is much prettier than the way it is photographed here. i think it will look great over denim, grey, or olive green dresses and shirts.")</f>
        <v>I have been searching for a pale pink sweater for fall. the color and fit is much prettier than the way it is photographed here. i think it will look great over denim, grey, or olive green dresses and shirts.</v>
      </c>
      <c r="F550" s="8">
        <f>IFERROR(__xludf.DUMMYFUNCTION("""COMPUTED_VALUE"""),5.0)</f>
        <v>5</v>
      </c>
      <c r="G550" s="8">
        <f>IFERROR(__xludf.DUMMYFUNCTION("""COMPUTED_VALUE"""),1.0)</f>
        <v>1</v>
      </c>
      <c r="H550" s="8">
        <f>IFERROR(__xludf.DUMMYFUNCTION("""COMPUTED_VALUE"""),1.0)</f>
        <v>1</v>
      </c>
      <c r="I550" s="8" t="str">
        <f>IFERROR(__xludf.DUMMYFUNCTION("""COMPUTED_VALUE"""),"General")</f>
        <v>General</v>
      </c>
      <c r="J550" s="8" t="str">
        <f>IFERROR(__xludf.DUMMYFUNCTION("""COMPUTED_VALUE"""),"Tops")</f>
        <v>Tops</v>
      </c>
      <c r="K550" s="8" t="str">
        <f>IFERROR(__xludf.DUMMYFUNCTION("""COMPUTED_VALUE"""),"Sweaters")</f>
        <v>Sweaters</v>
      </c>
    </row>
    <row r="551">
      <c r="A551" s="8">
        <f>IFERROR(__xludf.DUMMYFUNCTION("""COMPUTED_VALUE"""),700.0)</f>
        <v>700</v>
      </c>
      <c r="B551" s="8">
        <f>IFERROR(__xludf.DUMMYFUNCTION("""COMPUTED_VALUE"""),886.0)</f>
        <v>886</v>
      </c>
      <c r="C551" s="8">
        <f>IFERROR(__xludf.DUMMYFUNCTION("""COMPUTED_VALUE"""),48.0)</f>
        <v>48</v>
      </c>
      <c r="D551" s="8" t="str">
        <f>IFERROR(__xludf.DUMMYFUNCTION("""COMPUTED_VALUE"""),"Great casual top")</f>
        <v>Great casual top</v>
      </c>
      <c r="E551" s="8" t="str">
        <f>IFERROR(__xludf.DUMMYFUNCTION("""COMPUTED_VALUE"""),"I got this in blue and also in white, both size medium. it's a very comfy casual top and i love the horseshoe neckline and front facing seaming which makes it just a bit different. however....i can't figure out why the blue color fits quite a bit smaller "&amp;"than the white. but it does, so consider this when you order, depending upon how you want it to fit. i'm keeping both but will wear the blue in a different way, definitely not with leggings.")</f>
        <v>I got this in blue and also in white, both size medium. it's a very comfy casual top and i love the horseshoe neckline and front facing seaming which makes it just a bit different. however....i can't figure out why the blue color fits quite a bit smaller than the white. but it does, so consider this when you order, depending upon how you want it to fit. i'm keeping both but will wear the blue in a different way, definitely not with leggings.</v>
      </c>
      <c r="F551" s="8">
        <f>IFERROR(__xludf.DUMMYFUNCTION("""COMPUTED_VALUE"""),5.0)</f>
        <v>5</v>
      </c>
      <c r="G551" s="8">
        <f>IFERROR(__xludf.DUMMYFUNCTION("""COMPUTED_VALUE"""),1.0)</f>
        <v>1</v>
      </c>
      <c r="H551" s="8">
        <f>IFERROR(__xludf.DUMMYFUNCTION("""COMPUTED_VALUE"""),9.0)</f>
        <v>9</v>
      </c>
      <c r="I551" s="8" t="str">
        <f>IFERROR(__xludf.DUMMYFUNCTION("""COMPUTED_VALUE"""),"General")</f>
        <v>General</v>
      </c>
      <c r="J551" s="8" t="str">
        <f>IFERROR(__xludf.DUMMYFUNCTION("""COMPUTED_VALUE"""),"Tops")</f>
        <v>Tops</v>
      </c>
      <c r="K551" s="8" t="str">
        <f>IFERROR(__xludf.DUMMYFUNCTION("""COMPUTED_VALUE"""),"Knits")</f>
        <v>Knits</v>
      </c>
    </row>
    <row r="552">
      <c r="A552" s="8">
        <f>IFERROR(__xludf.DUMMYFUNCTION("""COMPUTED_VALUE"""),702.0)</f>
        <v>702</v>
      </c>
      <c r="B552" s="8">
        <f>IFERROR(__xludf.DUMMYFUNCTION("""COMPUTED_VALUE"""),886.0)</f>
        <v>886</v>
      </c>
      <c r="C552" s="8">
        <f>IFERROR(__xludf.DUMMYFUNCTION("""COMPUTED_VALUE"""),46.0)</f>
        <v>46</v>
      </c>
      <c r="D552" s="8" t="str">
        <f>IFERROR(__xludf.DUMMYFUNCTION("""COMPUTED_VALUE"""),"Great neckline &amp; good xl fit")</f>
        <v>Great neckline &amp; good xl fit</v>
      </c>
      <c r="E552" s="8" t="str">
        <f>IFERROR(__xludf.DUMMYFUNCTION("""COMPUTED_VALUE"""),"I ordered the white solid &amp; the white w/blue stripes versions in size xl. both fit me true to size. the fit matches the model's photos. i got these on sale and they're worth that price. they're great basics to have. the white/blue striped one is my favori"&amp;"te. it such a pretty combo. i love the unique neckline too. fun details for a basic tee.")</f>
        <v>I ordered the white solid &amp; the white w/blue stripes versions in size xl. both fit me true to size. the fit matches the model's photos. i got these on sale and they're worth that price. they're great basics to have. the white/blue striped one is my favorite. it such a pretty combo. i love the unique neckline too. fun details for a basic tee.</v>
      </c>
      <c r="F552" s="8">
        <f>IFERROR(__xludf.DUMMYFUNCTION("""COMPUTED_VALUE"""),4.0)</f>
        <v>4</v>
      </c>
      <c r="G552" s="8">
        <f>IFERROR(__xludf.DUMMYFUNCTION("""COMPUTED_VALUE"""),1.0)</f>
        <v>1</v>
      </c>
      <c r="H552" s="8">
        <f>IFERROR(__xludf.DUMMYFUNCTION("""COMPUTED_VALUE"""),0.0)</f>
        <v>0</v>
      </c>
      <c r="I552" s="8" t="str">
        <f>IFERROR(__xludf.DUMMYFUNCTION("""COMPUTED_VALUE"""),"General")</f>
        <v>General</v>
      </c>
      <c r="J552" s="8" t="str">
        <f>IFERROR(__xludf.DUMMYFUNCTION("""COMPUTED_VALUE"""),"Tops")</f>
        <v>Tops</v>
      </c>
      <c r="K552" s="8" t="str">
        <f>IFERROR(__xludf.DUMMYFUNCTION("""COMPUTED_VALUE"""),"Knits")</f>
        <v>Knits</v>
      </c>
    </row>
    <row r="553">
      <c r="A553" s="8">
        <f>IFERROR(__xludf.DUMMYFUNCTION("""COMPUTED_VALUE"""),703.0)</f>
        <v>703</v>
      </c>
      <c r="B553" s="8">
        <f>IFERROR(__xludf.DUMMYFUNCTION("""COMPUTED_VALUE"""),1137.0)</f>
        <v>1137</v>
      </c>
      <c r="C553" s="8">
        <f>IFERROR(__xludf.DUMMYFUNCTION("""COMPUTED_VALUE"""),49.0)</f>
        <v>49</v>
      </c>
      <c r="D553" s="8" t="str">
        <f>IFERROR(__xludf.DUMMYFUNCTION("""COMPUTED_VALUE"""),"Simple luxury")</f>
        <v>Simple luxury</v>
      </c>
      <c r="E553" s="8" t="str">
        <f>IFERROR(__xludf.DUMMYFUNCTION("""COMPUTED_VALUE"""),"I found this at my local store and ended up buying both colors. the fabric is thicker than a t-shirt. these will go with so many things....jeans to dressy skirts. i normally wear a small but ended up buying the medium (2). the small fit me but was a littl"&amp;"e too short (for reference i am 5'8""). these will be a staple in my wardrobe all year round. love!")</f>
        <v>I found this at my local store and ended up buying both colors. the fabric is thicker than a t-shirt. these will go with so many things....jeans to dressy skirts. i normally wear a small but ended up buying the medium (2). the small fit me but was a little too short (for reference i am 5'8"). these will be a staple in my wardrobe all year round. love!</v>
      </c>
      <c r="F553" s="8">
        <f>IFERROR(__xludf.DUMMYFUNCTION("""COMPUTED_VALUE"""),5.0)</f>
        <v>5</v>
      </c>
      <c r="G553" s="8">
        <f>IFERROR(__xludf.DUMMYFUNCTION("""COMPUTED_VALUE"""),1.0)</f>
        <v>1</v>
      </c>
      <c r="H553" s="8">
        <f>IFERROR(__xludf.DUMMYFUNCTION("""COMPUTED_VALUE"""),7.0)</f>
        <v>7</v>
      </c>
      <c r="I553" s="8" t="str">
        <f>IFERROR(__xludf.DUMMYFUNCTION("""COMPUTED_VALUE"""),"General")</f>
        <v>General</v>
      </c>
      <c r="J553" s="8" t="str">
        <f>IFERROR(__xludf.DUMMYFUNCTION("""COMPUTED_VALUE"""),"Trend")</f>
        <v>Trend</v>
      </c>
      <c r="K553" s="8" t="str">
        <f>IFERROR(__xludf.DUMMYFUNCTION("""COMPUTED_VALUE"""),"Trend")</f>
        <v>Trend</v>
      </c>
    </row>
    <row r="554">
      <c r="A554" s="8">
        <f>IFERROR(__xludf.DUMMYFUNCTION("""COMPUTED_VALUE"""),705.0)</f>
        <v>705</v>
      </c>
      <c r="B554" s="8">
        <f>IFERROR(__xludf.DUMMYFUNCTION("""COMPUTED_VALUE"""),937.0)</f>
        <v>937</v>
      </c>
      <c r="C554" s="8">
        <f>IFERROR(__xludf.DUMMYFUNCTION("""COMPUTED_VALUE"""),29.0)</f>
        <v>29</v>
      </c>
      <c r="D554" s="8" t="str">
        <f>IFERROR(__xludf.DUMMYFUNCTION("""COMPUTED_VALUE"""),"Great slouchy sweater, perfect color")</f>
        <v>Great slouchy sweater, perfect color</v>
      </c>
      <c r="E554" s="8" t="str">
        <f>IFERROR(__xludf.DUMMYFUNCTION("""COMPUTED_VALUE"""),"This sweater has the perfect slouchy shape for fall. i wish it were a little bit softer and heavier - the fabric is pretty lightweight - but it layers beautifully and will be a staple for me this season.")</f>
        <v>This sweater has the perfect slouchy shape for fall. i wish it were a little bit softer and heavier - the fabric is pretty lightweight - but it layers beautifully and will be a staple for me this season.</v>
      </c>
      <c r="F554" s="8">
        <f>IFERROR(__xludf.DUMMYFUNCTION("""COMPUTED_VALUE"""),5.0)</f>
        <v>5</v>
      </c>
      <c r="G554" s="8">
        <f>IFERROR(__xludf.DUMMYFUNCTION("""COMPUTED_VALUE"""),1.0)</f>
        <v>1</v>
      </c>
      <c r="H554" s="8">
        <f>IFERROR(__xludf.DUMMYFUNCTION("""COMPUTED_VALUE"""),0.0)</f>
        <v>0</v>
      </c>
      <c r="I554" s="8" t="str">
        <f>IFERROR(__xludf.DUMMYFUNCTION("""COMPUTED_VALUE"""),"General")</f>
        <v>General</v>
      </c>
      <c r="J554" s="8" t="str">
        <f>IFERROR(__xludf.DUMMYFUNCTION("""COMPUTED_VALUE"""),"Tops")</f>
        <v>Tops</v>
      </c>
      <c r="K554" s="8" t="str">
        <f>IFERROR(__xludf.DUMMYFUNCTION("""COMPUTED_VALUE"""),"Sweaters")</f>
        <v>Sweaters</v>
      </c>
    </row>
    <row r="555">
      <c r="A555" s="8">
        <f>IFERROR(__xludf.DUMMYFUNCTION("""COMPUTED_VALUE"""),707.0)</f>
        <v>707</v>
      </c>
      <c r="B555" s="8">
        <f>IFERROR(__xludf.DUMMYFUNCTION("""COMPUTED_VALUE"""),1087.0)</f>
        <v>1087</v>
      </c>
      <c r="C555" s="8">
        <f>IFERROR(__xludf.DUMMYFUNCTION("""COMPUTED_VALUE"""),32.0)</f>
        <v>32</v>
      </c>
      <c r="D555" s="8"/>
      <c r="E555" s="8"/>
      <c r="F555" s="8">
        <f>IFERROR(__xludf.DUMMYFUNCTION("""COMPUTED_VALUE"""),5.0)</f>
        <v>5</v>
      </c>
      <c r="G555" s="8">
        <f>IFERROR(__xludf.DUMMYFUNCTION("""COMPUTED_VALUE"""),1.0)</f>
        <v>1</v>
      </c>
      <c r="H555" s="8">
        <f>IFERROR(__xludf.DUMMYFUNCTION("""COMPUTED_VALUE"""),0.0)</f>
        <v>0</v>
      </c>
      <c r="I555" s="8" t="str">
        <f>IFERROR(__xludf.DUMMYFUNCTION("""COMPUTED_VALUE"""),"General")</f>
        <v>General</v>
      </c>
      <c r="J555" s="8" t="str">
        <f>IFERROR(__xludf.DUMMYFUNCTION("""COMPUTED_VALUE"""),"Dresses")</f>
        <v>Dresses</v>
      </c>
      <c r="K555" s="8" t="str">
        <f>IFERROR(__xludf.DUMMYFUNCTION("""COMPUTED_VALUE"""),"Dresses")</f>
        <v>Dresses</v>
      </c>
    </row>
    <row r="556">
      <c r="A556" s="8">
        <f>IFERROR(__xludf.DUMMYFUNCTION("""COMPUTED_VALUE"""),708.0)</f>
        <v>708</v>
      </c>
      <c r="B556" s="8">
        <f>IFERROR(__xludf.DUMMYFUNCTION("""COMPUTED_VALUE"""),1059.0)</f>
        <v>1059</v>
      </c>
      <c r="C556" s="8">
        <f>IFERROR(__xludf.DUMMYFUNCTION("""COMPUTED_VALUE"""),40.0)</f>
        <v>40</v>
      </c>
      <c r="D556" s="8" t="str">
        <f>IFERROR(__xludf.DUMMYFUNCTION("""COMPUTED_VALUE"""),"Love these pants")</f>
        <v>Love these pants</v>
      </c>
      <c r="E556" s="8" t="str">
        <f>IFERROR(__xludf.DUMMYFUNCTION("""COMPUTED_VALUE"""),"Marking down one star because these pants do gape quite a bit when you sit down, though i appreciate the shorts underneath that prevent any indecent exposure. these could have done with a little stitch in the front or side somewhere on the leg to limit th"&amp;"at. that said, my other similar (non-retailer) pants that are much worse and are also are bulkier on top, which does not look great at my size/with my body shape. these are more flattering (i love the band on top) and comfortable. i am normally a")</f>
        <v>Marking down one star because these pants do gape quite a bit when you sit down, though i appreciate the shorts underneath that prevent any indecent exposure. these could have done with a little stitch in the front or side somewhere on the leg to limit that. that said, my other similar (non-retailer) pants that are much worse and are also are bulkier on top, which does not look great at my size/with my body shape. these are more flattering (i love the band on top) and comfortable. i am normally a</v>
      </c>
      <c r="F556" s="8">
        <f>IFERROR(__xludf.DUMMYFUNCTION("""COMPUTED_VALUE"""),5.0)</f>
        <v>5</v>
      </c>
      <c r="G556" s="8">
        <f>IFERROR(__xludf.DUMMYFUNCTION("""COMPUTED_VALUE"""),1.0)</f>
        <v>1</v>
      </c>
      <c r="H556" s="8">
        <f>IFERROR(__xludf.DUMMYFUNCTION("""COMPUTED_VALUE"""),14.0)</f>
        <v>14</v>
      </c>
      <c r="I556" s="8" t="str">
        <f>IFERROR(__xludf.DUMMYFUNCTION("""COMPUTED_VALUE"""),"General")</f>
        <v>General</v>
      </c>
      <c r="J556" s="8" t="str">
        <f>IFERROR(__xludf.DUMMYFUNCTION("""COMPUTED_VALUE"""),"Bottoms")</f>
        <v>Bottoms</v>
      </c>
      <c r="K556" s="8" t="str">
        <f>IFERROR(__xludf.DUMMYFUNCTION("""COMPUTED_VALUE"""),"Pants")</f>
        <v>Pants</v>
      </c>
    </row>
    <row r="557">
      <c r="A557" s="8">
        <f>IFERROR(__xludf.DUMMYFUNCTION("""COMPUTED_VALUE"""),709.0)</f>
        <v>709</v>
      </c>
      <c r="B557" s="8">
        <f>IFERROR(__xludf.DUMMYFUNCTION("""COMPUTED_VALUE"""),1137.0)</f>
        <v>1137</v>
      </c>
      <c r="C557" s="8">
        <f>IFERROR(__xludf.DUMMYFUNCTION("""COMPUTED_VALUE"""),69.0)</f>
        <v>69</v>
      </c>
      <c r="D557" s="8" t="str">
        <f>IFERROR(__xludf.DUMMYFUNCTION("""COMPUTED_VALUE"""),"The tee i have always been looking for!")</f>
        <v>The tee i have always been looking for!</v>
      </c>
      <c r="E557" s="8" t="str">
        <f>IFERROR(__xludf.DUMMYFUNCTION("""COMPUTED_VALUE"""),"It is seldom that i write a review about a tee, but after receiving the jessa tee in the mail today, i just felt compelled to do so! the deal is, this tee is pricey for sure, but in my opinion, it is worth it! as another reviewer said, the cotton fabric i"&amp;"s hefty; in fact, it could also be called a ""lightweight sweater."" everything about this tee is perfect and classic: the elbow sleeves, the nice neckline, and the semi-boxy, semi-cropped fit. it will go with everything from jeans, to nice slacks")</f>
        <v>It is seldom that i write a review about a tee, but after receiving the jessa tee in the mail today, i just felt compelled to do so! the deal is, this tee is pricey for sure, but in my opinion, it is worth it! as another reviewer said, the cotton fabric is hefty; in fact, it could also be called a "lightweight sweater." everything about this tee is perfect and classic: the elbow sleeves, the nice neckline, and the semi-boxy, semi-cropped fit. it will go with everything from jeans, to nice slacks</v>
      </c>
      <c r="F557" s="8">
        <f>IFERROR(__xludf.DUMMYFUNCTION("""COMPUTED_VALUE"""),5.0)</f>
        <v>5</v>
      </c>
      <c r="G557" s="8">
        <f>IFERROR(__xludf.DUMMYFUNCTION("""COMPUTED_VALUE"""),1.0)</f>
        <v>1</v>
      </c>
      <c r="H557" s="8">
        <f>IFERROR(__xludf.DUMMYFUNCTION("""COMPUTED_VALUE"""),1.0)</f>
        <v>1</v>
      </c>
      <c r="I557" s="8" t="str">
        <f>IFERROR(__xludf.DUMMYFUNCTION("""COMPUTED_VALUE"""),"General")</f>
        <v>General</v>
      </c>
      <c r="J557" s="8" t="str">
        <f>IFERROR(__xludf.DUMMYFUNCTION("""COMPUTED_VALUE"""),"Trend")</f>
        <v>Trend</v>
      </c>
      <c r="K557" s="8" t="str">
        <f>IFERROR(__xludf.DUMMYFUNCTION("""COMPUTED_VALUE"""),"Trend")</f>
        <v>Trend</v>
      </c>
    </row>
    <row r="558">
      <c r="A558" s="8">
        <f>IFERROR(__xludf.DUMMYFUNCTION("""COMPUTED_VALUE"""),710.0)</f>
        <v>710</v>
      </c>
      <c r="B558" s="8">
        <f>IFERROR(__xludf.DUMMYFUNCTION("""COMPUTED_VALUE"""),745.0)</f>
        <v>745</v>
      </c>
      <c r="C558" s="8">
        <f>IFERROR(__xludf.DUMMYFUNCTION("""COMPUTED_VALUE"""),28.0)</f>
        <v>28</v>
      </c>
      <c r="D558" s="8" t="str">
        <f>IFERROR(__xludf.DUMMYFUNCTION("""COMPUTED_VALUE"""),"The softest leggings")</f>
        <v>The softest leggings</v>
      </c>
      <c r="E558" s="8" t="str">
        <f>IFERROR(__xludf.DUMMYFUNCTION("""COMPUTED_VALUE"""),"These leggings are some of the softest i own. i ordered both the black and the moss and each has a distinct pattern. they are perfect for colder climates and fit me like a glove.")</f>
        <v>These leggings are some of the softest i own. i ordered both the black and the moss and each has a distinct pattern. they are perfect for colder climates and fit me like a glove.</v>
      </c>
      <c r="F558" s="8">
        <f>IFERROR(__xludf.DUMMYFUNCTION("""COMPUTED_VALUE"""),5.0)</f>
        <v>5</v>
      </c>
      <c r="G558" s="8">
        <f>IFERROR(__xludf.DUMMYFUNCTION("""COMPUTED_VALUE"""),1.0)</f>
        <v>1</v>
      </c>
      <c r="H558" s="8">
        <f>IFERROR(__xludf.DUMMYFUNCTION("""COMPUTED_VALUE"""),2.0)</f>
        <v>2</v>
      </c>
      <c r="I558" s="8" t="str">
        <f>IFERROR(__xludf.DUMMYFUNCTION("""COMPUTED_VALUE"""),"Initmates")</f>
        <v>Initmates</v>
      </c>
      <c r="J558" s="8" t="str">
        <f>IFERROR(__xludf.DUMMYFUNCTION("""COMPUTED_VALUE"""),"Intimate")</f>
        <v>Intimate</v>
      </c>
      <c r="K558" s="8" t="str">
        <f>IFERROR(__xludf.DUMMYFUNCTION("""COMPUTED_VALUE"""),"Legwear")</f>
        <v>Legwear</v>
      </c>
    </row>
    <row r="559">
      <c r="A559" s="8">
        <f>IFERROR(__xludf.DUMMYFUNCTION("""COMPUTED_VALUE"""),711.0)</f>
        <v>711</v>
      </c>
      <c r="B559" s="8">
        <f>IFERROR(__xludf.DUMMYFUNCTION("""COMPUTED_VALUE"""),937.0)</f>
        <v>937</v>
      </c>
      <c r="C559" s="8">
        <f>IFERROR(__xludf.DUMMYFUNCTION("""COMPUTED_VALUE"""),74.0)</f>
        <v>74</v>
      </c>
      <c r="D559" s="8" t="str">
        <f>IFERROR(__xludf.DUMMYFUNCTION("""COMPUTED_VALUE"""),"Great fall sweater")</f>
        <v>Great fall sweater</v>
      </c>
      <c r="E559" s="8" t="str">
        <f>IFERROR(__xludf.DUMMYFUNCTION("""COMPUTED_VALUE"""),"I took this sweater on a recent vacation up north. i wore it 3 evenings because the weather changed from hot to cool. loved the feel of being wrapped in a warm blanket. cocoon cardigan is an apt name. wasn't sure about pink but it is exactly as pictured. "&amp;"this will become a go-to in my sweater wardrobe.")</f>
        <v>I took this sweater on a recent vacation up north. i wore it 3 evenings because the weather changed from hot to cool. loved the feel of being wrapped in a warm blanket. cocoon cardigan is an apt name. wasn't sure about pink but it is exactly as pictured. this will become a go-to in my sweater wardrobe.</v>
      </c>
      <c r="F559" s="8">
        <f>IFERROR(__xludf.DUMMYFUNCTION("""COMPUTED_VALUE"""),4.0)</f>
        <v>4</v>
      </c>
      <c r="G559" s="8">
        <f>IFERROR(__xludf.DUMMYFUNCTION("""COMPUTED_VALUE"""),1.0)</f>
        <v>1</v>
      </c>
      <c r="H559" s="8">
        <f>IFERROR(__xludf.DUMMYFUNCTION("""COMPUTED_VALUE"""),1.0)</f>
        <v>1</v>
      </c>
      <c r="I559" s="8" t="str">
        <f>IFERROR(__xludf.DUMMYFUNCTION("""COMPUTED_VALUE"""),"General")</f>
        <v>General</v>
      </c>
      <c r="J559" s="8" t="str">
        <f>IFERROR(__xludf.DUMMYFUNCTION("""COMPUTED_VALUE"""),"Tops")</f>
        <v>Tops</v>
      </c>
      <c r="K559" s="8" t="str">
        <f>IFERROR(__xludf.DUMMYFUNCTION("""COMPUTED_VALUE"""),"Sweaters")</f>
        <v>Sweaters</v>
      </c>
    </row>
    <row r="560">
      <c r="A560" s="8">
        <f>IFERROR(__xludf.DUMMYFUNCTION("""COMPUTED_VALUE"""),712.0)</f>
        <v>712</v>
      </c>
      <c r="B560" s="8">
        <f>IFERROR(__xludf.DUMMYFUNCTION("""COMPUTED_VALUE"""),1110.0)</f>
        <v>1110</v>
      </c>
      <c r="C560" s="8">
        <f>IFERROR(__xludf.DUMMYFUNCTION("""COMPUTED_VALUE"""),48.0)</f>
        <v>48</v>
      </c>
      <c r="D560" s="8" t="str">
        <f>IFERROR(__xludf.DUMMYFUNCTION("""COMPUTED_VALUE"""),"Very hip")</f>
        <v>Very hip</v>
      </c>
      <c r="E560" s="8" t="str">
        <f>IFERROR(__xludf.DUMMYFUNCTION("""COMPUTED_VALUE"""),"I normally wear a size 2 so i ordered a small and an small petite, i will be keeping the small because the small petite looks like a shirt on me, my height is 5'4"". it runs very big underneath the arms as well. the design is so unique i will be keeping i"&amp;"t.")</f>
        <v>I normally wear a size 2 so i ordered a small and an small petite, i will be keeping the small because the small petite looks like a shirt on me, my height is 5'4". it runs very big underneath the arms as well. the design is so unique i will be keeping it.</v>
      </c>
      <c r="F560" s="8">
        <f>IFERROR(__xludf.DUMMYFUNCTION("""COMPUTED_VALUE"""),4.0)</f>
        <v>4</v>
      </c>
      <c r="G560" s="8">
        <f>IFERROR(__xludf.DUMMYFUNCTION("""COMPUTED_VALUE"""),1.0)</f>
        <v>1</v>
      </c>
      <c r="H560" s="8">
        <f>IFERROR(__xludf.DUMMYFUNCTION("""COMPUTED_VALUE"""),2.0)</f>
        <v>2</v>
      </c>
      <c r="I560" s="8" t="str">
        <f>IFERROR(__xludf.DUMMYFUNCTION("""COMPUTED_VALUE"""),"General")</f>
        <v>General</v>
      </c>
      <c r="J560" s="8" t="str">
        <f>IFERROR(__xludf.DUMMYFUNCTION("""COMPUTED_VALUE"""),"Dresses")</f>
        <v>Dresses</v>
      </c>
      <c r="K560" s="8" t="str">
        <f>IFERROR(__xludf.DUMMYFUNCTION("""COMPUTED_VALUE"""),"Dresses")</f>
        <v>Dresses</v>
      </c>
    </row>
    <row r="561">
      <c r="A561" s="8">
        <f>IFERROR(__xludf.DUMMYFUNCTION("""COMPUTED_VALUE"""),713.0)</f>
        <v>713</v>
      </c>
      <c r="B561" s="8">
        <f>IFERROR(__xludf.DUMMYFUNCTION("""COMPUTED_VALUE"""),1110.0)</f>
        <v>1110</v>
      </c>
      <c r="C561" s="8">
        <f>IFERROR(__xludf.DUMMYFUNCTION("""COMPUTED_VALUE"""),35.0)</f>
        <v>35</v>
      </c>
      <c r="D561" s="8" t="str">
        <f>IFERROR(__xludf.DUMMYFUNCTION("""COMPUTED_VALUE"""),"Still cute despite...")</f>
        <v>Still cute despite...</v>
      </c>
      <c r="E561" s="8" t="str">
        <f>IFERROR(__xludf.DUMMYFUNCTION("""COMPUTED_VALUE"""),"This dress is still super cute despite its shortcomings. i agree with other reviewers that it definitely runs large, and very small petite/thinner ladies might feel it's overwhelming. it worked for me in my usual size l though. for reference i'm 5'3 and t"&amp;"his hit just above the knee. and while the dress is ""roomy,"" a smaller size would likely have been tighter or pulled on my fuller (36d) chest as there's not much give in that area. i agree that the armpit holes are ridiculous, but a thin camisol")</f>
        <v>This dress is still super cute despite its shortcomings. i agree with other reviewers that it definitely runs large, and very small petite/thinner ladies might feel it's overwhelming. it worked for me in my usual size l though. for reference i'm 5'3 and this hit just above the knee. and while the dress is "roomy," a smaller size would likely have been tighter or pulled on my fuller (36d) chest as there's not much give in that area. i agree that the armpit holes are ridiculous, but a thin camisol</v>
      </c>
      <c r="F561" s="8">
        <f>IFERROR(__xludf.DUMMYFUNCTION("""COMPUTED_VALUE"""),4.0)</f>
        <v>4</v>
      </c>
      <c r="G561" s="8">
        <f>IFERROR(__xludf.DUMMYFUNCTION("""COMPUTED_VALUE"""),1.0)</f>
        <v>1</v>
      </c>
      <c r="H561" s="8">
        <f>IFERROR(__xludf.DUMMYFUNCTION("""COMPUTED_VALUE"""),0.0)</f>
        <v>0</v>
      </c>
      <c r="I561" s="8" t="str">
        <f>IFERROR(__xludf.DUMMYFUNCTION("""COMPUTED_VALUE"""),"General")</f>
        <v>General</v>
      </c>
      <c r="J561" s="8" t="str">
        <f>IFERROR(__xludf.DUMMYFUNCTION("""COMPUTED_VALUE"""),"Dresses")</f>
        <v>Dresses</v>
      </c>
      <c r="K561" s="8" t="str">
        <f>IFERROR(__xludf.DUMMYFUNCTION("""COMPUTED_VALUE"""),"Dresses")</f>
        <v>Dresses</v>
      </c>
    </row>
    <row r="562">
      <c r="A562" s="8">
        <f>IFERROR(__xludf.DUMMYFUNCTION("""COMPUTED_VALUE"""),714.0)</f>
        <v>714</v>
      </c>
      <c r="B562" s="8">
        <f>IFERROR(__xludf.DUMMYFUNCTION("""COMPUTED_VALUE"""),886.0)</f>
        <v>886</v>
      </c>
      <c r="C562" s="8">
        <f>IFERROR(__xludf.DUMMYFUNCTION("""COMPUTED_VALUE"""),50.0)</f>
        <v>50</v>
      </c>
      <c r="D562" s="8"/>
      <c r="E562" s="8" t="str">
        <f>IFERROR(__xludf.DUMMYFUNCTION("""COMPUTED_VALUE"""),"So comfy and stylish. love the color, i purchased the indigo/blue. nice fit, relaxed fit....not fitted. might have to get another color. it's fun to have a tee with a different design detail (neckline). i'm 5'7 145-150 lbs and ordered the medium. a smaill"&amp;" probably would have worked too, since my shoulders are a bit narrow. but mediumd is fine:)")</f>
        <v>So comfy and stylish. love the color, i purchased the indigo/blue. nice fit, relaxed fit....not fitted. might have to get another color. it's fun to have a tee with a different design detail (neckline). i'm 5'7 145-150 lbs and ordered the medium. a smaill probably would have worked too, since my shoulders are a bit narrow. but mediumd is fine:)</v>
      </c>
      <c r="F562" s="8">
        <f>IFERROR(__xludf.DUMMYFUNCTION("""COMPUTED_VALUE"""),5.0)</f>
        <v>5</v>
      </c>
      <c r="G562" s="8">
        <f>IFERROR(__xludf.DUMMYFUNCTION("""COMPUTED_VALUE"""),1.0)</f>
        <v>1</v>
      </c>
      <c r="H562" s="8">
        <f>IFERROR(__xludf.DUMMYFUNCTION("""COMPUTED_VALUE"""),0.0)</f>
        <v>0</v>
      </c>
      <c r="I562" s="8" t="str">
        <f>IFERROR(__xludf.DUMMYFUNCTION("""COMPUTED_VALUE"""),"General Petite")</f>
        <v>General Petite</v>
      </c>
      <c r="J562" s="8" t="str">
        <f>IFERROR(__xludf.DUMMYFUNCTION("""COMPUTED_VALUE"""),"Tops")</f>
        <v>Tops</v>
      </c>
      <c r="K562" s="8" t="str">
        <f>IFERROR(__xludf.DUMMYFUNCTION("""COMPUTED_VALUE"""),"Knits")</f>
        <v>Knits</v>
      </c>
    </row>
    <row r="563">
      <c r="A563" s="8">
        <f>IFERROR(__xludf.DUMMYFUNCTION("""COMPUTED_VALUE"""),715.0)</f>
        <v>715</v>
      </c>
      <c r="B563" s="8">
        <f>IFERROR(__xludf.DUMMYFUNCTION("""COMPUTED_VALUE"""),937.0)</f>
        <v>937</v>
      </c>
      <c r="C563" s="8">
        <f>IFERROR(__xludf.DUMMYFUNCTION("""COMPUTED_VALUE"""),38.0)</f>
        <v>38</v>
      </c>
      <c r="D563" s="8" t="str">
        <f>IFERROR(__xludf.DUMMYFUNCTION("""COMPUTED_VALUE"""),"Love")</f>
        <v>Love</v>
      </c>
      <c r="E563" s="8" t="str">
        <f>IFERROR(__xludf.DUMMYFUNCTION("""COMPUTED_VALUE"""),"I love this sweater! it is true to size and not itchy at all. i am 5'5"" and i bought the small. other reviews said it wasn't as long as it looks pictures but it is the same length on me as it shows on the model. you can wear this with so many things! i c"&amp;"an't wait for fall so i can wear it.")</f>
        <v>I love this sweater! it is true to size and not itchy at all. i am 5'5" and i bought the small. other reviews said it wasn't as long as it looks pictures but it is the same length on me as it shows on the model. you can wear this with so many things! i can't wait for fall so i can wear it.</v>
      </c>
      <c r="F563" s="8">
        <f>IFERROR(__xludf.DUMMYFUNCTION("""COMPUTED_VALUE"""),5.0)</f>
        <v>5</v>
      </c>
      <c r="G563" s="8">
        <f>IFERROR(__xludf.DUMMYFUNCTION("""COMPUTED_VALUE"""),1.0)</f>
        <v>1</v>
      </c>
      <c r="H563" s="8">
        <f>IFERROR(__xludf.DUMMYFUNCTION("""COMPUTED_VALUE"""),1.0)</f>
        <v>1</v>
      </c>
      <c r="I563" s="8" t="str">
        <f>IFERROR(__xludf.DUMMYFUNCTION("""COMPUTED_VALUE"""),"General")</f>
        <v>General</v>
      </c>
      <c r="J563" s="8" t="str">
        <f>IFERROR(__xludf.DUMMYFUNCTION("""COMPUTED_VALUE"""),"Tops")</f>
        <v>Tops</v>
      </c>
      <c r="K563" s="8" t="str">
        <f>IFERROR(__xludf.DUMMYFUNCTION("""COMPUTED_VALUE"""),"Sweaters")</f>
        <v>Sweaters</v>
      </c>
    </row>
    <row r="564">
      <c r="A564" s="8">
        <f>IFERROR(__xludf.DUMMYFUNCTION("""COMPUTED_VALUE"""),716.0)</f>
        <v>716</v>
      </c>
      <c r="B564" s="8">
        <f>IFERROR(__xludf.DUMMYFUNCTION("""COMPUTED_VALUE"""),886.0)</f>
        <v>886</v>
      </c>
      <c r="C564" s="8">
        <f>IFERROR(__xludf.DUMMYFUNCTION("""COMPUTED_VALUE"""),42.0)</f>
        <v>42</v>
      </c>
      <c r="D564" s="8" t="str">
        <f>IFERROR(__xludf.DUMMYFUNCTION("""COMPUTED_VALUE"""),"Great color!")</f>
        <v>Great color!</v>
      </c>
      <c r="E564" s="8" t="str">
        <f>IFERROR(__xludf.DUMMYFUNCTION("""COMPUTED_VALUE"""),"The coral is stunning. the shirt has a slight flare at the bottom that you can't see in the picture, it isn't a straight cut. the sewn edges are rough style making the shirt right for casual wear with jeans, or dressing down something fancier.")</f>
        <v>The coral is stunning. the shirt has a slight flare at the bottom that you can't see in the picture, it isn't a straight cut. the sewn edges are rough style making the shirt right for casual wear with jeans, or dressing down something fancier.</v>
      </c>
      <c r="F564" s="8">
        <f>IFERROR(__xludf.DUMMYFUNCTION("""COMPUTED_VALUE"""),5.0)</f>
        <v>5</v>
      </c>
      <c r="G564" s="8">
        <f>IFERROR(__xludf.DUMMYFUNCTION("""COMPUTED_VALUE"""),1.0)</f>
        <v>1</v>
      </c>
      <c r="H564" s="8">
        <f>IFERROR(__xludf.DUMMYFUNCTION("""COMPUTED_VALUE"""),0.0)</f>
        <v>0</v>
      </c>
      <c r="I564" s="8" t="str">
        <f>IFERROR(__xludf.DUMMYFUNCTION("""COMPUTED_VALUE"""),"General Petite")</f>
        <v>General Petite</v>
      </c>
      <c r="J564" s="8" t="str">
        <f>IFERROR(__xludf.DUMMYFUNCTION("""COMPUTED_VALUE"""),"Tops")</f>
        <v>Tops</v>
      </c>
      <c r="K564" s="8" t="str">
        <f>IFERROR(__xludf.DUMMYFUNCTION("""COMPUTED_VALUE"""),"Knits")</f>
        <v>Knits</v>
      </c>
    </row>
    <row r="565">
      <c r="A565" s="8">
        <f>IFERROR(__xludf.DUMMYFUNCTION("""COMPUTED_VALUE"""),717.0)</f>
        <v>717</v>
      </c>
      <c r="B565" s="8">
        <f>IFERROR(__xludf.DUMMYFUNCTION("""COMPUTED_VALUE"""),937.0)</f>
        <v>937</v>
      </c>
      <c r="C565" s="8">
        <f>IFERROR(__xludf.DUMMYFUNCTION("""COMPUTED_VALUE"""),45.0)</f>
        <v>45</v>
      </c>
      <c r="D565" s="8" t="str">
        <f>IFERROR(__xludf.DUMMYFUNCTION("""COMPUTED_VALUE"""),"Nice surprise")</f>
        <v>Nice surprise</v>
      </c>
      <c r="E565" s="8" t="str">
        <f>IFERROR(__xludf.DUMMYFUNCTION("""COMPUTED_VALUE"""),"I received this sweater in last week, when i opened the package i thought for sure that this sweater was going to be itchy , it is not , the styling is great and very flattering for the price this is a great value.")</f>
        <v>I received this sweater in last week, when i opened the package i thought for sure that this sweater was going to be itchy , it is not , the styling is great and very flattering for the price this is a great value.</v>
      </c>
      <c r="F565" s="8">
        <f>IFERROR(__xludf.DUMMYFUNCTION("""COMPUTED_VALUE"""),5.0)</f>
        <v>5</v>
      </c>
      <c r="G565" s="8">
        <f>IFERROR(__xludf.DUMMYFUNCTION("""COMPUTED_VALUE"""),1.0)</f>
        <v>1</v>
      </c>
      <c r="H565" s="8">
        <f>IFERROR(__xludf.DUMMYFUNCTION("""COMPUTED_VALUE"""),8.0)</f>
        <v>8</v>
      </c>
      <c r="I565" s="8" t="str">
        <f>IFERROR(__xludf.DUMMYFUNCTION("""COMPUTED_VALUE"""),"General")</f>
        <v>General</v>
      </c>
      <c r="J565" s="8" t="str">
        <f>IFERROR(__xludf.DUMMYFUNCTION("""COMPUTED_VALUE"""),"Tops")</f>
        <v>Tops</v>
      </c>
      <c r="K565" s="8" t="str">
        <f>IFERROR(__xludf.DUMMYFUNCTION("""COMPUTED_VALUE"""),"Sweaters")</f>
        <v>Sweaters</v>
      </c>
    </row>
    <row r="566">
      <c r="A566" s="8">
        <f>IFERROR(__xludf.DUMMYFUNCTION("""COMPUTED_VALUE"""),718.0)</f>
        <v>718</v>
      </c>
      <c r="B566" s="8">
        <f>IFERROR(__xludf.DUMMYFUNCTION("""COMPUTED_VALUE"""),937.0)</f>
        <v>937</v>
      </c>
      <c r="C566" s="8">
        <f>IFERROR(__xludf.DUMMYFUNCTION("""COMPUTED_VALUE"""),38.0)</f>
        <v>38</v>
      </c>
      <c r="D566" s="8" t="str">
        <f>IFERROR(__xludf.DUMMYFUNCTION("""COMPUTED_VALUE"""),"More colorways please =d")</f>
        <v>More colorways please =d</v>
      </c>
      <c r="E566" s="8" t="str">
        <f>IFERROR(__xludf.DUMMYFUNCTION("""COMPUTED_VALUE"""),"I'm a 110 lb, shorty with a short torso and long arms so the standard xs was huge. i had the opportunity to try on both the xxs petite and xs petite. the xxs petite was almost perfect but i wanted it more flowy - probably best for those that are even shor"&amp;"ter and more lightweight than me, othewise, it looks a little too boxy. the petite xs fit me the best and draped nicely, similar to the model in the pink. i had a sweater with this exact silhouette 5+ years ago and wore it to death even though i")</f>
        <v>I'm a 110 lb, shorty with a short torso and long arms so the standard xs was huge. i had the opportunity to try on both the xxs petite and xs petite. the xxs petite was almost perfect but i wanted it more flowy - probably best for those that are even shorter and more lightweight than me, othewise, it looks a little too boxy. the petite xs fit me the best and draped nicely, similar to the model in the pink. i had a sweater with this exact silhouette 5+ years ago and wore it to death even though i</v>
      </c>
      <c r="F566" s="8">
        <f>IFERROR(__xludf.DUMMYFUNCTION("""COMPUTED_VALUE"""),5.0)</f>
        <v>5</v>
      </c>
      <c r="G566" s="8">
        <f>IFERROR(__xludf.DUMMYFUNCTION("""COMPUTED_VALUE"""),1.0)</f>
        <v>1</v>
      </c>
      <c r="H566" s="8">
        <f>IFERROR(__xludf.DUMMYFUNCTION("""COMPUTED_VALUE"""),0.0)</f>
        <v>0</v>
      </c>
      <c r="I566" s="8" t="str">
        <f>IFERROR(__xludf.DUMMYFUNCTION("""COMPUTED_VALUE"""),"General")</f>
        <v>General</v>
      </c>
      <c r="J566" s="8" t="str">
        <f>IFERROR(__xludf.DUMMYFUNCTION("""COMPUTED_VALUE"""),"Tops")</f>
        <v>Tops</v>
      </c>
      <c r="K566" s="8" t="str">
        <f>IFERROR(__xludf.DUMMYFUNCTION("""COMPUTED_VALUE"""),"Sweaters")</f>
        <v>Sweaters</v>
      </c>
    </row>
    <row r="567">
      <c r="A567" s="8">
        <f>IFERROR(__xludf.DUMMYFUNCTION("""COMPUTED_VALUE"""),719.0)</f>
        <v>719</v>
      </c>
      <c r="B567" s="8">
        <f>IFERROR(__xludf.DUMMYFUNCTION("""COMPUTED_VALUE"""),873.0)</f>
        <v>873</v>
      </c>
      <c r="C567" s="8">
        <f>IFERROR(__xludf.DUMMYFUNCTION("""COMPUTED_VALUE"""),51.0)</f>
        <v>51</v>
      </c>
      <c r="D567" s="8" t="str">
        <f>IFERROR(__xludf.DUMMYFUNCTION("""COMPUTED_VALUE"""),"Love this top!!")</f>
        <v>Love this top!!</v>
      </c>
      <c r="E567" s="8" t="str">
        <f>IFERROR(__xludf.DUMMYFUNCTION("""COMPUTED_VALUE"""),"I bought it in the cream color and loved it so much that i bought it in black too. super cute with jeans! can dress it up too. the only slight negative, if i had to find one, is that i feel like i have to pull it forward, at the neckline every once in a w"&amp;"hile...it doesn't choke me but just feels like it's heavier in the back so pulls a bit. worth it though! :)")</f>
        <v>I bought it in the cream color and loved it so much that i bought it in black too. super cute with jeans! can dress it up too. the only slight negative, if i had to find one, is that i feel like i have to pull it forward, at the neckline every once in a while...it doesn't choke me but just feels like it's heavier in the back so pulls a bit. worth it though! :)</v>
      </c>
      <c r="F567" s="8">
        <f>IFERROR(__xludf.DUMMYFUNCTION("""COMPUTED_VALUE"""),5.0)</f>
        <v>5</v>
      </c>
      <c r="G567" s="8">
        <f>IFERROR(__xludf.DUMMYFUNCTION("""COMPUTED_VALUE"""),1.0)</f>
        <v>1</v>
      </c>
      <c r="H567" s="8">
        <f>IFERROR(__xludf.DUMMYFUNCTION("""COMPUTED_VALUE"""),1.0)</f>
        <v>1</v>
      </c>
      <c r="I567" s="8" t="str">
        <f>IFERROR(__xludf.DUMMYFUNCTION("""COMPUTED_VALUE"""),"General")</f>
        <v>General</v>
      </c>
      <c r="J567" s="8" t="str">
        <f>IFERROR(__xludf.DUMMYFUNCTION("""COMPUTED_VALUE"""),"Tops")</f>
        <v>Tops</v>
      </c>
      <c r="K567" s="8" t="str">
        <f>IFERROR(__xludf.DUMMYFUNCTION("""COMPUTED_VALUE"""),"Knits")</f>
        <v>Knits</v>
      </c>
    </row>
    <row r="568">
      <c r="A568" s="8">
        <f>IFERROR(__xludf.DUMMYFUNCTION("""COMPUTED_VALUE"""),720.0)</f>
        <v>720</v>
      </c>
      <c r="B568" s="8">
        <f>IFERROR(__xludf.DUMMYFUNCTION("""COMPUTED_VALUE"""),937.0)</f>
        <v>937</v>
      </c>
      <c r="C568" s="8">
        <f>IFERROR(__xludf.DUMMYFUNCTION("""COMPUTED_VALUE"""),38.0)</f>
        <v>38</v>
      </c>
      <c r="D568" s="8" t="str">
        <f>IFERROR(__xludf.DUMMYFUNCTION("""COMPUTED_VALUE"""),"New favorite")</f>
        <v>New favorite</v>
      </c>
      <c r="E568" s="8" t="str">
        <f>IFERROR(__xludf.DUMMYFUNCTION("""COMPUTED_VALUE"""),"This sweater is like a giant hug. i wore it today and received so many compliments.")</f>
        <v>This sweater is like a giant hug. i wore it today and received so many compliments.</v>
      </c>
      <c r="F568" s="8">
        <f>IFERROR(__xludf.DUMMYFUNCTION("""COMPUTED_VALUE"""),5.0)</f>
        <v>5</v>
      </c>
      <c r="G568" s="8">
        <f>IFERROR(__xludf.DUMMYFUNCTION("""COMPUTED_VALUE"""),1.0)</f>
        <v>1</v>
      </c>
      <c r="H568" s="8">
        <f>IFERROR(__xludf.DUMMYFUNCTION("""COMPUTED_VALUE"""),0.0)</f>
        <v>0</v>
      </c>
      <c r="I568" s="8" t="str">
        <f>IFERROR(__xludf.DUMMYFUNCTION("""COMPUTED_VALUE"""),"General")</f>
        <v>General</v>
      </c>
      <c r="J568" s="8" t="str">
        <f>IFERROR(__xludf.DUMMYFUNCTION("""COMPUTED_VALUE"""),"Tops")</f>
        <v>Tops</v>
      </c>
      <c r="K568" s="8" t="str">
        <f>IFERROR(__xludf.DUMMYFUNCTION("""COMPUTED_VALUE"""),"Sweaters")</f>
        <v>Sweaters</v>
      </c>
    </row>
    <row r="569">
      <c r="A569" s="8">
        <f>IFERROR(__xludf.DUMMYFUNCTION("""COMPUTED_VALUE"""),721.0)</f>
        <v>721</v>
      </c>
      <c r="B569" s="8">
        <f>IFERROR(__xludf.DUMMYFUNCTION("""COMPUTED_VALUE"""),886.0)</f>
        <v>886</v>
      </c>
      <c r="C569" s="8">
        <f>IFERROR(__xludf.DUMMYFUNCTION("""COMPUTED_VALUE"""),46.0)</f>
        <v>46</v>
      </c>
      <c r="D569" s="8" t="str">
        <f>IFERROR(__xludf.DUMMYFUNCTION("""COMPUTED_VALUE"""),"Everyday winter t updated")</f>
        <v>Everyday winter t updated</v>
      </c>
      <c r="E569" s="8" t="str">
        <f>IFERROR(__xludf.DUMMYFUNCTION("""COMPUTED_VALUE"""),"This is a perfect saturday t shirt for the colder days. great fit; not form fitting with no elastic or rayon, soft cotton with great details. im 5'8 140 ish and the medium fit great. i bought a washed denimy blue in the store but may be coming back for mo"&amp;"re colors now! the white was to sheer for my taste though")</f>
        <v>This is a perfect saturday t shirt for the colder days. great fit; not form fitting with no elastic or rayon, soft cotton with great details. im 5'8 140 ish and the medium fit great. i bought a washed denimy blue in the store but may be coming back for more colors now! the white was to sheer for my taste though</v>
      </c>
      <c r="F569" s="8">
        <f>IFERROR(__xludf.DUMMYFUNCTION("""COMPUTED_VALUE"""),5.0)</f>
        <v>5</v>
      </c>
      <c r="G569" s="8">
        <f>IFERROR(__xludf.DUMMYFUNCTION("""COMPUTED_VALUE"""),1.0)</f>
        <v>1</v>
      </c>
      <c r="H569" s="8">
        <f>IFERROR(__xludf.DUMMYFUNCTION("""COMPUTED_VALUE"""),2.0)</f>
        <v>2</v>
      </c>
      <c r="I569" s="8" t="str">
        <f>IFERROR(__xludf.DUMMYFUNCTION("""COMPUTED_VALUE"""),"General Petite")</f>
        <v>General Petite</v>
      </c>
      <c r="J569" s="8" t="str">
        <f>IFERROR(__xludf.DUMMYFUNCTION("""COMPUTED_VALUE"""),"Tops")</f>
        <v>Tops</v>
      </c>
      <c r="K569" s="8" t="str">
        <f>IFERROR(__xludf.DUMMYFUNCTION("""COMPUTED_VALUE"""),"Knits")</f>
        <v>Knits</v>
      </c>
    </row>
    <row r="570">
      <c r="A570" s="8">
        <f>IFERROR(__xludf.DUMMYFUNCTION("""COMPUTED_VALUE"""),722.0)</f>
        <v>722</v>
      </c>
      <c r="B570" s="8">
        <f>IFERROR(__xludf.DUMMYFUNCTION("""COMPUTED_VALUE"""),873.0)</f>
        <v>873</v>
      </c>
      <c r="C570" s="8">
        <f>IFERROR(__xludf.DUMMYFUNCTION("""COMPUTED_VALUE"""),30.0)</f>
        <v>30</v>
      </c>
      <c r="D570" s="8" t="str">
        <f>IFERROR(__xludf.DUMMYFUNCTION("""COMPUTED_VALUE"""),"Darling and sophisticated")</f>
        <v>Darling and sophisticated</v>
      </c>
      <c r="E570" s="8" t="str">
        <f>IFERROR(__xludf.DUMMYFUNCTION("""COMPUTED_VALUE"""),"I can never resist a peter pan collar, so i bought this top in the ivory. it's so cute! i wore it for the first time today and received many compliments. it's very comfortable, fits well, and looks expensive. highly recommend it!")</f>
        <v>I can never resist a peter pan collar, so i bought this top in the ivory. it's so cute! i wore it for the first time today and received many compliments. it's very comfortable, fits well, and looks expensive. highly recommend it!</v>
      </c>
      <c r="F570" s="8">
        <f>IFERROR(__xludf.DUMMYFUNCTION("""COMPUTED_VALUE"""),5.0)</f>
        <v>5</v>
      </c>
      <c r="G570" s="8">
        <f>IFERROR(__xludf.DUMMYFUNCTION("""COMPUTED_VALUE"""),1.0)</f>
        <v>1</v>
      </c>
      <c r="H570" s="8">
        <f>IFERROR(__xludf.DUMMYFUNCTION("""COMPUTED_VALUE"""),0.0)</f>
        <v>0</v>
      </c>
      <c r="I570" s="8" t="str">
        <f>IFERROR(__xludf.DUMMYFUNCTION("""COMPUTED_VALUE"""),"General")</f>
        <v>General</v>
      </c>
      <c r="J570" s="8" t="str">
        <f>IFERROR(__xludf.DUMMYFUNCTION("""COMPUTED_VALUE"""),"Tops")</f>
        <v>Tops</v>
      </c>
      <c r="K570" s="8" t="str">
        <f>IFERROR(__xludf.DUMMYFUNCTION("""COMPUTED_VALUE"""),"Knits")</f>
        <v>Knits</v>
      </c>
    </row>
    <row r="571">
      <c r="A571" s="8">
        <f>IFERROR(__xludf.DUMMYFUNCTION("""COMPUTED_VALUE"""),723.0)</f>
        <v>723</v>
      </c>
      <c r="B571" s="8">
        <f>IFERROR(__xludf.DUMMYFUNCTION("""COMPUTED_VALUE"""),886.0)</f>
        <v>886</v>
      </c>
      <c r="C571" s="8">
        <f>IFERROR(__xludf.DUMMYFUNCTION("""COMPUTED_VALUE"""),45.0)</f>
        <v>45</v>
      </c>
      <c r="D571" s="8" t="str">
        <f>IFERROR(__xludf.DUMMYFUNCTION("""COMPUTED_VALUE"""),"Adorable t-shirt")</f>
        <v>Adorable t-shirt</v>
      </c>
      <c r="E571" s="8" t="str">
        <f>IFERROR(__xludf.DUMMYFUNCTION("""COMPUTED_VALUE"""),"This is absolutely adorable and so flattering! i have the patterned shirt, and i just purchased the white one and the orange one because i like it so much. i am 5 ft. 9"" and 155 lbs. and the medium fits nicely. hope this helps!")</f>
        <v>This is absolutely adorable and so flattering! i have the patterned shirt, and i just purchased the white one and the orange one because i like it so much. i am 5 ft. 9" and 155 lbs. and the medium fits nicely. hope this helps!</v>
      </c>
      <c r="F571" s="8">
        <f>IFERROR(__xludf.DUMMYFUNCTION("""COMPUTED_VALUE"""),5.0)</f>
        <v>5</v>
      </c>
      <c r="G571" s="8">
        <f>IFERROR(__xludf.DUMMYFUNCTION("""COMPUTED_VALUE"""),1.0)</f>
        <v>1</v>
      </c>
      <c r="H571" s="8">
        <f>IFERROR(__xludf.DUMMYFUNCTION("""COMPUTED_VALUE"""),43.0)</f>
        <v>43</v>
      </c>
      <c r="I571" s="8" t="str">
        <f>IFERROR(__xludf.DUMMYFUNCTION("""COMPUTED_VALUE"""),"General Petite")</f>
        <v>General Petite</v>
      </c>
      <c r="J571" s="8" t="str">
        <f>IFERROR(__xludf.DUMMYFUNCTION("""COMPUTED_VALUE"""),"Tops")</f>
        <v>Tops</v>
      </c>
      <c r="K571" s="8" t="str">
        <f>IFERROR(__xludf.DUMMYFUNCTION("""COMPUTED_VALUE"""),"Knits")</f>
        <v>Knits</v>
      </c>
    </row>
    <row r="572">
      <c r="A572" s="8">
        <f>IFERROR(__xludf.DUMMYFUNCTION("""COMPUTED_VALUE"""),724.0)</f>
        <v>724</v>
      </c>
      <c r="B572" s="8">
        <f>IFERROR(__xludf.DUMMYFUNCTION("""COMPUTED_VALUE"""),245.0)</f>
        <v>245</v>
      </c>
      <c r="C572" s="8">
        <f>IFERROR(__xludf.DUMMYFUNCTION("""COMPUTED_VALUE"""),31.0)</f>
        <v>31</v>
      </c>
      <c r="D572" s="8" t="str">
        <f>IFERROR(__xludf.DUMMYFUNCTION("""COMPUTED_VALUE"""),"Love")</f>
        <v>Love</v>
      </c>
      <c r="E572" s="8" t="str">
        <f>IFERROR(__xludf.DUMMYFUNCTION("""COMPUTED_VALUE"""),"I love this dress. i'm 5'8"" and it fits me exactly like the model in the picture. i have slim hips and waist, so that helps. i don't think this would be as flattering on someone curvy. i wish it came in another color i like, i would absolutely buy in ano"&amp;"ther color. i got a medium and it fits like a glove.")</f>
        <v>I love this dress. i'm 5'8" and it fits me exactly like the model in the picture. i have slim hips and waist, so that helps. i don't think this would be as flattering on someone curvy. i wish it came in another color i like, i would absolutely buy in another color. i got a medium and it fits like a glove.</v>
      </c>
      <c r="F572" s="8">
        <f>IFERROR(__xludf.DUMMYFUNCTION("""COMPUTED_VALUE"""),5.0)</f>
        <v>5</v>
      </c>
      <c r="G572" s="8">
        <f>IFERROR(__xludf.DUMMYFUNCTION("""COMPUTED_VALUE"""),1.0)</f>
        <v>1</v>
      </c>
      <c r="H572" s="8">
        <f>IFERROR(__xludf.DUMMYFUNCTION("""COMPUTED_VALUE"""),1.0)</f>
        <v>1</v>
      </c>
      <c r="I572" s="8" t="str">
        <f>IFERROR(__xludf.DUMMYFUNCTION("""COMPUTED_VALUE"""),"Initmates")</f>
        <v>Initmates</v>
      </c>
      <c r="J572" s="8" t="str">
        <f>IFERROR(__xludf.DUMMYFUNCTION("""COMPUTED_VALUE"""),"Intimate")</f>
        <v>Intimate</v>
      </c>
      <c r="K572" s="8" t="str">
        <f>IFERROR(__xludf.DUMMYFUNCTION("""COMPUTED_VALUE"""),"Layering")</f>
        <v>Layering</v>
      </c>
    </row>
    <row r="573">
      <c r="A573" s="8">
        <f>IFERROR(__xludf.DUMMYFUNCTION("""COMPUTED_VALUE"""),725.0)</f>
        <v>725</v>
      </c>
      <c r="B573" s="8">
        <f>IFERROR(__xludf.DUMMYFUNCTION("""COMPUTED_VALUE"""),886.0)</f>
        <v>886</v>
      </c>
      <c r="C573" s="8">
        <f>IFERROR(__xludf.DUMMYFUNCTION("""COMPUTED_VALUE"""),36.0)</f>
        <v>36</v>
      </c>
      <c r="D573" s="8" t="str">
        <f>IFERROR(__xludf.DUMMYFUNCTION("""COMPUTED_VALUE"""),"Great tee")</f>
        <v>Great tee</v>
      </c>
      <c r="E573" s="8" t="str">
        <f>IFERROR(__xludf.DUMMYFUNCTION("""COMPUTED_VALUE"""),"I bought this a little ago in the denim color. it has become a favorite so much that i bought another in white.")</f>
        <v>I bought this a little ago in the denim color. it has become a favorite so much that i bought another in white.</v>
      </c>
      <c r="F573" s="8">
        <f>IFERROR(__xludf.DUMMYFUNCTION("""COMPUTED_VALUE"""),5.0)</f>
        <v>5</v>
      </c>
      <c r="G573" s="8">
        <f>IFERROR(__xludf.DUMMYFUNCTION("""COMPUTED_VALUE"""),1.0)</f>
        <v>1</v>
      </c>
      <c r="H573" s="8">
        <f>IFERROR(__xludf.DUMMYFUNCTION("""COMPUTED_VALUE"""),1.0)</f>
        <v>1</v>
      </c>
      <c r="I573" s="8" t="str">
        <f>IFERROR(__xludf.DUMMYFUNCTION("""COMPUTED_VALUE"""),"General Petite")</f>
        <v>General Petite</v>
      </c>
      <c r="J573" s="8" t="str">
        <f>IFERROR(__xludf.DUMMYFUNCTION("""COMPUTED_VALUE"""),"Tops")</f>
        <v>Tops</v>
      </c>
      <c r="K573" s="8" t="str">
        <f>IFERROR(__xludf.DUMMYFUNCTION("""COMPUTED_VALUE"""),"Knits")</f>
        <v>Knits</v>
      </c>
    </row>
    <row r="574">
      <c r="A574" s="8">
        <f>IFERROR(__xludf.DUMMYFUNCTION("""COMPUTED_VALUE"""),726.0)</f>
        <v>726</v>
      </c>
      <c r="B574" s="8">
        <f>IFERROR(__xludf.DUMMYFUNCTION("""COMPUTED_VALUE"""),886.0)</f>
        <v>886</v>
      </c>
      <c r="C574" s="8">
        <f>IFERROR(__xludf.DUMMYFUNCTION("""COMPUTED_VALUE"""),49.0)</f>
        <v>49</v>
      </c>
      <c r="D574" s="8" t="str">
        <f>IFERROR(__xludf.DUMMYFUNCTION("""COMPUTED_VALUE"""),"Casual comfort with style")</f>
        <v>Casual comfort with style</v>
      </c>
      <c r="E574" s="8" t="str">
        <f>IFERROR(__xludf.DUMMYFUNCTION("""COMPUTED_VALUE"""),"This is a cool relaxed style with the benefit of an open neckline to add a bit of femininity. i tried on the faded blue and striped colors in the store. the faded blue goes well with the style, but the stripe is cute too. the sleeves are quite long and to"&amp;"o tight to roll up, so if you are petite like me you will definitely want to order the petite size- and probably even those you who are in between petites and regular sizes. the sleeves may also be too narrow for some people.")</f>
        <v>This is a cool relaxed style with the benefit of an open neckline to add a bit of femininity. i tried on the faded blue and striped colors in the store. the faded blue goes well with the style, but the stripe is cute too. the sleeves are quite long and too tight to roll up, so if you are petite like me you will definitely want to order the petite size- and probably even those you who are in between petites and regular sizes. the sleeves may also be too narrow for some people.</v>
      </c>
      <c r="F574" s="8">
        <f>IFERROR(__xludf.DUMMYFUNCTION("""COMPUTED_VALUE"""),4.0)</f>
        <v>4</v>
      </c>
      <c r="G574" s="8">
        <f>IFERROR(__xludf.DUMMYFUNCTION("""COMPUTED_VALUE"""),1.0)</f>
        <v>1</v>
      </c>
      <c r="H574" s="8">
        <f>IFERROR(__xludf.DUMMYFUNCTION("""COMPUTED_VALUE"""),0.0)</f>
        <v>0</v>
      </c>
      <c r="I574" s="8" t="str">
        <f>IFERROR(__xludf.DUMMYFUNCTION("""COMPUTED_VALUE"""),"General Petite")</f>
        <v>General Petite</v>
      </c>
      <c r="J574" s="8" t="str">
        <f>IFERROR(__xludf.DUMMYFUNCTION("""COMPUTED_VALUE"""),"Tops")</f>
        <v>Tops</v>
      </c>
      <c r="K574" s="8" t="str">
        <f>IFERROR(__xludf.DUMMYFUNCTION("""COMPUTED_VALUE"""),"Knits")</f>
        <v>Knits</v>
      </c>
    </row>
    <row r="575">
      <c r="A575" s="8">
        <f>IFERROR(__xludf.DUMMYFUNCTION("""COMPUTED_VALUE"""),727.0)</f>
        <v>727</v>
      </c>
      <c r="B575" s="8">
        <f>IFERROR(__xludf.DUMMYFUNCTION("""COMPUTED_VALUE"""),1087.0)</f>
        <v>1087</v>
      </c>
      <c r="C575" s="8">
        <f>IFERROR(__xludf.DUMMYFUNCTION("""COMPUTED_VALUE"""),39.0)</f>
        <v>39</v>
      </c>
      <c r="D575" s="8" t="str">
        <f>IFERROR(__xludf.DUMMYFUNCTION("""COMPUTED_VALUE"""),"Pretty dress, lots of fabric")</f>
        <v>Pretty dress, lots of fabric</v>
      </c>
      <c r="E575" s="8" t="str">
        <f>IFERROR(__xludf.DUMMYFUNCTION("""COMPUTED_VALUE"""),"This is a very pretty dress and looks just as it's pictured.  however, there is a lot of fabric - the lower half is very full and runs very large.")</f>
        <v>This is a very pretty dress and looks just as it's pictured.  however, there is a lot of fabric - the lower half is very full and runs very large.</v>
      </c>
      <c r="F575" s="8">
        <f>IFERROR(__xludf.DUMMYFUNCTION("""COMPUTED_VALUE"""),4.0)</f>
        <v>4</v>
      </c>
      <c r="G575" s="8">
        <f>IFERROR(__xludf.DUMMYFUNCTION("""COMPUTED_VALUE"""),1.0)</f>
        <v>1</v>
      </c>
      <c r="H575" s="8">
        <f>IFERROR(__xludf.DUMMYFUNCTION("""COMPUTED_VALUE"""),0.0)</f>
        <v>0</v>
      </c>
      <c r="I575" s="8" t="str">
        <f>IFERROR(__xludf.DUMMYFUNCTION("""COMPUTED_VALUE"""),"General")</f>
        <v>General</v>
      </c>
      <c r="J575" s="8" t="str">
        <f>IFERROR(__xludf.DUMMYFUNCTION("""COMPUTED_VALUE"""),"Dresses")</f>
        <v>Dresses</v>
      </c>
      <c r="K575" s="8" t="str">
        <f>IFERROR(__xludf.DUMMYFUNCTION("""COMPUTED_VALUE"""),"Dresses")</f>
        <v>Dresses</v>
      </c>
    </row>
    <row r="576">
      <c r="A576" s="8">
        <f>IFERROR(__xludf.DUMMYFUNCTION("""COMPUTED_VALUE"""),728.0)</f>
        <v>728</v>
      </c>
      <c r="B576" s="8">
        <f>IFERROR(__xludf.DUMMYFUNCTION("""COMPUTED_VALUE"""),937.0)</f>
        <v>937</v>
      </c>
      <c r="C576" s="8">
        <f>IFERROR(__xludf.DUMMYFUNCTION("""COMPUTED_VALUE"""),48.0)</f>
        <v>48</v>
      </c>
      <c r="D576" s="8"/>
      <c r="E576" s="8"/>
      <c r="F576" s="8">
        <f>IFERROR(__xludf.DUMMYFUNCTION("""COMPUTED_VALUE"""),5.0)</f>
        <v>5</v>
      </c>
      <c r="G576" s="8">
        <f>IFERROR(__xludf.DUMMYFUNCTION("""COMPUTED_VALUE"""),1.0)</f>
        <v>1</v>
      </c>
      <c r="H576" s="8">
        <f>IFERROR(__xludf.DUMMYFUNCTION("""COMPUTED_VALUE"""),0.0)</f>
        <v>0</v>
      </c>
      <c r="I576" s="8" t="str">
        <f>IFERROR(__xludf.DUMMYFUNCTION("""COMPUTED_VALUE"""),"General")</f>
        <v>General</v>
      </c>
      <c r="J576" s="8" t="str">
        <f>IFERROR(__xludf.DUMMYFUNCTION("""COMPUTED_VALUE"""),"Tops")</f>
        <v>Tops</v>
      </c>
      <c r="K576" s="8" t="str">
        <f>IFERROR(__xludf.DUMMYFUNCTION("""COMPUTED_VALUE"""),"Sweaters")</f>
        <v>Sweaters</v>
      </c>
    </row>
    <row r="577">
      <c r="A577" s="8">
        <f>IFERROR(__xludf.DUMMYFUNCTION("""COMPUTED_VALUE"""),730.0)</f>
        <v>730</v>
      </c>
      <c r="B577" s="8">
        <f>IFERROR(__xludf.DUMMYFUNCTION("""COMPUTED_VALUE"""),1087.0)</f>
        <v>1087</v>
      </c>
      <c r="C577" s="8">
        <f>IFERROR(__xludf.DUMMYFUNCTION("""COMPUTED_VALUE"""),36.0)</f>
        <v>36</v>
      </c>
      <c r="D577" s="8" t="str">
        <f>IFERROR(__xludf.DUMMYFUNCTION("""COMPUTED_VALUE"""),"Casual and comforable. i love it")</f>
        <v>Casual and comforable. i love it</v>
      </c>
      <c r="E577" s="8" t="str">
        <f>IFERROR(__xludf.DUMMYFUNCTION("""COMPUTED_VALUE"""),"I was not impressed with this dress online but when i tried it on at the store i fell in love. it's a great summer / fall dress. i love the sweater top and linen bottom. so many compliments on it!")</f>
        <v>I was not impressed with this dress online but when i tried it on at the store i fell in love. it's a great summer / fall dress. i love the sweater top and linen bottom. so many compliments on it!</v>
      </c>
      <c r="F577" s="8">
        <f>IFERROR(__xludf.DUMMYFUNCTION("""COMPUTED_VALUE"""),5.0)</f>
        <v>5</v>
      </c>
      <c r="G577" s="8">
        <f>IFERROR(__xludf.DUMMYFUNCTION("""COMPUTED_VALUE"""),1.0)</f>
        <v>1</v>
      </c>
      <c r="H577" s="8">
        <f>IFERROR(__xludf.DUMMYFUNCTION("""COMPUTED_VALUE"""),0.0)</f>
        <v>0</v>
      </c>
      <c r="I577" s="8" t="str">
        <f>IFERROR(__xludf.DUMMYFUNCTION("""COMPUTED_VALUE"""),"General")</f>
        <v>General</v>
      </c>
      <c r="J577" s="8" t="str">
        <f>IFERROR(__xludf.DUMMYFUNCTION("""COMPUTED_VALUE"""),"Dresses")</f>
        <v>Dresses</v>
      </c>
      <c r="K577" s="8" t="str">
        <f>IFERROR(__xludf.DUMMYFUNCTION("""COMPUTED_VALUE"""),"Dresses")</f>
        <v>Dresses</v>
      </c>
    </row>
    <row r="578">
      <c r="A578" s="8">
        <f>IFERROR(__xludf.DUMMYFUNCTION("""COMPUTED_VALUE"""),731.0)</f>
        <v>731</v>
      </c>
      <c r="B578" s="8">
        <f>IFERROR(__xludf.DUMMYFUNCTION("""COMPUTED_VALUE"""),886.0)</f>
        <v>886</v>
      </c>
      <c r="C578" s="8">
        <f>IFERROR(__xludf.DUMMYFUNCTION("""COMPUTED_VALUE"""),25.0)</f>
        <v>25</v>
      </c>
      <c r="D578" s="8" t="str">
        <f>IFERROR(__xludf.DUMMYFUNCTION("""COMPUTED_VALUE"""),"Great casual shirt")</f>
        <v>Great casual shirt</v>
      </c>
      <c r="E578" s="8" t="str">
        <f>IFERROR(__xludf.DUMMYFUNCTION("""COMPUTED_VALUE"""),"Absolutely in love with this shirt. the neckline is extremely flattering, and the shirt naturally comes away from the body.")</f>
        <v>Absolutely in love with this shirt. the neckline is extremely flattering, and the shirt naturally comes away from the body.</v>
      </c>
      <c r="F578" s="8">
        <f>IFERROR(__xludf.DUMMYFUNCTION("""COMPUTED_VALUE"""),4.0)</f>
        <v>4</v>
      </c>
      <c r="G578" s="8">
        <f>IFERROR(__xludf.DUMMYFUNCTION("""COMPUTED_VALUE"""),1.0)</f>
        <v>1</v>
      </c>
      <c r="H578" s="8">
        <f>IFERROR(__xludf.DUMMYFUNCTION("""COMPUTED_VALUE"""),0.0)</f>
        <v>0</v>
      </c>
      <c r="I578" s="8" t="str">
        <f>IFERROR(__xludf.DUMMYFUNCTION("""COMPUTED_VALUE"""),"General Petite")</f>
        <v>General Petite</v>
      </c>
      <c r="J578" s="8" t="str">
        <f>IFERROR(__xludf.DUMMYFUNCTION("""COMPUTED_VALUE"""),"Tops")</f>
        <v>Tops</v>
      </c>
      <c r="K578" s="8" t="str">
        <f>IFERROR(__xludf.DUMMYFUNCTION("""COMPUTED_VALUE"""),"Knits")</f>
        <v>Knits</v>
      </c>
    </row>
    <row r="579">
      <c r="A579" s="8">
        <f>IFERROR(__xludf.DUMMYFUNCTION("""COMPUTED_VALUE"""),732.0)</f>
        <v>732</v>
      </c>
      <c r="B579" s="8">
        <f>IFERROR(__xludf.DUMMYFUNCTION("""COMPUTED_VALUE"""),1110.0)</f>
        <v>1110</v>
      </c>
      <c r="C579" s="8">
        <f>IFERROR(__xludf.DUMMYFUNCTION("""COMPUTED_VALUE"""),47.0)</f>
        <v>47</v>
      </c>
      <c r="D579" s="8"/>
      <c r="E579" s="8"/>
      <c r="F579" s="8">
        <f>IFERROR(__xludf.DUMMYFUNCTION("""COMPUTED_VALUE"""),5.0)</f>
        <v>5</v>
      </c>
      <c r="G579" s="8">
        <f>IFERROR(__xludf.DUMMYFUNCTION("""COMPUTED_VALUE"""),1.0)</f>
        <v>1</v>
      </c>
      <c r="H579" s="8">
        <f>IFERROR(__xludf.DUMMYFUNCTION("""COMPUTED_VALUE"""),0.0)</f>
        <v>0</v>
      </c>
      <c r="I579" s="8" t="str">
        <f>IFERROR(__xludf.DUMMYFUNCTION("""COMPUTED_VALUE"""),"General Petite")</f>
        <v>General Petite</v>
      </c>
      <c r="J579" s="8" t="str">
        <f>IFERROR(__xludf.DUMMYFUNCTION("""COMPUTED_VALUE"""),"Dresses")</f>
        <v>Dresses</v>
      </c>
      <c r="K579" s="8" t="str">
        <f>IFERROR(__xludf.DUMMYFUNCTION("""COMPUTED_VALUE"""),"Dresses")</f>
        <v>Dresses</v>
      </c>
    </row>
    <row r="580">
      <c r="A580" s="8">
        <f>IFERROR(__xludf.DUMMYFUNCTION("""COMPUTED_VALUE"""),733.0)</f>
        <v>733</v>
      </c>
      <c r="B580" s="8">
        <f>IFERROR(__xludf.DUMMYFUNCTION("""COMPUTED_VALUE"""),886.0)</f>
        <v>886</v>
      </c>
      <c r="C580" s="8">
        <f>IFERROR(__xludf.DUMMYFUNCTION("""COMPUTED_VALUE"""),41.0)</f>
        <v>41</v>
      </c>
      <c r="D580" s="8" t="str">
        <f>IFERROR(__xludf.DUMMYFUNCTION("""COMPUTED_VALUE"""),"Love the neckline")</f>
        <v>Love the neckline</v>
      </c>
      <c r="E580" s="8" t="str">
        <f>IFERROR(__xludf.DUMMYFUNCTION("""COMPUTED_VALUE"""),"I needed a tee refresher, i had a good feeling about this one so ordered all three colors when they were on a promo, and i'm not disappointed. the neckline is different and works great to emphasize your favorite necklace. the tee holds shape after washing"&amp;" and drying. my favorite is the blue which i like to wear with dark wash jeans as styled on the model. the white has a cream tinge to it and i'm able to wear it with a nude bra without looking indecent. there is a cute little button detail at th")</f>
        <v>I needed a tee refresher, i had a good feeling about this one so ordered all three colors when they were on a promo, and i'm not disappointed. the neckline is different and works great to emphasize your favorite necklace. the tee holds shape after washing and drying. my favorite is the blue which i like to wear with dark wash jeans as styled on the model. the white has a cream tinge to it and i'm able to wear it with a nude bra without looking indecent. there is a cute little button detail at th</v>
      </c>
      <c r="F580" s="8">
        <f>IFERROR(__xludf.DUMMYFUNCTION("""COMPUTED_VALUE"""),5.0)</f>
        <v>5</v>
      </c>
      <c r="G580" s="8">
        <f>IFERROR(__xludf.DUMMYFUNCTION("""COMPUTED_VALUE"""),1.0)</f>
        <v>1</v>
      </c>
      <c r="H580" s="8">
        <f>IFERROR(__xludf.DUMMYFUNCTION("""COMPUTED_VALUE"""),5.0)</f>
        <v>5</v>
      </c>
      <c r="I580" s="8" t="str">
        <f>IFERROR(__xludf.DUMMYFUNCTION("""COMPUTED_VALUE"""),"General Petite")</f>
        <v>General Petite</v>
      </c>
      <c r="J580" s="8" t="str">
        <f>IFERROR(__xludf.DUMMYFUNCTION("""COMPUTED_VALUE"""),"Tops")</f>
        <v>Tops</v>
      </c>
      <c r="K580" s="8" t="str">
        <f>IFERROR(__xludf.DUMMYFUNCTION("""COMPUTED_VALUE"""),"Knits")</f>
        <v>Knits</v>
      </c>
    </row>
    <row r="581">
      <c r="A581" s="8">
        <f>IFERROR(__xludf.DUMMYFUNCTION("""COMPUTED_VALUE"""),734.0)</f>
        <v>734</v>
      </c>
      <c r="B581" s="8">
        <f>IFERROR(__xludf.DUMMYFUNCTION("""COMPUTED_VALUE"""),1110.0)</f>
        <v>1110</v>
      </c>
      <c r="C581" s="8">
        <f>IFERROR(__xludf.DUMMYFUNCTION("""COMPUTED_VALUE"""),38.0)</f>
        <v>38</v>
      </c>
      <c r="D581" s="8" t="str">
        <f>IFERROR(__xludf.DUMMYFUNCTION("""COMPUTED_VALUE"""),"Amazingly cute but runs huge!")</f>
        <v>Amazingly cute but runs huge!</v>
      </c>
      <c r="E581" s="8" t="str">
        <f>IFERROR(__xludf.DUMMYFUNCTION("""COMPUTED_VALUE"""),"The fabric and detailing of this dress is of superior quality, but unfortunately it runs huge-- you definitely need to wear a tank or cami underneath. i am 5'9 145lbs with massive shoulders/smaller bust and i got the xs petite!")</f>
        <v>The fabric and detailing of this dress is of superior quality, but unfortunately it runs huge-- you definitely need to wear a tank or cami underneath. i am 5'9 145lbs with massive shoulders/smaller bust and i got the xs petite!</v>
      </c>
      <c r="F581" s="8">
        <f>IFERROR(__xludf.DUMMYFUNCTION("""COMPUTED_VALUE"""),4.0)</f>
        <v>4</v>
      </c>
      <c r="G581" s="8">
        <f>IFERROR(__xludf.DUMMYFUNCTION("""COMPUTED_VALUE"""),1.0)</f>
        <v>1</v>
      </c>
      <c r="H581" s="8">
        <f>IFERROR(__xludf.DUMMYFUNCTION("""COMPUTED_VALUE"""),0.0)</f>
        <v>0</v>
      </c>
      <c r="I581" s="8" t="str">
        <f>IFERROR(__xludf.DUMMYFUNCTION("""COMPUTED_VALUE"""),"General Petite")</f>
        <v>General Petite</v>
      </c>
      <c r="J581" s="8" t="str">
        <f>IFERROR(__xludf.DUMMYFUNCTION("""COMPUTED_VALUE"""),"Dresses")</f>
        <v>Dresses</v>
      </c>
      <c r="K581" s="8" t="str">
        <f>IFERROR(__xludf.DUMMYFUNCTION("""COMPUTED_VALUE"""),"Dresses")</f>
        <v>Dresses</v>
      </c>
    </row>
    <row r="582">
      <c r="A582" s="8">
        <f>IFERROR(__xludf.DUMMYFUNCTION("""COMPUTED_VALUE"""),736.0)</f>
        <v>736</v>
      </c>
      <c r="B582" s="8">
        <f>IFERROR(__xludf.DUMMYFUNCTION("""COMPUTED_VALUE"""),937.0)</f>
        <v>937</v>
      </c>
      <c r="C582" s="8">
        <f>IFERROR(__xludf.DUMMYFUNCTION("""COMPUTED_VALUE"""),34.0)</f>
        <v>34</v>
      </c>
      <c r="D582" s="8" t="str">
        <f>IFERROR(__xludf.DUMMYFUNCTION("""COMPUTED_VALUE"""),"Perfect for cool summer evenings")</f>
        <v>Perfect for cool summer evenings</v>
      </c>
      <c r="E582" s="8" t="str">
        <f>IFERROR(__xludf.DUMMYFUNCTION("""COMPUTED_VALUE"""),"I found this sweater to fit me just as pictured. i am 5'8'', 128lbs and ordered a small. it hits length wise the same as pictured and is just as flowy with a lot of fabric. super cute with a grey top, white skinnys and brown leather sandals. love it!")</f>
        <v>I found this sweater to fit me just as pictured. i am 5'8'', 128lbs and ordered a small. it hits length wise the same as pictured and is just as flowy with a lot of fabric. super cute with a grey top, white skinnys and brown leather sandals. love it!</v>
      </c>
      <c r="F582" s="8">
        <f>IFERROR(__xludf.DUMMYFUNCTION("""COMPUTED_VALUE"""),5.0)</f>
        <v>5</v>
      </c>
      <c r="G582" s="8">
        <f>IFERROR(__xludf.DUMMYFUNCTION("""COMPUTED_VALUE"""),1.0)</f>
        <v>1</v>
      </c>
      <c r="H582" s="8">
        <f>IFERROR(__xludf.DUMMYFUNCTION("""COMPUTED_VALUE"""),4.0)</f>
        <v>4</v>
      </c>
      <c r="I582" s="8" t="str">
        <f>IFERROR(__xludf.DUMMYFUNCTION("""COMPUTED_VALUE"""),"General")</f>
        <v>General</v>
      </c>
      <c r="J582" s="8" t="str">
        <f>IFERROR(__xludf.DUMMYFUNCTION("""COMPUTED_VALUE"""),"Tops")</f>
        <v>Tops</v>
      </c>
      <c r="K582" s="8" t="str">
        <f>IFERROR(__xludf.DUMMYFUNCTION("""COMPUTED_VALUE"""),"Sweaters")</f>
        <v>Sweaters</v>
      </c>
    </row>
    <row r="583">
      <c r="A583" s="8">
        <f>IFERROR(__xludf.DUMMYFUNCTION("""COMPUTED_VALUE"""),737.0)</f>
        <v>737</v>
      </c>
      <c r="B583" s="8">
        <f>IFERROR(__xludf.DUMMYFUNCTION("""COMPUTED_VALUE"""),886.0)</f>
        <v>886</v>
      </c>
      <c r="C583" s="8">
        <f>IFERROR(__xludf.DUMMYFUNCTION("""COMPUTED_VALUE"""),33.0)</f>
        <v>33</v>
      </c>
      <c r="D583" s="8"/>
      <c r="E583" s="8"/>
      <c r="F583" s="8">
        <f>IFERROR(__xludf.DUMMYFUNCTION("""COMPUTED_VALUE"""),5.0)</f>
        <v>5</v>
      </c>
      <c r="G583" s="8">
        <f>IFERROR(__xludf.DUMMYFUNCTION("""COMPUTED_VALUE"""),1.0)</f>
        <v>1</v>
      </c>
      <c r="H583" s="8">
        <f>IFERROR(__xludf.DUMMYFUNCTION("""COMPUTED_VALUE"""),0.0)</f>
        <v>0</v>
      </c>
      <c r="I583" s="8" t="str">
        <f>IFERROR(__xludf.DUMMYFUNCTION("""COMPUTED_VALUE"""),"General Petite")</f>
        <v>General Petite</v>
      </c>
      <c r="J583" s="8" t="str">
        <f>IFERROR(__xludf.DUMMYFUNCTION("""COMPUTED_VALUE"""),"Tops")</f>
        <v>Tops</v>
      </c>
      <c r="K583" s="8" t="str">
        <f>IFERROR(__xludf.DUMMYFUNCTION("""COMPUTED_VALUE"""),"Knits")</f>
        <v>Knits</v>
      </c>
    </row>
    <row r="584">
      <c r="A584" s="8">
        <f>IFERROR(__xludf.DUMMYFUNCTION("""COMPUTED_VALUE"""),739.0)</f>
        <v>739</v>
      </c>
      <c r="B584" s="8">
        <f>IFERROR(__xludf.DUMMYFUNCTION("""COMPUTED_VALUE"""),1087.0)</f>
        <v>1087</v>
      </c>
      <c r="C584" s="8">
        <f>IFERROR(__xludf.DUMMYFUNCTION("""COMPUTED_VALUE"""),29.0)</f>
        <v>29</v>
      </c>
      <c r="D584" s="8" t="str">
        <f>IFERROR(__xludf.DUMMYFUNCTION("""COMPUTED_VALUE"""),"Gorgeous")</f>
        <v>Gorgeous</v>
      </c>
      <c r="E584" s="8" t="str">
        <f>IFERROR(__xludf.DUMMYFUNCTION("""COMPUTED_VALUE"""),"This dress is everything. i'm 5'4, athletic build, 36d and the medium fit me perfectly. the colors are really understated and beautiful and can easily be dressed up or down. i wish the elastic around the waist fell a little lower but that's one of those t"&amp;"hings only i notice and definitely didn't keep me from falling in love and buying it. can't wait to wear it on vacation next week!")</f>
        <v>This dress is everything. i'm 5'4, athletic build, 36d and the medium fit me perfectly. the colors are really understated and beautiful and can easily be dressed up or down. i wish the elastic around the waist fell a little lower but that's one of those things only i notice and definitely didn't keep me from falling in love and buying it. can't wait to wear it on vacation next week!</v>
      </c>
      <c r="F584" s="8">
        <f>IFERROR(__xludf.DUMMYFUNCTION("""COMPUTED_VALUE"""),5.0)</f>
        <v>5</v>
      </c>
      <c r="G584" s="8">
        <f>IFERROR(__xludf.DUMMYFUNCTION("""COMPUTED_VALUE"""),1.0)</f>
        <v>1</v>
      </c>
      <c r="H584" s="8">
        <f>IFERROR(__xludf.DUMMYFUNCTION("""COMPUTED_VALUE"""),15.0)</f>
        <v>15</v>
      </c>
      <c r="I584" s="8" t="str">
        <f>IFERROR(__xludf.DUMMYFUNCTION("""COMPUTED_VALUE"""),"General")</f>
        <v>General</v>
      </c>
      <c r="J584" s="8" t="str">
        <f>IFERROR(__xludf.DUMMYFUNCTION("""COMPUTED_VALUE"""),"Dresses")</f>
        <v>Dresses</v>
      </c>
      <c r="K584" s="8" t="str">
        <f>IFERROR(__xludf.DUMMYFUNCTION("""COMPUTED_VALUE"""),"Dresses")</f>
        <v>Dresses</v>
      </c>
    </row>
    <row r="585">
      <c r="A585" s="8">
        <f>IFERROR(__xludf.DUMMYFUNCTION("""COMPUTED_VALUE"""),740.0)</f>
        <v>740</v>
      </c>
      <c r="B585" s="8">
        <f>IFERROR(__xludf.DUMMYFUNCTION("""COMPUTED_VALUE"""),937.0)</f>
        <v>937</v>
      </c>
      <c r="C585" s="8">
        <f>IFERROR(__xludf.DUMMYFUNCTION("""COMPUTED_VALUE"""),44.0)</f>
        <v>44</v>
      </c>
      <c r="D585" s="8"/>
      <c r="E585" s="8" t="str">
        <f>IFERROR(__xludf.DUMMYFUNCTION("""COMPUTED_VALUE"""),"I love this cardigan! i ordered the pink and it's a really pretty color. i wish it didn't run so big but xs will be cozy all winter.")</f>
        <v>I love this cardigan! i ordered the pink and it's a really pretty color. i wish it didn't run so big but xs will be cozy all winter.</v>
      </c>
      <c r="F585" s="8">
        <f>IFERROR(__xludf.DUMMYFUNCTION("""COMPUTED_VALUE"""),5.0)</f>
        <v>5</v>
      </c>
      <c r="G585" s="8">
        <f>IFERROR(__xludf.DUMMYFUNCTION("""COMPUTED_VALUE"""),1.0)</f>
        <v>1</v>
      </c>
      <c r="H585" s="8">
        <f>IFERROR(__xludf.DUMMYFUNCTION("""COMPUTED_VALUE"""),1.0)</f>
        <v>1</v>
      </c>
      <c r="I585" s="8" t="str">
        <f>IFERROR(__xludf.DUMMYFUNCTION("""COMPUTED_VALUE"""),"General")</f>
        <v>General</v>
      </c>
      <c r="J585" s="8" t="str">
        <f>IFERROR(__xludf.DUMMYFUNCTION("""COMPUTED_VALUE"""),"Tops")</f>
        <v>Tops</v>
      </c>
      <c r="K585" s="8" t="str">
        <f>IFERROR(__xludf.DUMMYFUNCTION("""COMPUTED_VALUE"""),"Sweaters")</f>
        <v>Sweaters</v>
      </c>
    </row>
    <row r="586">
      <c r="A586" s="8">
        <f>IFERROR(__xludf.DUMMYFUNCTION("""COMPUTED_VALUE"""),741.0)</f>
        <v>741</v>
      </c>
      <c r="B586" s="8">
        <f>IFERROR(__xludf.DUMMYFUNCTION("""COMPUTED_VALUE"""),886.0)</f>
        <v>886</v>
      </c>
      <c r="C586" s="8">
        <f>IFERROR(__xludf.DUMMYFUNCTION("""COMPUTED_VALUE"""),47.0)</f>
        <v>47</v>
      </c>
      <c r="D586" s="8"/>
      <c r="E586" s="8" t="str">
        <f>IFERROR(__xludf.DUMMYFUNCTION("""COMPUTED_VALUE"""),"I purchased in store to avoid shipping costs. my local stores don't carry xxs, so they are mailing it to me. i usually wear an xs, but it was roomier than i cared for and made it look a bit sloppy on me. this tee is more distressed looking in person than "&amp;"online, as well. i wish it were more refined because the neckline is very feminine &amp; interesting; i would have liked the ability to dress it up more. also, the solid blue and coral are lighter in color than they appear on my monitor. the blue st")</f>
        <v>I purchased in store to avoid shipping costs. my local stores don't carry xxs, so they are mailing it to me. i usually wear an xs, but it was roomier than i cared for and made it look a bit sloppy on me. this tee is more distressed looking in person than online, as well. i wish it were more refined because the neckline is very feminine &amp; interesting; i would have liked the ability to dress it up more. also, the solid blue and coral are lighter in color than they appear on my monitor. the blue st</v>
      </c>
      <c r="F586" s="8">
        <f>IFERROR(__xludf.DUMMYFUNCTION("""COMPUTED_VALUE"""),4.0)</f>
        <v>4</v>
      </c>
      <c r="G586" s="8">
        <f>IFERROR(__xludf.DUMMYFUNCTION("""COMPUTED_VALUE"""),1.0)</f>
        <v>1</v>
      </c>
      <c r="H586" s="8">
        <f>IFERROR(__xludf.DUMMYFUNCTION("""COMPUTED_VALUE"""),7.0)</f>
        <v>7</v>
      </c>
      <c r="I586" s="8" t="str">
        <f>IFERROR(__xludf.DUMMYFUNCTION("""COMPUTED_VALUE"""),"General Petite")</f>
        <v>General Petite</v>
      </c>
      <c r="J586" s="8" t="str">
        <f>IFERROR(__xludf.DUMMYFUNCTION("""COMPUTED_VALUE"""),"Tops")</f>
        <v>Tops</v>
      </c>
      <c r="K586" s="8" t="str">
        <f>IFERROR(__xludf.DUMMYFUNCTION("""COMPUTED_VALUE"""),"Knits")</f>
        <v>Knits</v>
      </c>
    </row>
    <row r="587">
      <c r="A587" s="8">
        <f>IFERROR(__xludf.DUMMYFUNCTION("""COMPUTED_VALUE"""),742.0)</f>
        <v>742</v>
      </c>
      <c r="B587" s="8">
        <f>IFERROR(__xludf.DUMMYFUNCTION("""COMPUTED_VALUE"""),886.0)</f>
        <v>886</v>
      </c>
      <c r="C587" s="8">
        <f>IFERROR(__xludf.DUMMYFUNCTION("""COMPUTED_VALUE"""),39.0)</f>
        <v>39</v>
      </c>
      <c r="D587" s="8" t="str">
        <f>IFERROR(__xludf.DUMMYFUNCTION("""COMPUTED_VALUE"""),"Cute tee with fun neckline")</f>
        <v>Cute tee with fun neckline</v>
      </c>
      <c r="E587" s="8" t="str">
        <f>IFERROR(__xludf.DUMMYFUNCTION("""COMPUTED_VALUE"""),"Very soft and comfy tee. like the interesting neckline. wish the petite neckline was slightly higher, but sleeves are right length and have great cuffs.")</f>
        <v>Very soft and comfy tee. like the interesting neckline. wish the petite neckline was slightly higher, but sleeves are right length and have great cuffs.</v>
      </c>
      <c r="F587" s="8">
        <f>IFERROR(__xludf.DUMMYFUNCTION("""COMPUTED_VALUE"""),4.0)</f>
        <v>4</v>
      </c>
      <c r="G587" s="8">
        <f>IFERROR(__xludf.DUMMYFUNCTION("""COMPUTED_VALUE"""),1.0)</f>
        <v>1</v>
      </c>
      <c r="H587" s="8">
        <f>IFERROR(__xludf.DUMMYFUNCTION("""COMPUTED_VALUE"""),0.0)</f>
        <v>0</v>
      </c>
      <c r="I587" s="8" t="str">
        <f>IFERROR(__xludf.DUMMYFUNCTION("""COMPUTED_VALUE"""),"General Petite")</f>
        <v>General Petite</v>
      </c>
      <c r="J587" s="8" t="str">
        <f>IFERROR(__xludf.DUMMYFUNCTION("""COMPUTED_VALUE"""),"Tops")</f>
        <v>Tops</v>
      </c>
      <c r="K587" s="8" t="str">
        <f>IFERROR(__xludf.DUMMYFUNCTION("""COMPUTED_VALUE"""),"Knits")</f>
        <v>Knits</v>
      </c>
    </row>
    <row r="588">
      <c r="A588" s="8">
        <f>IFERROR(__xludf.DUMMYFUNCTION("""COMPUTED_VALUE"""),743.0)</f>
        <v>743</v>
      </c>
      <c r="B588" s="8">
        <f>IFERROR(__xludf.DUMMYFUNCTION("""COMPUTED_VALUE"""),1087.0)</f>
        <v>1087</v>
      </c>
      <c r="C588" s="8">
        <f>IFERROR(__xludf.DUMMYFUNCTION("""COMPUTED_VALUE"""),44.0)</f>
        <v>44</v>
      </c>
      <c r="D588" s="8" t="str">
        <f>IFERROR(__xludf.DUMMYFUNCTION("""COMPUTED_VALUE"""),"Beautiful and unique but didn't work for me")</f>
        <v>Beautiful and unique but didn't work for me</v>
      </c>
      <c r="E588" s="8" t="str">
        <f>IFERROR(__xludf.DUMMYFUNCTION("""COMPUTED_VALUE"""),"Ordered the xsp (5'4"" about 118-120#, athletic build)...this was huge all over. big in the armholes, too much fabric hanging in the skirt (cream fabric) front and back, not flattering at all from the sides and as long on me as it shows on the model. i lo"&amp;"ve the idea of this and for the right body type (of course) this will be beautiful. it also would not be a very versatile piece for me...the top sweater part is quite thick (lovely) and heavy. in oklahoma this would not work for very many weeks..")</f>
        <v>Ordered the xsp (5'4" about 118-120#, athletic build)...this was huge all over. big in the armholes, too much fabric hanging in the skirt (cream fabric) front and back, not flattering at all from the sides and as long on me as it shows on the model. i love the idea of this and for the right body type (of course) this will be beautiful. it also would not be a very versatile piece for me...the top sweater part is quite thick (lovely) and heavy. in oklahoma this would not work for very many weeks..</v>
      </c>
      <c r="F588" s="8">
        <f>IFERROR(__xludf.DUMMYFUNCTION("""COMPUTED_VALUE"""),4.0)</f>
        <v>4</v>
      </c>
      <c r="G588" s="8">
        <f>IFERROR(__xludf.DUMMYFUNCTION("""COMPUTED_VALUE"""),1.0)</f>
        <v>1</v>
      </c>
      <c r="H588" s="8">
        <f>IFERROR(__xludf.DUMMYFUNCTION("""COMPUTED_VALUE"""),1.0)</f>
        <v>1</v>
      </c>
      <c r="I588" s="8" t="str">
        <f>IFERROR(__xludf.DUMMYFUNCTION("""COMPUTED_VALUE"""),"General")</f>
        <v>General</v>
      </c>
      <c r="J588" s="8" t="str">
        <f>IFERROR(__xludf.DUMMYFUNCTION("""COMPUTED_VALUE"""),"Dresses")</f>
        <v>Dresses</v>
      </c>
      <c r="K588" s="8" t="str">
        <f>IFERROR(__xludf.DUMMYFUNCTION("""COMPUTED_VALUE"""),"Dresses")</f>
        <v>Dresses</v>
      </c>
    </row>
    <row r="589">
      <c r="A589" s="8">
        <f>IFERROR(__xludf.DUMMYFUNCTION("""COMPUTED_VALUE"""),746.0)</f>
        <v>746</v>
      </c>
      <c r="B589" s="8">
        <f>IFERROR(__xludf.DUMMYFUNCTION("""COMPUTED_VALUE"""),886.0)</f>
        <v>886</v>
      </c>
      <c r="C589" s="8">
        <f>IFERROR(__xludf.DUMMYFUNCTION("""COMPUTED_VALUE"""),50.0)</f>
        <v>50</v>
      </c>
      <c r="D589" s="8" t="str">
        <f>IFERROR(__xludf.DUMMYFUNCTION("""COMPUTED_VALUE"""),"Nice spin on an everyday t-shirt")</f>
        <v>Nice spin on an everyday t-shirt</v>
      </c>
      <c r="E589" s="8" t="str">
        <f>IFERROR(__xludf.DUMMYFUNCTION("""COMPUTED_VALUE"""),"I love the way this t-shirt fits. the horseshoe opening in front is deep enough to add interest, but not too revealing. will look great with layered, dainty necklaces. the sleeves are nice and long - and i have long arms. the length of the shirt itself co"&amp;"uld be an inch or two longer, but overall the design is nice. not too tight, not too loose. i'm 5' 5"" and 125 lbs - 34c and the small fits me well. fabric is medium weight - could be a little thicker. the brick color is nice and works great with")</f>
        <v>I love the way this t-shirt fits. the horseshoe opening in front is deep enough to add interest, but not too revealing. will look great with layered, dainty necklaces. the sleeves are nice and long - and i have long arms. the length of the shirt itself could be an inch or two longer, but overall the design is nice. not too tight, not too loose. i'm 5' 5" and 125 lbs - 34c and the small fits me well. fabric is medium weight - could be a little thicker. the brick color is nice and works great with</v>
      </c>
      <c r="F589" s="8">
        <f>IFERROR(__xludf.DUMMYFUNCTION("""COMPUTED_VALUE"""),4.0)</f>
        <v>4</v>
      </c>
      <c r="G589" s="8">
        <f>IFERROR(__xludf.DUMMYFUNCTION("""COMPUTED_VALUE"""),1.0)</f>
        <v>1</v>
      </c>
      <c r="H589" s="8">
        <f>IFERROR(__xludf.DUMMYFUNCTION("""COMPUTED_VALUE"""),0.0)</f>
        <v>0</v>
      </c>
      <c r="I589" s="8" t="str">
        <f>IFERROR(__xludf.DUMMYFUNCTION("""COMPUTED_VALUE"""),"General Petite")</f>
        <v>General Petite</v>
      </c>
      <c r="J589" s="8" t="str">
        <f>IFERROR(__xludf.DUMMYFUNCTION("""COMPUTED_VALUE"""),"Tops")</f>
        <v>Tops</v>
      </c>
      <c r="K589" s="8" t="str">
        <f>IFERROR(__xludf.DUMMYFUNCTION("""COMPUTED_VALUE"""),"Knits")</f>
        <v>Knits</v>
      </c>
    </row>
    <row r="590">
      <c r="A590" s="8">
        <f>IFERROR(__xludf.DUMMYFUNCTION("""COMPUTED_VALUE"""),747.0)</f>
        <v>747</v>
      </c>
      <c r="B590" s="8">
        <f>IFERROR(__xludf.DUMMYFUNCTION("""COMPUTED_VALUE"""),1137.0)</f>
        <v>1137</v>
      </c>
      <c r="C590" s="8">
        <f>IFERROR(__xludf.DUMMYFUNCTION("""COMPUTED_VALUE"""),52.0)</f>
        <v>52</v>
      </c>
      <c r="D590" s="8" t="str">
        <f>IFERROR(__xludf.DUMMYFUNCTION("""COMPUTED_VALUE"""),"Elegant retro sweater tee")</f>
        <v>Elegant retro sweater tee</v>
      </c>
      <c r="E590" s="8" t="str">
        <f>IFERROR(__xludf.DUMMYFUNCTION("""COMPUTED_VALUE"""),"This sweater tee is made from a fine but substantial knit which hangs beautifully and flows over imperfections in your figure. the cut is very 1950's through the sleeves and neckline. it's a little cropped and boxy, just so that it hides your belly and ac"&amp;"centuates your hips. it looks phenomenal with a crinolined a-line skirt.")</f>
        <v>This sweater tee is made from a fine but substantial knit which hangs beautifully and flows over imperfections in your figure. the cut is very 1950's through the sleeves and neckline. it's a little cropped and boxy, just so that it hides your belly and accentuates your hips. it looks phenomenal with a crinolined a-line skirt.</v>
      </c>
      <c r="F590" s="8">
        <f>IFERROR(__xludf.DUMMYFUNCTION("""COMPUTED_VALUE"""),5.0)</f>
        <v>5</v>
      </c>
      <c r="G590" s="8">
        <f>IFERROR(__xludf.DUMMYFUNCTION("""COMPUTED_VALUE"""),1.0)</f>
        <v>1</v>
      </c>
      <c r="H590" s="8">
        <f>IFERROR(__xludf.DUMMYFUNCTION("""COMPUTED_VALUE"""),1.0)</f>
        <v>1</v>
      </c>
      <c r="I590" s="8" t="str">
        <f>IFERROR(__xludf.DUMMYFUNCTION("""COMPUTED_VALUE"""),"General")</f>
        <v>General</v>
      </c>
      <c r="J590" s="8" t="str">
        <f>IFERROR(__xludf.DUMMYFUNCTION("""COMPUTED_VALUE"""),"Trend")</f>
        <v>Trend</v>
      </c>
      <c r="K590" s="8" t="str">
        <f>IFERROR(__xludf.DUMMYFUNCTION("""COMPUTED_VALUE"""),"Trend")</f>
        <v>Trend</v>
      </c>
    </row>
    <row r="591">
      <c r="A591" s="8">
        <f>IFERROR(__xludf.DUMMYFUNCTION("""COMPUTED_VALUE"""),749.0)</f>
        <v>749</v>
      </c>
      <c r="B591" s="8">
        <f>IFERROR(__xludf.DUMMYFUNCTION("""COMPUTED_VALUE"""),886.0)</f>
        <v>886</v>
      </c>
      <c r="C591" s="8">
        <f>IFERROR(__xludf.DUMMYFUNCTION("""COMPUTED_VALUE"""),34.0)</f>
        <v>34</v>
      </c>
      <c r="D591" s="8" t="str">
        <f>IFERROR(__xludf.DUMMYFUNCTION("""COMPUTED_VALUE"""),"Just perfect!")</f>
        <v>Just perfect!</v>
      </c>
      <c r="E591" s="8" t="str">
        <f>IFERROR(__xludf.DUMMYFUNCTION("""COMPUTED_VALUE"""),"This top has a comfy cozy feel while still being flattering. i especially like the generous neckline--adds a uniqueness to it. great shirt for dressing down, but still feeling feminine. i bought two! my husband always compliments me when i wear it.")</f>
        <v>This top has a comfy cozy feel while still being flattering. i especially like the generous neckline--adds a uniqueness to it. great shirt for dressing down, but still feeling feminine. i bought two! my husband always compliments me when i wear it.</v>
      </c>
      <c r="F591" s="8">
        <f>IFERROR(__xludf.DUMMYFUNCTION("""COMPUTED_VALUE"""),5.0)</f>
        <v>5</v>
      </c>
      <c r="G591" s="8">
        <f>IFERROR(__xludf.DUMMYFUNCTION("""COMPUTED_VALUE"""),1.0)</f>
        <v>1</v>
      </c>
      <c r="H591" s="8">
        <f>IFERROR(__xludf.DUMMYFUNCTION("""COMPUTED_VALUE"""),5.0)</f>
        <v>5</v>
      </c>
      <c r="I591" s="8" t="str">
        <f>IFERROR(__xludf.DUMMYFUNCTION("""COMPUTED_VALUE"""),"General Petite")</f>
        <v>General Petite</v>
      </c>
      <c r="J591" s="8" t="str">
        <f>IFERROR(__xludf.DUMMYFUNCTION("""COMPUTED_VALUE"""),"Tops")</f>
        <v>Tops</v>
      </c>
      <c r="K591" s="8" t="str">
        <f>IFERROR(__xludf.DUMMYFUNCTION("""COMPUTED_VALUE"""),"Knits")</f>
        <v>Knits</v>
      </c>
    </row>
    <row r="592">
      <c r="A592" s="8">
        <f>IFERROR(__xludf.DUMMYFUNCTION("""COMPUTED_VALUE"""),750.0)</f>
        <v>750</v>
      </c>
      <c r="B592" s="8">
        <f>IFERROR(__xludf.DUMMYFUNCTION("""COMPUTED_VALUE"""),937.0)</f>
        <v>937</v>
      </c>
      <c r="C592" s="8">
        <f>IFERROR(__xludf.DUMMYFUNCTION("""COMPUTED_VALUE"""),60.0)</f>
        <v>60</v>
      </c>
      <c r="D592" s="8" t="str">
        <f>IFERROR(__xludf.DUMMYFUNCTION("""COMPUTED_VALUE"""),"Comfortable, fashionable, throw on over anything")</f>
        <v>Comfortable, fashionable, throw on over anything</v>
      </c>
      <c r="E592" s="8" t="str">
        <f>IFERROR(__xludf.DUMMYFUNCTION("""COMPUTED_VALUE"""),"I love this sweater. it has quickly become a staple in my wardrobe. i live in minnesota, so a fashionable throw-on-and-go sweater is essential. this sweater fits the bill. i love how soft and warm it is, the cocoon styling adds a fashionable element while"&amp;" the acrylic/nylon/wool material keep it functional (warm and cozy). i love anything with pockets, which this has. i somewhat disagree with the other reviewers who say this runs small or short. i did not find that to be true for me, and i ordere")</f>
        <v>I love this sweater. it has quickly become a staple in my wardrobe. i live in minnesota, so a fashionable throw-on-and-go sweater is essential. this sweater fits the bill. i love how soft and warm it is, the cocoon styling adds a fashionable element while the acrylic/nylon/wool material keep it functional (warm and cozy). i love anything with pockets, which this has. i somewhat disagree with the other reviewers who say this runs small or short. i did not find that to be true for me, and i ordere</v>
      </c>
      <c r="F592" s="8">
        <f>IFERROR(__xludf.DUMMYFUNCTION("""COMPUTED_VALUE"""),5.0)</f>
        <v>5</v>
      </c>
      <c r="G592" s="8">
        <f>IFERROR(__xludf.DUMMYFUNCTION("""COMPUTED_VALUE"""),1.0)</f>
        <v>1</v>
      </c>
      <c r="H592" s="8">
        <f>IFERROR(__xludf.DUMMYFUNCTION("""COMPUTED_VALUE"""),14.0)</f>
        <v>14</v>
      </c>
      <c r="I592" s="8" t="str">
        <f>IFERROR(__xludf.DUMMYFUNCTION("""COMPUTED_VALUE"""),"General")</f>
        <v>General</v>
      </c>
      <c r="J592" s="8" t="str">
        <f>IFERROR(__xludf.DUMMYFUNCTION("""COMPUTED_VALUE"""),"Tops")</f>
        <v>Tops</v>
      </c>
      <c r="K592" s="8" t="str">
        <f>IFERROR(__xludf.DUMMYFUNCTION("""COMPUTED_VALUE"""),"Sweaters")</f>
        <v>Sweaters</v>
      </c>
    </row>
    <row r="593">
      <c r="A593" s="8">
        <f>IFERROR(__xludf.DUMMYFUNCTION("""COMPUTED_VALUE"""),751.0)</f>
        <v>751</v>
      </c>
      <c r="B593" s="8">
        <f>IFERROR(__xludf.DUMMYFUNCTION("""COMPUTED_VALUE"""),937.0)</f>
        <v>937</v>
      </c>
      <c r="C593" s="8">
        <f>IFERROR(__xludf.DUMMYFUNCTION("""COMPUTED_VALUE"""),22.0)</f>
        <v>22</v>
      </c>
      <c r="D593" s="8" t="str">
        <f>IFERROR(__xludf.DUMMYFUNCTION("""COMPUTED_VALUE"""),"Love it!")</f>
        <v>Love it!</v>
      </c>
      <c r="E593" s="8" t="str">
        <f>IFERROR(__xludf.DUMMYFUNCTION("""COMPUTED_VALUE"""),"Can be a bit itchy sometimes, i guess depending on your skin. haven't had a problem with the sweater up to now!")</f>
        <v>Can be a bit itchy sometimes, i guess depending on your skin. haven't had a problem with the sweater up to now!</v>
      </c>
      <c r="F593" s="8">
        <f>IFERROR(__xludf.DUMMYFUNCTION("""COMPUTED_VALUE"""),5.0)</f>
        <v>5</v>
      </c>
      <c r="G593" s="8">
        <f>IFERROR(__xludf.DUMMYFUNCTION("""COMPUTED_VALUE"""),1.0)</f>
        <v>1</v>
      </c>
      <c r="H593" s="8">
        <f>IFERROR(__xludf.DUMMYFUNCTION("""COMPUTED_VALUE"""),0.0)</f>
        <v>0</v>
      </c>
      <c r="I593" s="8" t="str">
        <f>IFERROR(__xludf.DUMMYFUNCTION("""COMPUTED_VALUE"""),"General")</f>
        <v>General</v>
      </c>
      <c r="J593" s="8" t="str">
        <f>IFERROR(__xludf.DUMMYFUNCTION("""COMPUTED_VALUE"""),"Tops")</f>
        <v>Tops</v>
      </c>
      <c r="K593" s="8" t="str">
        <f>IFERROR(__xludf.DUMMYFUNCTION("""COMPUTED_VALUE"""),"Sweaters")</f>
        <v>Sweaters</v>
      </c>
    </row>
    <row r="594">
      <c r="A594" s="8">
        <f>IFERROR(__xludf.DUMMYFUNCTION("""COMPUTED_VALUE"""),752.0)</f>
        <v>752</v>
      </c>
      <c r="B594" s="8">
        <f>IFERROR(__xludf.DUMMYFUNCTION("""COMPUTED_VALUE"""),1087.0)</f>
        <v>1087</v>
      </c>
      <c r="C594" s="8">
        <f>IFERROR(__xludf.DUMMYFUNCTION("""COMPUTED_VALUE"""),58.0)</f>
        <v>58</v>
      </c>
      <c r="D594" s="8" t="str">
        <f>IFERROR(__xludf.DUMMYFUNCTION("""COMPUTED_VALUE"""),"Perfection")</f>
        <v>Perfection</v>
      </c>
      <c r="E594" s="8" t="str">
        <f>IFERROR(__xludf.DUMMYFUNCTION("""COMPUTED_VALUE"""),"This dress is perfect. i'm literally wearing it right now. it's crazy comfortable while still being flattering. it looks and feels high quality, and just barely doesn't hit the floor. it makes me feel like a goddess. plenty of room in the bust area, even "&amp;"for me (36dd), and doesn't show bra straps or underwear. highly recommended!")</f>
        <v>This dress is perfect. i'm literally wearing it right now. it's crazy comfortable while still being flattering. it looks and feels high quality, and just barely doesn't hit the floor. it makes me feel like a goddess. plenty of room in the bust area, even for me (36dd), and doesn't show bra straps or underwear. highly recommended!</v>
      </c>
      <c r="F594" s="8">
        <f>IFERROR(__xludf.DUMMYFUNCTION("""COMPUTED_VALUE"""),5.0)</f>
        <v>5</v>
      </c>
      <c r="G594" s="8">
        <f>IFERROR(__xludf.DUMMYFUNCTION("""COMPUTED_VALUE"""),1.0)</f>
        <v>1</v>
      </c>
      <c r="H594" s="8">
        <f>IFERROR(__xludf.DUMMYFUNCTION("""COMPUTED_VALUE"""),0.0)</f>
        <v>0</v>
      </c>
      <c r="I594" s="8" t="str">
        <f>IFERROR(__xludf.DUMMYFUNCTION("""COMPUTED_VALUE"""),"General")</f>
        <v>General</v>
      </c>
      <c r="J594" s="8" t="str">
        <f>IFERROR(__xludf.DUMMYFUNCTION("""COMPUTED_VALUE"""),"Dresses")</f>
        <v>Dresses</v>
      </c>
      <c r="K594" s="8" t="str">
        <f>IFERROR(__xludf.DUMMYFUNCTION("""COMPUTED_VALUE"""),"Dresses")</f>
        <v>Dresses</v>
      </c>
    </row>
    <row r="595">
      <c r="A595" s="8">
        <f>IFERROR(__xludf.DUMMYFUNCTION("""COMPUTED_VALUE"""),753.0)</f>
        <v>753</v>
      </c>
      <c r="B595" s="8">
        <f>IFERROR(__xludf.DUMMYFUNCTION("""COMPUTED_VALUE"""),1087.0)</f>
        <v>1087</v>
      </c>
      <c r="C595" s="8">
        <f>IFERROR(__xludf.DUMMYFUNCTION("""COMPUTED_VALUE"""),55.0)</f>
        <v>55</v>
      </c>
      <c r="D595" s="8"/>
      <c r="E595" s="8"/>
      <c r="F595" s="8">
        <f>IFERROR(__xludf.DUMMYFUNCTION("""COMPUTED_VALUE"""),4.0)</f>
        <v>4</v>
      </c>
      <c r="G595" s="8">
        <f>IFERROR(__xludf.DUMMYFUNCTION("""COMPUTED_VALUE"""),1.0)</f>
        <v>1</v>
      </c>
      <c r="H595" s="8">
        <f>IFERROR(__xludf.DUMMYFUNCTION("""COMPUTED_VALUE"""),0.0)</f>
        <v>0</v>
      </c>
      <c r="I595" s="8" t="str">
        <f>IFERROR(__xludf.DUMMYFUNCTION("""COMPUTED_VALUE"""),"General")</f>
        <v>General</v>
      </c>
      <c r="J595" s="8" t="str">
        <f>IFERROR(__xludf.DUMMYFUNCTION("""COMPUTED_VALUE"""),"Dresses")</f>
        <v>Dresses</v>
      </c>
      <c r="K595" s="8" t="str">
        <f>IFERROR(__xludf.DUMMYFUNCTION("""COMPUTED_VALUE"""),"Dresses")</f>
        <v>Dresses</v>
      </c>
    </row>
    <row r="596">
      <c r="A596" s="8">
        <f>IFERROR(__xludf.DUMMYFUNCTION("""COMPUTED_VALUE"""),756.0)</f>
        <v>756</v>
      </c>
      <c r="B596" s="8">
        <f>IFERROR(__xludf.DUMMYFUNCTION("""COMPUTED_VALUE"""),886.0)</f>
        <v>886</v>
      </c>
      <c r="C596" s="8">
        <f>IFERROR(__xludf.DUMMYFUNCTION("""COMPUTED_VALUE"""),26.0)</f>
        <v>26</v>
      </c>
      <c r="D596" s="8" t="str">
        <f>IFERROR(__xludf.DUMMYFUNCTION("""COMPUTED_VALUE"""),"Basic with a twist")</f>
        <v>Basic with a twist</v>
      </c>
      <c r="E596" s="8" t="str">
        <f>IFERROR(__xludf.DUMMYFUNCTION("""COMPUTED_VALUE"""),"I love this shirt. it would be a fairly basic tee but the neckline makes it fun. it's very soft and comfortable. i bought the white with blue pattern and will probably purchase additional colors.")</f>
        <v>I love this shirt. it would be a fairly basic tee but the neckline makes it fun. it's very soft and comfortable. i bought the white with blue pattern and will probably purchase additional colors.</v>
      </c>
      <c r="F596" s="8">
        <f>IFERROR(__xludf.DUMMYFUNCTION("""COMPUTED_VALUE"""),5.0)</f>
        <v>5</v>
      </c>
      <c r="G596" s="8">
        <f>IFERROR(__xludf.DUMMYFUNCTION("""COMPUTED_VALUE"""),1.0)</f>
        <v>1</v>
      </c>
      <c r="H596" s="8">
        <f>IFERROR(__xludf.DUMMYFUNCTION("""COMPUTED_VALUE"""),0.0)</f>
        <v>0</v>
      </c>
      <c r="I596" s="8" t="str">
        <f>IFERROR(__xludf.DUMMYFUNCTION("""COMPUTED_VALUE"""),"General Petite")</f>
        <v>General Petite</v>
      </c>
      <c r="J596" s="8" t="str">
        <f>IFERROR(__xludf.DUMMYFUNCTION("""COMPUTED_VALUE"""),"Tops")</f>
        <v>Tops</v>
      </c>
      <c r="K596" s="8" t="str">
        <f>IFERROR(__xludf.DUMMYFUNCTION("""COMPUTED_VALUE"""),"Knits")</f>
        <v>Knits</v>
      </c>
    </row>
    <row r="597">
      <c r="A597" s="8">
        <f>IFERROR(__xludf.DUMMYFUNCTION("""COMPUTED_VALUE"""),757.0)</f>
        <v>757</v>
      </c>
      <c r="B597" s="8">
        <f>IFERROR(__xludf.DUMMYFUNCTION("""COMPUTED_VALUE"""),886.0)</f>
        <v>886</v>
      </c>
      <c r="C597" s="8">
        <f>IFERROR(__xludf.DUMMYFUNCTION("""COMPUTED_VALUE"""),37.0)</f>
        <v>37</v>
      </c>
      <c r="D597" s="8" t="str">
        <f>IFERROR(__xludf.DUMMYFUNCTION("""COMPUTED_VALUE"""),"Love this shirt!")</f>
        <v>Love this shirt!</v>
      </c>
      <c r="E597" s="8" t="str">
        <f>IFERROR(__xludf.DUMMYFUNCTION("""COMPUTED_VALUE"""),"I love this shirt. the neckline is flattering and the overall feel is very comfy.")</f>
        <v>I love this shirt. the neckline is flattering and the overall feel is very comfy.</v>
      </c>
      <c r="F597" s="8">
        <f>IFERROR(__xludf.DUMMYFUNCTION("""COMPUTED_VALUE"""),5.0)</f>
        <v>5</v>
      </c>
      <c r="G597" s="8">
        <f>IFERROR(__xludf.DUMMYFUNCTION("""COMPUTED_VALUE"""),1.0)</f>
        <v>1</v>
      </c>
      <c r="H597" s="8">
        <f>IFERROR(__xludf.DUMMYFUNCTION("""COMPUTED_VALUE"""),0.0)</f>
        <v>0</v>
      </c>
      <c r="I597" s="8" t="str">
        <f>IFERROR(__xludf.DUMMYFUNCTION("""COMPUTED_VALUE"""),"General Petite")</f>
        <v>General Petite</v>
      </c>
      <c r="J597" s="8" t="str">
        <f>IFERROR(__xludf.DUMMYFUNCTION("""COMPUTED_VALUE"""),"Tops")</f>
        <v>Tops</v>
      </c>
      <c r="K597" s="8" t="str">
        <f>IFERROR(__xludf.DUMMYFUNCTION("""COMPUTED_VALUE"""),"Knits")</f>
        <v>Knits</v>
      </c>
    </row>
    <row r="598">
      <c r="A598" s="8">
        <f>IFERROR(__xludf.DUMMYFUNCTION("""COMPUTED_VALUE"""),759.0)</f>
        <v>759</v>
      </c>
      <c r="B598" s="8">
        <f>IFERROR(__xludf.DUMMYFUNCTION("""COMPUTED_VALUE"""),245.0)</f>
        <v>245</v>
      </c>
      <c r="C598" s="8">
        <f>IFERROR(__xludf.DUMMYFUNCTION("""COMPUTED_VALUE"""),33.0)</f>
        <v>33</v>
      </c>
      <c r="D598" s="8" t="str">
        <f>IFERROR(__xludf.DUMMYFUNCTION("""COMPUTED_VALUE"""),"Perfect dress")</f>
        <v>Perfect dress</v>
      </c>
      <c r="E598" s="8" t="str">
        <f>IFERROR(__xludf.DUMMYFUNCTION("""COMPUTED_VALUE"""),"I wasn't going to purchase this dress because it was given 1 star. however, i ordered it and i was so glad i did!!! i'm 5'1, 105lbs this dress fit me perfectly, it really compliment my petite body. i get so much compliments! it is not easy to order anythi"&amp;"ng for a petite frame but this dress really show off my body without showing too much.")</f>
        <v>I wasn't going to purchase this dress because it was given 1 star. however, i ordered it and i was so glad i did!!! i'm 5'1, 105lbs this dress fit me perfectly, it really compliment my petite body. i get so much compliments! it is not easy to order anything for a petite frame but this dress really show off my body without showing too much.</v>
      </c>
      <c r="F598" s="8">
        <f>IFERROR(__xludf.DUMMYFUNCTION("""COMPUTED_VALUE"""),5.0)</f>
        <v>5</v>
      </c>
      <c r="G598" s="8">
        <f>IFERROR(__xludf.DUMMYFUNCTION("""COMPUTED_VALUE"""),1.0)</f>
        <v>1</v>
      </c>
      <c r="H598" s="8">
        <f>IFERROR(__xludf.DUMMYFUNCTION("""COMPUTED_VALUE"""),4.0)</f>
        <v>4</v>
      </c>
      <c r="I598" s="8" t="str">
        <f>IFERROR(__xludf.DUMMYFUNCTION("""COMPUTED_VALUE"""),"Initmates")</f>
        <v>Initmates</v>
      </c>
      <c r="J598" s="8" t="str">
        <f>IFERROR(__xludf.DUMMYFUNCTION("""COMPUTED_VALUE"""),"Intimate")</f>
        <v>Intimate</v>
      </c>
      <c r="K598" s="8" t="str">
        <f>IFERROR(__xludf.DUMMYFUNCTION("""COMPUTED_VALUE"""),"Layering")</f>
        <v>Layering</v>
      </c>
    </row>
    <row r="599">
      <c r="A599" s="8">
        <f>IFERROR(__xludf.DUMMYFUNCTION("""COMPUTED_VALUE"""),760.0)</f>
        <v>760</v>
      </c>
      <c r="B599" s="8">
        <f>IFERROR(__xludf.DUMMYFUNCTION("""COMPUTED_VALUE"""),937.0)</f>
        <v>937</v>
      </c>
      <c r="C599" s="8">
        <f>IFERROR(__xludf.DUMMYFUNCTION("""COMPUTED_VALUE"""),43.0)</f>
        <v>43</v>
      </c>
      <c r="D599" s="8" t="str">
        <f>IFERROR(__xludf.DUMMYFUNCTION("""COMPUTED_VALUE"""),"Nice, comfy sweater")</f>
        <v>Nice, comfy sweater</v>
      </c>
      <c r="E599" s="8" t="str">
        <f>IFERROR(__xludf.DUMMYFUNCTION("""COMPUTED_VALUE"""),"I tried this on in the store and had to have it. this is the kind of sweater that you just want to cozy up with on a nice fall or winter day with a cup of coffee in hand. i love the neutral pink color as it will go with everything. i'm a dress and skirt g"&amp;"irl and this will go well with those items. it will cover your bum and i love the dolman sleeves. i highly recommend it!!")</f>
        <v>I tried this on in the store and had to have it. this is the kind of sweater that you just want to cozy up with on a nice fall or winter day with a cup of coffee in hand. i love the neutral pink color as it will go with everything. i'm a dress and skirt girl and this will go well with those items. it will cover your bum and i love the dolman sleeves. i highly recommend it!!</v>
      </c>
      <c r="F599" s="8">
        <f>IFERROR(__xludf.DUMMYFUNCTION("""COMPUTED_VALUE"""),5.0)</f>
        <v>5</v>
      </c>
      <c r="G599" s="8">
        <f>IFERROR(__xludf.DUMMYFUNCTION("""COMPUTED_VALUE"""),1.0)</f>
        <v>1</v>
      </c>
      <c r="H599" s="8">
        <f>IFERROR(__xludf.DUMMYFUNCTION("""COMPUTED_VALUE"""),0.0)</f>
        <v>0</v>
      </c>
      <c r="I599" s="8" t="str">
        <f>IFERROR(__xludf.DUMMYFUNCTION("""COMPUTED_VALUE"""),"General")</f>
        <v>General</v>
      </c>
      <c r="J599" s="8" t="str">
        <f>IFERROR(__xludf.DUMMYFUNCTION("""COMPUTED_VALUE"""),"Tops")</f>
        <v>Tops</v>
      </c>
      <c r="K599" s="8" t="str">
        <f>IFERROR(__xludf.DUMMYFUNCTION("""COMPUTED_VALUE"""),"Sweaters")</f>
        <v>Sweaters</v>
      </c>
    </row>
    <row r="600">
      <c r="A600" s="8">
        <f>IFERROR(__xludf.DUMMYFUNCTION("""COMPUTED_VALUE"""),761.0)</f>
        <v>761</v>
      </c>
      <c r="B600" s="8">
        <f>IFERROR(__xludf.DUMMYFUNCTION("""COMPUTED_VALUE"""),886.0)</f>
        <v>886</v>
      </c>
      <c r="C600" s="8">
        <f>IFERROR(__xludf.DUMMYFUNCTION("""COMPUTED_VALUE"""),44.0)</f>
        <v>44</v>
      </c>
      <c r="D600" s="8"/>
      <c r="E600" s="8" t="str">
        <f>IFERROR(__xludf.DUMMYFUNCTION("""COMPUTED_VALUE"""),"Bought this today - cant speak to wear - but overall design is so incredibly cute and flattering. i am usually a small or medium, but went with a medium. so different and wearable! white is sheer so opted for a denimy blue color that i dont see listed ava"&amp;"ilable online.")</f>
        <v>Bought this today - cant speak to wear - but overall design is so incredibly cute and flattering. i am usually a small or medium, but went with a medium. so different and wearable! white is sheer so opted for a denimy blue color that i dont see listed available online.</v>
      </c>
      <c r="F600" s="8">
        <f>IFERROR(__xludf.DUMMYFUNCTION("""COMPUTED_VALUE"""),5.0)</f>
        <v>5</v>
      </c>
      <c r="G600" s="8">
        <f>IFERROR(__xludf.DUMMYFUNCTION("""COMPUTED_VALUE"""),1.0)</f>
        <v>1</v>
      </c>
      <c r="H600" s="8">
        <f>IFERROR(__xludf.DUMMYFUNCTION("""COMPUTED_VALUE"""),21.0)</f>
        <v>21</v>
      </c>
      <c r="I600" s="8" t="str">
        <f>IFERROR(__xludf.DUMMYFUNCTION("""COMPUTED_VALUE"""),"General Petite")</f>
        <v>General Petite</v>
      </c>
      <c r="J600" s="8" t="str">
        <f>IFERROR(__xludf.DUMMYFUNCTION("""COMPUTED_VALUE"""),"Tops")</f>
        <v>Tops</v>
      </c>
      <c r="K600" s="8" t="str">
        <f>IFERROR(__xludf.DUMMYFUNCTION("""COMPUTED_VALUE"""),"Knits")</f>
        <v>Knits</v>
      </c>
    </row>
    <row r="601">
      <c r="A601" s="8">
        <f>IFERROR(__xludf.DUMMYFUNCTION("""COMPUTED_VALUE"""),764.0)</f>
        <v>764</v>
      </c>
      <c r="B601" s="8">
        <f>IFERROR(__xludf.DUMMYFUNCTION("""COMPUTED_VALUE"""),1087.0)</f>
        <v>1087</v>
      </c>
      <c r="C601" s="8">
        <f>IFERROR(__xludf.DUMMYFUNCTION("""COMPUTED_VALUE"""),34.0)</f>
        <v>34</v>
      </c>
      <c r="D601" s="8" t="str">
        <f>IFERROR(__xludf.DUMMYFUNCTION("""COMPUTED_VALUE"""),"Great for hot summers")</f>
        <v>Great for hot summers</v>
      </c>
      <c r="E601" s="8" t="str">
        <f>IFERROR(__xludf.DUMMYFUNCTION("""COMPUTED_VALUE"""),"I am on the fence about this dress, as you'll see the reasons below, but it is really breathable fabric and extremely comfortable!
_________
pros:
- tons of stretch to the top part. i'm a 36c, so a lot of retailer tops are too snug for women with some bus"&amp;"t. however, i fit into a medium here without it being too snug. you could actually go down or up depending on how loose or tight you'd like it to be on you.
- the bottom half, the skirt, feels so nice on the skin. very breezy. it is layered an")</f>
        <v>I am on the fence about this dress, as you'll see the reasons below, but it is really breathable fabric and extremely comfortable!
_________
pros:
- tons of stretch to the top part. i'm a 36c, so a lot of retailer tops are too snug for women with some bust. however, i fit into a medium here without it being too snug. you could actually go down or up depending on how loose or tight you'd like it to be on you.
- the bottom half, the skirt, feels so nice on the skin. very breezy. it is layered an</v>
      </c>
      <c r="F601" s="8">
        <f>IFERROR(__xludf.DUMMYFUNCTION("""COMPUTED_VALUE"""),4.0)</f>
        <v>4</v>
      </c>
      <c r="G601" s="8">
        <f>IFERROR(__xludf.DUMMYFUNCTION("""COMPUTED_VALUE"""),1.0)</f>
        <v>1</v>
      </c>
      <c r="H601" s="8">
        <f>IFERROR(__xludf.DUMMYFUNCTION("""COMPUTED_VALUE"""),42.0)</f>
        <v>42</v>
      </c>
      <c r="I601" s="8" t="str">
        <f>IFERROR(__xludf.DUMMYFUNCTION("""COMPUTED_VALUE"""),"General")</f>
        <v>General</v>
      </c>
      <c r="J601" s="8" t="str">
        <f>IFERROR(__xludf.DUMMYFUNCTION("""COMPUTED_VALUE"""),"Dresses")</f>
        <v>Dresses</v>
      </c>
      <c r="K601" s="8" t="str">
        <f>IFERROR(__xludf.DUMMYFUNCTION("""COMPUTED_VALUE"""),"Dresses")</f>
        <v>Dresses</v>
      </c>
    </row>
    <row r="602">
      <c r="A602" s="8">
        <f>IFERROR(__xludf.DUMMYFUNCTION("""COMPUTED_VALUE"""),765.0)</f>
        <v>765</v>
      </c>
      <c r="B602" s="8">
        <f>IFERROR(__xludf.DUMMYFUNCTION("""COMPUTED_VALUE"""),745.0)</f>
        <v>745</v>
      </c>
      <c r="C602" s="8">
        <f>IFERROR(__xludf.DUMMYFUNCTION("""COMPUTED_VALUE"""),40.0)</f>
        <v>40</v>
      </c>
      <c r="D602" s="8" t="str">
        <f>IFERROR(__xludf.DUMMYFUNCTION("""COMPUTED_VALUE"""),"Love!!")</f>
        <v>Love!!</v>
      </c>
      <c r="E602" s="8" t="str">
        <f>IFERROR(__xludf.DUMMYFUNCTION("""COMPUTED_VALUE"""),"I love these tights so much i almost want to buy another few pair and save them for when these wear out. the lining is like clouds on your calves. they're thick enough that you don't need to be totally covered by a tunic but slim enough that they don't ad"&amp;"d bulk. love, love them!")</f>
        <v>I love these tights so much i almost want to buy another few pair and save them for when these wear out. the lining is like clouds on your calves. they're thick enough that you don't need to be totally covered by a tunic but slim enough that they don't add bulk. love, love them!</v>
      </c>
      <c r="F602" s="8">
        <f>IFERROR(__xludf.DUMMYFUNCTION("""COMPUTED_VALUE"""),5.0)</f>
        <v>5</v>
      </c>
      <c r="G602" s="8">
        <f>IFERROR(__xludf.DUMMYFUNCTION("""COMPUTED_VALUE"""),1.0)</f>
        <v>1</v>
      </c>
      <c r="H602" s="8">
        <f>IFERROR(__xludf.DUMMYFUNCTION("""COMPUTED_VALUE"""),1.0)</f>
        <v>1</v>
      </c>
      <c r="I602" s="8" t="str">
        <f>IFERROR(__xludf.DUMMYFUNCTION("""COMPUTED_VALUE"""),"Initmates")</f>
        <v>Initmates</v>
      </c>
      <c r="J602" s="8" t="str">
        <f>IFERROR(__xludf.DUMMYFUNCTION("""COMPUTED_VALUE"""),"Intimate")</f>
        <v>Intimate</v>
      </c>
      <c r="K602" s="8" t="str">
        <f>IFERROR(__xludf.DUMMYFUNCTION("""COMPUTED_VALUE"""),"Legwear")</f>
        <v>Legwear</v>
      </c>
    </row>
    <row r="603">
      <c r="A603" s="8">
        <f>IFERROR(__xludf.DUMMYFUNCTION("""COMPUTED_VALUE"""),766.0)</f>
        <v>766</v>
      </c>
      <c r="B603" s="8">
        <f>IFERROR(__xludf.DUMMYFUNCTION("""COMPUTED_VALUE"""),745.0)</f>
        <v>745</v>
      </c>
      <c r="C603" s="8">
        <f>IFERROR(__xludf.DUMMYFUNCTION("""COMPUTED_VALUE"""),42.0)</f>
        <v>42</v>
      </c>
      <c r="D603" s="8" t="str">
        <f>IFERROR(__xludf.DUMMYFUNCTION("""COMPUTED_VALUE"""),"Finally found nice leggings!")</f>
        <v>Finally found nice leggings!</v>
      </c>
      <c r="E603" s="8" t="str">
        <f>IFERROR(__xludf.DUMMYFUNCTION("""COMPUTED_VALUE"""),"I am a curvy woman and leggings are new to my world. i am sorry that i did not discover these leggings sooner because they are lovely. they are comfortable and cozy with a great fit. i am 150 lbs and 5'7 and the m/l fit perfectly. i have the black and plu"&amp;"m colors. great purchase!")</f>
        <v>I am a curvy woman and leggings are new to my world. i am sorry that i did not discover these leggings sooner because they are lovely. they are comfortable and cozy with a great fit. i am 150 lbs and 5'7 and the m/l fit perfectly. i have the black and plum colors. great purchase!</v>
      </c>
      <c r="F603" s="8">
        <f>IFERROR(__xludf.DUMMYFUNCTION("""COMPUTED_VALUE"""),4.0)</f>
        <v>4</v>
      </c>
      <c r="G603" s="8">
        <f>IFERROR(__xludf.DUMMYFUNCTION("""COMPUTED_VALUE"""),1.0)</f>
        <v>1</v>
      </c>
      <c r="H603" s="8">
        <f>IFERROR(__xludf.DUMMYFUNCTION("""COMPUTED_VALUE"""),1.0)</f>
        <v>1</v>
      </c>
      <c r="I603" s="8" t="str">
        <f>IFERROR(__xludf.DUMMYFUNCTION("""COMPUTED_VALUE"""),"Initmates")</f>
        <v>Initmates</v>
      </c>
      <c r="J603" s="8" t="str">
        <f>IFERROR(__xludf.DUMMYFUNCTION("""COMPUTED_VALUE"""),"Intimate")</f>
        <v>Intimate</v>
      </c>
      <c r="K603" s="8" t="str">
        <f>IFERROR(__xludf.DUMMYFUNCTION("""COMPUTED_VALUE"""),"Legwear")</f>
        <v>Legwear</v>
      </c>
    </row>
    <row r="604">
      <c r="A604" s="8">
        <f>IFERROR(__xludf.DUMMYFUNCTION("""COMPUTED_VALUE"""),770.0)</f>
        <v>770</v>
      </c>
      <c r="B604" s="8">
        <f>IFERROR(__xludf.DUMMYFUNCTION("""COMPUTED_VALUE"""),1110.0)</f>
        <v>1110</v>
      </c>
      <c r="C604" s="8">
        <f>IFERROR(__xludf.DUMMYFUNCTION("""COMPUTED_VALUE"""),24.0)</f>
        <v>24</v>
      </c>
      <c r="D604" s="8" t="str">
        <f>IFERROR(__xludf.DUMMYFUNCTION("""COMPUTED_VALUE"""),"Beautiful, runs very large")</f>
        <v>Beautiful, runs very large</v>
      </c>
      <c r="E604" s="8" t="str">
        <f>IFERROR(__xludf.DUMMYFUNCTION("""COMPUTED_VALUE"""),"The detail on this dress is lovely -- it's unusual and well-made from soft fabric. it is big though -- i would usually wear a medium and ordered a petite small. to give you a sense of how large it is, i am currently 33 weeks pregnant, and bought this to w"&amp;"ear after the pregnancy. i can actually get it on now, over the considerable baby bump. it doesn't look good, but i can in fact get it on. hoping it won't be way too large post-pregnancy, but it seems to fit fine in the shoulders now. definitely")</f>
        <v>The detail on this dress is lovely -- it's unusual and well-made from soft fabric. it is big though -- i would usually wear a medium and ordered a petite small. to give you a sense of how large it is, i am currently 33 weeks pregnant, and bought this to wear after the pregnancy. i can actually get it on now, over the considerable baby bump. it doesn't look good, but i can in fact get it on. hoping it won't be way too large post-pregnancy, but it seems to fit fine in the shoulders now. definitely</v>
      </c>
      <c r="F604" s="8">
        <f>IFERROR(__xludf.DUMMYFUNCTION("""COMPUTED_VALUE"""),4.0)</f>
        <v>4</v>
      </c>
      <c r="G604" s="8">
        <f>IFERROR(__xludf.DUMMYFUNCTION("""COMPUTED_VALUE"""),1.0)</f>
        <v>1</v>
      </c>
      <c r="H604" s="8">
        <f>IFERROR(__xludf.DUMMYFUNCTION("""COMPUTED_VALUE"""),1.0)</f>
        <v>1</v>
      </c>
      <c r="I604" s="8" t="str">
        <f>IFERROR(__xludf.DUMMYFUNCTION("""COMPUTED_VALUE"""),"General Petite")</f>
        <v>General Petite</v>
      </c>
      <c r="J604" s="8" t="str">
        <f>IFERROR(__xludf.DUMMYFUNCTION("""COMPUTED_VALUE"""),"Dresses")</f>
        <v>Dresses</v>
      </c>
      <c r="K604" s="8" t="str">
        <f>IFERROR(__xludf.DUMMYFUNCTION("""COMPUTED_VALUE"""),"Dresses")</f>
        <v>Dresses</v>
      </c>
    </row>
    <row r="605">
      <c r="A605" s="8">
        <f>IFERROR(__xludf.DUMMYFUNCTION("""COMPUTED_VALUE"""),771.0)</f>
        <v>771</v>
      </c>
      <c r="B605" s="8">
        <f>IFERROR(__xludf.DUMMYFUNCTION("""COMPUTED_VALUE"""),1087.0)</f>
        <v>1087</v>
      </c>
      <c r="C605" s="8">
        <f>IFERROR(__xludf.DUMMYFUNCTION("""COMPUTED_VALUE"""),44.0)</f>
        <v>44</v>
      </c>
      <c r="D605" s="8"/>
      <c r="E605" s="8" t="str">
        <f>IFERROR(__xludf.DUMMYFUNCTION("""COMPUTED_VALUE"""),"I saw the cream color in size regular small in the ""only one left"" section at my local store. i had my heart set on this dress all summer but it was sold out, so i was super excited to see it. the color is true cream, like linen color. i was surprised t"&amp;"hat the dress is very heavy, as heavy as a medium sized coat. i can't understand why it's so heavy because the top is sleeveless and the dress part is pretty sheer. the dress is about 2"" pass my feet which i wouldn't mind having it hemmed, but the")</f>
        <v>I saw the cream color in size regular small in the "only one left" section at my local store. i had my heart set on this dress all summer but it was sold out, so i was super excited to see it. the color is true cream, like linen color. i was surprised that the dress is very heavy, as heavy as a medium sized coat. i can't understand why it's so heavy because the top is sleeveless and the dress part is pretty sheer. the dress is about 2" pass my feet which i wouldn't mind having it hemmed, but the</v>
      </c>
      <c r="F605" s="8">
        <f>IFERROR(__xludf.DUMMYFUNCTION("""COMPUTED_VALUE"""),4.0)</f>
        <v>4</v>
      </c>
      <c r="G605" s="8">
        <f>IFERROR(__xludf.DUMMYFUNCTION("""COMPUTED_VALUE"""),1.0)</f>
        <v>1</v>
      </c>
      <c r="H605" s="8">
        <f>IFERROR(__xludf.DUMMYFUNCTION("""COMPUTED_VALUE"""),0.0)</f>
        <v>0</v>
      </c>
      <c r="I605" s="8" t="str">
        <f>IFERROR(__xludf.DUMMYFUNCTION("""COMPUTED_VALUE"""),"General")</f>
        <v>General</v>
      </c>
      <c r="J605" s="8" t="str">
        <f>IFERROR(__xludf.DUMMYFUNCTION("""COMPUTED_VALUE"""),"Dresses")</f>
        <v>Dresses</v>
      </c>
      <c r="K605" s="8" t="str">
        <f>IFERROR(__xludf.DUMMYFUNCTION("""COMPUTED_VALUE"""),"Dresses")</f>
        <v>Dresses</v>
      </c>
    </row>
    <row r="606">
      <c r="A606" s="8">
        <f>IFERROR(__xludf.DUMMYFUNCTION("""COMPUTED_VALUE"""),772.0)</f>
        <v>772</v>
      </c>
      <c r="B606" s="8">
        <f>IFERROR(__xludf.DUMMYFUNCTION("""COMPUTED_VALUE"""),745.0)</f>
        <v>745</v>
      </c>
      <c r="C606" s="8">
        <f>IFERROR(__xludf.DUMMYFUNCTION("""COMPUTED_VALUE"""),33.0)</f>
        <v>33</v>
      </c>
      <c r="D606" s="8" t="str">
        <f>IFERROR(__xludf.DUMMYFUNCTION("""COMPUTED_VALUE"""),"Super soft and comfortable")</f>
        <v>Super soft and comfortable</v>
      </c>
      <c r="E606" s="8" t="str">
        <f>IFERROR(__xludf.DUMMYFUNCTION("""COMPUTED_VALUE"""),"There's are just what i was looking for! these are perfect in texture and thickness...not too thick but not too thin. super soft fleece on the inside. i both both the black and green...i will most likely but the grey soon enough.")</f>
        <v>There's are just what i was looking for! these are perfect in texture and thickness...not too thick but not too thin. super soft fleece on the inside. i both both the black and green...i will most likely but the grey soon enough.</v>
      </c>
      <c r="F606" s="8">
        <f>IFERROR(__xludf.DUMMYFUNCTION("""COMPUTED_VALUE"""),5.0)</f>
        <v>5</v>
      </c>
      <c r="G606" s="8">
        <f>IFERROR(__xludf.DUMMYFUNCTION("""COMPUTED_VALUE"""),1.0)</f>
        <v>1</v>
      </c>
      <c r="H606" s="8">
        <f>IFERROR(__xludf.DUMMYFUNCTION("""COMPUTED_VALUE"""),0.0)</f>
        <v>0</v>
      </c>
      <c r="I606" s="8" t="str">
        <f>IFERROR(__xludf.DUMMYFUNCTION("""COMPUTED_VALUE"""),"Initmates")</f>
        <v>Initmates</v>
      </c>
      <c r="J606" s="8" t="str">
        <f>IFERROR(__xludf.DUMMYFUNCTION("""COMPUTED_VALUE"""),"Intimate")</f>
        <v>Intimate</v>
      </c>
      <c r="K606" s="8" t="str">
        <f>IFERROR(__xludf.DUMMYFUNCTION("""COMPUTED_VALUE"""),"Legwear")</f>
        <v>Legwear</v>
      </c>
    </row>
    <row r="607">
      <c r="A607" s="8">
        <f>IFERROR(__xludf.DUMMYFUNCTION("""COMPUTED_VALUE"""),774.0)</f>
        <v>774</v>
      </c>
      <c r="B607" s="8">
        <f>IFERROR(__xludf.DUMMYFUNCTION("""COMPUTED_VALUE"""),1110.0)</f>
        <v>1110</v>
      </c>
      <c r="C607" s="8">
        <f>IFERROR(__xludf.DUMMYFUNCTION("""COMPUTED_VALUE"""),42.0)</f>
        <v>42</v>
      </c>
      <c r="D607" s="8"/>
      <c r="E607" s="8" t="str">
        <f>IFERROR(__xludf.DUMMYFUNCTION("""COMPUTED_VALUE"""),"Adorable, comfortable dress. the denim is super soft with a bit of stretch. please be advised this dress runs very large, especially through the hips. i normally wear a size 12 and the large was swimming on me. i will definitely be exchanging it for a sma"&amp;"ller size.")</f>
        <v>Adorable, comfortable dress. the denim is super soft with a bit of stretch. please be advised this dress runs very large, especially through the hips. i normally wear a size 12 and the large was swimming on me. i will definitely be exchanging it for a smaller size.</v>
      </c>
      <c r="F607" s="8">
        <f>IFERROR(__xludf.DUMMYFUNCTION("""COMPUTED_VALUE"""),5.0)</f>
        <v>5</v>
      </c>
      <c r="G607" s="8">
        <f>IFERROR(__xludf.DUMMYFUNCTION("""COMPUTED_VALUE"""),1.0)</f>
        <v>1</v>
      </c>
      <c r="H607" s="8">
        <f>IFERROR(__xludf.DUMMYFUNCTION("""COMPUTED_VALUE"""),29.0)</f>
        <v>29</v>
      </c>
      <c r="I607" s="8" t="str">
        <f>IFERROR(__xludf.DUMMYFUNCTION("""COMPUTED_VALUE"""),"General Petite")</f>
        <v>General Petite</v>
      </c>
      <c r="J607" s="8" t="str">
        <f>IFERROR(__xludf.DUMMYFUNCTION("""COMPUTED_VALUE"""),"Dresses")</f>
        <v>Dresses</v>
      </c>
      <c r="K607" s="8" t="str">
        <f>IFERROR(__xludf.DUMMYFUNCTION("""COMPUTED_VALUE"""),"Dresses")</f>
        <v>Dresses</v>
      </c>
    </row>
    <row r="608">
      <c r="A608" s="8">
        <f>IFERROR(__xludf.DUMMYFUNCTION("""COMPUTED_VALUE"""),776.0)</f>
        <v>776</v>
      </c>
      <c r="B608" s="8">
        <f>IFERROR(__xludf.DUMMYFUNCTION("""COMPUTED_VALUE"""),873.0)</f>
        <v>873</v>
      </c>
      <c r="C608" s="8">
        <f>IFERROR(__xludf.DUMMYFUNCTION("""COMPUTED_VALUE"""),52.0)</f>
        <v>52</v>
      </c>
      <c r="D608" s="8" t="str">
        <f>IFERROR(__xludf.DUMMYFUNCTION("""COMPUTED_VALUE"""),"Modern take on 1950's vibe")</f>
        <v>Modern take on 1950's vibe</v>
      </c>
      <c r="E608" s="8" t="str">
        <f>IFERROR(__xludf.DUMMYFUNCTION("""COMPUTED_VALUE"""),"I am long waisted and 5' 120 lbs. 34c. that being said, i purchased a size s regular and it fit perfectly. a petite would have been far too short. so i would recommend a regular size if you're a petite. also i have a big chest and this was very flattering"&amp;". because of my chest size i usually do best with a v neck, but this classic peter pan collar looks great! i purchased the black. i agree with one of the reviewers who said that the nude color looked like a mess of a weave. the black and white o")</f>
        <v>I am long waisted and 5' 120 lbs. 34c. that being said, i purchased a size s regular and it fit perfectly. a petite would have been far too short. so i would recommend a regular size if you're a petite. also i have a big chest and this was very flattering. because of my chest size i usually do best with a v neck, but this classic peter pan collar looks great! i purchased the black. i agree with one of the reviewers who said that the nude color looked like a mess of a weave. the black and white o</v>
      </c>
      <c r="F608" s="8">
        <f>IFERROR(__xludf.DUMMYFUNCTION("""COMPUTED_VALUE"""),5.0)</f>
        <v>5</v>
      </c>
      <c r="G608" s="8">
        <f>IFERROR(__xludf.DUMMYFUNCTION("""COMPUTED_VALUE"""),1.0)</f>
        <v>1</v>
      </c>
      <c r="H608" s="8">
        <f>IFERROR(__xludf.DUMMYFUNCTION("""COMPUTED_VALUE"""),1.0)</f>
        <v>1</v>
      </c>
      <c r="I608" s="8" t="str">
        <f>IFERROR(__xludf.DUMMYFUNCTION("""COMPUTED_VALUE"""),"General")</f>
        <v>General</v>
      </c>
      <c r="J608" s="8" t="str">
        <f>IFERROR(__xludf.DUMMYFUNCTION("""COMPUTED_VALUE"""),"Tops")</f>
        <v>Tops</v>
      </c>
      <c r="K608" s="8" t="str">
        <f>IFERROR(__xludf.DUMMYFUNCTION("""COMPUTED_VALUE"""),"Knits")</f>
        <v>Knits</v>
      </c>
    </row>
    <row r="609">
      <c r="A609" s="8">
        <f>IFERROR(__xludf.DUMMYFUNCTION("""COMPUTED_VALUE"""),777.0)</f>
        <v>777</v>
      </c>
      <c r="B609" s="8">
        <f>IFERROR(__xludf.DUMMYFUNCTION("""COMPUTED_VALUE"""),895.0)</f>
        <v>895</v>
      </c>
      <c r="C609" s="8">
        <f>IFERROR(__xludf.DUMMYFUNCTION("""COMPUTED_VALUE"""),38.0)</f>
        <v>38</v>
      </c>
      <c r="D609" s="8" t="str">
        <f>IFERROR(__xludf.DUMMYFUNCTION("""COMPUTED_VALUE"""),"Most beautiful sweater that i own!")</f>
        <v>Most beautiful sweater that i own!</v>
      </c>
      <c r="E609" s="8" t="str">
        <f>IFERROR(__xludf.DUMMYFUNCTION("""COMPUTED_VALUE"""),"This is a bit pricey, but it's the most beautiful sweater that i own. it fits beautifully, and the material is soft, not itchy, which is important for a sweater with a cowl neck. the cowl sits beautifully, no matter how you ""fold"" it. and, the pattern b"&amp;"oth at the neck and the bottom is vibrant and bright, and is just lovely. i ordered a small and it covers my butt, which is perfect for leggings, or even with tights and boots. it's not shapeless, but seems to graze your thighs, and has a mild tur")</f>
        <v>This is a bit pricey, but it's the most beautiful sweater that i own. it fits beautifully, and the material is soft, not itchy, which is important for a sweater with a cowl neck. the cowl sits beautifully, no matter how you "fold" it. and, the pattern both at the neck and the bottom is vibrant and bright, and is just lovely. i ordered a small and it covers my butt, which is perfect for leggings, or even with tights and boots. it's not shapeless, but seems to graze your thighs, and has a mild tur</v>
      </c>
      <c r="F609" s="8">
        <f>IFERROR(__xludf.DUMMYFUNCTION("""COMPUTED_VALUE"""),5.0)</f>
        <v>5</v>
      </c>
      <c r="G609" s="8">
        <f>IFERROR(__xludf.DUMMYFUNCTION("""COMPUTED_VALUE"""),1.0)</f>
        <v>1</v>
      </c>
      <c r="H609" s="8">
        <f>IFERROR(__xludf.DUMMYFUNCTION("""COMPUTED_VALUE"""),3.0)</f>
        <v>3</v>
      </c>
      <c r="I609" s="8" t="str">
        <f>IFERROR(__xludf.DUMMYFUNCTION("""COMPUTED_VALUE"""),"General")</f>
        <v>General</v>
      </c>
      <c r="J609" s="8" t="str">
        <f>IFERROR(__xludf.DUMMYFUNCTION("""COMPUTED_VALUE"""),"Tops")</f>
        <v>Tops</v>
      </c>
      <c r="K609" s="8" t="str">
        <f>IFERROR(__xludf.DUMMYFUNCTION("""COMPUTED_VALUE"""),"Fine gauge")</f>
        <v>Fine gauge</v>
      </c>
    </row>
    <row r="610">
      <c r="A610" s="8">
        <f>IFERROR(__xludf.DUMMYFUNCTION("""COMPUTED_VALUE"""),778.0)</f>
        <v>778</v>
      </c>
      <c r="B610" s="8">
        <f>IFERROR(__xludf.DUMMYFUNCTION("""COMPUTED_VALUE"""),895.0)</f>
        <v>895</v>
      </c>
      <c r="C610" s="8">
        <f>IFERROR(__xludf.DUMMYFUNCTION("""COMPUTED_VALUE"""),25.0)</f>
        <v>25</v>
      </c>
      <c r="D610" s="8" t="str">
        <f>IFERROR(__xludf.DUMMYFUNCTION("""COMPUTED_VALUE"""),"Perfect")</f>
        <v>Perfect</v>
      </c>
      <c r="E610" s="8" t="str">
        <f>IFERROR(__xludf.DUMMYFUNCTION("""COMPUTED_VALUE"""),"This product i better than the pic. nice fit and a nice throw on with boots nap glad i took a chance one it")</f>
        <v>This product i better than the pic. nice fit and a nice throw on with boots nap glad i took a chance one it</v>
      </c>
      <c r="F610" s="8">
        <f>IFERROR(__xludf.DUMMYFUNCTION("""COMPUTED_VALUE"""),5.0)</f>
        <v>5</v>
      </c>
      <c r="G610" s="8">
        <f>IFERROR(__xludf.DUMMYFUNCTION("""COMPUTED_VALUE"""),1.0)</f>
        <v>1</v>
      </c>
      <c r="H610" s="8">
        <f>IFERROR(__xludf.DUMMYFUNCTION("""COMPUTED_VALUE"""),1.0)</f>
        <v>1</v>
      </c>
      <c r="I610" s="8" t="str">
        <f>IFERROR(__xludf.DUMMYFUNCTION("""COMPUTED_VALUE"""),"General")</f>
        <v>General</v>
      </c>
      <c r="J610" s="8" t="str">
        <f>IFERROR(__xludf.DUMMYFUNCTION("""COMPUTED_VALUE"""),"Tops")</f>
        <v>Tops</v>
      </c>
      <c r="K610" s="8" t="str">
        <f>IFERROR(__xludf.DUMMYFUNCTION("""COMPUTED_VALUE"""),"Fine gauge")</f>
        <v>Fine gauge</v>
      </c>
    </row>
    <row r="611">
      <c r="A611" s="8">
        <f>IFERROR(__xludf.DUMMYFUNCTION("""COMPUTED_VALUE"""),779.0)</f>
        <v>779</v>
      </c>
      <c r="B611" s="8">
        <f>IFERROR(__xludf.DUMMYFUNCTION("""COMPUTED_VALUE"""),895.0)</f>
        <v>895</v>
      </c>
      <c r="C611" s="8">
        <f>IFERROR(__xludf.DUMMYFUNCTION("""COMPUTED_VALUE"""),56.0)</f>
        <v>56</v>
      </c>
      <c r="D611" s="8" t="str">
        <f>IFERROR(__xludf.DUMMYFUNCTION("""COMPUTED_VALUE"""),"Imperial garden")</f>
        <v>Imperial garden</v>
      </c>
      <c r="E611" s="8" t="str">
        <f>IFERROR(__xludf.DUMMYFUNCTION("""COMPUTED_VALUE"""),"I bought this a month ago and returned it. but kept thinking about it so ordered it. it arrived on wed and i wore it on thursday as a dress with tights. i got so many compliments on it. it was perfect for the cool weather and was not too warm.
this knitt"&amp;"er thinks the quality of the jacquard knit is excellent. yarn used is top notch.")</f>
        <v>I bought this a month ago and returned it. but kept thinking about it so ordered it. it arrived on wed and i wore it on thursday as a dress with tights. i got so many compliments on it. it was perfect for the cool weather and was not too warm.
this knitter thinks the quality of the jacquard knit is excellent. yarn used is top notch.</v>
      </c>
      <c r="F611" s="8">
        <f>IFERROR(__xludf.DUMMYFUNCTION("""COMPUTED_VALUE"""),5.0)</f>
        <v>5</v>
      </c>
      <c r="G611" s="8">
        <f>IFERROR(__xludf.DUMMYFUNCTION("""COMPUTED_VALUE"""),1.0)</f>
        <v>1</v>
      </c>
      <c r="H611" s="8">
        <f>IFERROR(__xludf.DUMMYFUNCTION("""COMPUTED_VALUE"""),1.0)</f>
        <v>1</v>
      </c>
      <c r="I611" s="8" t="str">
        <f>IFERROR(__xludf.DUMMYFUNCTION("""COMPUTED_VALUE"""),"General")</f>
        <v>General</v>
      </c>
      <c r="J611" s="8" t="str">
        <f>IFERROR(__xludf.DUMMYFUNCTION("""COMPUTED_VALUE"""),"Tops")</f>
        <v>Tops</v>
      </c>
      <c r="K611" s="8" t="str">
        <f>IFERROR(__xludf.DUMMYFUNCTION("""COMPUTED_VALUE"""),"Fine gauge")</f>
        <v>Fine gauge</v>
      </c>
    </row>
    <row r="612">
      <c r="A612" s="8">
        <f>IFERROR(__xludf.DUMMYFUNCTION("""COMPUTED_VALUE"""),781.0)</f>
        <v>781</v>
      </c>
      <c r="B612" s="8">
        <f>IFERROR(__xludf.DUMMYFUNCTION("""COMPUTED_VALUE"""),895.0)</f>
        <v>895</v>
      </c>
      <c r="C612" s="8">
        <f>IFERROR(__xludf.DUMMYFUNCTION("""COMPUTED_VALUE"""),23.0)</f>
        <v>23</v>
      </c>
      <c r="D612" s="8" t="str">
        <f>IFERROR(__xludf.DUMMYFUNCTION("""COMPUTED_VALUE"""),"Amazing")</f>
        <v>Amazing</v>
      </c>
      <c r="E612" s="8" t="str">
        <f>IFERROR(__xludf.DUMMYFUNCTION("""COMPUTED_VALUE"""),"I am six feet tall so this will definitely be a tunic with jeans or leggings but if you are shorter it could easily be a dress. lovely pattern with soft cozy fabric. nice weight and hangs well. definitely a keeper!")</f>
        <v>I am six feet tall so this will definitely be a tunic with jeans or leggings but if you are shorter it could easily be a dress. lovely pattern with soft cozy fabric. nice weight and hangs well. definitely a keeper!</v>
      </c>
      <c r="F612" s="8">
        <f>IFERROR(__xludf.DUMMYFUNCTION("""COMPUTED_VALUE"""),5.0)</f>
        <v>5</v>
      </c>
      <c r="G612" s="8">
        <f>IFERROR(__xludf.DUMMYFUNCTION("""COMPUTED_VALUE"""),1.0)</f>
        <v>1</v>
      </c>
      <c r="H612" s="8">
        <f>IFERROR(__xludf.DUMMYFUNCTION("""COMPUTED_VALUE"""),0.0)</f>
        <v>0</v>
      </c>
      <c r="I612" s="8" t="str">
        <f>IFERROR(__xludf.DUMMYFUNCTION("""COMPUTED_VALUE"""),"General")</f>
        <v>General</v>
      </c>
      <c r="J612" s="8" t="str">
        <f>IFERROR(__xludf.DUMMYFUNCTION("""COMPUTED_VALUE"""),"Tops")</f>
        <v>Tops</v>
      </c>
      <c r="K612" s="8" t="str">
        <f>IFERROR(__xludf.DUMMYFUNCTION("""COMPUTED_VALUE"""),"Fine gauge")</f>
        <v>Fine gauge</v>
      </c>
    </row>
    <row r="613">
      <c r="A613" s="8">
        <f>IFERROR(__xludf.DUMMYFUNCTION("""COMPUTED_VALUE"""),784.0)</f>
        <v>784</v>
      </c>
      <c r="B613" s="8">
        <f>IFERROR(__xludf.DUMMYFUNCTION("""COMPUTED_VALUE"""),850.0)</f>
        <v>850</v>
      </c>
      <c r="C613" s="8">
        <f>IFERROR(__xludf.DUMMYFUNCTION("""COMPUTED_VALUE"""),45.0)</f>
        <v>45</v>
      </c>
      <c r="D613" s="8" t="str">
        <f>IFERROR(__xludf.DUMMYFUNCTION("""COMPUTED_VALUE"""),"Good basic - but sheer")</f>
        <v>Good basic - but sheer</v>
      </c>
      <c r="E613" s="8" t="str">
        <f>IFERROR(__xludf.DUMMYFUNCTION("""COMPUTED_VALUE"""),"I loved this in the store, but had to order my size. it is true to size - a great length - but the material is very thin and very sheer. i don't think it will carry over into fall - it is more of a summer weight fabric. it is also a little pricey for that"&amp;" same reason - still - its a great basic and i will keep my eye out for it to go on sale.")</f>
        <v>I loved this in the store, but had to order my size. it is true to size - a great length - but the material is very thin and very sheer. i don't think it will carry over into fall - it is more of a summer weight fabric. it is also a little pricey for that same reason - still - its a great basic and i will keep my eye out for it to go on sale.</v>
      </c>
      <c r="F613" s="8">
        <f>IFERROR(__xludf.DUMMYFUNCTION("""COMPUTED_VALUE"""),4.0)</f>
        <v>4</v>
      </c>
      <c r="G613" s="8">
        <f>IFERROR(__xludf.DUMMYFUNCTION("""COMPUTED_VALUE"""),1.0)</f>
        <v>1</v>
      </c>
      <c r="H613" s="8">
        <f>IFERROR(__xludf.DUMMYFUNCTION("""COMPUTED_VALUE"""),0.0)</f>
        <v>0</v>
      </c>
      <c r="I613" s="8" t="str">
        <f>IFERROR(__xludf.DUMMYFUNCTION("""COMPUTED_VALUE"""),"General")</f>
        <v>General</v>
      </c>
      <c r="J613" s="8" t="str">
        <f>IFERROR(__xludf.DUMMYFUNCTION("""COMPUTED_VALUE"""),"Tops")</f>
        <v>Tops</v>
      </c>
      <c r="K613" s="8" t="str">
        <f>IFERROR(__xludf.DUMMYFUNCTION("""COMPUTED_VALUE"""),"Blouses")</f>
        <v>Blouses</v>
      </c>
    </row>
    <row r="614">
      <c r="A614" s="8">
        <f>IFERROR(__xludf.DUMMYFUNCTION("""COMPUTED_VALUE"""),785.0)</f>
        <v>785</v>
      </c>
      <c r="B614" s="8">
        <f>IFERROR(__xludf.DUMMYFUNCTION("""COMPUTED_VALUE"""),945.0)</f>
        <v>945</v>
      </c>
      <c r="C614" s="8">
        <f>IFERROR(__xludf.DUMMYFUNCTION("""COMPUTED_VALUE"""),33.0)</f>
        <v>33</v>
      </c>
      <c r="D614" s="8" t="str">
        <f>IFERROR(__xludf.DUMMYFUNCTION("""COMPUTED_VALUE"""),"Effortlessly chic!")</f>
        <v>Effortlessly chic!</v>
      </c>
      <c r="E614" s="8" t="str">
        <f>IFERROR(__xludf.DUMMYFUNCTION("""COMPUTED_VALUE"""),"I absolutely love this sweater! first of all, it's extremely comfortable. i have been wearing it around the house all day and have no desire to take it off. it's cute as a casual around the house top, but also adorable dressed up with jeans and boots. it "&amp;"drapes beautifully for an effortless chic look. the color is pretty close to the photo and very nice in person. the possibilities are endless for colors to accessorize and match with. this sweater is definitely cropped in length, which i normall")</f>
        <v>I absolutely love this sweater! first of all, it's extremely comfortable. i have been wearing it around the house all day and have no desire to take it off. it's cute as a casual around the house top, but also adorable dressed up with jeans and boots. it drapes beautifully for an effortless chic look. the color is pretty close to the photo and very nice in person. the possibilities are endless for colors to accessorize and match with. this sweater is definitely cropped in length, which i normall</v>
      </c>
      <c r="F614" s="8">
        <f>IFERROR(__xludf.DUMMYFUNCTION("""COMPUTED_VALUE"""),5.0)</f>
        <v>5</v>
      </c>
      <c r="G614" s="8">
        <f>IFERROR(__xludf.DUMMYFUNCTION("""COMPUTED_VALUE"""),1.0)</f>
        <v>1</v>
      </c>
      <c r="H614" s="8">
        <f>IFERROR(__xludf.DUMMYFUNCTION("""COMPUTED_VALUE"""),0.0)</f>
        <v>0</v>
      </c>
      <c r="I614" s="8" t="str">
        <f>IFERROR(__xludf.DUMMYFUNCTION("""COMPUTED_VALUE"""),"General")</f>
        <v>General</v>
      </c>
      <c r="J614" s="8" t="str">
        <f>IFERROR(__xludf.DUMMYFUNCTION("""COMPUTED_VALUE"""),"Tops")</f>
        <v>Tops</v>
      </c>
      <c r="K614" s="8" t="str">
        <f>IFERROR(__xludf.DUMMYFUNCTION("""COMPUTED_VALUE"""),"Sweaters")</f>
        <v>Sweaters</v>
      </c>
    </row>
    <row r="615">
      <c r="A615" s="8">
        <f>IFERROR(__xludf.DUMMYFUNCTION("""COMPUTED_VALUE"""),786.0)</f>
        <v>786</v>
      </c>
      <c r="B615" s="8">
        <f>IFERROR(__xludf.DUMMYFUNCTION("""COMPUTED_VALUE"""),895.0)</f>
        <v>895</v>
      </c>
      <c r="C615" s="8">
        <f>IFERROR(__xludf.DUMMYFUNCTION("""COMPUTED_VALUE"""),56.0)</f>
        <v>56</v>
      </c>
      <c r="D615" s="8" t="str">
        <f>IFERROR(__xludf.DUMMYFUNCTION("""COMPUTED_VALUE"""),"Don't trust anyone")</f>
        <v>Don't trust anyone</v>
      </c>
      <c r="E615" s="8" t="str">
        <f>IFERROR(__xludf.DUMMYFUNCTION("""COMPUTED_VALUE"""),"Haha, the unifying theme in these reviews seems to be don't trust the picture! i was misled by the neckline, i thought i saw a structured kind of asian-inspired mockneck/funnel thing and instead the top has a foldover cowl which, with my full bust underne"&amp;"ath it, refuses to pose as a mockneck for me. overall there isn't much structure here at all. but the print is beautiful and the sweater cozy without being itchy.")</f>
        <v>Haha, the unifying theme in these reviews seems to be don't trust the picture! i was misled by the neckline, i thought i saw a structured kind of asian-inspired mockneck/funnel thing and instead the top has a foldover cowl which, with my full bust underneath it, refuses to pose as a mockneck for me. overall there isn't much structure here at all. but the print is beautiful and the sweater cozy without being itchy.</v>
      </c>
      <c r="F615" s="8">
        <f>IFERROR(__xludf.DUMMYFUNCTION("""COMPUTED_VALUE"""),4.0)</f>
        <v>4</v>
      </c>
      <c r="G615" s="8">
        <f>IFERROR(__xludf.DUMMYFUNCTION("""COMPUTED_VALUE"""),1.0)</f>
        <v>1</v>
      </c>
      <c r="H615" s="8">
        <f>IFERROR(__xludf.DUMMYFUNCTION("""COMPUTED_VALUE"""),1.0)</f>
        <v>1</v>
      </c>
      <c r="I615" s="8" t="str">
        <f>IFERROR(__xludf.DUMMYFUNCTION("""COMPUTED_VALUE"""),"General")</f>
        <v>General</v>
      </c>
      <c r="J615" s="8" t="str">
        <f>IFERROR(__xludf.DUMMYFUNCTION("""COMPUTED_VALUE"""),"Tops")</f>
        <v>Tops</v>
      </c>
      <c r="K615" s="8" t="str">
        <f>IFERROR(__xludf.DUMMYFUNCTION("""COMPUTED_VALUE"""),"Fine gauge")</f>
        <v>Fine gauge</v>
      </c>
    </row>
    <row r="616">
      <c r="A616" s="8">
        <f>IFERROR(__xludf.DUMMYFUNCTION("""COMPUTED_VALUE"""),788.0)</f>
        <v>788</v>
      </c>
      <c r="B616" s="8">
        <f>IFERROR(__xludf.DUMMYFUNCTION("""COMPUTED_VALUE"""),850.0)</f>
        <v>850</v>
      </c>
      <c r="C616" s="8">
        <f>IFERROR(__xludf.DUMMYFUNCTION("""COMPUTED_VALUE"""),49.0)</f>
        <v>49</v>
      </c>
      <c r="D616" s="8" t="str">
        <f>IFERROR(__xludf.DUMMYFUNCTION("""COMPUTED_VALUE"""),"Happyinpdx")</f>
        <v>Happyinpdx</v>
      </c>
      <c r="E616" s="8" t="str">
        <f>IFERROR(__xludf.DUMMYFUNCTION("""COMPUTED_VALUE"""),"Has quickly become one of my 'go to' tops. comfortable, cute, looks just like the picture.")</f>
        <v>Has quickly become one of my 'go to' tops. comfortable, cute, looks just like the picture.</v>
      </c>
      <c r="F616" s="8">
        <f>IFERROR(__xludf.DUMMYFUNCTION("""COMPUTED_VALUE"""),5.0)</f>
        <v>5</v>
      </c>
      <c r="G616" s="8">
        <f>IFERROR(__xludf.DUMMYFUNCTION("""COMPUTED_VALUE"""),1.0)</f>
        <v>1</v>
      </c>
      <c r="H616" s="8">
        <f>IFERROR(__xludf.DUMMYFUNCTION("""COMPUTED_VALUE"""),1.0)</f>
        <v>1</v>
      </c>
      <c r="I616" s="8" t="str">
        <f>IFERROR(__xludf.DUMMYFUNCTION("""COMPUTED_VALUE"""),"General")</f>
        <v>General</v>
      </c>
      <c r="J616" s="8" t="str">
        <f>IFERROR(__xludf.DUMMYFUNCTION("""COMPUTED_VALUE"""),"Tops")</f>
        <v>Tops</v>
      </c>
      <c r="K616" s="8" t="str">
        <f>IFERROR(__xludf.DUMMYFUNCTION("""COMPUTED_VALUE"""),"Blouses")</f>
        <v>Blouses</v>
      </c>
    </row>
    <row r="617">
      <c r="A617" s="8">
        <f>IFERROR(__xludf.DUMMYFUNCTION("""COMPUTED_VALUE"""),789.0)</f>
        <v>789</v>
      </c>
      <c r="B617" s="8">
        <f>IFERROR(__xludf.DUMMYFUNCTION("""COMPUTED_VALUE"""),850.0)</f>
        <v>850</v>
      </c>
      <c r="C617" s="8">
        <f>IFERROR(__xludf.DUMMYFUNCTION("""COMPUTED_VALUE"""),36.0)</f>
        <v>36</v>
      </c>
      <c r="D617" s="8" t="str">
        <f>IFERROR(__xludf.DUMMYFUNCTION("""COMPUTED_VALUE"""),"Great shirt")</f>
        <v>Great shirt</v>
      </c>
      <c r="E617" s="8" t="str">
        <f>IFERROR(__xludf.DUMMYFUNCTION("""COMPUTED_VALUE"""),"It is the perfect top to wear in the summer, it is nice and you can be somewhat dressy or super casual. i don't like anything too tight around my stomach and this has a nice flow with just the right amount of material.")</f>
        <v>It is the perfect top to wear in the summer, it is nice and you can be somewhat dressy or super casual. i don't like anything too tight around my stomach and this has a nice flow with just the right amount of material.</v>
      </c>
      <c r="F617" s="8">
        <f>IFERROR(__xludf.DUMMYFUNCTION("""COMPUTED_VALUE"""),4.0)</f>
        <v>4</v>
      </c>
      <c r="G617" s="8">
        <f>IFERROR(__xludf.DUMMYFUNCTION("""COMPUTED_VALUE"""),1.0)</f>
        <v>1</v>
      </c>
      <c r="H617" s="8">
        <f>IFERROR(__xludf.DUMMYFUNCTION("""COMPUTED_VALUE"""),0.0)</f>
        <v>0</v>
      </c>
      <c r="I617" s="8" t="str">
        <f>IFERROR(__xludf.DUMMYFUNCTION("""COMPUTED_VALUE"""),"General")</f>
        <v>General</v>
      </c>
      <c r="J617" s="8" t="str">
        <f>IFERROR(__xludf.DUMMYFUNCTION("""COMPUTED_VALUE"""),"Tops")</f>
        <v>Tops</v>
      </c>
      <c r="K617" s="8" t="str">
        <f>IFERROR(__xludf.DUMMYFUNCTION("""COMPUTED_VALUE"""),"Blouses")</f>
        <v>Blouses</v>
      </c>
    </row>
    <row r="618">
      <c r="A618" s="8">
        <f>IFERROR(__xludf.DUMMYFUNCTION("""COMPUTED_VALUE"""),791.0)</f>
        <v>791</v>
      </c>
      <c r="B618" s="8">
        <f>IFERROR(__xludf.DUMMYFUNCTION("""COMPUTED_VALUE"""),1072.0)</f>
        <v>1072</v>
      </c>
      <c r="C618" s="8">
        <f>IFERROR(__xludf.DUMMYFUNCTION("""COMPUTED_VALUE"""),35.0)</f>
        <v>35</v>
      </c>
      <c r="D618" s="8" t="str">
        <f>IFERROR(__xludf.DUMMYFUNCTION("""COMPUTED_VALUE"""),"Stunning! just buy a belt with it.")</f>
        <v>Stunning! just buy a belt with it.</v>
      </c>
      <c r="E618" s="8" t="str">
        <f>IFERROR(__xludf.DUMMYFUNCTION("""COMPUTED_VALUE"""),"I saw this dress in the window at the portland store, and had to try it on. i was a bit horrified at how huge it was once i got it on--sort of like wearing a tent. no shape at all. one of the awesome dressing room attendants brought me a belt, and suddenl"&amp;"y it was the most beautiful dress i've ever had on. it's romantic, elegant, feminine... the fabric is so lovely and the flowy sleeves with the lower scooped back just look fantastic. i can't say enough about how amazing it makes me feel. i wore")</f>
        <v>I saw this dress in the window at the portland store, and had to try it on. i was a bit horrified at how huge it was once i got it on--sort of like wearing a tent. no shape at all. one of the awesome dressing room attendants brought me a belt, and suddenly it was the most beautiful dress i've ever had on. it's romantic, elegant, feminine... the fabric is so lovely and the flowy sleeves with the lower scooped back just look fantastic. i can't say enough about how amazing it makes me feel. i wore</v>
      </c>
      <c r="F618" s="8">
        <f>IFERROR(__xludf.DUMMYFUNCTION("""COMPUTED_VALUE"""),5.0)</f>
        <v>5</v>
      </c>
      <c r="G618" s="8">
        <f>IFERROR(__xludf.DUMMYFUNCTION("""COMPUTED_VALUE"""),1.0)</f>
        <v>1</v>
      </c>
      <c r="H618" s="8">
        <f>IFERROR(__xludf.DUMMYFUNCTION("""COMPUTED_VALUE"""),3.0)</f>
        <v>3</v>
      </c>
      <c r="I618" s="8" t="str">
        <f>IFERROR(__xludf.DUMMYFUNCTION("""COMPUTED_VALUE"""),"General")</f>
        <v>General</v>
      </c>
      <c r="J618" s="8" t="str">
        <f>IFERROR(__xludf.DUMMYFUNCTION("""COMPUTED_VALUE"""),"Dresses")</f>
        <v>Dresses</v>
      </c>
      <c r="K618" s="8" t="str">
        <f>IFERROR(__xludf.DUMMYFUNCTION("""COMPUTED_VALUE"""),"Dresses")</f>
        <v>Dresses</v>
      </c>
    </row>
    <row r="619">
      <c r="A619" s="8">
        <f>IFERROR(__xludf.DUMMYFUNCTION("""COMPUTED_VALUE"""),792.0)</f>
        <v>792</v>
      </c>
      <c r="B619" s="8">
        <f>IFERROR(__xludf.DUMMYFUNCTION("""COMPUTED_VALUE"""),805.0)</f>
        <v>805</v>
      </c>
      <c r="C619" s="8">
        <f>IFERROR(__xludf.DUMMYFUNCTION("""COMPUTED_VALUE"""),66.0)</f>
        <v>66</v>
      </c>
      <c r="D619" s="8" t="str">
        <f>IFERROR(__xludf.DUMMYFUNCTION("""COMPUTED_VALUE"""),"Runs big")</f>
        <v>Runs big</v>
      </c>
      <c r="E619" s="8" t="str">
        <f>IFERROR(__xludf.DUMMYFUNCTION("""COMPUTED_VALUE"""),"I ordered size large and find it too boxy and long. love the hem, although the top is too long in this size so it's a bit hard to judge how it'll look in the right size. the sleeves are cute and different, a bit wide and flowing. be warned, it's sheer whi"&amp;"ch is more apparent from the side view. i could clearly see the garment cleaning instruction tag through the bottom side hem. has potential but not enough for me to reorder in a smaller size.")</f>
        <v>I ordered size large and find it too boxy and long. love the hem, although the top is too long in this size so it's a bit hard to judge how it'll look in the right size. the sleeves are cute and different, a bit wide and flowing. be warned, it's sheer which is more apparent from the side view. i could clearly see the garment cleaning instruction tag through the bottom side hem. has potential but not enough for me to reorder in a smaller size.</v>
      </c>
      <c r="F619" s="8">
        <f>IFERROR(__xludf.DUMMYFUNCTION("""COMPUTED_VALUE"""),4.0)</f>
        <v>4</v>
      </c>
      <c r="G619" s="8">
        <f>IFERROR(__xludf.DUMMYFUNCTION("""COMPUTED_VALUE"""),1.0)</f>
        <v>1</v>
      </c>
      <c r="H619" s="8">
        <f>IFERROR(__xludf.DUMMYFUNCTION("""COMPUTED_VALUE"""),3.0)</f>
        <v>3</v>
      </c>
      <c r="I619" s="8" t="str">
        <f>IFERROR(__xludf.DUMMYFUNCTION("""COMPUTED_VALUE"""),"Initmates")</f>
        <v>Initmates</v>
      </c>
      <c r="J619" s="8" t="str">
        <f>IFERROR(__xludf.DUMMYFUNCTION("""COMPUTED_VALUE"""),"Intimate")</f>
        <v>Intimate</v>
      </c>
      <c r="K619" s="8" t="str">
        <f>IFERROR(__xludf.DUMMYFUNCTION("""COMPUTED_VALUE"""),"Lounge")</f>
        <v>Lounge</v>
      </c>
    </row>
    <row r="620">
      <c r="A620" s="8">
        <f>IFERROR(__xludf.DUMMYFUNCTION("""COMPUTED_VALUE"""),795.0)</f>
        <v>795</v>
      </c>
      <c r="B620" s="8">
        <f>IFERROR(__xludf.DUMMYFUNCTION("""COMPUTED_VALUE"""),833.0)</f>
        <v>833</v>
      </c>
      <c r="C620" s="8">
        <f>IFERROR(__xludf.DUMMYFUNCTION("""COMPUTED_VALUE"""),43.0)</f>
        <v>43</v>
      </c>
      <c r="D620" s="8" t="str">
        <f>IFERROR(__xludf.DUMMYFUNCTION("""COMPUTED_VALUE"""),"Feminine and tts")</f>
        <v>Feminine and tts</v>
      </c>
      <c r="E620" s="8" t="str">
        <f>IFERROR(__xludf.DUMMYFUNCTION("""COMPUTED_VALUE"""),"Love this blouse! the top is true to size...i'm generally a m and decided to try a pl which fit great. the pm was just a bit snug...looked fine but i felt a little constricted in the bust area and thought the pl was better for me. i'm 5'1"" for reference "&amp;"and curvier on top than on bottom. i wore a nude bra when trying on and it totally worked with this blouse. the lace detail is a bit sheer in some parts near the bust line but nothing too inappropriate. i can't wait to wear it down to dinner for")</f>
        <v>Love this blouse! the top is true to size...i'm generally a m and decided to try a pl which fit great. the pm was just a bit snug...looked fine but i felt a little constricted in the bust area and thought the pl was better for me. i'm 5'1" for reference and curvier on top than on bottom. i wore a nude bra when trying on and it totally worked with this blouse. the lace detail is a bit sheer in some parts near the bust line but nothing too inappropriate. i can't wait to wear it down to dinner for</v>
      </c>
      <c r="F620" s="8">
        <f>IFERROR(__xludf.DUMMYFUNCTION("""COMPUTED_VALUE"""),5.0)</f>
        <v>5</v>
      </c>
      <c r="G620" s="8">
        <f>IFERROR(__xludf.DUMMYFUNCTION("""COMPUTED_VALUE"""),1.0)</f>
        <v>1</v>
      </c>
      <c r="H620" s="8">
        <f>IFERROR(__xludf.DUMMYFUNCTION("""COMPUTED_VALUE"""),3.0)</f>
        <v>3</v>
      </c>
      <c r="I620" s="8" t="str">
        <f>IFERROR(__xludf.DUMMYFUNCTION("""COMPUTED_VALUE"""),"General Petite")</f>
        <v>General Petite</v>
      </c>
      <c r="J620" s="8" t="str">
        <f>IFERROR(__xludf.DUMMYFUNCTION("""COMPUTED_VALUE"""),"Tops")</f>
        <v>Tops</v>
      </c>
      <c r="K620" s="8" t="str">
        <f>IFERROR(__xludf.DUMMYFUNCTION("""COMPUTED_VALUE"""),"Blouses")</f>
        <v>Blouses</v>
      </c>
    </row>
    <row r="621">
      <c r="A621" s="8">
        <f>IFERROR(__xludf.DUMMYFUNCTION("""COMPUTED_VALUE"""),796.0)</f>
        <v>796</v>
      </c>
      <c r="B621" s="8">
        <f>IFERROR(__xludf.DUMMYFUNCTION("""COMPUTED_VALUE"""),833.0)</f>
        <v>833</v>
      </c>
      <c r="C621" s="8">
        <f>IFERROR(__xludf.DUMMYFUNCTION("""COMPUTED_VALUE"""),54.0)</f>
        <v>54</v>
      </c>
      <c r="D621" s="8" t="str">
        <f>IFERROR(__xludf.DUMMYFUNCTION("""COMPUTED_VALUE"""),"Beautiful blouse")</f>
        <v>Beautiful blouse</v>
      </c>
      <c r="E621" s="8" t="str">
        <f>IFERROR(__xludf.DUMMYFUNCTION("""COMPUTED_VALUE"""),"This is a beautiful and fashionable blouse. it feels good on as it is made of viscose, it is pretty and feminine. color is great, of course it needs to be your color. i love it and recommend it!!")</f>
        <v>This is a beautiful and fashionable blouse. it feels good on as it is made of viscose, it is pretty and feminine. color is great, of course it needs to be your color. i love it and recommend it!!</v>
      </c>
      <c r="F621" s="8">
        <f>IFERROR(__xludf.DUMMYFUNCTION("""COMPUTED_VALUE"""),5.0)</f>
        <v>5</v>
      </c>
      <c r="G621" s="8">
        <f>IFERROR(__xludf.DUMMYFUNCTION("""COMPUTED_VALUE"""),1.0)</f>
        <v>1</v>
      </c>
      <c r="H621" s="8">
        <f>IFERROR(__xludf.DUMMYFUNCTION("""COMPUTED_VALUE"""),0.0)</f>
        <v>0</v>
      </c>
      <c r="I621" s="8" t="str">
        <f>IFERROR(__xludf.DUMMYFUNCTION("""COMPUTED_VALUE"""),"General Petite")</f>
        <v>General Petite</v>
      </c>
      <c r="J621" s="8" t="str">
        <f>IFERROR(__xludf.DUMMYFUNCTION("""COMPUTED_VALUE"""),"Tops")</f>
        <v>Tops</v>
      </c>
      <c r="K621" s="8" t="str">
        <f>IFERROR(__xludf.DUMMYFUNCTION("""COMPUTED_VALUE"""),"Blouses")</f>
        <v>Blouses</v>
      </c>
    </row>
    <row r="622">
      <c r="A622" s="8">
        <f>IFERROR(__xludf.DUMMYFUNCTION("""COMPUTED_VALUE"""),797.0)</f>
        <v>797</v>
      </c>
      <c r="B622" s="8">
        <f>IFERROR(__xludf.DUMMYFUNCTION("""COMPUTED_VALUE"""),850.0)</f>
        <v>850</v>
      </c>
      <c r="C622" s="8">
        <f>IFERROR(__xludf.DUMMYFUNCTION("""COMPUTED_VALUE"""),36.0)</f>
        <v>36</v>
      </c>
      <c r="D622" s="8"/>
      <c r="E622" s="8"/>
      <c r="F622" s="8">
        <f>IFERROR(__xludf.DUMMYFUNCTION("""COMPUTED_VALUE"""),5.0)</f>
        <v>5</v>
      </c>
      <c r="G622" s="8">
        <f>IFERROR(__xludf.DUMMYFUNCTION("""COMPUTED_VALUE"""),1.0)</f>
        <v>1</v>
      </c>
      <c r="H622" s="8">
        <f>IFERROR(__xludf.DUMMYFUNCTION("""COMPUTED_VALUE"""),0.0)</f>
        <v>0</v>
      </c>
      <c r="I622" s="8" t="str">
        <f>IFERROR(__xludf.DUMMYFUNCTION("""COMPUTED_VALUE"""),"General")</f>
        <v>General</v>
      </c>
      <c r="J622" s="8" t="str">
        <f>IFERROR(__xludf.DUMMYFUNCTION("""COMPUTED_VALUE"""),"Tops")</f>
        <v>Tops</v>
      </c>
      <c r="K622" s="8" t="str">
        <f>IFERROR(__xludf.DUMMYFUNCTION("""COMPUTED_VALUE"""),"Blouses")</f>
        <v>Blouses</v>
      </c>
    </row>
    <row r="623">
      <c r="A623" s="8">
        <f>IFERROR(__xludf.DUMMYFUNCTION("""COMPUTED_VALUE"""),798.0)</f>
        <v>798</v>
      </c>
      <c r="B623" s="8">
        <f>IFERROR(__xludf.DUMMYFUNCTION("""COMPUTED_VALUE"""),833.0)</f>
        <v>833</v>
      </c>
      <c r="C623" s="8">
        <f>IFERROR(__xludf.DUMMYFUNCTION("""COMPUTED_VALUE"""),43.0)</f>
        <v>43</v>
      </c>
      <c r="D623" s="8" t="str">
        <f>IFERROR(__xludf.DUMMYFUNCTION("""COMPUTED_VALUE"""),"Pretty top")</f>
        <v>Pretty top</v>
      </c>
      <c r="E623" s="8" t="str">
        <f>IFERROR(__xludf.DUMMYFUNCTION("""COMPUTED_VALUE"""),"I fell in love with this top when i tried it on at the store. it's a great fall piece. it is see-through around the bust, so a nude bra or any color camisole would have to be worn. my only thing is that it seems a little dressy, so i'm wondering how much "&amp;"i'll wear it. i work from home so everything has to be somewhat casual. so, i do recommend it, but i'm undecided as to if i'm going to keep it. for reference, i'm a 34d with a thin upper body and took a size medium.")</f>
        <v>I fell in love with this top when i tried it on at the store. it's a great fall piece. it is see-through around the bust, so a nude bra or any color camisole would have to be worn. my only thing is that it seems a little dressy, so i'm wondering how much i'll wear it. i work from home so everything has to be somewhat casual. so, i do recommend it, but i'm undecided as to if i'm going to keep it. for reference, i'm a 34d with a thin upper body and took a size medium.</v>
      </c>
      <c r="F623" s="8">
        <f>IFERROR(__xludf.DUMMYFUNCTION("""COMPUTED_VALUE"""),4.0)</f>
        <v>4</v>
      </c>
      <c r="G623" s="8">
        <f>IFERROR(__xludf.DUMMYFUNCTION("""COMPUTED_VALUE"""),1.0)</f>
        <v>1</v>
      </c>
      <c r="H623" s="8">
        <f>IFERROR(__xludf.DUMMYFUNCTION("""COMPUTED_VALUE"""),0.0)</f>
        <v>0</v>
      </c>
      <c r="I623" s="8" t="str">
        <f>IFERROR(__xludf.DUMMYFUNCTION("""COMPUTED_VALUE"""),"General Petite")</f>
        <v>General Petite</v>
      </c>
      <c r="J623" s="8" t="str">
        <f>IFERROR(__xludf.DUMMYFUNCTION("""COMPUTED_VALUE"""),"Tops")</f>
        <v>Tops</v>
      </c>
      <c r="K623" s="8" t="str">
        <f>IFERROR(__xludf.DUMMYFUNCTION("""COMPUTED_VALUE"""),"Blouses")</f>
        <v>Blouses</v>
      </c>
    </row>
    <row r="624">
      <c r="A624" s="8">
        <f>IFERROR(__xludf.DUMMYFUNCTION("""COMPUTED_VALUE"""),799.0)</f>
        <v>799</v>
      </c>
      <c r="B624" s="8">
        <f>IFERROR(__xludf.DUMMYFUNCTION("""COMPUTED_VALUE"""),1072.0)</f>
        <v>1072</v>
      </c>
      <c r="C624" s="8">
        <f>IFERROR(__xludf.DUMMYFUNCTION("""COMPUTED_VALUE"""),68.0)</f>
        <v>68</v>
      </c>
      <c r="D624" s="8" t="str">
        <f>IFERROR(__xludf.DUMMYFUNCTION("""COMPUTED_VALUE"""),"Size down - loose,, flowing material - love it!")</f>
        <v>Size down - loose,, flowing material - love it!</v>
      </c>
      <c r="E624" s="8" t="str">
        <f>IFERROR(__xludf.DUMMYFUNCTION("""COMPUTED_VALUE"""),"This dress is light, airy easy and comfortable to wear. i love the colors and pattern. it looks wonderful with or without a belt. i sized down from a 6 to a 4. i position the front of the dress material closer to the neck so it flows longer at the back. a"&amp;"lthough i am a size 6 the under slip fits perfectly in a size 4. i prefer the dress without a belt but it also looks good with a belt or a jacket or long cardigan. 
this dress is a keeper!")</f>
        <v>This dress is light, airy easy and comfortable to wear. i love the colors and pattern. it looks wonderful with or without a belt. i sized down from a 6 to a 4. i position the front of the dress material closer to the neck so it flows longer at the back. although i am a size 6 the under slip fits perfectly in a size 4. i prefer the dress without a belt but it also looks good with a belt or a jacket or long cardigan. 
this dress is a keeper!</v>
      </c>
      <c r="F624" s="8">
        <f>IFERROR(__xludf.DUMMYFUNCTION("""COMPUTED_VALUE"""),5.0)</f>
        <v>5</v>
      </c>
      <c r="G624" s="8">
        <f>IFERROR(__xludf.DUMMYFUNCTION("""COMPUTED_VALUE"""),1.0)</f>
        <v>1</v>
      </c>
      <c r="H624" s="8">
        <f>IFERROR(__xludf.DUMMYFUNCTION("""COMPUTED_VALUE"""),3.0)</f>
        <v>3</v>
      </c>
      <c r="I624" s="8" t="str">
        <f>IFERROR(__xludf.DUMMYFUNCTION("""COMPUTED_VALUE"""),"General")</f>
        <v>General</v>
      </c>
      <c r="J624" s="8" t="str">
        <f>IFERROR(__xludf.DUMMYFUNCTION("""COMPUTED_VALUE"""),"Dresses")</f>
        <v>Dresses</v>
      </c>
      <c r="K624" s="8" t="str">
        <f>IFERROR(__xludf.DUMMYFUNCTION("""COMPUTED_VALUE"""),"Dresses")</f>
        <v>Dresses</v>
      </c>
    </row>
    <row r="625">
      <c r="A625" s="8">
        <f>IFERROR(__xludf.DUMMYFUNCTION("""COMPUTED_VALUE"""),800.0)</f>
        <v>800</v>
      </c>
      <c r="B625" s="8">
        <f>IFERROR(__xludf.DUMMYFUNCTION("""COMPUTED_VALUE"""),895.0)</f>
        <v>895</v>
      </c>
      <c r="C625" s="8">
        <f>IFERROR(__xludf.DUMMYFUNCTION("""COMPUTED_VALUE"""),60.0)</f>
        <v>60</v>
      </c>
      <c r="D625" s="8" t="str">
        <f>IFERROR(__xludf.DUMMYFUNCTION("""COMPUTED_VALUE"""),"Warm and chic")</f>
        <v>Warm and chic</v>
      </c>
      <c r="E625" s="8" t="str">
        <f>IFERROR(__xludf.DUMMYFUNCTION("""COMPUTED_VALUE"""),"Very attractive and easy to wear. i wore it the night it arrived and wore it again the next night! i love the colors, the pattern and design. this is a stylish tunic sweater. the sleeves are not full length, which i prefer. the sweater is dense - the weav"&amp;"e is tight, making the sweater quite warm, but not too warm.")</f>
        <v>Very attractive and easy to wear. i wore it the night it arrived and wore it again the next night! i love the colors, the pattern and design. this is a stylish tunic sweater. the sleeves are not full length, which i prefer. the sweater is dense - the weave is tight, making the sweater quite warm, but not too warm.</v>
      </c>
      <c r="F625" s="8">
        <f>IFERROR(__xludf.DUMMYFUNCTION("""COMPUTED_VALUE"""),4.0)</f>
        <v>4</v>
      </c>
      <c r="G625" s="8">
        <f>IFERROR(__xludf.DUMMYFUNCTION("""COMPUTED_VALUE"""),1.0)</f>
        <v>1</v>
      </c>
      <c r="H625" s="8">
        <f>IFERROR(__xludf.DUMMYFUNCTION("""COMPUTED_VALUE"""),0.0)</f>
        <v>0</v>
      </c>
      <c r="I625" s="8" t="str">
        <f>IFERROR(__xludf.DUMMYFUNCTION("""COMPUTED_VALUE"""),"General")</f>
        <v>General</v>
      </c>
      <c r="J625" s="8" t="str">
        <f>IFERROR(__xludf.DUMMYFUNCTION("""COMPUTED_VALUE"""),"Tops")</f>
        <v>Tops</v>
      </c>
      <c r="K625" s="8" t="str">
        <f>IFERROR(__xludf.DUMMYFUNCTION("""COMPUTED_VALUE"""),"Fine gauge")</f>
        <v>Fine gauge</v>
      </c>
    </row>
    <row r="626">
      <c r="A626" s="8">
        <f>IFERROR(__xludf.DUMMYFUNCTION("""COMPUTED_VALUE"""),801.0)</f>
        <v>801</v>
      </c>
      <c r="B626" s="8">
        <f>IFERROR(__xludf.DUMMYFUNCTION("""COMPUTED_VALUE"""),850.0)</f>
        <v>850</v>
      </c>
      <c r="C626" s="8">
        <f>IFERROR(__xludf.DUMMYFUNCTION("""COMPUTED_VALUE"""),32.0)</f>
        <v>32</v>
      </c>
      <c r="D626" s="8" t="str">
        <f>IFERROR(__xludf.DUMMYFUNCTION("""COMPUTED_VALUE"""),"Perfect tank to be dressed up or down")</f>
        <v>Perfect tank to be dressed up or down</v>
      </c>
      <c r="E626" s="8" t="str">
        <f>IFERROR(__xludf.DUMMYFUNCTION("""COMPUTED_VALUE"""),"Great tank to wear to work or a night out. fits true to size.")</f>
        <v>Great tank to wear to work or a night out. fits true to size.</v>
      </c>
      <c r="F626" s="8">
        <f>IFERROR(__xludf.DUMMYFUNCTION("""COMPUTED_VALUE"""),5.0)</f>
        <v>5</v>
      </c>
      <c r="G626" s="8">
        <f>IFERROR(__xludf.DUMMYFUNCTION("""COMPUTED_VALUE"""),1.0)</f>
        <v>1</v>
      </c>
      <c r="H626" s="8">
        <f>IFERROR(__xludf.DUMMYFUNCTION("""COMPUTED_VALUE"""),0.0)</f>
        <v>0</v>
      </c>
      <c r="I626" s="8" t="str">
        <f>IFERROR(__xludf.DUMMYFUNCTION("""COMPUTED_VALUE"""),"General")</f>
        <v>General</v>
      </c>
      <c r="J626" s="8" t="str">
        <f>IFERROR(__xludf.DUMMYFUNCTION("""COMPUTED_VALUE"""),"Tops")</f>
        <v>Tops</v>
      </c>
      <c r="K626" s="8" t="str">
        <f>IFERROR(__xludf.DUMMYFUNCTION("""COMPUTED_VALUE"""),"Blouses")</f>
        <v>Blouses</v>
      </c>
    </row>
    <row r="627">
      <c r="A627" s="8">
        <f>IFERROR(__xludf.DUMMYFUNCTION("""COMPUTED_VALUE"""),802.0)</f>
        <v>802</v>
      </c>
      <c r="B627" s="8">
        <f>IFERROR(__xludf.DUMMYFUNCTION("""COMPUTED_VALUE"""),833.0)</f>
        <v>833</v>
      </c>
      <c r="C627" s="8">
        <f>IFERROR(__xludf.DUMMYFUNCTION("""COMPUTED_VALUE"""),55.0)</f>
        <v>55</v>
      </c>
      <c r="D627" s="8" t="str">
        <f>IFERROR(__xludf.DUMMYFUNCTION("""COMPUTED_VALUE"""),"Pretty and feminine")</f>
        <v>Pretty and feminine</v>
      </c>
      <c r="E627" s="8" t="str">
        <f>IFERROR(__xludf.DUMMYFUNCTION("""COMPUTED_VALUE"""),"Stylist at my local retailer recommended i try on this top. as soon as i put it on, i was amazed at how pretty it is. i'm 5'3"" and curvy size medium and the fit is true to size. i would say if you are between sizes, you may want to size down. i didn't ha"&amp;"ve any issues with the lace and the slight v-neck falls perfectly on me. no need to wear any cami. 
my only concern was how wrinkled the top was. i requested to have the blouse steamed before i left the store so that i could see if all of the wrin")</f>
        <v>Stylist at my local retailer recommended i try on this top. as soon as i put it on, i was amazed at how pretty it is. i'm 5'3" and curvy size medium and the fit is true to size. i would say if you are between sizes, you may want to size down. i didn't have any issues with the lace and the slight v-neck falls perfectly on me. no need to wear any cami. 
my only concern was how wrinkled the top was. i requested to have the blouse steamed before i left the store so that i could see if all of the wrin</v>
      </c>
      <c r="F627" s="8">
        <f>IFERROR(__xludf.DUMMYFUNCTION("""COMPUTED_VALUE"""),5.0)</f>
        <v>5</v>
      </c>
      <c r="G627" s="8">
        <f>IFERROR(__xludf.DUMMYFUNCTION("""COMPUTED_VALUE"""),1.0)</f>
        <v>1</v>
      </c>
      <c r="H627" s="8">
        <f>IFERROR(__xludf.DUMMYFUNCTION("""COMPUTED_VALUE"""),2.0)</f>
        <v>2</v>
      </c>
      <c r="I627" s="8" t="str">
        <f>IFERROR(__xludf.DUMMYFUNCTION("""COMPUTED_VALUE"""),"General Petite")</f>
        <v>General Petite</v>
      </c>
      <c r="J627" s="8" t="str">
        <f>IFERROR(__xludf.DUMMYFUNCTION("""COMPUTED_VALUE"""),"Tops")</f>
        <v>Tops</v>
      </c>
      <c r="K627" s="8" t="str">
        <f>IFERROR(__xludf.DUMMYFUNCTION("""COMPUTED_VALUE"""),"Blouses")</f>
        <v>Blouses</v>
      </c>
    </row>
    <row r="628">
      <c r="A628" s="8">
        <f>IFERROR(__xludf.DUMMYFUNCTION("""COMPUTED_VALUE"""),803.0)</f>
        <v>803</v>
      </c>
      <c r="B628" s="8">
        <f>IFERROR(__xludf.DUMMYFUNCTION("""COMPUTED_VALUE"""),895.0)</f>
        <v>895</v>
      </c>
      <c r="C628" s="8">
        <f>IFERROR(__xludf.DUMMYFUNCTION("""COMPUTED_VALUE"""),39.0)</f>
        <v>39</v>
      </c>
      <c r="D628" s="8" t="str">
        <f>IFERROR(__xludf.DUMMYFUNCTION("""COMPUTED_VALUE"""),"Perfect")</f>
        <v>Perfect</v>
      </c>
      <c r="E628" s="8" t="str">
        <f>IFERROR(__xludf.DUMMYFUNCTION("""COMPUTED_VALUE"""),"Not only a beautiful knit but can be worn as both tunic and dress on my short frame. it does not look like a sack tent when worn. very soft and flattering. collar is styled well and can be shaped different ways. pattern and color combo is the similar to t"&amp;"he exquisite eira dress. i am 5'3"" and i chose the regular over petite. i only wish the sleeves were longer.")</f>
        <v>Not only a beautiful knit but can be worn as both tunic and dress on my short frame. it does not look like a sack tent when worn. very soft and flattering. collar is styled well and can be shaped different ways. pattern and color combo is the similar to the exquisite eira dress. i am 5'3" and i chose the regular over petite. i only wish the sleeves were longer.</v>
      </c>
      <c r="F628" s="8">
        <f>IFERROR(__xludf.DUMMYFUNCTION("""COMPUTED_VALUE"""),5.0)</f>
        <v>5</v>
      </c>
      <c r="G628" s="8">
        <f>IFERROR(__xludf.DUMMYFUNCTION("""COMPUTED_VALUE"""),1.0)</f>
        <v>1</v>
      </c>
      <c r="H628" s="8">
        <f>IFERROR(__xludf.DUMMYFUNCTION("""COMPUTED_VALUE"""),0.0)</f>
        <v>0</v>
      </c>
      <c r="I628" s="8" t="str">
        <f>IFERROR(__xludf.DUMMYFUNCTION("""COMPUTED_VALUE"""),"General")</f>
        <v>General</v>
      </c>
      <c r="J628" s="8" t="str">
        <f>IFERROR(__xludf.DUMMYFUNCTION("""COMPUTED_VALUE"""),"Tops")</f>
        <v>Tops</v>
      </c>
      <c r="K628" s="8" t="str">
        <f>IFERROR(__xludf.DUMMYFUNCTION("""COMPUTED_VALUE"""),"Fine gauge")</f>
        <v>Fine gauge</v>
      </c>
    </row>
    <row r="629">
      <c r="A629" s="8">
        <f>IFERROR(__xludf.DUMMYFUNCTION("""COMPUTED_VALUE"""),804.0)</f>
        <v>804</v>
      </c>
      <c r="B629" s="8">
        <f>IFERROR(__xludf.DUMMYFUNCTION("""COMPUTED_VALUE"""),895.0)</f>
        <v>895</v>
      </c>
      <c r="C629" s="8">
        <f>IFERROR(__xludf.DUMMYFUNCTION("""COMPUTED_VALUE"""),60.0)</f>
        <v>60</v>
      </c>
      <c r="D629" s="8" t="str">
        <f>IFERROR(__xludf.DUMMYFUNCTION("""COMPUTED_VALUE"""),"Beautiful sweater!")</f>
        <v>Beautiful sweater!</v>
      </c>
      <c r="E629" s="8" t="str">
        <f>IFERROR(__xludf.DUMMYFUNCTION("""COMPUTED_VALUE"""),"As others have said, this is even prettier in person. beautifully made, colors are really pretty. it's unique and special. in sweaters i go between sizes small and medium, depending on the cut. i went with the small here because the medium had a bit too m"&amp;"uch fabric around the hips where i don't need it. it doesn't run large, it's just that i wanted it to be closer fit as i'll wear it with skinny jeans or leggings.")</f>
        <v>As others have said, this is even prettier in person. beautifully made, colors are really pretty. it's unique and special. in sweaters i go between sizes small and medium, depending on the cut. i went with the small here because the medium had a bit too much fabric around the hips where i don't need it. it doesn't run large, it's just that i wanted it to be closer fit as i'll wear it with skinny jeans or leggings.</v>
      </c>
      <c r="F629" s="8">
        <f>IFERROR(__xludf.DUMMYFUNCTION("""COMPUTED_VALUE"""),5.0)</f>
        <v>5</v>
      </c>
      <c r="G629" s="8">
        <f>IFERROR(__xludf.DUMMYFUNCTION("""COMPUTED_VALUE"""),1.0)</f>
        <v>1</v>
      </c>
      <c r="H629" s="8">
        <f>IFERROR(__xludf.DUMMYFUNCTION("""COMPUTED_VALUE"""),1.0)</f>
        <v>1</v>
      </c>
      <c r="I629" s="8" t="str">
        <f>IFERROR(__xludf.DUMMYFUNCTION("""COMPUTED_VALUE"""),"General")</f>
        <v>General</v>
      </c>
      <c r="J629" s="8" t="str">
        <f>IFERROR(__xludf.DUMMYFUNCTION("""COMPUTED_VALUE"""),"Tops")</f>
        <v>Tops</v>
      </c>
      <c r="K629" s="8" t="str">
        <f>IFERROR(__xludf.DUMMYFUNCTION("""COMPUTED_VALUE"""),"Fine gauge")</f>
        <v>Fine gauge</v>
      </c>
    </row>
    <row r="630">
      <c r="A630" s="8">
        <f>IFERROR(__xludf.DUMMYFUNCTION("""COMPUTED_VALUE"""),805.0)</f>
        <v>805</v>
      </c>
      <c r="B630" s="8">
        <f>IFERROR(__xludf.DUMMYFUNCTION("""COMPUTED_VALUE"""),833.0)</f>
        <v>833</v>
      </c>
      <c r="C630" s="8">
        <f>IFERROR(__xludf.DUMMYFUNCTION("""COMPUTED_VALUE"""),42.0)</f>
        <v>42</v>
      </c>
      <c r="D630" s="8"/>
      <c r="E630" s="8"/>
      <c r="F630" s="8">
        <f>IFERROR(__xludf.DUMMYFUNCTION("""COMPUTED_VALUE"""),4.0)</f>
        <v>4</v>
      </c>
      <c r="G630" s="8">
        <f>IFERROR(__xludf.DUMMYFUNCTION("""COMPUTED_VALUE"""),1.0)</f>
        <v>1</v>
      </c>
      <c r="H630" s="8">
        <f>IFERROR(__xludf.DUMMYFUNCTION("""COMPUTED_VALUE"""),0.0)</f>
        <v>0</v>
      </c>
      <c r="I630" s="8" t="str">
        <f>IFERROR(__xludf.DUMMYFUNCTION("""COMPUTED_VALUE"""),"General Petite")</f>
        <v>General Petite</v>
      </c>
      <c r="J630" s="8" t="str">
        <f>IFERROR(__xludf.DUMMYFUNCTION("""COMPUTED_VALUE"""),"Tops")</f>
        <v>Tops</v>
      </c>
      <c r="K630" s="8" t="str">
        <f>IFERROR(__xludf.DUMMYFUNCTION("""COMPUTED_VALUE"""),"Blouses")</f>
        <v>Blouses</v>
      </c>
    </row>
    <row r="631">
      <c r="A631" s="8">
        <f>IFERROR(__xludf.DUMMYFUNCTION("""COMPUTED_VALUE"""),809.0)</f>
        <v>809</v>
      </c>
      <c r="B631" s="8">
        <f>IFERROR(__xludf.DUMMYFUNCTION("""COMPUTED_VALUE"""),886.0)</f>
        <v>886</v>
      </c>
      <c r="C631" s="8">
        <f>IFERROR(__xludf.DUMMYFUNCTION("""COMPUTED_VALUE"""),32.0)</f>
        <v>32</v>
      </c>
      <c r="D631" s="8" t="str">
        <f>IFERROR(__xludf.DUMMYFUNCTION("""COMPUTED_VALUE"""),"Love, love, love!")</f>
        <v>Love, love, love!</v>
      </c>
      <c r="E631" s="8" t="str">
        <f>IFERROR(__xludf.DUMMYFUNCTION("""COMPUTED_VALUE"""),"I love this top! the sizing was great, and i have already worn it so many times, and received so many compliments! it is great to dress up or down! such a great purchase!")</f>
        <v>I love this top! the sizing was great, and i have already worn it so many times, and received so many compliments! it is great to dress up or down! such a great purchase!</v>
      </c>
      <c r="F631" s="8">
        <f>IFERROR(__xludf.DUMMYFUNCTION("""COMPUTED_VALUE"""),5.0)</f>
        <v>5</v>
      </c>
      <c r="G631" s="8">
        <f>IFERROR(__xludf.DUMMYFUNCTION("""COMPUTED_VALUE"""),1.0)</f>
        <v>1</v>
      </c>
      <c r="H631" s="8">
        <f>IFERROR(__xludf.DUMMYFUNCTION("""COMPUTED_VALUE"""),0.0)</f>
        <v>0</v>
      </c>
      <c r="I631" s="8" t="str">
        <f>IFERROR(__xludf.DUMMYFUNCTION("""COMPUTED_VALUE"""),"General Petite")</f>
        <v>General Petite</v>
      </c>
      <c r="J631" s="8" t="str">
        <f>IFERROR(__xludf.DUMMYFUNCTION("""COMPUTED_VALUE"""),"Tops")</f>
        <v>Tops</v>
      </c>
      <c r="K631" s="8" t="str">
        <f>IFERROR(__xludf.DUMMYFUNCTION("""COMPUTED_VALUE"""),"Knits")</f>
        <v>Knits</v>
      </c>
    </row>
    <row r="632">
      <c r="A632" s="8">
        <f>IFERROR(__xludf.DUMMYFUNCTION("""COMPUTED_VALUE"""),810.0)</f>
        <v>810</v>
      </c>
      <c r="B632" s="8">
        <f>IFERROR(__xludf.DUMMYFUNCTION("""COMPUTED_VALUE"""),886.0)</f>
        <v>886</v>
      </c>
      <c r="C632" s="8">
        <f>IFERROR(__xludf.DUMMYFUNCTION("""COMPUTED_VALUE"""),56.0)</f>
        <v>56</v>
      </c>
      <c r="D632" s="8" t="str">
        <f>IFERROR(__xludf.DUMMYFUNCTION("""COMPUTED_VALUE"""),"Loved this top")</f>
        <v>Loved this top</v>
      </c>
      <c r="E632" s="8" t="str">
        <f>IFERROR(__xludf.DUMMYFUNCTION("""COMPUTED_VALUE"""),"Purchased in the blue. the color is a little darker than it shows. more of a slate blue. loved the fit. i am tall so it covered perfectly.")</f>
        <v>Purchased in the blue. the color is a little darker than it shows. more of a slate blue. loved the fit. i am tall so it covered perfectly.</v>
      </c>
      <c r="F632" s="8">
        <f>IFERROR(__xludf.DUMMYFUNCTION("""COMPUTED_VALUE"""),5.0)</f>
        <v>5</v>
      </c>
      <c r="G632" s="8">
        <f>IFERROR(__xludf.DUMMYFUNCTION("""COMPUTED_VALUE"""),1.0)</f>
        <v>1</v>
      </c>
      <c r="H632" s="8">
        <f>IFERROR(__xludf.DUMMYFUNCTION("""COMPUTED_VALUE"""),0.0)</f>
        <v>0</v>
      </c>
      <c r="I632" s="8" t="str">
        <f>IFERROR(__xludf.DUMMYFUNCTION("""COMPUTED_VALUE"""),"General Petite")</f>
        <v>General Petite</v>
      </c>
      <c r="J632" s="8" t="str">
        <f>IFERROR(__xludf.DUMMYFUNCTION("""COMPUTED_VALUE"""),"Tops")</f>
        <v>Tops</v>
      </c>
      <c r="K632" s="8" t="str">
        <f>IFERROR(__xludf.DUMMYFUNCTION("""COMPUTED_VALUE"""),"Knits")</f>
        <v>Knits</v>
      </c>
    </row>
    <row r="633">
      <c r="A633" s="8">
        <f>IFERROR(__xludf.DUMMYFUNCTION("""COMPUTED_VALUE"""),811.0)</f>
        <v>811</v>
      </c>
      <c r="B633" s="8">
        <f>IFERROR(__xludf.DUMMYFUNCTION("""COMPUTED_VALUE"""),1078.0)</f>
        <v>1078</v>
      </c>
      <c r="C633" s="8">
        <f>IFERROR(__xludf.DUMMYFUNCTION("""COMPUTED_VALUE"""),61.0)</f>
        <v>61</v>
      </c>
      <c r="D633" s="8" t="str">
        <f>IFERROR(__xludf.DUMMYFUNCTION("""COMPUTED_VALUE"""),"Flattering")</f>
        <v>Flattering</v>
      </c>
      <c r="E633" s="8" t="str">
        <f>IFERROR(__xludf.DUMMYFUNCTION("""COMPUTED_VALUE"""),"Very slimming, lovely dress.
a nice addition to your fall/ winter wardrobe.
the embroidery is lovely, fabric soft and comfortable. sized perfectly. 
so happy with this beautiful black dress!!!")</f>
        <v>Very slimming, lovely dress.
a nice addition to your fall/ winter wardrobe.
the embroidery is lovely, fabric soft and comfortable. sized perfectly. 
so happy with this beautiful black dress!!!</v>
      </c>
      <c r="F633" s="8">
        <f>IFERROR(__xludf.DUMMYFUNCTION("""COMPUTED_VALUE"""),5.0)</f>
        <v>5</v>
      </c>
      <c r="G633" s="8">
        <f>IFERROR(__xludf.DUMMYFUNCTION("""COMPUTED_VALUE"""),1.0)</f>
        <v>1</v>
      </c>
      <c r="H633" s="8">
        <f>IFERROR(__xludf.DUMMYFUNCTION("""COMPUTED_VALUE"""),7.0)</f>
        <v>7</v>
      </c>
      <c r="I633" s="8" t="str">
        <f>IFERROR(__xludf.DUMMYFUNCTION("""COMPUTED_VALUE"""),"General Petite")</f>
        <v>General Petite</v>
      </c>
      <c r="J633" s="8" t="str">
        <f>IFERROR(__xludf.DUMMYFUNCTION("""COMPUTED_VALUE"""),"Dresses")</f>
        <v>Dresses</v>
      </c>
      <c r="K633" s="8" t="str">
        <f>IFERROR(__xludf.DUMMYFUNCTION("""COMPUTED_VALUE"""),"Dresses")</f>
        <v>Dresses</v>
      </c>
    </row>
    <row r="634">
      <c r="A634" s="8">
        <f>IFERROR(__xludf.DUMMYFUNCTION("""COMPUTED_VALUE"""),812.0)</f>
        <v>812</v>
      </c>
      <c r="B634" s="8">
        <f>IFERROR(__xludf.DUMMYFUNCTION("""COMPUTED_VALUE"""),1089.0)</f>
        <v>1089</v>
      </c>
      <c r="C634" s="8">
        <f>IFERROR(__xludf.DUMMYFUNCTION("""COMPUTED_VALUE"""),34.0)</f>
        <v>34</v>
      </c>
      <c r="D634" s="8" t="str">
        <f>IFERROR(__xludf.DUMMYFUNCTION("""COMPUTED_VALUE"""),"Love")</f>
        <v>Love</v>
      </c>
      <c r="E634" s="8" t="str">
        <f>IFERROR(__xludf.DUMMYFUNCTION("""COMPUTED_VALUE"""),"New fav lbd. i am 5 months postpartum and this dress makes me feel like my old self again. it fits right above the waist, with a bow to cinch the waist. love the fit and flare. the top is warm, great for a cold evening out. and the taffeta really dresses "&amp;"it up. love")</f>
        <v>New fav lbd. i am 5 months postpartum and this dress makes me feel like my old self again. it fits right above the waist, with a bow to cinch the waist. love the fit and flare. the top is warm, great for a cold evening out. and the taffeta really dresses it up. love</v>
      </c>
      <c r="F634" s="8">
        <f>IFERROR(__xludf.DUMMYFUNCTION("""COMPUTED_VALUE"""),5.0)</f>
        <v>5</v>
      </c>
      <c r="G634" s="8">
        <f>IFERROR(__xludf.DUMMYFUNCTION("""COMPUTED_VALUE"""),1.0)</f>
        <v>1</v>
      </c>
      <c r="H634" s="8">
        <f>IFERROR(__xludf.DUMMYFUNCTION("""COMPUTED_VALUE"""),0.0)</f>
        <v>0</v>
      </c>
      <c r="I634" s="8" t="str">
        <f>IFERROR(__xludf.DUMMYFUNCTION("""COMPUTED_VALUE"""),"General Petite")</f>
        <v>General Petite</v>
      </c>
      <c r="J634" s="8" t="str">
        <f>IFERROR(__xludf.DUMMYFUNCTION("""COMPUTED_VALUE"""),"Dresses")</f>
        <v>Dresses</v>
      </c>
      <c r="K634" s="8" t="str">
        <f>IFERROR(__xludf.DUMMYFUNCTION("""COMPUTED_VALUE"""),"Dresses")</f>
        <v>Dresses</v>
      </c>
    </row>
    <row r="635">
      <c r="A635" s="8">
        <f>IFERROR(__xludf.DUMMYFUNCTION("""COMPUTED_VALUE"""),816.0)</f>
        <v>816</v>
      </c>
      <c r="B635" s="8">
        <f>IFERROR(__xludf.DUMMYFUNCTION("""COMPUTED_VALUE"""),1105.0)</f>
        <v>1105</v>
      </c>
      <c r="C635" s="8">
        <f>IFERROR(__xludf.DUMMYFUNCTION("""COMPUTED_VALUE"""),49.0)</f>
        <v>49</v>
      </c>
      <c r="D635" s="8" t="str">
        <f>IFERROR(__xludf.DUMMYFUNCTION("""COMPUTED_VALUE"""),"Very versatile")</f>
        <v>Very versatile</v>
      </c>
      <c r="E635" s="8" t="str">
        <f>IFERROR(__xludf.DUMMYFUNCTION("""COMPUTED_VALUE"""),"I was on the fence about this jumpsuit at first.  i feel the pockets in the back are a little high on my bum.  kind of an unnatural placement.  i sized up so it wasn't so tight fitting at the waist and hips so it made the placement of the back pockets a l"&amp;"ittle better.")</f>
        <v>I was on the fence about this jumpsuit at first.  i feel the pockets in the back are a little high on my bum.  kind of an unnatural placement.  i sized up so it wasn't so tight fitting at the waist and hips so it made the placement of the back pockets a little better.</v>
      </c>
      <c r="F635" s="8">
        <f>IFERROR(__xludf.DUMMYFUNCTION("""COMPUTED_VALUE"""),4.0)</f>
        <v>4</v>
      </c>
      <c r="G635" s="8">
        <f>IFERROR(__xludf.DUMMYFUNCTION("""COMPUTED_VALUE"""),1.0)</f>
        <v>1</v>
      </c>
      <c r="H635" s="8">
        <f>IFERROR(__xludf.DUMMYFUNCTION("""COMPUTED_VALUE"""),0.0)</f>
        <v>0</v>
      </c>
      <c r="I635" s="8" t="str">
        <f>IFERROR(__xludf.DUMMYFUNCTION("""COMPUTED_VALUE"""),"General")</f>
        <v>General</v>
      </c>
      <c r="J635" s="8" t="str">
        <f>IFERROR(__xludf.DUMMYFUNCTION("""COMPUTED_VALUE"""),"Dresses")</f>
        <v>Dresses</v>
      </c>
      <c r="K635" s="8" t="str">
        <f>IFERROR(__xludf.DUMMYFUNCTION("""COMPUTED_VALUE"""),"Dresses")</f>
        <v>Dresses</v>
      </c>
    </row>
    <row r="636">
      <c r="A636" s="8">
        <f>IFERROR(__xludf.DUMMYFUNCTION("""COMPUTED_VALUE"""),817.0)</f>
        <v>817</v>
      </c>
      <c r="B636" s="8">
        <f>IFERROR(__xludf.DUMMYFUNCTION("""COMPUTED_VALUE"""),886.0)</f>
        <v>886</v>
      </c>
      <c r="C636" s="8">
        <f>IFERROR(__xludf.DUMMYFUNCTION("""COMPUTED_VALUE"""),29.0)</f>
        <v>29</v>
      </c>
      <c r="D636" s="8" t="str">
        <f>IFERROR(__xludf.DUMMYFUNCTION("""COMPUTED_VALUE"""),"Great winter tunic")</f>
        <v>Great winter tunic</v>
      </c>
      <c r="E636" s="8" t="str">
        <f>IFERROR(__xludf.DUMMYFUNCTION("""COMPUTED_VALUE"""),"Great for layering and staying warm in the winter. definitely stay on the larger size, the fabric has very little give but is comfortable.")</f>
        <v>Great for layering and staying warm in the winter. definitely stay on the larger size, the fabric has very little give but is comfortable.</v>
      </c>
      <c r="F636" s="8">
        <f>IFERROR(__xludf.DUMMYFUNCTION("""COMPUTED_VALUE"""),4.0)</f>
        <v>4</v>
      </c>
      <c r="G636" s="8">
        <f>IFERROR(__xludf.DUMMYFUNCTION("""COMPUTED_VALUE"""),1.0)</f>
        <v>1</v>
      </c>
      <c r="H636" s="8">
        <f>IFERROR(__xludf.DUMMYFUNCTION("""COMPUTED_VALUE"""),0.0)</f>
        <v>0</v>
      </c>
      <c r="I636" s="8" t="str">
        <f>IFERROR(__xludf.DUMMYFUNCTION("""COMPUTED_VALUE"""),"General Petite")</f>
        <v>General Petite</v>
      </c>
      <c r="J636" s="8" t="str">
        <f>IFERROR(__xludf.DUMMYFUNCTION("""COMPUTED_VALUE"""),"Tops")</f>
        <v>Tops</v>
      </c>
      <c r="K636" s="8" t="str">
        <f>IFERROR(__xludf.DUMMYFUNCTION("""COMPUTED_VALUE"""),"Knits")</f>
        <v>Knits</v>
      </c>
    </row>
    <row r="637">
      <c r="A637" s="8">
        <f>IFERROR(__xludf.DUMMYFUNCTION("""COMPUTED_VALUE"""),820.0)</f>
        <v>820</v>
      </c>
      <c r="B637" s="8">
        <f>IFERROR(__xludf.DUMMYFUNCTION("""COMPUTED_VALUE"""),969.0)</f>
        <v>969</v>
      </c>
      <c r="C637" s="8">
        <f>IFERROR(__xludf.DUMMYFUNCTION("""COMPUTED_VALUE"""),34.0)</f>
        <v>34</v>
      </c>
      <c r="D637" s="8" t="str">
        <f>IFERROR(__xludf.DUMMYFUNCTION("""COMPUTED_VALUE"""),"Super cute- order a size down")</f>
        <v>Super cute- order a size down</v>
      </c>
      <c r="E637" s="8" t="str">
        <f>IFERROR(__xludf.DUMMYFUNCTION("""COMPUTED_VALUE"""),"After reading the reviews, i was hesitant to purchase, but glad i did. i'm usually an xs or s depending on the brand, but i got this in a xxs. it fits perfectly and is so cute. does not look like a bathrobe at all. i love it because it's almost like a car"&amp;"digan blazer...looks like a blazer but feels like a cardigan!")</f>
        <v>After reading the reviews, i was hesitant to purchase, but glad i did. i'm usually an xs or s depending on the brand, but i got this in a xxs. it fits perfectly and is so cute. does not look like a bathrobe at all. i love it because it's almost like a cardigan blazer...looks like a blazer but feels like a cardigan!</v>
      </c>
      <c r="F637" s="8">
        <f>IFERROR(__xludf.DUMMYFUNCTION("""COMPUTED_VALUE"""),5.0)</f>
        <v>5</v>
      </c>
      <c r="G637" s="8">
        <f>IFERROR(__xludf.DUMMYFUNCTION("""COMPUTED_VALUE"""),1.0)</f>
        <v>1</v>
      </c>
      <c r="H637" s="8">
        <f>IFERROR(__xludf.DUMMYFUNCTION("""COMPUTED_VALUE"""),0.0)</f>
        <v>0</v>
      </c>
      <c r="I637" s="8" t="str">
        <f>IFERROR(__xludf.DUMMYFUNCTION("""COMPUTED_VALUE"""),"General")</f>
        <v>General</v>
      </c>
      <c r="J637" s="8" t="str">
        <f>IFERROR(__xludf.DUMMYFUNCTION("""COMPUTED_VALUE"""),"Jackets")</f>
        <v>Jackets</v>
      </c>
      <c r="K637" s="8" t="str">
        <f>IFERROR(__xludf.DUMMYFUNCTION("""COMPUTED_VALUE"""),"Jackets")</f>
        <v>Jackets</v>
      </c>
    </row>
    <row r="638">
      <c r="A638" s="8">
        <f>IFERROR(__xludf.DUMMYFUNCTION("""COMPUTED_VALUE"""),821.0)</f>
        <v>821</v>
      </c>
      <c r="B638" s="8">
        <f>IFERROR(__xludf.DUMMYFUNCTION("""COMPUTED_VALUE"""),886.0)</f>
        <v>886</v>
      </c>
      <c r="C638" s="8">
        <f>IFERROR(__xludf.DUMMYFUNCTION("""COMPUTED_VALUE"""),60.0)</f>
        <v>60</v>
      </c>
      <c r="D638" s="8" t="str">
        <f>IFERROR(__xludf.DUMMYFUNCTION("""COMPUTED_VALUE"""),"Nice tunic")</f>
        <v>Nice tunic</v>
      </c>
      <c r="E638" s="8" t="str">
        <f>IFERROR(__xludf.DUMMYFUNCTION("""COMPUTED_VALUE"""),"I tried this tunic on in my local retailer store. they do not carry petites, so i tried on a regular small (i'm 5'2"", 130lb). the proportions were a bit off. the v-neck fell way too low and there was extra material puckering across the bodice. i definite"&amp;"ly think a petite would work better for my height. alas, no petites in-store or online in the color(s) i would purchase. i didn't find the shirt too thin, as some have commented. it's essentially a midweight t-shirt material (but rayon, so beware o")</f>
        <v>I tried this tunic on in my local retailer store. they do not carry petites, so i tried on a regular small (i'm 5'2", 130lb). the proportions were a bit off. the v-neck fell way too low and there was extra material puckering across the bodice. i definitely think a petite would work better for my height. alas, no petites in-store or online in the color(s) i would purchase. i didn't find the shirt too thin, as some have commented. it's essentially a midweight t-shirt material (but rayon, so beware o</v>
      </c>
      <c r="F638" s="8">
        <f>IFERROR(__xludf.DUMMYFUNCTION("""COMPUTED_VALUE"""),4.0)</f>
        <v>4</v>
      </c>
      <c r="G638" s="8">
        <f>IFERROR(__xludf.DUMMYFUNCTION("""COMPUTED_VALUE"""),1.0)</f>
        <v>1</v>
      </c>
      <c r="H638" s="8">
        <f>IFERROR(__xludf.DUMMYFUNCTION("""COMPUTED_VALUE"""),2.0)</f>
        <v>2</v>
      </c>
      <c r="I638" s="8" t="str">
        <f>IFERROR(__xludf.DUMMYFUNCTION("""COMPUTED_VALUE"""),"General Petite")</f>
        <v>General Petite</v>
      </c>
      <c r="J638" s="8" t="str">
        <f>IFERROR(__xludf.DUMMYFUNCTION("""COMPUTED_VALUE"""),"Tops")</f>
        <v>Tops</v>
      </c>
      <c r="K638" s="8" t="str">
        <f>IFERROR(__xludf.DUMMYFUNCTION("""COMPUTED_VALUE"""),"Knits")</f>
        <v>Knits</v>
      </c>
    </row>
    <row r="639">
      <c r="A639" s="8">
        <f>IFERROR(__xludf.DUMMYFUNCTION("""COMPUTED_VALUE"""),822.0)</f>
        <v>822</v>
      </c>
      <c r="B639" s="8">
        <f>IFERROR(__xludf.DUMMYFUNCTION("""COMPUTED_VALUE"""),1078.0)</f>
        <v>1078</v>
      </c>
      <c r="C639" s="8">
        <f>IFERROR(__xludf.DUMMYFUNCTION("""COMPUTED_VALUE"""),39.0)</f>
        <v>39</v>
      </c>
      <c r="D639" s="8" t="str">
        <f>IFERROR(__xludf.DUMMYFUNCTION("""COMPUTED_VALUE"""),"Nice casual tunic-dress")</f>
        <v>Nice casual tunic-dress</v>
      </c>
      <c r="E639" s="8" t="str">
        <f>IFERROR(__xludf.DUMMYFUNCTION("""COMPUTED_VALUE"""),"Comfortable,t eh fabric is very soft. the embroidery adds a little to the otherwise plain black tunic. lace up neck on trend too. 
i ordered the xxs p, as it is likely loose... that was just fine for me, xs p would have been not as flattering. theo nly p"&amp;"roblem with that is the sleeves then became a little more snug (workout arms). not too snug that i can't wear the dress, but decided not to keep it only because there are way too many things i like at retailer! (and have to pick). in my wish lis")</f>
        <v>Comfortable,t eh fabric is very soft. the embroidery adds a little to the otherwise plain black tunic. lace up neck on trend too. 
i ordered the xxs p, as it is likely loose... that was just fine for me, xs p would have been not as flattering. theo nly problem with that is the sleeves then became a little more snug (workout arms). not too snug that i can't wear the dress, but decided not to keep it only because there are way too many things i like at retailer! (and have to pick). in my wish lis</v>
      </c>
      <c r="F639" s="8">
        <f>IFERROR(__xludf.DUMMYFUNCTION("""COMPUTED_VALUE"""),5.0)</f>
        <v>5</v>
      </c>
      <c r="G639" s="8">
        <f>IFERROR(__xludf.DUMMYFUNCTION("""COMPUTED_VALUE"""),1.0)</f>
        <v>1</v>
      </c>
      <c r="H639" s="8">
        <f>IFERROR(__xludf.DUMMYFUNCTION("""COMPUTED_VALUE"""),2.0)</f>
        <v>2</v>
      </c>
      <c r="I639" s="8" t="str">
        <f>IFERROR(__xludf.DUMMYFUNCTION("""COMPUTED_VALUE"""),"General Petite")</f>
        <v>General Petite</v>
      </c>
      <c r="J639" s="8" t="str">
        <f>IFERROR(__xludf.DUMMYFUNCTION("""COMPUTED_VALUE"""),"Dresses")</f>
        <v>Dresses</v>
      </c>
      <c r="K639" s="8" t="str">
        <f>IFERROR(__xludf.DUMMYFUNCTION("""COMPUTED_VALUE"""),"Dresses")</f>
        <v>Dresses</v>
      </c>
    </row>
    <row r="640">
      <c r="A640" s="8">
        <f>IFERROR(__xludf.DUMMYFUNCTION("""COMPUTED_VALUE"""),823.0)</f>
        <v>823</v>
      </c>
      <c r="B640" s="8">
        <f>IFERROR(__xludf.DUMMYFUNCTION("""COMPUTED_VALUE"""),1060.0)</f>
        <v>1060</v>
      </c>
      <c r="C640" s="8">
        <f>IFERROR(__xludf.DUMMYFUNCTION("""COMPUTED_VALUE"""),39.0)</f>
        <v>39</v>
      </c>
      <c r="D640" s="8" t="str">
        <f>IFERROR(__xludf.DUMMYFUNCTION("""COMPUTED_VALUE"""),"Not as bad as previously reviewed")</f>
        <v>Not as bad as previously reviewed</v>
      </c>
      <c r="E640" s="8" t="str">
        <f>IFERROR(__xludf.DUMMYFUNCTION("""COMPUTED_VALUE"""),"I do think the fabric could be a little more substantial for the price, and was disappoitned that even petites, were again, too long... the color is nice enough (neutral), and they definitely look like work pants. they are true to sice, but i could do the"&amp;" low end of my size range.")</f>
        <v>I do think the fabric could be a little more substantial for the price, and was disappoitned that even petites, were again, too long... the color is nice enough (neutral), and they definitely look like work pants. they are true to sice, but i could do the low end of my size range.</v>
      </c>
      <c r="F640" s="8">
        <f>IFERROR(__xludf.DUMMYFUNCTION("""COMPUTED_VALUE"""),4.0)</f>
        <v>4</v>
      </c>
      <c r="G640" s="8">
        <f>IFERROR(__xludf.DUMMYFUNCTION("""COMPUTED_VALUE"""),1.0)</f>
        <v>1</v>
      </c>
      <c r="H640" s="8">
        <f>IFERROR(__xludf.DUMMYFUNCTION("""COMPUTED_VALUE"""),7.0)</f>
        <v>7</v>
      </c>
      <c r="I640" s="8" t="str">
        <f>IFERROR(__xludf.DUMMYFUNCTION("""COMPUTED_VALUE"""),"General Petite")</f>
        <v>General Petite</v>
      </c>
      <c r="J640" s="8" t="str">
        <f>IFERROR(__xludf.DUMMYFUNCTION("""COMPUTED_VALUE"""),"Bottoms")</f>
        <v>Bottoms</v>
      </c>
      <c r="K640" s="8" t="str">
        <f>IFERROR(__xludf.DUMMYFUNCTION("""COMPUTED_VALUE"""),"Pants")</f>
        <v>Pants</v>
      </c>
    </row>
    <row r="641">
      <c r="A641" s="8">
        <f>IFERROR(__xludf.DUMMYFUNCTION("""COMPUTED_VALUE"""),824.0)</f>
        <v>824</v>
      </c>
      <c r="B641" s="8">
        <f>IFERROR(__xludf.DUMMYFUNCTION("""COMPUTED_VALUE"""),886.0)</f>
        <v>886</v>
      </c>
      <c r="C641" s="8">
        <f>IFERROR(__xludf.DUMMYFUNCTION("""COMPUTED_VALUE"""),32.0)</f>
        <v>32</v>
      </c>
      <c r="D641" s="8" t="str">
        <f>IFERROR(__xludf.DUMMYFUNCTION("""COMPUTED_VALUE"""),"Love the black")</f>
        <v>Love the black</v>
      </c>
      <c r="E641" s="8" t="str">
        <f>IFERROR(__xludf.DUMMYFUNCTION("""COMPUTED_VALUE"""),"I bought this in black and it did require me to wear a shirt underneath as it was a little sheer/see through. i usually wear an xs and i wore the same in this top. the black is very pretty and goes well with some skinny jeans.")</f>
        <v>I bought this in black and it did require me to wear a shirt underneath as it was a little sheer/see through. i usually wear an xs and i wore the same in this top. the black is very pretty and goes well with some skinny jeans.</v>
      </c>
      <c r="F641" s="8">
        <f>IFERROR(__xludf.DUMMYFUNCTION("""COMPUTED_VALUE"""),5.0)</f>
        <v>5</v>
      </c>
      <c r="G641" s="8">
        <f>IFERROR(__xludf.DUMMYFUNCTION("""COMPUTED_VALUE"""),1.0)</f>
        <v>1</v>
      </c>
      <c r="H641" s="8">
        <f>IFERROR(__xludf.DUMMYFUNCTION("""COMPUTED_VALUE"""),24.0)</f>
        <v>24</v>
      </c>
      <c r="I641" s="8" t="str">
        <f>IFERROR(__xludf.DUMMYFUNCTION("""COMPUTED_VALUE"""),"General Petite")</f>
        <v>General Petite</v>
      </c>
      <c r="J641" s="8" t="str">
        <f>IFERROR(__xludf.DUMMYFUNCTION("""COMPUTED_VALUE"""),"Tops")</f>
        <v>Tops</v>
      </c>
      <c r="K641" s="8" t="str">
        <f>IFERROR(__xludf.DUMMYFUNCTION("""COMPUTED_VALUE"""),"Knits")</f>
        <v>Knits</v>
      </c>
    </row>
    <row r="642">
      <c r="A642" s="8">
        <f>IFERROR(__xludf.DUMMYFUNCTION("""COMPUTED_VALUE"""),827.0)</f>
        <v>827</v>
      </c>
      <c r="B642" s="8">
        <f>IFERROR(__xludf.DUMMYFUNCTION("""COMPUTED_VALUE"""),895.0)</f>
        <v>895</v>
      </c>
      <c r="C642" s="8">
        <f>IFERROR(__xludf.DUMMYFUNCTION("""COMPUTED_VALUE"""),71.0)</f>
        <v>71</v>
      </c>
      <c r="D642" s="8" t="str">
        <f>IFERROR(__xludf.DUMMYFUNCTION("""COMPUTED_VALUE"""),"Cute but short")</f>
        <v>Cute but short</v>
      </c>
      <c r="E642" s="8" t="str">
        <f>IFERROR(__xludf.DUMMYFUNCTION("""COMPUTED_VALUE"""),"I ordered the green, black and ivory because i thought they were so cute. the sweater is short but still cute. the ivory one i will return though. it has sparkle that's not noticeable in the online picture plus when it arrived it had a huge snag in the fa"&amp;"bric. i'm actually quite surprised they sent it to me in such poor condition.")</f>
        <v>I ordered the green, black and ivory because i thought they were so cute. the sweater is short but still cute. the ivory one i will return though. it has sparkle that's not noticeable in the online picture plus when it arrived it had a huge snag in the fabric. i'm actually quite surprised they sent it to me in such poor condition.</v>
      </c>
      <c r="F642" s="8">
        <f>IFERROR(__xludf.DUMMYFUNCTION("""COMPUTED_VALUE"""),4.0)</f>
        <v>4</v>
      </c>
      <c r="G642" s="8">
        <f>IFERROR(__xludf.DUMMYFUNCTION("""COMPUTED_VALUE"""),1.0)</f>
        <v>1</v>
      </c>
      <c r="H642" s="8">
        <f>IFERROR(__xludf.DUMMYFUNCTION("""COMPUTED_VALUE"""),0.0)</f>
        <v>0</v>
      </c>
      <c r="I642" s="8" t="str">
        <f>IFERROR(__xludf.DUMMYFUNCTION("""COMPUTED_VALUE"""),"General")</f>
        <v>General</v>
      </c>
      <c r="J642" s="8" t="str">
        <f>IFERROR(__xludf.DUMMYFUNCTION("""COMPUTED_VALUE"""),"Tops")</f>
        <v>Tops</v>
      </c>
      <c r="K642" s="8" t="str">
        <f>IFERROR(__xludf.DUMMYFUNCTION("""COMPUTED_VALUE"""),"Fine gauge")</f>
        <v>Fine gauge</v>
      </c>
    </row>
    <row r="643">
      <c r="A643" s="8">
        <f>IFERROR(__xludf.DUMMYFUNCTION("""COMPUTED_VALUE"""),832.0)</f>
        <v>832</v>
      </c>
      <c r="B643" s="8">
        <f>IFERROR(__xludf.DUMMYFUNCTION("""COMPUTED_VALUE"""),886.0)</f>
        <v>886</v>
      </c>
      <c r="C643" s="8">
        <f>IFERROR(__xludf.DUMMYFUNCTION("""COMPUTED_VALUE"""),46.0)</f>
        <v>46</v>
      </c>
      <c r="D643" s="8" t="str">
        <f>IFERROR(__xludf.DUMMYFUNCTION("""COMPUTED_VALUE"""),"Great tunic")</f>
        <v>Great tunic</v>
      </c>
      <c r="E643" s="8" t="str">
        <f>IFERROR(__xludf.DUMMYFUNCTION("""COMPUTED_VALUE"""),"This tunic is very pretty in black. it is lighter weight than the picture appears and drapes nicely. i'm 5'2 so i ordered the petite, but would have been ok with the extra length of the regular for when worn with leggings, with jeans the petite length wil"&amp;"l work well. i recommend using the size chart provided. i general wear an xs, but ordered the s, based on the size chart, it's a perfect fit.")</f>
        <v>This tunic is very pretty in black. it is lighter weight than the picture appears and drapes nicely. i'm 5'2 so i ordered the petite, but would have been ok with the extra length of the regular for when worn with leggings, with jeans the petite length will work well. i recommend using the size chart provided. i general wear an xs, but ordered the s, based on the size chart, it's a perfect fit.</v>
      </c>
      <c r="F643" s="8">
        <f>IFERROR(__xludf.DUMMYFUNCTION("""COMPUTED_VALUE"""),5.0)</f>
        <v>5</v>
      </c>
      <c r="G643" s="8">
        <f>IFERROR(__xludf.DUMMYFUNCTION("""COMPUTED_VALUE"""),1.0)</f>
        <v>1</v>
      </c>
      <c r="H643" s="8">
        <f>IFERROR(__xludf.DUMMYFUNCTION("""COMPUTED_VALUE"""),37.0)</f>
        <v>37</v>
      </c>
      <c r="I643" s="8" t="str">
        <f>IFERROR(__xludf.DUMMYFUNCTION("""COMPUTED_VALUE"""),"General Petite")</f>
        <v>General Petite</v>
      </c>
      <c r="J643" s="8" t="str">
        <f>IFERROR(__xludf.DUMMYFUNCTION("""COMPUTED_VALUE"""),"Tops")</f>
        <v>Tops</v>
      </c>
      <c r="K643" s="8" t="str">
        <f>IFERROR(__xludf.DUMMYFUNCTION("""COMPUTED_VALUE"""),"Knits")</f>
        <v>Knits</v>
      </c>
    </row>
    <row r="644">
      <c r="A644" s="8">
        <f>IFERROR(__xludf.DUMMYFUNCTION("""COMPUTED_VALUE"""),833.0)</f>
        <v>833</v>
      </c>
      <c r="B644" s="8">
        <f>IFERROR(__xludf.DUMMYFUNCTION("""COMPUTED_VALUE"""),895.0)</f>
        <v>895</v>
      </c>
      <c r="C644" s="8">
        <f>IFERROR(__xludf.DUMMYFUNCTION("""COMPUTED_VALUE"""),31.0)</f>
        <v>31</v>
      </c>
      <c r="D644" s="8"/>
      <c r="E644" s="8" t="str">
        <f>IFERROR(__xludf.DUMMYFUNCTION("""COMPUTED_VALUE"""),"Great, special cardigan. fits like a shrug and a little short but is perfect over a tight fitting sheath. great for broad shoulders.")</f>
        <v>Great, special cardigan. fits like a shrug and a little short but is perfect over a tight fitting sheath. great for broad shoulders.</v>
      </c>
      <c r="F644" s="8">
        <f>IFERROR(__xludf.DUMMYFUNCTION("""COMPUTED_VALUE"""),4.0)</f>
        <v>4</v>
      </c>
      <c r="G644" s="8">
        <f>IFERROR(__xludf.DUMMYFUNCTION("""COMPUTED_VALUE"""),1.0)</f>
        <v>1</v>
      </c>
      <c r="H644" s="8">
        <f>IFERROR(__xludf.DUMMYFUNCTION("""COMPUTED_VALUE"""),0.0)</f>
        <v>0</v>
      </c>
      <c r="I644" s="8" t="str">
        <f>IFERROR(__xludf.DUMMYFUNCTION("""COMPUTED_VALUE"""),"General")</f>
        <v>General</v>
      </c>
      <c r="J644" s="8" t="str">
        <f>IFERROR(__xludf.DUMMYFUNCTION("""COMPUTED_VALUE"""),"Tops")</f>
        <v>Tops</v>
      </c>
      <c r="K644" s="8" t="str">
        <f>IFERROR(__xludf.DUMMYFUNCTION("""COMPUTED_VALUE"""),"Fine gauge")</f>
        <v>Fine gauge</v>
      </c>
    </row>
    <row r="645">
      <c r="A645" s="8">
        <f>IFERROR(__xludf.DUMMYFUNCTION("""COMPUTED_VALUE"""),834.0)</f>
        <v>834</v>
      </c>
      <c r="B645" s="8">
        <f>IFERROR(__xludf.DUMMYFUNCTION("""COMPUTED_VALUE"""),868.0)</f>
        <v>868</v>
      </c>
      <c r="C645" s="8">
        <f>IFERROR(__xludf.DUMMYFUNCTION("""COMPUTED_VALUE"""),46.0)</f>
        <v>46</v>
      </c>
      <c r="D645" s="8"/>
      <c r="E645" s="8" t="str">
        <f>IFERROR(__xludf.DUMMYFUNCTION("""COMPUTED_VALUE"""),"Cute cute. simple tank with a little something to add interest.")</f>
        <v>Cute cute. simple tank with a little something to add interest.</v>
      </c>
      <c r="F645" s="8">
        <f>IFERROR(__xludf.DUMMYFUNCTION("""COMPUTED_VALUE"""),4.0)</f>
        <v>4</v>
      </c>
      <c r="G645" s="8">
        <f>IFERROR(__xludf.DUMMYFUNCTION("""COMPUTED_VALUE"""),1.0)</f>
        <v>1</v>
      </c>
      <c r="H645" s="8">
        <f>IFERROR(__xludf.DUMMYFUNCTION("""COMPUTED_VALUE"""),0.0)</f>
        <v>0</v>
      </c>
      <c r="I645" s="8" t="str">
        <f>IFERROR(__xludf.DUMMYFUNCTION("""COMPUTED_VALUE"""),"General")</f>
        <v>General</v>
      </c>
      <c r="J645" s="8" t="str">
        <f>IFERROR(__xludf.DUMMYFUNCTION("""COMPUTED_VALUE"""),"Tops")</f>
        <v>Tops</v>
      </c>
      <c r="K645" s="8" t="str">
        <f>IFERROR(__xludf.DUMMYFUNCTION("""COMPUTED_VALUE"""),"Knits")</f>
        <v>Knits</v>
      </c>
    </row>
    <row r="646">
      <c r="A646" s="8">
        <f>IFERROR(__xludf.DUMMYFUNCTION("""COMPUTED_VALUE"""),839.0)</f>
        <v>839</v>
      </c>
      <c r="B646" s="8">
        <f>IFERROR(__xludf.DUMMYFUNCTION("""COMPUTED_VALUE"""),1089.0)</f>
        <v>1089</v>
      </c>
      <c r="C646" s="8">
        <f>IFERROR(__xludf.DUMMYFUNCTION("""COMPUTED_VALUE"""),36.0)</f>
        <v>36</v>
      </c>
      <c r="D646" s="8"/>
      <c r="E646" s="8" t="str">
        <f>IFERROR(__xludf.DUMMYFUNCTION("""COMPUTED_VALUE"""),"It is so simple but elegant and beautiful! i am 5'3 and 120 lb and extra small fits me perfectly")</f>
        <v>It is so simple but elegant and beautiful! i am 5'3 and 120 lb and extra small fits me perfectly</v>
      </c>
      <c r="F646" s="8">
        <f>IFERROR(__xludf.DUMMYFUNCTION("""COMPUTED_VALUE"""),5.0)</f>
        <v>5</v>
      </c>
      <c r="G646" s="8">
        <f>IFERROR(__xludf.DUMMYFUNCTION("""COMPUTED_VALUE"""),1.0)</f>
        <v>1</v>
      </c>
      <c r="H646" s="8">
        <f>IFERROR(__xludf.DUMMYFUNCTION("""COMPUTED_VALUE"""),6.0)</f>
        <v>6</v>
      </c>
      <c r="I646" s="8" t="str">
        <f>IFERROR(__xludf.DUMMYFUNCTION("""COMPUTED_VALUE"""),"General Petite")</f>
        <v>General Petite</v>
      </c>
      <c r="J646" s="8" t="str">
        <f>IFERROR(__xludf.DUMMYFUNCTION("""COMPUTED_VALUE"""),"Dresses")</f>
        <v>Dresses</v>
      </c>
      <c r="K646" s="8" t="str">
        <f>IFERROR(__xludf.DUMMYFUNCTION("""COMPUTED_VALUE"""),"Dresses")</f>
        <v>Dresses</v>
      </c>
    </row>
    <row r="647">
      <c r="A647" s="8">
        <f>IFERROR(__xludf.DUMMYFUNCTION("""COMPUTED_VALUE"""),840.0)</f>
        <v>840</v>
      </c>
      <c r="B647" s="8">
        <f>IFERROR(__xludf.DUMMYFUNCTION("""COMPUTED_VALUE"""),1078.0)</f>
        <v>1078</v>
      </c>
      <c r="C647" s="8">
        <f>IFERROR(__xludf.DUMMYFUNCTION("""COMPUTED_VALUE"""),46.0)</f>
        <v>46</v>
      </c>
      <c r="D647" s="8" t="str">
        <f>IFERROR(__xludf.DUMMYFUNCTION("""COMPUTED_VALUE"""),"I'm in love!")</f>
        <v>I'm in love!</v>
      </c>
      <c r="E647" s="8" t="str">
        <f>IFERROR(__xludf.DUMMYFUNCTION("""COMPUTED_VALUE"""),"I love this shirtdress. the lace and collar design pops off the black. super comfortable and love that it has pockets! a keeper, this one not going back ever. i am 5'9 and 140 lbs and the 6 fits perfect. the length comes above my knee, so most likely i wi"&amp;"ll be wearing tights or skinny's underneath.")</f>
        <v>I love this shirtdress. the lace and collar design pops off the black. super comfortable and love that it has pockets! a keeper, this one not going back ever. i am 5'9 and 140 lbs and the 6 fits perfect. the length comes above my knee, so most likely i will be wearing tights or skinny's underneath.</v>
      </c>
      <c r="F647" s="8">
        <f>IFERROR(__xludf.DUMMYFUNCTION("""COMPUTED_VALUE"""),5.0)</f>
        <v>5</v>
      </c>
      <c r="G647" s="8">
        <f>IFERROR(__xludf.DUMMYFUNCTION("""COMPUTED_VALUE"""),1.0)</f>
        <v>1</v>
      </c>
      <c r="H647" s="8">
        <f>IFERROR(__xludf.DUMMYFUNCTION("""COMPUTED_VALUE"""),0.0)</f>
        <v>0</v>
      </c>
      <c r="I647" s="8" t="str">
        <f>IFERROR(__xludf.DUMMYFUNCTION("""COMPUTED_VALUE"""),"General Petite")</f>
        <v>General Petite</v>
      </c>
      <c r="J647" s="8" t="str">
        <f>IFERROR(__xludf.DUMMYFUNCTION("""COMPUTED_VALUE"""),"Dresses")</f>
        <v>Dresses</v>
      </c>
      <c r="K647" s="8" t="str">
        <f>IFERROR(__xludf.DUMMYFUNCTION("""COMPUTED_VALUE"""),"Dresses")</f>
        <v>Dresses</v>
      </c>
    </row>
    <row r="648">
      <c r="A648" s="8">
        <f>IFERROR(__xludf.DUMMYFUNCTION("""COMPUTED_VALUE"""),841.0)</f>
        <v>841</v>
      </c>
      <c r="B648" s="8">
        <f>IFERROR(__xludf.DUMMYFUNCTION("""COMPUTED_VALUE"""),895.0)</f>
        <v>895</v>
      </c>
      <c r="C648" s="8">
        <f>IFERROR(__xludf.DUMMYFUNCTION("""COMPUTED_VALUE"""),49.0)</f>
        <v>49</v>
      </c>
      <c r="D648" s="8" t="str">
        <f>IFERROR(__xludf.DUMMYFUNCTION("""COMPUTED_VALUE"""),"Pretty cropped cardigan.")</f>
        <v>Pretty cropped cardigan.</v>
      </c>
      <c r="E648" s="8" t="str">
        <f>IFERROR(__xludf.DUMMYFUNCTION("""COMPUTED_VALUE"""),"This cardigan is nice and the lace at the back is pretty. just be aware that it's definitely a cropped length, which is good for wearing over a dress that you don't want to cover up too much. size up if you want room to layer. the one i tried on at the st"&amp;"ore had the top button almost falling off, so i didn't buy it.")</f>
        <v>This cardigan is nice and the lace at the back is pretty. just be aware that it's definitely a cropped length, which is good for wearing over a dress that you don't want to cover up too much. size up if you want room to layer. the one i tried on at the store had the top button almost falling off, so i didn't buy it.</v>
      </c>
      <c r="F648" s="8">
        <f>IFERROR(__xludf.DUMMYFUNCTION("""COMPUTED_VALUE"""),4.0)</f>
        <v>4</v>
      </c>
      <c r="G648" s="8">
        <f>IFERROR(__xludf.DUMMYFUNCTION("""COMPUTED_VALUE"""),1.0)</f>
        <v>1</v>
      </c>
      <c r="H648" s="8">
        <f>IFERROR(__xludf.DUMMYFUNCTION("""COMPUTED_VALUE"""),0.0)</f>
        <v>0</v>
      </c>
      <c r="I648" s="8" t="str">
        <f>IFERROR(__xludf.DUMMYFUNCTION("""COMPUTED_VALUE"""),"General")</f>
        <v>General</v>
      </c>
      <c r="J648" s="8" t="str">
        <f>IFERROR(__xludf.DUMMYFUNCTION("""COMPUTED_VALUE"""),"Tops")</f>
        <v>Tops</v>
      </c>
      <c r="K648" s="8" t="str">
        <f>IFERROR(__xludf.DUMMYFUNCTION("""COMPUTED_VALUE"""),"Fine gauge")</f>
        <v>Fine gauge</v>
      </c>
    </row>
    <row r="649">
      <c r="A649" s="8">
        <f>IFERROR(__xludf.DUMMYFUNCTION("""COMPUTED_VALUE"""),843.0)</f>
        <v>843</v>
      </c>
      <c r="B649" s="8">
        <f>IFERROR(__xludf.DUMMYFUNCTION("""COMPUTED_VALUE"""),975.0)</f>
        <v>975</v>
      </c>
      <c r="C649" s="8">
        <f>IFERROR(__xludf.DUMMYFUNCTION("""COMPUTED_VALUE"""),74.0)</f>
        <v>74</v>
      </c>
      <c r="D649" s="8" t="str">
        <f>IFERROR(__xludf.DUMMYFUNCTION("""COMPUTED_VALUE"""),"This velvet has swagger!")</f>
        <v>This velvet has swagger!</v>
      </c>
      <c r="E649" s="8" t="str">
        <f>IFERROR(__xludf.DUMMYFUNCTION("""COMPUTED_VALUE"""),"I love the soft, slouchy feel of this draped yet constructed jacket. don't expect a crisp fit. i'm not a fan of the menswear look so this jacket is the boho answer to a classic blazer. the one-button closure is easy to wear; the hem curves for a more femi"&amp;"nine look. i hesitated before ordering (hoping it would turn up at my local retailer). by the time i was ready to order, the green version had sold out. as it turns out, the copper is even better. it was 86 degrees today, but i wore it anyway!")</f>
        <v>I love the soft, slouchy feel of this draped yet constructed jacket. don't expect a crisp fit. i'm not a fan of the menswear look so this jacket is the boho answer to a classic blazer. the one-button closure is easy to wear; the hem curves for a more feminine look. i hesitated before ordering (hoping it would turn up at my local retailer). by the time i was ready to order, the green version had sold out. as it turns out, the copper is even better. it was 86 degrees today, but i wore it anyway!</v>
      </c>
      <c r="F649" s="8">
        <f>IFERROR(__xludf.DUMMYFUNCTION("""COMPUTED_VALUE"""),5.0)</f>
        <v>5</v>
      </c>
      <c r="G649" s="8">
        <f>IFERROR(__xludf.DUMMYFUNCTION("""COMPUTED_VALUE"""),1.0)</f>
        <v>1</v>
      </c>
      <c r="H649" s="8">
        <f>IFERROR(__xludf.DUMMYFUNCTION("""COMPUTED_VALUE"""),2.0)</f>
        <v>2</v>
      </c>
      <c r="I649" s="8" t="str">
        <f>IFERROR(__xludf.DUMMYFUNCTION("""COMPUTED_VALUE"""),"General")</f>
        <v>General</v>
      </c>
      <c r="J649" s="8" t="str">
        <f>IFERROR(__xludf.DUMMYFUNCTION("""COMPUTED_VALUE"""),"Jackets")</f>
        <v>Jackets</v>
      </c>
      <c r="K649" s="8" t="str">
        <f>IFERROR(__xludf.DUMMYFUNCTION("""COMPUTED_VALUE"""),"Jackets")</f>
        <v>Jackets</v>
      </c>
    </row>
    <row r="650">
      <c r="A650" s="8">
        <f>IFERROR(__xludf.DUMMYFUNCTION("""COMPUTED_VALUE"""),844.0)</f>
        <v>844</v>
      </c>
      <c r="B650" s="8">
        <f>IFERROR(__xludf.DUMMYFUNCTION("""COMPUTED_VALUE"""),886.0)</f>
        <v>886</v>
      </c>
      <c r="C650" s="8">
        <f>IFERROR(__xludf.DUMMYFUNCTION("""COMPUTED_VALUE"""),37.0)</f>
        <v>37</v>
      </c>
      <c r="D650" s="8"/>
      <c r="E650" s="8" t="str">
        <f>IFERROR(__xludf.DUMMYFUNCTION("""COMPUTED_VALUE"""),"Love this shirt with leggings. if you are in between sizes- size down")</f>
        <v>Love this shirt with leggings. if you are in between sizes- size down</v>
      </c>
      <c r="F650" s="8">
        <f>IFERROR(__xludf.DUMMYFUNCTION("""COMPUTED_VALUE"""),4.0)</f>
        <v>4</v>
      </c>
      <c r="G650" s="8">
        <f>IFERROR(__xludf.DUMMYFUNCTION("""COMPUTED_VALUE"""),1.0)</f>
        <v>1</v>
      </c>
      <c r="H650" s="8">
        <f>IFERROR(__xludf.DUMMYFUNCTION("""COMPUTED_VALUE"""),0.0)</f>
        <v>0</v>
      </c>
      <c r="I650" s="8" t="str">
        <f>IFERROR(__xludf.DUMMYFUNCTION("""COMPUTED_VALUE"""),"General Petite")</f>
        <v>General Petite</v>
      </c>
      <c r="J650" s="8" t="str">
        <f>IFERROR(__xludf.DUMMYFUNCTION("""COMPUTED_VALUE"""),"Tops")</f>
        <v>Tops</v>
      </c>
      <c r="K650" s="8" t="str">
        <f>IFERROR(__xludf.DUMMYFUNCTION("""COMPUTED_VALUE"""),"Knits")</f>
        <v>Knits</v>
      </c>
    </row>
    <row r="651">
      <c r="A651" s="8">
        <f>IFERROR(__xludf.DUMMYFUNCTION("""COMPUTED_VALUE"""),845.0)</f>
        <v>845</v>
      </c>
      <c r="B651" s="8">
        <f>IFERROR(__xludf.DUMMYFUNCTION("""COMPUTED_VALUE"""),548.0)</f>
        <v>548</v>
      </c>
      <c r="C651" s="8">
        <f>IFERROR(__xludf.DUMMYFUNCTION("""COMPUTED_VALUE"""),38.0)</f>
        <v>38</v>
      </c>
      <c r="D651" s="8"/>
      <c r="E651" s="8" t="str">
        <f>IFERROR(__xludf.DUMMYFUNCTION("""COMPUTED_VALUE"""),"Unusual color. expensive even on sale.")</f>
        <v>Unusual color. expensive even on sale.</v>
      </c>
      <c r="F651" s="8">
        <f>IFERROR(__xludf.DUMMYFUNCTION("""COMPUTED_VALUE"""),5.0)</f>
        <v>5</v>
      </c>
      <c r="G651" s="8">
        <f>IFERROR(__xludf.DUMMYFUNCTION("""COMPUTED_VALUE"""),1.0)</f>
        <v>1</v>
      </c>
      <c r="H651" s="8">
        <f>IFERROR(__xludf.DUMMYFUNCTION("""COMPUTED_VALUE"""),0.0)</f>
        <v>0</v>
      </c>
      <c r="I651" s="8" t="str">
        <f>IFERROR(__xludf.DUMMYFUNCTION("""COMPUTED_VALUE"""),"General")</f>
        <v>General</v>
      </c>
      <c r="J651" s="8" t="str">
        <f>IFERROR(__xludf.DUMMYFUNCTION("""COMPUTED_VALUE"""),"Trend")</f>
        <v>Trend</v>
      </c>
      <c r="K651" s="8" t="str">
        <f>IFERROR(__xludf.DUMMYFUNCTION("""COMPUTED_VALUE"""),"Trend")</f>
        <v>Trend</v>
      </c>
    </row>
    <row r="652">
      <c r="A652" s="8">
        <f>IFERROR(__xludf.DUMMYFUNCTION("""COMPUTED_VALUE"""),846.0)</f>
        <v>846</v>
      </c>
      <c r="B652" s="8">
        <f>IFERROR(__xludf.DUMMYFUNCTION("""COMPUTED_VALUE"""),1078.0)</f>
        <v>1078</v>
      </c>
      <c r="C652" s="8">
        <f>IFERROR(__xludf.DUMMYFUNCTION("""COMPUTED_VALUE"""),82.0)</f>
        <v>82</v>
      </c>
      <c r="D652" s="8" t="str">
        <f>IFERROR(__xludf.DUMMYFUNCTION("""COMPUTED_VALUE"""),"Great dress!!")</f>
        <v>Great dress!!</v>
      </c>
      <c r="E652" s="8" t="str">
        <f>IFERROR(__xludf.DUMMYFUNCTION("""COMPUTED_VALUE"""),"I am 5'4"" 140 pounds and ordered the 8 petite. it fits perfectly and is very flattering. the embroidery and lace up neckline thing is really awesome. it gives the dress some character... i am also a fan of the roll-up sleeves. i wish it came in other col"&amp;"ors because i would certainly order more than one. the one and only potentially negative aspect, and i say potential because i'm not sure if its an issue or not as i haven't worn/washed it yet is it appears to be something that i may have to iron")</f>
        <v>I am 5'4" 140 pounds and ordered the 8 petite. it fits perfectly and is very flattering. the embroidery and lace up neckline thing is really awesome. it gives the dress some character... i am also a fan of the roll-up sleeves. i wish it came in other colors because i would certainly order more than one. the one and only potentially negative aspect, and i say potential because i'm not sure if its an issue or not as i haven't worn/washed it yet is it appears to be something that i may have to iron</v>
      </c>
      <c r="F652" s="8">
        <f>IFERROR(__xludf.DUMMYFUNCTION("""COMPUTED_VALUE"""),5.0)</f>
        <v>5</v>
      </c>
      <c r="G652" s="8">
        <f>IFERROR(__xludf.DUMMYFUNCTION("""COMPUTED_VALUE"""),1.0)</f>
        <v>1</v>
      </c>
      <c r="H652" s="8">
        <f>IFERROR(__xludf.DUMMYFUNCTION("""COMPUTED_VALUE"""),5.0)</f>
        <v>5</v>
      </c>
      <c r="I652" s="8" t="str">
        <f>IFERROR(__xludf.DUMMYFUNCTION("""COMPUTED_VALUE"""),"General Petite")</f>
        <v>General Petite</v>
      </c>
      <c r="J652" s="8" t="str">
        <f>IFERROR(__xludf.DUMMYFUNCTION("""COMPUTED_VALUE"""),"Dresses")</f>
        <v>Dresses</v>
      </c>
      <c r="K652" s="8" t="str">
        <f>IFERROR(__xludf.DUMMYFUNCTION("""COMPUTED_VALUE"""),"Dresses")</f>
        <v>Dresses</v>
      </c>
    </row>
    <row r="653">
      <c r="A653" s="8">
        <f>IFERROR(__xludf.DUMMYFUNCTION("""COMPUTED_VALUE"""),848.0)</f>
        <v>848</v>
      </c>
      <c r="B653" s="8">
        <f>IFERROR(__xludf.DUMMYFUNCTION("""COMPUTED_VALUE"""),886.0)</f>
        <v>886</v>
      </c>
      <c r="C653" s="8">
        <f>IFERROR(__xludf.DUMMYFUNCTION("""COMPUTED_VALUE"""),41.0)</f>
        <v>41</v>
      </c>
      <c r="D653" s="8" t="str">
        <f>IFERROR(__xludf.DUMMYFUNCTION("""COMPUTED_VALUE"""),"Cute basic")</f>
        <v>Cute basic</v>
      </c>
      <c r="E653" s="8" t="str">
        <f>IFERROR(__xludf.DUMMYFUNCTION("""COMPUTED_VALUE"""),"I can understand the concerns of another reviewer about shrinkage. i have a few retailer tops made of similar fabric and they have shrunk a bit. this too fits very well, but once i wash it, it will likely get a bit smaller. i ordered a small, but plan to "&amp;"size up to a medium. for ref. 32ddd bust, and the small fit perfectly with a camo underneath...the shoulders seem to be cut small. so if you are busty like me, size up.")</f>
        <v>I can understand the concerns of another reviewer about shrinkage. i have a few retailer tops made of similar fabric and they have shrunk a bit. this too fits very well, but once i wash it, it will likely get a bit smaller. i ordered a small, but plan to size up to a medium. for ref. 32ddd bust, and the small fit perfectly with a camo underneath...the shoulders seem to be cut small. so if you are busty like me, size up.</v>
      </c>
      <c r="F653" s="8">
        <f>IFERROR(__xludf.DUMMYFUNCTION("""COMPUTED_VALUE"""),4.0)</f>
        <v>4</v>
      </c>
      <c r="G653" s="8">
        <f>IFERROR(__xludf.DUMMYFUNCTION("""COMPUTED_VALUE"""),1.0)</f>
        <v>1</v>
      </c>
      <c r="H653" s="8">
        <f>IFERROR(__xludf.DUMMYFUNCTION("""COMPUTED_VALUE"""),0.0)</f>
        <v>0</v>
      </c>
      <c r="I653" s="8" t="str">
        <f>IFERROR(__xludf.DUMMYFUNCTION("""COMPUTED_VALUE"""),"General Petite")</f>
        <v>General Petite</v>
      </c>
      <c r="J653" s="8" t="str">
        <f>IFERROR(__xludf.DUMMYFUNCTION("""COMPUTED_VALUE"""),"Tops")</f>
        <v>Tops</v>
      </c>
      <c r="K653" s="8" t="str">
        <f>IFERROR(__xludf.DUMMYFUNCTION("""COMPUTED_VALUE"""),"Knits")</f>
        <v>Knits</v>
      </c>
    </row>
    <row r="654">
      <c r="A654" s="8">
        <f>IFERROR(__xludf.DUMMYFUNCTION("""COMPUTED_VALUE"""),849.0)</f>
        <v>849</v>
      </c>
      <c r="B654" s="8">
        <f>IFERROR(__xludf.DUMMYFUNCTION("""COMPUTED_VALUE"""),886.0)</f>
        <v>886</v>
      </c>
      <c r="C654" s="8">
        <f>IFERROR(__xludf.DUMMYFUNCTION("""COMPUTED_VALUE"""),35.0)</f>
        <v>35</v>
      </c>
      <c r="D654" s="8" t="str">
        <f>IFERROR(__xludf.DUMMYFUNCTION("""COMPUTED_VALUE"""),"Lokka is lovely")</f>
        <v>Lokka is lovely</v>
      </c>
      <c r="E654" s="8" t="str">
        <f>IFERROR(__xludf.DUMMYFUNCTION("""COMPUTED_VALUE"""),"The lokka tunic is a perfect go-to top for casual days or nights! pair it with skinny jeans or leggings and you are set! the long sleeves are fitted and long-so they can be bunched at the wrist. i ordered it in both the black and the the pale grey/blue sh"&amp;"ade. it is a winner.")</f>
        <v>The lokka tunic is a perfect go-to top for casual days or nights! pair it with skinny jeans or leggings and you are set! the long sleeves are fitted and long-so they can be bunched at the wrist. i ordered it in both the black and the the pale grey/blue shade. it is a winner.</v>
      </c>
      <c r="F654" s="8">
        <f>IFERROR(__xludf.DUMMYFUNCTION("""COMPUTED_VALUE"""),5.0)</f>
        <v>5</v>
      </c>
      <c r="G654" s="8">
        <f>IFERROR(__xludf.DUMMYFUNCTION("""COMPUTED_VALUE"""),1.0)</f>
        <v>1</v>
      </c>
      <c r="H654" s="8">
        <f>IFERROR(__xludf.DUMMYFUNCTION("""COMPUTED_VALUE"""),0.0)</f>
        <v>0</v>
      </c>
      <c r="I654" s="8" t="str">
        <f>IFERROR(__xludf.DUMMYFUNCTION("""COMPUTED_VALUE"""),"General Petite")</f>
        <v>General Petite</v>
      </c>
      <c r="J654" s="8" t="str">
        <f>IFERROR(__xludf.DUMMYFUNCTION("""COMPUTED_VALUE"""),"Tops")</f>
        <v>Tops</v>
      </c>
      <c r="K654" s="8" t="str">
        <f>IFERROR(__xludf.DUMMYFUNCTION("""COMPUTED_VALUE"""),"Knits")</f>
        <v>Knits</v>
      </c>
    </row>
    <row r="655">
      <c r="A655" s="8">
        <f>IFERROR(__xludf.DUMMYFUNCTION("""COMPUTED_VALUE"""),850.0)</f>
        <v>850</v>
      </c>
      <c r="B655" s="8">
        <f>IFERROR(__xludf.DUMMYFUNCTION("""COMPUTED_VALUE"""),886.0)</f>
        <v>886</v>
      </c>
      <c r="C655" s="8">
        <f>IFERROR(__xludf.DUMMYFUNCTION("""COMPUTED_VALUE"""),23.0)</f>
        <v>23</v>
      </c>
      <c r="D655" s="8"/>
      <c r="E655" s="8" t="str">
        <f>IFERROR(__xludf.DUMMYFUNCTION("""COMPUTED_VALUE"""),"I got two of these when they went on sale because i hate paying $68 for a basic top like this.. but for the sale price they are great! comfortable, lightweight, and flattering. the black is a little sheer, but nothing a tank underneath can't solve. a good"&amp;" buy!")</f>
        <v>I got two of these when they went on sale because i hate paying $68 for a basic top like this.. but for the sale price they are great! comfortable, lightweight, and flattering. the black is a little sheer, but nothing a tank underneath can't solve. a good buy!</v>
      </c>
      <c r="F655" s="8">
        <f>IFERROR(__xludf.DUMMYFUNCTION("""COMPUTED_VALUE"""),5.0)</f>
        <v>5</v>
      </c>
      <c r="G655" s="8">
        <f>IFERROR(__xludf.DUMMYFUNCTION("""COMPUTED_VALUE"""),1.0)</f>
        <v>1</v>
      </c>
      <c r="H655" s="8">
        <f>IFERROR(__xludf.DUMMYFUNCTION("""COMPUTED_VALUE"""),0.0)</f>
        <v>0</v>
      </c>
      <c r="I655" s="8" t="str">
        <f>IFERROR(__xludf.DUMMYFUNCTION("""COMPUTED_VALUE"""),"General Petite")</f>
        <v>General Petite</v>
      </c>
      <c r="J655" s="8" t="str">
        <f>IFERROR(__xludf.DUMMYFUNCTION("""COMPUTED_VALUE"""),"Tops")</f>
        <v>Tops</v>
      </c>
      <c r="K655" s="8" t="str">
        <f>IFERROR(__xludf.DUMMYFUNCTION("""COMPUTED_VALUE"""),"Knits")</f>
        <v>Knits</v>
      </c>
    </row>
    <row r="656">
      <c r="A656" s="8">
        <f>IFERROR(__xludf.DUMMYFUNCTION("""COMPUTED_VALUE"""),851.0)</f>
        <v>851</v>
      </c>
      <c r="B656" s="8">
        <f>IFERROR(__xludf.DUMMYFUNCTION("""COMPUTED_VALUE"""),886.0)</f>
        <v>886</v>
      </c>
      <c r="C656" s="8">
        <f>IFERROR(__xludf.DUMMYFUNCTION("""COMPUTED_VALUE"""),37.0)</f>
        <v>37</v>
      </c>
      <c r="D656" s="8" t="str">
        <f>IFERROR(__xludf.DUMMYFUNCTION("""COMPUTED_VALUE"""),"Great shirt")</f>
        <v>Great shirt</v>
      </c>
      <c r="E656" s="8" t="str">
        <f>IFERROR(__xludf.DUMMYFUNCTION("""COMPUTED_VALUE"""),"I bought this in my usual medium and it fits great (fitted at the shoulder, loose below). it looks great with skinny jeans and can be worn casually or dressed up with accessories.")</f>
        <v>I bought this in my usual medium and it fits great (fitted at the shoulder, loose below). it looks great with skinny jeans and can be worn casually or dressed up with accessories.</v>
      </c>
      <c r="F656" s="8">
        <f>IFERROR(__xludf.DUMMYFUNCTION("""COMPUTED_VALUE"""),5.0)</f>
        <v>5</v>
      </c>
      <c r="G656" s="8">
        <f>IFERROR(__xludf.DUMMYFUNCTION("""COMPUTED_VALUE"""),1.0)</f>
        <v>1</v>
      </c>
      <c r="H656" s="8">
        <f>IFERROR(__xludf.DUMMYFUNCTION("""COMPUTED_VALUE"""),0.0)</f>
        <v>0</v>
      </c>
      <c r="I656" s="8" t="str">
        <f>IFERROR(__xludf.DUMMYFUNCTION("""COMPUTED_VALUE"""),"General Petite")</f>
        <v>General Petite</v>
      </c>
      <c r="J656" s="8" t="str">
        <f>IFERROR(__xludf.DUMMYFUNCTION("""COMPUTED_VALUE"""),"Tops")</f>
        <v>Tops</v>
      </c>
      <c r="K656" s="8" t="str">
        <f>IFERROR(__xludf.DUMMYFUNCTION("""COMPUTED_VALUE"""),"Knits")</f>
        <v>Knits</v>
      </c>
    </row>
    <row r="657">
      <c r="A657" s="8">
        <f>IFERROR(__xludf.DUMMYFUNCTION("""COMPUTED_VALUE"""),852.0)</f>
        <v>852</v>
      </c>
      <c r="B657" s="8">
        <f>IFERROR(__xludf.DUMMYFUNCTION("""COMPUTED_VALUE"""),1078.0)</f>
        <v>1078</v>
      </c>
      <c r="C657" s="8">
        <f>IFERROR(__xludf.DUMMYFUNCTION("""COMPUTED_VALUE"""),41.0)</f>
        <v>41</v>
      </c>
      <c r="D657" s="8" t="str">
        <f>IFERROR(__xludf.DUMMYFUNCTION("""COMPUTED_VALUE"""),"The perfect fall dress")</f>
        <v>The perfect fall dress</v>
      </c>
      <c r="E657" s="8" t="str">
        <f>IFERROR(__xludf.DUMMYFUNCTION("""COMPUTED_VALUE"""),"Ordered this dress online and wasn't sure about the criss-cross neckline feature but i love it! it's absolutely adorable and unbelievably comfortable. the fabric is very soft and lays nicely without feeling too ""baggy"" or frumpy. the embroidery is beaut"&amp;"iful. i'm wearing it to a fall event in october and pairing it with my favorite cowboy boots, but it would also look great with flats, heels or booties. totally in love with this dress!")</f>
        <v>Ordered this dress online and wasn't sure about the criss-cross neckline feature but i love it! it's absolutely adorable and unbelievably comfortable. the fabric is very soft and lays nicely without feeling too "baggy" or frumpy. the embroidery is beautiful. i'm wearing it to a fall event in october and pairing it with my favorite cowboy boots, but it would also look great with flats, heels or booties. totally in love with this dress!</v>
      </c>
      <c r="F657" s="8">
        <f>IFERROR(__xludf.DUMMYFUNCTION("""COMPUTED_VALUE"""),5.0)</f>
        <v>5</v>
      </c>
      <c r="G657" s="8">
        <f>IFERROR(__xludf.DUMMYFUNCTION("""COMPUTED_VALUE"""),1.0)</f>
        <v>1</v>
      </c>
      <c r="H657" s="8">
        <f>IFERROR(__xludf.DUMMYFUNCTION("""COMPUTED_VALUE"""),5.0)</f>
        <v>5</v>
      </c>
      <c r="I657" s="8" t="str">
        <f>IFERROR(__xludf.DUMMYFUNCTION("""COMPUTED_VALUE"""),"General")</f>
        <v>General</v>
      </c>
      <c r="J657" s="8" t="str">
        <f>IFERROR(__xludf.DUMMYFUNCTION("""COMPUTED_VALUE"""),"Dresses")</f>
        <v>Dresses</v>
      </c>
      <c r="K657" s="8" t="str">
        <f>IFERROR(__xludf.DUMMYFUNCTION("""COMPUTED_VALUE"""),"Dresses")</f>
        <v>Dresses</v>
      </c>
    </row>
    <row r="658">
      <c r="A658" s="8">
        <f>IFERROR(__xludf.DUMMYFUNCTION("""COMPUTED_VALUE"""),853.0)</f>
        <v>853</v>
      </c>
      <c r="B658" s="8">
        <f>IFERROR(__xludf.DUMMYFUNCTION("""COMPUTED_VALUE"""),1078.0)</f>
        <v>1078</v>
      </c>
      <c r="C658" s="8">
        <f>IFERROR(__xludf.DUMMYFUNCTION("""COMPUTED_VALUE"""),56.0)</f>
        <v>56</v>
      </c>
      <c r="D658" s="8" t="str">
        <f>IFERROR(__xludf.DUMMYFUNCTION("""COMPUTED_VALUE"""),"Adorable, comfortable, flattering; this has it all")</f>
        <v>Adorable, comfortable, flattering; this has it all</v>
      </c>
      <c r="E658" s="8" t="str">
        <f>IFERROR(__xludf.DUMMYFUNCTION("""COMPUTED_VALUE"""),"I was not shopping for a dress and somehow came home with this. in person the material and embroidery are just so stunning that i found myself picking it up. i was sold after trying it on. the material is very soft, both feels and looks extremely high qua"&amp;"lity. and for a basic shirtdress, it is amazingly flattering. follows curves without clinging to them. i'm 5'4"", 123 lbs, usually wear a small in tops/dresses &amp; purchased the size 4, which fit perfectly. i'm slightly chesty (34d) so sometimes ha")</f>
        <v>I was not shopping for a dress and somehow came home with this. in person the material and embroidery are just so stunning that i found myself picking it up. i was sold after trying it on. the material is very soft, both feels and looks extremely high quality. and for a basic shirtdress, it is amazingly flattering. follows curves without clinging to them. i'm 5'4", 123 lbs, usually wear a small in tops/dresses &amp; purchased the size 4, which fit perfectly. i'm slightly chesty (34d) so sometimes ha</v>
      </c>
      <c r="F658" s="8">
        <f>IFERROR(__xludf.DUMMYFUNCTION("""COMPUTED_VALUE"""),5.0)</f>
        <v>5</v>
      </c>
      <c r="G658" s="8">
        <f>IFERROR(__xludf.DUMMYFUNCTION("""COMPUTED_VALUE"""),1.0)</f>
        <v>1</v>
      </c>
      <c r="H658" s="8">
        <f>IFERROR(__xludf.DUMMYFUNCTION("""COMPUTED_VALUE"""),6.0)</f>
        <v>6</v>
      </c>
      <c r="I658" s="8" t="str">
        <f>IFERROR(__xludf.DUMMYFUNCTION("""COMPUTED_VALUE"""),"General")</f>
        <v>General</v>
      </c>
      <c r="J658" s="8" t="str">
        <f>IFERROR(__xludf.DUMMYFUNCTION("""COMPUTED_VALUE"""),"Dresses")</f>
        <v>Dresses</v>
      </c>
      <c r="K658" s="8" t="str">
        <f>IFERROR(__xludf.DUMMYFUNCTION("""COMPUTED_VALUE"""),"Dresses")</f>
        <v>Dresses</v>
      </c>
    </row>
    <row r="659">
      <c r="A659" s="8">
        <f>IFERROR(__xludf.DUMMYFUNCTION("""COMPUTED_VALUE"""),854.0)</f>
        <v>854</v>
      </c>
      <c r="B659" s="8">
        <f>IFERROR(__xludf.DUMMYFUNCTION("""COMPUTED_VALUE"""),1078.0)</f>
        <v>1078</v>
      </c>
      <c r="C659" s="8">
        <f>IFERROR(__xludf.DUMMYFUNCTION("""COMPUTED_VALUE"""),42.0)</f>
        <v>42</v>
      </c>
      <c r="D659" s="8"/>
      <c r="E659" s="8" t="str">
        <f>IFERROR(__xludf.DUMMYFUNCTION("""COMPUTED_VALUE"""),"Love this dress! it is super-flattering, and the embroidery is beautiful.")</f>
        <v>Love this dress! it is super-flattering, and the embroidery is beautiful.</v>
      </c>
      <c r="F659" s="8">
        <f>IFERROR(__xludf.DUMMYFUNCTION("""COMPUTED_VALUE"""),5.0)</f>
        <v>5</v>
      </c>
      <c r="G659" s="8">
        <f>IFERROR(__xludf.DUMMYFUNCTION("""COMPUTED_VALUE"""),1.0)</f>
        <v>1</v>
      </c>
      <c r="H659" s="8">
        <f>IFERROR(__xludf.DUMMYFUNCTION("""COMPUTED_VALUE"""),1.0)</f>
        <v>1</v>
      </c>
      <c r="I659" s="8" t="str">
        <f>IFERROR(__xludf.DUMMYFUNCTION("""COMPUTED_VALUE"""),"General")</f>
        <v>General</v>
      </c>
      <c r="J659" s="8" t="str">
        <f>IFERROR(__xludf.DUMMYFUNCTION("""COMPUTED_VALUE"""),"Dresses")</f>
        <v>Dresses</v>
      </c>
      <c r="K659" s="8" t="str">
        <f>IFERROR(__xludf.DUMMYFUNCTION("""COMPUTED_VALUE"""),"Dresses")</f>
        <v>Dresses</v>
      </c>
    </row>
    <row r="660">
      <c r="A660" s="8">
        <f>IFERROR(__xludf.DUMMYFUNCTION("""COMPUTED_VALUE"""),855.0)</f>
        <v>855</v>
      </c>
      <c r="B660" s="8">
        <f>IFERROR(__xludf.DUMMYFUNCTION("""COMPUTED_VALUE"""),895.0)</f>
        <v>895</v>
      </c>
      <c r="C660" s="8">
        <f>IFERROR(__xludf.DUMMYFUNCTION("""COMPUTED_VALUE"""),30.0)</f>
        <v>30</v>
      </c>
      <c r="D660" s="8" t="str">
        <f>IFERROR(__xludf.DUMMYFUNCTION("""COMPUTED_VALUE"""),"Cute!!")</f>
        <v>Cute!!</v>
      </c>
      <c r="E660" s="8" t="str">
        <f>IFERROR(__xludf.DUMMYFUNCTION("""COMPUTED_VALUE"""),"I am going to disagree with reviewers who say this runs small. i found it very short and wide. that being said, it is meant to be cropped. i ordered a size small and it fit perfectly, albeit a little short. for reference, i am usually a size 6/medium in r"&amp;"etailer shirts and dresses.")</f>
        <v>I am going to disagree with reviewers who say this runs small. i found it very short and wide. that being said, it is meant to be cropped. i ordered a size small and it fit perfectly, albeit a little short. for reference, i am usually a size 6/medium in retailer shirts and dresses.</v>
      </c>
      <c r="F660" s="8">
        <f>IFERROR(__xludf.DUMMYFUNCTION("""COMPUTED_VALUE"""),5.0)</f>
        <v>5</v>
      </c>
      <c r="G660" s="8">
        <f>IFERROR(__xludf.DUMMYFUNCTION("""COMPUTED_VALUE"""),1.0)</f>
        <v>1</v>
      </c>
      <c r="H660" s="8">
        <f>IFERROR(__xludf.DUMMYFUNCTION("""COMPUTED_VALUE"""),0.0)</f>
        <v>0</v>
      </c>
      <c r="I660" s="8" t="str">
        <f>IFERROR(__xludf.DUMMYFUNCTION("""COMPUTED_VALUE"""),"General")</f>
        <v>General</v>
      </c>
      <c r="J660" s="8" t="str">
        <f>IFERROR(__xludf.DUMMYFUNCTION("""COMPUTED_VALUE"""),"Tops")</f>
        <v>Tops</v>
      </c>
      <c r="K660" s="8" t="str">
        <f>IFERROR(__xludf.DUMMYFUNCTION("""COMPUTED_VALUE"""),"Fine gauge")</f>
        <v>Fine gauge</v>
      </c>
    </row>
    <row r="661">
      <c r="A661" s="8">
        <f>IFERROR(__xludf.DUMMYFUNCTION("""COMPUTED_VALUE"""),856.0)</f>
        <v>856</v>
      </c>
      <c r="B661" s="8">
        <f>IFERROR(__xludf.DUMMYFUNCTION("""COMPUTED_VALUE"""),886.0)</f>
        <v>886</v>
      </c>
      <c r="C661" s="8">
        <f>IFERROR(__xludf.DUMMYFUNCTION("""COMPUTED_VALUE"""),52.0)</f>
        <v>52</v>
      </c>
      <c r="D661" s="8"/>
      <c r="E661" s="8" t="str">
        <f>IFERROR(__xludf.DUMMYFUNCTION("""COMPUTED_VALUE"""),"Beautiful sweater but the material is a bit thinner than i was expecting. but it hangs nicely and the sleeves are nice and long!")</f>
        <v>Beautiful sweater but the material is a bit thinner than i was expecting. but it hangs nicely and the sleeves are nice and long!</v>
      </c>
      <c r="F661" s="8">
        <f>IFERROR(__xludf.DUMMYFUNCTION("""COMPUTED_VALUE"""),4.0)</f>
        <v>4</v>
      </c>
      <c r="G661" s="8">
        <f>IFERROR(__xludf.DUMMYFUNCTION("""COMPUTED_VALUE"""),1.0)</f>
        <v>1</v>
      </c>
      <c r="H661" s="8">
        <f>IFERROR(__xludf.DUMMYFUNCTION("""COMPUTED_VALUE"""),1.0)</f>
        <v>1</v>
      </c>
      <c r="I661" s="8" t="str">
        <f>IFERROR(__xludf.DUMMYFUNCTION("""COMPUTED_VALUE"""),"General Petite")</f>
        <v>General Petite</v>
      </c>
      <c r="J661" s="8" t="str">
        <f>IFERROR(__xludf.DUMMYFUNCTION("""COMPUTED_VALUE"""),"Tops")</f>
        <v>Tops</v>
      </c>
      <c r="K661" s="8" t="str">
        <f>IFERROR(__xludf.DUMMYFUNCTION("""COMPUTED_VALUE"""),"Knits")</f>
        <v>Knits</v>
      </c>
    </row>
    <row r="662">
      <c r="A662" s="8">
        <f>IFERROR(__xludf.DUMMYFUNCTION("""COMPUTED_VALUE"""),857.0)</f>
        <v>857</v>
      </c>
      <c r="B662" s="8">
        <f>IFERROR(__xludf.DUMMYFUNCTION("""COMPUTED_VALUE"""),594.0)</f>
        <v>594</v>
      </c>
      <c r="C662" s="8">
        <f>IFERROR(__xludf.DUMMYFUNCTION("""COMPUTED_VALUE"""),43.0)</f>
        <v>43</v>
      </c>
      <c r="D662" s="8"/>
      <c r="E662" s="8" t="str">
        <f>IFERROR(__xludf.DUMMYFUNCTION("""COMPUTED_VALUE"""),"Absolutely gorgeous skirt! so feminine and curve hugging. wish i hadn't found this so late! want it in every imaginable color, but i will settle for the off white.
please bring this style back!")</f>
        <v>Absolutely gorgeous skirt! so feminine and curve hugging. wish i hadn't found this so late! want it in every imaginable color, but i will settle for the off white.
please bring this style back!</v>
      </c>
      <c r="F662" s="8">
        <f>IFERROR(__xludf.DUMMYFUNCTION("""COMPUTED_VALUE"""),5.0)</f>
        <v>5</v>
      </c>
      <c r="G662" s="8">
        <f>IFERROR(__xludf.DUMMYFUNCTION("""COMPUTED_VALUE"""),1.0)</f>
        <v>1</v>
      </c>
      <c r="H662" s="8">
        <f>IFERROR(__xludf.DUMMYFUNCTION("""COMPUTED_VALUE"""),1.0)</f>
        <v>1</v>
      </c>
      <c r="I662" s="8" t="str">
        <f>IFERROR(__xludf.DUMMYFUNCTION("""COMPUTED_VALUE"""),"Initmates")</f>
        <v>Initmates</v>
      </c>
      <c r="J662" s="8" t="str">
        <f>IFERROR(__xludf.DUMMYFUNCTION("""COMPUTED_VALUE"""),"Intimate")</f>
        <v>Intimate</v>
      </c>
      <c r="K662" s="8" t="str">
        <f>IFERROR(__xludf.DUMMYFUNCTION("""COMPUTED_VALUE"""),"Lounge")</f>
        <v>Lounge</v>
      </c>
    </row>
    <row r="663">
      <c r="A663" s="8">
        <f>IFERROR(__xludf.DUMMYFUNCTION("""COMPUTED_VALUE"""),859.0)</f>
        <v>859</v>
      </c>
      <c r="B663" s="8">
        <f>IFERROR(__xludf.DUMMYFUNCTION("""COMPUTED_VALUE"""),886.0)</f>
        <v>886</v>
      </c>
      <c r="C663" s="8">
        <f>IFERROR(__xludf.DUMMYFUNCTION("""COMPUTED_VALUE"""),27.0)</f>
        <v>27</v>
      </c>
      <c r="D663" s="8"/>
      <c r="E663" s="8" t="str">
        <f>IFERROR(__xludf.DUMMYFUNCTION("""COMPUTED_VALUE"""),"Great style!")</f>
        <v>Great style!</v>
      </c>
      <c r="F663" s="8">
        <f>IFERROR(__xludf.DUMMYFUNCTION("""COMPUTED_VALUE"""),5.0)</f>
        <v>5</v>
      </c>
      <c r="G663" s="8">
        <f>IFERROR(__xludf.DUMMYFUNCTION("""COMPUTED_VALUE"""),1.0)</f>
        <v>1</v>
      </c>
      <c r="H663" s="8">
        <f>IFERROR(__xludf.DUMMYFUNCTION("""COMPUTED_VALUE"""),1.0)</f>
        <v>1</v>
      </c>
      <c r="I663" s="8" t="str">
        <f>IFERROR(__xludf.DUMMYFUNCTION("""COMPUTED_VALUE"""),"General Petite")</f>
        <v>General Petite</v>
      </c>
      <c r="J663" s="8" t="str">
        <f>IFERROR(__xludf.DUMMYFUNCTION("""COMPUTED_VALUE"""),"Tops")</f>
        <v>Tops</v>
      </c>
      <c r="K663" s="8" t="str">
        <f>IFERROR(__xludf.DUMMYFUNCTION("""COMPUTED_VALUE"""),"Knits")</f>
        <v>Knits</v>
      </c>
    </row>
    <row r="664">
      <c r="A664" s="8">
        <f>IFERROR(__xludf.DUMMYFUNCTION("""COMPUTED_VALUE"""),860.0)</f>
        <v>860</v>
      </c>
      <c r="B664" s="8">
        <f>IFERROR(__xludf.DUMMYFUNCTION("""COMPUTED_VALUE"""),886.0)</f>
        <v>886</v>
      </c>
      <c r="C664" s="8">
        <f>IFERROR(__xludf.DUMMYFUNCTION("""COMPUTED_VALUE"""),26.0)</f>
        <v>26</v>
      </c>
      <c r="D664" s="8" t="str">
        <f>IFERROR(__xludf.DUMMYFUNCTION("""COMPUTED_VALUE"""),"Perfect!")</f>
        <v>Perfect!</v>
      </c>
      <c r="E664" s="8" t="str">
        <f>IFERROR(__xludf.DUMMYFUNCTION("""COMPUTED_VALUE"""),"This top is great - lightweight and flattering.
i can wear it to work with skinny white pants or to the grocery store with jeans. 
i purchased another color because i love the first i got so much.")</f>
        <v>This top is great - lightweight and flattering.
i can wear it to work with skinny white pants or to the grocery store with jeans. 
i purchased another color because i love the first i got so much.</v>
      </c>
      <c r="F664" s="8">
        <f>IFERROR(__xludf.DUMMYFUNCTION("""COMPUTED_VALUE"""),5.0)</f>
        <v>5</v>
      </c>
      <c r="G664" s="8">
        <f>IFERROR(__xludf.DUMMYFUNCTION("""COMPUTED_VALUE"""),1.0)</f>
        <v>1</v>
      </c>
      <c r="H664" s="8">
        <f>IFERROR(__xludf.DUMMYFUNCTION("""COMPUTED_VALUE"""),0.0)</f>
        <v>0</v>
      </c>
      <c r="I664" s="8" t="str">
        <f>IFERROR(__xludf.DUMMYFUNCTION("""COMPUTED_VALUE"""),"General Petite")</f>
        <v>General Petite</v>
      </c>
      <c r="J664" s="8" t="str">
        <f>IFERROR(__xludf.DUMMYFUNCTION("""COMPUTED_VALUE"""),"Tops")</f>
        <v>Tops</v>
      </c>
      <c r="K664" s="8" t="str">
        <f>IFERROR(__xludf.DUMMYFUNCTION("""COMPUTED_VALUE"""),"Knits")</f>
        <v>Knits</v>
      </c>
    </row>
    <row r="665">
      <c r="A665" s="8">
        <f>IFERROR(__xludf.DUMMYFUNCTION("""COMPUTED_VALUE"""),861.0)</f>
        <v>861</v>
      </c>
      <c r="B665" s="8">
        <f>IFERROR(__xludf.DUMMYFUNCTION("""COMPUTED_VALUE"""),1089.0)</f>
        <v>1089</v>
      </c>
      <c r="C665" s="8">
        <f>IFERROR(__xludf.DUMMYFUNCTION("""COMPUTED_VALUE"""),28.0)</f>
        <v>28</v>
      </c>
      <c r="D665" s="8" t="str">
        <f>IFERROR(__xludf.DUMMYFUNCTION("""COMPUTED_VALUE"""),"Beautiful dress!")</f>
        <v>Beautiful dress!</v>
      </c>
      <c r="E665" s="8" t="str">
        <f>IFERROR(__xludf.DUMMYFUNCTION("""COMPUTED_VALUE"""),"Can be dressed up or down. the top part is tight, while the bottom has a beautiful skirt. i'm slightly busty and about 5'6"" and the size 6 is perfect for me.")</f>
        <v>Can be dressed up or down. the top part is tight, while the bottom has a beautiful skirt. i'm slightly busty and about 5'6" and the size 6 is perfect for me.</v>
      </c>
      <c r="F665" s="8">
        <f>IFERROR(__xludf.DUMMYFUNCTION("""COMPUTED_VALUE"""),5.0)</f>
        <v>5</v>
      </c>
      <c r="G665" s="8">
        <f>IFERROR(__xludf.DUMMYFUNCTION("""COMPUTED_VALUE"""),1.0)</f>
        <v>1</v>
      </c>
      <c r="H665" s="8">
        <f>IFERROR(__xludf.DUMMYFUNCTION("""COMPUTED_VALUE"""),2.0)</f>
        <v>2</v>
      </c>
      <c r="I665" s="8" t="str">
        <f>IFERROR(__xludf.DUMMYFUNCTION("""COMPUTED_VALUE"""),"General Petite")</f>
        <v>General Petite</v>
      </c>
      <c r="J665" s="8" t="str">
        <f>IFERROR(__xludf.DUMMYFUNCTION("""COMPUTED_VALUE"""),"Dresses")</f>
        <v>Dresses</v>
      </c>
      <c r="K665" s="8" t="str">
        <f>IFERROR(__xludf.DUMMYFUNCTION("""COMPUTED_VALUE"""),"Dresses")</f>
        <v>Dresses</v>
      </c>
    </row>
    <row r="666">
      <c r="A666" s="8">
        <f>IFERROR(__xludf.DUMMYFUNCTION("""COMPUTED_VALUE"""),863.0)</f>
        <v>863</v>
      </c>
      <c r="B666" s="8">
        <f>IFERROR(__xludf.DUMMYFUNCTION("""COMPUTED_VALUE"""),886.0)</f>
        <v>886</v>
      </c>
      <c r="C666" s="8">
        <f>IFERROR(__xludf.DUMMYFUNCTION("""COMPUTED_VALUE"""),29.0)</f>
        <v>29</v>
      </c>
      <c r="D666" s="8" t="str">
        <f>IFERROR(__xludf.DUMMYFUNCTION("""COMPUTED_VALUE"""),"Comfortable")</f>
        <v>Comfortable</v>
      </c>
      <c r="E666" s="8" t="str">
        <f>IFERROR(__xludf.DUMMYFUNCTION("""COMPUTED_VALUE"""),"Love this shirt! i bought the light blue color and its amazing, fits well i love that its long in the back. very comfortable and loose. thinking of buying it in both pinks.")</f>
        <v>Love this shirt! i bought the light blue color and its amazing, fits well i love that its long in the back. very comfortable and loose. thinking of buying it in both pinks.</v>
      </c>
      <c r="F666" s="8">
        <f>IFERROR(__xludf.DUMMYFUNCTION("""COMPUTED_VALUE"""),5.0)</f>
        <v>5</v>
      </c>
      <c r="G666" s="8">
        <f>IFERROR(__xludf.DUMMYFUNCTION("""COMPUTED_VALUE"""),1.0)</f>
        <v>1</v>
      </c>
      <c r="H666" s="8">
        <f>IFERROR(__xludf.DUMMYFUNCTION("""COMPUTED_VALUE"""),0.0)</f>
        <v>0</v>
      </c>
      <c r="I666" s="8" t="str">
        <f>IFERROR(__xludf.DUMMYFUNCTION("""COMPUTED_VALUE"""),"General Petite")</f>
        <v>General Petite</v>
      </c>
      <c r="J666" s="8" t="str">
        <f>IFERROR(__xludf.DUMMYFUNCTION("""COMPUTED_VALUE"""),"Tops")</f>
        <v>Tops</v>
      </c>
      <c r="K666" s="8" t="str">
        <f>IFERROR(__xludf.DUMMYFUNCTION("""COMPUTED_VALUE"""),"Knits")</f>
        <v>Knits</v>
      </c>
    </row>
    <row r="667">
      <c r="A667" s="8">
        <f>IFERROR(__xludf.DUMMYFUNCTION("""COMPUTED_VALUE"""),864.0)</f>
        <v>864</v>
      </c>
      <c r="B667" s="8">
        <f>IFERROR(__xludf.DUMMYFUNCTION("""COMPUTED_VALUE"""),1078.0)</f>
        <v>1078</v>
      </c>
      <c r="C667" s="8">
        <f>IFERROR(__xludf.DUMMYFUNCTION("""COMPUTED_VALUE"""),47.0)</f>
        <v>47</v>
      </c>
      <c r="D667" s="8" t="str">
        <f>IFERROR(__xludf.DUMMYFUNCTION("""COMPUTED_VALUE"""),"Could be a bit shorter")</f>
        <v>Could be a bit shorter</v>
      </c>
      <c r="E667" s="8" t="str">
        <f>IFERROR(__xludf.DUMMYFUNCTION("""COMPUTED_VALUE"""),"Great material. a bit loose in the middle / lower half. doesn't belt well. it could be 3"" shorter, considering alterations. i'm 5'7"" the model is 5'10"", so yeah 3"" shorter would be cute!")</f>
        <v>Great material. a bit loose in the middle / lower half. doesn't belt well. it could be 3" shorter, considering alterations. i'm 5'7" the model is 5'10", so yeah 3" shorter would be cute!</v>
      </c>
      <c r="F667" s="8">
        <f>IFERROR(__xludf.DUMMYFUNCTION("""COMPUTED_VALUE"""),4.0)</f>
        <v>4</v>
      </c>
      <c r="G667" s="8">
        <f>IFERROR(__xludf.DUMMYFUNCTION("""COMPUTED_VALUE"""),1.0)</f>
        <v>1</v>
      </c>
      <c r="H667" s="8">
        <f>IFERROR(__xludf.DUMMYFUNCTION("""COMPUTED_VALUE"""),0.0)</f>
        <v>0</v>
      </c>
      <c r="I667" s="8" t="str">
        <f>IFERROR(__xludf.DUMMYFUNCTION("""COMPUTED_VALUE"""),"General")</f>
        <v>General</v>
      </c>
      <c r="J667" s="8" t="str">
        <f>IFERROR(__xludf.DUMMYFUNCTION("""COMPUTED_VALUE"""),"Dresses")</f>
        <v>Dresses</v>
      </c>
      <c r="K667" s="8" t="str">
        <f>IFERROR(__xludf.DUMMYFUNCTION("""COMPUTED_VALUE"""),"Dresses")</f>
        <v>Dresses</v>
      </c>
    </row>
    <row r="668">
      <c r="A668" s="8">
        <f>IFERROR(__xludf.DUMMYFUNCTION("""COMPUTED_VALUE"""),865.0)</f>
        <v>865</v>
      </c>
      <c r="B668" s="8">
        <f>IFERROR(__xludf.DUMMYFUNCTION("""COMPUTED_VALUE"""),895.0)</f>
        <v>895</v>
      </c>
      <c r="C668" s="8">
        <f>IFERROR(__xludf.DUMMYFUNCTION("""COMPUTED_VALUE"""),28.0)</f>
        <v>28</v>
      </c>
      <c r="D668" s="8" t="str">
        <f>IFERROR(__xludf.DUMMYFUNCTION("""COMPUTED_VALUE"""),"Great cardigan")</f>
        <v>Great cardigan</v>
      </c>
      <c r="E668" s="8" t="str">
        <f>IFERROR(__xludf.DUMMYFUNCTION("""COMPUTED_VALUE"""),"Love this cardigan. fits just as i expected. very structured in the front with a bit of flair in the back.")</f>
        <v>Love this cardigan. fits just as i expected. very structured in the front with a bit of flair in the back.</v>
      </c>
      <c r="F668" s="8">
        <f>IFERROR(__xludf.DUMMYFUNCTION("""COMPUTED_VALUE"""),5.0)</f>
        <v>5</v>
      </c>
      <c r="G668" s="8">
        <f>IFERROR(__xludf.DUMMYFUNCTION("""COMPUTED_VALUE"""),1.0)</f>
        <v>1</v>
      </c>
      <c r="H668" s="8">
        <f>IFERROR(__xludf.DUMMYFUNCTION("""COMPUTED_VALUE"""),0.0)</f>
        <v>0</v>
      </c>
      <c r="I668" s="8" t="str">
        <f>IFERROR(__xludf.DUMMYFUNCTION("""COMPUTED_VALUE"""),"General Petite")</f>
        <v>General Petite</v>
      </c>
      <c r="J668" s="8" t="str">
        <f>IFERROR(__xludf.DUMMYFUNCTION("""COMPUTED_VALUE"""),"Tops")</f>
        <v>Tops</v>
      </c>
      <c r="K668" s="8" t="str">
        <f>IFERROR(__xludf.DUMMYFUNCTION("""COMPUTED_VALUE"""),"Fine gauge")</f>
        <v>Fine gauge</v>
      </c>
    </row>
    <row r="669">
      <c r="A669" s="8">
        <f>IFERROR(__xludf.DUMMYFUNCTION("""COMPUTED_VALUE"""),867.0)</f>
        <v>867</v>
      </c>
      <c r="B669" s="8">
        <f>IFERROR(__xludf.DUMMYFUNCTION("""COMPUTED_VALUE"""),895.0)</f>
        <v>895</v>
      </c>
      <c r="C669" s="8">
        <f>IFERROR(__xludf.DUMMYFUNCTION("""COMPUTED_VALUE"""),64.0)</f>
        <v>64</v>
      </c>
      <c r="D669" s="8" t="str">
        <f>IFERROR(__xludf.DUMMYFUNCTION("""COMPUTED_VALUE"""),"Pretty")</f>
        <v>Pretty</v>
      </c>
      <c r="E669" s="8" t="str">
        <f>IFERROR(__xludf.DUMMYFUNCTION("""COMPUTED_VALUE"""),"This is a pretty sweater. i ordered the red and it is a plum color, not close to red, but it will work well with black, gray and denim. i found the sweater looks boxy from the front but the back is spectacular. it is very well made. no raw edges or seams "&amp;"that are threatening to unravel. this will be nice for casual holiday dressing. i found a longer tank in white works well under this.")</f>
        <v>This is a pretty sweater. i ordered the red and it is a plum color, not close to red, but it will work well with black, gray and denim. i found the sweater looks boxy from the front but the back is spectacular. it is very well made. no raw edges or seams that are threatening to unravel. this will be nice for casual holiday dressing. i found a longer tank in white works well under this.</v>
      </c>
      <c r="F669" s="8">
        <f>IFERROR(__xludf.DUMMYFUNCTION("""COMPUTED_VALUE"""),5.0)</f>
        <v>5</v>
      </c>
      <c r="G669" s="8">
        <f>IFERROR(__xludf.DUMMYFUNCTION("""COMPUTED_VALUE"""),1.0)</f>
        <v>1</v>
      </c>
      <c r="H669" s="8">
        <f>IFERROR(__xludf.DUMMYFUNCTION("""COMPUTED_VALUE"""),1.0)</f>
        <v>1</v>
      </c>
      <c r="I669" s="8" t="str">
        <f>IFERROR(__xludf.DUMMYFUNCTION("""COMPUTED_VALUE"""),"General Petite")</f>
        <v>General Petite</v>
      </c>
      <c r="J669" s="8" t="str">
        <f>IFERROR(__xludf.DUMMYFUNCTION("""COMPUTED_VALUE"""),"Tops")</f>
        <v>Tops</v>
      </c>
      <c r="K669" s="8" t="str">
        <f>IFERROR(__xludf.DUMMYFUNCTION("""COMPUTED_VALUE"""),"Fine gauge")</f>
        <v>Fine gauge</v>
      </c>
    </row>
    <row r="670">
      <c r="A670" s="8">
        <f>IFERROR(__xludf.DUMMYFUNCTION("""COMPUTED_VALUE"""),868.0)</f>
        <v>868</v>
      </c>
      <c r="B670" s="8">
        <f>IFERROR(__xludf.DUMMYFUNCTION("""COMPUTED_VALUE"""),975.0)</f>
        <v>975</v>
      </c>
      <c r="C670" s="8">
        <f>IFERROR(__xludf.DUMMYFUNCTION("""COMPUTED_VALUE"""),64.0)</f>
        <v>64</v>
      </c>
      <c r="D670" s="8" t="str">
        <f>IFERROR(__xludf.DUMMYFUNCTION("""COMPUTED_VALUE"""),"Well...it is green")</f>
        <v>Well...it is green</v>
      </c>
      <c r="E670" s="8" t="str">
        <f>IFERROR(__xludf.DUMMYFUNCTION("""COMPUTED_VALUE"""),"This is silly, but the moss is not brown as pictured but olive green. with that ""said,"" i am going more casual, and i love the ""flex"" of this coat. the shape is beautiful and the lining is fun. i waited two months to get this in close to my size 00. f"&amp;"or my style it is a keeper, but this back order situation is not acceptable. don't know whose fault that is?")</f>
        <v>This is silly, but the moss is not brown as pictured but olive green. with that "said," i am going more casual, and i love the "flex" of this coat. the shape is beautiful and the lining is fun. i waited two months to get this in close to my size 00. for my style it is a keeper, but this back order situation is not acceptable. don't know whose fault that is?</v>
      </c>
      <c r="F670" s="8">
        <f>IFERROR(__xludf.DUMMYFUNCTION("""COMPUTED_VALUE"""),4.0)</f>
        <v>4</v>
      </c>
      <c r="G670" s="8">
        <f>IFERROR(__xludf.DUMMYFUNCTION("""COMPUTED_VALUE"""),1.0)</f>
        <v>1</v>
      </c>
      <c r="H670" s="8">
        <f>IFERROR(__xludf.DUMMYFUNCTION("""COMPUTED_VALUE"""),3.0)</f>
        <v>3</v>
      </c>
      <c r="I670" s="8" t="str">
        <f>IFERROR(__xludf.DUMMYFUNCTION("""COMPUTED_VALUE"""),"General")</f>
        <v>General</v>
      </c>
      <c r="J670" s="8" t="str">
        <f>IFERROR(__xludf.DUMMYFUNCTION("""COMPUTED_VALUE"""),"Jackets")</f>
        <v>Jackets</v>
      </c>
      <c r="K670" s="8" t="str">
        <f>IFERROR(__xludf.DUMMYFUNCTION("""COMPUTED_VALUE"""),"Jackets")</f>
        <v>Jackets</v>
      </c>
    </row>
    <row r="671">
      <c r="A671" s="8">
        <f>IFERROR(__xludf.DUMMYFUNCTION("""COMPUTED_VALUE"""),869.0)</f>
        <v>869</v>
      </c>
      <c r="B671" s="8">
        <f>IFERROR(__xludf.DUMMYFUNCTION("""COMPUTED_VALUE"""),886.0)</f>
        <v>886</v>
      </c>
      <c r="C671" s="8">
        <f>IFERROR(__xludf.DUMMYFUNCTION("""COMPUTED_VALUE"""),52.0)</f>
        <v>52</v>
      </c>
      <c r="D671" s="8"/>
      <c r="E671" s="8" t="str">
        <f>IFERROR(__xludf.DUMMYFUNCTION("""COMPUTED_VALUE"""),"I bought this tunic in black and am seriously considering buying it in more colors. it is so comfortable and very flattering. i am 5'11"", so many tunics are more like shirts on me, but this one is the perfect length to wear with leggings or pants. the v "&amp;"neck is a nice, feminine touch and i love the change in material around the edges.")</f>
        <v>I bought this tunic in black and am seriously considering buying it in more colors. it is so comfortable and very flattering. i am 5'11", so many tunics are more like shirts on me, but this one is the perfect length to wear with leggings or pants. the v neck is a nice, feminine touch and i love the change in material around the edges.</v>
      </c>
      <c r="F671" s="8">
        <f>IFERROR(__xludf.DUMMYFUNCTION("""COMPUTED_VALUE"""),5.0)</f>
        <v>5</v>
      </c>
      <c r="G671" s="8">
        <f>IFERROR(__xludf.DUMMYFUNCTION("""COMPUTED_VALUE"""),1.0)</f>
        <v>1</v>
      </c>
      <c r="H671" s="8">
        <f>IFERROR(__xludf.DUMMYFUNCTION("""COMPUTED_VALUE"""),6.0)</f>
        <v>6</v>
      </c>
      <c r="I671" s="8" t="str">
        <f>IFERROR(__xludf.DUMMYFUNCTION("""COMPUTED_VALUE"""),"General Petite")</f>
        <v>General Petite</v>
      </c>
      <c r="J671" s="8" t="str">
        <f>IFERROR(__xludf.DUMMYFUNCTION("""COMPUTED_VALUE"""),"Tops")</f>
        <v>Tops</v>
      </c>
      <c r="K671" s="8" t="str">
        <f>IFERROR(__xludf.DUMMYFUNCTION("""COMPUTED_VALUE"""),"Knits")</f>
        <v>Knits</v>
      </c>
    </row>
    <row r="672">
      <c r="A672" s="8">
        <f>IFERROR(__xludf.DUMMYFUNCTION("""COMPUTED_VALUE"""),870.0)</f>
        <v>870</v>
      </c>
      <c r="B672" s="8">
        <f>IFERROR(__xludf.DUMMYFUNCTION("""COMPUTED_VALUE"""),975.0)</f>
        <v>975</v>
      </c>
      <c r="C672" s="8">
        <f>IFERROR(__xludf.DUMMYFUNCTION("""COMPUTED_VALUE"""),52.0)</f>
        <v>52</v>
      </c>
      <c r="D672" s="8" t="str">
        <f>IFERROR(__xludf.DUMMYFUNCTION("""COMPUTED_VALUE"""),"Feminine blazer")</f>
        <v>Feminine blazer</v>
      </c>
      <c r="E672" s="8" t="str">
        <f>IFERROR(__xludf.DUMMYFUNCTION("""COMPUTED_VALUE"""),"I am 5 feet and 120. i ordered a petite small in moss. i have posted a photo below. it's a pretty green. the lining is pretty. the reason i deducted a star is because the lining is very thin and ""slips"" a little when putting the jacket on. but it doesn'"&amp;"t effect the way the jacket falls and i wear it comfortably. it's floppy, but not sloppy. i was surprised that each side the fabric is like a tulip. it was a nice surprise. i'm curvy and busty. i have zero problem with it being unflattering. the s")</f>
        <v>I am 5 feet and 120. i ordered a petite small in moss. i have posted a photo below. it's a pretty green. the lining is pretty. the reason i deducted a star is because the lining is very thin and "slips" a little when putting the jacket on. but it doesn't effect the way the jacket falls and i wear it comfortably. it's floppy, but not sloppy. i was surprised that each side the fabric is like a tulip. it was a nice surprise. i'm curvy and busty. i have zero problem with it being unflattering. the s</v>
      </c>
      <c r="F672" s="8">
        <f>IFERROR(__xludf.DUMMYFUNCTION("""COMPUTED_VALUE"""),5.0)</f>
        <v>5</v>
      </c>
      <c r="G672" s="8">
        <f>IFERROR(__xludf.DUMMYFUNCTION("""COMPUTED_VALUE"""),1.0)</f>
        <v>1</v>
      </c>
      <c r="H672" s="8">
        <f>IFERROR(__xludf.DUMMYFUNCTION("""COMPUTED_VALUE"""),3.0)</f>
        <v>3</v>
      </c>
      <c r="I672" s="8" t="str">
        <f>IFERROR(__xludf.DUMMYFUNCTION("""COMPUTED_VALUE"""),"General")</f>
        <v>General</v>
      </c>
      <c r="J672" s="8" t="str">
        <f>IFERROR(__xludf.DUMMYFUNCTION("""COMPUTED_VALUE"""),"Jackets")</f>
        <v>Jackets</v>
      </c>
      <c r="K672" s="8" t="str">
        <f>IFERROR(__xludf.DUMMYFUNCTION("""COMPUTED_VALUE"""),"Jackets")</f>
        <v>Jackets</v>
      </c>
    </row>
    <row r="673">
      <c r="A673" s="8">
        <f>IFERROR(__xludf.DUMMYFUNCTION("""COMPUTED_VALUE"""),871.0)</f>
        <v>871</v>
      </c>
      <c r="B673" s="8">
        <f>IFERROR(__xludf.DUMMYFUNCTION("""COMPUTED_VALUE"""),815.0)</f>
        <v>815</v>
      </c>
      <c r="C673" s="8">
        <f>IFERROR(__xludf.DUMMYFUNCTION("""COMPUTED_VALUE"""),72.0)</f>
        <v>72</v>
      </c>
      <c r="D673" s="8" t="str">
        <f>IFERROR(__xludf.DUMMYFUNCTION("""COMPUTED_VALUE"""),"Adorable top, a little pricey")</f>
        <v>Adorable top, a little pricey</v>
      </c>
      <c r="E673" s="8" t="str">
        <f>IFERROR(__xludf.DUMMYFUNCTION("""COMPUTED_VALUE"""),"I ordered this shirt to wear with a pair of pants that i had to return - which is one reason the top went back as well. it really is cute and i like the exaggerated key hole in the back. i certainly could have found other things to pair with this top, but"&amp;" it came down to the price. i just didn't think it said $118. hopefully its still around when it goes on sale. its very cute. fits true to size.")</f>
        <v>I ordered this shirt to wear with a pair of pants that i had to return - which is one reason the top went back as well. it really is cute and i like the exaggerated key hole in the back. i certainly could have found other things to pair with this top, but it came down to the price. i just didn't think it said $118. hopefully its still around when it goes on sale. its very cute. fits true to size.</v>
      </c>
      <c r="F673" s="8">
        <f>IFERROR(__xludf.DUMMYFUNCTION("""COMPUTED_VALUE"""),4.0)</f>
        <v>4</v>
      </c>
      <c r="G673" s="8">
        <f>IFERROR(__xludf.DUMMYFUNCTION("""COMPUTED_VALUE"""),1.0)</f>
        <v>1</v>
      </c>
      <c r="H673" s="8">
        <f>IFERROR(__xludf.DUMMYFUNCTION("""COMPUTED_VALUE"""),2.0)</f>
        <v>2</v>
      </c>
      <c r="I673" s="8" t="str">
        <f>IFERROR(__xludf.DUMMYFUNCTION("""COMPUTED_VALUE"""),"General Petite")</f>
        <v>General Petite</v>
      </c>
      <c r="J673" s="8" t="str">
        <f>IFERROR(__xludf.DUMMYFUNCTION("""COMPUTED_VALUE"""),"Tops")</f>
        <v>Tops</v>
      </c>
      <c r="K673" s="8" t="str">
        <f>IFERROR(__xludf.DUMMYFUNCTION("""COMPUTED_VALUE"""),"Blouses")</f>
        <v>Blouses</v>
      </c>
    </row>
    <row r="674">
      <c r="A674" s="8">
        <f>IFERROR(__xludf.DUMMYFUNCTION("""COMPUTED_VALUE"""),872.0)</f>
        <v>872</v>
      </c>
      <c r="B674" s="8">
        <f>IFERROR(__xludf.DUMMYFUNCTION("""COMPUTED_VALUE"""),1026.0)</f>
        <v>1026</v>
      </c>
      <c r="C674" s="8">
        <f>IFERROR(__xludf.DUMMYFUNCTION("""COMPUTED_VALUE"""),43.0)</f>
        <v>43</v>
      </c>
      <c r="D674" s="8" t="str">
        <f>IFERROR(__xludf.DUMMYFUNCTION("""COMPUTED_VALUE"""),"So comfortable")</f>
        <v>So comfortable</v>
      </c>
      <c r="E674" s="8" t="str">
        <f>IFERROR(__xludf.DUMMYFUNCTION("""COMPUTED_VALUE"""),"These leggings are soft, comfortable and go with everything. love the way they feel.")</f>
        <v>These leggings are soft, comfortable and go with everything. love the way they feel.</v>
      </c>
      <c r="F674" s="8">
        <f>IFERROR(__xludf.DUMMYFUNCTION("""COMPUTED_VALUE"""),5.0)</f>
        <v>5</v>
      </c>
      <c r="G674" s="8">
        <f>IFERROR(__xludf.DUMMYFUNCTION("""COMPUTED_VALUE"""),1.0)</f>
        <v>1</v>
      </c>
      <c r="H674" s="8">
        <f>IFERROR(__xludf.DUMMYFUNCTION("""COMPUTED_VALUE"""),1.0)</f>
        <v>1</v>
      </c>
      <c r="I674" s="8" t="str">
        <f>IFERROR(__xludf.DUMMYFUNCTION("""COMPUTED_VALUE"""),"General Petite")</f>
        <v>General Petite</v>
      </c>
      <c r="J674" s="8" t="str">
        <f>IFERROR(__xludf.DUMMYFUNCTION("""COMPUTED_VALUE"""),"Bottoms")</f>
        <v>Bottoms</v>
      </c>
      <c r="K674" s="8" t="str">
        <f>IFERROR(__xludf.DUMMYFUNCTION("""COMPUTED_VALUE"""),"Jeans")</f>
        <v>Jeans</v>
      </c>
    </row>
    <row r="675">
      <c r="A675" s="8">
        <f>IFERROR(__xludf.DUMMYFUNCTION("""COMPUTED_VALUE"""),876.0)</f>
        <v>876</v>
      </c>
      <c r="B675" s="8">
        <f>IFERROR(__xludf.DUMMYFUNCTION("""COMPUTED_VALUE"""),2.0)</f>
        <v>2</v>
      </c>
      <c r="C675" s="8">
        <f>IFERROR(__xludf.DUMMYFUNCTION("""COMPUTED_VALUE"""),28.0)</f>
        <v>28</v>
      </c>
      <c r="D675" s="8" t="str">
        <f>IFERROR(__xludf.DUMMYFUNCTION("""COMPUTED_VALUE"""),"Gorgeous top, straps way too long")</f>
        <v>Gorgeous top, straps way too long</v>
      </c>
      <c r="E675" s="8" t="str">
        <f>IFERROR(__xludf.DUMMYFUNCTION("""COMPUTED_VALUE"""),"I just adore this top! it is so comfy and stylish. i wear it with a little purple cardigan and feel like an iris in bloom. like other reviewers have mentioned though, the straps are way too long. i had to cut them down and re-sew to make it wearable. befo"&amp;"re that it just slouched in front and looked sloppy and awful. i tried layering under it, which looked absurd.")</f>
        <v>I just adore this top! it is so comfy and stylish. i wear it with a little purple cardigan and feel like an iris in bloom. like other reviewers have mentioned though, the straps are way too long. i had to cut them down and re-sew to make it wearable. before that it just slouched in front and looked sloppy and awful. i tried layering under it, which looked absurd.</v>
      </c>
      <c r="F675" s="8">
        <f>IFERROR(__xludf.DUMMYFUNCTION("""COMPUTED_VALUE"""),4.0)</f>
        <v>4</v>
      </c>
      <c r="G675" s="8">
        <f>IFERROR(__xludf.DUMMYFUNCTION("""COMPUTED_VALUE"""),1.0)</f>
        <v>1</v>
      </c>
      <c r="H675" s="8">
        <f>IFERROR(__xludf.DUMMYFUNCTION("""COMPUTED_VALUE"""),0.0)</f>
        <v>0</v>
      </c>
      <c r="I675" s="8" t="str">
        <f>IFERROR(__xludf.DUMMYFUNCTION("""COMPUTED_VALUE"""),"General")</f>
        <v>General</v>
      </c>
      <c r="J675" s="8" t="str">
        <f>IFERROR(__xludf.DUMMYFUNCTION("""COMPUTED_VALUE"""),"Tops")</f>
        <v>Tops</v>
      </c>
      <c r="K675" s="8" t="str">
        <f>IFERROR(__xludf.DUMMYFUNCTION("""COMPUTED_VALUE"""),"Knits")</f>
        <v>Knits</v>
      </c>
    </row>
    <row r="676">
      <c r="A676" s="8">
        <f>IFERROR(__xludf.DUMMYFUNCTION("""COMPUTED_VALUE"""),877.0)</f>
        <v>877</v>
      </c>
      <c r="B676" s="8">
        <f>IFERROR(__xludf.DUMMYFUNCTION("""COMPUTED_VALUE"""),1081.0)</f>
        <v>1081</v>
      </c>
      <c r="C676" s="8">
        <f>IFERROR(__xludf.DUMMYFUNCTION("""COMPUTED_VALUE"""),51.0)</f>
        <v>51</v>
      </c>
      <c r="D676" s="8" t="str">
        <f>IFERROR(__xludf.DUMMYFUNCTION("""COMPUTED_VALUE"""),"Still awesome")</f>
        <v>Still awesome</v>
      </c>
      <c r="E676" s="8" t="str">
        <f>IFERROR(__xludf.DUMMYFUNCTION("""COMPUTED_VALUE"""),"I read the reviews prior to purchasing but loved the pattern so much i had to have it. i was not disappointed however, had i not read the reviews i would have been. it is true the top of the dress is flat and does not have the detail as shown on the model"&amp;". it also appears to be disproportionate. i am 5'1 and curvy the bottom fits well but the top is large however rectified by wearing a padded bra. since i ordered the petite i was surprised the dress was above the ankle (usually their items are l")</f>
        <v>I read the reviews prior to purchasing but loved the pattern so much i had to have it. i was not disappointed however, had i not read the reviews i would have been. it is true the top of the dress is flat and does not have the detail as shown on the model. it also appears to be disproportionate. i am 5'1 and curvy the bottom fits well but the top is large however rectified by wearing a padded bra. since i ordered the petite i was surprised the dress was above the ankle (usually their items are l</v>
      </c>
      <c r="F676" s="8">
        <f>IFERROR(__xludf.DUMMYFUNCTION("""COMPUTED_VALUE"""),5.0)</f>
        <v>5</v>
      </c>
      <c r="G676" s="8">
        <f>IFERROR(__xludf.DUMMYFUNCTION("""COMPUTED_VALUE"""),1.0)</f>
        <v>1</v>
      </c>
      <c r="H676" s="8">
        <f>IFERROR(__xludf.DUMMYFUNCTION("""COMPUTED_VALUE"""),0.0)</f>
        <v>0</v>
      </c>
      <c r="I676" s="8" t="str">
        <f>IFERROR(__xludf.DUMMYFUNCTION("""COMPUTED_VALUE"""),"General")</f>
        <v>General</v>
      </c>
      <c r="J676" s="8" t="str">
        <f>IFERROR(__xludf.DUMMYFUNCTION("""COMPUTED_VALUE"""),"Dresses")</f>
        <v>Dresses</v>
      </c>
      <c r="K676" s="8" t="str">
        <f>IFERROR(__xludf.DUMMYFUNCTION("""COMPUTED_VALUE"""),"Dresses")</f>
        <v>Dresses</v>
      </c>
    </row>
    <row r="677">
      <c r="A677" s="8">
        <f>IFERROR(__xludf.DUMMYFUNCTION("""COMPUTED_VALUE"""),878.0)</f>
        <v>878</v>
      </c>
      <c r="B677" s="8">
        <f>IFERROR(__xludf.DUMMYFUNCTION("""COMPUTED_VALUE"""),936.0)</f>
        <v>936</v>
      </c>
      <c r="C677" s="8">
        <f>IFERROR(__xludf.DUMMYFUNCTION("""COMPUTED_VALUE"""),35.0)</f>
        <v>35</v>
      </c>
      <c r="D677" s="8" t="str">
        <f>IFERROR(__xludf.DUMMYFUNCTION("""COMPUTED_VALUE"""),"Perfect for any season")</f>
        <v>Perfect for any season</v>
      </c>
      <c r="E677" s="8" t="str">
        <f>IFERROR(__xludf.DUMMYFUNCTION("""COMPUTED_VALUE"""),"This is more beautiful in person. i love the detail and color. i usually don't like ponchos but this one's shape with the square front definitely sets this apart.")</f>
        <v>This is more beautiful in person. i love the detail and color. i usually don't like ponchos but this one's shape with the square front definitely sets this apart.</v>
      </c>
      <c r="F677" s="8">
        <f>IFERROR(__xludf.DUMMYFUNCTION("""COMPUTED_VALUE"""),5.0)</f>
        <v>5</v>
      </c>
      <c r="G677" s="8">
        <f>IFERROR(__xludf.DUMMYFUNCTION("""COMPUTED_VALUE"""),1.0)</f>
        <v>1</v>
      </c>
      <c r="H677" s="8">
        <f>IFERROR(__xludf.DUMMYFUNCTION("""COMPUTED_VALUE"""),9.0)</f>
        <v>9</v>
      </c>
      <c r="I677" s="8" t="str">
        <f>IFERROR(__xludf.DUMMYFUNCTION("""COMPUTED_VALUE"""),"General Petite")</f>
        <v>General Petite</v>
      </c>
      <c r="J677" s="8" t="str">
        <f>IFERROR(__xludf.DUMMYFUNCTION("""COMPUTED_VALUE"""),"Tops")</f>
        <v>Tops</v>
      </c>
      <c r="K677" s="8" t="str">
        <f>IFERROR(__xludf.DUMMYFUNCTION("""COMPUTED_VALUE"""),"Sweaters")</f>
        <v>Sweaters</v>
      </c>
    </row>
    <row r="678">
      <c r="A678" s="8">
        <f>IFERROR(__xludf.DUMMYFUNCTION("""COMPUTED_VALUE"""),879.0)</f>
        <v>879</v>
      </c>
      <c r="B678" s="8">
        <f>IFERROR(__xludf.DUMMYFUNCTION("""COMPUTED_VALUE"""),1026.0)</f>
        <v>1026</v>
      </c>
      <c r="C678" s="8">
        <f>IFERROR(__xludf.DUMMYFUNCTION("""COMPUTED_VALUE"""),66.0)</f>
        <v>66</v>
      </c>
      <c r="D678" s="8" t="str">
        <f>IFERROR(__xludf.DUMMYFUNCTION("""COMPUTED_VALUE"""),"Super cute pants")</f>
        <v>Super cute pants</v>
      </c>
      <c r="E678" s="8" t="str">
        <f>IFERROR(__xludf.DUMMYFUNCTION("""COMPUTED_VALUE"""),"I rarely write reviews but had to comment on these pants. these pilcro pants are my favorite for the fall and winter. they fit beautifully and are a great alternative to jeans. the pants are so comfortable and flattering. love the print and they are so ve"&amp;"rsatile as they can be worn as very casual pants and can be dressed up. i am in my 60's and am always looking for clothes that are stylish without being too young looking for a woman my age. retailer is my favorite store!")</f>
        <v>I rarely write reviews but had to comment on these pants. these pilcro pants are my favorite for the fall and winter. they fit beautifully and are a great alternative to jeans. the pants are so comfortable and flattering. love the print and they are so versatile as they can be worn as very casual pants and can be dressed up. i am in my 60's and am always looking for clothes that are stylish without being too young looking for a woman my age. retailer is my favorite store!</v>
      </c>
      <c r="F678" s="8">
        <f>IFERROR(__xludf.DUMMYFUNCTION("""COMPUTED_VALUE"""),5.0)</f>
        <v>5</v>
      </c>
      <c r="G678" s="8">
        <f>IFERROR(__xludf.DUMMYFUNCTION("""COMPUTED_VALUE"""),1.0)</f>
        <v>1</v>
      </c>
      <c r="H678" s="8">
        <f>IFERROR(__xludf.DUMMYFUNCTION("""COMPUTED_VALUE"""),1.0)</f>
        <v>1</v>
      </c>
      <c r="I678" s="8" t="str">
        <f>IFERROR(__xludf.DUMMYFUNCTION("""COMPUTED_VALUE"""),"General Petite")</f>
        <v>General Petite</v>
      </c>
      <c r="J678" s="8" t="str">
        <f>IFERROR(__xludf.DUMMYFUNCTION("""COMPUTED_VALUE"""),"Bottoms")</f>
        <v>Bottoms</v>
      </c>
      <c r="K678" s="8" t="str">
        <f>IFERROR(__xludf.DUMMYFUNCTION("""COMPUTED_VALUE"""),"Jeans")</f>
        <v>Jeans</v>
      </c>
    </row>
    <row r="679">
      <c r="A679" s="8">
        <f>IFERROR(__xludf.DUMMYFUNCTION("""COMPUTED_VALUE"""),881.0)</f>
        <v>881</v>
      </c>
      <c r="B679" s="8">
        <f>IFERROR(__xludf.DUMMYFUNCTION("""COMPUTED_VALUE"""),299.0)</f>
        <v>299</v>
      </c>
      <c r="C679" s="8">
        <f>IFERROR(__xludf.DUMMYFUNCTION("""COMPUTED_VALUE"""),37.0)</f>
        <v>37</v>
      </c>
      <c r="D679" s="8" t="str">
        <f>IFERROR(__xludf.DUMMYFUNCTION("""COMPUTED_VALUE"""),"Cute casual shorts")</f>
        <v>Cute casual shorts</v>
      </c>
      <c r="E679" s="8" t="str">
        <f>IFERROR(__xludf.DUMMYFUNCTION("""COMPUTED_VALUE"""),"I ordered these in both the grey and moss, and i love both. they are very soft, very easy, loose fitting casual shorts. i wear them a bit lower on my waist than pictured, so they hit lower on my leg than on the model, which i prefer in these. i am 5'3, 10"&amp;"5 lbs, ordered xs. the dark grey ones feel more versatile, like you could throw on anything with them and go. the moss look cute with white/cream summery tops. they washed well (machine, cold, laid flat to dry), touched up with light steam from")</f>
        <v>I ordered these in both the grey and moss, and i love both. they are very soft, very easy, loose fitting casual shorts. i wear them a bit lower on my waist than pictured, so they hit lower on my leg than on the model, which i prefer in these. i am 5'3, 105 lbs, ordered xs. the dark grey ones feel more versatile, like you could throw on anything with them and go. the moss look cute with white/cream summery tops. they washed well (machine, cold, laid flat to dry), touched up with light steam from</v>
      </c>
      <c r="F679" s="8">
        <f>IFERROR(__xludf.DUMMYFUNCTION("""COMPUTED_VALUE"""),5.0)</f>
        <v>5</v>
      </c>
      <c r="G679" s="8">
        <f>IFERROR(__xludf.DUMMYFUNCTION("""COMPUTED_VALUE"""),1.0)</f>
        <v>1</v>
      </c>
      <c r="H679" s="8">
        <f>IFERROR(__xludf.DUMMYFUNCTION("""COMPUTED_VALUE"""),3.0)</f>
        <v>3</v>
      </c>
      <c r="I679" s="8" t="str">
        <f>IFERROR(__xludf.DUMMYFUNCTION("""COMPUTED_VALUE"""),"General")</f>
        <v>General</v>
      </c>
      <c r="J679" s="8" t="str">
        <f>IFERROR(__xludf.DUMMYFUNCTION("""COMPUTED_VALUE"""),"Bottoms")</f>
        <v>Bottoms</v>
      </c>
      <c r="K679" s="8" t="str">
        <f>IFERROR(__xludf.DUMMYFUNCTION("""COMPUTED_VALUE"""),"Shorts")</f>
        <v>Shorts</v>
      </c>
    </row>
    <row r="680">
      <c r="A680" s="8">
        <f>IFERROR(__xludf.DUMMYFUNCTION("""COMPUTED_VALUE"""),882.0)</f>
        <v>882</v>
      </c>
      <c r="B680" s="8">
        <f>IFERROR(__xludf.DUMMYFUNCTION("""COMPUTED_VALUE"""),1055.0)</f>
        <v>1055</v>
      </c>
      <c r="C680" s="8">
        <f>IFERROR(__xludf.DUMMYFUNCTION("""COMPUTED_VALUE"""),36.0)</f>
        <v>36</v>
      </c>
      <c r="D680" s="8" t="str">
        <f>IFERROR(__xludf.DUMMYFUNCTION("""COMPUTED_VALUE"""),"Adorable culottes!")</f>
        <v>Adorable culottes!</v>
      </c>
      <c r="E680" s="8" t="str">
        <f>IFERROR(__xludf.DUMMYFUNCTION("""COMPUTED_VALUE"""),"These culottes are adorable on....if you order up two whole sizes! they run extremely small. fabric is thick, high quality and a beautiful color.")</f>
        <v>These culottes are adorable on....if you order up two whole sizes! they run extremely small. fabric is thick, high quality and a beautiful color.</v>
      </c>
      <c r="F680" s="8">
        <f>IFERROR(__xludf.DUMMYFUNCTION("""COMPUTED_VALUE"""),4.0)</f>
        <v>4</v>
      </c>
      <c r="G680" s="8">
        <f>IFERROR(__xludf.DUMMYFUNCTION("""COMPUTED_VALUE"""),1.0)</f>
        <v>1</v>
      </c>
      <c r="H680" s="8">
        <f>IFERROR(__xludf.DUMMYFUNCTION("""COMPUTED_VALUE"""),4.0)</f>
        <v>4</v>
      </c>
      <c r="I680" s="8" t="str">
        <f>IFERROR(__xludf.DUMMYFUNCTION("""COMPUTED_VALUE"""),"General Petite")</f>
        <v>General Petite</v>
      </c>
      <c r="J680" s="8" t="str">
        <f>IFERROR(__xludf.DUMMYFUNCTION("""COMPUTED_VALUE"""),"Bottoms")</f>
        <v>Bottoms</v>
      </c>
      <c r="K680" s="8" t="str">
        <f>IFERROR(__xludf.DUMMYFUNCTION("""COMPUTED_VALUE"""),"Pants")</f>
        <v>Pants</v>
      </c>
    </row>
    <row r="681">
      <c r="A681" s="8">
        <f>IFERROR(__xludf.DUMMYFUNCTION("""COMPUTED_VALUE"""),884.0)</f>
        <v>884</v>
      </c>
      <c r="B681" s="8">
        <f>IFERROR(__xludf.DUMMYFUNCTION("""COMPUTED_VALUE"""),1026.0)</f>
        <v>1026</v>
      </c>
      <c r="C681" s="8">
        <f>IFERROR(__xludf.DUMMYFUNCTION("""COMPUTED_VALUE"""),42.0)</f>
        <v>42</v>
      </c>
      <c r="D681" s="8" t="str">
        <f>IFERROR(__xludf.DUMMYFUNCTION("""COMPUTED_VALUE"""),"Perfect fit")</f>
        <v>Perfect fit</v>
      </c>
      <c r="E681" s="8" t="str">
        <f>IFERROR(__xludf.DUMMYFUNCTION("""COMPUTED_VALUE"""),"Love these pants. corduroy leggings that fit like a skinny pant. comfortable. not too stretchy. maintains shape, even with multiple wears between cleaning. pairs nicely with black, neutral, or buttery yellow tops. fun print. received compliments first tim"&amp;"e i wore them. sizing is just right also. i'm 5'3. usually wear 26 in denim but have to go up a size for super skinny so i ordered a 27p which fits me just fine.")</f>
        <v>Love these pants. corduroy leggings that fit like a skinny pant. comfortable. not too stretchy. maintains shape, even with multiple wears between cleaning. pairs nicely with black, neutral, or buttery yellow tops. fun print. received compliments first time i wore them. sizing is just right also. i'm 5'3. usually wear 26 in denim but have to go up a size for super skinny so i ordered a 27p which fits me just fine.</v>
      </c>
      <c r="F681" s="8">
        <f>IFERROR(__xludf.DUMMYFUNCTION("""COMPUTED_VALUE"""),5.0)</f>
        <v>5</v>
      </c>
      <c r="G681" s="8">
        <f>IFERROR(__xludf.DUMMYFUNCTION("""COMPUTED_VALUE"""),1.0)</f>
        <v>1</v>
      </c>
      <c r="H681" s="8">
        <f>IFERROR(__xludf.DUMMYFUNCTION("""COMPUTED_VALUE"""),0.0)</f>
        <v>0</v>
      </c>
      <c r="I681" s="8" t="str">
        <f>IFERROR(__xludf.DUMMYFUNCTION("""COMPUTED_VALUE"""),"General Petite")</f>
        <v>General Petite</v>
      </c>
      <c r="J681" s="8" t="str">
        <f>IFERROR(__xludf.DUMMYFUNCTION("""COMPUTED_VALUE"""),"Bottoms")</f>
        <v>Bottoms</v>
      </c>
      <c r="K681" s="8" t="str">
        <f>IFERROR(__xludf.DUMMYFUNCTION("""COMPUTED_VALUE"""),"Jeans")</f>
        <v>Jeans</v>
      </c>
    </row>
    <row r="682">
      <c r="A682" s="8">
        <f>IFERROR(__xludf.DUMMYFUNCTION("""COMPUTED_VALUE"""),885.0)</f>
        <v>885</v>
      </c>
      <c r="B682" s="8">
        <f>IFERROR(__xludf.DUMMYFUNCTION("""COMPUTED_VALUE"""),1010.0)</f>
        <v>1010</v>
      </c>
      <c r="C682" s="8">
        <f>IFERROR(__xludf.DUMMYFUNCTION("""COMPUTED_VALUE"""),60.0)</f>
        <v>60</v>
      </c>
      <c r="D682" s="8" t="str">
        <f>IFERROR(__xludf.DUMMYFUNCTION("""COMPUTED_VALUE"""),"A little 'hip-y""")</f>
        <v>A little 'hip-y"</v>
      </c>
      <c r="E682" s="8" t="str">
        <f>IFERROR(__xludf.DUMMYFUNCTION("""COMPUTED_VALUE"""),"Skirt in med fit fine, cute,lightweight, swingy, flirty, fun, almost knee length
i am typically a 10-12
but the pattern which swings up, across, and down made me look wide in the hips as opposed to other clothes i own already
more petite, less curvy girls"&amp;" enjoy!
its going back,sorry!")</f>
        <v>Skirt in med fit fine, cute,lightweight, swingy, flirty, fun, almost knee length
i am typically a 10-12
but the pattern which swings up, across, and down made me look wide in the hips as opposed to other clothes i own already
more petite, less curvy girls enjoy!
its going back,sorry!</v>
      </c>
      <c r="F682" s="8">
        <f>IFERROR(__xludf.DUMMYFUNCTION("""COMPUTED_VALUE"""),4.0)</f>
        <v>4</v>
      </c>
      <c r="G682" s="8">
        <f>IFERROR(__xludf.DUMMYFUNCTION("""COMPUTED_VALUE"""),1.0)</f>
        <v>1</v>
      </c>
      <c r="H682" s="8">
        <f>IFERROR(__xludf.DUMMYFUNCTION("""COMPUTED_VALUE"""),1.0)</f>
        <v>1</v>
      </c>
      <c r="I682" s="8" t="str">
        <f>IFERROR(__xludf.DUMMYFUNCTION("""COMPUTED_VALUE"""),"General Petite")</f>
        <v>General Petite</v>
      </c>
      <c r="J682" s="8" t="str">
        <f>IFERROR(__xludf.DUMMYFUNCTION("""COMPUTED_VALUE"""),"Bottoms")</f>
        <v>Bottoms</v>
      </c>
      <c r="K682" s="8" t="str">
        <f>IFERROR(__xludf.DUMMYFUNCTION("""COMPUTED_VALUE"""),"Skirts")</f>
        <v>Skirts</v>
      </c>
    </row>
    <row r="683">
      <c r="A683" s="8">
        <f>IFERROR(__xludf.DUMMYFUNCTION("""COMPUTED_VALUE"""),888.0)</f>
        <v>888</v>
      </c>
      <c r="B683" s="8">
        <f>IFERROR(__xludf.DUMMYFUNCTION("""COMPUTED_VALUE"""),1026.0)</f>
        <v>1026</v>
      </c>
      <c r="C683" s="8">
        <f>IFERROR(__xludf.DUMMYFUNCTION("""COMPUTED_VALUE"""),26.0)</f>
        <v>26</v>
      </c>
      <c r="D683" s="8" t="str">
        <f>IFERROR(__xludf.DUMMYFUNCTION("""COMPUTED_VALUE"""),"Buy these now.")</f>
        <v>Buy these now.</v>
      </c>
      <c r="E683" s="8" t="str">
        <f>IFERROR(__xludf.DUMMYFUNCTION("""COMPUTED_VALUE"""),"These cords are seriously fantastic. worth the price indeed. they are very comfy, have a lot of stretch but do not loose shape! the fun yet muted color design allows an average outfit to have a fun pop. they do run big, i got a 26 and i'm usually a 27. th"&amp;"ey are also very long! nothing a little trip to tailors can't fix. overall, highly recommended.")</f>
        <v>These cords are seriously fantastic. worth the price indeed. they are very comfy, have a lot of stretch but do not loose shape! the fun yet muted color design allows an average outfit to have a fun pop. they do run big, i got a 26 and i'm usually a 27. they are also very long! nothing a little trip to tailors can't fix. overall, highly recommended.</v>
      </c>
      <c r="F683" s="8">
        <f>IFERROR(__xludf.DUMMYFUNCTION("""COMPUTED_VALUE"""),5.0)</f>
        <v>5</v>
      </c>
      <c r="G683" s="8">
        <f>IFERROR(__xludf.DUMMYFUNCTION("""COMPUTED_VALUE"""),1.0)</f>
        <v>1</v>
      </c>
      <c r="H683" s="8">
        <f>IFERROR(__xludf.DUMMYFUNCTION("""COMPUTED_VALUE"""),0.0)</f>
        <v>0</v>
      </c>
      <c r="I683" s="8" t="str">
        <f>IFERROR(__xludf.DUMMYFUNCTION("""COMPUTED_VALUE"""),"General Petite")</f>
        <v>General Petite</v>
      </c>
      <c r="J683" s="8" t="str">
        <f>IFERROR(__xludf.DUMMYFUNCTION("""COMPUTED_VALUE"""),"Bottoms")</f>
        <v>Bottoms</v>
      </c>
      <c r="K683" s="8" t="str">
        <f>IFERROR(__xludf.DUMMYFUNCTION("""COMPUTED_VALUE"""),"Jeans")</f>
        <v>Jeans</v>
      </c>
    </row>
    <row r="684">
      <c r="A684" s="8">
        <f>IFERROR(__xludf.DUMMYFUNCTION("""COMPUTED_VALUE"""),890.0)</f>
        <v>890</v>
      </c>
      <c r="B684" s="8">
        <f>IFERROR(__xludf.DUMMYFUNCTION("""COMPUTED_VALUE"""),754.0)</f>
        <v>754</v>
      </c>
      <c r="C684" s="8">
        <f>IFERROR(__xludf.DUMMYFUNCTION("""COMPUTED_VALUE"""),48.0)</f>
        <v>48</v>
      </c>
      <c r="D684" s="8" t="str">
        <f>IFERROR(__xludf.DUMMYFUNCTION("""COMPUTED_VALUE"""),"Classic with a twist")</f>
        <v>Classic with a twist</v>
      </c>
      <c r="E684" s="8" t="str">
        <f>IFERROR(__xludf.DUMMYFUNCTION("""COMPUTED_VALUE"""),"Beautiful pajama bottoms. i purchased these as a special treat for myself. luckily, i found a review on another site, stating that these run small, before pirchasing. no one wants tight pjs. order a size up! also, i'm 5'8"" tall and the length is just rig"&amp;"ht. if you are taller, you may find this style too short. i haven't ordered the top, because i'm not sure of the fit, but i'm guessing it also runs small, based on the photo.")</f>
        <v>Beautiful pajama bottoms. i purchased these as a special treat for myself. luckily, i found a review on another site, stating that these run small, before pirchasing. no one wants tight pjs. order a size up! also, i'm 5'8" tall and the length is just right. if you are taller, you may find this style too short. i haven't ordered the top, because i'm not sure of the fit, but i'm guessing it also runs small, based on the photo.</v>
      </c>
      <c r="F684" s="8">
        <f>IFERROR(__xludf.DUMMYFUNCTION("""COMPUTED_VALUE"""),5.0)</f>
        <v>5</v>
      </c>
      <c r="G684" s="8">
        <f>IFERROR(__xludf.DUMMYFUNCTION("""COMPUTED_VALUE"""),1.0)</f>
        <v>1</v>
      </c>
      <c r="H684" s="8">
        <f>IFERROR(__xludf.DUMMYFUNCTION("""COMPUTED_VALUE"""),0.0)</f>
        <v>0</v>
      </c>
      <c r="I684" s="8" t="str">
        <f>IFERROR(__xludf.DUMMYFUNCTION("""COMPUTED_VALUE"""),"Initmates")</f>
        <v>Initmates</v>
      </c>
      <c r="J684" s="8" t="str">
        <f>IFERROR(__xludf.DUMMYFUNCTION("""COMPUTED_VALUE"""),"Intimate")</f>
        <v>Intimate</v>
      </c>
      <c r="K684" s="8" t="str">
        <f>IFERROR(__xludf.DUMMYFUNCTION("""COMPUTED_VALUE"""),"Intimates")</f>
        <v>Intimates</v>
      </c>
    </row>
    <row r="685">
      <c r="A685" s="8">
        <f>IFERROR(__xludf.DUMMYFUNCTION("""COMPUTED_VALUE"""),891.0)</f>
        <v>891</v>
      </c>
      <c r="B685" s="8">
        <f>IFERROR(__xludf.DUMMYFUNCTION("""COMPUTED_VALUE"""),815.0)</f>
        <v>815</v>
      </c>
      <c r="C685" s="8">
        <f>IFERROR(__xludf.DUMMYFUNCTION("""COMPUTED_VALUE"""),34.0)</f>
        <v>34</v>
      </c>
      <c r="D685" s="8"/>
      <c r="E685" s="8" t="str">
        <f>IFERROR(__xludf.DUMMYFUNCTION("""COMPUTED_VALUE"""),"I bought this top in my usual size in a small. i'm a 34 d 26 waist. i absolutely love it. i pair it with a red cardigan. very cute.")</f>
        <v>I bought this top in my usual size in a small. i'm a 34 d 26 waist. i absolutely love it. i pair it with a red cardigan. very cute.</v>
      </c>
      <c r="F685" s="8">
        <f>IFERROR(__xludf.DUMMYFUNCTION("""COMPUTED_VALUE"""),5.0)</f>
        <v>5</v>
      </c>
      <c r="G685" s="8">
        <f>IFERROR(__xludf.DUMMYFUNCTION("""COMPUTED_VALUE"""),1.0)</f>
        <v>1</v>
      </c>
      <c r="H685" s="8">
        <f>IFERROR(__xludf.DUMMYFUNCTION("""COMPUTED_VALUE"""),3.0)</f>
        <v>3</v>
      </c>
      <c r="I685" s="8" t="str">
        <f>IFERROR(__xludf.DUMMYFUNCTION("""COMPUTED_VALUE"""),"General Petite")</f>
        <v>General Petite</v>
      </c>
      <c r="J685" s="8" t="str">
        <f>IFERROR(__xludf.DUMMYFUNCTION("""COMPUTED_VALUE"""),"Tops")</f>
        <v>Tops</v>
      </c>
      <c r="K685" s="8" t="str">
        <f>IFERROR(__xludf.DUMMYFUNCTION("""COMPUTED_VALUE"""),"Blouses")</f>
        <v>Blouses</v>
      </c>
    </row>
    <row r="686">
      <c r="A686" s="8">
        <f>IFERROR(__xludf.DUMMYFUNCTION("""COMPUTED_VALUE"""),892.0)</f>
        <v>892</v>
      </c>
      <c r="B686" s="8">
        <f>IFERROR(__xludf.DUMMYFUNCTION("""COMPUTED_VALUE"""),1164.0)</f>
        <v>1164</v>
      </c>
      <c r="C686" s="8">
        <f>IFERROR(__xludf.DUMMYFUNCTION("""COMPUTED_VALUE"""),32.0)</f>
        <v>32</v>
      </c>
      <c r="D686" s="8"/>
      <c r="E686" s="8"/>
      <c r="F686" s="8">
        <f>IFERROR(__xludf.DUMMYFUNCTION("""COMPUTED_VALUE"""),5.0)</f>
        <v>5</v>
      </c>
      <c r="G686" s="8">
        <f>IFERROR(__xludf.DUMMYFUNCTION("""COMPUTED_VALUE"""),1.0)</f>
        <v>1</v>
      </c>
      <c r="H686" s="8">
        <f>IFERROR(__xludf.DUMMYFUNCTION("""COMPUTED_VALUE"""),0.0)</f>
        <v>0</v>
      </c>
      <c r="I686" s="8" t="str">
        <f>IFERROR(__xludf.DUMMYFUNCTION("""COMPUTED_VALUE"""),"Initmates")</f>
        <v>Initmates</v>
      </c>
      <c r="J686" s="8" t="str">
        <f>IFERROR(__xludf.DUMMYFUNCTION("""COMPUTED_VALUE"""),"Intimate")</f>
        <v>Intimate</v>
      </c>
      <c r="K686" s="8" t="str">
        <f>IFERROR(__xludf.DUMMYFUNCTION("""COMPUTED_VALUE"""),"Layering")</f>
        <v>Layering</v>
      </c>
    </row>
    <row r="687">
      <c r="A687" s="8">
        <f>IFERROR(__xludf.DUMMYFUNCTION("""COMPUTED_VALUE"""),893.0)</f>
        <v>893</v>
      </c>
      <c r="B687" s="8">
        <f>IFERROR(__xludf.DUMMYFUNCTION("""COMPUTED_VALUE"""),860.0)</f>
        <v>860</v>
      </c>
      <c r="C687" s="8">
        <f>IFERROR(__xludf.DUMMYFUNCTION("""COMPUTED_VALUE"""),30.0)</f>
        <v>30</v>
      </c>
      <c r="D687" s="8"/>
      <c r="E687" s="8"/>
      <c r="F687" s="8">
        <f>IFERROR(__xludf.DUMMYFUNCTION("""COMPUTED_VALUE"""),5.0)</f>
        <v>5</v>
      </c>
      <c r="G687" s="8">
        <f>IFERROR(__xludf.DUMMYFUNCTION("""COMPUTED_VALUE"""),1.0)</f>
        <v>1</v>
      </c>
      <c r="H687" s="8">
        <f>IFERROR(__xludf.DUMMYFUNCTION("""COMPUTED_VALUE"""),0.0)</f>
        <v>0</v>
      </c>
      <c r="I687" s="8" t="str">
        <f>IFERROR(__xludf.DUMMYFUNCTION("""COMPUTED_VALUE"""),"General Petite")</f>
        <v>General Petite</v>
      </c>
      <c r="J687" s="8" t="str">
        <f>IFERROR(__xludf.DUMMYFUNCTION("""COMPUTED_VALUE"""),"Tops")</f>
        <v>Tops</v>
      </c>
      <c r="K687" s="8" t="str">
        <f>IFERROR(__xludf.DUMMYFUNCTION("""COMPUTED_VALUE"""),"Knits")</f>
        <v>Knits</v>
      </c>
    </row>
    <row r="688">
      <c r="A688" s="8">
        <f>IFERROR(__xludf.DUMMYFUNCTION("""COMPUTED_VALUE"""),894.0)</f>
        <v>894</v>
      </c>
      <c r="B688" s="8">
        <f>IFERROR(__xludf.DUMMYFUNCTION("""COMPUTED_VALUE"""),952.0)</f>
        <v>952</v>
      </c>
      <c r="C688" s="8">
        <f>IFERROR(__xludf.DUMMYFUNCTION("""COMPUTED_VALUE"""),43.0)</f>
        <v>43</v>
      </c>
      <c r="D688" s="8" t="str">
        <f>IFERROR(__xludf.DUMMYFUNCTION("""COMPUTED_VALUE"""),"So beautiful!!")</f>
        <v>So beautiful!!</v>
      </c>
      <c r="E688" s="8" t="str">
        <f>IFERROR(__xludf.DUMMYFUNCTION("""COMPUTED_VALUE"""),"I love this sweater combo! as a larger woman, i am always looking for flattering tops. the draping in front covers all the right areas! i wish they made them in more colors!")</f>
        <v>I love this sweater combo! as a larger woman, i am always looking for flattering tops. the draping in front covers all the right areas! i wish they made them in more colors!</v>
      </c>
      <c r="F688" s="8">
        <f>IFERROR(__xludf.DUMMYFUNCTION("""COMPUTED_VALUE"""),5.0)</f>
        <v>5</v>
      </c>
      <c r="G688" s="8">
        <f>IFERROR(__xludf.DUMMYFUNCTION("""COMPUTED_VALUE"""),1.0)</f>
        <v>1</v>
      </c>
      <c r="H688" s="8">
        <f>IFERROR(__xludf.DUMMYFUNCTION("""COMPUTED_VALUE"""),0.0)</f>
        <v>0</v>
      </c>
      <c r="I688" s="8" t="str">
        <f>IFERROR(__xludf.DUMMYFUNCTION("""COMPUTED_VALUE"""),"General Petite")</f>
        <v>General Petite</v>
      </c>
      <c r="J688" s="8" t="str">
        <f>IFERROR(__xludf.DUMMYFUNCTION("""COMPUTED_VALUE"""),"Tops")</f>
        <v>Tops</v>
      </c>
      <c r="K688" s="8" t="str">
        <f>IFERROR(__xludf.DUMMYFUNCTION("""COMPUTED_VALUE"""),"Sweaters")</f>
        <v>Sweaters</v>
      </c>
    </row>
    <row r="689">
      <c r="A689" s="8">
        <f>IFERROR(__xludf.DUMMYFUNCTION("""COMPUTED_VALUE"""),896.0)</f>
        <v>896</v>
      </c>
      <c r="B689" s="8">
        <f>IFERROR(__xludf.DUMMYFUNCTION("""COMPUTED_VALUE"""),861.0)</f>
        <v>861</v>
      </c>
      <c r="C689" s="8">
        <f>IFERROR(__xludf.DUMMYFUNCTION("""COMPUTED_VALUE"""),36.0)</f>
        <v>36</v>
      </c>
      <c r="D689" s="8" t="str">
        <f>IFERROR(__xludf.DUMMYFUNCTION("""COMPUTED_VALUE"""),"So cute")</f>
        <v>So cute</v>
      </c>
      <c r="E689" s="8" t="str">
        <f>IFERROR(__xludf.DUMMYFUNCTION("""COMPUTED_VALUE"""),"This is a perfect fit! i was worried that it would be too short and or boxy. i usually  wear an xs. i have a slightly longer waist though and often xs tops run short or they are overwhelming! this was perfect! it is roomy and long enough without swallowin"&amp;"g my frame. it looks nice enough to dress up and wear out and about. great value at the sale price as well!! it is well made and doesn't just look like a run of the mill pullover.")</f>
        <v>This is a perfect fit! i was worried that it would be too short and or boxy. i usually  wear an xs. i have a slightly longer waist though and often xs tops run short or they are overwhelming! this was perfect! it is roomy and long enough without swallowing my frame. it looks nice enough to dress up and wear out and about. great value at the sale price as well!! it is well made and doesn't just look like a run of the mill pullover.</v>
      </c>
      <c r="F689" s="8">
        <f>IFERROR(__xludf.DUMMYFUNCTION("""COMPUTED_VALUE"""),5.0)</f>
        <v>5</v>
      </c>
      <c r="G689" s="8">
        <f>IFERROR(__xludf.DUMMYFUNCTION("""COMPUTED_VALUE"""),1.0)</f>
        <v>1</v>
      </c>
      <c r="H689" s="8">
        <f>IFERROR(__xludf.DUMMYFUNCTION("""COMPUTED_VALUE"""),0.0)</f>
        <v>0</v>
      </c>
      <c r="I689" s="8" t="str">
        <f>IFERROR(__xludf.DUMMYFUNCTION("""COMPUTED_VALUE"""),"General")</f>
        <v>General</v>
      </c>
      <c r="J689" s="8" t="str">
        <f>IFERROR(__xludf.DUMMYFUNCTION("""COMPUTED_VALUE"""),"Tops")</f>
        <v>Tops</v>
      </c>
      <c r="K689" s="8" t="str">
        <f>IFERROR(__xludf.DUMMYFUNCTION("""COMPUTED_VALUE"""),"Knits")</f>
        <v>Knits</v>
      </c>
    </row>
    <row r="690">
      <c r="A690" s="8">
        <f>IFERROR(__xludf.DUMMYFUNCTION("""COMPUTED_VALUE"""),897.0)</f>
        <v>897</v>
      </c>
      <c r="B690" s="8">
        <f>IFERROR(__xludf.DUMMYFUNCTION("""COMPUTED_VALUE"""),1008.0)</f>
        <v>1008</v>
      </c>
      <c r="C690" s="8">
        <f>IFERROR(__xludf.DUMMYFUNCTION("""COMPUTED_VALUE"""),66.0)</f>
        <v>66</v>
      </c>
      <c r="D690" s="8" t="str">
        <f>IFERROR(__xludf.DUMMYFUNCTION("""COMPUTED_VALUE"""),"Great for tall ladies")</f>
        <v>Great for tall ladies</v>
      </c>
      <c r="E690" s="8" t="str">
        <f>IFERROR(__xludf.DUMMYFUNCTION("""COMPUTED_VALUE"""),"I like the skirt. that said it is going to the tailor to have some of the fullness taken out. just a lot of material going on, and heavier than you might have imagined. i will wear it fall &amp; winter with white &amp; navy cardigans.")</f>
        <v>I like the skirt. that said it is going to the tailor to have some of the fullness taken out. just a lot of material going on, and heavier than you might have imagined. i will wear it fall &amp; winter with white &amp; navy cardigans.</v>
      </c>
      <c r="F690" s="8">
        <f>IFERROR(__xludf.DUMMYFUNCTION("""COMPUTED_VALUE"""),4.0)</f>
        <v>4</v>
      </c>
      <c r="G690" s="8">
        <f>IFERROR(__xludf.DUMMYFUNCTION("""COMPUTED_VALUE"""),1.0)</f>
        <v>1</v>
      </c>
      <c r="H690" s="8">
        <f>IFERROR(__xludf.DUMMYFUNCTION("""COMPUTED_VALUE"""),0.0)</f>
        <v>0</v>
      </c>
      <c r="I690" s="8" t="str">
        <f>IFERROR(__xludf.DUMMYFUNCTION("""COMPUTED_VALUE"""),"General Petite")</f>
        <v>General Petite</v>
      </c>
      <c r="J690" s="8" t="str">
        <f>IFERROR(__xludf.DUMMYFUNCTION("""COMPUTED_VALUE"""),"Bottoms")</f>
        <v>Bottoms</v>
      </c>
      <c r="K690" s="8" t="str">
        <f>IFERROR(__xludf.DUMMYFUNCTION("""COMPUTED_VALUE"""),"Skirts")</f>
        <v>Skirts</v>
      </c>
    </row>
    <row r="691">
      <c r="A691" s="8">
        <f>IFERROR(__xludf.DUMMYFUNCTION("""COMPUTED_VALUE"""),898.0)</f>
        <v>898</v>
      </c>
      <c r="B691" s="8">
        <f>IFERROR(__xludf.DUMMYFUNCTION("""COMPUTED_VALUE"""),952.0)</f>
        <v>952</v>
      </c>
      <c r="C691" s="8">
        <f>IFERROR(__xludf.DUMMYFUNCTION("""COMPUTED_VALUE"""),39.0)</f>
        <v>39</v>
      </c>
      <c r="D691" s="8" t="str">
        <f>IFERROR(__xludf.DUMMYFUNCTION("""COMPUTED_VALUE"""),"Kind of calssic retailer")</f>
        <v>Kind of calssic retailer</v>
      </c>
      <c r="E691" s="8" t="str">
        <f>IFERROR(__xludf.DUMMYFUNCTION("""COMPUTED_VALUE"""),"I think this may almost make it back to the more classic pieces retailer used to have. i tried on the xs in store so i ordered the xxs and xs petite... i felt the usual xs was a little big (again, i think retailer is making things bigger...) my verdict is"&amp;" iliked the length on the regular size better and the xxs fit well. but not much difference (the xs petite was a similar size be the arm hole was higher).
colors are very neutral and warm. i like the addition of the inner layer to make this more wh")</f>
        <v>I think this may almost make it back to the more classic pieces retailer used to have. i tried on the xs in store so i ordered the xxs and xs petite... i felt the usual xs was a little big (again, i think retailer is making things bigger...) my verdict is iliked the length on the regular size better and the xxs fit well. but not much difference (the xs petite was a similar size be the arm hole was higher).
colors are very neutral and warm. i like the addition of the inner layer to make this more wh</v>
      </c>
      <c r="F691" s="8">
        <f>IFERROR(__xludf.DUMMYFUNCTION("""COMPUTED_VALUE"""),4.0)</f>
        <v>4</v>
      </c>
      <c r="G691" s="8">
        <f>IFERROR(__xludf.DUMMYFUNCTION("""COMPUTED_VALUE"""),1.0)</f>
        <v>1</v>
      </c>
      <c r="H691" s="8">
        <f>IFERROR(__xludf.DUMMYFUNCTION("""COMPUTED_VALUE"""),7.0)</f>
        <v>7</v>
      </c>
      <c r="I691" s="8" t="str">
        <f>IFERROR(__xludf.DUMMYFUNCTION("""COMPUTED_VALUE"""),"General Petite")</f>
        <v>General Petite</v>
      </c>
      <c r="J691" s="8" t="str">
        <f>IFERROR(__xludf.DUMMYFUNCTION("""COMPUTED_VALUE"""),"Tops")</f>
        <v>Tops</v>
      </c>
      <c r="K691" s="8" t="str">
        <f>IFERROR(__xludf.DUMMYFUNCTION("""COMPUTED_VALUE"""),"Sweaters")</f>
        <v>Sweaters</v>
      </c>
    </row>
    <row r="692">
      <c r="A692" s="8">
        <f>IFERROR(__xludf.DUMMYFUNCTION("""COMPUTED_VALUE"""),900.0)</f>
        <v>900</v>
      </c>
      <c r="B692" s="8">
        <f>IFERROR(__xludf.DUMMYFUNCTION("""COMPUTED_VALUE"""),1008.0)</f>
        <v>1008</v>
      </c>
      <c r="C692" s="8">
        <f>IFERROR(__xludf.DUMMYFUNCTION("""COMPUTED_VALUE"""),52.0)</f>
        <v>52</v>
      </c>
      <c r="D692" s="8" t="str">
        <f>IFERROR(__xludf.DUMMYFUNCTION("""COMPUTED_VALUE"""),"Nice skirt!")</f>
        <v>Nice skirt!</v>
      </c>
      <c r="E692" s="8" t="str">
        <f>IFERROR(__xludf.DUMMYFUNCTION("""COMPUTED_VALUE"""),"When i saw this online, i thought it was going to be a thin, summery kind of skirt with a fall pattern to it. it is not thin and wispy, but lined with a nicely weighted navy material and the fabric of the skirt is kind of a thick cotton with a nice swing "&amp;"to it. definitely would work for the fall and cool days or evenings. the zipper pockets look cool too, would definitely recommend!")</f>
        <v>When i saw this online, i thought it was going to be a thin, summery kind of skirt with a fall pattern to it. it is not thin and wispy, but lined with a nicely weighted navy material and the fabric of the skirt is kind of a thick cotton with a nice swing to it. definitely would work for the fall and cool days or evenings. the zipper pockets look cool too, would definitely recommend!</v>
      </c>
      <c r="F692" s="8">
        <f>IFERROR(__xludf.DUMMYFUNCTION("""COMPUTED_VALUE"""),5.0)</f>
        <v>5</v>
      </c>
      <c r="G692" s="8">
        <f>IFERROR(__xludf.DUMMYFUNCTION("""COMPUTED_VALUE"""),1.0)</f>
        <v>1</v>
      </c>
      <c r="H692" s="8">
        <f>IFERROR(__xludf.DUMMYFUNCTION("""COMPUTED_VALUE"""),11.0)</f>
        <v>11</v>
      </c>
      <c r="I692" s="8" t="str">
        <f>IFERROR(__xludf.DUMMYFUNCTION("""COMPUTED_VALUE"""),"General Petite")</f>
        <v>General Petite</v>
      </c>
      <c r="J692" s="8" t="str">
        <f>IFERROR(__xludf.DUMMYFUNCTION("""COMPUTED_VALUE"""),"Bottoms")</f>
        <v>Bottoms</v>
      </c>
      <c r="K692" s="8" t="str">
        <f>IFERROR(__xludf.DUMMYFUNCTION("""COMPUTED_VALUE"""),"Skirts")</f>
        <v>Skirts</v>
      </c>
    </row>
    <row r="693">
      <c r="A693" s="8">
        <f>IFERROR(__xludf.DUMMYFUNCTION("""COMPUTED_VALUE"""),905.0)</f>
        <v>905</v>
      </c>
      <c r="B693" s="8">
        <f>IFERROR(__xludf.DUMMYFUNCTION("""COMPUTED_VALUE"""),1008.0)</f>
        <v>1008</v>
      </c>
      <c r="C693" s="8">
        <f>IFERROR(__xludf.DUMMYFUNCTION("""COMPUTED_VALUE"""),29.0)</f>
        <v>29</v>
      </c>
      <c r="D693" s="8" t="str">
        <f>IFERROR(__xludf.DUMMYFUNCTION("""COMPUTED_VALUE"""),"Great for dressing up or down")</f>
        <v>Great for dressing up or down</v>
      </c>
      <c r="E693" s="8" t="str">
        <f>IFERROR(__xludf.DUMMYFUNCTION("""COMPUTED_VALUE"""),"This is a great skirt that could be worn to a wedding or worn more casually with a cool tshirt. it is not too puffy and the inner skirt is stretchy and more fitted. i had to size 1 size down. really nice.")</f>
        <v>This is a great skirt that could be worn to a wedding or worn more casually with a cool tshirt. it is not too puffy and the inner skirt is stretchy and more fitted. i had to size 1 size down. really nice.</v>
      </c>
      <c r="F693" s="8">
        <f>IFERROR(__xludf.DUMMYFUNCTION("""COMPUTED_VALUE"""),5.0)</f>
        <v>5</v>
      </c>
      <c r="G693" s="8">
        <f>IFERROR(__xludf.DUMMYFUNCTION("""COMPUTED_VALUE"""),1.0)</f>
        <v>1</v>
      </c>
      <c r="H693" s="8">
        <f>IFERROR(__xludf.DUMMYFUNCTION("""COMPUTED_VALUE"""),0.0)</f>
        <v>0</v>
      </c>
      <c r="I693" s="8" t="str">
        <f>IFERROR(__xludf.DUMMYFUNCTION("""COMPUTED_VALUE"""),"General Petite")</f>
        <v>General Petite</v>
      </c>
      <c r="J693" s="8" t="str">
        <f>IFERROR(__xludf.DUMMYFUNCTION("""COMPUTED_VALUE"""),"Bottoms")</f>
        <v>Bottoms</v>
      </c>
      <c r="K693" s="8" t="str">
        <f>IFERROR(__xludf.DUMMYFUNCTION("""COMPUTED_VALUE"""),"Skirts")</f>
        <v>Skirts</v>
      </c>
    </row>
    <row r="694">
      <c r="A694" s="8">
        <f>IFERROR(__xludf.DUMMYFUNCTION("""COMPUTED_VALUE"""),906.0)</f>
        <v>906</v>
      </c>
      <c r="B694" s="8">
        <f>IFERROR(__xludf.DUMMYFUNCTION("""COMPUTED_VALUE"""),1015.0)</f>
        <v>1015</v>
      </c>
      <c r="C694" s="8">
        <f>IFERROR(__xludf.DUMMYFUNCTION("""COMPUTED_VALUE"""),46.0)</f>
        <v>46</v>
      </c>
      <c r="D694" s="8" t="str">
        <f>IFERROR(__xludf.DUMMYFUNCTION("""COMPUTED_VALUE"""),"Wow!")</f>
        <v>Wow!</v>
      </c>
      <c r="E694" s="8" t="str">
        <f>IFERROR(__xludf.DUMMYFUNCTION("""COMPUTED_VALUE"""),"Wow, i can't believe there were some sizes left at my local store. it was on sale and i maxed out with additional discount for black friday week-end. the size 6 fit perfect and i can't wait to wear. this is a gorgeous skirt and will sell out for sure.")</f>
        <v>Wow, i can't believe there were some sizes left at my local store. it was on sale and i maxed out with additional discount for black friday week-end. the size 6 fit perfect and i can't wait to wear. this is a gorgeous skirt and will sell out for sure.</v>
      </c>
      <c r="F694" s="8">
        <f>IFERROR(__xludf.DUMMYFUNCTION("""COMPUTED_VALUE"""),5.0)</f>
        <v>5</v>
      </c>
      <c r="G694" s="8">
        <f>IFERROR(__xludf.DUMMYFUNCTION("""COMPUTED_VALUE"""),1.0)</f>
        <v>1</v>
      </c>
      <c r="H694" s="8">
        <f>IFERROR(__xludf.DUMMYFUNCTION("""COMPUTED_VALUE"""),0.0)</f>
        <v>0</v>
      </c>
      <c r="I694" s="8" t="str">
        <f>IFERROR(__xludf.DUMMYFUNCTION("""COMPUTED_VALUE"""),"General")</f>
        <v>General</v>
      </c>
      <c r="J694" s="8" t="str">
        <f>IFERROR(__xludf.DUMMYFUNCTION("""COMPUTED_VALUE"""),"Bottoms")</f>
        <v>Bottoms</v>
      </c>
      <c r="K694" s="8" t="str">
        <f>IFERROR(__xludf.DUMMYFUNCTION("""COMPUTED_VALUE"""),"Skirts")</f>
        <v>Skirts</v>
      </c>
    </row>
    <row r="695">
      <c r="A695" s="8">
        <f>IFERROR(__xludf.DUMMYFUNCTION("""COMPUTED_VALUE"""),907.0)</f>
        <v>907</v>
      </c>
      <c r="B695" s="8">
        <f>IFERROR(__xludf.DUMMYFUNCTION("""COMPUTED_VALUE"""),1008.0)</f>
        <v>1008</v>
      </c>
      <c r="C695" s="8">
        <f>IFERROR(__xludf.DUMMYFUNCTION("""COMPUTED_VALUE"""),46.0)</f>
        <v>46</v>
      </c>
      <c r="D695" s="8" t="str">
        <f>IFERROR(__xludf.DUMMYFUNCTION("""COMPUTED_VALUE"""),"Georgeous skirt")</f>
        <v>Georgeous skirt</v>
      </c>
      <c r="E695" s="8" t="str">
        <f>IFERROR(__xludf.DUMMYFUNCTION("""COMPUTED_VALUE"""),"I love the fabric, since it's fall wasn't expecting it to be light. but its not heavy either. just the right balance.
this is one of those classics. i love the collage like pattern of the fabric.
the fit is true to size and looks great with bootie/boots. "&amp;"(dressed up or down).")</f>
        <v>I love the fabric, since it's fall wasn't expecting it to be light. but its not heavy either. just the right balance.
this is one of those classics. i love the collage like pattern of the fabric.
the fit is true to size and looks great with bootie/boots. (dressed up or down).</v>
      </c>
      <c r="F695" s="8">
        <f>IFERROR(__xludf.DUMMYFUNCTION("""COMPUTED_VALUE"""),5.0)</f>
        <v>5</v>
      </c>
      <c r="G695" s="8">
        <f>IFERROR(__xludf.DUMMYFUNCTION("""COMPUTED_VALUE"""),1.0)</f>
        <v>1</v>
      </c>
      <c r="H695" s="8">
        <f>IFERROR(__xludf.DUMMYFUNCTION("""COMPUTED_VALUE"""),2.0)</f>
        <v>2</v>
      </c>
      <c r="I695" s="8" t="str">
        <f>IFERROR(__xludf.DUMMYFUNCTION("""COMPUTED_VALUE"""),"General Petite")</f>
        <v>General Petite</v>
      </c>
      <c r="J695" s="8" t="str">
        <f>IFERROR(__xludf.DUMMYFUNCTION("""COMPUTED_VALUE"""),"Bottoms")</f>
        <v>Bottoms</v>
      </c>
      <c r="K695" s="8" t="str">
        <f>IFERROR(__xludf.DUMMYFUNCTION("""COMPUTED_VALUE"""),"Skirts")</f>
        <v>Skirts</v>
      </c>
    </row>
    <row r="696">
      <c r="A696" s="8">
        <f>IFERROR(__xludf.DUMMYFUNCTION("""COMPUTED_VALUE"""),908.0)</f>
        <v>908</v>
      </c>
      <c r="B696" s="8">
        <f>IFERROR(__xludf.DUMMYFUNCTION("""COMPUTED_VALUE"""),862.0)</f>
        <v>862</v>
      </c>
      <c r="C696" s="8">
        <f>IFERROR(__xludf.DUMMYFUNCTION("""COMPUTED_VALUE"""),40.0)</f>
        <v>40</v>
      </c>
      <c r="D696" s="8" t="str">
        <f>IFERROR(__xludf.DUMMYFUNCTION("""COMPUTED_VALUE"""),"Love at first wear")</f>
        <v>Love at first wear</v>
      </c>
      <c r="E696" s="8" t="str">
        <f>IFERROR(__xludf.DUMMYFUNCTION("""COMPUTED_VALUE"""),"This is one of those 'i need one in every color' kind of shirts. need - not simply want. it is very well constructed. the fabric is the perfect weight and is sooooooo comfortable. the raspberry is a little more dusty rose than pictured online, but it work"&amp;"s. i've only had the shirt a couple of day. in addition to wanting to wear it every day, the fabric has not pilled. i'm short-waisted, and i have not had any issue with the high-low hem or cropped length.")</f>
        <v>This is one of those 'i need one in every color' kind of shirts. need - not simply want. it is very well constructed. the fabric is the perfect weight and is sooooooo comfortable. the raspberry is a little more dusty rose than pictured online, but it works. i've only had the shirt a couple of day. in addition to wanting to wear it every day, the fabric has not pilled. i'm short-waisted, and i have not had any issue with the high-low hem or cropped length.</v>
      </c>
      <c r="F696" s="8">
        <f>IFERROR(__xludf.DUMMYFUNCTION("""COMPUTED_VALUE"""),5.0)</f>
        <v>5</v>
      </c>
      <c r="G696" s="8">
        <f>IFERROR(__xludf.DUMMYFUNCTION("""COMPUTED_VALUE"""),1.0)</f>
        <v>1</v>
      </c>
      <c r="H696" s="8">
        <f>IFERROR(__xludf.DUMMYFUNCTION("""COMPUTED_VALUE"""),0.0)</f>
        <v>0</v>
      </c>
      <c r="I696" s="8" t="str">
        <f>IFERROR(__xludf.DUMMYFUNCTION("""COMPUTED_VALUE"""),"General")</f>
        <v>General</v>
      </c>
      <c r="J696" s="8" t="str">
        <f>IFERROR(__xludf.DUMMYFUNCTION("""COMPUTED_VALUE"""),"Tops")</f>
        <v>Tops</v>
      </c>
      <c r="K696" s="8" t="str">
        <f>IFERROR(__xludf.DUMMYFUNCTION("""COMPUTED_VALUE"""),"Knits")</f>
        <v>Knits</v>
      </c>
    </row>
    <row r="697">
      <c r="A697" s="8">
        <f>IFERROR(__xludf.DUMMYFUNCTION("""COMPUTED_VALUE"""),909.0)</f>
        <v>909</v>
      </c>
      <c r="B697" s="8">
        <f>IFERROR(__xludf.DUMMYFUNCTION("""COMPUTED_VALUE"""),1008.0)</f>
        <v>1008</v>
      </c>
      <c r="C697" s="8">
        <f>IFERROR(__xludf.DUMMYFUNCTION("""COMPUTED_VALUE"""),44.0)</f>
        <v>44</v>
      </c>
      <c r="D697" s="8" t="str">
        <f>IFERROR(__xludf.DUMMYFUNCTION("""COMPUTED_VALUE"""),"Lovely and colorful")</f>
        <v>Lovely and colorful</v>
      </c>
      <c r="E697" s="8" t="str">
        <f>IFERROR(__xludf.DUMMYFUNCTION("""COMPUTED_VALUE"""),"I really like this skirt - so colorful! the interesting pattern and multiple colors will make this a great fall skirt. i can wear it with pink, burgundy, gray, white, black, and probably many more. can't wait for the temps to drop!")</f>
        <v>I really like this skirt - so colorful! the interesting pattern and multiple colors will make this a great fall skirt. i can wear it with pink, burgundy, gray, white, black, and probably many more. can't wait for the temps to drop!</v>
      </c>
      <c r="F697" s="8">
        <f>IFERROR(__xludf.DUMMYFUNCTION("""COMPUTED_VALUE"""),4.0)</f>
        <v>4</v>
      </c>
      <c r="G697" s="8">
        <f>IFERROR(__xludf.DUMMYFUNCTION("""COMPUTED_VALUE"""),1.0)</f>
        <v>1</v>
      </c>
      <c r="H697" s="8">
        <f>IFERROR(__xludf.DUMMYFUNCTION("""COMPUTED_VALUE"""),2.0)</f>
        <v>2</v>
      </c>
      <c r="I697" s="8" t="str">
        <f>IFERROR(__xludf.DUMMYFUNCTION("""COMPUTED_VALUE"""),"General Petite")</f>
        <v>General Petite</v>
      </c>
      <c r="J697" s="8" t="str">
        <f>IFERROR(__xludf.DUMMYFUNCTION("""COMPUTED_VALUE"""),"Bottoms")</f>
        <v>Bottoms</v>
      </c>
      <c r="K697" s="8" t="str">
        <f>IFERROR(__xludf.DUMMYFUNCTION("""COMPUTED_VALUE"""),"Skirts")</f>
        <v>Skirts</v>
      </c>
    </row>
    <row r="698">
      <c r="A698" s="8">
        <f>IFERROR(__xludf.DUMMYFUNCTION("""COMPUTED_VALUE"""),910.0)</f>
        <v>910</v>
      </c>
      <c r="B698" s="8">
        <f>IFERROR(__xludf.DUMMYFUNCTION("""COMPUTED_VALUE"""),952.0)</f>
        <v>952</v>
      </c>
      <c r="C698" s="8">
        <f>IFERROR(__xludf.DUMMYFUNCTION("""COMPUTED_VALUE"""),56.0)</f>
        <v>56</v>
      </c>
      <c r="D698" s="8"/>
      <c r="E698" s="8" t="str">
        <f>IFERROR(__xludf.DUMMYFUNCTION("""COMPUTED_VALUE"""),"This was on display when walked into my local retailer, it's just a beautiful in person. my mistake was trying it on, instant love! i tried on my usual size small &amp; it fit perfectly. i would usually wait for something in this price range to go on sale, bu"&amp;"t i just had to have this. worth the splurge!")</f>
        <v>This was on display when walked into my local retailer, it's just a beautiful in person. my mistake was trying it on, instant love! i tried on my usual size small &amp; it fit perfectly. i would usually wait for something in this price range to go on sale, but i just had to have this. worth the splurge!</v>
      </c>
      <c r="F698" s="8">
        <f>IFERROR(__xludf.DUMMYFUNCTION("""COMPUTED_VALUE"""),5.0)</f>
        <v>5</v>
      </c>
      <c r="G698" s="8">
        <f>IFERROR(__xludf.DUMMYFUNCTION("""COMPUTED_VALUE"""),1.0)</f>
        <v>1</v>
      </c>
      <c r="H698" s="8">
        <f>IFERROR(__xludf.DUMMYFUNCTION("""COMPUTED_VALUE"""),3.0)</f>
        <v>3</v>
      </c>
      <c r="I698" s="8" t="str">
        <f>IFERROR(__xludf.DUMMYFUNCTION("""COMPUTED_VALUE"""),"General Petite")</f>
        <v>General Petite</v>
      </c>
      <c r="J698" s="8" t="str">
        <f>IFERROR(__xludf.DUMMYFUNCTION("""COMPUTED_VALUE"""),"Tops")</f>
        <v>Tops</v>
      </c>
      <c r="K698" s="8" t="str">
        <f>IFERROR(__xludf.DUMMYFUNCTION("""COMPUTED_VALUE"""),"Sweaters")</f>
        <v>Sweaters</v>
      </c>
    </row>
    <row r="699">
      <c r="A699" s="8">
        <f>IFERROR(__xludf.DUMMYFUNCTION("""COMPUTED_VALUE"""),911.0)</f>
        <v>911</v>
      </c>
      <c r="B699" s="8">
        <f>IFERROR(__xludf.DUMMYFUNCTION("""COMPUTED_VALUE"""),1025.0)</f>
        <v>1025</v>
      </c>
      <c r="C699" s="8">
        <f>IFERROR(__xludf.DUMMYFUNCTION("""COMPUTED_VALUE"""),69.0)</f>
        <v>69</v>
      </c>
      <c r="D699" s="8" t="str">
        <f>IFERROR(__xludf.DUMMYFUNCTION("""COMPUTED_VALUE"""),"Fantastic fit!")</f>
        <v>Fantastic fit!</v>
      </c>
      <c r="E699" s="8" t="str">
        <f>IFERROR(__xludf.DUMMYFUNCTION("""COMPUTED_VALUE"""),"These are the best fitting jeans i've ever owned! no puckering near the crotch, and i don't need to have the waistband taken in. they probably run small.")</f>
        <v>These are the best fitting jeans i've ever owned! no puckering near the crotch, and i don't need to have the waistband taken in. they probably run small.</v>
      </c>
      <c r="F699" s="8">
        <f>IFERROR(__xludf.DUMMYFUNCTION("""COMPUTED_VALUE"""),5.0)</f>
        <v>5</v>
      </c>
      <c r="G699" s="8">
        <f>IFERROR(__xludf.DUMMYFUNCTION("""COMPUTED_VALUE"""),1.0)</f>
        <v>1</v>
      </c>
      <c r="H699" s="8">
        <f>IFERROR(__xludf.DUMMYFUNCTION("""COMPUTED_VALUE"""),0.0)</f>
        <v>0</v>
      </c>
      <c r="I699" s="8" t="str">
        <f>IFERROR(__xludf.DUMMYFUNCTION("""COMPUTED_VALUE"""),"General")</f>
        <v>General</v>
      </c>
      <c r="J699" s="8" t="str">
        <f>IFERROR(__xludf.DUMMYFUNCTION("""COMPUTED_VALUE"""),"Bottoms")</f>
        <v>Bottoms</v>
      </c>
      <c r="K699" s="8" t="str">
        <f>IFERROR(__xludf.DUMMYFUNCTION("""COMPUTED_VALUE"""),"Jeans")</f>
        <v>Jeans</v>
      </c>
    </row>
    <row r="700">
      <c r="A700" s="8">
        <f>IFERROR(__xludf.DUMMYFUNCTION("""COMPUTED_VALUE"""),912.0)</f>
        <v>912</v>
      </c>
      <c r="B700" s="8">
        <f>IFERROR(__xludf.DUMMYFUNCTION("""COMPUTED_VALUE"""),1111.0)</f>
        <v>1111</v>
      </c>
      <c r="C700" s="8">
        <f>IFERROR(__xludf.DUMMYFUNCTION("""COMPUTED_VALUE"""),47.0)</f>
        <v>47</v>
      </c>
      <c r="D700" s="8" t="str">
        <f>IFERROR(__xludf.DUMMYFUNCTION("""COMPUTED_VALUE"""),"Flirty cocktail dress")</f>
        <v>Flirty cocktail dress</v>
      </c>
      <c r="E700" s="8" t="str">
        <f>IFERROR(__xludf.DUMMYFUNCTION("""COMPUTED_VALUE"""),"This dress is so beautiful, the color is even more vibrant in person, a stunning emerald green. it is well made and doesn't go too low under your arm, which sometimes happens with halters. the halter material is a thicker band that gives nice support. the"&amp;" skirt does a little poof near your hips at the top, look at the back view photo online, you can see it there. at first i was surprised by it because i didn't see that on the front view, but then i decided it was fun and flirty. i received numer")</f>
        <v>This dress is so beautiful, the color is even more vibrant in person, a stunning emerald green. it is well made and doesn't go too low under your arm, which sometimes happens with halters. the halter material is a thicker band that gives nice support. the skirt does a little poof near your hips at the top, look at the back view photo online, you can see it there. at first i was surprised by it because i didn't see that on the front view, but then i decided it was fun and flirty. i received numer</v>
      </c>
      <c r="F700" s="8">
        <f>IFERROR(__xludf.DUMMYFUNCTION("""COMPUTED_VALUE"""),5.0)</f>
        <v>5</v>
      </c>
      <c r="G700" s="8">
        <f>IFERROR(__xludf.DUMMYFUNCTION("""COMPUTED_VALUE"""),1.0)</f>
        <v>1</v>
      </c>
      <c r="H700" s="8">
        <f>IFERROR(__xludf.DUMMYFUNCTION("""COMPUTED_VALUE"""),3.0)</f>
        <v>3</v>
      </c>
      <c r="I700" s="8" t="str">
        <f>IFERROR(__xludf.DUMMYFUNCTION("""COMPUTED_VALUE"""),"General Petite")</f>
        <v>General Petite</v>
      </c>
      <c r="J700" s="8" t="str">
        <f>IFERROR(__xludf.DUMMYFUNCTION("""COMPUTED_VALUE"""),"Dresses")</f>
        <v>Dresses</v>
      </c>
      <c r="K700" s="8" t="str">
        <f>IFERROR(__xludf.DUMMYFUNCTION("""COMPUTED_VALUE"""),"Dresses")</f>
        <v>Dresses</v>
      </c>
    </row>
    <row r="701">
      <c r="A701" s="8">
        <f>IFERROR(__xludf.DUMMYFUNCTION("""COMPUTED_VALUE"""),913.0)</f>
        <v>913</v>
      </c>
      <c r="B701" s="8">
        <f>IFERROR(__xludf.DUMMYFUNCTION("""COMPUTED_VALUE"""),1066.0)</f>
        <v>1066</v>
      </c>
      <c r="C701" s="8">
        <f>IFERROR(__xludf.DUMMYFUNCTION("""COMPUTED_VALUE"""),21.0)</f>
        <v>21</v>
      </c>
      <c r="D701" s="8" t="str">
        <f>IFERROR(__xludf.DUMMYFUNCTION("""COMPUTED_VALUE"""),"What a dream!!!")</f>
        <v>What a dream!!!</v>
      </c>
      <c r="E701" s="8" t="str">
        <f>IFERROR(__xludf.DUMMYFUNCTION("""COMPUTED_VALUE"""),"These pants are perfect!!! they are exactly what i was looking for, and worth every penny! the fabric is more lightweight than any other sort of denim, but still i think i could wear these any season. they look so cute with simple heels and a classic blou"&amp;"se, but they can be dressed down with nice sneakers and a plain white t! so excited to have these in my closet!! love a good pair of fun pants.")</f>
        <v>These pants are perfect!!! they are exactly what i was looking for, and worth every penny! the fabric is more lightweight than any other sort of denim, but still i think i could wear these any season. they look so cute with simple heels and a classic blouse, but they can be dressed down with nice sneakers and a plain white t! so excited to have these in my closet!! love a good pair of fun pants.</v>
      </c>
      <c r="F701" s="8">
        <f>IFERROR(__xludf.DUMMYFUNCTION("""COMPUTED_VALUE"""),5.0)</f>
        <v>5</v>
      </c>
      <c r="G701" s="8">
        <f>IFERROR(__xludf.DUMMYFUNCTION("""COMPUTED_VALUE"""),1.0)</f>
        <v>1</v>
      </c>
      <c r="H701" s="8">
        <f>IFERROR(__xludf.DUMMYFUNCTION("""COMPUTED_VALUE"""),0.0)</f>
        <v>0</v>
      </c>
      <c r="I701" s="8" t="str">
        <f>IFERROR(__xludf.DUMMYFUNCTION("""COMPUTED_VALUE"""),"General")</f>
        <v>General</v>
      </c>
      <c r="J701" s="8" t="str">
        <f>IFERROR(__xludf.DUMMYFUNCTION("""COMPUTED_VALUE"""),"Bottoms")</f>
        <v>Bottoms</v>
      </c>
      <c r="K701" s="8" t="str">
        <f>IFERROR(__xludf.DUMMYFUNCTION("""COMPUTED_VALUE"""),"Pants")</f>
        <v>Pants</v>
      </c>
    </row>
    <row r="702">
      <c r="A702" s="8">
        <f>IFERROR(__xludf.DUMMYFUNCTION("""COMPUTED_VALUE"""),916.0)</f>
        <v>916</v>
      </c>
      <c r="B702" s="8">
        <f>IFERROR(__xludf.DUMMYFUNCTION("""COMPUTED_VALUE"""),861.0)</f>
        <v>861</v>
      </c>
      <c r="C702" s="8">
        <f>IFERROR(__xludf.DUMMYFUNCTION("""COMPUTED_VALUE"""),66.0)</f>
        <v>66</v>
      </c>
      <c r="D702" s="8" t="str">
        <f>IFERROR(__xludf.DUMMYFUNCTION("""COMPUTED_VALUE"""),"Sporty and chic")</f>
        <v>Sporty and chic</v>
      </c>
      <c r="E702" s="8" t="str">
        <f>IFERROR(__xludf.DUMMYFUNCTION("""COMPUTED_VALUE"""),"This top will be perfect for autumn and even winter down in the southeast. i purchased the ""red"" and hoped that it was more of a rust color-lucked in! the material is very soft and more on the thinner side for layering-which is alway a plus. i have spar"&amp;"e tires in my belly area and this does not grab aholed of them,in fact the stripes do the work and disguise! and the lace up nautical feel brings the attention to my money maker! you won't be disappointed")</f>
        <v>This top will be perfect for autumn and even winter down in the southeast. i purchased the "red" and hoped that it was more of a rust color-lucked in! the material is very soft and more on the thinner side for layering-which is alway a plus. i have spare tires in my belly area and this does not grab aholed of them,in fact the stripes do the work and disguise! and the lace up nautical feel brings the attention to my money maker! you won't be disappointed</v>
      </c>
      <c r="F702" s="8">
        <f>IFERROR(__xludf.DUMMYFUNCTION("""COMPUTED_VALUE"""),5.0)</f>
        <v>5</v>
      </c>
      <c r="G702" s="8">
        <f>IFERROR(__xludf.DUMMYFUNCTION("""COMPUTED_VALUE"""),1.0)</f>
        <v>1</v>
      </c>
      <c r="H702" s="8">
        <f>IFERROR(__xludf.DUMMYFUNCTION("""COMPUTED_VALUE"""),1.0)</f>
        <v>1</v>
      </c>
      <c r="I702" s="8" t="str">
        <f>IFERROR(__xludf.DUMMYFUNCTION("""COMPUTED_VALUE"""),"General")</f>
        <v>General</v>
      </c>
      <c r="J702" s="8" t="str">
        <f>IFERROR(__xludf.DUMMYFUNCTION("""COMPUTED_VALUE"""),"Tops")</f>
        <v>Tops</v>
      </c>
      <c r="K702" s="8" t="str">
        <f>IFERROR(__xludf.DUMMYFUNCTION("""COMPUTED_VALUE"""),"Knits")</f>
        <v>Knits</v>
      </c>
    </row>
    <row r="703">
      <c r="A703" s="8">
        <f>IFERROR(__xludf.DUMMYFUNCTION("""COMPUTED_VALUE"""),917.0)</f>
        <v>917</v>
      </c>
      <c r="B703" s="8">
        <f>IFERROR(__xludf.DUMMYFUNCTION("""COMPUTED_VALUE"""),862.0)</f>
        <v>862</v>
      </c>
      <c r="C703" s="8">
        <f>IFERROR(__xludf.DUMMYFUNCTION("""COMPUTED_VALUE"""),51.0)</f>
        <v>51</v>
      </c>
      <c r="D703" s="8" t="str">
        <f>IFERROR(__xludf.DUMMYFUNCTION("""COMPUTED_VALUE"""),"Great little top")</f>
        <v>Great little top</v>
      </c>
      <c r="E703" s="8" t="str">
        <f>IFERROR(__xludf.DUMMYFUNCTION("""COMPUTED_VALUE"""),"I ordered this on a whim during retailer days sale and i'm glad i did. it's now one of those shirts that calls my name every morning. i've worn it with denim skinnies and a knee length black knit pencil skirt. so soft and flattering. i got it in the red, "&amp;"but am tempted by the blue!")</f>
        <v>I ordered this on a whim during retailer days sale and i'm glad i did. it's now one of those shirts that calls my name every morning. i've worn it with denim skinnies and a knee length black knit pencil skirt. so soft and flattering. i got it in the red, but am tempted by the blue!</v>
      </c>
      <c r="F703" s="8">
        <f>IFERROR(__xludf.DUMMYFUNCTION("""COMPUTED_VALUE"""),5.0)</f>
        <v>5</v>
      </c>
      <c r="G703" s="8">
        <f>IFERROR(__xludf.DUMMYFUNCTION("""COMPUTED_VALUE"""),1.0)</f>
        <v>1</v>
      </c>
      <c r="H703" s="8">
        <f>IFERROR(__xludf.DUMMYFUNCTION("""COMPUTED_VALUE"""),3.0)</f>
        <v>3</v>
      </c>
      <c r="I703" s="8" t="str">
        <f>IFERROR(__xludf.DUMMYFUNCTION("""COMPUTED_VALUE"""),"General")</f>
        <v>General</v>
      </c>
      <c r="J703" s="8" t="str">
        <f>IFERROR(__xludf.DUMMYFUNCTION("""COMPUTED_VALUE"""),"Tops")</f>
        <v>Tops</v>
      </c>
      <c r="K703" s="8" t="str">
        <f>IFERROR(__xludf.DUMMYFUNCTION("""COMPUTED_VALUE"""),"Knits")</f>
        <v>Knits</v>
      </c>
    </row>
    <row r="704">
      <c r="A704" s="8">
        <f>IFERROR(__xludf.DUMMYFUNCTION("""COMPUTED_VALUE"""),918.0)</f>
        <v>918</v>
      </c>
      <c r="B704" s="8">
        <f>IFERROR(__xludf.DUMMYFUNCTION("""COMPUTED_VALUE"""),1066.0)</f>
        <v>1066</v>
      </c>
      <c r="C704" s="8">
        <f>IFERROR(__xludf.DUMMYFUNCTION("""COMPUTED_VALUE"""),35.0)</f>
        <v>35</v>
      </c>
      <c r="D704" s="8" t="str">
        <f>IFERROR(__xludf.DUMMYFUNCTION("""COMPUTED_VALUE"""),"Comfortable, stylish, 70's relived.")</f>
        <v>Comfortable, stylish, 70's relived.</v>
      </c>
      <c r="E704" s="8" t="str">
        <f>IFERROR(__xludf.DUMMYFUNCTION("""COMPUTED_VALUE"""),"These pants are 100% true to size (whatever that means anymore...i'm a 26 in paige and ag.  i'm 5''6, weigh around 115, have long legs and i ordered the 0p.  the zero petite are still a little long, with a slight heel they're perfect.  they don't have str"&amp;"etch in them, but do to the fit and fabric...the material does expand, because they're thin and breezy.  i absolutely love them.  can't wait to order other colors of the same style.  these are my new favorite pants.")</f>
        <v>These pants are 100% true to size (whatever that means anymore...i'm a 26 in paige and ag.  i'm 5''6, weigh around 115, have long legs and i ordered the 0p.  the zero petite are still a little long, with a slight heel they're perfect.  they don't have stretch in them, but do to the fit and fabric...the material does expand, because they're thin and breezy.  i absolutely love them.  can't wait to order other colors of the same style.  these are my new favorite pants.</v>
      </c>
      <c r="F704" s="8">
        <f>IFERROR(__xludf.DUMMYFUNCTION("""COMPUTED_VALUE"""),5.0)</f>
        <v>5</v>
      </c>
      <c r="G704" s="8">
        <f>IFERROR(__xludf.DUMMYFUNCTION("""COMPUTED_VALUE"""),1.0)</f>
        <v>1</v>
      </c>
      <c r="H704" s="8">
        <f>IFERROR(__xludf.DUMMYFUNCTION("""COMPUTED_VALUE"""),1.0)</f>
        <v>1</v>
      </c>
      <c r="I704" s="8" t="str">
        <f>IFERROR(__xludf.DUMMYFUNCTION("""COMPUTED_VALUE"""),"General")</f>
        <v>General</v>
      </c>
      <c r="J704" s="8" t="str">
        <f>IFERROR(__xludf.DUMMYFUNCTION("""COMPUTED_VALUE"""),"Bottoms")</f>
        <v>Bottoms</v>
      </c>
      <c r="K704" s="8" t="str">
        <f>IFERROR(__xludf.DUMMYFUNCTION("""COMPUTED_VALUE"""),"Pants")</f>
        <v>Pants</v>
      </c>
    </row>
    <row r="705">
      <c r="A705" s="8">
        <f>IFERROR(__xludf.DUMMYFUNCTION("""COMPUTED_VALUE"""),919.0)</f>
        <v>919</v>
      </c>
      <c r="B705" s="8">
        <f>IFERROR(__xludf.DUMMYFUNCTION("""COMPUTED_VALUE"""),1008.0)</f>
        <v>1008</v>
      </c>
      <c r="C705" s="8">
        <f>IFERROR(__xludf.DUMMYFUNCTION("""COMPUTED_VALUE"""),41.0)</f>
        <v>41</v>
      </c>
      <c r="D705" s="8" t="str">
        <f>IFERROR(__xludf.DUMMYFUNCTION("""COMPUTED_VALUE"""),"Wonderful skirt")</f>
        <v>Wonderful skirt</v>
      </c>
      <c r="E705" s="8" t="str">
        <f>IFERROR(__xludf.DUMMYFUNCTION("""COMPUTED_VALUE"""),"I ordered this skirt online in a size 8 but returned for a 10 so it could sit a bit lower.
the fabric is so beautiful and a bit heavier so it can be worn all year long.
so glad i made this purchase.")</f>
        <v>I ordered this skirt online in a size 8 but returned for a 10 so it could sit a bit lower.
the fabric is so beautiful and a bit heavier so it can be worn all year long.
so glad i made this purchase.</v>
      </c>
      <c r="F705" s="8">
        <f>IFERROR(__xludf.DUMMYFUNCTION("""COMPUTED_VALUE"""),5.0)</f>
        <v>5</v>
      </c>
      <c r="G705" s="8">
        <f>IFERROR(__xludf.DUMMYFUNCTION("""COMPUTED_VALUE"""),1.0)</f>
        <v>1</v>
      </c>
      <c r="H705" s="8">
        <f>IFERROR(__xludf.DUMMYFUNCTION("""COMPUTED_VALUE"""),1.0)</f>
        <v>1</v>
      </c>
      <c r="I705" s="8" t="str">
        <f>IFERROR(__xludf.DUMMYFUNCTION("""COMPUTED_VALUE"""),"General Petite")</f>
        <v>General Petite</v>
      </c>
      <c r="J705" s="8" t="str">
        <f>IFERROR(__xludf.DUMMYFUNCTION("""COMPUTED_VALUE"""),"Bottoms")</f>
        <v>Bottoms</v>
      </c>
      <c r="K705" s="8" t="str">
        <f>IFERROR(__xludf.DUMMYFUNCTION("""COMPUTED_VALUE"""),"Skirts")</f>
        <v>Skirts</v>
      </c>
    </row>
    <row r="706">
      <c r="A706" s="8">
        <f>IFERROR(__xludf.DUMMYFUNCTION("""COMPUTED_VALUE"""),920.0)</f>
        <v>920</v>
      </c>
      <c r="B706" s="8">
        <f>IFERROR(__xludf.DUMMYFUNCTION("""COMPUTED_VALUE"""),1066.0)</f>
        <v>1066</v>
      </c>
      <c r="C706" s="8">
        <f>IFERROR(__xludf.DUMMYFUNCTION("""COMPUTED_VALUE"""),46.0)</f>
        <v>46</v>
      </c>
      <c r="D706" s="8" t="str">
        <f>IFERROR(__xludf.DUMMYFUNCTION("""COMPUTED_VALUE"""),"Long pocket equals short leg")</f>
        <v>Long pocket equals short leg</v>
      </c>
      <c r="E706" s="8" t="str">
        <f>IFERROR(__xludf.DUMMYFUNCTION("""COMPUTED_VALUE"""),"The wide leg was fun, not too wide, but the long pocket seem to shorten leg so i returned. great for a taller person. bottom &amp; trim cute")</f>
        <v>The wide leg was fun, not too wide, but the long pocket seem to shorten leg so i returned. great for a taller person. bottom &amp; trim cute</v>
      </c>
      <c r="F706" s="8">
        <f>IFERROR(__xludf.DUMMYFUNCTION("""COMPUTED_VALUE"""),4.0)</f>
        <v>4</v>
      </c>
      <c r="G706" s="8">
        <f>IFERROR(__xludf.DUMMYFUNCTION("""COMPUTED_VALUE"""),1.0)</f>
        <v>1</v>
      </c>
      <c r="H706" s="8">
        <f>IFERROR(__xludf.DUMMYFUNCTION("""COMPUTED_VALUE"""),0.0)</f>
        <v>0</v>
      </c>
      <c r="I706" s="8" t="str">
        <f>IFERROR(__xludf.DUMMYFUNCTION("""COMPUTED_VALUE"""),"General")</f>
        <v>General</v>
      </c>
      <c r="J706" s="8" t="str">
        <f>IFERROR(__xludf.DUMMYFUNCTION("""COMPUTED_VALUE"""),"Bottoms")</f>
        <v>Bottoms</v>
      </c>
      <c r="K706" s="8" t="str">
        <f>IFERROR(__xludf.DUMMYFUNCTION("""COMPUTED_VALUE"""),"Pants")</f>
        <v>Pants</v>
      </c>
    </row>
    <row r="707">
      <c r="A707" s="8">
        <f>IFERROR(__xludf.DUMMYFUNCTION("""COMPUTED_VALUE"""),921.0)</f>
        <v>921</v>
      </c>
      <c r="B707" s="8">
        <f>IFERROR(__xludf.DUMMYFUNCTION("""COMPUTED_VALUE"""),1066.0)</f>
        <v>1066</v>
      </c>
      <c r="C707" s="8">
        <f>IFERROR(__xludf.DUMMYFUNCTION("""COMPUTED_VALUE"""),43.0)</f>
        <v>43</v>
      </c>
      <c r="D707" s="8" t="str">
        <f>IFERROR(__xludf.DUMMYFUNCTION("""COMPUTED_VALUE"""),"Better than in the photo")</f>
        <v>Better than in the photo</v>
      </c>
      <c r="E707" s="8" t="str">
        <f>IFERROR(__xludf.DUMMYFUNCTION("""COMPUTED_VALUE"""),"Don't pay attention to the less-than-flattering photo. these jeans are super cute and very flattering. they are actually long, not ankle length as the photo implies. high waisted with a 70s bell bottom vibe. nice light denim for year round wear. they fit "&amp;"like a dream.")</f>
        <v>Don't pay attention to the less-than-flattering photo. these jeans are super cute and very flattering. they are actually long, not ankle length as the photo implies. high waisted with a 70s bell bottom vibe. nice light denim for year round wear. they fit like a dream.</v>
      </c>
      <c r="F707" s="8">
        <f>IFERROR(__xludf.DUMMYFUNCTION("""COMPUTED_VALUE"""),5.0)</f>
        <v>5</v>
      </c>
      <c r="G707" s="8">
        <f>IFERROR(__xludf.DUMMYFUNCTION("""COMPUTED_VALUE"""),1.0)</f>
        <v>1</v>
      </c>
      <c r="H707" s="8">
        <f>IFERROR(__xludf.DUMMYFUNCTION("""COMPUTED_VALUE"""),0.0)</f>
        <v>0</v>
      </c>
      <c r="I707" s="8" t="str">
        <f>IFERROR(__xludf.DUMMYFUNCTION("""COMPUTED_VALUE"""),"General")</f>
        <v>General</v>
      </c>
      <c r="J707" s="8" t="str">
        <f>IFERROR(__xludf.DUMMYFUNCTION("""COMPUTED_VALUE"""),"Bottoms")</f>
        <v>Bottoms</v>
      </c>
      <c r="K707" s="8" t="str">
        <f>IFERROR(__xludf.DUMMYFUNCTION("""COMPUTED_VALUE"""),"Pants")</f>
        <v>Pants</v>
      </c>
    </row>
    <row r="708">
      <c r="A708" s="8">
        <f>IFERROR(__xludf.DUMMYFUNCTION("""COMPUTED_VALUE"""),922.0)</f>
        <v>922</v>
      </c>
      <c r="B708" s="8">
        <f>IFERROR(__xludf.DUMMYFUNCTION("""COMPUTED_VALUE"""),1008.0)</f>
        <v>1008</v>
      </c>
      <c r="C708" s="8">
        <f>IFERROR(__xludf.DUMMYFUNCTION("""COMPUTED_VALUE"""),43.0)</f>
        <v>43</v>
      </c>
      <c r="D708" s="8" t="str">
        <f>IFERROR(__xludf.DUMMYFUNCTION("""COMPUTED_VALUE"""),"Very pretty")</f>
        <v>Very pretty</v>
      </c>
      <c r="E708" s="8" t="str">
        <f>IFERROR(__xludf.DUMMYFUNCTION("""COMPUTED_VALUE"""),"I got this skirt in the dove grey, which is a lovely shade of light grey and silver. it has one layer underneath that is a sparkly silver netting which is really pretty that you can't see in the photo. the other layer is the grey netting. it has a very so"&amp;"ft light grey silky cotton liner. i got the petite xs and it fits just as it should. i'm 5'3, 102. the skirt looks just as it is pictured, i think it can be dressy or dressed down a bit. very very pretty and well made. i'm happy with the purchas")</f>
        <v>I got this skirt in the dove grey, which is a lovely shade of light grey and silver. it has one layer underneath that is a sparkly silver netting which is really pretty that you can't see in the photo. the other layer is the grey netting. it has a very soft light grey silky cotton liner. i got the petite xs and it fits just as it should. i'm 5'3, 102. the skirt looks just as it is pictured, i think it can be dressy or dressed down a bit. very very pretty and well made. i'm happy with the purchas</v>
      </c>
      <c r="F708" s="8">
        <f>IFERROR(__xludf.DUMMYFUNCTION("""COMPUTED_VALUE"""),5.0)</f>
        <v>5</v>
      </c>
      <c r="G708" s="8">
        <f>IFERROR(__xludf.DUMMYFUNCTION("""COMPUTED_VALUE"""),1.0)</f>
        <v>1</v>
      </c>
      <c r="H708" s="8">
        <f>IFERROR(__xludf.DUMMYFUNCTION("""COMPUTED_VALUE"""),10.0)</f>
        <v>10</v>
      </c>
      <c r="I708" s="8" t="str">
        <f>IFERROR(__xludf.DUMMYFUNCTION("""COMPUTED_VALUE"""),"General Petite")</f>
        <v>General Petite</v>
      </c>
      <c r="J708" s="8" t="str">
        <f>IFERROR(__xludf.DUMMYFUNCTION("""COMPUTED_VALUE"""),"Bottoms")</f>
        <v>Bottoms</v>
      </c>
      <c r="K708" s="8" t="str">
        <f>IFERROR(__xludf.DUMMYFUNCTION("""COMPUTED_VALUE"""),"Skirts")</f>
        <v>Skirts</v>
      </c>
    </row>
    <row r="709">
      <c r="A709" s="8">
        <f>IFERROR(__xludf.DUMMYFUNCTION("""COMPUTED_VALUE"""),923.0)</f>
        <v>923</v>
      </c>
      <c r="B709" s="8">
        <f>IFERROR(__xludf.DUMMYFUNCTION("""COMPUTED_VALUE"""),861.0)</f>
        <v>861</v>
      </c>
      <c r="C709" s="8">
        <f>IFERROR(__xludf.DUMMYFUNCTION("""COMPUTED_VALUE"""),36.0)</f>
        <v>36</v>
      </c>
      <c r="D709" s="8" t="str">
        <f>IFERROR(__xludf.DUMMYFUNCTION("""COMPUTED_VALUE"""),"Great, great top")</f>
        <v>Great, great top</v>
      </c>
      <c r="E709" s="8" t="str">
        <f>IFERROR(__xludf.DUMMYFUNCTION("""COMPUTED_VALUE"""),"Really loved this - so soft and snuggly. was unsure about ordering shirt size - (s) or jacket size for layering (m). ordered a small. fits perfect! definitely wouldn't have wanted the medium. 5'4, 135 lbs for reference. love this one!!! great find.")</f>
        <v>Really loved this - so soft and snuggly. was unsure about ordering shirt size - (s) or jacket size for layering (m). ordered a small. fits perfect! definitely wouldn't have wanted the medium. 5'4, 135 lbs for reference. love this one!!! great find.</v>
      </c>
      <c r="F709" s="8">
        <f>IFERROR(__xludf.DUMMYFUNCTION("""COMPUTED_VALUE"""),5.0)</f>
        <v>5</v>
      </c>
      <c r="G709" s="8">
        <f>IFERROR(__xludf.DUMMYFUNCTION("""COMPUTED_VALUE"""),1.0)</f>
        <v>1</v>
      </c>
      <c r="H709" s="8">
        <f>IFERROR(__xludf.DUMMYFUNCTION("""COMPUTED_VALUE"""),8.0)</f>
        <v>8</v>
      </c>
      <c r="I709" s="8" t="str">
        <f>IFERROR(__xludf.DUMMYFUNCTION("""COMPUTED_VALUE"""),"General")</f>
        <v>General</v>
      </c>
      <c r="J709" s="8" t="str">
        <f>IFERROR(__xludf.DUMMYFUNCTION("""COMPUTED_VALUE"""),"Tops")</f>
        <v>Tops</v>
      </c>
      <c r="K709" s="8" t="str">
        <f>IFERROR(__xludf.DUMMYFUNCTION("""COMPUTED_VALUE"""),"Knits")</f>
        <v>Knits</v>
      </c>
    </row>
    <row r="710">
      <c r="A710" s="8">
        <f>IFERROR(__xludf.DUMMYFUNCTION("""COMPUTED_VALUE"""),924.0)</f>
        <v>924</v>
      </c>
      <c r="B710" s="8">
        <f>IFERROR(__xludf.DUMMYFUNCTION("""COMPUTED_VALUE"""),1028.0)</f>
        <v>1028</v>
      </c>
      <c r="C710" s="8">
        <f>IFERROR(__xludf.DUMMYFUNCTION("""COMPUTED_VALUE"""),41.0)</f>
        <v>41</v>
      </c>
      <c r="D710" s="8"/>
      <c r="E710" s="8" t="str">
        <f>IFERROR(__xludf.DUMMYFUNCTION("""COMPUTED_VALUE"""),"Love these jeans! they are the perfect relaxed fit; not too baggy, and a straight style. i did size down, because i wanted to wear them as shown. i was afraid that they would ride too low on my hips. glad i did! i usually wear size 29/6 and took a 28 in t"&amp;"his pair. the color and denim weight is also great.")</f>
        <v>Love these jeans! they are the perfect relaxed fit; not too baggy, and a straight style. i did size down, because i wanted to wear them as shown. i was afraid that they would ride too low on my hips. glad i did! i usually wear size 29/6 and took a 28 in this pair. the color and denim weight is also great.</v>
      </c>
      <c r="F710" s="8">
        <f>IFERROR(__xludf.DUMMYFUNCTION("""COMPUTED_VALUE"""),5.0)</f>
        <v>5</v>
      </c>
      <c r="G710" s="8">
        <f>IFERROR(__xludf.DUMMYFUNCTION("""COMPUTED_VALUE"""),1.0)</f>
        <v>1</v>
      </c>
      <c r="H710" s="8">
        <f>IFERROR(__xludf.DUMMYFUNCTION("""COMPUTED_VALUE"""),12.0)</f>
        <v>12</v>
      </c>
      <c r="I710" s="8" t="str">
        <f>IFERROR(__xludf.DUMMYFUNCTION("""COMPUTED_VALUE"""),"General Petite")</f>
        <v>General Petite</v>
      </c>
      <c r="J710" s="8" t="str">
        <f>IFERROR(__xludf.DUMMYFUNCTION("""COMPUTED_VALUE"""),"Bottoms")</f>
        <v>Bottoms</v>
      </c>
      <c r="K710" s="8" t="str">
        <f>IFERROR(__xludf.DUMMYFUNCTION("""COMPUTED_VALUE"""),"Jeans")</f>
        <v>Jeans</v>
      </c>
    </row>
    <row r="711">
      <c r="A711" s="8">
        <f>IFERROR(__xludf.DUMMYFUNCTION("""COMPUTED_VALUE"""),925.0)</f>
        <v>925</v>
      </c>
      <c r="B711" s="8">
        <f>IFERROR(__xludf.DUMMYFUNCTION("""COMPUTED_VALUE"""),1080.0)</f>
        <v>1080</v>
      </c>
      <c r="C711" s="8">
        <f>IFERROR(__xludf.DUMMYFUNCTION("""COMPUTED_VALUE"""),55.0)</f>
        <v>55</v>
      </c>
      <c r="D711" s="8" t="str">
        <f>IFERROR(__xludf.DUMMYFUNCTION("""COMPUTED_VALUE"""),"Fabulous")</f>
        <v>Fabulous</v>
      </c>
      <c r="E711" s="8" t="str">
        <f>IFERROR(__xludf.DUMMYFUNCTION("""COMPUTED_VALUE"""),"I ordered this dress for my daughter. she wore it to a wedding and it was beautiful. looks just as it does in photo. fabric is a nice weight and hangs great. my daughter had her hair done and look right out of an retailer catalog. well made true to size b"&amp;"eautiful dress!!!!!!!")</f>
        <v>I ordered this dress for my daughter. she wore it to a wedding and it was beautiful. looks just as it does in photo. fabric is a nice weight and hangs great. my daughter had her hair done and look right out of an retailer catalog. well made true to size beautiful dress!!!!!!!</v>
      </c>
      <c r="F711" s="8">
        <f>IFERROR(__xludf.DUMMYFUNCTION("""COMPUTED_VALUE"""),5.0)</f>
        <v>5</v>
      </c>
      <c r="G711" s="8">
        <f>IFERROR(__xludf.DUMMYFUNCTION("""COMPUTED_VALUE"""),1.0)</f>
        <v>1</v>
      </c>
      <c r="H711" s="8">
        <f>IFERROR(__xludf.DUMMYFUNCTION("""COMPUTED_VALUE"""),0.0)</f>
        <v>0</v>
      </c>
      <c r="I711" s="8" t="str">
        <f>IFERROR(__xludf.DUMMYFUNCTION("""COMPUTED_VALUE"""),"General Petite")</f>
        <v>General Petite</v>
      </c>
      <c r="J711" s="8" t="str">
        <f>IFERROR(__xludf.DUMMYFUNCTION("""COMPUTED_VALUE"""),"Dresses")</f>
        <v>Dresses</v>
      </c>
      <c r="K711" s="8" t="str">
        <f>IFERROR(__xludf.DUMMYFUNCTION("""COMPUTED_VALUE"""),"Dresses")</f>
        <v>Dresses</v>
      </c>
    </row>
    <row r="712">
      <c r="A712" s="8">
        <f>IFERROR(__xludf.DUMMYFUNCTION("""COMPUTED_VALUE"""),926.0)</f>
        <v>926</v>
      </c>
      <c r="B712" s="8">
        <f>IFERROR(__xludf.DUMMYFUNCTION("""COMPUTED_VALUE"""),1008.0)</f>
        <v>1008</v>
      </c>
      <c r="C712" s="8">
        <f>IFERROR(__xludf.DUMMYFUNCTION("""COMPUTED_VALUE"""),52.0)</f>
        <v>52</v>
      </c>
      <c r="D712" s="8" t="str">
        <f>IFERROR(__xludf.DUMMYFUNCTION("""COMPUTED_VALUE"""),"Love love love")</f>
        <v>Love love love</v>
      </c>
      <c r="E712" s="8" t="str">
        <f>IFERROR(__xludf.DUMMYFUNCTION("""COMPUTED_VALUE"""),"Layered this with a chunky sweater and a pair of kicks. it can be low key or dressed up with a pair of heels, multi-functionality not just occasional. it&amp;#39;s feminine, funky, and fabulous!! i bought the last one in the store!")</f>
        <v>Layered this with a chunky sweater and a pair of kicks. it can be low key or dressed up with a pair of heels, multi-functionality not just occasional. it&amp;#39;s feminine, funky, and fabulous!! i bought the last one in the store!</v>
      </c>
      <c r="F712" s="8">
        <f>IFERROR(__xludf.DUMMYFUNCTION("""COMPUTED_VALUE"""),5.0)</f>
        <v>5</v>
      </c>
      <c r="G712" s="8">
        <f>IFERROR(__xludf.DUMMYFUNCTION("""COMPUTED_VALUE"""),1.0)</f>
        <v>1</v>
      </c>
      <c r="H712" s="8">
        <f>IFERROR(__xludf.DUMMYFUNCTION("""COMPUTED_VALUE"""),0.0)</f>
        <v>0</v>
      </c>
      <c r="I712" s="8" t="str">
        <f>IFERROR(__xludf.DUMMYFUNCTION("""COMPUTED_VALUE"""),"General Petite")</f>
        <v>General Petite</v>
      </c>
      <c r="J712" s="8" t="str">
        <f>IFERROR(__xludf.DUMMYFUNCTION("""COMPUTED_VALUE"""),"Bottoms")</f>
        <v>Bottoms</v>
      </c>
      <c r="K712" s="8" t="str">
        <f>IFERROR(__xludf.DUMMYFUNCTION("""COMPUTED_VALUE"""),"Skirts")</f>
        <v>Skirts</v>
      </c>
    </row>
    <row r="713">
      <c r="A713" s="8">
        <f>IFERROR(__xludf.DUMMYFUNCTION("""COMPUTED_VALUE"""),928.0)</f>
        <v>928</v>
      </c>
      <c r="B713" s="8">
        <f>IFERROR(__xludf.DUMMYFUNCTION("""COMPUTED_VALUE"""),952.0)</f>
        <v>952</v>
      </c>
      <c r="C713" s="8">
        <f>IFERROR(__xludf.DUMMYFUNCTION("""COMPUTED_VALUE"""),77.0)</f>
        <v>77</v>
      </c>
      <c r="D713" s="8" t="str">
        <f>IFERROR(__xludf.DUMMYFUNCTION("""COMPUTED_VALUE"""),"Great colors!")</f>
        <v>Great colors!</v>
      </c>
      <c r="E713" s="8" t="str">
        <f>IFERROR(__xludf.DUMMYFUNCTION("""COMPUTED_VALUE"""),"The colors are richer than shown- very vibrant. this piece is very unique and everthing that i love about retailer! i usually wear a medium in jackets and vest. i tried the small and there was very little difference from the small or the medium fit, so i "&amp;"went a size up, just for a looser look. it is very flattering and will be a great addition to my fall wardrobe!")</f>
        <v>The colors are richer than shown- very vibrant. this piece is very unique and everthing that i love about retailer! i usually wear a medium in jackets and vest. i tried the small and there was very little difference from the small or the medium fit, so i went a size up, just for a looser look. it is very flattering and will be a great addition to my fall wardrobe!</v>
      </c>
      <c r="F713" s="8">
        <f>IFERROR(__xludf.DUMMYFUNCTION("""COMPUTED_VALUE"""),5.0)</f>
        <v>5</v>
      </c>
      <c r="G713" s="8">
        <f>IFERROR(__xludf.DUMMYFUNCTION("""COMPUTED_VALUE"""),1.0)</f>
        <v>1</v>
      </c>
      <c r="H713" s="8">
        <f>IFERROR(__xludf.DUMMYFUNCTION("""COMPUTED_VALUE"""),1.0)</f>
        <v>1</v>
      </c>
      <c r="I713" s="8" t="str">
        <f>IFERROR(__xludf.DUMMYFUNCTION("""COMPUTED_VALUE"""),"General Petite")</f>
        <v>General Petite</v>
      </c>
      <c r="J713" s="8" t="str">
        <f>IFERROR(__xludf.DUMMYFUNCTION("""COMPUTED_VALUE"""),"Tops")</f>
        <v>Tops</v>
      </c>
      <c r="K713" s="8" t="str">
        <f>IFERROR(__xludf.DUMMYFUNCTION("""COMPUTED_VALUE"""),"Sweaters")</f>
        <v>Sweaters</v>
      </c>
    </row>
    <row r="714">
      <c r="A714" s="8">
        <f>IFERROR(__xludf.DUMMYFUNCTION("""COMPUTED_VALUE"""),929.0)</f>
        <v>929</v>
      </c>
      <c r="B714" s="8">
        <f>IFERROR(__xludf.DUMMYFUNCTION("""COMPUTED_VALUE"""),952.0)</f>
        <v>952</v>
      </c>
      <c r="C714" s="8">
        <f>IFERROR(__xludf.DUMMYFUNCTION("""COMPUTED_VALUE"""),39.0)</f>
        <v>39</v>
      </c>
      <c r="D714" s="8" t="str">
        <f>IFERROR(__xludf.DUMMYFUNCTION("""COMPUTED_VALUE"""),"Layer cake")</f>
        <v>Layer cake</v>
      </c>
      <c r="E714" s="8" t="str">
        <f>IFERROR(__xludf.DUMMYFUNCTION("""COMPUTED_VALUE"""),"An interesting design in a high-quality garment.  fits true to size on me and is great for layering.  very soft knit with the drapey attachment and a collar you can adjust to look the way you want. i feel lucky that i got this on sale but i would've gladl"&amp;"y paid full price since this is a three season piece.")</f>
        <v>An interesting design in a high-quality garment.  fits true to size on me and is great for layering.  very soft knit with the drapey attachment and a collar you can adjust to look the way you want. i feel lucky that i got this on sale but i would've gladly paid full price since this is a three season piece.</v>
      </c>
      <c r="F714" s="8">
        <f>IFERROR(__xludf.DUMMYFUNCTION("""COMPUTED_VALUE"""),5.0)</f>
        <v>5</v>
      </c>
      <c r="G714" s="8">
        <f>IFERROR(__xludf.DUMMYFUNCTION("""COMPUTED_VALUE"""),1.0)</f>
        <v>1</v>
      </c>
      <c r="H714" s="8">
        <f>IFERROR(__xludf.DUMMYFUNCTION("""COMPUTED_VALUE"""),0.0)</f>
        <v>0</v>
      </c>
      <c r="I714" s="8" t="str">
        <f>IFERROR(__xludf.DUMMYFUNCTION("""COMPUTED_VALUE"""),"General Petite")</f>
        <v>General Petite</v>
      </c>
      <c r="J714" s="8" t="str">
        <f>IFERROR(__xludf.DUMMYFUNCTION("""COMPUTED_VALUE"""),"Tops")</f>
        <v>Tops</v>
      </c>
      <c r="K714" s="8" t="str">
        <f>IFERROR(__xludf.DUMMYFUNCTION("""COMPUTED_VALUE"""),"Sweaters")</f>
        <v>Sweaters</v>
      </c>
    </row>
    <row r="715">
      <c r="A715" s="8">
        <f>IFERROR(__xludf.DUMMYFUNCTION("""COMPUTED_VALUE"""),930.0)</f>
        <v>930</v>
      </c>
      <c r="B715" s="8">
        <f>IFERROR(__xludf.DUMMYFUNCTION("""COMPUTED_VALUE"""),1066.0)</f>
        <v>1066</v>
      </c>
      <c r="C715" s="8">
        <f>IFERROR(__xludf.DUMMYFUNCTION("""COMPUTED_VALUE"""),57.0)</f>
        <v>57</v>
      </c>
      <c r="D715" s="8" t="str">
        <f>IFERROR(__xludf.DUMMYFUNCTION("""COMPUTED_VALUE"""),"Great quality but...")</f>
        <v>Great quality but...</v>
      </c>
      <c r="E715" s="8" t="str">
        <f>IFERROR(__xludf.DUMMYFUNCTION("""COMPUTED_VALUE"""),"I was so excited to receive these jeans. typically, wide leg jeans are a no brainer for me--super flattering and in chambray, i thought, they would be stylish and comfortable. but i found these to be verging on mom jean. something about them seems not so "&amp;"cool. maybe the color of the wash, the weight of the fabric? not sure, but they don't lend themselves to current looks. sadly, i will be sending them back.")</f>
        <v>I was so excited to receive these jeans. typically, wide leg jeans are a no brainer for me--super flattering and in chambray, i thought, they would be stylish and comfortable. but i found these to be verging on mom jean. something about them seems not so cool. maybe the color of the wash, the weight of the fabric? not sure, but they don't lend themselves to current looks. sadly, i will be sending them back.</v>
      </c>
      <c r="F715" s="8">
        <f>IFERROR(__xludf.DUMMYFUNCTION("""COMPUTED_VALUE"""),4.0)</f>
        <v>4</v>
      </c>
      <c r="G715" s="8">
        <f>IFERROR(__xludf.DUMMYFUNCTION("""COMPUTED_VALUE"""),1.0)</f>
        <v>1</v>
      </c>
      <c r="H715" s="8">
        <f>IFERROR(__xludf.DUMMYFUNCTION("""COMPUTED_VALUE"""),1.0)</f>
        <v>1</v>
      </c>
      <c r="I715" s="8" t="str">
        <f>IFERROR(__xludf.DUMMYFUNCTION("""COMPUTED_VALUE"""),"General")</f>
        <v>General</v>
      </c>
      <c r="J715" s="8" t="str">
        <f>IFERROR(__xludf.DUMMYFUNCTION("""COMPUTED_VALUE"""),"Bottoms")</f>
        <v>Bottoms</v>
      </c>
      <c r="K715" s="8" t="str">
        <f>IFERROR(__xludf.DUMMYFUNCTION("""COMPUTED_VALUE"""),"Pants")</f>
        <v>Pants</v>
      </c>
    </row>
    <row r="716">
      <c r="A716" s="8">
        <f>IFERROR(__xludf.DUMMYFUNCTION("""COMPUTED_VALUE"""),931.0)</f>
        <v>931</v>
      </c>
      <c r="B716" s="8">
        <f>IFERROR(__xludf.DUMMYFUNCTION("""COMPUTED_VALUE"""),862.0)</f>
        <v>862</v>
      </c>
      <c r="C716" s="8">
        <f>IFERROR(__xludf.DUMMYFUNCTION("""COMPUTED_VALUE"""),65.0)</f>
        <v>65</v>
      </c>
      <c r="D716" s="8" t="str">
        <f>IFERROR(__xludf.DUMMYFUNCTION("""COMPUTED_VALUE"""),"Perfect tee!")</f>
        <v>Perfect tee!</v>
      </c>
      <c r="E716" s="8" t="str">
        <f>IFERROR(__xludf.DUMMYFUNCTION("""COMPUTED_VALUE"""),"I bought this tee in all 3 colors, and wish there were more!  fabulous quality, material and style.  can dress up or down; wear with jeans, pants or skirts.  wear alone or layer.  don't miss out on this addition to your wardrobe!")</f>
        <v>I bought this tee in all 3 colors, and wish there were more!  fabulous quality, material and style.  can dress up or down; wear with jeans, pants or skirts.  wear alone or layer.  don't miss out on this addition to your wardrobe!</v>
      </c>
      <c r="F716" s="8">
        <f>IFERROR(__xludf.DUMMYFUNCTION("""COMPUTED_VALUE"""),5.0)</f>
        <v>5</v>
      </c>
      <c r="G716" s="8">
        <f>IFERROR(__xludf.DUMMYFUNCTION("""COMPUTED_VALUE"""),1.0)</f>
        <v>1</v>
      </c>
      <c r="H716" s="8">
        <f>IFERROR(__xludf.DUMMYFUNCTION("""COMPUTED_VALUE"""),0.0)</f>
        <v>0</v>
      </c>
      <c r="I716" s="8" t="str">
        <f>IFERROR(__xludf.DUMMYFUNCTION("""COMPUTED_VALUE"""),"General")</f>
        <v>General</v>
      </c>
      <c r="J716" s="8" t="str">
        <f>IFERROR(__xludf.DUMMYFUNCTION("""COMPUTED_VALUE"""),"Tops")</f>
        <v>Tops</v>
      </c>
      <c r="K716" s="8" t="str">
        <f>IFERROR(__xludf.DUMMYFUNCTION("""COMPUTED_VALUE"""),"Knits")</f>
        <v>Knits</v>
      </c>
    </row>
    <row r="717">
      <c r="A717" s="8">
        <f>IFERROR(__xludf.DUMMYFUNCTION("""COMPUTED_VALUE"""),932.0)</f>
        <v>932</v>
      </c>
      <c r="B717" s="8">
        <f>IFERROR(__xludf.DUMMYFUNCTION("""COMPUTED_VALUE"""),1015.0)</f>
        <v>1015</v>
      </c>
      <c r="C717" s="8">
        <f>IFERROR(__xludf.DUMMYFUNCTION("""COMPUTED_VALUE"""),44.0)</f>
        <v>44</v>
      </c>
      <c r="D717" s="8" t="str">
        <f>IFERROR(__xludf.DUMMYFUNCTION("""COMPUTED_VALUE"""),"Chic and classy")</f>
        <v>Chic and classy</v>
      </c>
      <c r="E717" s="8" t="str">
        <f>IFERROR(__xludf.DUMMYFUNCTION("""COMPUTED_VALUE"""),"I'm very short and thus not usually into maxi skirts since most of them make me look frumpy, but i ordered this skirt based upon all the great reviews. this skirt is more amazing in person. at first, the material feels a bit stiff and the gold is a lot mo"&amp;"re shiny in person. but, as usual, moulinette knows how to put things together. when worn, everything comes together, the pleats and the length flow beautifully and the gold shimmers in a subtle way. the skirt runs large (i'm 34b, 26 waist, 36 h")</f>
        <v>I'm very short and thus not usually into maxi skirts since most of them make me look frumpy, but i ordered this skirt based upon all the great reviews. this skirt is more amazing in person. at first, the material feels a bit stiff and the gold is a lot more shiny in person. but, as usual, moulinette knows how to put things together. when worn, everything comes together, the pleats and the length flow beautifully and the gold shimmers in a subtle way. the skirt runs large (i'm 34b, 26 waist, 36 h</v>
      </c>
      <c r="F717" s="8">
        <f>IFERROR(__xludf.DUMMYFUNCTION("""COMPUTED_VALUE"""),5.0)</f>
        <v>5</v>
      </c>
      <c r="G717" s="8">
        <f>IFERROR(__xludf.DUMMYFUNCTION("""COMPUTED_VALUE"""),1.0)</f>
        <v>1</v>
      </c>
      <c r="H717" s="8">
        <f>IFERROR(__xludf.DUMMYFUNCTION("""COMPUTED_VALUE"""),1.0)</f>
        <v>1</v>
      </c>
      <c r="I717" s="8" t="str">
        <f>IFERROR(__xludf.DUMMYFUNCTION("""COMPUTED_VALUE"""),"General")</f>
        <v>General</v>
      </c>
      <c r="J717" s="8" t="str">
        <f>IFERROR(__xludf.DUMMYFUNCTION("""COMPUTED_VALUE"""),"Bottoms")</f>
        <v>Bottoms</v>
      </c>
      <c r="K717" s="8" t="str">
        <f>IFERROR(__xludf.DUMMYFUNCTION("""COMPUTED_VALUE"""),"Skirts")</f>
        <v>Skirts</v>
      </c>
    </row>
    <row r="718">
      <c r="A718" s="8">
        <f>IFERROR(__xludf.DUMMYFUNCTION("""COMPUTED_VALUE"""),933.0)</f>
        <v>933</v>
      </c>
      <c r="B718" s="8">
        <f>IFERROR(__xludf.DUMMYFUNCTION("""COMPUTED_VALUE"""),1066.0)</f>
        <v>1066</v>
      </c>
      <c r="C718" s="8">
        <f>IFERROR(__xludf.DUMMYFUNCTION("""COMPUTED_VALUE"""),45.0)</f>
        <v>45</v>
      </c>
      <c r="D718" s="8" t="str">
        <f>IFERROR(__xludf.DUMMYFUNCTION("""COMPUTED_VALUE"""),"Very nice")</f>
        <v>Very nice</v>
      </c>
      <c r="E718" s="8" t="str">
        <f>IFERROR(__xludf.DUMMYFUNCTION("""COMPUTED_VALUE"""),"Sits at waist, length is perfect for petite, quality is very good, looks very nice on me, very recommend")</f>
        <v>Sits at waist, length is perfect for petite, quality is very good, looks very nice on me, very recommend</v>
      </c>
      <c r="F718" s="8">
        <f>IFERROR(__xludf.DUMMYFUNCTION("""COMPUTED_VALUE"""),5.0)</f>
        <v>5</v>
      </c>
      <c r="G718" s="8">
        <f>IFERROR(__xludf.DUMMYFUNCTION("""COMPUTED_VALUE"""),1.0)</f>
        <v>1</v>
      </c>
      <c r="H718" s="8">
        <f>IFERROR(__xludf.DUMMYFUNCTION("""COMPUTED_VALUE"""),12.0)</f>
        <v>12</v>
      </c>
      <c r="I718" s="8" t="str">
        <f>IFERROR(__xludf.DUMMYFUNCTION("""COMPUTED_VALUE"""),"General")</f>
        <v>General</v>
      </c>
      <c r="J718" s="8" t="str">
        <f>IFERROR(__xludf.DUMMYFUNCTION("""COMPUTED_VALUE"""),"Bottoms")</f>
        <v>Bottoms</v>
      </c>
      <c r="K718" s="8" t="str">
        <f>IFERROR(__xludf.DUMMYFUNCTION("""COMPUTED_VALUE"""),"Pants")</f>
        <v>Pants</v>
      </c>
    </row>
    <row r="719">
      <c r="A719" s="8">
        <f>IFERROR(__xludf.DUMMYFUNCTION("""COMPUTED_VALUE"""),935.0)</f>
        <v>935</v>
      </c>
      <c r="B719" s="8">
        <f>IFERROR(__xludf.DUMMYFUNCTION("""COMPUTED_VALUE"""),1066.0)</f>
        <v>1066</v>
      </c>
      <c r="C719" s="8">
        <f>IFERROR(__xludf.DUMMYFUNCTION("""COMPUTED_VALUE"""),35.0)</f>
        <v>35</v>
      </c>
      <c r="D719" s="8"/>
      <c r="E719" s="8" t="str">
        <f>IFERROR(__xludf.DUMMYFUNCTION("""COMPUTED_VALUE"""),"Cute jeans! flattering and slimming. tts. the cut of the top makes my butt look flat, but oh well, they are super comfy. they are not as short on me as they look on the model. i'm 5;9""")</f>
        <v>Cute jeans! flattering and slimming. tts. the cut of the top makes my butt look flat, but oh well, they are super comfy. they are not as short on me as they look on the model. i'm 5;9"</v>
      </c>
      <c r="F719" s="8">
        <f>IFERROR(__xludf.DUMMYFUNCTION("""COMPUTED_VALUE"""),5.0)</f>
        <v>5</v>
      </c>
      <c r="G719" s="8">
        <f>IFERROR(__xludf.DUMMYFUNCTION("""COMPUTED_VALUE"""),1.0)</f>
        <v>1</v>
      </c>
      <c r="H719" s="8">
        <f>IFERROR(__xludf.DUMMYFUNCTION("""COMPUTED_VALUE"""),0.0)</f>
        <v>0</v>
      </c>
      <c r="I719" s="8" t="str">
        <f>IFERROR(__xludf.DUMMYFUNCTION("""COMPUTED_VALUE"""),"General")</f>
        <v>General</v>
      </c>
      <c r="J719" s="8" t="str">
        <f>IFERROR(__xludf.DUMMYFUNCTION("""COMPUTED_VALUE"""),"Bottoms")</f>
        <v>Bottoms</v>
      </c>
      <c r="K719" s="8" t="str">
        <f>IFERROR(__xludf.DUMMYFUNCTION("""COMPUTED_VALUE"""),"Pants")</f>
        <v>Pants</v>
      </c>
    </row>
    <row r="720">
      <c r="A720" s="8">
        <f>IFERROR(__xludf.DUMMYFUNCTION("""COMPUTED_VALUE"""),936.0)</f>
        <v>936</v>
      </c>
      <c r="B720" s="8">
        <f>IFERROR(__xludf.DUMMYFUNCTION("""COMPUTED_VALUE"""),1047.0)</f>
        <v>1047</v>
      </c>
      <c r="C720" s="8">
        <f>IFERROR(__xludf.DUMMYFUNCTION("""COMPUTED_VALUE"""),46.0)</f>
        <v>46</v>
      </c>
      <c r="D720" s="8" t="str">
        <f>IFERROR(__xludf.DUMMYFUNCTION("""COMPUTED_VALUE"""),"Stunning!")</f>
        <v>Stunning!</v>
      </c>
      <c r="E720" s="8" t="str">
        <f>IFERROR(__xludf.DUMMYFUNCTION("""COMPUTED_VALUE"""),"Love it! the pants is absolutely beautiful, rich material, it's not your cheap jogger!
i am really considering buying a second pair just in case i used my a little to much.
fits perfect, i am 5'4"" 114lbs and purchase the regular small.")</f>
        <v>Love it! the pants is absolutely beautiful, rich material, it's not your cheap jogger!
i am really considering buying a second pair just in case i used my a little to much.
fits perfect, i am 5'4" 114lbs and purchase the regular small.</v>
      </c>
      <c r="F720" s="8">
        <f>IFERROR(__xludf.DUMMYFUNCTION("""COMPUTED_VALUE"""),5.0)</f>
        <v>5</v>
      </c>
      <c r="G720" s="8">
        <f>IFERROR(__xludf.DUMMYFUNCTION("""COMPUTED_VALUE"""),1.0)</f>
        <v>1</v>
      </c>
      <c r="H720" s="8">
        <f>IFERROR(__xludf.DUMMYFUNCTION("""COMPUTED_VALUE"""),0.0)</f>
        <v>0</v>
      </c>
      <c r="I720" s="8" t="str">
        <f>IFERROR(__xludf.DUMMYFUNCTION("""COMPUTED_VALUE"""),"General")</f>
        <v>General</v>
      </c>
      <c r="J720" s="8" t="str">
        <f>IFERROR(__xludf.DUMMYFUNCTION("""COMPUTED_VALUE"""),"Bottoms")</f>
        <v>Bottoms</v>
      </c>
      <c r="K720" s="8" t="str">
        <f>IFERROR(__xludf.DUMMYFUNCTION("""COMPUTED_VALUE"""),"Pants")</f>
        <v>Pants</v>
      </c>
    </row>
    <row r="721">
      <c r="A721" s="8">
        <f>IFERROR(__xludf.DUMMYFUNCTION("""COMPUTED_VALUE"""),938.0)</f>
        <v>938</v>
      </c>
      <c r="B721" s="8">
        <f>IFERROR(__xludf.DUMMYFUNCTION("""COMPUTED_VALUE"""),936.0)</f>
        <v>936</v>
      </c>
      <c r="C721" s="8">
        <f>IFERROR(__xludf.DUMMYFUNCTION("""COMPUTED_VALUE"""),30.0)</f>
        <v>30</v>
      </c>
      <c r="D721" s="8"/>
      <c r="E721" s="8" t="str">
        <f>IFERROR(__xludf.DUMMYFUNCTION("""COMPUTED_VALUE"""),"This coat is gorgeous but it runs huge! i am typically a s so that is the size i purchased and it was swimming on me. i sadly had to return for an xs so fingers crossed it fits. the coral color is gorgeous and looks nice with my olive skin. very unique co"&amp;"at and as long as the xs fits i will be one happy lady.")</f>
        <v>This coat is gorgeous but it runs huge! i am typically a s so that is the size i purchased and it was swimming on me. i sadly had to return for an xs so fingers crossed it fits. the coral color is gorgeous and looks nice with my olive skin. very unique coat and as long as the xs fits i will be one happy lady.</v>
      </c>
      <c r="F721" s="8">
        <f>IFERROR(__xludf.DUMMYFUNCTION("""COMPUTED_VALUE"""),4.0)</f>
        <v>4</v>
      </c>
      <c r="G721" s="8">
        <f>IFERROR(__xludf.DUMMYFUNCTION("""COMPUTED_VALUE"""),1.0)</f>
        <v>1</v>
      </c>
      <c r="H721" s="8">
        <f>IFERROR(__xludf.DUMMYFUNCTION("""COMPUTED_VALUE"""),0.0)</f>
        <v>0</v>
      </c>
      <c r="I721" s="8" t="str">
        <f>IFERROR(__xludf.DUMMYFUNCTION("""COMPUTED_VALUE"""),"General")</f>
        <v>General</v>
      </c>
      <c r="J721" s="8" t="str">
        <f>IFERROR(__xludf.DUMMYFUNCTION("""COMPUTED_VALUE"""),"Tops")</f>
        <v>Tops</v>
      </c>
      <c r="K721" s="8" t="str">
        <f>IFERROR(__xludf.DUMMYFUNCTION("""COMPUTED_VALUE"""),"Sweaters")</f>
        <v>Sweaters</v>
      </c>
    </row>
    <row r="722">
      <c r="A722" s="8">
        <f>IFERROR(__xludf.DUMMYFUNCTION("""COMPUTED_VALUE"""),939.0)</f>
        <v>939</v>
      </c>
      <c r="B722" s="8">
        <f>IFERROR(__xludf.DUMMYFUNCTION("""COMPUTED_VALUE"""),1033.0)</f>
        <v>1033</v>
      </c>
      <c r="C722" s="8">
        <f>IFERROR(__xludf.DUMMYFUNCTION("""COMPUTED_VALUE"""),20.0)</f>
        <v>20</v>
      </c>
      <c r="D722" s="8" t="str">
        <f>IFERROR(__xludf.DUMMYFUNCTION("""COMPUTED_VALUE"""),"Great jeans")</f>
        <v>Great jeans</v>
      </c>
      <c r="E722" s="8" t="str">
        <f>IFERROR(__xludf.DUMMYFUNCTION("""COMPUTED_VALUE"""),"Purchased these jeans in a 27 and i am usually a 28 in skinny jeans. i got the 26's on but they were snug. these jeans are so comfy and sit higher on the waist. great jeans!")</f>
        <v>Purchased these jeans in a 27 and i am usually a 28 in skinny jeans. i got the 26's on but they were snug. these jeans are so comfy and sit higher on the waist. great jeans!</v>
      </c>
      <c r="F722" s="8">
        <f>IFERROR(__xludf.DUMMYFUNCTION("""COMPUTED_VALUE"""),5.0)</f>
        <v>5</v>
      </c>
      <c r="G722" s="8">
        <f>IFERROR(__xludf.DUMMYFUNCTION("""COMPUTED_VALUE"""),1.0)</f>
        <v>1</v>
      </c>
      <c r="H722" s="8">
        <f>IFERROR(__xludf.DUMMYFUNCTION("""COMPUTED_VALUE"""),12.0)</f>
        <v>12</v>
      </c>
      <c r="I722" s="8" t="str">
        <f>IFERROR(__xludf.DUMMYFUNCTION("""COMPUTED_VALUE"""),"General Petite")</f>
        <v>General Petite</v>
      </c>
      <c r="J722" s="8" t="str">
        <f>IFERROR(__xludf.DUMMYFUNCTION("""COMPUTED_VALUE"""),"Bottoms")</f>
        <v>Bottoms</v>
      </c>
      <c r="K722" s="8" t="str">
        <f>IFERROR(__xludf.DUMMYFUNCTION("""COMPUTED_VALUE"""),"Jeans")</f>
        <v>Jeans</v>
      </c>
    </row>
    <row r="723">
      <c r="A723" s="8">
        <f>IFERROR(__xludf.DUMMYFUNCTION("""COMPUTED_VALUE"""),940.0)</f>
        <v>940</v>
      </c>
      <c r="B723" s="8">
        <f>IFERROR(__xludf.DUMMYFUNCTION("""COMPUTED_VALUE"""),936.0)</f>
        <v>936</v>
      </c>
      <c r="C723" s="8">
        <f>IFERROR(__xludf.DUMMYFUNCTION("""COMPUTED_VALUE"""),51.0)</f>
        <v>51</v>
      </c>
      <c r="D723" s="8" t="str">
        <f>IFERROR(__xludf.DUMMYFUNCTION("""COMPUTED_VALUE"""),"Gorgeous!!")</f>
        <v>Gorgeous!!</v>
      </c>
      <c r="E723" s="8" t="str">
        <f>IFERROR(__xludf.DUMMYFUNCTION("""COMPUTED_VALUE"""),"I purchased the coral version, and the color is wonderful and vibrant. it fit my daughter beautifully, and she is 5'10"". i think she will be wearing this coat often, she loves it!!! she is 23 years old and has a professional job, so she will look the par"&amp;"t.")</f>
        <v>I purchased the coral version, and the color is wonderful and vibrant. it fit my daughter beautifully, and she is 5'10". i think she will be wearing this coat often, she loves it!!! she is 23 years old and has a professional job, so she will look the part.</v>
      </c>
      <c r="F723" s="8">
        <f>IFERROR(__xludf.DUMMYFUNCTION("""COMPUTED_VALUE"""),5.0)</f>
        <v>5</v>
      </c>
      <c r="G723" s="8">
        <f>IFERROR(__xludf.DUMMYFUNCTION("""COMPUTED_VALUE"""),1.0)</f>
        <v>1</v>
      </c>
      <c r="H723" s="8">
        <f>IFERROR(__xludf.DUMMYFUNCTION("""COMPUTED_VALUE"""),0.0)</f>
        <v>0</v>
      </c>
      <c r="I723" s="8" t="str">
        <f>IFERROR(__xludf.DUMMYFUNCTION("""COMPUTED_VALUE"""),"General")</f>
        <v>General</v>
      </c>
      <c r="J723" s="8" t="str">
        <f>IFERROR(__xludf.DUMMYFUNCTION("""COMPUTED_VALUE"""),"Tops")</f>
        <v>Tops</v>
      </c>
      <c r="K723" s="8" t="str">
        <f>IFERROR(__xludf.DUMMYFUNCTION("""COMPUTED_VALUE"""),"Sweaters")</f>
        <v>Sweaters</v>
      </c>
    </row>
    <row r="724">
      <c r="A724" s="8">
        <f>IFERROR(__xludf.DUMMYFUNCTION("""COMPUTED_VALUE"""),941.0)</f>
        <v>941</v>
      </c>
      <c r="B724" s="8">
        <f>IFERROR(__xludf.DUMMYFUNCTION("""COMPUTED_VALUE"""),1094.0)</f>
        <v>1094</v>
      </c>
      <c r="C724" s="8">
        <f>IFERROR(__xludf.DUMMYFUNCTION("""COMPUTED_VALUE"""),35.0)</f>
        <v>35</v>
      </c>
      <c r="D724" s="8"/>
      <c r="E724" s="8" t="str">
        <f>IFERROR(__xludf.DUMMYFUNCTION("""COMPUTED_VALUE"""),"I'm in love, i'm in love.
this dress was gifted to me, because i was gawking at it so often. i love it!!! i am petite, 5'3"" 118 pounds and i could do either the small or extra small. the small was a little more comfortable, because the extra small was a"&amp;" bit tight in the arms-but i went with the extra small anyway. in both cases the neckline showed a small amount of tasteful cleavage and i felt like a model with how many people complimented me on it. many people even took the extra step in compl")</f>
        <v>I'm in love, i'm in love.
this dress was gifted to me, because i was gawking at it so often. i love it!!! i am petite, 5'3" 118 pounds and i could do either the small or extra small. the small was a little more comfortable, because the extra small was a bit tight in the arms-but i went with the extra small anyway. in both cases the neckline showed a small amount of tasteful cleavage and i felt like a model with how many people complimented me on it. many people even took the extra step in compl</v>
      </c>
      <c r="F724" s="8">
        <f>IFERROR(__xludf.DUMMYFUNCTION("""COMPUTED_VALUE"""),5.0)</f>
        <v>5</v>
      </c>
      <c r="G724" s="8">
        <f>IFERROR(__xludf.DUMMYFUNCTION("""COMPUTED_VALUE"""),1.0)</f>
        <v>1</v>
      </c>
      <c r="H724" s="8">
        <f>IFERROR(__xludf.DUMMYFUNCTION("""COMPUTED_VALUE"""),6.0)</f>
        <v>6</v>
      </c>
      <c r="I724" s="8" t="str">
        <f>IFERROR(__xludf.DUMMYFUNCTION("""COMPUTED_VALUE"""),"General")</f>
        <v>General</v>
      </c>
      <c r="J724" s="8" t="str">
        <f>IFERROR(__xludf.DUMMYFUNCTION("""COMPUTED_VALUE"""),"Dresses")</f>
        <v>Dresses</v>
      </c>
      <c r="K724" s="8" t="str">
        <f>IFERROR(__xludf.DUMMYFUNCTION("""COMPUTED_VALUE"""),"Dresses")</f>
        <v>Dresses</v>
      </c>
    </row>
    <row r="725">
      <c r="A725" s="8">
        <f>IFERROR(__xludf.DUMMYFUNCTION("""COMPUTED_VALUE"""),944.0)</f>
        <v>944</v>
      </c>
      <c r="B725" s="8">
        <f>IFERROR(__xludf.DUMMYFUNCTION("""COMPUTED_VALUE"""),1094.0)</f>
        <v>1094</v>
      </c>
      <c r="C725" s="8">
        <f>IFERROR(__xludf.DUMMYFUNCTION("""COMPUTED_VALUE"""),41.0)</f>
        <v>41</v>
      </c>
      <c r="D725" s="8" t="str">
        <f>IFERROR(__xludf.DUMMYFUNCTION("""COMPUTED_VALUE"""),"Lovely and flattering")</f>
        <v>Lovely and flattering</v>
      </c>
      <c r="E725" s="8" t="str">
        <f>IFERROR(__xludf.DUMMYFUNCTION("""COMPUTED_VALUE"""),"Very comfortable dress, with a gorgeous pattern. it comes with a self liner in navy that is very smoothing - i was worried a figure hugging sweater knit would be unflattering. cut is perfect. i'm a size 10/12 on top and 12/14 on bottom, and the m was the "&amp;"best fit. the neckline is a deep scoop so if you are not busty it may come down too far for comfort.")</f>
        <v>Very comfortable dress, with a gorgeous pattern. it comes with a self liner in navy that is very smoothing - i was worried a figure hugging sweater knit would be unflattering. cut is perfect. i'm a size 10/12 on top and 12/14 on bottom, and the m was the best fit. the neckline is a deep scoop so if you are not busty it may come down too far for comfort.</v>
      </c>
      <c r="F725" s="8">
        <f>IFERROR(__xludf.DUMMYFUNCTION("""COMPUTED_VALUE"""),5.0)</f>
        <v>5</v>
      </c>
      <c r="G725" s="8">
        <f>IFERROR(__xludf.DUMMYFUNCTION("""COMPUTED_VALUE"""),1.0)</f>
        <v>1</v>
      </c>
      <c r="H725" s="8">
        <f>IFERROR(__xludf.DUMMYFUNCTION("""COMPUTED_VALUE"""),10.0)</f>
        <v>10</v>
      </c>
      <c r="I725" s="8" t="str">
        <f>IFERROR(__xludf.DUMMYFUNCTION("""COMPUTED_VALUE"""),"General")</f>
        <v>General</v>
      </c>
      <c r="J725" s="8" t="str">
        <f>IFERROR(__xludf.DUMMYFUNCTION("""COMPUTED_VALUE"""),"Dresses")</f>
        <v>Dresses</v>
      </c>
      <c r="K725" s="8" t="str">
        <f>IFERROR(__xludf.DUMMYFUNCTION("""COMPUTED_VALUE"""),"Dresses")</f>
        <v>Dresses</v>
      </c>
    </row>
    <row r="726">
      <c r="A726" s="8">
        <f>IFERROR(__xludf.DUMMYFUNCTION("""COMPUTED_VALUE"""),946.0)</f>
        <v>946</v>
      </c>
      <c r="B726" s="8">
        <f>IFERROR(__xludf.DUMMYFUNCTION("""COMPUTED_VALUE"""),154.0)</f>
        <v>154</v>
      </c>
      <c r="C726" s="8">
        <f>IFERROR(__xludf.DUMMYFUNCTION("""COMPUTED_VALUE"""),40.0)</f>
        <v>40</v>
      </c>
      <c r="D726" s="8"/>
      <c r="E726" s="8" t="str">
        <f>IFERROR(__xludf.DUMMYFUNCTION("""COMPUTED_VALUE"""),"This top is stunning. the colors are vivid and it is extremely cozy and soft. however it seems delicate and would need to only be worn once in a while. it is not an everyday top. the material has a cotton candy like appearance. it really is unique and one"&amp;" of a kind.")</f>
        <v>This top is stunning. the colors are vivid and it is extremely cozy and soft. however it seems delicate and would need to only be worn once in a while. it is not an everyday top. the material has a cotton candy like appearance. it really is unique and one of a kind.</v>
      </c>
      <c r="F726" s="8">
        <f>IFERROR(__xludf.DUMMYFUNCTION("""COMPUTED_VALUE"""),4.0)</f>
        <v>4</v>
      </c>
      <c r="G726" s="8">
        <f>IFERROR(__xludf.DUMMYFUNCTION("""COMPUTED_VALUE"""),1.0)</f>
        <v>1</v>
      </c>
      <c r="H726" s="8">
        <f>IFERROR(__xludf.DUMMYFUNCTION("""COMPUTED_VALUE"""),0.0)</f>
        <v>0</v>
      </c>
      <c r="I726" s="8" t="str">
        <f>IFERROR(__xludf.DUMMYFUNCTION("""COMPUTED_VALUE"""),"Initmates")</f>
        <v>Initmates</v>
      </c>
      <c r="J726" s="8" t="str">
        <f>IFERROR(__xludf.DUMMYFUNCTION("""COMPUTED_VALUE"""),"Intimate")</f>
        <v>Intimate</v>
      </c>
      <c r="K726" s="8" t="str">
        <f>IFERROR(__xludf.DUMMYFUNCTION("""COMPUTED_VALUE"""),"Sleep")</f>
        <v>Sleep</v>
      </c>
    </row>
    <row r="727">
      <c r="A727" s="8">
        <f>IFERROR(__xludf.DUMMYFUNCTION("""COMPUTED_VALUE"""),947.0)</f>
        <v>947</v>
      </c>
      <c r="B727" s="8">
        <f>IFERROR(__xludf.DUMMYFUNCTION("""COMPUTED_VALUE"""),1140.0)</f>
        <v>1140</v>
      </c>
      <c r="C727" s="8">
        <f>IFERROR(__xludf.DUMMYFUNCTION("""COMPUTED_VALUE"""),27.0)</f>
        <v>27</v>
      </c>
      <c r="D727" s="8" t="str">
        <f>IFERROR(__xludf.DUMMYFUNCTION("""COMPUTED_VALUE"""),"Awesome skirt")</f>
        <v>Awesome skirt</v>
      </c>
      <c r="E727" s="8" t="str">
        <f>IFERROR(__xludf.DUMMYFUNCTION("""COMPUTED_VALUE"""),"I love this skirt. i was happy with the quality of the fabric and style. i originally ordered a small, but returned and exchanged for a medium, which fits great. (i typically wear a size 6-8 in pants). i look forward to wearing this skirt to work this fal"&amp;"l.")</f>
        <v>I love this skirt. i was happy with the quality of the fabric and style. i originally ordered a small, but returned and exchanged for a medium, which fits great. (i typically wear a size 6-8 in pants). i look forward to wearing this skirt to work this fall.</v>
      </c>
      <c r="F727" s="8">
        <f>IFERROR(__xludf.DUMMYFUNCTION("""COMPUTED_VALUE"""),5.0)</f>
        <v>5</v>
      </c>
      <c r="G727" s="8">
        <f>IFERROR(__xludf.DUMMYFUNCTION("""COMPUTED_VALUE"""),1.0)</f>
        <v>1</v>
      </c>
      <c r="H727" s="8">
        <f>IFERROR(__xludf.DUMMYFUNCTION("""COMPUTED_VALUE"""),0.0)</f>
        <v>0</v>
      </c>
      <c r="I727" s="8" t="str">
        <f>IFERROR(__xludf.DUMMYFUNCTION("""COMPUTED_VALUE"""),"General Petite")</f>
        <v>General Petite</v>
      </c>
      <c r="J727" s="8" t="str">
        <f>IFERROR(__xludf.DUMMYFUNCTION("""COMPUTED_VALUE"""),"Trend")</f>
        <v>Trend</v>
      </c>
      <c r="K727" s="8" t="str">
        <f>IFERROR(__xludf.DUMMYFUNCTION("""COMPUTED_VALUE"""),"Trend")</f>
        <v>Trend</v>
      </c>
    </row>
    <row r="728">
      <c r="A728" s="8">
        <f>IFERROR(__xludf.DUMMYFUNCTION("""COMPUTED_VALUE"""),949.0)</f>
        <v>949</v>
      </c>
      <c r="B728" s="8">
        <f>IFERROR(__xludf.DUMMYFUNCTION("""COMPUTED_VALUE"""),936.0)</f>
        <v>936</v>
      </c>
      <c r="C728" s="8">
        <f>IFERROR(__xludf.DUMMYFUNCTION("""COMPUTED_VALUE"""),36.0)</f>
        <v>36</v>
      </c>
      <c r="D728" s="8" t="str">
        <f>IFERROR(__xludf.DUMMYFUNCTION("""COMPUTED_VALUE"""),"Little green riding hood")</f>
        <v>Little green riding hood</v>
      </c>
      <c r="E728" s="8" t="str">
        <f>IFERROR(__xludf.DUMMYFUNCTION("""COMPUTED_VALUE"""),"Was looking for a replacement coat and saw this lovely. tried on large but was more roomy than needed, even for a coat. tried petite version but found it too short for my taste. decided on medium in green and cannot complain. comfy &amp; stylish. more car coa"&amp;"t than main winter coat. have been wearing it daily over light layers so far in our mildish nw winter.")</f>
        <v>Was looking for a replacement coat and saw this lovely. tried on large but was more roomy than needed, even for a coat. tried petite version but found it too short for my taste. decided on medium in green and cannot complain. comfy &amp; stylish. more car coat than main winter coat. have been wearing it daily over light layers so far in our mildish nw winter.</v>
      </c>
      <c r="F728" s="8">
        <f>IFERROR(__xludf.DUMMYFUNCTION("""COMPUTED_VALUE"""),4.0)</f>
        <v>4</v>
      </c>
      <c r="G728" s="8">
        <f>IFERROR(__xludf.DUMMYFUNCTION("""COMPUTED_VALUE"""),1.0)</f>
        <v>1</v>
      </c>
      <c r="H728" s="8">
        <f>IFERROR(__xludf.DUMMYFUNCTION("""COMPUTED_VALUE"""),0.0)</f>
        <v>0</v>
      </c>
      <c r="I728" s="8" t="str">
        <f>IFERROR(__xludf.DUMMYFUNCTION("""COMPUTED_VALUE"""),"General")</f>
        <v>General</v>
      </c>
      <c r="J728" s="8" t="str">
        <f>IFERROR(__xludf.DUMMYFUNCTION("""COMPUTED_VALUE"""),"Tops")</f>
        <v>Tops</v>
      </c>
      <c r="K728" s="8" t="str">
        <f>IFERROR(__xludf.DUMMYFUNCTION("""COMPUTED_VALUE"""),"Sweaters")</f>
        <v>Sweaters</v>
      </c>
    </row>
    <row r="729">
      <c r="A729" s="8">
        <f>IFERROR(__xludf.DUMMYFUNCTION("""COMPUTED_VALUE"""),950.0)</f>
        <v>950</v>
      </c>
      <c r="B729" s="8">
        <f>IFERROR(__xludf.DUMMYFUNCTION("""COMPUTED_VALUE"""),1094.0)</f>
        <v>1094</v>
      </c>
      <c r="C729" s="8">
        <f>IFERROR(__xludf.DUMMYFUNCTION("""COMPUTED_VALUE"""),35.0)</f>
        <v>35</v>
      </c>
      <c r="D729" s="8" t="str">
        <f>IFERROR(__xludf.DUMMYFUNCTION("""COMPUTED_VALUE"""),"Great dress for all occasions")</f>
        <v>Great dress for all occasions</v>
      </c>
      <c r="E729" s="8" t="str">
        <f>IFERROR(__xludf.DUMMYFUNCTION("""COMPUTED_VALUE"""),"Another great dress by retailer. i've worn it with tall boots with heels, riding boots and booties...all look really good. i've also added a cream/beige cardigan and even a fuzzy/furry vest. very versatile. the only few things that i would have liked even"&amp;" more is that design of the dress be actual stitching and not just a flat print and also the material does shrink a tat when you wash it. it's a staple and keeper.")</f>
        <v>Another great dress by retailer. i've worn it with tall boots with heels, riding boots and booties...all look really good. i've also added a cream/beige cardigan and even a fuzzy/furry vest. very versatile. the only few things that i would have liked even more is that design of the dress be actual stitching and not just a flat print and also the material does shrink a tat when you wash it. it's a staple and keeper.</v>
      </c>
      <c r="F729" s="8">
        <f>IFERROR(__xludf.DUMMYFUNCTION("""COMPUTED_VALUE"""),4.0)</f>
        <v>4</v>
      </c>
      <c r="G729" s="8">
        <f>IFERROR(__xludf.DUMMYFUNCTION("""COMPUTED_VALUE"""),1.0)</f>
        <v>1</v>
      </c>
      <c r="H729" s="8">
        <f>IFERROR(__xludf.DUMMYFUNCTION("""COMPUTED_VALUE"""),0.0)</f>
        <v>0</v>
      </c>
      <c r="I729" s="8" t="str">
        <f>IFERROR(__xludf.DUMMYFUNCTION("""COMPUTED_VALUE"""),"General")</f>
        <v>General</v>
      </c>
      <c r="J729" s="8" t="str">
        <f>IFERROR(__xludf.DUMMYFUNCTION("""COMPUTED_VALUE"""),"Dresses")</f>
        <v>Dresses</v>
      </c>
      <c r="K729" s="8" t="str">
        <f>IFERROR(__xludf.DUMMYFUNCTION("""COMPUTED_VALUE"""),"Dresses")</f>
        <v>Dresses</v>
      </c>
    </row>
    <row r="730">
      <c r="A730" s="8">
        <f>IFERROR(__xludf.DUMMYFUNCTION("""COMPUTED_VALUE"""),951.0)</f>
        <v>951</v>
      </c>
      <c r="B730" s="8">
        <f>IFERROR(__xludf.DUMMYFUNCTION("""COMPUTED_VALUE"""),158.0)</f>
        <v>158</v>
      </c>
      <c r="C730" s="8">
        <f>IFERROR(__xludf.DUMMYFUNCTION("""COMPUTED_VALUE"""),25.0)</f>
        <v>25</v>
      </c>
      <c r="D730" s="8" t="str">
        <f>IFERROR(__xludf.DUMMYFUNCTION("""COMPUTED_VALUE"""),"Love these for fall!")</f>
        <v>Love these for fall!</v>
      </c>
      <c r="E730" s="8" t="str">
        <f>IFERROR(__xludf.DUMMYFUNCTION("""COMPUTED_VALUE"""),"These are both adorable and practical?they're versatile enough to dress up or down, and they are just warm enough for fall temperatures. these will definitely be my go-to tights this season.")</f>
        <v>These are both adorable and practical?they're versatile enough to dress up or down, and they are just warm enough for fall temperatures. these will definitely be my go-to tights this season.</v>
      </c>
      <c r="F730" s="8">
        <f>IFERROR(__xludf.DUMMYFUNCTION("""COMPUTED_VALUE"""),5.0)</f>
        <v>5</v>
      </c>
      <c r="G730" s="8">
        <f>IFERROR(__xludf.DUMMYFUNCTION("""COMPUTED_VALUE"""),1.0)</f>
        <v>1</v>
      </c>
      <c r="H730" s="8">
        <f>IFERROR(__xludf.DUMMYFUNCTION("""COMPUTED_VALUE"""),1.0)</f>
        <v>1</v>
      </c>
      <c r="I730" s="8" t="str">
        <f>IFERROR(__xludf.DUMMYFUNCTION("""COMPUTED_VALUE"""),"Initmates")</f>
        <v>Initmates</v>
      </c>
      <c r="J730" s="8" t="str">
        <f>IFERROR(__xludf.DUMMYFUNCTION("""COMPUTED_VALUE"""),"Intimate")</f>
        <v>Intimate</v>
      </c>
      <c r="K730" s="8" t="str">
        <f>IFERROR(__xludf.DUMMYFUNCTION("""COMPUTED_VALUE"""),"Legwear")</f>
        <v>Legwear</v>
      </c>
    </row>
    <row r="731">
      <c r="A731" s="8">
        <f>IFERROR(__xludf.DUMMYFUNCTION("""COMPUTED_VALUE"""),952.0)</f>
        <v>952</v>
      </c>
      <c r="B731" s="8">
        <f>IFERROR(__xludf.DUMMYFUNCTION("""COMPUTED_VALUE"""),1033.0)</f>
        <v>1033</v>
      </c>
      <c r="C731" s="8">
        <f>IFERROR(__xludf.DUMMYFUNCTION("""COMPUTED_VALUE"""),37.0)</f>
        <v>37</v>
      </c>
      <c r="D731" s="8" t="str">
        <f>IFERROR(__xludf.DUMMYFUNCTION("""COMPUTED_VALUE"""),"Luv! so comfy")</f>
        <v>Luv! so comfy</v>
      </c>
      <c r="E731" s="8" t="str">
        <f>IFERROR(__xludf.DUMMYFUNCTION("""COMPUTED_VALUE"""),"Luv these jeans! they felt so comfy the first time i put them on. it's like butter! i'm a 26 but went down a size and wear a belt. they said they r high rise but i can't see how - but no complaints as i can breathe in them :)")</f>
        <v>Luv these jeans! they felt so comfy the first time i put them on. it's like butter! i'm a 26 but went down a size and wear a belt. they said they r high rise but i can't see how - but no complaints as i can breathe in them :)</v>
      </c>
      <c r="F731" s="8">
        <f>IFERROR(__xludf.DUMMYFUNCTION("""COMPUTED_VALUE"""),4.0)</f>
        <v>4</v>
      </c>
      <c r="G731" s="8">
        <f>IFERROR(__xludf.DUMMYFUNCTION("""COMPUTED_VALUE"""),1.0)</f>
        <v>1</v>
      </c>
      <c r="H731" s="8">
        <f>IFERROR(__xludf.DUMMYFUNCTION("""COMPUTED_VALUE"""),2.0)</f>
        <v>2</v>
      </c>
      <c r="I731" s="8" t="str">
        <f>IFERROR(__xludf.DUMMYFUNCTION("""COMPUTED_VALUE"""),"General Petite")</f>
        <v>General Petite</v>
      </c>
      <c r="J731" s="8" t="str">
        <f>IFERROR(__xludf.DUMMYFUNCTION("""COMPUTED_VALUE"""),"Bottoms")</f>
        <v>Bottoms</v>
      </c>
      <c r="K731" s="8" t="str">
        <f>IFERROR(__xludf.DUMMYFUNCTION("""COMPUTED_VALUE"""),"Jeans")</f>
        <v>Jeans</v>
      </c>
    </row>
    <row r="732">
      <c r="A732" s="8">
        <f>IFERROR(__xludf.DUMMYFUNCTION("""COMPUTED_VALUE"""),953.0)</f>
        <v>953</v>
      </c>
      <c r="B732" s="8">
        <f>IFERROR(__xludf.DUMMYFUNCTION("""COMPUTED_VALUE"""),154.0)</f>
        <v>154</v>
      </c>
      <c r="C732" s="8">
        <f>IFERROR(__xludf.DUMMYFUNCTION("""COMPUTED_VALUE"""),29.0)</f>
        <v>29</v>
      </c>
      <c r="D732" s="8" t="str">
        <f>IFERROR(__xludf.DUMMYFUNCTION("""COMPUTED_VALUE"""),"Soft and unique but short sleeves")</f>
        <v>Soft and unique but short sleeves</v>
      </c>
      <c r="E732" s="8" t="str">
        <f>IFERROR(__xludf.DUMMYFUNCTION("""COMPUTED_VALUE"""),"Love this! easy to dress up and down, has a great length on the torso but the sleeves are about 2-3 inches from my wrist bone, i see why the model has them pushed/rolled up- which is how i wear the shirt now too. but then it's hard to layer under a coat.")</f>
        <v>Love this! easy to dress up and down, has a great length on the torso but the sleeves are about 2-3 inches from my wrist bone, i see why the model has them pushed/rolled up- which is how i wear the shirt now too. but then it's hard to layer under a coat.</v>
      </c>
      <c r="F732" s="8">
        <f>IFERROR(__xludf.DUMMYFUNCTION("""COMPUTED_VALUE"""),4.0)</f>
        <v>4</v>
      </c>
      <c r="G732" s="8">
        <f>IFERROR(__xludf.DUMMYFUNCTION("""COMPUTED_VALUE"""),1.0)</f>
        <v>1</v>
      </c>
      <c r="H732" s="8">
        <f>IFERROR(__xludf.DUMMYFUNCTION("""COMPUTED_VALUE"""),1.0)</f>
        <v>1</v>
      </c>
      <c r="I732" s="8" t="str">
        <f>IFERROR(__xludf.DUMMYFUNCTION("""COMPUTED_VALUE"""),"Initmates")</f>
        <v>Initmates</v>
      </c>
      <c r="J732" s="8" t="str">
        <f>IFERROR(__xludf.DUMMYFUNCTION("""COMPUTED_VALUE"""),"Intimate")</f>
        <v>Intimate</v>
      </c>
      <c r="K732" s="8" t="str">
        <f>IFERROR(__xludf.DUMMYFUNCTION("""COMPUTED_VALUE"""),"Sleep")</f>
        <v>Sleep</v>
      </c>
    </row>
    <row r="733">
      <c r="A733" s="8">
        <f>IFERROR(__xludf.DUMMYFUNCTION("""COMPUTED_VALUE"""),954.0)</f>
        <v>954</v>
      </c>
      <c r="B733" s="8">
        <f>IFERROR(__xludf.DUMMYFUNCTION("""COMPUTED_VALUE"""),1094.0)</f>
        <v>1094</v>
      </c>
      <c r="C733" s="8">
        <f>IFERROR(__xludf.DUMMYFUNCTION("""COMPUTED_VALUE"""),44.0)</f>
        <v>44</v>
      </c>
      <c r="D733" s="8"/>
      <c r="E733" s="8" t="str">
        <f>IFERROR(__xludf.DUMMYFUNCTION("""COMPUTED_VALUE"""),"This is an absolutely gorgeous dress that stands out everywhere i go. it runs true to size and has a slimming effect because of the detail running down the sides.")</f>
        <v>This is an absolutely gorgeous dress that stands out everywhere i go. it runs true to size and has a slimming effect because of the detail running down the sides.</v>
      </c>
      <c r="F733" s="8">
        <f>IFERROR(__xludf.DUMMYFUNCTION("""COMPUTED_VALUE"""),5.0)</f>
        <v>5</v>
      </c>
      <c r="G733" s="8">
        <f>IFERROR(__xludf.DUMMYFUNCTION("""COMPUTED_VALUE"""),1.0)</f>
        <v>1</v>
      </c>
      <c r="H733" s="8">
        <f>IFERROR(__xludf.DUMMYFUNCTION("""COMPUTED_VALUE"""),0.0)</f>
        <v>0</v>
      </c>
      <c r="I733" s="8" t="str">
        <f>IFERROR(__xludf.DUMMYFUNCTION("""COMPUTED_VALUE"""),"General")</f>
        <v>General</v>
      </c>
      <c r="J733" s="8" t="str">
        <f>IFERROR(__xludf.DUMMYFUNCTION("""COMPUTED_VALUE"""),"Dresses")</f>
        <v>Dresses</v>
      </c>
      <c r="K733" s="8" t="str">
        <f>IFERROR(__xludf.DUMMYFUNCTION("""COMPUTED_VALUE"""),"Dresses")</f>
        <v>Dresses</v>
      </c>
    </row>
    <row r="734">
      <c r="A734" s="8">
        <f>IFERROR(__xludf.DUMMYFUNCTION("""COMPUTED_VALUE"""),956.0)</f>
        <v>956</v>
      </c>
      <c r="B734" s="8">
        <f>IFERROR(__xludf.DUMMYFUNCTION("""COMPUTED_VALUE"""),1094.0)</f>
        <v>1094</v>
      </c>
      <c r="C734" s="8">
        <f>IFERROR(__xludf.DUMMYFUNCTION("""COMPUTED_VALUE"""),54.0)</f>
        <v>54</v>
      </c>
      <c r="D734" s="8" t="str">
        <f>IFERROR(__xludf.DUMMYFUNCTION("""COMPUTED_VALUE"""),"Divine and comfortable")</f>
        <v>Divine and comfortable</v>
      </c>
      <c r="E734" s="8" t="str">
        <f>IFERROR(__xludf.DUMMYFUNCTION("""COMPUTED_VALUE"""),"First, i've been in love with this dress for months. when it went on sale i absolutely had to have it! i'm 5'4"" and 150 pounds and typically wear large stuff from retailer but after reading other reviews i decided to get the medium. it's more generous th"&amp;"an i expected and wonder if i could've even gone with a small. i might try a belt. either way i'm very very happy with the dress. the sleeves are not too long - and i didn't get the petite because i wanted the length in the skirt. the lining makes")</f>
        <v>First, i've been in love with this dress for months. when it went on sale i absolutely had to have it! i'm 5'4" and 150 pounds and typically wear large stuff from retailer but after reading other reviews i decided to get the medium. it's more generous than i expected and wonder if i could've even gone with a small. i might try a belt. either way i'm very very happy with the dress. the sleeves are not too long - and i didn't get the petite because i wanted the length in the skirt. the lining makes</v>
      </c>
      <c r="F734" s="8">
        <f>IFERROR(__xludf.DUMMYFUNCTION("""COMPUTED_VALUE"""),5.0)</f>
        <v>5</v>
      </c>
      <c r="G734" s="8">
        <f>IFERROR(__xludf.DUMMYFUNCTION("""COMPUTED_VALUE"""),1.0)</f>
        <v>1</v>
      </c>
      <c r="H734" s="8">
        <f>IFERROR(__xludf.DUMMYFUNCTION("""COMPUTED_VALUE"""),0.0)</f>
        <v>0</v>
      </c>
      <c r="I734" s="8" t="str">
        <f>IFERROR(__xludf.DUMMYFUNCTION("""COMPUTED_VALUE"""),"General")</f>
        <v>General</v>
      </c>
      <c r="J734" s="8" t="str">
        <f>IFERROR(__xludf.DUMMYFUNCTION("""COMPUTED_VALUE"""),"Dresses")</f>
        <v>Dresses</v>
      </c>
      <c r="K734" s="8" t="str">
        <f>IFERROR(__xludf.DUMMYFUNCTION("""COMPUTED_VALUE"""),"Dresses")</f>
        <v>Dresses</v>
      </c>
    </row>
    <row r="735">
      <c r="A735" s="8">
        <f>IFERROR(__xludf.DUMMYFUNCTION("""COMPUTED_VALUE"""),957.0)</f>
        <v>957</v>
      </c>
      <c r="B735" s="8">
        <f>IFERROR(__xludf.DUMMYFUNCTION("""COMPUTED_VALUE"""),936.0)</f>
        <v>936</v>
      </c>
      <c r="C735" s="8">
        <f>IFERROR(__xludf.DUMMYFUNCTION("""COMPUTED_VALUE"""),31.0)</f>
        <v>31</v>
      </c>
      <c r="D735" s="8" t="str">
        <f>IFERROR(__xludf.DUMMYFUNCTION("""COMPUTED_VALUE"""),"Must try on")</f>
        <v>Must try on</v>
      </c>
      <c r="E735" s="8" t="str">
        <f>IFERROR(__xludf.DUMMYFUNCTION("""COMPUTED_VALUE"""),"The sweater coat is a must try on! it's a great fall to winter coat, that you can leave on all day if you need. i bought the dark green, which is very dark yet gorgeous and have the beautiful coral saved in my cart as well. i am 5'5"", 135lbs, 34c, ordere"&amp;"d the size small and have plenty of room (did not want it tight and wanted to be able to wear over thick layers).")</f>
        <v>The sweater coat is a must try on! it's a great fall to winter coat, that you can leave on all day if you need. i bought the dark green, which is very dark yet gorgeous and have the beautiful coral saved in my cart as well. i am 5'5", 135lbs, 34c, ordered the size small and have plenty of room (did not want it tight and wanted to be able to wear over thick layers).</v>
      </c>
      <c r="F735" s="8">
        <f>IFERROR(__xludf.DUMMYFUNCTION("""COMPUTED_VALUE"""),5.0)</f>
        <v>5</v>
      </c>
      <c r="G735" s="8">
        <f>IFERROR(__xludf.DUMMYFUNCTION("""COMPUTED_VALUE"""),1.0)</f>
        <v>1</v>
      </c>
      <c r="H735" s="8">
        <f>IFERROR(__xludf.DUMMYFUNCTION("""COMPUTED_VALUE"""),11.0)</f>
        <v>11</v>
      </c>
      <c r="I735" s="8" t="str">
        <f>IFERROR(__xludf.DUMMYFUNCTION("""COMPUTED_VALUE"""),"General")</f>
        <v>General</v>
      </c>
      <c r="J735" s="8" t="str">
        <f>IFERROR(__xludf.DUMMYFUNCTION("""COMPUTED_VALUE"""),"Tops")</f>
        <v>Tops</v>
      </c>
      <c r="K735" s="8" t="str">
        <f>IFERROR(__xludf.DUMMYFUNCTION("""COMPUTED_VALUE"""),"Sweaters")</f>
        <v>Sweaters</v>
      </c>
    </row>
    <row r="736">
      <c r="A736" s="8">
        <f>IFERROR(__xludf.DUMMYFUNCTION("""COMPUTED_VALUE"""),958.0)</f>
        <v>958</v>
      </c>
      <c r="B736" s="8">
        <f>IFERROR(__xludf.DUMMYFUNCTION("""COMPUTED_VALUE"""),936.0)</f>
        <v>936</v>
      </c>
      <c r="C736" s="8">
        <f>IFERROR(__xludf.DUMMYFUNCTION("""COMPUTED_VALUE"""),82.0)</f>
        <v>82</v>
      </c>
      <c r="D736" s="8"/>
      <c r="E736" s="8" t="str">
        <f>IFERROR(__xludf.DUMMYFUNCTION("""COMPUTED_VALUE"""),"Just purchased this coral coat today. the color is beautiful. the quality is excellent and the coat itself is lightweight,great for travel. great purchase and would recommend buying. going to new york and can't wait to wear it . love, love this coat")</f>
        <v>Just purchased this coral coat today. the color is beautiful. the quality is excellent and the coat itself is lightweight,great for travel. great purchase and would recommend buying. going to new york and can't wait to wear it . love, love this coat</v>
      </c>
      <c r="F736" s="8">
        <f>IFERROR(__xludf.DUMMYFUNCTION("""COMPUTED_VALUE"""),5.0)</f>
        <v>5</v>
      </c>
      <c r="G736" s="8">
        <f>IFERROR(__xludf.DUMMYFUNCTION("""COMPUTED_VALUE"""),1.0)</f>
        <v>1</v>
      </c>
      <c r="H736" s="8">
        <f>IFERROR(__xludf.DUMMYFUNCTION("""COMPUTED_VALUE"""),0.0)</f>
        <v>0</v>
      </c>
      <c r="I736" s="8" t="str">
        <f>IFERROR(__xludf.DUMMYFUNCTION("""COMPUTED_VALUE"""),"General")</f>
        <v>General</v>
      </c>
      <c r="J736" s="8" t="str">
        <f>IFERROR(__xludf.DUMMYFUNCTION("""COMPUTED_VALUE"""),"Tops")</f>
        <v>Tops</v>
      </c>
      <c r="K736" s="8" t="str">
        <f>IFERROR(__xludf.DUMMYFUNCTION("""COMPUTED_VALUE"""),"Sweaters")</f>
        <v>Sweaters</v>
      </c>
    </row>
    <row r="737">
      <c r="A737" s="8">
        <f>IFERROR(__xludf.DUMMYFUNCTION("""COMPUTED_VALUE"""),959.0)</f>
        <v>959</v>
      </c>
      <c r="B737" s="8">
        <f>IFERROR(__xludf.DUMMYFUNCTION("""COMPUTED_VALUE"""),1154.0)</f>
        <v>1154</v>
      </c>
      <c r="C737" s="8">
        <f>IFERROR(__xludf.DUMMYFUNCTION("""COMPUTED_VALUE"""),39.0)</f>
        <v>39</v>
      </c>
      <c r="D737" s="8" t="str">
        <f>IFERROR(__xludf.DUMMYFUNCTION("""COMPUTED_VALUE"""),"Pretty color, nice fit, fun t-back")</f>
        <v>Pretty color, nice fit, fun t-back</v>
      </c>
      <c r="E737" s="8" t="str">
        <f>IFERROR(__xludf.DUMMYFUNCTION("""COMPUTED_VALUE"""),"I guess this is a true to size, i am usually a 30dd and ordered 32d, fits great. the back is really pretty, so even though it is a tiny bit looser, i decided to keep it...")</f>
        <v>I guess this is a true to size, i am usually a 30dd and ordered 32d, fits great. the back is really pretty, so even though it is a tiny bit looser, i decided to keep it...</v>
      </c>
      <c r="F737" s="8">
        <f>IFERROR(__xludf.DUMMYFUNCTION("""COMPUTED_VALUE"""),5.0)</f>
        <v>5</v>
      </c>
      <c r="G737" s="8">
        <f>IFERROR(__xludf.DUMMYFUNCTION("""COMPUTED_VALUE"""),1.0)</f>
        <v>1</v>
      </c>
      <c r="H737" s="8">
        <f>IFERROR(__xludf.DUMMYFUNCTION("""COMPUTED_VALUE"""),0.0)</f>
        <v>0</v>
      </c>
      <c r="I737" s="8" t="str">
        <f>IFERROR(__xludf.DUMMYFUNCTION("""COMPUTED_VALUE"""),"Initmates")</f>
        <v>Initmates</v>
      </c>
      <c r="J737" s="8" t="str">
        <f>IFERROR(__xludf.DUMMYFUNCTION("""COMPUTED_VALUE"""),"Intimate")</f>
        <v>Intimate</v>
      </c>
      <c r="K737" s="8" t="str">
        <f>IFERROR(__xludf.DUMMYFUNCTION("""COMPUTED_VALUE"""),"Intimates")</f>
        <v>Intimates</v>
      </c>
    </row>
    <row r="738">
      <c r="A738" s="8">
        <f>IFERROR(__xludf.DUMMYFUNCTION("""COMPUTED_VALUE"""),960.0)</f>
        <v>960</v>
      </c>
      <c r="B738" s="8">
        <f>IFERROR(__xludf.DUMMYFUNCTION("""COMPUTED_VALUE"""),1022.0)</f>
        <v>1022</v>
      </c>
      <c r="C738" s="8">
        <f>IFERROR(__xludf.DUMMYFUNCTION("""COMPUTED_VALUE"""),39.0)</f>
        <v>39</v>
      </c>
      <c r="D738" s="8" t="str">
        <f>IFERROR(__xludf.DUMMYFUNCTION("""COMPUTED_VALUE"""),"Loose waist")</f>
        <v>Loose waist</v>
      </c>
      <c r="E738" s="8" t="str">
        <f>IFERROR(__xludf.DUMMYFUNCTION("""COMPUTED_VALUE"""),"I tried these on as a return at my store and sadly, they fit great everywhere ecept at the waist. i had almost 2 inches gaping at the waist... my usual size. the rest of the pant was absolutely awesome though. for reference, i tried n a 25 and am 115 lbs "&amp;"and short... bummer htey don't come in petite or 24...")</f>
        <v>I tried these on as a return at my store and sadly, they fit great everywhere ecept at the waist. i had almost 2 inches gaping at the waist... my usual size. the rest of the pant was absolutely awesome though. for reference, i tried n a 25 and am 115 lbs and short... bummer htey don't come in petite or 24...</v>
      </c>
      <c r="F738" s="8">
        <f>IFERROR(__xludf.DUMMYFUNCTION("""COMPUTED_VALUE"""),4.0)</f>
        <v>4</v>
      </c>
      <c r="G738" s="8">
        <f>IFERROR(__xludf.DUMMYFUNCTION("""COMPUTED_VALUE"""),1.0)</f>
        <v>1</v>
      </c>
      <c r="H738" s="8">
        <f>IFERROR(__xludf.DUMMYFUNCTION("""COMPUTED_VALUE"""),1.0)</f>
        <v>1</v>
      </c>
      <c r="I738" s="8" t="str">
        <f>IFERROR(__xludf.DUMMYFUNCTION("""COMPUTED_VALUE"""),"General")</f>
        <v>General</v>
      </c>
      <c r="J738" s="8" t="str">
        <f>IFERROR(__xludf.DUMMYFUNCTION("""COMPUTED_VALUE"""),"Bottoms")</f>
        <v>Bottoms</v>
      </c>
      <c r="K738" s="8" t="str">
        <f>IFERROR(__xludf.DUMMYFUNCTION("""COMPUTED_VALUE"""),"Jeans")</f>
        <v>Jeans</v>
      </c>
    </row>
    <row r="739">
      <c r="A739" s="8">
        <f>IFERROR(__xludf.DUMMYFUNCTION("""COMPUTED_VALUE"""),961.0)</f>
        <v>961</v>
      </c>
      <c r="B739" s="8">
        <f>IFERROR(__xludf.DUMMYFUNCTION("""COMPUTED_VALUE"""),949.0)</f>
        <v>949</v>
      </c>
      <c r="C739" s="8">
        <f>IFERROR(__xludf.DUMMYFUNCTION("""COMPUTED_VALUE"""),28.0)</f>
        <v>28</v>
      </c>
      <c r="D739" s="8" t="str">
        <f>IFERROR(__xludf.DUMMYFUNCTION("""COMPUTED_VALUE"""),"Want go get another in a diff color")</f>
        <v>Want go get another in a diff color</v>
      </c>
      <c r="E739" s="8" t="str">
        <f>IFERROR(__xludf.DUMMYFUNCTION("""COMPUTED_VALUE"""),"Saw this in store in coral color and new i had to try. love. it's the perfect, cozy cute sweater, color is beautiful and fit is great. i am 5 5"" 135 lbs and i tried both the small and extra small. i went with the xs for a more flattering fit. i love it.")</f>
        <v>Saw this in store in coral color and new i had to try. love. it's the perfect, cozy cute sweater, color is beautiful and fit is great. i am 5 5" 135 lbs and i tried both the small and extra small. i went with the xs for a more flattering fit. i love it.</v>
      </c>
      <c r="F739" s="8">
        <f>IFERROR(__xludf.DUMMYFUNCTION("""COMPUTED_VALUE"""),5.0)</f>
        <v>5</v>
      </c>
      <c r="G739" s="8">
        <f>IFERROR(__xludf.DUMMYFUNCTION("""COMPUTED_VALUE"""),1.0)</f>
        <v>1</v>
      </c>
      <c r="H739" s="8">
        <f>IFERROR(__xludf.DUMMYFUNCTION("""COMPUTED_VALUE"""),0.0)</f>
        <v>0</v>
      </c>
      <c r="I739" s="8" t="str">
        <f>IFERROR(__xludf.DUMMYFUNCTION("""COMPUTED_VALUE"""),"General")</f>
        <v>General</v>
      </c>
      <c r="J739" s="8" t="str">
        <f>IFERROR(__xludf.DUMMYFUNCTION("""COMPUTED_VALUE"""),"Tops")</f>
        <v>Tops</v>
      </c>
      <c r="K739" s="8" t="str">
        <f>IFERROR(__xludf.DUMMYFUNCTION("""COMPUTED_VALUE"""),"Sweaters")</f>
        <v>Sweaters</v>
      </c>
    </row>
    <row r="740">
      <c r="A740" s="8">
        <f>IFERROR(__xludf.DUMMYFUNCTION("""COMPUTED_VALUE"""),962.0)</f>
        <v>962</v>
      </c>
      <c r="B740" s="8">
        <f>IFERROR(__xludf.DUMMYFUNCTION("""COMPUTED_VALUE"""),154.0)</f>
        <v>154</v>
      </c>
      <c r="C740" s="8">
        <f>IFERROR(__xludf.DUMMYFUNCTION("""COMPUTED_VALUE"""),38.0)</f>
        <v>38</v>
      </c>
      <c r="D740" s="8" t="str">
        <f>IFERROR(__xludf.DUMMYFUNCTION("""COMPUTED_VALUE"""),"Soft but boxy")</f>
        <v>Soft but boxy</v>
      </c>
      <c r="E740" s="8" t="str">
        <f>IFERROR(__xludf.DUMMYFUNCTION("""COMPUTED_VALUE"""),"I love the feel and design of this pullover. it is extremely soft and comfy to wear. however, i did find that it runs slightly large, is a bit boxy and the sleeves are a bit lengthy. probably not the best for a petite frame. i am trying to decide if i sho"&amp;"uld keep it though simply for the softness and ease of wearing that it provides.")</f>
        <v>I love the feel and design of this pullover. it is extremely soft and comfy to wear. however, i did find that it runs slightly large, is a bit boxy and the sleeves are a bit lengthy. probably not the best for a petite frame. i am trying to decide if i should keep it though simply for the softness and ease of wearing that it provides.</v>
      </c>
      <c r="F740" s="8">
        <f>IFERROR(__xludf.DUMMYFUNCTION("""COMPUTED_VALUE"""),4.0)</f>
        <v>4</v>
      </c>
      <c r="G740" s="8">
        <f>IFERROR(__xludf.DUMMYFUNCTION("""COMPUTED_VALUE"""),1.0)</f>
        <v>1</v>
      </c>
      <c r="H740" s="8">
        <f>IFERROR(__xludf.DUMMYFUNCTION("""COMPUTED_VALUE"""),0.0)</f>
        <v>0</v>
      </c>
      <c r="I740" s="8" t="str">
        <f>IFERROR(__xludf.DUMMYFUNCTION("""COMPUTED_VALUE"""),"Initmates")</f>
        <v>Initmates</v>
      </c>
      <c r="J740" s="8" t="str">
        <f>IFERROR(__xludf.DUMMYFUNCTION("""COMPUTED_VALUE"""),"Intimate")</f>
        <v>Intimate</v>
      </c>
      <c r="K740" s="8" t="str">
        <f>IFERROR(__xludf.DUMMYFUNCTION("""COMPUTED_VALUE"""),"Sleep")</f>
        <v>Sleep</v>
      </c>
    </row>
    <row r="741">
      <c r="A741" s="8">
        <f>IFERROR(__xludf.DUMMYFUNCTION("""COMPUTED_VALUE"""),964.0)</f>
        <v>964</v>
      </c>
      <c r="B741" s="8">
        <f>IFERROR(__xludf.DUMMYFUNCTION("""COMPUTED_VALUE"""),154.0)</f>
        <v>154</v>
      </c>
      <c r="C741" s="8">
        <f>IFERROR(__xludf.DUMMYFUNCTION("""COMPUTED_VALUE"""),41.0)</f>
        <v>41</v>
      </c>
      <c r="D741" s="8" t="str">
        <f>IFERROR(__xludf.DUMMYFUNCTION("""COMPUTED_VALUE"""),"Super comfy but very boxy")</f>
        <v>Super comfy but very boxy</v>
      </c>
      <c r="E741" s="8" t="str">
        <f>IFERROR(__xludf.DUMMYFUNCTION("""COMPUTED_VALUE"""),"I love this as a lounge-at-home top. the colors and pattern are really pretty, it's soft and warm. very comfy and cozy. but it's also boxy and thick so not a flattering cut.")</f>
        <v>I love this as a lounge-at-home top. the colors and pattern are really pretty, it's soft and warm. very comfy and cozy. but it's also boxy and thick so not a flattering cut.</v>
      </c>
      <c r="F741" s="8">
        <f>IFERROR(__xludf.DUMMYFUNCTION("""COMPUTED_VALUE"""),4.0)</f>
        <v>4</v>
      </c>
      <c r="G741" s="8">
        <f>IFERROR(__xludf.DUMMYFUNCTION("""COMPUTED_VALUE"""),1.0)</f>
        <v>1</v>
      </c>
      <c r="H741" s="8">
        <f>IFERROR(__xludf.DUMMYFUNCTION("""COMPUTED_VALUE"""),0.0)</f>
        <v>0</v>
      </c>
      <c r="I741" s="8" t="str">
        <f>IFERROR(__xludf.DUMMYFUNCTION("""COMPUTED_VALUE"""),"Initmates")</f>
        <v>Initmates</v>
      </c>
      <c r="J741" s="8" t="str">
        <f>IFERROR(__xludf.DUMMYFUNCTION("""COMPUTED_VALUE"""),"Intimate")</f>
        <v>Intimate</v>
      </c>
      <c r="K741" s="8" t="str">
        <f>IFERROR(__xludf.DUMMYFUNCTION("""COMPUTED_VALUE"""),"Sleep")</f>
        <v>Sleep</v>
      </c>
    </row>
    <row r="742">
      <c r="A742" s="8">
        <f>IFERROR(__xludf.DUMMYFUNCTION("""COMPUTED_VALUE"""),966.0)</f>
        <v>966</v>
      </c>
      <c r="B742" s="8">
        <f>IFERROR(__xludf.DUMMYFUNCTION("""COMPUTED_VALUE"""),936.0)</f>
        <v>936</v>
      </c>
      <c r="C742" s="8">
        <f>IFERROR(__xludf.DUMMYFUNCTION("""COMPUTED_VALUE"""),55.0)</f>
        <v>55</v>
      </c>
      <c r="D742" s="8"/>
      <c r="E742" s="8" t="str">
        <f>IFERROR(__xludf.DUMMYFUNCTION("""COMPUTED_VALUE"""),"I really did not need another coat at all, but i couldn't resist. got it in green - it's dark and woodsy,something robin hood and his merry men could wear in the forest to look and feel their most stylish. the structure is just right - this coat is soft, "&amp;"cozy and fluid, but also tailored enough to wear in a business casual environment... equally well-suited to wear on winter eve dog walks, to a football game, or at the coffee shop for a latte at an outside table. works with most of my wardrobe -")</f>
        <v>I really did not need another coat at all, but i couldn't resist. got it in green - it's dark and woodsy,something robin hood and his merry men could wear in the forest to look and feel their most stylish. the structure is just right - this coat is soft, cozy and fluid, but also tailored enough to wear in a business casual environment... equally well-suited to wear on winter eve dog walks, to a football game, or at the coffee shop for a latte at an outside table. works with most of my wardrobe -</v>
      </c>
      <c r="F742" s="8">
        <f>IFERROR(__xludf.DUMMYFUNCTION("""COMPUTED_VALUE"""),5.0)</f>
        <v>5</v>
      </c>
      <c r="G742" s="8">
        <f>IFERROR(__xludf.DUMMYFUNCTION("""COMPUTED_VALUE"""),1.0)</f>
        <v>1</v>
      </c>
      <c r="H742" s="8">
        <f>IFERROR(__xludf.DUMMYFUNCTION("""COMPUTED_VALUE"""),5.0)</f>
        <v>5</v>
      </c>
      <c r="I742" s="8" t="str">
        <f>IFERROR(__xludf.DUMMYFUNCTION("""COMPUTED_VALUE"""),"General")</f>
        <v>General</v>
      </c>
      <c r="J742" s="8" t="str">
        <f>IFERROR(__xludf.DUMMYFUNCTION("""COMPUTED_VALUE"""),"Tops")</f>
        <v>Tops</v>
      </c>
      <c r="K742" s="8" t="str">
        <f>IFERROR(__xludf.DUMMYFUNCTION("""COMPUTED_VALUE"""),"Sweaters")</f>
        <v>Sweaters</v>
      </c>
    </row>
    <row r="743">
      <c r="A743" s="8">
        <f>IFERROR(__xludf.DUMMYFUNCTION("""COMPUTED_VALUE"""),968.0)</f>
        <v>968</v>
      </c>
      <c r="B743" s="8">
        <f>IFERROR(__xludf.DUMMYFUNCTION("""COMPUTED_VALUE"""),936.0)</f>
        <v>936</v>
      </c>
      <c r="C743" s="8">
        <f>IFERROR(__xludf.DUMMYFUNCTION("""COMPUTED_VALUE"""),32.0)</f>
        <v>32</v>
      </c>
      <c r="D743" s="8"/>
      <c r="E743" s="8" t="str">
        <f>IFERROR(__xludf.DUMMYFUNCTION("""COMPUTED_VALUE"""),"It pills a little under the arms and picks up lint, but it's totally worth it. this is a fabulous sweater coat. i receive compliments on it wherever i go. so cozy, warm &amp; delicious. not too hot to wear indoors either. it's breathable. love it. bought in g"&amp;"reen during black friday sale. highly recommend.")</f>
        <v>It pills a little under the arms and picks up lint, but it's totally worth it. this is a fabulous sweater coat. i receive compliments on it wherever i go. so cozy, warm &amp; delicious. not too hot to wear indoors either. it's breathable. love it. bought in green during black friday sale. highly recommend.</v>
      </c>
      <c r="F743" s="8">
        <f>IFERROR(__xludf.DUMMYFUNCTION("""COMPUTED_VALUE"""),5.0)</f>
        <v>5</v>
      </c>
      <c r="G743" s="8">
        <f>IFERROR(__xludf.DUMMYFUNCTION("""COMPUTED_VALUE"""),1.0)</f>
        <v>1</v>
      </c>
      <c r="H743" s="8">
        <f>IFERROR(__xludf.DUMMYFUNCTION("""COMPUTED_VALUE"""),0.0)</f>
        <v>0</v>
      </c>
      <c r="I743" s="8" t="str">
        <f>IFERROR(__xludf.DUMMYFUNCTION("""COMPUTED_VALUE"""),"General")</f>
        <v>General</v>
      </c>
      <c r="J743" s="8" t="str">
        <f>IFERROR(__xludf.DUMMYFUNCTION("""COMPUTED_VALUE"""),"Tops")</f>
        <v>Tops</v>
      </c>
      <c r="K743" s="8" t="str">
        <f>IFERROR(__xludf.DUMMYFUNCTION("""COMPUTED_VALUE"""),"Sweaters")</f>
        <v>Sweaters</v>
      </c>
    </row>
    <row r="744">
      <c r="A744" s="8">
        <f>IFERROR(__xludf.DUMMYFUNCTION("""COMPUTED_VALUE"""),969.0)</f>
        <v>969</v>
      </c>
      <c r="B744" s="8">
        <f>IFERROR(__xludf.DUMMYFUNCTION("""COMPUTED_VALUE"""),868.0)</f>
        <v>868</v>
      </c>
      <c r="C744" s="8">
        <f>IFERROR(__xludf.DUMMYFUNCTION("""COMPUTED_VALUE"""),55.0)</f>
        <v>55</v>
      </c>
      <c r="D744" s="8"/>
      <c r="E744" s="8" t="str">
        <f>IFERROR(__xludf.DUMMYFUNCTION("""COMPUTED_VALUE"""),"Omg - wish it came in more colors,,")</f>
        <v>Omg - wish it came in more colors,,</v>
      </c>
      <c r="F744" s="8">
        <f>IFERROR(__xludf.DUMMYFUNCTION("""COMPUTED_VALUE"""),5.0)</f>
        <v>5</v>
      </c>
      <c r="G744" s="8">
        <f>IFERROR(__xludf.DUMMYFUNCTION("""COMPUTED_VALUE"""),1.0)</f>
        <v>1</v>
      </c>
      <c r="H744" s="8">
        <f>IFERROR(__xludf.DUMMYFUNCTION("""COMPUTED_VALUE"""),2.0)</f>
        <v>2</v>
      </c>
      <c r="I744" s="8" t="str">
        <f>IFERROR(__xludf.DUMMYFUNCTION("""COMPUTED_VALUE"""),"General")</f>
        <v>General</v>
      </c>
      <c r="J744" s="8" t="str">
        <f>IFERROR(__xludf.DUMMYFUNCTION("""COMPUTED_VALUE"""),"Tops")</f>
        <v>Tops</v>
      </c>
      <c r="K744" s="8" t="str">
        <f>IFERROR(__xludf.DUMMYFUNCTION("""COMPUTED_VALUE"""),"Knits")</f>
        <v>Knits</v>
      </c>
    </row>
    <row r="745">
      <c r="A745" s="8">
        <f>IFERROR(__xludf.DUMMYFUNCTION("""COMPUTED_VALUE"""),970.0)</f>
        <v>970</v>
      </c>
      <c r="B745" s="8">
        <f>IFERROR(__xludf.DUMMYFUNCTION("""COMPUTED_VALUE"""),1094.0)</f>
        <v>1094</v>
      </c>
      <c r="C745" s="8">
        <f>IFERROR(__xludf.DUMMYFUNCTION("""COMPUTED_VALUE"""),54.0)</f>
        <v>54</v>
      </c>
      <c r="D745" s="8" t="str">
        <f>IFERROR(__xludf.DUMMYFUNCTION("""COMPUTED_VALUE"""),"Beautiful fit")</f>
        <v>Beautiful fit</v>
      </c>
      <c r="E745" s="8" t="str">
        <f>IFERROR(__xludf.DUMMYFUNCTION("""COMPUTED_VALUE"""),"This dress has a beautiful fit; eyed it for awhile--snatched it up at the dress sale! only drawback was the edging around the neck; on some, the cream-patterned fabric was used and it was distracting. hunted around at stores, but ended up getting lucky wi"&amp;"th online purchase.")</f>
        <v>This dress has a beautiful fit; eyed it for awhile--snatched it up at the dress sale! only drawback was the edging around the neck; on some, the cream-patterned fabric was used and it was distracting. hunted around at stores, but ended up getting lucky with online purchase.</v>
      </c>
      <c r="F745" s="8">
        <f>IFERROR(__xludf.DUMMYFUNCTION("""COMPUTED_VALUE"""),5.0)</f>
        <v>5</v>
      </c>
      <c r="G745" s="8">
        <f>IFERROR(__xludf.DUMMYFUNCTION("""COMPUTED_VALUE"""),1.0)</f>
        <v>1</v>
      </c>
      <c r="H745" s="8">
        <f>IFERROR(__xludf.DUMMYFUNCTION("""COMPUTED_VALUE"""),0.0)</f>
        <v>0</v>
      </c>
      <c r="I745" s="8" t="str">
        <f>IFERROR(__xludf.DUMMYFUNCTION("""COMPUTED_VALUE"""),"General")</f>
        <v>General</v>
      </c>
      <c r="J745" s="8" t="str">
        <f>IFERROR(__xludf.DUMMYFUNCTION("""COMPUTED_VALUE"""),"Dresses")</f>
        <v>Dresses</v>
      </c>
      <c r="K745" s="8" t="str">
        <f>IFERROR(__xludf.DUMMYFUNCTION("""COMPUTED_VALUE"""),"Dresses")</f>
        <v>Dresses</v>
      </c>
    </row>
    <row r="746">
      <c r="A746" s="8">
        <f>IFERROR(__xludf.DUMMYFUNCTION("""COMPUTED_VALUE"""),971.0)</f>
        <v>971</v>
      </c>
      <c r="B746" s="8">
        <f>IFERROR(__xludf.DUMMYFUNCTION("""COMPUTED_VALUE"""),936.0)</f>
        <v>936</v>
      </c>
      <c r="C746" s="8">
        <f>IFERROR(__xludf.DUMMYFUNCTION("""COMPUTED_VALUE"""),58.0)</f>
        <v>58</v>
      </c>
      <c r="D746" s="8"/>
      <c r="E746" s="8" t="str">
        <f>IFERROR(__xludf.DUMMYFUNCTION("""COMPUTED_VALUE"""),"Absolutely beautiful. as soon as i saw the color i had to have it. looks great. i am 5 ft 2 in the color is beautiful. excellently made. very comfy. hood is not bulky")</f>
        <v>Absolutely beautiful. as soon as i saw the color i had to have it. looks great. i am 5 ft 2 in the color is beautiful. excellently made. very comfy. hood is not bulky</v>
      </c>
      <c r="F746" s="8">
        <f>IFERROR(__xludf.DUMMYFUNCTION("""COMPUTED_VALUE"""),5.0)</f>
        <v>5</v>
      </c>
      <c r="G746" s="8">
        <f>IFERROR(__xludf.DUMMYFUNCTION("""COMPUTED_VALUE"""),1.0)</f>
        <v>1</v>
      </c>
      <c r="H746" s="8">
        <f>IFERROR(__xludf.DUMMYFUNCTION("""COMPUTED_VALUE"""),0.0)</f>
        <v>0</v>
      </c>
      <c r="I746" s="8" t="str">
        <f>IFERROR(__xludf.DUMMYFUNCTION("""COMPUTED_VALUE"""),"General")</f>
        <v>General</v>
      </c>
      <c r="J746" s="8" t="str">
        <f>IFERROR(__xludf.DUMMYFUNCTION("""COMPUTED_VALUE"""),"Tops")</f>
        <v>Tops</v>
      </c>
      <c r="K746" s="8" t="str">
        <f>IFERROR(__xludf.DUMMYFUNCTION("""COMPUTED_VALUE"""),"Sweaters")</f>
        <v>Sweaters</v>
      </c>
    </row>
    <row r="747">
      <c r="A747" s="8">
        <f>IFERROR(__xludf.DUMMYFUNCTION("""COMPUTED_VALUE"""),973.0)</f>
        <v>973</v>
      </c>
      <c r="B747" s="8">
        <f>IFERROR(__xludf.DUMMYFUNCTION("""COMPUTED_VALUE"""),1033.0)</f>
        <v>1033</v>
      </c>
      <c r="C747" s="8">
        <f>IFERROR(__xludf.DUMMYFUNCTION("""COMPUTED_VALUE"""),47.0)</f>
        <v>47</v>
      </c>
      <c r="D747" s="8" t="str">
        <f>IFERROR(__xludf.DUMMYFUNCTION("""COMPUTED_VALUE"""),"Finally jeans for curves!")</f>
        <v>Finally jeans for curves!</v>
      </c>
      <c r="E747" s="8" t="str">
        <f>IFERROR(__xludf.DUMMYFUNCTION("""COMPUTED_VALUE"""),"I've been a fan of the pilcro chinos for years but the jeans have not been the right fit for me - usually wind up too big in the waist to accommodate the hips. well the em is aptly named as they are made to fit a girl! ! i usually wear a 29 and the 29 fit"&amp;" comfortably and i could probably even go down a size. thank you retailer - please make more in this style!")</f>
        <v>I've been a fan of the pilcro chinos for years but the jeans have not been the right fit for me - usually wind up too big in the waist to accommodate the hips. well the em is aptly named as they are made to fit a girl! ! i usually wear a 29 and the 29 fit comfortably and i could probably even go down a size. thank you retailer - please make more in this style!</v>
      </c>
      <c r="F747" s="8">
        <f>IFERROR(__xludf.DUMMYFUNCTION("""COMPUTED_VALUE"""),5.0)</f>
        <v>5</v>
      </c>
      <c r="G747" s="8">
        <f>IFERROR(__xludf.DUMMYFUNCTION("""COMPUTED_VALUE"""),1.0)</f>
        <v>1</v>
      </c>
      <c r="H747" s="8">
        <f>IFERROR(__xludf.DUMMYFUNCTION("""COMPUTED_VALUE"""),1.0)</f>
        <v>1</v>
      </c>
      <c r="I747" s="8" t="str">
        <f>IFERROR(__xludf.DUMMYFUNCTION("""COMPUTED_VALUE"""),"General Petite")</f>
        <v>General Petite</v>
      </c>
      <c r="J747" s="8" t="str">
        <f>IFERROR(__xludf.DUMMYFUNCTION("""COMPUTED_VALUE"""),"Bottoms")</f>
        <v>Bottoms</v>
      </c>
      <c r="K747" s="8" t="str">
        <f>IFERROR(__xludf.DUMMYFUNCTION("""COMPUTED_VALUE"""),"Jeans")</f>
        <v>Jeans</v>
      </c>
    </row>
    <row r="748">
      <c r="A748" s="8">
        <f>IFERROR(__xludf.DUMMYFUNCTION("""COMPUTED_VALUE"""),974.0)</f>
        <v>974</v>
      </c>
      <c r="B748" s="8">
        <f>IFERROR(__xludf.DUMMYFUNCTION("""COMPUTED_VALUE"""),936.0)</f>
        <v>936</v>
      </c>
      <c r="C748" s="8">
        <f>IFERROR(__xludf.DUMMYFUNCTION("""COMPUTED_VALUE"""),31.0)</f>
        <v>31</v>
      </c>
      <c r="D748" s="8"/>
      <c r="E748" s="8"/>
      <c r="F748" s="8">
        <f>IFERROR(__xludf.DUMMYFUNCTION("""COMPUTED_VALUE"""),5.0)</f>
        <v>5</v>
      </c>
      <c r="G748" s="8">
        <f>IFERROR(__xludf.DUMMYFUNCTION("""COMPUTED_VALUE"""),1.0)</f>
        <v>1</v>
      </c>
      <c r="H748" s="8">
        <f>IFERROR(__xludf.DUMMYFUNCTION("""COMPUTED_VALUE"""),0.0)</f>
        <v>0</v>
      </c>
      <c r="I748" s="8" t="str">
        <f>IFERROR(__xludf.DUMMYFUNCTION("""COMPUTED_VALUE"""),"General")</f>
        <v>General</v>
      </c>
      <c r="J748" s="8" t="str">
        <f>IFERROR(__xludf.DUMMYFUNCTION("""COMPUTED_VALUE"""),"Tops")</f>
        <v>Tops</v>
      </c>
      <c r="K748" s="8" t="str">
        <f>IFERROR(__xludf.DUMMYFUNCTION("""COMPUTED_VALUE"""),"Sweaters")</f>
        <v>Sweaters</v>
      </c>
    </row>
    <row r="749">
      <c r="A749" s="8">
        <f>IFERROR(__xludf.DUMMYFUNCTION("""COMPUTED_VALUE"""),975.0)</f>
        <v>975</v>
      </c>
      <c r="B749" s="8">
        <f>IFERROR(__xludf.DUMMYFUNCTION("""COMPUTED_VALUE"""),1094.0)</f>
        <v>1094</v>
      </c>
      <c r="C749" s="8">
        <f>IFERROR(__xludf.DUMMYFUNCTION("""COMPUTED_VALUE"""),36.0)</f>
        <v>36</v>
      </c>
      <c r="D749" s="8" t="str">
        <f>IFERROR(__xludf.DUMMYFUNCTION("""COMPUTED_VALUE"""),"A winner!")</f>
        <v>A winner!</v>
      </c>
      <c r="E749" s="8" t="str">
        <f>IFERROR(__xludf.DUMMYFUNCTION("""COMPUTED_VALUE"""),"What a well-designed dress! the cut is a slight a-line without adding bulk and the pattern is very slimming. the lining makes this a pretty good option for cooler weather. the neck is pretty wide, as others have noted, but i find that a heavy cream colore"&amp;"d scarf is a pretty good accent. it does run a little large. i'm 5'5""/130lbs and went with the xsp.")</f>
        <v>What a well-designed dress! the cut is a slight a-line without adding bulk and the pattern is very slimming. the lining makes this a pretty good option for cooler weather. the neck is pretty wide, as others have noted, but i find that a heavy cream colored scarf is a pretty good accent. it does run a little large. i'm 5'5"/130lbs and went with the xsp.</v>
      </c>
      <c r="F749" s="8">
        <f>IFERROR(__xludf.DUMMYFUNCTION("""COMPUTED_VALUE"""),5.0)</f>
        <v>5</v>
      </c>
      <c r="G749" s="8">
        <f>IFERROR(__xludf.DUMMYFUNCTION("""COMPUTED_VALUE"""),1.0)</f>
        <v>1</v>
      </c>
      <c r="H749" s="8">
        <f>IFERROR(__xludf.DUMMYFUNCTION("""COMPUTED_VALUE"""),6.0)</f>
        <v>6</v>
      </c>
      <c r="I749" s="8" t="str">
        <f>IFERROR(__xludf.DUMMYFUNCTION("""COMPUTED_VALUE"""),"General")</f>
        <v>General</v>
      </c>
      <c r="J749" s="8" t="str">
        <f>IFERROR(__xludf.DUMMYFUNCTION("""COMPUTED_VALUE"""),"Dresses")</f>
        <v>Dresses</v>
      </c>
      <c r="K749" s="8" t="str">
        <f>IFERROR(__xludf.DUMMYFUNCTION("""COMPUTED_VALUE"""),"Dresses")</f>
        <v>Dresses</v>
      </c>
    </row>
    <row r="750">
      <c r="A750" s="8">
        <f>IFERROR(__xludf.DUMMYFUNCTION("""COMPUTED_VALUE"""),976.0)</f>
        <v>976</v>
      </c>
      <c r="B750" s="8">
        <f>IFERROR(__xludf.DUMMYFUNCTION("""COMPUTED_VALUE"""),154.0)</f>
        <v>154</v>
      </c>
      <c r="C750" s="8">
        <f>IFERROR(__xludf.DUMMYFUNCTION("""COMPUTED_VALUE"""),48.0)</f>
        <v>48</v>
      </c>
      <c r="D750" s="8" t="str">
        <f>IFERROR(__xludf.DUMMYFUNCTION("""COMPUTED_VALUE"""),"Cozy comfy beautiful top")</f>
        <v>Cozy comfy beautiful top</v>
      </c>
      <c r="E750" s="8" t="str">
        <f>IFERROR(__xludf.DUMMYFUNCTION("""COMPUTED_VALUE"""),"I was initially attracted to the colors")</f>
        <v>I was initially attracted to the colors</v>
      </c>
      <c r="F750" s="8">
        <f>IFERROR(__xludf.DUMMYFUNCTION("""COMPUTED_VALUE"""),5.0)</f>
        <v>5</v>
      </c>
      <c r="G750" s="8">
        <f>IFERROR(__xludf.DUMMYFUNCTION("""COMPUTED_VALUE"""),1.0)</f>
        <v>1</v>
      </c>
      <c r="H750" s="8">
        <f>IFERROR(__xludf.DUMMYFUNCTION("""COMPUTED_VALUE"""),1.0)</f>
        <v>1</v>
      </c>
      <c r="I750" s="8" t="str">
        <f>IFERROR(__xludf.DUMMYFUNCTION("""COMPUTED_VALUE"""),"Initmates")</f>
        <v>Initmates</v>
      </c>
      <c r="J750" s="8" t="str">
        <f>IFERROR(__xludf.DUMMYFUNCTION("""COMPUTED_VALUE"""),"Intimate")</f>
        <v>Intimate</v>
      </c>
      <c r="K750" s="8" t="str">
        <f>IFERROR(__xludf.DUMMYFUNCTION("""COMPUTED_VALUE"""),"Sleep")</f>
        <v>Sleep</v>
      </c>
    </row>
    <row r="751">
      <c r="A751" s="8">
        <f>IFERROR(__xludf.DUMMYFUNCTION("""COMPUTED_VALUE"""),977.0)</f>
        <v>977</v>
      </c>
      <c r="B751" s="8">
        <f>IFERROR(__xludf.DUMMYFUNCTION("""COMPUTED_VALUE"""),936.0)</f>
        <v>936</v>
      </c>
      <c r="C751" s="8">
        <f>IFERROR(__xludf.DUMMYFUNCTION("""COMPUTED_VALUE"""),21.0)</f>
        <v>21</v>
      </c>
      <c r="D751" s="8" t="str">
        <f>IFERROR(__xludf.DUMMYFUNCTION("""COMPUTED_VALUE"""),"Warm and cozy")</f>
        <v>Warm and cozy</v>
      </c>
      <c r="E751" s="8" t="str">
        <f>IFERROR(__xludf.DUMMYFUNCTION("""COMPUTED_VALUE"""),"This coat is a perfect fall to winter transition coat. it is surprisingly warm in 50 degree weather, so i'm sure it will be warm enough in 30-40 degree weather with some added layers. the only thing to note is that it is unlined and the material is soft s"&amp;"o it may be prone to pilling. can be worn casually, to work, and dressed up.")</f>
        <v>This coat is a perfect fall to winter transition coat. it is surprisingly warm in 50 degree weather, so i'm sure it will be warm enough in 30-40 degree weather with some added layers. the only thing to note is that it is unlined and the material is soft so it may be prone to pilling. can be worn casually, to work, and dressed up.</v>
      </c>
      <c r="F751" s="8">
        <f>IFERROR(__xludf.DUMMYFUNCTION("""COMPUTED_VALUE"""),4.0)</f>
        <v>4</v>
      </c>
      <c r="G751" s="8">
        <f>IFERROR(__xludf.DUMMYFUNCTION("""COMPUTED_VALUE"""),1.0)</f>
        <v>1</v>
      </c>
      <c r="H751" s="8">
        <f>IFERROR(__xludf.DUMMYFUNCTION("""COMPUTED_VALUE"""),3.0)</f>
        <v>3</v>
      </c>
      <c r="I751" s="8" t="str">
        <f>IFERROR(__xludf.DUMMYFUNCTION("""COMPUTED_VALUE"""),"General")</f>
        <v>General</v>
      </c>
      <c r="J751" s="8" t="str">
        <f>IFERROR(__xludf.DUMMYFUNCTION("""COMPUTED_VALUE"""),"Tops")</f>
        <v>Tops</v>
      </c>
      <c r="K751" s="8" t="str">
        <f>IFERROR(__xludf.DUMMYFUNCTION("""COMPUTED_VALUE"""),"Sweaters")</f>
        <v>Sweaters</v>
      </c>
    </row>
    <row r="752">
      <c r="A752" s="8">
        <f>IFERROR(__xludf.DUMMYFUNCTION("""COMPUTED_VALUE"""),978.0)</f>
        <v>978</v>
      </c>
      <c r="B752" s="8">
        <f>IFERROR(__xludf.DUMMYFUNCTION("""COMPUTED_VALUE"""),1094.0)</f>
        <v>1094</v>
      </c>
      <c r="C752" s="8">
        <f>IFERROR(__xludf.DUMMYFUNCTION("""COMPUTED_VALUE"""),29.0)</f>
        <v>29</v>
      </c>
      <c r="D752" s="8" t="str">
        <f>IFERROR(__xludf.DUMMYFUNCTION("""COMPUTED_VALUE"""),"Great dress!")</f>
        <v>Great dress!</v>
      </c>
      <c r="E752" s="8" t="str">
        <f>IFERROR(__xludf.DUMMYFUNCTION("""COMPUTED_VALUE"""),"I tried this dress on in the store and ended up ordering it online during the dress sale. it is extremely flattering and really accentuates the waist. it is very comfortable, and made of a nice, soft fabric. i am a 34a and it just barely reveals a tiny bi"&amp;"t of cleavage so i don't find the neckline too low. i plan to wear it with tights and booties. i am 5' 4"" and the regular xs comes to a bit below my knees. going to enjoy wearing this lovely dress!")</f>
        <v>I tried this dress on in the store and ended up ordering it online during the dress sale. it is extremely flattering and really accentuates the waist. it is very comfortable, and made of a nice, soft fabric. i am a 34a and it just barely reveals a tiny bit of cleavage so i don't find the neckline too low. i plan to wear it with tights and booties. i am 5' 4" and the regular xs comes to a bit below my knees. going to enjoy wearing this lovely dress!</v>
      </c>
      <c r="F752" s="8">
        <f>IFERROR(__xludf.DUMMYFUNCTION("""COMPUTED_VALUE"""),5.0)</f>
        <v>5</v>
      </c>
      <c r="G752" s="8">
        <f>IFERROR(__xludf.DUMMYFUNCTION("""COMPUTED_VALUE"""),1.0)</f>
        <v>1</v>
      </c>
      <c r="H752" s="8">
        <f>IFERROR(__xludf.DUMMYFUNCTION("""COMPUTED_VALUE"""),0.0)</f>
        <v>0</v>
      </c>
      <c r="I752" s="8" t="str">
        <f>IFERROR(__xludf.DUMMYFUNCTION("""COMPUTED_VALUE"""),"General")</f>
        <v>General</v>
      </c>
      <c r="J752" s="8" t="str">
        <f>IFERROR(__xludf.DUMMYFUNCTION("""COMPUTED_VALUE"""),"Dresses")</f>
        <v>Dresses</v>
      </c>
      <c r="K752" s="8" t="str">
        <f>IFERROR(__xludf.DUMMYFUNCTION("""COMPUTED_VALUE"""),"Dresses")</f>
        <v>Dresses</v>
      </c>
    </row>
    <row r="753">
      <c r="A753" s="8">
        <f>IFERROR(__xludf.DUMMYFUNCTION("""COMPUTED_VALUE"""),979.0)</f>
        <v>979</v>
      </c>
      <c r="B753" s="8">
        <f>IFERROR(__xludf.DUMMYFUNCTION("""COMPUTED_VALUE"""),154.0)</f>
        <v>154</v>
      </c>
      <c r="C753" s="8">
        <f>IFERROR(__xludf.DUMMYFUNCTION("""COMPUTED_VALUE"""),50.0)</f>
        <v>50</v>
      </c>
      <c r="D753" s="8" t="str">
        <f>IFERROR(__xludf.DUMMYFUNCTION("""COMPUTED_VALUE"""),"Love this sweater!")</f>
        <v>Love this sweater!</v>
      </c>
      <c r="E753" s="8" t="str">
        <f>IFERROR(__xludf.DUMMYFUNCTION("""COMPUTED_VALUE"""),"This is way cuter in person than on model. it is a super soft and fluffy sweater. the colors are so pretty and feminine. i received it as a christmas gift and have already worn it twice. it's perfect with skinny jeans and ugg boots. i vary between xs and "&amp;"small in retailer sweaters. this is a bit boxy so i sized down with the xs and it fits perfect!")</f>
        <v>This is way cuter in person than on model. it is a super soft and fluffy sweater. the colors are so pretty and feminine. i received it as a christmas gift and have already worn it twice. it's perfect with skinny jeans and ugg boots. i vary between xs and small in retailer sweaters. this is a bit boxy so i sized down with the xs and it fits perfect!</v>
      </c>
      <c r="F753" s="8">
        <f>IFERROR(__xludf.DUMMYFUNCTION("""COMPUTED_VALUE"""),5.0)</f>
        <v>5</v>
      </c>
      <c r="G753" s="8">
        <f>IFERROR(__xludf.DUMMYFUNCTION("""COMPUTED_VALUE"""),1.0)</f>
        <v>1</v>
      </c>
      <c r="H753" s="8">
        <f>IFERROR(__xludf.DUMMYFUNCTION("""COMPUTED_VALUE"""),0.0)</f>
        <v>0</v>
      </c>
      <c r="I753" s="8" t="str">
        <f>IFERROR(__xludf.DUMMYFUNCTION("""COMPUTED_VALUE"""),"Initmates")</f>
        <v>Initmates</v>
      </c>
      <c r="J753" s="8" t="str">
        <f>IFERROR(__xludf.DUMMYFUNCTION("""COMPUTED_VALUE"""),"Intimate")</f>
        <v>Intimate</v>
      </c>
      <c r="K753" s="8" t="str">
        <f>IFERROR(__xludf.DUMMYFUNCTION("""COMPUTED_VALUE"""),"Sleep")</f>
        <v>Sleep</v>
      </c>
    </row>
    <row r="754">
      <c r="A754" s="8">
        <f>IFERROR(__xludf.DUMMYFUNCTION("""COMPUTED_VALUE"""),981.0)</f>
        <v>981</v>
      </c>
      <c r="B754" s="8">
        <f>IFERROR(__xludf.DUMMYFUNCTION("""COMPUTED_VALUE"""),936.0)</f>
        <v>936</v>
      </c>
      <c r="C754" s="8">
        <f>IFERROR(__xludf.DUMMYFUNCTION("""COMPUTED_VALUE"""),41.0)</f>
        <v>41</v>
      </c>
      <c r="D754" s="8" t="str">
        <f>IFERROR(__xludf.DUMMYFUNCTION("""COMPUTED_VALUE"""),"Classic")</f>
        <v>Classic</v>
      </c>
      <c r="E754" s="8" t="str">
        <f>IFERROR(__xludf.DUMMYFUNCTION("""COMPUTED_VALUE"""),"I adore this hooded boiled wool sweatercoat in rich, deep green. quality is great aside from the buttons being sawn on very loosely. it's a great outer layer in the warm northern california fall/winter. i'm wearing it today with a short sleeved boiled woo"&amp;"l dress in burgundy for pre-christmas eve cocktails and feeling classy, festive, cozy, and warm.")</f>
        <v>I adore this hooded boiled wool sweatercoat in rich, deep green. quality is great aside from the buttons being sawn on very loosely. it's a great outer layer in the warm northern california fall/winter. i'm wearing it today with a short sleeved boiled wool dress in burgundy for pre-christmas eve cocktails and feeling classy, festive, cozy, and warm.</v>
      </c>
      <c r="F754" s="8">
        <f>IFERROR(__xludf.DUMMYFUNCTION("""COMPUTED_VALUE"""),5.0)</f>
        <v>5</v>
      </c>
      <c r="G754" s="8">
        <f>IFERROR(__xludf.DUMMYFUNCTION("""COMPUTED_VALUE"""),1.0)</f>
        <v>1</v>
      </c>
      <c r="H754" s="8">
        <f>IFERROR(__xludf.DUMMYFUNCTION("""COMPUTED_VALUE"""),0.0)</f>
        <v>0</v>
      </c>
      <c r="I754" s="8" t="str">
        <f>IFERROR(__xludf.DUMMYFUNCTION("""COMPUTED_VALUE"""),"General")</f>
        <v>General</v>
      </c>
      <c r="J754" s="8" t="str">
        <f>IFERROR(__xludf.DUMMYFUNCTION("""COMPUTED_VALUE"""),"Tops")</f>
        <v>Tops</v>
      </c>
      <c r="K754" s="8" t="str">
        <f>IFERROR(__xludf.DUMMYFUNCTION("""COMPUTED_VALUE"""),"Sweaters")</f>
        <v>Sweaters</v>
      </c>
    </row>
    <row r="755">
      <c r="A755" s="8">
        <f>IFERROR(__xludf.DUMMYFUNCTION("""COMPUTED_VALUE"""),982.0)</f>
        <v>982</v>
      </c>
      <c r="B755" s="8">
        <f>IFERROR(__xludf.DUMMYFUNCTION("""COMPUTED_VALUE"""),1094.0)</f>
        <v>1094</v>
      </c>
      <c r="C755" s="8">
        <f>IFERROR(__xludf.DUMMYFUNCTION("""COMPUTED_VALUE"""),41.0)</f>
        <v>41</v>
      </c>
      <c r="D755" s="8" t="str">
        <f>IFERROR(__xludf.DUMMYFUNCTION("""COMPUTED_VALUE"""),"Soft and flattering")</f>
        <v>Soft and flattering</v>
      </c>
      <c r="E755" s="8" t="str">
        <f>IFERROR(__xludf.DUMMYFUNCTION("""COMPUTED_VALUE"""),"Every year i'm excited when the weather gets cool enough for sweater dresses. i love this one, with the longer length, slimming fit and pattern placement, and cozy soft fabric. delightful, inspires reveries of castles and legends (yes i looked up what ""e"&amp;"ira"" stands for and went with it). highly recommended. fit is generously tts.")</f>
        <v>Every year i'm excited when the weather gets cool enough for sweater dresses. i love this one, with the longer length, slimming fit and pattern placement, and cozy soft fabric. delightful, inspires reveries of castles and legends (yes i looked up what "eira" stands for and went with it). highly recommended. fit is generously tts.</v>
      </c>
      <c r="F755" s="8">
        <f>IFERROR(__xludf.DUMMYFUNCTION("""COMPUTED_VALUE"""),5.0)</f>
        <v>5</v>
      </c>
      <c r="G755" s="8">
        <f>IFERROR(__xludf.DUMMYFUNCTION("""COMPUTED_VALUE"""),1.0)</f>
        <v>1</v>
      </c>
      <c r="H755" s="8">
        <f>IFERROR(__xludf.DUMMYFUNCTION("""COMPUTED_VALUE"""),1.0)</f>
        <v>1</v>
      </c>
      <c r="I755" s="8" t="str">
        <f>IFERROR(__xludf.DUMMYFUNCTION("""COMPUTED_VALUE"""),"General")</f>
        <v>General</v>
      </c>
      <c r="J755" s="8" t="str">
        <f>IFERROR(__xludf.DUMMYFUNCTION("""COMPUTED_VALUE"""),"Dresses")</f>
        <v>Dresses</v>
      </c>
      <c r="K755" s="8" t="str">
        <f>IFERROR(__xludf.DUMMYFUNCTION("""COMPUTED_VALUE"""),"Dresses")</f>
        <v>Dresses</v>
      </c>
    </row>
    <row r="756">
      <c r="A756" s="8">
        <f>IFERROR(__xludf.DUMMYFUNCTION("""COMPUTED_VALUE"""),983.0)</f>
        <v>983</v>
      </c>
      <c r="B756" s="8">
        <f>IFERROR(__xludf.DUMMYFUNCTION("""COMPUTED_VALUE"""),936.0)</f>
        <v>936</v>
      </c>
      <c r="C756" s="8">
        <f>IFERROR(__xludf.DUMMYFUNCTION("""COMPUTED_VALUE"""),34.0)</f>
        <v>34</v>
      </c>
      <c r="D756" s="8" t="str">
        <f>IFERROR(__xludf.DUMMYFUNCTION("""COMPUTED_VALUE"""),"Soft, flattering, warm and versatile!")</f>
        <v>Soft, flattering, warm and versatile!</v>
      </c>
      <c r="E756" s="8" t="str">
        <f>IFERROR(__xludf.DUMMYFUNCTION("""COMPUTED_VALUE"""),"I adore this sweater coat! i first bought the green color in my normal size online on a whim mostly due to the positive reviews. i was not disappointed at all! this sweater coat is soft boiled wool.. the green color is a deep forest that looks incredible "&amp;"with black, grays and berry colors.
the fit appears to be magical. it manages to be both roomy and figure flattering, which is tricky with my figure (hourglass). i tend to need a defined waist, but somehow this coat manages to be very slimming")</f>
        <v>I adore this sweater coat! i first bought the green color in my normal size online on a whim mostly due to the positive reviews. i was not disappointed at all! this sweater coat is soft boiled wool.. the green color is a deep forest that looks incredible with black, grays and berry colors.
the fit appears to be magical. it manages to be both roomy and figure flattering, which is tricky with my figure (hourglass). i tend to need a defined waist, but somehow this coat manages to be very slimming</v>
      </c>
      <c r="F756" s="8">
        <f>IFERROR(__xludf.DUMMYFUNCTION("""COMPUTED_VALUE"""),5.0)</f>
        <v>5</v>
      </c>
      <c r="G756" s="8">
        <f>IFERROR(__xludf.DUMMYFUNCTION("""COMPUTED_VALUE"""),1.0)</f>
        <v>1</v>
      </c>
      <c r="H756" s="8">
        <f>IFERROR(__xludf.DUMMYFUNCTION("""COMPUTED_VALUE"""),2.0)</f>
        <v>2</v>
      </c>
      <c r="I756" s="8" t="str">
        <f>IFERROR(__xludf.DUMMYFUNCTION("""COMPUTED_VALUE"""),"General")</f>
        <v>General</v>
      </c>
      <c r="J756" s="8" t="str">
        <f>IFERROR(__xludf.DUMMYFUNCTION("""COMPUTED_VALUE"""),"Tops")</f>
        <v>Tops</v>
      </c>
      <c r="K756" s="8" t="str">
        <f>IFERROR(__xludf.DUMMYFUNCTION("""COMPUTED_VALUE"""),"Sweaters")</f>
        <v>Sweaters</v>
      </c>
    </row>
    <row r="757">
      <c r="A757" s="8">
        <f>IFERROR(__xludf.DUMMYFUNCTION("""COMPUTED_VALUE"""),984.0)</f>
        <v>984</v>
      </c>
      <c r="B757" s="8">
        <f>IFERROR(__xludf.DUMMYFUNCTION("""COMPUTED_VALUE"""),1094.0)</f>
        <v>1094</v>
      </c>
      <c r="C757" s="8">
        <f>IFERROR(__xludf.DUMMYFUNCTION("""COMPUTED_VALUE"""),41.0)</f>
        <v>41</v>
      </c>
      <c r="D757" s="8" t="str">
        <f>IFERROR(__xludf.DUMMYFUNCTION("""COMPUTED_VALUE"""),"My holiday dress")</f>
        <v>My holiday dress</v>
      </c>
      <c r="E757" s="8" t="str">
        <f>IFERROR(__xludf.DUMMYFUNCTION("""COMPUTED_VALUE"""),"This sweater dress is lovely, quirky and comfortable. because i have broader shoulders, the neckline was perfect on me, although i probably will end up wearing a scarf to keep my neck warm! the dress skims in a very flattering way. at first i was dissapoi"&amp;"nted it wasn't more formfitting, but it drapes very nicely. (i usually wear a size four in dresses and chose the small in this dress which was best i think.) it has a built in slip that is a bit flimsy, so i will probably wear a long silk one th")</f>
        <v>This sweater dress is lovely, quirky and comfortable. because i have broader shoulders, the neckline was perfect on me, although i probably will end up wearing a scarf to keep my neck warm! the dress skims in a very flattering way. at first i was dissapointed it wasn't more formfitting, but it drapes very nicely. (i usually wear a size four in dresses and chose the small in this dress which was best i think.) it has a built in slip that is a bit flimsy, so i will probably wear a long silk one th</v>
      </c>
      <c r="F757" s="8">
        <f>IFERROR(__xludf.DUMMYFUNCTION("""COMPUTED_VALUE"""),5.0)</f>
        <v>5</v>
      </c>
      <c r="G757" s="8">
        <f>IFERROR(__xludf.DUMMYFUNCTION("""COMPUTED_VALUE"""),1.0)</f>
        <v>1</v>
      </c>
      <c r="H757" s="8">
        <f>IFERROR(__xludf.DUMMYFUNCTION("""COMPUTED_VALUE"""),9.0)</f>
        <v>9</v>
      </c>
      <c r="I757" s="8" t="str">
        <f>IFERROR(__xludf.DUMMYFUNCTION("""COMPUTED_VALUE"""),"General")</f>
        <v>General</v>
      </c>
      <c r="J757" s="8" t="str">
        <f>IFERROR(__xludf.DUMMYFUNCTION("""COMPUTED_VALUE"""),"Dresses")</f>
        <v>Dresses</v>
      </c>
      <c r="K757" s="8" t="str">
        <f>IFERROR(__xludf.DUMMYFUNCTION("""COMPUTED_VALUE"""),"Dresses")</f>
        <v>Dresses</v>
      </c>
    </row>
    <row r="758">
      <c r="A758" s="8">
        <f>IFERROR(__xludf.DUMMYFUNCTION("""COMPUTED_VALUE"""),985.0)</f>
        <v>985</v>
      </c>
      <c r="B758" s="8">
        <f>IFERROR(__xludf.DUMMYFUNCTION("""COMPUTED_VALUE"""),878.0)</f>
        <v>878</v>
      </c>
      <c r="C758" s="8">
        <f>IFERROR(__xludf.DUMMYFUNCTION("""COMPUTED_VALUE"""),33.0)</f>
        <v>33</v>
      </c>
      <c r="D758" s="8"/>
      <c r="E758" s="8" t="str">
        <f>IFERROR(__xludf.DUMMYFUNCTION("""COMPUTED_VALUE"""),"Cute and comfortable! i loved the colors and how soft the shirt is!")</f>
        <v>Cute and comfortable! i loved the colors and how soft the shirt is!</v>
      </c>
      <c r="F758" s="8">
        <f>IFERROR(__xludf.DUMMYFUNCTION("""COMPUTED_VALUE"""),5.0)</f>
        <v>5</v>
      </c>
      <c r="G758" s="8">
        <f>IFERROR(__xludf.DUMMYFUNCTION("""COMPUTED_VALUE"""),1.0)</f>
        <v>1</v>
      </c>
      <c r="H758" s="8">
        <f>IFERROR(__xludf.DUMMYFUNCTION("""COMPUTED_VALUE"""),1.0)</f>
        <v>1</v>
      </c>
      <c r="I758" s="8" t="str">
        <f>IFERROR(__xludf.DUMMYFUNCTION("""COMPUTED_VALUE"""),"General")</f>
        <v>General</v>
      </c>
      <c r="J758" s="8" t="str">
        <f>IFERROR(__xludf.DUMMYFUNCTION("""COMPUTED_VALUE"""),"Tops")</f>
        <v>Tops</v>
      </c>
      <c r="K758" s="8" t="str">
        <f>IFERROR(__xludf.DUMMYFUNCTION("""COMPUTED_VALUE"""),"Knits")</f>
        <v>Knits</v>
      </c>
    </row>
    <row r="759">
      <c r="A759" s="8">
        <f>IFERROR(__xludf.DUMMYFUNCTION("""COMPUTED_VALUE"""),986.0)</f>
        <v>986</v>
      </c>
      <c r="B759" s="8">
        <f>IFERROR(__xludf.DUMMYFUNCTION("""COMPUTED_VALUE"""),1145.0)</f>
        <v>1145</v>
      </c>
      <c r="C759" s="8">
        <f>IFERROR(__xludf.DUMMYFUNCTION("""COMPUTED_VALUE"""),66.0)</f>
        <v>66</v>
      </c>
      <c r="D759" s="8" t="str">
        <f>IFERROR(__xludf.DUMMYFUNCTION("""COMPUTED_VALUE"""),"In love")</f>
        <v>In love</v>
      </c>
      <c r="E759" s="8" t="str">
        <f>IFERROR(__xludf.DUMMYFUNCTION("""COMPUTED_VALUE"""),"So different than anything in my closet. it's wide with a beautiful drape. fabric is soft but substantial. it has the cutest coral color lining the placket and inside of the lower sleeves. i sized down to a medium and could have gone to a small but i love"&amp;" the length and drape which might not translate in fit in the smaller size. so cute on.")</f>
        <v>So different than anything in my closet. it's wide with a beautiful drape. fabric is soft but substantial. it has the cutest coral color lining the placket and inside of the lower sleeves. i sized down to a medium and could have gone to a small but i love the length and drape which might not translate in fit in the smaller size. so cute on.</v>
      </c>
      <c r="F759" s="8">
        <f>IFERROR(__xludf.DUMMYFUNCTION("""COMPUTED_VALUE"""),5.0)</f>
        <v>5</v>
      </c>
      <c r="G759" s="8">
        <f>IFERROR(__xludf.DUMMYFUNCTION("""COMPUTED_VALUE"""),1.0)</f>
        <v>1</v>
      </c>
      <c r="H759" s="8">
        <f>IFERROR(__xludf.DUMMYFUNCTION("""COMPUTED_VALUE"""),3.0)</f>
        <v>3</v>
      </c>
      <c r="I759" s="8" t="str">
        <f>IFERROR(__xludf.DUMMYFUNCTION("""COMPUTED_VALUE"""),"General")</f>
        <v>General</v>
      </c>
      <c r="J759" s="8" t="str">
        <f>IFERROR(__xludf.DUMMYFUNCTION("""COMPUTED_VALUE"""),"Trend")</f>
        <v>Trend</v>
      </c>
      <c r="K759" s="8" t="str">
        <f>IFERROR(__xludf.DUMMYFUNCTION("""COMPUTED_VALUE"""),"Trend")</f>
        <v>Trend</v>
      </c>
    </row>
    <row r="760">
      <c r="A760" s="8">
        <f>IFERROR(__xludf.DUMMYFUNCTION("""COMPUTED_VALUE"""),987.0)</f>
        <v>987</v>
      </c>
      <c r="B760" s="8">
        <f>IFERROR(__xludf.DUMMYFUNCTION("""COMPUTED_VALUE"""),1033.0)</f>
        <v>1033</v>
      </c>
      <c r="C760" s="8">
        <f>IFERROR(__xludf.DUMMYFUNCTION("""COMPUTED_VALUE"""),45.0)</f>
        <v>45</v>
      </c>
      <c r="D760" s="8" t="str">
        <f>IFERROR(__xludf.DUMMYFUNCTION("""COMPUTED_VALUE"""),"Close but not quite right")</f>
        <v>Close but not quite right</v>
      </c>
      <c r="E760" s="8" t="str">
        <f>IFERROR(__xludf.DUMMYFUNCTION("""COMPUTED_VALUE"""),"I really like these jeans, but order a size down. i'm typically a 14 and these were just too big. they stretch as it is and although they should have a baggier fit, they are just too baggie.")</f>
        <v>I really like these jeans, but order a size down. i'm typically a 14 and these were just too big. they stretch as it is and although they should have a baggier fit, they are just too baggie.</v>
      </c>
      <c r="F760" s="8">
        <f>IFERROR(__xludf.DUMMYFUNCTION("""COMPUTED_VALUE"""),4.0)</f>
        <v>4</v>
      </c>
      <c r="G760" s="8">
        <f>IFERROR(__xludf.DUMMYFUNCTION("""COMPUTED_VALUE"""),1.0)</f>
        <v>1</v>
      </c>
      <c r="H760" s="8">
        <f>IFERROR(__xludf.DUMMYFUNCTION("""COMPUTED_VALUE"""),0.0)</f>
        <v>0</v>
      </c>
      <c r="I760" s="8" t="str">
        <f>IFERROR(__xludf.DUMMYFUNCTION("""COMPUTED_VALUE"""),"General Petite")</f>
        <v>General Petite</v>
      </c>
      <c r="J760" s="8" t="str">
        <f>IFERROR(__xludf.DUMMYFUNCTION("""COMPUTED_VALUE"""),"Bottoms")</f>
        <v>Bottoms</v>
      </c>
      <c r="K760" s="8" t="str">
        <f>IFERROR(__xludf.DUMMYFUNCTION("""COMPUTED_VALUE"""),"Jeans")</f>
        <v>Jeans</v>
      </c>
    </row>
    <row r="761">
      <c r="A761" s="8">
        <f>IFERROR(__xludf.DUMMYFUNCTION("""COMPUTED_VALUE"""),988.0)</f>
        <v>988</v>
      </c>
      <c r="B761" s="8">
        <f>IFERROR(__xludf.DUMMYFUNCTION("""COMPUTED_VALUE"""),936.0)</f>
        <v>936</v>
      </c>
      <c r="C761" s="8">
        <f>IFERROR(__xludf.DUMMYFUNCTION("""COMPUTED_VALUE"""),31.0)</f>
        <v>31</v>
      </c>
      <c r="D761" s="8" t="str">
        <f>IFERROR(__xludf.DUMMYFUNCTION("""COMPUTED_VALUE"""),"Amazing!")</f>
        <v>Amazing!</v>
      </c>
      <c r="E761" s="8" t="str">
        <f>IFERROR(__xludf.DUMMYFUNCTION("""COMPUTED_VALUE"""),"This jacket is worth every penny! it is light enough to wear when like 55/60 out or good when it is in the 40s with a sweater underneath. the fit and design of the coat is amazing! i love the full collar look - that's my favorite detail of the jacket. lov"&amp;"ed the green so much, i bought the coral too! i normally wear a 12/14 in clothes and the large was perfect!")</f>
        <v>This jacket is worth every penny! it is light enough to wear when like 55/60 out or good when it is in the 40s with a sweater underneath. the fit and design of the coat is amazing! i love the full collar look - that's my favorite detail of the jacket. loved the green so much, i bought the coral too! i normally wear a 12/14 in clothes and the large was perfect!</v>
      </c>
      <c r="F761" s="8">
        <f>IFERROR(__xludf.DUMMYFUNCTION("""COMPUTED_VALUE"""),5.0)</f>
        <v>5</v>
      </c>
      <c r="G761" s="8">
        <f>IFERROR(__xludf.DUMMYFUNCTION("""COMPUTED_VALUE"""),1.0)</f>
        <v>1</v>
      </c>
      <c r="H761" s="8">
        <f>IFERROR(__xludf.DUMMYFUNCTION("""COMPUTED_VALUE"""),4.0)</f>
        <v>4</v>
      </c>
      <c r="I761" s="8" t="str">
        <f>IFERROR(__xludf.DUMMYFUNCTION("""COMPUTED_VALUE"""),"General")</f>
        <v>General</v>
      </c>
      <c r="J761" s="8" t="str">
        <f>IFERROR(__xludf.DUMMYFUNCTION("""COMPUTED_VALUE"""),"Tops")</f>
        <v>Tops</v>
      </c>
      <c r="K761" s="8" t="str">
        <f>IFERROR(__xludf.DUMMYFUNCTION("""COMPUTED_VALUE"""),"Sweaters")</f>
        <v>Sweaters</v>
      </c>
    </row>
    <row r="762">
      <c r="A762" s="8">
        <f>IFERROR(__xludf.DUMMYFUNCTION("""COMPUTED_VALUE"""),989.0)</f>
        <v>989</v>
      </c>
      <c r="B762" s="8">
        <f>IFERROR(__xludf.DUMMYFUNCTION("""COMPUTED_VALUE"""),936.0)</f>
        <v>936</v>
      </c>
      <c r="C762" s="8">
        <f>IFERROR(__xludf.DUMMYFUNCTION("""COMPUTED_VALUE"""),68.0)</f>
        <v>68</v>
      </c>
      <c r="D762" s="8" t="str">
        <f>IFERROR(__xludf.DUMMYFUNCTION("""COMPUTED_VALUE"""),"Versatile")</f>
        <v>Versatile</v>
      </c>
      <c r="E762" s="8" t="str">
        <f>IFERROR(__xludf.DUMMYFUNCTION("""COMPUTED_VALUE"""),"I ordered this coat in the ""pink"" color. actually, it is a coal color (papaya) and will be wonderful with gray, black, khaki, and great with animal print accessories. the fit is just as it looks online, no surprises. this coat is attractive buttoned or "&amp;"unbuttoned. the collar is just as attractive buttoned as unbuttoned. the boiled wool is light weight and has some stretch to it. (much softer than the boiled wool geiger jackets, for anyone who remembers them)
one concern: since the wool is light")</f>
        <v>I ordered this coat in the "pink" color. actually, it is a coal color (papaya) and will be wonderful with gray, black, khaki, and great with animal print accessories. the fit is just as it looks online, no surprises. this coat is attractive buttoned or unbuttoned. the collar is just as attractive buttoned as unbuttoned. the boiled wool is light weight and has some stretch to it. (much softer than the boiled wool geiger jackets, for anyone who remembers them)
one concern: since the wool is light</v>
      </c>
      <c r="F762" s="8">
        <f>IFERROR(__xludf.DUMMYFUNCTION("""COMPUTED_VALUE"""),5.0)</f>
        <v>5</v>
      </c>
      <c r="G762" s="8">
        <f>IFERROR(__xludf.DUMMYFUNCTION("""COMPUTED_VALUE"""),1.0)</f>
        <v>1</v>
      </c>
      <c r="H762" s="8">
        <f>IFERROR(__xludf.DUMMYFUNCTION("""COMPUTED_VALUE"""),4.0)</f>
        <v>4</v>
      </c>
      <c r="I762" s="8" t="str">
        <f>IFERROR(__xludf.DUMMYFUNCTION("""COMPUTED_VALUE"""),"General")</f>
        <v>General</v>
      </c>
      <c r="J762" s="8" t="str">
        <f>IFERROR(__xludf.DUMMYFUNCTION("""COMPUTED_VALUE"""),"Tops")</f>
        <v>Tops</v>
      </c>
      <c r="K762" s="8" t="str">
        <f>IFERROR(__xludf.DUMMYFUNCTION("""COMPUTED_VALUE"""),"Sweaters")</f>
        <v>Sweaters</v>
      </c>
    </row>
    <row r="763">
      <c r="A763" s="8">
        <f>IFERROR(__xludf.DUMMYFUNCTION("""COMPUTED_VALUE"""),990.0)</f>
        <v>990</v>
      </c>
      <c r="B763" s="8">
        <f>IFERROR(__xludf.DUMMYFUNCTION("""COMPUTED_VALUE"""),936.0)</f>
        <v>936</v>
      </c>
      <c r="C763" s="8">
        <f>IFERROR(__xludf.DUMMYFUNCTION("""COMPUTED_VALUE"""),65.0)</f>
        <v>65</v>
      </c>
      <c r="D763" s="8" t="str">
        <f>IFERROR(__xludf.DUMMYFUNCTION("""COMPUTED_VALUE"""),"Sweater, not a coat.. but amazing")</f>
        <v>Sweater, not a coat.. but amazing</v>
      </c>
      <c r="E763" s="8" t="str">
        <f>IFERROR(__xludf.DUMMYFUNCTION("""COMPUTED_VALUE"""),"Here's the thing: this is a sweatercoat. it's not a coat. it's not something i'll be able to wear independently by the end of november, though i'm enjoying doing so now. it's boiled wool, and not lined, and though it's cozy and warm enough for a morning w"&amp;"alk to the train in the high 40s, its role is going to end up being a mid layer. i'm also enjoying wearing it over both dresses and pants at work, serving as a kind of cardigan/blazer combination.
i purchased the pink, which i saw online first a")</f>
        <v>Here's the thing: this is a sweatercoat. it's not a coat. it's not something i'll be able to wear independently by the end of november, though i'm enjoying doing so now. it's boiled wool, and not lined, and though it's cozy and warm enough for a morning walk to the train in the high 40s, its role is going to end up being a mid layer. i'm also enjoying wearing it over both dresses and pants at work, serving as a kind of cardigan/blazer combination.
i purchased the pink, which i saw online first a</v>
      </c>
      <c r="F763" s="8">
        <f>IFERROR(__xludf.DUMMYFUNCTION("""COMPUTED_VALUE"""),5.0)</f>
        <v>5</v>
      </c>
      <c r="G763" s="8">
        <f>IFERROR(__xludf.DUMMYFUNCTION("""COMPUTED_VALUE"""),1.0)</f>
        <v>1</v>
      </c>
      <c r="H763" s="8">
        <f>IFERROR(__xludf.DUMMYFUNCTION("""COMPUTED_VALUE"""),11.0)</f>
        <v>11</v>
      </c>
      <c r="I763" s="8" t="str">
        <f>IFERROR(__xludf.DUMMYFUNCTION("""COMPUTED_VALUE"""),"General")</f>
        <v>General</v>
      </c>
      <c r="J763" s="8" t="str">
        <f>IFERROR(__xludf.DUMMYFUNCTION("""COMPUTED_VALUE"""),"Tops")</f>
        <v>Tops</v>
      </c>
      <c r="K763" s="8" t="str">
        <f>IFERROR(__xludf.DUMMYFUNCTION("""COMPUTED_VALUE"""),"Sweaters")</f>
        <v>Sweaters</v>
      </c>
    </row>
    <row r="764">
      <c r="A764" s="8">
        <f>IFERROR(__xludf.DUMMYFUNCTION("""COMPUTED_VALUE"""),991.0)</f>
        <v>991</v>
      </c>
      <c r="B764" s="8">
        <f>IFERROR(__xludf.DUMMYFUNCTION("""COMPUTED_VALUE"""),1033.0)</f>
        <v>1033</v>
      </c>
      <c r="C764" s="8">
        <f>IFERROR(__xludf.DUMMYFUNCTION("""COMPUTED_VALUE"""),51.0)</f>
        <v>51</v>
      </c>
      <c r="D764" s="8"/>
      <c r="E764" s="8" t="str">
        <f>IFERROR(__xludf.DUMMYFUNCTION("""COMPUTED_VALUE"""),"Best jeans ever! it's so hard to find a good petite jean. you shop and shiop and then pay $30 more to get them altered. the fit and length on these are perfect. love, love, love!!!")</f>
        <v>Best jeans ever! it's so hard to find a good petite jean. you shop and shiop and then pay $30 more to get them altered. the fit and length on these are perfect. love, love, love!!!</v>
      </c>
      <c r="F764" s="8">
        <f>IFERROR(__xludf.DUMMYFUNCTION("""COMPUTED_VALUE"""),5.0)</f>
        <v>5</v>
      </c>
      <c r="G764" s="8">
        <f>IFERROR(__xludf.DUMMYFUNCTION("""COMPUTED_VALUE"""),1.0)</f>
        <v>1</v>
      </c>
      <c r="H764" s="8">
        <f>IFERROR(__xludf.DUMMYFUNCTION("""COMPUTED_VALUE"""),0.0)</f>
        <v>0</v>
      </c>
      <c r="I764" s="8" t="str">
        <f>IFERROR(__xludf.DUMMYFUNCTION("""COMPUTED_VALUE"""),"General Petite")</f>
        <v>General Petite</v>
      </c>
      <c r="J764" s="8" t="str">
        <f>IFERROR(__xludf.DUMMYFUNCTION("""COMPUTED_VALUE"""),"Bottoms")</f>
        <v>Bottoms</v>
      </c>
      <c r="K764" s="8" t="str">
        <f>IFERROR(__xludf.DUMMYFUNCTION("""COMPUTED_VALUE"""),"Jeans")</f>
        <v>Jeans</v>
      </c>
    </row>
    <row r="765">
      <c r="A765" s="8">
        <f>IFERROR(__xludf.DUMMYFUNCTION("""COMPUTED_VALUE"""),995.0)</f>
        <v>995</v>
      </c>
      <c r="B765" s="8">
        <f>IFERROR(__xludf.DUMMYFUNCTION("""COMPUTED_VALUE"""),1047.0)</f>
        <v>1047</v>
      </c>
      <c r="C765" s="8">
        <f>IFERROR(__xludf.DUMMYFUNCTION("""COMPUTED_VALUE"""),70.0)</f>
        <v>70</v>
      </c>
      <c r="D765" s="8"/>
      <c r="E765" s="8" t="str">
        <f>IFERROR(__xludf.DUMMYFUNCTION("""COMPUTED_VALUE"""),"Received these as a christmas gift from my daughter. just wonderful - warm and cozy and cute. size m is just a tad baggy; i'm sure i could have worn small, but no matter. i wear these often and love them! such a treat!")</f>
        <v>Received these as a christmas gift from my daughter. just wonderful - warm and cozy and cute. size m is just a tad baggy; i'm sure i could have worn small, but no matter. i wear these often and love them! such a treat!</v>
      </c>
      <c r="F765" s="8">
        <f>IFERROR(__xludf.DUMMYFUNCTION("""COMPUTED_VALUE"""),5.0)</f>
        <v>5</v>
      </c>
      <c r="G765" s="8">
        <f>IFERROR(__xludf.DUMMYFUNCTION("""COMPUTED_VALUE"""),1.0)</f>
        <v>1</v>
      </c>
      <c r="H765" s="8">
        <f>IFERROR(__xludf.DUMMYFUNCTION("""COMPUTED_VALUE"""),3.0)</f>
        <v>3</v>
      </c>
      <c r="I765" s="8" t="str">
        <f>IFERROR(__xludf.DUMMYFUNCTION("""COMPUTED_VALUE"""),"General")</f>
        <v>General</v>
      </c>
      <c r="J765" s="8" t="str">
        <f>IFERROR(__xludf.DUMMYFUNCTION("""COMPUTED_VALUE"""),"Bottoms")</f>
        <v>Bottoms</v>
      </c>
      <c r="K765" s="8" t="str">
        <f>IFERROR(__xludf.DUMMYFUNCTION("""COMPUTED_VALUE"""),"Pants")</f>
        <v>Pants</v>
      </c>
    </row>
    <row r="766">
      <c r="A766" s="8">
        <f>IFERROR(__xludf.DUMMYFUNCTION("""COMPUTED_VALUE"""),996.0)</f>
        <v>996</v>
      </c>
      <c r="B766" s="8">
        <f>IFERROR(__xludf.DUMMYFUNCTION("""COMPUTED_VALUE"""),936.0)</f>
        <v>936</v>
      </c>
      <c r="C766" s="8">
        <f>IFERROR(__xludf.DUMMYFUNCTION("""COMPUTED_VALUE"""),37.0)</f>
        <v>37</v>
      </c>
      <c r="D766" s="8" t="str">
        <f>IFERROR(__xludf.DUMMYFUNCTION("""COMPUTED_VALUE"""),"Gorgeous!!!")</f>
        <v>Gorgeous!!!</v>
      </c>
      <c r="E766" s="8" t="str">
        <f>IFERROR(__xludf.DUMMYFUNCTION("""COMPUTED_VALUE"""),"Every year around this time, our beloved retailer comes out with a wool sweater coat. i've seen every style over the last five years and this year they have outdone themselves!!! this coat is a dream. not too thin and not too thick...it's the perfect laye"&amp;"ring piece. the fabric has perfect stretch in it. the colors are lovely (i ended up with the cream color, but i loved the green too!!) in many sweater coats i prefer an xl, but because of the stretch the l was just perfect. i'm 5'8 and it hits wel")</f>
        <v>Every year around this time, our beloved retailer comes out with a wool sweater coat. i've seen every style over the last five years and this year they have outdone themselves!!! this coat is a dream. not too thin and not too thick...it's the perfect layering piece. the fabric has perfect stretch in it. the colors are lovely (i ended up with the cream color, but i loved the green too!!) in many sweater coats i prefer an xl, but because of the stretch the l was just perfect. i'm 5'8 and it hits wel</v>
      </c>
      <c r="F766" s="8">
        <f>IFERROR(__xludf.DUMMYFUNCTION("""COMPUTED_VALUE"""),5.0)</f>
        <v>5</v>
      </c>
      <c r="G766" s="8">
        <f>IFERROR(__xludf.DUMMYFUNCTION("""COMPUTED_VALUE"""),1.0)</f>
        <v>1</v>
      </c>
      <c r="H766" s="8">
        <f>IFERROR(__xludf.DUMMYFUNCTION("""COMPUTED_VALUE"""),8.0)</f>
        <v>8</v>
      </c>
      <c r="I766" s="8" t="str">
        <f>IFERROR(__xludf.DUMMYFUNCTION("""COMPUTED_VALUE"""),"General")</f>
        <v>General</v>
      </c>
      <c r="J766" s="8" t="str">
        <f>IFERROR(__xludf.DUMMYFUNCTION("""COMPUTED_VALUE"""),"Tops")</f>
        <v>Tops</v>
      </c>
      <c r="K766" s="8" t="str">
        <f>IFERROR(__xludf.DUMMYFUNCTION("""COMPUTED_VALUE"""),"Sweaters")</f>
        <v>Sweaters</v>
      </c>
    </row>
    <row r="767">
      <c r="A767" s="8">
        <f>IFERROR(__xludf.DUMMYFUNCTION("""COMPUTED_VALUE"""),997.0)</f>
        <v>997</v>
      </c>
      <c r="B767" s="8">
        <f>IFERROR(__xludf.DUMMYFUNCTION("""COMPUTED_VALUE"""),936.0)</f>
        <v>936</v>
      </c>
      <c r="C767" s="8">
        <f>IFERROR(__xludf.DUMMYFUNCTION("""COMPUTED_VALUE"""),36.0)</f>
        <v>36</v>
      </c>
      <c r="D767" s="8" t="str">
        <f>IFERROR(__xludf.DUMMYFUNCTION("""COMPUTED_VALUE"""),"Gorgeous")</f>
        <v>Gorgeous</v>
      </c>
      <c r="E767" s="8" t="str">
        <f>IFERROR(__xludf.DUMMYFUNCTION("""COMPUTED_VALUE"""),"I tried on this sweater in the store and immediately ordered my size. i got the petite small in natural delivered to my door several days later and am extremely pleased. the fit is roomy enough to layer, but not too large or boxy. the wool is fluffy and l"&amp;"uxurious and has terrific appeal. i get compliments every time i wear it...""classic,"" ""fancy,"" ""jackie o."" are all terms i heard used to describe my favorite new sweater. the coat is made from a medium weight wool and is probably not meant for e")</f>
        <v>I tried on this sweater in the store and immediately ordered my size. i got the petite small in natural delivered to my door several days later and am extremely pleased. the fit is roomy enough to layer, but not too large or boxy. the wool is fluffy and luxurious and has terrific appeal. i get compliments every time i wear it..."classic," "fancy," "jackie o." are all terms i heard used to describe my favorite new sweater. the coat is made from a medium weight wool and is probably not meant for e</v>
      </c>
      <c r="F767" s="8">
        <f>IFERROR(__xludf.DUMMYFUNCTION("""COMPUTED_VALUE"""),5.0)</f>
        <v>5</v>
      </c>
      <c r="G767" s="8">
        <f>IFERROR(__xludf.DUMMYFUNCTION("""COMPUTED_VALUE"""),1.0)</f>
        <v>1</v>
      </c>
      <c r="H767" s="8">
        <f>IFERROR(__xludf.DUMMYFUNCTION("""COMPUTED_VALUE"""),1.0)</f>
        <v>1</v>
      </c>
      <c r="I767" s="8" t="str">
        <f>IFERROR(__xludf.DUMMYFUNCTION("""COMPUTED_VALUE"""),"General")</f>
        <v>General</v>
      </c>
      <c r="J767" s="8" t="str">
        <f>IFERROR(__xludf.DUMMYFUNCTION("""COMPUTED_VALUE"""),"Tops")</f>
        <v>Tops</v>
      </c>
      <c r="K767" s="8" t="str">
        <f>IFERROR(__xludf.DUMMYFUNCTION("""COMPUTED_VALUE"""),"Sweaters")</f>
        <v>Sweaters</v>
      </c>
    </row>
    <row r="768">
      <c r="A768" s="8">
        <f>IFERROR(__xludf.DUMMYFUNCTION("""COMPUTED_VALUE"""),998.0)</f>
        <v>998</v>
      </c>
      <c r="B768" s="8">
        <f>IFERROR(__xludf.DUMMYFUNCTION("""COMPUTED_VALUE"""),854.0)</f>
        <v>854</v>
      </c>
      <c r="C768" s="8">
        <f>IFERROR(__xludf.DUMMYFUNCTION("""COMPUTED_VALUE"""),29.0)</f>
        <v>29</v>
      </c>
      <c r="D768" s="8" t="str">
        <f>IFERROR(__xludf.DUMMYFUNCTION("""COMPUTED_VALUE"""),"So soft!")</f>
        <v>So soft!</v>
      </c>
      <c r="E768" s="8" t="str">
        <f>IFERROR(__xludf.DUMMYFUNCTION("""COMPUTED_VALUE"""),"Super soft and comfortable. runs a little large. very cozy.")</f>
        <v>Super soft and comfortable. runs a little large. very cozy.</v>
      </c>
      <c r="F768" s="8">
        <f>IFERROR(__xludf.DUMMYFUNCTION("""COMPUTED_VALUE"""),5.0)</f>
        <v>5</v>
      </c>
      <c r="G768" s="8">
        <f>IFERROR(__xludf.DUMMYFUNCTION("""COMPUTED_VALUE"""),1.0)</f>
        <v>1</v>
      </c>
      <c r="H768" s="8">
        <f>IFERROR(__xludf.DUMMYFUNCTION("""COMPUTED_VALUE"""),0.0)</f>
        <v>0</v>
      </c>
      <c r="I768" s="8" t="str">
        <f>IFERROR(__xludf.DUMMYFUNCTION("""COMPUTED_VALUE"""),"General Petite")</f>
        <v>General Petite</v>
      </c>
      <c r="J768" s="8" t="str">
        <f>IFERROR(__xludf.DUMMYFUNCTION("""COMPUTED_VALUE"""),"Tops")</f>
        <v>Tops</v>
      </c>
      <c r="K768" s="8" t="str">
        <f>IFERROR(__xludf.DUMMYFUNCTION("""COMPUTED_VALUE"""),"Knits")</f>
        <v>Knits</v>
      </c>
    </row>
    <row r="769">
      <c r="A769" s="8">
        <f>IFERROR(__xludf.DUMMYFUNCTION("""COMPUTED_VALUE"""),999.0)</f>
        <v>999</v>
      </c>
      <c r="B769" s="8">
        <f>IFERROR(__xludf.DUMMYFUNCTION("""COMPUTED_VALUE"""),936.0)</f>
        <v>936</v>
      </c>
      <c r="C769" s="8">
        <f>IFERROR(__xludf.DUMMYFUNCTION("""COMPUTED_VALUE"""),34.0)</f>
        <v>34</v>
      </c>
      <c r="D769" s="8" t="str">
        <f>IFERROR(__xludf.DUMMYFUNCTION("""COMPUTED_VALUE"""),"Love this lightweight coat!")</f>
        <v>Love this lightweight coat!</v>
      </c>
      <c r="E769" s="8" t="str">
        <f>IFERROR(__xludf.DUMMYFUNCTION("""COMPUTED_VALUE"""),"Wear the collar down &amp; it favors grace kelly. pull it up and it's an oversized hood. this lightweight cozy piece combines everything i love about a sweater &amp; a coat in one.")</f>
        <v>Wear the collar down &amp; it favors grace kelly. pull it up and it's an oversized hood. this lightweight cozy piece combines everything i love about a sweater &amp; a coat in one.</v>
      </c>
      <c r="F769" s="8">
        <f>IFERROR(__xludf.DUMMYFUNCTION("""COMPUTED_VALUE"""),5.0)</f>
        <v>5</v>
      </c>
      <c r="G769" s="8">
        <f>IFERROR(__xludf.DUMMYFUNCTION("""COMPUTED_VALUE"""),1.0)</f>
        <v>1</v>
      </c>
      <c r="H769" s="8">
        <f>IFERROR(__xludf.DUMMYFUNCTION("""COMPUTED_VALUE"""),2.0)</f>
        <v>2</v>
      </c>
      <c r="I769" s="8" t="str">
        <f>IFERROR(__xludf.DUMMYFUNCTION("""COMPUTED_VALUE"""),"General")</f>
        <v>General</v>
      </c>
      <c r="J769" s="8" t="str">
        <f>IFERROR(__xludf.DUMMYFUNCTION("""COMPUTED_VALUE"""),"Tops")</f>
        <v>Tops</v>
      </c>
      <c r="K769" s="8" t="str">
        <f>IFERROR(__xludf.DUMMYFUNCTION("""COMPUTED_VALUE"""),"Sweaters")</f>
        <v>Sweaters</v>
      </c>
    </row>
    <row r="770">
      <c r="A770" s="8">
        <f>IFERROR(__xludf.DUMMYFUNCTION("""COMPUTED_VALUE"""),1000.0)</f>
        <v>1000</v>
      </c>
      <c r="B770" s="8">
        <f>IFERROR(__xludf.DUMMYFUNCTION("""COMPUTED_VALUE"""),154.0)</f>
        <v>154</v>
      </c>
      <c r="C770" s="8">
        <f>IFERROR(__xludf.DUMMYFUNCTION("""COMPUTED_VALUE"""),48.0)</f>
        <v>48</v>
      </c>
      <c r="D770" s="8" t="str">
        <f>IFERROR(__xludf.DUMMYFUNCTION("""COMPUTED_VALUE"""),"Soft &amp; warm")</f>
        <v>Soft &amp; warm</v>
      </c>
      <c r="E770" s="8" t="str">
        <f>IFERROR(__xludf.DUMMYFUNCTION("""COMPUTED_VALUE"""),"Warn and super soft. love it !")</f>
        <v>Warn and super soft. love it !</v>
      </c>
      <c r="F770" s="8">
        <f>IFERROR(__xludf.DUMMYFUNCTION("""COMPUTED_VALUE"""),5.0)</f>
        <v>5</v>
      </c>
      <c r="G770" s="8">
        <f>IFERROR(__xludf.DUMMYFUNCTION("""COMPUTED_VALUE"""),1.0)</f>
        <v>1</v>
      </c>
      <c r="H770" s="8">
        <f>IFERROR(__xludf.DUMMYFUNCTION("""COMPUTED_VALUE"""),0.0)</f>
        <v>0</v>
      </c>
      <c r="I770" s="8" t="str">
        <f>IFERROR(__xludf.DUMMYFUNCTION("""COMPUTED_VALUE"""),"Initmates")</f>
        <v>Initmates</v>
      </c>
      <c r="J770" s="8" t="str">
        <f>IFERROR(__xludf.DUMMYFUNCTION("""COMPUTED_VALUE"""),"Intimate")</f>
        <v>Intimate</v>
      </c>
      <c r="K770" s="8" t="str">
        <f>IFERROR(__xludf.DUMMYFUNCTION("""COMPUTED_VALUE"""),"Sleep")</f>
        <v>Sleep</v>
      </c>
    </row>
    <row r="771">
      <c r="A771" s="8">
        <f>IFERROR(__xludf.DUMMYFUNCTION("""COMPUTED_VALUE"""),1001.0)</f>
        <v>1001</v>
      </c>
      <c r="B771" s="8">
        <f>IFERROR(__xludf.DUMMYFUNCTION("""COMPUTED_VALUE"""),1033.0)</f>
        <v>1033</v>
      </c>
      <c r="C771" s="8">
        <f>IFERROR(__xludf.DUMMYFUNCTION("""COMPUTED_VALUE"""),63.0)</f>
        <v>63</v>
      </c>
      <c r="D771" s="8" t="str">
        <f>IFERROR(__xludf.DUMMYFUNCTION("""COMPUTED_VALUE"""),"Love at first fit")</f>
        <v>Love at first fit</v>
      </c>
      <c r="E771" s="8" t="str">
        <f>IFERROR(__xludf.DUMMYFUNCTION("""COMPUTED_VALUE"""),"Love the high waist, prewashed softness, and relaxed fit. i normally wear a 27 in pilcro but sized down to a 26. for the first time in ages i have a pair of jeans that won's slide down because of the high waistline. i would never tuck anything in so it do"&amp;"esn't matter that it's high waisted but i don't have to worry about them sliding down over my muffin top. worth every penny.")</f>
        <v>Love the high waist, prewashed softness, and relaxed fit. i normally wear a 27 in pilcro but sized down to a 26. for the first time in ages i have a pair of jeans that won's slide down because of the high waistline. i would never tuck anything in so it doesn't matter that it's high waisted but i don't have to worry about them sliding down over my muffin top. worth every penny.</v>
      </c>
      <c r="F771" s="8">
        <f>IFERROR(__xludf.DUMMYFUNCTION("""COMPUTED_VALUE"""),5.0)</f>
        <v>5</v>
      </c>
      <c r="G771" s="8">
        <f>IFERROR(__xludf.DUMMYFUNCTION("""COMPUTED_VALUE"""),1.0)</f>
        <v>1</v>
      </c>
      <c r="H771" s="8">
        <f>IFERROR(__xludf.DUMMYFUNCTION("""COMPUTED_VALUE"""),10.0)</f>
        <v>10</v>
      </c>
      <c r="I771" s="8" t="str">
        <f>IFERROR(__xludf.DUMMYFUNCTION("""COMPUTED_VALUE"""),"General Petite")</f>
        <v>General Petite</v>
      </c>
      <c r="J771" s="8" t="str">
        <f>IFERROR(__xludf.DUMMYFUNCTION("""COMPUTED_VALUE"""),"Bottoms")</f>
        <v>Bottoms</v>
      </c>
      <c r="K771" s="8" t="str">
        <f>IFERROR(__xludf.DUMMYFUNCTION("""COMPUTED_VALUE"""),"Jeans")</f>
        <v>Jeans</v>
      </c>
    </row>
    <row r="772">
      <c r="A772" s="8">
        <f>IFERROR(__xludf.DUMMYFUNCTION("""COMPUTED_VALUE"""),1002.0)</f>
        <v>1002</v>
      </c>
      <c r="B772" s="8">
        <f>IFERROR(__xludf.DUMMYFUNCTION("""COMPUTED_VALUE"""),1033.0)</f>
        <v>1033</v>
      </c>
      <c r="C772" s="8">
        <f>IFERROR(__xludf.DUMMYFUNCTION("""COMPUTED_VALUE"""),49.0)</f>
        <v>49</v>
      </c>
      <c r="D772" s="8" t="str">
        <f>IFERROR(__xludf.DUMMYFUNCTION("""COMPUTED_VALUE"""),"Nice quality")</f>
        <v>Nice quality</v>
      </c>
      <c r="E772" s="8" t="str">
        <f>IFERROR(__xludf.DUMMYFUNCTION("""COMPUTED_VALUE"""),"Nice jeans, but had to return. too tight in hips/thighs and big in waist.")</f>
        <v>Nice jeans, but had to return. too tight in hips/thighs and big in waist.</v>
      </c>
      <c r="F772" s="8">
        <f>IFERROR(__xludf.DUMMYFUNCTION("""COMPUTED_VALUE"""),4.0)</f>
        <v>4</v>
      </c>
      <c r="G772" s="8">
        <f>IFERROR(__xludf.DUMMYFUNCTION("""COMPUTED_VALUE"""),1.0)</f>
        <v>1</v>
      </c>
      <c r="H772" s="8">
        <f>IFERROR(__xludf.DUMMYFUNCTION("""COMPUTED_VALUE"""),0.0)</f>
        <v>0</v>
      </c>
      <c r="I772" s="8" t="str">
        <f>IFERROR(__xludf.DUMMYFUNCTION("""COMPUTED_VALUE"""),"General Petite")</f>
        <v>General Petite</v>
      </c>
      <c r="J772" s="8" t="str">
        <f>IFERROR(__xludf.DUMMYFUNCTION("""COMPUTED_VALUE"""),"Bottoms")</f>
        <v>Bottoms</v>
      </c>
      <c r="K772" s="8" t="str">
        <f>IFERROR(__xludf.DUMMYFUNCTION("""COMPUTED_VALUE"""),"Jeans")</f>
        <v>Jeans</v>
      </c>
    </row>
    <row r="773">
      <c r="A773" s="8">
        <f>IFERROR(__xludf.DUMMYFUNCTION("""COMPUTED_VALUE"""),1004.0)</f>
        <v>1004</v>
      </c>
      <c r="B773" s="8">
        <f>IFERROR(__xludf.DUMMYFUNCTION("""COMPUTED_VALUE"""),1094.0)</f>
        <v>1094</v>
      </c>
      <c r="C773" s="8">
        <f>IFERROR(__xludf.DUMMYFUNCTION("""COMPUTED_VALUE"""),30.0)</f>
        <v>30</v>
      </c>
      <c r="D773" s="8"/>
      <c r="E773" s="8"/>
      <c r="F773" s="8">
        <f>IFERROR(__xludf.DUMMYFUNCTION("""COMPUTED_VALUE"""),5.0)</f>
        <v>5</v>
      </c>
      <c r="G773" s="8">
        <f>IFERROR(__xludf.DUMMYFUNCTION("""COMPUTED_VALUE"""),1.0)</f>
        <v>1</v>
      </c>
      <c r="H773" s="8">
        <f>IFERROR(__xludf.DUMMYFUNCTION("""COMPUTED_VALUE"""),0.0)</f>
        <v>0</v>
      </c>
      <c r="I773" s="8" t="str">
        <f>IFERROR(__xludf.DUMMYFUNCTION("""COMPUTED_VALUE"""),"General")</f>
        <v>General</v>
      </c>
      <c r="J773" s="8" t="str">
        <f>IFERROR(__xludf.DUMMYFUNCTION("""COMPUTED_VALUE"""),"Dresses")</f>
        <v>Dresses</v>
      </c>
      <c r="K773" s="8" t="str">
        <f>IFERROR(__xludf.DUMMYFUNCTION("""COMPUTED_VALUE"""),"Dresses")</f>
        <v>Dresses</v>
      </c>
    </row>
    <row r="774">
      <c r="A774" s="8">
        <f>IFERROR(__xludf.DUMMYFUNCTION("""COMPUTED_VALUE"""),1005.0)</f>
        <v>1005</v>
      </c>
      <c r="B774" s="8">
        <f>IFERROR(__xludf.DUMMYFUNCTION("""COMPUTED_VALUE"""),936.0)</f>
        <v>936</v>
      </c>
      <c r="C774" s="8">
        <f>IFERROR(__xludf.DUMMYFUNCTION("""COMPUTED_VALUE"""),35.0)</f>
        <v>35</v>
      </c>
      <c r="D774" s="8" t="str">
        <f>IFERROR(__xludf.DUMMYFUNCTION("""COMPUTED_VALUE"""),"Super comfortable but big")</f>
        <v>Super comfortable but big</v>
      </c>
      <c r="E774" s="8" t="str">
        <f>IFERROR(__xludf.DUMMYFUNCTION("""COMPUTED_VALUE"""),"I am 5'8 154 pounds and ordered a medium. the coat is a bit bigger than expected and should have gone down a size. i'm keeping this size however because it is incredibly comfortable, roomy and perfect for mild winters. the wool does keep you warm in 50 de"&amp;"gree weather.")</f>
        <v>I am 5'8 154 pounds and ordered a medium. the coat is a bit bigger than expected and should have gone down a size. i'm keeping this size however because it is incredibly comfortable, roomy and perfect for mild winters. the wool does keep you warm in 50 degree weather.</v>
      </c>
      <c r="F774" s="8">
        <f>IFERROR(__xludf.DUMMYFUNCTION("""COMPUTED_VALUE"""),4.0)</f>
        <v>4</v>
      </c>
      <c r="G774" s="8">
        <f>IFERROR(__xludf.DUMMYFUNCTION("""COMPUTED_VALUE"""),1.0)</f>
        <v>1</v>
      </c>
      <c r="H774" s="8">
        <f>IFERROR(__xludf.DUMMYFUNCTION("""COMPUTED_VALUE"""),0.0)</f>
        <v>0</v>
      </c>
      <c r="I774" s="8" t="str">
        <f>IFERROR(__xludf.DUMMYFUNCTION("""COMPUTED_VALUE"""),"General")</f>
        <v>General</v>
      </c>
      <c r="J774" s="8" t="str">
        <f>IFERROR(__xludf.DUMMYFUNCTION("""COMPUTED_VALUE"""),"Tops")</f>
        <v>Tops</v>
      </c>
      <c r="K774" s="8" t="str">
        <f>IFERROR(__xludf.DUMMYFUNCTION("""COMPUTED_VALUE"""),"Sweaters")</f>
        <v>Sweaters</v>
      </c>
    </row>
    <row r="775">
      <c r="A775" s="8">
        <f>IFERROR(__xludf.DUMMYFUNCTION("""COMPUTED_VALUE"""),1006.0)</f>
        <v>1006</v>
      </c>
      <c r="B775" s="8">
        <f>IFERROR(__xludf.DUMMYFUNCTION("""COMPUTED_VALUE"""),936.0)</f>
        <v>936</v>
      </c>
      <c r="C775" s="8">
        <f>IFERROR(__xludf.DUMMYFUNCTION("""COMPUTED_VALUE"""),83.0)</f>
        <v>83</v>
      </c>
      <c r="D775" s="8" t="str">
        <f>IFERROR(__xludf.DUMMYFUNCTION("""COMPUTED_VALUE"""),"In love")</f>
        <v>In love</v>
      </c>
      <c r="E775" s="8" t="str">
        <f>IFERROR(__xludf.DUMMYFUNCTION("""COMPUTED_VALUE"""),"I saw this and tried to wait for it to go on sale, but it sold so fast, i wanted the black and i check everyday until they had my size, i love this coat main because of the wait it goes around the neck since i am not a scarf person, this is very cute, im "&amp;"glad i got it, even at the full price.")</f>
        <v>I saw this and tried to wait for it to go on sale, but it sold so fast, i wanted the black and i check everyday until they had my size, i love this coat main because of the wait it goes around the neck since i am not a scarf person, this is very cute, im glad i got it, even at the full price.</v>
      </c>
      <c r="F775" s="8">
        <f>IFERROR(__xludf.DUMMYFUNCTION("""COMPUTED_VALUE"""),5.0)</f>
        <v>5</v>
      </c>
      <c r="G775" s="8">
        <f>IFERROR(__xludf.DUMMYFUNCTION("""COMPUTED_VALUE"""),1.0)</f>
        <v>1</v>
      </c>
      <c r="H775" s="8">
        <f>IFERROR(__xludf.DUMMYFUNCTION("""COMPUTED_VALUE"""),0.0)</f>
        <v>0</v>
      </c>
      <c r="I775" s="8" t="str">
        <f>IFERROR(__xludf.DUMMYFUNCTION("""COMPUTED_VALUE"""),"General")</f>
        <v>General</v>
      </c>
      <c r="J775" s="8" t="str">
        <f>IFERROR(__xludf.DUMMYFUNCTION("""COMPUTED_VALUE"""),"Tops")</f>
        <v>Tops</v>
      </c>
      <c r="K775" s="8" t="str">
        <f>IFERROR(__xludf.DUMMYFUNCTION("""COMPUTED_VALUE"""),"Sweaters")</f>
        <v>Sweaters</v>
      </c>
    </row>
    <row r="776">
      <c r="A776" s="8">
        <f>IFERROR(__xludf.DUMMYFUNCTION("""COMPUTED_VALUE"""),1007.0)</f>
        <v>1007</v>
      </c>
      <c r="B776" s="8">
        <f>IFERROR(__xludf.DUMMYFUNCTION("""COMPUTED_VALUE"""),1047.0)</f>
        <v>1047</v>
      </c>
      <c r="C776" s="8">
        <f>IFERROR(__xludf.DUMMYFUNCTION("""COMPUTED_VALUE"""),67.0)</f>
        <v>67</v>
      </c>
      <c r="D776" s="8" t="str">
        <f>IFERROR(__xludf.DUMMYFUNCTION("""COMPUTED_VALUE"""),"Love. love. love")</f>
        <v>Love. love. love</v>
      </c>
      <c r="E776" s="8" t="str">
        <f>IFERROR(__xludf.DUMMYFUNCTION("""COMPUTED_VALUE"""),"These joggers are gorgeous--you can even dress them up! the quality and softness is amazing and very expensive looking. the fit is perfect not to mention the fact that they are very flattering.
really, i knew the minute i saw them, i would love them. but,"&amp;" i do have to say that the lovely model
wearing them ---the model with the wine colored shirt and the awesome red bag (i bought that too!!!)and that big smile sold me!. many thanks to retailer--personal stylists carolyn and blair. always so helpfu")</f>
        <v>These joggers are gorgeous--you can even dress them up! the quality and softness is amazing and very expensive looking. the fit is perfect not to mention the fact that they are very flattering.
really, i knew the minute i saw them, i would love them. but, i do have to say that the lovely model
wearing them ---the model with the wine colored shirt and the awesome red bag (i bought that too!!!)and that big smile sold me!. many thanks to retailer--personal stylists carolyn and blair. always so helpfu</v>
      </c>
      <c r="F776" s="8">
        <f>IFERROR(__xludf.DUMMYFUNCTION("""COMPUTED_VALUE"""),5.0)</f>
        <v>5</v>
      </c>
      <c r="G776" s="8">
        <f>IFERROR(__xludf.DUMMYFUNCTION("""COMPUTED_VALUE"""),1.0)</f>
        <v>1</v>
      </c>
      <c r="H776" s="8">
        <f>IFERROR(__xludf.DUMMYFUNCTION("""COMPUTED_VALUE"""),4.0)</f>
        <v>4</v>
      </c>
      <c r="I776" s="8" t="str">
        <f>IFERROR(__xludf.DUMMYFUNCTION("""COMPUTED_VALUE"""),"General")</f>
        <v>General</v>
      </c>
      <c r="J776" s="8" t="str">
        <f>IFERROR(__xludf.DUMMYFUNCTION("""COMPUTED_VALUE"""),"Bottoms")</f>
        <v>Bottoms</v>
      </c>
      <c r="K776" s="8" t="str">
        <f>IFERROR(__xludf.DUMMYFUNCTION("""COMPUTED_VALUE"""),"Pants")</f>
        <v>Pants</v>
      </c>
    </row>
    <row r="777">
      <c r="A777" s="8">
        <f>IFERROR(__xludf.DUMMYFUNCTION("""COMPUTED_VALUE"""),1008.0)</f>
        <v>1008</v>
      </c>
      <c r="B777" s="8">
        <f>IFERROR(__xludf.DUMMYFUNCTION("""COMPUTED_VALUE"""),1094.0)</f>
        <v>1094</v>
      </c>
      <c r="C777" s="8">
        <f>IFERROR(__xludf.DUMMYFUNCTION("""COMPUTED_VALUE"""),39.0)</f>
        <v>39</v>
      </c>
      <c r="D777" s="8" t="str">
        <f>IFERROR(__xludf.DUMMYFUNCTION("""COMPUTED_VALUE"""),"Warm")</f>
        <v>Warm</v>
      </c>
      <c r="E777" s="8" t="str">
        <f>IFERROR(__xludf.DUMMYFUNCTION("""COMPUTED_VALUE"""),"I love sweater knit dresses and this the first one i've owned with a flare style that works. pattern placement is gorgeously done and is very slimming in a non-obvious way. i think the fabric is soft and warm. i wish the scoop neckline was a tad bit highe"&amp;"r from a modesty standpoint. you may want to size down if you're not busty. i am 5'3"" and m petite was the perfect length on me. shout out to the reno distribution center for getting this amazing dress to me in 1.5 days?!?!?!!!")</f>
        <v>I love sweater knit dresses and this the first one i've owned with a flare style that works. pattern placement is gorgeously done and is very slimming in a non-obvious way. i think the fabric is soft and warm. i wish the scoop neckline was a tad bit higher from a modesty standpoint. you may want to size down if you're not busty. i am 5'3" and m petite was the perfect length on me. shout out to the reno distribution center for getting this amazing dress to me in 1.5 days?!?!?!!!</v>
      </c>
      <c r="F777" s="8">
        <f>IFERROR(__xludf.DUMMYFUNCTION("""COMPUTED_VALUE"""),5.0)</f>
        <v>5</v>
      </c>
      <c r="G777" s="8">
        <f>IFERROR(__xludf.DUMMYFUNCTION("""COMPUTED_VALUE"""),1.0)</f>
        <v>1</v>
      </c>
      <c r="H777" s="8">
        <f>IFERROR(__xludf.DUMMYFUNCTION("""COMPUTED_VALUE"""),2.0)</f>
        <v>2</v>
      </c>
      <c r="I777" s="8" t="str">
        <f>IFERROR(__xludf.DUMMYFUNCTION("""COMPUTED_VALUE"""),"General")</f>
        <v>General</v>
      </c>
      <c r="J777" s="8" t="str">
        <f>IFERROR(__xludf.DUMMYFUNCTION("""COMPUTED_VALUE"""),"Dresses")</f>
        <v>Dresses</v>
      </c>
      <c r="K777" s="8" t="str">
        <f>IFERROR(__xludf.DUMMYFUNCTION("""COMPUTED_VALUE"""),"Dresses")</f>
        <v>Dresses</v>
      </c>
    </row>
    <row r="778">
      <c r="A778" s="8">
        <f>IFERROR(__xludf.DUMMYFUNCTION("""COMPUTED_VALUE"""),1009.0)</f>
        <v>1009</v>
      </c>
      <c r="B778" s="8">
        <f>IFERROR(__xludf.DUMMYFUNCTION("""COMPUTED_VALUE"""),936.0)</f>
        <v>936</v>
      </c>
      <c r="C778" s="8">
        <f>IFERROR(__xludf.DUMMYFUNCTION("""COMPUTED_VALUE"""),39.0)</f>
        <v>39</v>
      </c>
      <c r="D778" s="8" t="str">
        <f>IFERROR(__xludf.DUMMYFUNCTION("""COMPUTED_VALUE"""),"Owned in 3 sizes 3 colors all great")</f>
        <v>Owned in 3 sizes 3 colors all great</v>
      </c>
      <c r="E778" s="8" t="str">
        <f>IFERROR(__xludf.DUMMYFUNCTION("""COMPUTED_VALUE"""),"I have this wonderful sweater coat in three sizes (s,sp,m) in the coral, green")</f>
        <v>I have this wonderful sweater coat in three sizes (s,sp,m) in the coral, green</v>
      </c>
      <c r="F778" s="8">
        <f>IFERROR(__xludf.DUMMYFUNCTION("""COMPUTED_VALUE"""),5.0)</f>
        <v>5</v>
      </c>
      <c r="G778" s="8">
        <f>IFERROR(__xludf.DUMMYFUNCTION("""COMPUTED_VALUE"""),1.0)</f>
        <v>1</v>
      </c>
      <c r="H778" s="8">
        <f>IFERROR(__xludf.DUMMYFUNCTION("""COMPUTED_VALUE"""),0.0)</f>
        <v>0</v>
      </c>
      <c r="I778" s="8" t="str">
        <f>IFERROR(__xludf.DUMMYFUNCTION("""COMPUTED_VALUE"""),"General")</f>
        <v>General</v>
      </c>
      <c r="J778" s="8" t="str">
        <f>IFERROR(__xludf.DUMMYFUNCTION("""COMPUTED_VALUE"""),"Tops")</f>
        <v>Tops</v>
      </c>
      <c r="K778" s="8" t="str">
        <f>IFERROR(__xludf.DUMMYFUNCTION("""COMPUTED_VALUE"""),"Sweaters")</f>
        <v>Sweaters</v>
      </c>
    </row>
    <row r="779">
      <c r="A779" s="8">
        <f>IFERROR(__xludf.DUMMYFUNCTION("""COMPUTED_VALUE"""),1010.0)</f>
        <v>1010</v>
      </c>
      <c r="B779" s="8">
        <f>IFERROR(__xludf.DUMMYFUNCTION("""COMPUTED_VALUE"""),936.0)</f>
        <v>936</v>
      </c>
      <c r="C779" s="8">
        <f>IFERROR(__xludf.DUMMYFUNCTION("""COMPUTED_VALUE"""),71.0)</f>
        <v>71</v>
      </c>
      <c r="D779" s="8"/>
      <c r="E779" s="8" t="str">
        <f>IFERROR(__xludf.DUMMYFUNCTION("""COMPUTED_VALUE"""),"Oh my goodness! i just received this coat tonight. i love it! it is beautiful and stylish. i got the green which is amazing. i'm 5'2"" - weigh 115. ordered both s and xs. i'm keeping the s - more room in case a heavier sweater. get this! it's a classic! y"&amp;"ou will smile!")</f>
        <v>Oh my goodness! i just received this coat tonight. i love it! it is beautiful and stylish. i got the green which is amazing. i'm 5'2" - weigh 115. ordered both s and xs. i'm keeping the s - more room in case a heavier sweater. get this! it's a classic! you will smile!</v>
      </c>
      <c r="F779" s="8">
        <f>IFERROR(__xludf.DUMMYFUNCTION("""COMPUTED_VALUE"""),5.0)</f>
        <v>5</v>
      </c>
      <c r="G779" s="8">
        <f>IFERROR(__xludf.DUMMYFUNCTION("""COMPUTED_VALUE"""),1.0)</f>
        <v>1</v>
      </c>
      <c r="H779" s="8">
        <f>IFERROR(__xludf.DUMMYFUNCTION("""COMPUTED_VALUE"""),3.0)</f>
        <v>3</v>
      </c>
      <c r="I779" s="8" t="str">
        <f>IFERROR(__xludf.DUMMYFUNCTION("""COMPUTED_VALUE"""),"General")</f>
        <v>General</v>
      </c>
      <c r="J779" s="8" t="str">
        <f>IFERROR(__xludf.DUMMYFUNCTION("""COMPUTED_VALUE"""),"Tops")</f>
        <v>Tops</v>
      </c>
      <c r="K779" s="8" t="str">
        <f>IFERROR(__xludf.DUMMYFUNCTION("""COMPUTED_VALUE"""),"Sweaters")</f>
        <v>Sweaters</v>
      </c>
    </row>
    <row r="780">
      <c r="A780" s="8">
        <f>IFERROR(__xludf.DUMMYFUNCTION("""COMPUTED_VALUE"""),1011.0)</f>
        <v>1011</v>
      </c>
      <c r="B780" s="8">
        <f>IFERROR(__xludf.DUMMYFUNCTION("""COMPUTED_VALUE"""),1047.0)</f>
        <v>1047</v>
      </c>
      <c r="C780" s="8">
        <f>IFERROR(__xludf.DUMMYFUNCTION("""COMPUTED_VALUE"""),34.0)</f>
        <v>34</v>
      </c>
      <c r="D780" s="8" t="str">
        <f>IFERROR(__xludf.DUMMYFUNCTION("""COMPUTED_VALUE"""),"Strange and wonderful")</f>
        <v>Strange and wonderful</v>
      </c>
      <c r="E780" s="8" t="str">
        <f>IFERROR(__xludf.DUMMYFUNCTION("""COMPUTED_VALUE"""),"I wasn't sure what to expect with these pants. i couldn't figure out from the pictures what the material would actually be like. is it jersey? is it french terry? is it more traditional sweatshirt-type material? nope, turns out, they're like wearing pants"&amp;" made out of a fuzzy, flecked sweater. or like the thickest, loosest sweater-knit tights ever. surprise! they are the strangest pants i've ever owned, for sure, but i actually really like them. they're super comfortable and cozy warm. slightly i")</f>
        <v>I wasn't sure what to expect with these pants. i couldn't figure out from the pictures what the material would actually be like. is it jersey? is it french terry? is it more traditional sweatshirt-type material? nope, turns out, they're like wearing pants made out of a fuzzy, flecked sweater. or like the thickest, loosest sweater-knit tights ever. surprise! they are the strangest pants i've ever owned, for sure, but i actually really like them. they're super comfortable and cozy warm. slightly i</v>
      </c>
      <c r="F780" s="8">
        <f>IFERROR(__xludf.DUMMYFUNCTION("""COMPUTED_VALUE"""),5.0)</f>
        <v>5</v>
      </c>
      <c r="G780" s="8">
        <f>IFERROR(__xludf.DUMMYFUNCTION("""COMPUTED_VALUE"""),1.0)</f>
        <v>1</v>
      </c>
      <c r="H780" s="8">
        <f>IFERROR(__xludf.DUMMYFUNCTION("""COMPUTED_VALUE"""),0.0)</f>
        <v>0</v>
      </c>
      <c r="I780" s="8" t="str">
        <f>IFERROR(__xludf.DUMMYFUNCTION("""COMPUTED_VALUE"""),"General")</f>
        <v>General</v>
      </c>
      <c r="J780" s="8" t="str">
        <f>IFERROR(__xludf.DUMMYFUNCTION("""COMPUTED_VALUE"""),"Bottoms")</f>
        <v>Bottoms</v>
      </c>
      <c r="K780" s="8" t="str">
        <f>IFERROR(__xludf.DUMMYFUNCTION("""COMPUTED_VALUE"""),"Pants")</f>
        <v>Pants</v>
      </c>
    </row>
    <row r="781">
      <c r="A781" s="8">
        <f>IFERROR(__xludf.DUMMYFUNCTION("""COMPUTED_VALUE"""),1012.0)</f>
        <v>1012</v>
      </c>
      <c r="B781" s="8">
        <f>IFERROR(__xludf.DUMMYFUNCTION("""COMPUTED_VALUE"""),1094.0)</f>
        <v>1094</v>
      </c>
      <c r="C781" s="8">
        <f>IFERROR(__xludf.DUMMYFUNCTION("""COMPUTED_VALUE"""),37.0)</f>
        <v>37</v>
      </c>
      <c r="D781" s="8" t="str">
        <f>IFERROR(__xludf.DUMMYFUNCTION("""COMPUTED_VALUE"""),"Bautiful lines")</f>
        <v>Bautiful lines</v>
      </c>
      <c r="E781" s="8" t="str">
        <f>IFERROR(__xludf.DUMMYFUNCTION("""COMPUTED_VALUE"""),"This dress hung so nicely on my figure (small up top, bigger in the hips) that i couldn't pass it up. the lines are more flattering in person than in the photos. it might run a little small...i'm normally an extra small, but it was a little snug in the ar"&amp;"ms. however, the small was too big, so i would suggest sticking with your usual size. the saleslady said would stretch a little. i would have loved to try a petite, but the store didn't carry petite sizes. it will be my go-to holiday dress.")</f>
        <v>This dress hung so nicely on my figure (small up top, bigger in the hips) that i couldn't pass it up. the lines are more flattering in person than in the photos. it might run a little small...i'm normally an extra small, but it was a little snug in the arms. however, the small was too big, so i would suggest sticking with your usual size. the saleslady said would stretch a little. i would have loved to try a petite, but the store didn't carry petite sizes. it will be my go-to holiday dress.</v>
      </c>
      <c r="F781" s="8">
        <f>IFERROR(__xludf.DUMMYFUNCTION("""COMPUTED_VALUE"""),5.0)</f>
        <v>5</v>
      </c>
      <c r="G781" s="8">
        <f>IFERROR(__xludf.DUMMYFUNCTION("""COMPUTED_VALUE"""),1.0)</f>
        <v>1</v>
      </c>
      <c r="H781" s="8">
        <f>IFERROR(__xludf.DUMMYFUNCTION("""COMPUTED_VALUE"""),2.0)</f>
        <v>2</v>
      </c>
      <c r="I781" s="8" t="str">
        <f>IFERROR(__xludf.DUMMYFUNCTION("""COMPUTED_VALUE"""),"General")</f>
        <v>General</v>
      </c>
      <c r="J781" s="8" t="str">
        <f>IFERROR(__xludf.DUMMYFUNCTION("""COMPUTED_VALUE"""),"Dresses")</f>
        <v>Dresses</v>
      </c>
      <c r="K781" s="8" t="str">
        <f>IFERROR(__xludf.DUMMYFUNCTION("""COMPUTED_VALUE"""),"Dresses")</f>
        <v>Dresses</v>
      </c>
    </row>
    <row r="782">
      <c r="A782" s="8">
        <f>IFERROR(__xludf.DUMMYFUNCTION("""COMPUTED_VALUE"""),1014.0)</f>
        <v>1014</v>
      </c>
      <c r="B782" s="8">
        <f>IFERROR(__xludf.DUMMYFUNCTION("""COMPUTED_VALUE"""),936.0)</f>
        <v>936</v>
      </c>
      <c r="C782" s="8">
        <f>IFERROR(__xludf.DUMMYFUNCTION("""COMPUTED_VALUE"""),40.0)</f>
        <v>40</v>
      </c>
      <c r="D782" s="8" t="str">
        <f>IFERROR(__xludf.DUMMYFUNCTION("""COMPUTED_VALUE"""),"Cozy cut")</f>
        <v>Cozy cut</v>
      </c>
      <c r="E782" s="8" t="str">
        <f>IFERROR(__xludf.DUMMYFUNCTION("""COMPUTED_VALUE"""),"Love this as a lightweight coat for cool to cold days. i love the squishy soft feel of the material. it works well with sweaters. love the deep pockets which works with my iphone plus and wallet. i love how simple and practical this coat is. the hood when"&amp;" not used as a hood makes a nice collar for the neck and head.")</f>
        <v>Love this as a lightweight coat for cool to cold days. i love the squishy soft feel of the material. it works well with sweaters. love the deep pockets which works with my iphone plus and wallet. i love how simple and practical this coat is. the hood when not used as a hood makes a nice collar for the neck and head.</v>
      </c>
      <c r="F782" s="8">
        <f>IFERROR(__xludf.DUMMYFUNCTION("""COMPUTED_VALUE"""),5.0)</f>
        <v>5</v>
      </c>
      <c r="G782" s="8">
        <f>IFERROR(__xludf.DUMMYFUNCTION("""COMPUTED_VALUE"""),1.0)</f>
        <v>1</v>
      </c>
      <c r="H782" s="8">
        <f>IFERROR(__xludf.DUMMYFUNCTION("""COMPUTED_VALUE"""),0.0)</f>
        <v>0</v>
      </c>
      <c r="I782" s="8" t="str">
        <f>IFERROR(__xludf.DUMMYFUNCTION("""COMPUTED_VALUE"""),"General")</f>
        <v>General</v>
      </c>
      <c r="J782" s="8" t="str">
        <f>IFERROR(__xludf.DUMMYFUNCTION("""COMPUTED_VALUE"""),"Tops")</f>
        <v>Tops</v>
      </c>
      <c r="K782" s="8" t="str">
        <f>IFERROR(__xludf.DUMMYFUNCTION("""COMPUTED_VALUE"""),"Sweaters")</f>
        <v>Sweaters</v>
      </c>
    </row>
    <row r="783">
      <c r="A783" s="8">
        <f>IFERROR(__xludf.DUMMYFUNCTION("""COMPUTED_VALUE"""),1015.0)</f>
        <v>1015</v>
      </c>
      <c r="B783" s="8">
        <f>IFERROR(__xludf.DUMMYFUNCTION("""COMPUTED_VALUE"""),1094.0)</f>
        <v>1094</v>
      </c>
      <c r="C783" s="8">
        <f>IFERROR(__xludf.DUMMYFUNCTION("""COMPUTED_VALUE"""),27.0)</f>
        <v>27</v>
      </c>
      <c r="D783" s="8" t="str">
        <f>IFERROR(__xludf.DUMMYFUNCTION("""COMPUTED_VALUE"""),"Slimming, cute")</f>
        <v>Slimming, cute</v>
      </c>
      <c r="E783" s="8" t="str">
        <f>IFERROR(__xludf.DUMMYFUNCTION("""COMPUTED_VALUE"""),"I have broader shoulders and thick arms, this dress does an amazing job slimming my arms and not making me appear top heavy!
i'm 5'4 125 lbs, the xs fit perfectly")</f>
        <v>I have broader shoulders and thick arms, this dress does an amazing job slimming my arms and not making me appear top heavy!
i'm 5'4 125 lbs, the xs fit perfectly</v>
      </c>
      <c r="F783" s="8">
        <f>IFERROR(__xludf.DUMMYFUNCTION("""COMPUTED_VALUE"""),5.0)</f>
        <v>5</v>
      </c>
      <c r="G783" s="8">
        <f>IFERROR(__xludf.DUMMYFUNCTION("""COMPUTED_VALUE"""),1.0)</f>
        <v>1</v>
      </c>
      <c r="H783" s="8">
        <f>IFERROR(__xludf.DUMMYFUNCTION("""COMPUTED_VALUE"""),0.0)</f>
        <v>0</v>
      </c>
      <c r="I783" s="8" t="str">
        <f>IFERROR(__xludf.DUMMYFUNCTION("""COMPUTED_VALUE"""),"General")</f>
        <v>General</v>
      </c>
      <c r="J783" s="8" t="str">
        <f>IFERROR(__xludf.DUMMYFUNCTION("""COMPUTED_VALUE"""),"Dresses")</f>
        <v>Dresses</v>
      </c>
      <c r="K783" s="8" t="str">
        <f>IFERROR(__xludf.DUMMYFUNCTION("""COMPUTED_VALUE"""),"Dresses")</f>
        <v>Dresses</v>
      </c>
    </row>
    <row r="784">
      <c r="A784" s="8">
        <f>IFERROR(__xludf.DUMMYFUNCTION("""COMPUTED_VALUE"""),1017.0)</f>
        <v>1017</v>
      </c>
      <c r="B784" s="8">
        <f>IFERROR(__xludf.DUMMYFUNCTION("""COMPUTED_VALUE"""),1154.0)</f>
        <v>1154</v>
      </c>
      <c r="C784" s="8">
        <f>IFERROR(__xludf.DUMMYFUNCTION("""COMPUTED_VALUE"""),44.0)</f>
        <v>44</v>
      </c>
      <c r="D784" s="8" t="str">
        <f>IFERROR(__xludf.DUMMYFUNCTION("""COMPUTED_VALUE"""),"Worth every penny!")</f>
        <v>Worth every penny!</v>
      </c>
      <c r="E784" s="8" t="str">
        <f>IFERROR(__xludf.DUMMYFUNCTION("""COMPUTED_VALUE"""),"This bra is so well made and fits beautifully.")</f>
        <v>This bra is so well made and fits beautifully.</v>
      </c>
      <c r="F784" s="8">
        <f>IFERROR(__xludf.DUMMYFUNCTION("""COMPUTED_VALUE"""),5.0)</f>
        <v>5</v>
      </c>
      <c r="G784" s="8">
        <f>IFERROR(__xludf.DUMMYFUNCTION("""COMPUTED_VALUE"""),1.0)</f>
        <v>1</v>
      </c>
      <c r="H784" s="8">
        <f>IFERROR(__xludf.DUMMYFUNCTION("""COMPUTED_VALUE"""),0.0)</f>
        <v>0</v>
      </c>
      <c r="I784" s="8" t="str">
        <f>IFERROR(__xludf.DUMMYFUNCTION("""COMPUTED_VALUE"""),"Initmates")</f>
        <v>Initmates</v>
      </c>
      <c r="J784" s="8" t="str">
        <f>IFERROR(__xludf.DUMMYFUNCTION("""COMPUTED_VALUE"""),"Intimate")</f>
        <v>Intimate</v>
      </c>
      <c r="K784" s="8" t="str">
        <f>IFERROR(__xludf.DUMMYFUNCTION("""COMPUTED_VALUE"""),"Intimates")</f>
        <v>Intimates</v>
      </c>
    </row>
    <row r="785">
      <c r="A785" s="8">
        <f>IFERROR(__xludf.DUMMYFUNCTION("""COMPUTED_VALUE"""),1018.0)</f>
        <v>1018</v>
      </c>
      <c r="B785" s="8">
        <f>IFERROR(__xludf.DUMMYFUNCTION("""COMPUTED_VALUE"""),936.0)</f>
        <v>936</v>
      </c>
      <c r="C785" s="8">
        <f>IFERROR(__xludf.DUMMYFUNCTION("""COMPUTED_VALUE"""),47.0)</f>
        <v>47</v>
      </c>
      <c r="D785" s="8" t="str">
        <f>IFERROR(__xludf.DUMMYFUNCTION("""COMPUTED_VALUE"""),"Lovely")</f>
        <v>Lovely</v>
      </c>
      <c r="E785" s="8" t="str">
        <f>IFERROR(__xludf.DUMMYFUNCTION("""COMPUTED_VALUE"""),"Snapped this sweet puppy up at my local retailer-in the sale room!!!!! it is beyond fabulous and the coral color is divine!!!! brightens up the drearriest of days-i did size down. i am short and the small sleeves were way too long on my 5ft3in frame. it r"&amp;"uns a bit large but if you were to wear a heavier something under it i could see getting your ""normal"" size. the quality is great and the style is just lovely. great jacket-love love love")</f>
        <v>Snapped this sweet puppy up at my local retailer-in the sale room!!!!! it is beyond fabulous and the coral color is divine!!!! brightens up the drearriest of days-i did size down. i am short and the small sleeves were way too long on my 5ft3in frame. it runs a bit large but if you were to wear a heavier something under it i could see getting your "normal" size. the quality is great and the style is just lovely. great jacket-love love love</v>
      </c>
      <c r="F785" s="8">
        <f>IFERROR(__xludf.DUMMYFUNCTION("""COMPUTED_VALUE"""),5.0)</f>
        <v>5</v>
      </c>
      <c r="G785" s="8">
        <f>IFERROR(__xludf.DUMMYFUNCTION("""COMPUTED_VALUE"""),1.0)</f>
        <v>1</v>
      </c>
      <c r="H785" s="8">
        <f>IFERROR(__xludf.DUMMYFUNCTION("""COMPUTED_VALUE"""),0.0)</f>
        <v>0</v>
      </c>
      <c r="I785" s="8" t="str">
        <f>IFERROR(__xludf.DUMMYFUNCTION("""COMPUTED_VALUE"""),"General")</f>
        <v>General</v>
      </c>
      <c r="J785" s="8" t="str">
        <f>IFERROR(__xludf.DUMMYFUNCTION("""COMPUTED_VALUE"""),"Tops")</f>
        <v>Tops</v>
      </c>
      <c r="K785" s="8" t="str">
        <f>IFERROR(__xludf.DUMMYFUNCTION("""COMPUTED_VALUE"""),"Sweaters")</f>
        <v>Sweaters</v>
      </c>
    </row>
    <row r="786">
      <c r="A786" s="8">
        <f>IFERROR(__xludf.DUMMYFUNCTION("""COMPUTED_VALUE"""),1019.0)</f>
        <v>1019</v>
      </c>
      <c r="B786" s="8">
        <f>IFERROR(__xludf.DUMMYFUNCTION("""COMPUTED_VALUE"""),936.0)</f>
        <v>936</v>
      </c>
      <c r="C786" s="8">
        <f>IFERROR(__xludf.DUMMYFUNCTION("""COMPUTED_VALUE"""),42.0)</f>
        <v>42</v>
      </c>
      <c r="D786" s="8" t="str">
        <f>IFERROR(__xludf.DUMMYFUNCTION("""COMPUTED_VALUE"""),"Beautiful coat")</f>
        <v>Beautiful coat</v>
      </c>
      <c r="E786" s="8" t="str">
        <f>IFERROR(__xludf.DUMMYFUNCTION("""COMPUTED_VALUE"""),"Love this coat - great fall piece! i bought the green color and it looks as shown in the picture. great retailer purchase!")</f>
        <v>Love this coat - great fall piece! i bought the green color and it looks as shown in the picture. great retailer purchase!</v>
      </c>
      <c r="F786" s="8">
        <f>IFERROR(__xludf.DUMMYFUNCTION("""COMPUTED_VALUE"""),5.0)</f>
        <v>5</v>
      </c>
      <c r="G786" s="8">
        <f>IFERROR(__xludf.DUMMYFUNCTION("""COMPUTED_VALUE"""),1.0)</f>
        <v>1</v>
      </c>
      <c r="H786" s="8">
        <f>IFERROR(__xludf.DUMMYFUNCTION("""COMPUTED_VALUE"""),0.0)</f>
        <v>0</v>
      </c>
      <c r="I786" s="8" t="str">
        <f>IFERROR(__xludf.DUMMYFUNCTION("""COMPUTED_VALUE"""),"General")</f>
        <v>General</v>
      </c>
      <c r="J786" s="8" t="str">
        <f>IFERROR(__xludf.DUMMYFUNCTION("""COMPUTED_VALUE"""),"Tops")</f>
        <v>Tops</v>
      </c>
      <c r="K786" s="8" t="str">
        <f>IFERROR(__xludf.DUMMYFUNCTION("""COMPUTED_VALUE"""),"Sweaters")</f>
        <v>Sweaters</v>
      </c>
    </row>
    <row r="787">
      <c r="A787" s="8">
        <f>IFERROR(__xludf.DUMMYFUNCTION("""COMPUTED_VALUE"""),1020.0)</f>
        <v>1020</v>
      </c>
      <c r="B787" s="8">
        <f>IFERROR(__xludf.DUMMYFUNCTION("""COMPUTED_VALUE"""),936.0)</f>
        <v>936</v>
      </c>
      <c r="C787" s="8">
        <f>IFERROR(__xludf.DUMMYFUNCTION("""COMPUTED_VALUE"""),31.0)</f>
        <v>31</v>
      </c>
      <c r="D787" s="8" t="str">
        <f>IFERROR(__xludf.DUMMYFUNCTION("""COMPUTED_VALUE"""),"Love this!")</f>
        <v>Love this!</v>
      </c>
      <c r="E787" s="8" t="str">
        <f>IFERROR(__xludf.DUMMYFUNCTION("""COMPUTED_VALUE"""),"I bought it to mainly wear as a coat but i think it'd be great with some leggings and boots as well. if you want a more structured look go a size smaller. i plan on wearing this more as outer wear so i went with large. the coral is beautiful")</f>
        <v>I bought it to mainly wear as a coat but i think it'd be great with some leggings and boots as well. if you want a more structured look go a size smaller. i plan on wearing this more as outer wear so i went with large. the coral is beautiful</v>
      </c>
      <c r="F787" s="8">
        <f>IFERROR(__xludf.DUMMYFUNCTION("""COMPUTED_VALUE"""),5.0)</f>
        <v>5</v>
      </c>
      <c r="G787" s="8">
        <f>IFERROR(__xludf.DUMMYFUNCTION("""COMPUTED_VALUE"""),1.0)</f>
        <v>1</v>
      </c>
      <c r="H787" s="8">
        <f>IFERROR(__xludf.DUMMYFUNCTION("""COMPUTED_VALUE"""),0.0)</f>
        <v>0</v>
      </c>
      <c r="I787" s="8" t="str">
        <f>IFERROR(__xludf.DUMMYFUNCTION("""COMPUTED_VALUE"""),"General")</f>
        <v>General</v>
      </c>
      <c r="J787" s="8" t="str">
        <f>IFERROR(__xludf.DUMMYFUNCTION("""COMPUTED_VALUE"""),"Tops")</f>
        <v>Tops</v>
      </c>
      <c r="K787" s="8" t="str">
        <f>IFERROR(__xludf.DUMMYFUNCTION("""COMPUTED_VALUE"""),"Sweaters")</f>
        <v>Sweaters</v>
      </c>
    </row>
    <row r="788">
      <c r="A788" s="8">
        <f>IFERROR(__xludf.DUMMYFUNCTION("""COMPUTED_VALUE"""),1021.0)</f>
        <v>1021</v>
      </c>
      <c r="B788" s="8">
        <f>IFERROR(__xludf.DUMMYFUNCTION("""COMPUTED_VALUE"""),868.0)</f>
        <v>868</v>
      </c>
      <c r="C788" s="8">
        <f>IFERROR(__xludf.DUMMYFUNCTION("""COMPUTED_VALUE"""),26.0)</f>
        <v>26</v>
      </c>
      <c r="D788" s="8" t="str">
        <f>IFERROR(__xludf.DUMMYFUNCTION("""COMPUTED_VALUE"""),"Cute tunic")</f>
        <v>Cute tunic</v>
      </c>
      <c r="E788" s="8" t="str">
        <f>IFERROR(__xludf.DUMMYFUNCTION("""COMPUTED_VALUE"""),"This tunic is very nice. flattering, good design, worn in winter and spring, and fits well. i have a curvy figure, and this fits well. i wish it came in more colors.it does show flaws slightly but fits well and is stretchy.")</f>
        <v>This tunic is very nice. flattering, good design, worn in winter and spring, and fits well. i have a curvy figure, and this fits well. i wish it came in more colors.it does show flaws slightly but fits well and is stretchy.</v>
      </c>
      <c r="F788" s="8">
        <f>IFERROR(__xludf.DUMMYFUNCTION("""COMPUTED_VALUE"""),4.0)</f>
        <v>4</v>
      </c>
      <c r="G788" s="8">
        <f>IFERROR(__xludf.DUMMYFUNCTION("""COMPUTED_VALUE"""),1.0)</f>
        <v>1</v>
      </c>
      <c r="H788" s="8">
        <f>IFERROR(__xludf.DUMMYFUNCTION("""COMPUTED_VALUE"""),0.0)</f>
        <v>0</v>
      </c>
      <c r="I788" s="8" t="str">
        <f>IFERROR(__xludf.DUMMYFUNCTION("""COMPUTED_VALUE"""),"General")</f>
        <v>General</v>
      </c>
      <c r="J788" s="8" t="str">
        <f>IFERROR(__xludf.DUMMYFUNCTION("""COMPUTED_VALUE"""),"Tops")</f>
        <v>Tops</v>
      </c>
      <c r="K788" s="8" t="str">
        <f>IFERROR(__xludf.DUMMYFUNCTION("""COMPUTED_VALUE"""),"Knits")</f>
        <v>Knits</v>
      </c>
    </row>
    <row r="789">
      <c r="A789" s="8">
        <f>IFERROR(__xludf.DUMMYFUNCTION("""COMPUTED_VALUE"""),1023.0)</f>
        <v>1023</v>
      </c>
      <c r="B789" s="8">
        <f>IFERROR(__xludf.DUMMYFUNCTION("""COMPUTED_VALUE"""),936.0)</f>
        <v>936</v>
      </c>
      <c r="C789" s="8">
        <f>IFERROR(__xludf.DUMMYFUNCTION("""COMPUTED_VALUE"""),33.0)</f>
        <v>33</v>
      </c>
      <c r="D789" s="8" t="str">
        <f>IFERROR(__xludf.DUMMYFUNCTION("""COMPUTED_VALUE"""),"Cozy, flattering, and practical")</f>
        <v>Cozy, flattering, and practical</v>
      </c>
      <c r="E789" s="8" t="str">
        <f>IFERROR(__xludf.DUMMYFUNCTION("""COMPUTED_VALUE"""),"At first, i thought this sweater might be too boxy, but fastened at the waist, it's very flattering and the collar is face-framing, and the coral in particular (really more of a mango sorbet shade) is unexpected but cheery for winter.
but the big selling"&amp;" point is the warmth and the giant pockets. brought a new puppy home just after christmas, and this sweater is perfect for layering for late- night trips out with an easy place to stash my phone and treats. bought it in coral and pink.")</f>
        <v>At first, i thought this sweater might be too boxy, but fastened at the waist, it's very flattering and the collar is face-framing, and the coral in particular (really more of a mango sorbet shade) is unexpected but cheery for winter.
but the big selling point is the warmth and the giant pockets. brought a new puppy home just after christmas, and this sweater is perfect for layering for late- night trips out with an easy place to stash my phone and treats. bought it in coral and pink.</v>
      </c>
      <c r="F789" s="8">
        <f>IFERROR(__xludf.DUMMYFUNCTION("""COMPUTED_VALUE"""),5.0)</f>
        <v>5</v>
      </c>
      <c r="G789" s="8">
        <f>IFERROR(__xludf.DUMMYFUNCTION("""COMPUTED_VALUE"""),1.0)</f>
        <v>1</v>
      </c>
      <c r="H789" s="8">
        <f>IFERROR(__xludf.DUMMYFUNCTION("""COMPUTED_VALUE"""),1.0)</f>
        <v>1</v>
      </c>
      <c r="I789" s="8" t="str">
        <f>IFERROR(__xludf.DUMMYFUNCTION("""COMPUTED_VALUE"""),"General")</f>
        <v>General</v>
      </c>
      <c r="J789" s="8" t="str">
        <f>IFERROR(__xludf.DUMMYFUNCTION("""COMPUTED_VALUE"""),"Tops")</f>
        <v>Tops</v>
      </c>
      <c r="K789" s="8" t="str">
        <f>IFERROR(__xludf.DUMMYFUNCTION("""COMPUTED_VALUE"""),"Sweaters")</f>
        <v>Sweaters</v>
      </c>
    </row>
    <row r="790">
      <c r="A790" s="8">
        <f>IFERROR(__xludf.DUMMYFUNCTION("""COMPUTED_VALUE"""),1024.0)</f>
        <v>1024</v>
      </c>
      <c r="B790" s="8">
        <f>IFERROR(__xludf.DUMMYFUNCTION("""COMPUTED_VALUE"""),949.0)</f>
        <v>949</v>
      </c>
      <c r="C790" s="8">
        <f>IFERROR(__xludf.DUMMYFUNCTION("""COMPUTED_VALUE"""),47.0)</f>
        <v>47</v>
      </c>
      <c r="D790" s="8" t="str">
        <f>IFERROR(__xludf.DUMMYFUNCTION("""COMPUTED_VALUE"""),"Great sweater!")</f>
        <v>Great sweater!</v>
      </c>
      <c r="E790" s="8" t="str">
        <f>IFERROR(__xludf.DUMMYFUNCTION("""COMPUTED_VALUE"""),"I love this sweater! pros: great shape (it's supposed to be a little oversized looking), great color (i have the ivory and it's beautiful), and fits well (the sweater looks boxy until you put it on and it flows in all the right places). the sweater is not"&amp;" soft. that is my only con. it looks so soft in the photos, but the sweater i received is not at all soft and cozy. it is warm. it will be great for the winter - great pair with leggings, skirts or just jeans.")</f>
        <v>I love this sweater! pros: great shape (it's supposed to be a little oversized looking), great color (i have the ivory and it's beautiful), and fits well (the sweater looks boxy until you put it on and it flows in all the right places). the sweater is not soft. that is my only con. it looks so soft in the photos, but the sweater i received is not at all soft and cozy. it is warm. it will be great for the winter - great pair with leggings, skirts or just jeans.</v>
      </c>
      <c r="F790" s="8">
        <f>IFERROR(__xludf.DUMMYFUNCTION("""COMPUTED_VALUE"""),4.0)</f>
        <v>4</v>
      </c>
      <c r="G790" s="8">
        <f>IFERROR(__xludf.DUMMYFUNCTION("""COMPUTED_VALUE"""),1.0)</f>
        <v>1</v>
      </c>
      <c r="H790" s="8">
        <f>IFERROR(__xludf.DUMMYFUNCTION("""COMPUTED_VALUE"""),0.0)</f>
        <v>0</v>
      </c>
      <c r="I790" s="8" t="str">
        <f>IFERROR(__xludf.DUMMYFUNCTION("""COMPUTED_VALUE"""),"General")</f>
        <v>General</v>
      </c>
      <c r="J790" s="8" t="str">
        <f>IFERROR(__xludf.DUMMYFUNCTION("""COMPUTED_VALUE"""),"Tops")</f>
        <v>Tops</v>
      </c>
      <c r="K790" s="8" t="str">
        <f>IFERROR(__xludf.DUMMYFUNCTION("""COMPUTED_VALUE"""),"Sweaters")</f>
        <v>Sweaters</v>
      </c>
    </row>
    <row r="791">
      <c r="A791" s="8">
        <f>IFERROR(__xludf.DUMMYFUNCTION("""COMPUTED_VALUE"""),1025.0)</f>
        <v>1025</v>
      </c>
      <c r="B791" s="8">
        <f>IFERROR(__xludf.DUMMYFUNCTION("""COMPUTED_VALUE"""),1094.0)</f>
        <v>1094</v>
      </c>
      <c r="C791" s="8">
        <f>IFERROR(__xludf.DUMMYFUNCTION("""COMPUTED_VALUE"""),46.0)</f>
        <v>46</v>
      </c>
      <c r="D791" s="8" t="str">
        <f>IFERROR(__xludf.DUMMYFUNCTION("""COMPUTED_VALUE"""),"Beautiful")</f>
        <v>Beautiful</v>
      </c>
      <c r="E791" s="8" t="str">
        <f>IFERROR(__xludf.DUMMYFUNCTION("""COMPUTED_VALUE"""),"I love this dress. will be wearing it for the first time tomorrow. it fits well. the neck line is a bit low on me. i think it would look best on someone with more of a chest than i have. i will be wearing a winter white infinity scarf with it (as shown on"&amp;" model). i am 5' 6.5"" and 120 lbs and the small is just right.")</f>
        <v>I love this dress. will be wearing it for the first time tomorrow. it fits well. the neck line is a bit low on me. i think it would look best on someone with more of a chest than i have. i will be wearing a winter white infinity scarf with it (as shown on model). i am 5' 6.5" and 120 lbs and the small is just right.</v>
      </c>
      <c r="F791" s="8">
        <f>IFERROR(__xludf.DUMMYFUNCTION("""COMPUTED_VALUE"""),5.0)</f>
        <v>5</v>
      </c>
      <c r="G791" s="8">
        <f>IFERROR(__xludf.DUMMYFUNCTION("""COMPUTED_VALUE"""),1.0)</f>
        <v>1</v>
      </c>
      <c r="H791" s="8">
        <f>IFERROR(__xludf.DUMMYFUNCTION("""COMPUTED_VALUE"""),1.0)</f>
        <v>1</v>
      </c>
      <c r="I791" s="8" t="str">
        <f>IFERROR(__xludf.DUMMYFUNCTION("""COMPUTED_VALUE"""),"General")</f>
        <v>General</v>
      </c>
      <c r="J791" s="8" t="str">
        <f>IFERROR(__xludf.DUMMYFUNCTION("""COMPUTED_VALUE"""),"Dresses")</f>
        <v>Dresses</v>
      </c>
      <c r="K791" s="8" t="str">
        <f>IFERROR(__xludf.DUMMYFUNCTION("""COMPUTED_VALUE"""),"Dresses")</f>
        <v>Dresses</v>
      </c>
    </row>
    <row r="792">
      <c r="A792" s="8">
        <f>IFERROR(__xludf.DUMMYFUNCTION("""COMPUTED_VALUE"""),1026.0)</f>
        <v>1026</v>
      </c>
      <c r="B792" s="8">
        <f>IFERROR(__xludf.DUMMYFUNCTION("""COMPUTED_VALUE"""),936.0)</f>
        <v>936</v>
      </c>
      <c r="C792" s="8">
        <f>IFERROR(__xludf.DUMMYFUNCTION("""COMPUTED_VALUE"""),24.0)</f>
        <v>24</v>
      </c>
      <c r="D792" s="8" t="str">
        <f>IFERROR(__xludf.DUMMYFUNCTION("""COMPUTED_VALUE"""),"Best sweater jacket!")</f>
        <v>Best sweater jacket!</v>
      </c>
      <c r="E792" s="8" t="str">
        <f>IFERROR(__xludf.DUMMYFUNCTION("""COMPUTED_VALUE"""),"Love this sweater jacket! super comfortable and warm. i am 5'2 and i got a xs petite. it fit perfectly both in length and in the sleeve. the green color is super rich and is perfect for the season. it's easy to wear it up and wear it down. i appreciate th"&amp;"at it's not super bulky, which was what i was afraid of. my favorite jacket of the season so far.")</f>
        <v>Love this sweater jacket! super comfortable and warm. i am 5'2 and i got a xs petite. it fit perfectly both in length and in the sleeve. the green color is super rich and is perfect for the season. it's easy to wear it up and wear it down. i appreciate that it's not super bulky, which was what i was afraid of. my favorite jacket of the season so far.</v>
      </c>
      <c r="F792" s="8">
        <f>IFERROR(__xludf.DUMMYFUNCTION("""COMPUTED_VALUE"""),5.0)</f>
        <v>5</v>
      </c>
      <c r="G792" s="8">
        <f>IFERROR(__xludf.DUMMYFUNCTION("""COMPUTED_VALUE"""),1.0)</f>
        <v>1</v>
      </c>
      <c r="H792" s="8">
        <f>IFERROR(__xludf.DUMMYFUNCTION("""COMPUTED_VALUE"""),2.0)</f>
        <v>2</v>
      </c>
      <c r="I792" s="8" t="str">
        <f>IFERROR(__xludf.DUMMYFUNCTION("""COMPUTED_VALUE"""),"General")</f>
        <v>General</v>
      </c>
      <c r="J792" s="8" t="str">
        <f>IFERROR(__xludf.DUMMYFUNCTION("""COMPUTED_VALUE"""),"Tops")</f>
        <v>Tops</v>
      </c>
      <c r="K792" s="8" t="str">
        <f>IFERROR(__xludf.DUMMYFUNCTION("""COMPUTED_VALUE"""),"Sweaters")</f>
        <v>Sweaters</v>
      </c>
    </row>
    <row r="793">
      <c r="A793" s="8">
        <f>IFERROR(__xludf.DUMMYFUNCTION("""COMPUTED_VALUE"""),1028.0)</f>
        <v>1028</v>
      </c>
      <c r="B793" s="8">
        <f>IFERROR(__xludf.DUMMYFUNCTION("""COMPUTED_VALUE"""),1083.0)</f>
        <v>1083</v>
      </c>
      <c r="C793" s="8">
        <f>IFERROR(__xludf.DUMMYFUNCTION("""COMPUTED_VALUE"""),53.0)</f>
        <v>53</v>
      </c>
      <c r="D793" s="8" t="str">
        <f>IFERROR(__xludf.DUMMYFUNCTION("""COMPUTED_VALUE"""),"Best for staright figures")</f>
        <v>Best for staright figures</v>
      </c>
      <c r="E793" s="8" t="str">
        <f>IFERROR(__xludf.DUMMYFUNCTION("""COMPUTED_VALUE"""),"This is a beautiful dress but if you have any hips at all you may find it difficult to find the right size. i usually wear a 0-2 p and found that that the op was too snug on the bottom while the 2p was too loose on top. ( for reference 32-26-35). so if yo"&amp;"u are perfectly proportioned it could work for you.
also, note that this is a pencil dress....very slim fitting.....probably best suited for a cocktail party.")</f>
        <v>This is a beautiful dress but if you have any hips at all you may find it difficult to find the right size. i usually wear a 0-2 p and found that that the op was too snug on the bottom while the 2p was too loose on top. ( for reference 32-26-35). so if you are perfectly proportioned it could work for you.
also, note that this is a pencil dress....very slim fitting.....probably best suited for a cocktail party.</v>
      </c>
      <c r="F793" s="8">
        <f>IFERROR(__xludf.DUMMYFUNCTION("""COMPUTED_VALUE"""),4.0)</f>
        <v>4</v>
      </c>
      <c r="G793" s="8">
        <f>IFERROR(__xludf.DUMMYFUNCTION("""COMPUTED_VALUE"""),1.0)</f>
        <v>1</v>
      </c>
      <c r="H793" s="8">
        <f>IFERROR(__xludf.DUMMYFUNCTION("""COMPUTED_VALUE"""),3.0)</f>
        <v>3</v>
      </c>
      <c r="I793" s="8" t="str">
        <f>IFERROR(__xludf.DUMMYFUNCTION("""COMPUTED_VALUE"""),"General")</f>
        <v>General</v>
      </c>
      <c r="J793" s="8" t="str">
        <f>IFERROR(__xludf.DUMMYFUNCTION("""COMPUTED_VALUE"""),"Dresses")</f>
        <v>Dresses</v>
      </c>
      <c r="K793" s="8" t="str">
        <f>IFERROR(__xludf.DUMMYFUNCTION("""COMPUTED_VALUE"""),"Dresses")</f>
        <v>Dresses</v>
      </c>
    </row>
    <row r="794">
      <c r="A794" s="8">
        <f>IFERROR(__xludf.DUMMYFUNCTION("""COMPUTED_VALUE"""),1029.0)</f>
        <v>1029</v>
      </c>
      <c r="B794" s="8">
        <f>IFERROR(__xludf.DUMMYFUNCTION("""COMPUTED_VALUE"""),949.0)</f>
        <v>949</v>
      </c>
      <c r="C794" s="8">
        <f>IFERROR(__xludf.DUMMYFUNCTION("""COMPUTED_VALUE"""),38.0)</f>
        <v>38</v>
      </c>
      <c r="D794" s="8" t="str">
        <f>IFERROR(__xludf.DUMMYFUNCTION("""COMPUTED_VALUE"""),"Cute sweater!")</f>
        <v>Cute sweater!</v>
      </c>
      <c r="E794" s="8" t="str">
        <f>IFERROR(__xludf.DUMMYFUNCTION("""COMPUTED_VALUE"""),"Purchased this sweater in the blue color which is a gray/blue. it runs large as the xs is still quite roomy on me in the body. although the arms are more snug. great quality.")</f>
        <v>Purchased this sweater in the blue color which is a gray/blue. it runs large as the xs is still quite roomy on me in the body. although the arms are more snug. great quality.</v>
      </c>
      <c r="F794" s="8">
        <f>IFERROR(__xludf.DUMMYFUNCTION("""COMPUTED_VALUE"""),5.0)</f>
        <v>5</v>
      </c>
      <c r="G794" s="8">
        <f>IFERROR(__xludf.DUMMYFUNCTION("""COMPUTED_VALUE"""),1.0)</f>
        <v>1</v>
      </c>
      <c r="H794" s="8">
        <f>IFERROR(__xludf.DUMMYFUNCTION("""COMPUTED_VALUE"""),0.0)</f>
        <v>0</v>
      </c>
      <c r="I794" s="8" t="str">
        <f>IFERROR(__xludf.DUMMYFUNCTION("""COMPUTED_VALUE"""),"General")</f>
        <v>General</v>
      </c>
      <c r="J794" s="8" t="str">
        <f>IFERROR(__xludf.DUMMYFUNCTION("""COMPUTED_VALUE"""),"Tops")</f>
        <v>Tops</v>
      </c>
      <c r="K794" s="8" t="str">
        <f>IFERROR(__xludf.DUMMYFUNCTION("""COMPUTED_VALUE"""),"Sweaters")</f>
        <v>Sweaters</v>
      </c>
    </row>
    <row r="795">
      <c r="A795" s="8">
        <f>IFERROR(__xludf.DUMMYFUNCTION("""COMPUTED_VALUE"""),1030.0)</f>
        <v>1030</v>
      </c>
      <c r="B795" s="8">
        <f>IFERROR(__xludf.DUMMYFUNCTION("""COMPUTED_VALUE"""),949.0)</f>
        <v>949</v>
      </c>
      <c r="C795" s="8">
        <f>IFERROR(__xludf.DUMMYFUNCTION("""COMPUTED_VALUE"""),35.0)</f>
        <v>35</v>
      </c>
      <c r="D795" s="8"/>
      <c r="E795" s="8"/>
      <c r="F795" s="8">
        <f>IFERROR(__xludf.DUMMYFUNCTION("""COMPUTED_VALUE"""),5.0)</f>
        <v>5</v>
      </c>
      <c r="G795" s="8">
        <f>IFERROR(__xludf.DUMMYFUNCTION("""COMPUTED_VALUE"""),1.0)</f>
        <v>1</v>
      </c>
      <c r="H795" s="8">
        <f>IFERROR(__xludf.DUMMYFUNCTION("""COMPUTED_VALUE"""),0.0)</f>
        <v>0</v>
      </c>
      <c r="I795" s="8" t="str">
        <f>IFERROR(__xludf.DUMMYFUNCTION("""COMPUTED_VALUE"""),"General")</f>
        <v>General</v>
      </c>
      <c r="J795" s="8" t="str">
        <f>IFERROR(__xludf.DUMMYFUNCTION("""COMPUTED_VALUE"""),"Tops")</f>
        <v>Tops</v>
      </c>
      <c r="K795" s="8" t="str">
        <f>IFERROR(__xludf.DUMMYFUNCTION("""COMPUTED_VALUE"""),"Sweaters")</f>
        <v>Sweaters</v>
      </c>
    </row>
    <row r="796">
      <c r="A796" s="8">
        <f>IFERROR(__xludf.DUMMYFUNCTION("""COMPUTED_VALUE"""),1031.0)</f>
        <v>1031</v>
      </c>
      <c r="B796" s="8">
        <f>IFERROR(__xludf.DUMMYFUNCTION("""COMPUTED_VALUE"""),949.0)</f>
        <v>949</v>
      </c>
      <c r="C796" s="8">
        <f>IFERROR(__xludf.DUMMYFUNCTION("""COMPUTED_VALUE"""),58.0)</f>
        <v>58</v>
      </c>
      <c r="D796" s="8" t="str">
        <f>IFERROR(__xludf.DUMMYFUNCTION("""COMPUTED_VALUE"""),"So happy i ordered this!")</f>
        <v>So happy i ordered this!</v>
      </c>
      <c r="E796" s="8" t="str">
        <f>IFERROR(__xludf.DUMMYFUNCTION("""COMPUTED_VALUE"""),"I bought this as a birthday gift for my daughter, and i am so glad i did. the colors are beautiful, and the material is so soft. i'm sure she's going to love it!")</f>
        <v>I bought this as a birthday gift for my daughter, and i am so glad i did. the colors are beautiful, and the material is so soft. i'm sure she's going to love it!</v>
      </c>
      <c r="F796" s="8">
        <f>IFERROR(__xludf.DUMMYFUNCTION("""COMPUTED_VALUE"""),5.0)</f>
        <v>5</v>
      </c>
      <c r="G796" s="8">
        <f>IFERROR(__xludf.DUMMYFUNCTION("""COMPUTED_VALUE"""),1.0)</f>
        <v>1</v>
      </c>
      <c r="H796" s="8">
        <f>IFERROR(__xludf.DUMMYFUNCTION("""COMPUTED_VALUE"""),0.0)</f>
        <v>0</v>
      </c>
      <c r="I796" s="8" t="str">
        <f>IFERROR(__xludf.DUMMYFUNCTION("""COMPUTED_VALUE"""),"General")</f>
        <v>General</v>
      </c>
      <c r="J796" s="8" t="str">
        <f>IFERROR(__xludf.DUMMYFUNCTION("""COMPUTED_VALUE"""),"Tops")</f>
        <v>Tops</v>
      </c>
      <c r="K796" s="8" t="str">
        <f>IFERROR(__xludf.DUMMYFUNCTION("""COMPUTED_VALUE"""),"Sweaters")</f>
        <v>Sweaters</v>
      </c>
    </row>
    <row r="797">
      <c r="A797" s="8">
        <f>IFERROR(__xludf.DUMMYFUNCTION("""COMPUTED_VALUE"""),1033.0)</f>
        <v>1033</v>
      </c>
      <c r="B797" s="8">
        <f>IFERROR(__xludf.DUMMYFUNCTION("""COMPUTED_VALUE"""),949.0)</f>
        <v>949</v>
      </c>
      <c r="C797" s="8">
        <f>IFERROR(__xludf.DUMMYFUNCTION("""COMPUTED_VALUE"""),67.0)</f>
        <v>67</v>
      </c>
      <c r="D797" s="8" t="str">
        <f>IFERROR(__xludf.DUMMYFUNCTION("""COMPUTED_VALUE"""),"Lovely top")</f>
        <v>Lovely top</v>
      </c>
      <c r="E797" s="8" t="str">
        <f>IFERROR(__xludf.DUMMYFUNCTION("""COMPUTED_VALUE"""),"I fell in love with this top (sweater) before it could even be ordered - was on model for pants that were available to order. in any case, i later ordered the blue motif online and the colors are even more beautiful in person. the blue also contains fiber"&amp;"s of wine - so very pretty. the gray is a soft shade. the quality is lovely too. the only cons are that the seater is rather heavy, but should be great for colder winter months and the zipper on the back is quite conspicuous. however, that said,")</f>
        <v>I fell in love with this top (sweater) before it could even be ordered - was on model for pants that were available to order. in any case, i later ordered the blue motif online and the colors are even more beautiful in person. the blue also contains fibers of wine - so very pretty. the gray is a soft shade. the quality is lovely too. the only cons are that the seater is rather heavy, but should be great for colder winter months and the zipper on the back is quite conspicuous. however, that said,</v>
      </c>
      <c r="F797" s="8">
        <f>IFERROR(__xludf.DUMMYFUNCTION("""COMPUTED_VALUE"""),5.0)</f>
        <v>5</v>
      </c>
      <c r="G797" s="8">
        <f>IFERROR(__xludf.DUMMYFUNCTION("""COMPUTED_VALUE"""),1.0)</f>
        <v>1</v>
      </c>
      <c r="H797" s="8">
        <f>IFERROR(__xludf.DUMMYFUNCTION("""COMPUTED_VALUE"""),14.0)</f>
        <v>14</v>
      </c>
      <c r="I797" s="8" t="str">
        <f>IFERROR(__xludf.DUMMYFUNCTION("""COMPUTED_VALUE"""),"General")</f>
        <v>General</v>
      </c>
      <c r="J797" s="8" t="str">
        <f>IFERROR(__xludf.DUMMYFUNCTION("""COMPUTED_VALUE"""),"Tops")</f>
        <v>Tops</v>
      </c>
      <c r="K797" s="8" t="str">
        <f>IFERROR(__xludf.DUMMYFUNCTION("""COMPUTED_VALUE"""),"Sweaters")</f>
        <v>Sweaters</v>
      </c>
    </row>
    <row r="798">
      <c r="A798" s="8">
        <f>IFERROR(__xludf.DUMMYFUNCTION("""COMPUTED_VALUE"""),1034.0)</f>
        <v>1034</v>
      </c>
      <c r="B798" s="8">
        <f>IFERROR(__xludf.DUMMYFUNCTION("""COMPUTED_VALUE"""),873.0)</f>
        <v>873</v>
      </c>
      <c r="C798" s="8">
        <f>IFERROR(__xludf.DUMMYFUNCTION("""COMPUTED_VALUE"""),32.0)</f>
        <v>32</v>
      </c>
      <c r="D798" s="8" t="str">
        <f>IFERROR(__xludf.DUMMYFUNCTION("""COMPUTED_VALUE"""),"Comfy &amp; cute")</f>
        <v>Comfy &amp; cute</v>
      </c>
      <c r="E798" s="8" t="str">
        <f>IFERROR(__xludf.DUMMYFUNCTION("""COMPUTED_VALUE"""),"Love the feminine styling of a classic tunic tee! i'll wear it with black leggings this fall. super cute to wear casually or dress up a bit with some jewelry and/or a scarf.")</f>
        <v>Love the feminine styling of a classic tunic tee! i'll wear it with black leggings this fall. super cute to wear casually or dress up a bit with some jewelry and/or a scarf.</v>
      </c>
      <c r="F798" s="8">
        <f>IFERROR(__xludf.DUMMYFUNCTION("""COMPUTED_VALUE"""),5.0)</f>
        <v>5</v>
      </c>
      <c r="G798" s="8">
        <f>IFERROR(__xludf.DUMMYFUNCTION("""COMPUTED_VALUE"""),1.0)</f>
        <v>1</v>
      </c>
      <c r="H798" s="8">
        <f>IFERROR(__xludf.DUMMYFUNCTION("""COMPUTED_VALUE"""),1.0)</f>
        <v>1</v>
      </c>
      <c r="I798" s="8" t="str">
        <f>IFERROR(__xludf.DUMMYFUNCTION("""COMPUTED_VALUE"""),"General")</f>
        <v>General</v>
      </c>
      <c r="J798" s="8" t="str">
        <f>IFERROR(__xludf.DUMMYFUNCTION("""COMPUTED_VALUE"""),"Tops")</f>
        <v>Tops</v>
      </c>
      <c r="K798" s="8" t="str">
        <f>IFERROR(__xludf.DUMMYFUNCTION("""COMPUTED_VALUE"""),"Knits")</f>
        <v>Knits</v>
      </c>
    </row>
    <row r="799">
      <c r="A799" s="8">
        <f>IFERROR(__xludf.DUMMYFUNCTION("""COMPUTED_VALUE"""),1035.0)</f>
        <v>1035</v>
      </c>
      <c r="B799" s="8">
        <f>IFERROR(__xludf.DUMMYFUNCTION("""COMPUTED_VALUE"""),873.0)</f>
        <v>873</v>
      </c>
      <c r="C799" s="8">
        <f>IFERROR(__xludf.DUMMYFUNCTION("""COMPUTED_VALUE"""),59.0)</f>
        <v>59</v>
      </c>
      <c r="D799" s="8"/>
      <c r="E799" s="8" t="str">
        <f>IFERROR(__xludf.DUMMYFUNCTION("""COMPUTED_VALUE"""),"This top is full of amazing details. the photos really don't do it justice. it is very flowy and does run large but is so pretty and soft and in beautiful shades of blue. i bought a small and it is fairly long in back on my 5'5"" frame but because of the "&amp;"detailing...it just works.")</f>
        <v>This top is full of amazing details. the photos really don't do it justice. it is very flowy and does run large but is so pretty and soft and in beautiful shades of blue. i bought a small and it is fairly long in back on my 5'5" frame but because of the detailing...it just works.</v>
      </c>
      <c r="F799" s="8">
        <f>IFERROR(__xludf.DUMMYFUNCTION("""COMPUTED_VALUE"""),5.0)</f>
        <v>5</v>
      </c>
      <c r="G799" s="8">
        <f>IFERROR(__xludf.DUMMYFUNCTION("""COMPUTED_VALUE"""),1.0)</f>
        <v>1</v>
      </c>
      <c r="H799" s="8">
        <f>IFERROR(__xludf.DUMMYFUNCTION("""COMPUTED_VALUE"""),1.0)</f>
        <v>1</v>
      </c>
      <c r="I799" s="8" t="str">
        <f>IFERROR(__xludf.DUMMYFUNCTION("""COMPUTED_VALUE"""),"General")</f>
        <v>General</v>
      </c>
      <c r="J799" s="8" t="str">
        <f>IFERROR(__xludf.DUMMYFUNCTION("""COMPUTED_VALUE"""),"Tops")</f>
        <v>Tops</v>
      </c>
      <c r="K799" s="8" t="str">
        <f>IFERROR(__xludf.DUMMYFUNCTION("""COMPUTED_VALUE"""),"Knits")</f>
        <v>Knits</v>
      </c>
    </row>
    <row r="800">
      <c r="A800" s="8">
        <f>IFERROR(__xludf.DUMMYFUNCTION("""COMPUTED_VALUE"""),1036.0)</f>
        <v>1036</v>
      </c>
      <c r="B800" s="8">
        <f>IFERROR(__xludf.DUMMYFUNCTION("""COMPUTED_VALUE"""),909.0)</f>
        <v>909</v>
      </c>
      <c r="C800" s="8">
        <f>IFERROR(__xludf.DUMMYFUNCTION("""COMPUTED_VALUE"""),82.0)</f>
        <v>82</v>
      </c>
      <c r="D800" s="8" t="str">
        <f>IFERROR(__xludf.DUMMYFUNCTION("""COMPUTED_VALUE"""),"Love this sweater")</f>
        <v>Love this sweater</v>
      </c>
      <c r="E800" s="8" t="str">
        <f>IFERROR(__xludf.DUMMYFUNCTION("""COMPUTED_VALUE"""),"Unlike the first three reviews, i loved this sweater. the colors were beautiful and i paired it with green cords. i did not find the sweater to be itchy but very comfortable. fits trus to size.")</f>
        <v>Unlike the first three reviews, i loved this sweater. the colors were beautiful and i paired it with green cords. i did not find the sweater to be itchy but very comfortable. fits trus to size.</v>
      </c>
      <c r="F800" s="8">
        <f>IFERROR(__xludf.DUMMYFUNCTION("""COMPUTED_VALUE"""),5.0)</f>
        <v>5</v>
      </c>
      <c r="G800" s="8">
        <f>IFERROR(__xludf.DUMMYFUNCTION("""COMPUTED_VALUE"""),1.0)</f>
        <v>1</v>
      </c>
      <c r="H800" s="8">
        <f>IFERROR(__xludf.DUMMYFUNCTION("""COMPUTED_VALUE"""),0.0)</f>
        <v>0</v>
      </c>
      <c r="I800" s="8" t="str">
        <f>IFERROR(__xludf.DUMMYFUNCTION("""COMPUTED_VALUE"""),"General")</f>
        <v>General</v>
      </c>
      <c r="J800" s="8" t="str">
        <f>IFERROR(__xludf.DUMMYFUNCTION("""COMPUTED_VALUE"""),"Tops")</f>
        <v>Tops</v>
      </c>
      <c r="K800" s="8" t="str">
        <f>IFERROR(__xludf.DUMMYFUNCTION("""COMPUTED_VALUE"""),"Fine gauge")</f>
        <v>Fine gauge</v>
      </c>
    </row>
    <row r="801">
      <c r="A801" s="8">
        <f>IFERROR(__xludf.DUMMYFUNCTION("""COMPUTED_VALUE"""),1037.0)</f>
        <v>1037</v>
      </c>
      <c r="B801" s="8">
        <f>IFERROR(__xludf.DUMMYFUNCTION("""COMPUTED_VALUE"""),1083.0)</f>
        <v>1083</v>
      </c>
      <c r="C801" s="8">
        <f>IFERROR(__xludf.DUMMYFUNCTION("""COMPUTED_VALUE"""),46.0)</f>
        <v>46</v>
      </c>
      <c r="D801" s="8" t="str">
        <f>IFERROR(__xludf.DUMMYFUNCTION("""COMPUTED_VALUE"""),"Classically byron lars")</f>
        <v>Classically byron lars</v>
      </c>
      <c r="E801" s="8" t="str">
        <f>IFERROR(__xludf.DUMMYFUNCTION("""COMPUTED_VALUE"""),"Great fit even for busty women. ordered an 8 because i usually need the room in the chest area on dresses.(36d-dd) fit nicely without being tight. might have been able to size down but i didn't want to risk being too tight. flattering especially on curves"&amp;". nice for contemporary office or special occasion. if you like his designs, you won't be disappointed!")</f>
        <v>Great fit even for busty women. ordered an 8 because i usually need the room in the chest area on dresses.(36d-dd) fit nicely without being tight. might have been able to size down but i didn't want to risk being too tight. flattering especially on curves. nice for contemporary office or special occasion. if you like his designs, you won't be disappointed!</v>
      </c>
      <c r="F801" s="8">
        <f>IFERROR(__xludf.DUMMYFUNCTION("""COMPUTED_VALUE"""),5.0)</f>
        <v>5</v>
      </c>
      <c r="G801" s="8">
        <f>IFERROR(__xludf.DUMMYFUNCTION("""COMPUTED_VALUE"""),1.0)</f>
        <v>1</v>
      </c>
      <c r="H801" s="8">
        <f>IFERROR(__xludf.DUMMYFUNCTION("""COMPUTED_VALUE"""),5.0)</f>
        <v>5</v>
      </c>
      <c r="I801" s="8" t="str">
        <f>IFERROR(__xludf.DUMMYFUNCTION("""COMPUTED_VALUE"""),"General Petite")</f>
        <v>General Petite</v>
      </c>
      <c r="J801" s="8" t="str">
        <f>IFERROR(__xludf.DUMMYFUNCTION("""COMPUTED_VALUE"""),"Dresses")</f>
        <v>Dresses</v>
      </c>
      <c r="K801" s="8" t="str">
        <f>IFERROR(__xludf.DUMMYFUNCTION("""COMPUTED_VALUE"""),"Dresses")</f>
        <v>Dresses</v>
      </c>
    </row>
    <row r="802">
      <c r="A802" s="8">
        <f>IFERROR(__xludf.DUMMYFUNCTION("""COMPUTED_VALUE"""),1038.0)</f>
        <v>1038</v>
      </c>
      <c r="B802" s="8">
        <f>IFERROR(__xludf.DUMMYFUNCTION("""COMPUTED_VALUE"""),873.0)</f>
        <v>873</v>
      </c>
      <c r="C802" s="8">
        <f>IFERROR(__xludf.DUMMYFUNCTION("""COMPUTED_VALUE"""),34.0)</f>
        <v>34</v>
      </c>
      <c r="D802" s="8" t="str">
        <f>IFERROR(__xludf.DUMMYFUNCTION("""COMPUTED_VALUE"""),"Great blouse")</f>
        <v>Great blouse</v>
      </c>
      <c r="E802" s="8" t="str">
        <f>IFERROR(__xludf.DUMMYFUNCTION("""COMPUTED_VALUE"""),"Love this top, purchased it in the coral color now i'm definitely wanting it in the blue since it is such a great blouse for transitioning into fall. the weight of the top it good since i live in south texas so definitely needing lightweight long sleeves "&amp;"for our weather. i'm sure when the time comes adding a long cardigan or blazer over it as needed for the cooler weather it will look great. fit true to size.")</f>
        <v>Love this top, purchased it in the coral color now i'm definitely wanting it in the blue since it is such a great blouse for transitioning into fall. the weight of the top it good since i live in south texas so definitely needing lightweight long sleeves for our weather. i'm sure when the time comes adding a long cardigan or blazer over it as needed for the cooler weather it will look great. fit true to size.</v>
      </c>
      <c r="F802" s="8">
        <f>IFERROR(__xludf.DUMMYFUNCTION("""COMPUTED_VALUE"""),5.0)</f>
        <v>5</v>
      </c>
      <c r="G802" s="8">
        <f>IFERROR(__xludf.DUMMYFUNCTION("""COMPUTED_VALUE"""),1.0)</f>
        <v>1</v>
      </c>
      <c r="H802" s="8">
        <f>IFERROR(__xludf.DUMMYFUNCTION("""COMPUTED_VALUE"""),0.0)</f>
        <v>0</v>
      </c>
      <c r="I802" s="8" t="str">
        <f>IFERROR(__xludf.DUMMYFUNCTION("""COMPUTED_VALUE"""),"General")</f>
        <v>General</v>
      </c>
      <c r="J802" s="8" t="str">
        <f>IFERROR(__xludf.DUMMYFUNCTION("""COMPUTED_VALUE"""),"Tops")</f>
        <v>Tops</v>
      </c>
      <c r="K802" s="8" t="str">
        <f>IFERROR(__xludf.DUMMYFUNCTION("""COMPUTED_VALUE"""),"Knits")</f>
        <v>Knits</v>
      </c>
    </row>
    <row r="803">
      <c r="A803" s="8">
        <f>IFERROR(__xludf.DUMMYFUNCTION("""COMPUTED_VALUE"""),1039.0)</f>
        <v>1039</v>
      </c>
      <c r="B803" s="8">
        <f>IFERROR(__xludf.DUMMYFUNCTION("""COMPUTED_VALUE"""),1172.0)</f>
        <v>1172</v>
      </c>
      <c r="C803" s="8">
        <f>IFERROR(__xludf.DUMMYFUNCTION("""COMPUTED_VALUE"""),25.0)</f>
        <v>25</v>
      </c>
      <c r="D803" s="8"/>
      <c r="E803" s="8" t="str">
        <f>IFERROR(__xludf.DUMMYFUNCTION("""COMPUTED_VALUE"""),"Absolutely love this suit. the bottoms are very comfortable and covers everything id like it to. it does not ride up at all, which almost never happens with swim suits. i'm going to order this in a different color next season. i paired the bottoms with th"&amp;"e peplum top and received many compliments.")</f>
        <v>Absolutely love this suit. the bottoms are very comfortable and covers everything id like it to. it does not ride up at all, which almost never happens with swim suits. i'm going to order this in a different color next season. i paired the bottoms with the peplum top and received many compliments.</v>
      </c>
      <c r="F803" s="8">
        <f>IFERROR(__xludf.DUMMYFUNCTION("""COMPUTED_VALUE"""),5.0)</f>
        <v>5</v>
      </c>
      <c r="G803" s="8">
        <f>IFERROR(__xludf.DUMMYFUNCTION("""COMPUTED_VALUE"""),1.0)</f>
        <v>1</v>
      </c>
      <c r="H803" s="8">
        <f>IFERROR(__xludf.DUMMYFUNCTION("""COMPUTED_VALUE"""),0.0)</f>
        <v>0</v>
      </c>
      <c r="I803" s="8" t="str">
        <f>IFERROR(__xludf.DUMMYFUNCTION("""COMPUTED_VALUE"""),"Initmates")</f>
        <v>Initmates</v>
      </c>
      <c r="J803" s="8" t="str">
        <f>IFERROR(__xludf.DUMMYFUNCTION("""COMPUTED_VALUE"""),"Intimate")</f>
        <v>Intimate</v>
      </c>
      <c r="K803" s="8" t="str">
        <f>IFERROR(__xludf.DUMMYFUNCTION("""COMPUTED_VALUE"""),"Swim")</f>
        <v>Swim</v>
      </c>
    </row>
    <row r="804">
      <c r="A804" s="8">
        <f>IFERROR(__xludf.DUMMYFUNCTION("""COMPUTED_VALUE"""),1040.0)</f>
        <v>1040</v>
      </c>
      <c r="B804" s="8">
        <f>IFERROR(__xludf.DUMMYFUNCTION("""COMPUTED_VALUE"""),1083.0)</f>
        <v>1083</v>
      </c>
      <c r="C804" s="8">
        <f>IFERROR(__xludf.DUMMYFUNCTION("""COMPUTED_VALUE"""),35.0)</f>
        <v>35</v>
      </c>
      <c r="D804" s="8" t="str">
        <f>IFERROR(__xludf.DUMMYFUNCTION("""COMPUTED_VALUE"""),"Awesome dress")</f>
        <v>Awesome dress</v>
      </c>
      <c r="E804" s="8" t="str">
        <f>IFERROR(__xludf.DUMMYFUNCTION("""COMPUTED_VALUE"""),"I just love this dress.  took me ordering a number of sizes- petite and regular to find the best fit.  i might still have the top altered.  i received a lot of compliements.  work it with some black leather wedges for daytime/work.")</f>
        <v>I just love this dress.  took me ordering a number of sizes- petite and regular to find the best fit.  i might still have the top altered.  i received a lot of compliements.  work it with some black leather wedges for daytime/work.</v>
      </c>
      <c r="F804" s="8">
        <f>IFERROR(__xludf.DUMMYFUNCTION("""COMPUTED_VALUE"""),5.0)</f>
        <v>5</v>
      </c>
      <c r="G804" s="8">
        <f>IFERROR(__xludf.DUMMYFUNCTION("""COMPUTED_VALUE"""),1.0)</f>
        <v>1</v>
      </c>
      <c r="H804" s="8">
        <f>IFERROR(__xludf.DUMMYFUNCTION("""COMPUTED_VALUE"""),0.0)</f>
        <v>0</v>
      </c>
      <c r="I804" s="8" t="str">
        <f>IFERROR(__xludf.DUMMYFUNCTION("""COMPUTED_VALUE"""),"General Petite")</f>
        <v>General Petite</v>
      </c>
      <c r="J804" s="8" t="str">
        <f>IFERROR(__xludf.DUMMYFUNCTION("""COMPUTED_VALUE"""),"Dresses")</f>
        <v>Dresses</v>
      </c>
      <c r="K804" s="8" t="str">
        <f>IFERROR(__xludf.DUMMYFUNCTION("""COMPUTED_VALUE"""),"Dresses")</f>
        <v>Dresses</v>
      </c>
    </row>
    <row r="805">
      <c r="A805" s="8">
        <f>IFERROR(__xludf.DUMMYFUNCTION("""COMPUTED_VALUE"""),1041.0)</f>
        <v>1041</v>
      </c>
      <c r="B805" s="8">
        <f>IFERROR(__xludf.DUMMYFUNCTION("""COMPUTED_VALUE"""),949.0)</f>
        <v>949</v>
      </c>
      <c r="C805" s="8">
        <f>IFERROR(__xludf.DUMMYFUNCTION("""COMPUTED_VALUE"""),42.0)</f>
        <v>42</v>
      </c>
      <c r="D805" s="8" t="str">
        <f>IFERROR(__xludf.DUMMYFUNCTION("""COMPUTED_VALUE"""),"Beautiful!")</f>
        <v>Beautiful!</v>
      </c>
      <c r="E805" s="8" t="str">
        <f>IFERROR(__xludf.DUMMYFUNCTION("""COMPUTED_VALUE"""),"I got the purple color and absolutely love it. i am 5'2"" but decided against the petite size and i wanted it to be a bit longer. i also went with the xxs as the xs was a bit too loose on the arm. it was definitely a splurge to buy the sweater but it look"&amp;"ed so lovely!")</f>
        <v>I got the purple color and absolutely love it. i am 5'2" but decided against the petite size and i wanted it to be a bit longer. i also went with the xxs as the xs was a bit too loose on the arm. it was definitely a splurge to buy the sweater but it looked so lovely!</v>
      </c>
      <c r="F805" s="8">
        <f>IFERROR(__xludf.DUMMYFUNCTION("""COMPUTED_VALUE"""),5.0)</f>
        <v>5</v>
      </c>
      <c r="G805" s="8">
        <f>IFERROR(__xludf.DUMMYFUNCTION("""COMPUTED_VALUE"""),1.0)</f>
        <v>1</v>
      </c>
      <c r="H805" s="8">
        <f>IFERROR(__xludf.DUMMYFUNCTION("""COMPUTED_VALUE"""),0.0)</f>
        <v>0</v>
      </c>
      <c r="I805" s="8" t="str">
        <f>IFERROR(__xludf.DUMMYFUNCTION("""COMPUTED_VALUE"""),"General")</f>
        <v>General</v>
      </c>
      <c r="J805" s="8" t="str">
        <f>IFERROR(__xludf.DUMMYFUNCTION("""COMPUTED_VALUE"""),"Tops")</f>
        <v>Tops</v>
      </c>
      <c r="K805" s="8" t="str">
        <f>IFERROR(__xludf.DUMMYFUNCTION("""COMPUTED_VALUE"""),"Sweaters")</f>
        <v>Sweaters</v>
      </c>
    </row>
    <row r="806">
      <c r="A806" s="8">
        <f>IFERROR(__xludf.DUMMYFUNCTION("""COMPUTED_VALUE"""),1042.0)</f>
        <v>1042</v>
      </c>
      <c r="B806" s="8">
        <f>IFERROR(__xludf.DUMMYFUNCTION("""COMPUTED_VALUE"""),949.0)</f>
        <v>949</v>
      </c>
      <c r="C806" s="8">
        <f>IFERROR(__xludf.DUMMYFUNCTION("""COMPUTED_VALUE"""),35.0)</f>
        <v>35</v>
      </c>
      <c r="D806" s="8" t="str">
        <f>IFERROR(__xludf.DUMMYFUNCTION("""COMPUTED_VALUE"""),"Cute sweater!")</f>
        <v>Cute sweater!</v>
      </c>
      <c r="E806" s="8" t="str">
        <f>IFERROR(__xludf.DUMMYFUNCTION("""COMPUTED_VALUE"""),"Love the color! very soft. unique look. can't wait to wear it this fall")</f>
        <v>Love the color! very soft. unique look. can't wait to wear it this fall</v>
      </c>
      <c r="F806" s="8">
        <f>IFERROR(__xludf.DUMMYFUNCTION("""COMPUTED_VALUE"""),5.0)</f>
        <v>5</v>
      </c>
      <c r="G806" s="8">
        <f>IFERROR(__xludf.DUMMYFUNCTION("""COMPUTED_VALUE"""),1.0)</f>
        <v>1</v>
      </c>
      <c r="H806" s="8">
        <f>IFERROR(__xludf.DUMMYFUNCTION("""COMPUTED_VALUE"""),0.0)</f>
        <v>0</v>
      </c>
      <c r="I806" s="8" t="str">
        <f>IFERROR(__xludf.DUMMYFUNCTION("""COMPUTED_VALUE"""),"General")</f>
        <v>General</v>
      </c>
      <c r="J806" s="8" t="str">
        <f>IFERROR(__xludf.DUMMYFUNCTION("""COMPUTED_VALUE"""),"Tops")</f>
        <v>Tops</v>
      </c>
      <c r="K806" s="8" t="str">
        <f>IFERROR(__xludf.DUMMYFUNCTION("""COMPUTED_VALUE"""),"Sweaters")</f>
        <v>Sweaters</v>
      </c>
    </row>
    <row r="807">
      <c r="A807" s="8">
        <f>IFERROR(__xludf.DUMMYFUNCTION("""COMPUTED_VALUE"""),1043.0)</f>
        <v>1043</v>
      </c>
      <c r="B807" s="8">
        <f>IFERROR(__xludf.DUMMYFUNCTION("""COMPUTED_VALUE"""),909.0)</f>
        <v>909</v>
      </c>
      <c r="C807" s="8">
        <f>IFERROR(__xludf.DUMMYFUNCTION("""COMPUTED_VALUE"""),41.0)</f>
        <v>41</v>
      </c>
      <c r="D807" s="8" t="str">
        <f>IFERROR(__xludf.DUMMYFUNCTION("""COMPUTED_VALUE"""),"Nice")</f>
        <v>Nice</v>
      </c>
      <c r="E807" s="8" t="str">
        <f>IFERROR(__xludf.DUMMYFUNCTION("""COMPUTED_VALUE"""),"I got the rooster version and the colors are simply gorgeous.  i'm not so much into wearing a farm animal image, but the colors are just too striking to pass this up. the sweater is tts, but with a slightly baggy fit. i did not find it scratchy.")</f>
        <v>I got the rooster version and the colors are simply gorgeous.  i'm not so much into wearing a farm animal image, but the colors are just too striking to pass this up. the sweater is tts, but with a slightly baggy fit. i did not find it scratchy.</v>
      </c>
      <c r="F807" s="8">
        <f>IFERROR(__xludf.DUMMYFUNCTION("""COMPUTED_VALUE"""),4.0)</f>
        <v>4</v>
      </c>
      <c r="G807" s="8">
        <f>IFERROR(__xludf.DUMMYFUNCTION("""COMPUTED_VALUE"""),1.0)</f>
        <v>1</v>
      </c>
      <c r="H807" s="8">
        <f>IFERROR(__xludf.DUMMYFUNCTION("""COMPUTED_VALUE"""),0.0)</f>
        <v>0</v>
      </c>
      <c r="I807" s="8" t="str">
        <f>IFERROR(__xludf.DUMMYFUNCTION("""COMPUTED_VALUE"""),"General")</f>
        <v>General</v>
      </c>
      <c r="J807" s="8" t="str">
        <f>IFERROR(__xludf.DUMMYFUNCTION("""COMPUTED_VALUE"""),"Tops")</f>
        <v>Tops</v>
      </c>
      <c r="K807" s="8" t="str">
        <f>IFERROR(__xludf.DUMMYFUNCTION("""COMPUTED_VALUE"""),"Fine gauge")</f>
        <v>Fine gauge</v>
      </c>
    </row>
    <row r="808">
      <c r="A808" s="8">
        <f>IFERROR(__xludf.DUMMYFUNCTION("""COMPUTED_VALUE"""),1044.0)</f>
        <v>1044</v>
      </c>
      <c r="B808" s="8">
        <f>IFERROR(__xludf.DUMMYFUNCTION("""COMPUTED_VALUE"""),864.0)</f>
        <v>864</v>
      </c>
      <c r="C808" s="8">
        <f>IFERROR(__xludf.DUMMYFUNCTION("""COMPUTED_VALUE"""),53.0)</f>
        <v>53</v>
      </c>
      <c r="D808" s="8"/>
      <c r="E808" s="8" t="str">
        <f>IFERROR(__xludf.DUMMYFUNCTION("""COMPUTED_VALUE"""),"Really cute and very comfortable. material is thin and sheer. i wear tanks under things anyway, but especially in pink, you would need to. but love the style.")</f>
        <v>Really cute and very comfortable. material is thin and sheer. i wear tanks under things anyway, but especially in pink, you would need to. but love the style.</v>
      </c>
      <c r="F808" s="8">
        <f>IFERROR(__xludf.DUMMYFUNCTION("""COMPUTED_VALUE"""),4.0)</f>
        <v>4</v>
      </c>
      <c r="G808" s="8">
        <f>IFERROR(__xludf.DUMMYFUNCTION("""COMPUTED_VALUE"""),1.0)</f>
        <v>1</v>
      </c>
      <c r="H808" s="8">
        <f>IFERROR(__xludf.DUMMYFUNCTION("""COMPUTED_VALUE"""),0.0)</f>
        <v>0</v>
      </c>
      <c r="I808" s="8" t="str">
        <f>IFERROR(__xludf.DUMMYFUNCTION("""COMPUTED_VALUE"""),"General")</f>
        <v>General</v>
      </c>
      <c r="J808" s="8" t="str">
        <f>IFERROR(__xludf.DUMMYFUNCTION("""COMPUTED_VALUE"""),"Tops")</f>
        <v>Tops</v>
      </c>
      <c r="K808" s="8" t="str">
        <f>IFERROR(__xludf.DUMMYFUNCTION("""COMPUTED_VALUE"""),"Knits")</f>
        <v>Knits</v>
      </c>
    </row>
    <row r="809">
      <c r="A809" s="8">
        <f>IFERROR(__xludf.DUMMYFUNCTION("""COMPUTED_VALUE"""),1045.0)</f>
        <v>1045</v>
      </c>
      <c r="B809" s="8">
        <f>IFERROR(__xludf.DUMMYFUNCTION("""COMPUTED_VALUE"""),949.0)</f>
        <v>949</v>
      </c>
      <c r="C809" s="8">
        <f>IFERROR(__xludf.DUMMYFUNCTION("""COMPUTED_VALUE"""),30.0)</f>
        <v>30</v>
      </c>
      <c r="D809" s="8" t="str">
        <f>IFERROR(__xludf.DUMMYFUNCTION("""COMPUTED_VALUE"""),"Cotton, cotton, love cotton!")</f>
        <v>Cotton, cotton, love cotton!</v>
      </c>
      <c r="E809" s="8" t="str">
        <f>IFERROR(__xludf.DUMMYFUNCTION("""COMPUTED_VALUE"""),"I love this sweater.  i am 5' 1"" and tried on the petite in the store but ended up going with the regular size as i preferred the length.  the overall fit was the same.  i bought the blue which to me is the colour shown here, more a grey and purplish col"&amp;"our, beautiful for fall and much nicer than a straight blue.  i have worn it to work several times and always get a compliment.  this sweater is nice for all ages, it is soft, comfortable and versatile.  it might just be my go to fall sweater.")</f>
        <v>I love this sweater.  i am 5' 1" and tried on the petite in the store but ended up going with the regular size as i preferred the length.  the overall fit was the same.  i bought the blue which to me is the colour shown here, more a grey and purplish colour, beautiful for fall and much nicer than a straight blue.  i have worn it to work several times and always get a compliment.  this sweater is nice for all ages, it is soft, comfortable and versatile.  it might just be my go to fall sweater.</v>
      </c>
      <c r="F809" s="8">
        <f>IFERROR(__xludf.DUMMYFUNCTION("""COMPUTED_VALUE"""),5.0)</f>
        <v>5</v>
      </c>
      <c r="G809" s="8">
        <f>IFERROR(__xludf.DUMMYFUNCTION("""COMPUTED_VALUE"""),1.0)</f>
        <v>1</v>
      </c>
      <c r="H809" s="8">
        <f>IFERROR(__xludf.DUMMYFUNCTION("""COMPUTED_VALUE"""),0.0)</f>
        <v>0</v>
      </c>
      <c r="I809" s="8" t="str">
        <f>IFERROR(__xludf.DUMMYFUNCTION("""COMPUTED_VALUE"""),"General")</f>
        <v>General</v>
      </c>
      <c r="J809" s="8" t="str">
        <f>IFERROR(__xludf.DUMMYFUNCTION("""COMPUTED_VALUE"""),"Tops")</f>
        <v>Tops</v>
      </c>
      <c r="K809" s="8" t="str">
        <f>IFERROR(__xludf.DUMMYFUNCTION("""COMPUTED_VALUE"""),"Sweaters")</f>
        <v>Sweaters</v>
      </c>
    </row>
    <row r="810">
      <c r="A810" s="8">
        <f>IFERROR(__xludf.DUMMYFUNCTION("""COMPUTED_VALUE"""),1048.0)</f>
        <v>1048</v>
      </c>
      <c r="B810" s="8">
        <f>IFERROR(__xludf.DUMMYFUNCTION("""COMPUTED_VALUE"""),873.0)</f>
        <v>873</v>
      </c>
      <c r="C810" s="8">
        <f>IFERROR(__xludf.DUMMYFUNCTION("""COMPUTED_VALUE"""),23.0)</f>
        <v>23</v>
      </c>
      <c r="D810" s="8" t="str">
        <f>IFERROR(__xludf.DUMMYFUNCTION("""COMPUTED_VALUE"""),"Flowy")</f>
        <v>Flowy</v>
      </c>
      <c r="E810" s="8" t="str">
        <f>IFERROR(__xludf.DUMMYFUNCTION("""COMPUTED_VALUE"""),"I have the blue color of this top and i love the color variation throughout. it looks very unique and it is going to be a great piece for late summer/early fall. the pleated look on the upper chest is very flattering and adds texture to the top. i am plea"&amp;"sed with my purchase!")</f>
        <v>I have the blue color of this top and i love the color variation throughout. it looks very unique and it is going to be a great piece for late summer/early fall. the pleated look on the upper chest is very flattering and adds texture to the top. i am pleased with my purchase!</v>
      </c>
      <c r="F810" s="8">
        <f>IFERROR(__xludf.DUMMYFUNCTION("""COMPUTED_VALUE"""),5.0)</f>
        <v>5</v>
      </c>
      <c r="G810" s="8">
        <f>IFERROR(__xludf.DUMMYFUNCTION("""COMPUTED_VALUE"""),1.0)</f>
        <v>1</v>
      </c>
      <c r="H810" s="8">
        <f>IFERROR(__xludf.DUMMYFUNCTION("""COMPUTED_VALUE"""),1.0)</f>
        <v>1</v>
      </c>
      <c r="I810" s="8" t="str">
        <f>IFERROR(__xludf.DUMMYFUNCTION("""COMPUTED_VALUE"""),"General")</f>
        <v>General</v>
      </c>
      <c r="J810" s="8" t="str">
        <f>IFERROR(__xludf.DUMMYFUNCTION("""COMPUTED_VALUE"""),"Tops")</f>
        <v>Tops</v>
      </c>
      <c r="K810" s="8" t="str">
        <f>IFERROR(__xludf.DUMMYFUNCTION("""COMPUTED_VALUE"""),"Knits")</f>
        <v>Knits</v>
      </c>
    </row>
    <row r="811">
      <c r="A811" s="8">
        <f>IFERROR(__xludf.DUMMYFUNCTION("""COMPUTED_VALUE"""),1049.0)</f>
        <v>1049</v>
      </c>
      <c r="B811" s="8">
        <f>IFERROR(__xludf.DUMMYFUNCTION("""COMPUTED_VALUE"""),949.0)</f>
        <v>949</v>
      </c>
      <c r="C811" s="8">
        <f>IFERROR(__xludf.DUMMYFUNCTION("""COMPUTED_VALUE"""),52.0)</f>
        <v>52</v>
      </c>
      <c r="D811" s="8" t="str">
        <f>IFERROR(__xludf.DUMMYFUNCTION("""COMPUTED_VALUE"""),"Love this sweater")</f>
        <v>Love this sweater</v>
      </c>
      <c r="E811" s="8" t="str">
        <f>IFERROR(__xludf.DUMMYFUNCTION("""COMPUTED_VALUE"""),"This sweater is perfect for transitioning into fall as it is not too heavy. it's flattering and looks great with jeans.")</f>
        <v>This sweater is perfect for transitioning into fall as it is not too heavy. it's flattering and looks great with jeans.</v>
      </c>
      <c r="F811" s="8">
        <f>IFERROR(__xludf.DUMMYFUNCTION("""COMPUTED_VALUE"""),5.0)</f>
        <v>5</v>
      </c>
      <c r="G811" s="8">
        <f>IFERROR(__xludf.DUMMYFUNCTION("""COMPUTED_VALUE"""),1.0)</f>
        <v>1</v>
      </c>
      <c r="H811" s="8">
        <f>IFERROR(__xludf.DUMMYFUNCTION("""COMPUTED_VALUE"""),0.0)</f>
        <v>0</v>
      </c>
      <c r="I811" s="8" t="str">
        <f>IFERROR(__xludf.DUMMYFUNCTION("""COMPUTED_VALUE"""),"General")</f>
        <v>General</v>
      </c>
      <c r="J811" s="8" t="str">
        <f>IFERROR(__xludf.DUMMYFUNCTION("""COMPUTED_VALUE"""),"Tops")</f>
        <v>Tops</v>
      </c>
      <c r="K811" s="8" t="str">
        <f>IFERROR(__xludf.DUMMYFUNCTION("""COMPUTED_VALUE"""),"Sweaters")</f>
        <v>Sweaters</v>
      </c>
    </row>
    <row r="812">
      <c r="A812" s="8">
        <f>IFERROR(__xludf.DUMMYFUNCTION("""COMPUTED_VALUE"""),1050.0)</f>
        <v>1050</v>
      </c>
      <c r="B812" s="8">
        <f>IFERROR(__xludf.DUMMYFUNCTION("""COMPUTED_VALUE"""),949.0)</f>
        <v>949</v>
      </c>
      <c r="C812" s="8">
        <f>IFERROR(__xludf.DUMMYFUNCTION("""COMPUTED_VALUE"""),38.0)</f>
        <v>38</v>
      </c>
      <c r="D812" s="8" t="str">
        <f>IFERROR(__xludf.DUMMYFUNCTION("""COMPUTED_VALUE"""),"Interesting sweater, good quality")</f>
        <v>Interesting sweater, good quality</v>
      </c>
      <c r="E812" s="8" t="str">
        <f>IFERROR(__xludf.DUMMYFUNCTION("""COMPUTED_VALUE"""),"I'm an xl but ended up buying this in a size large. i am very pleased with the interesting cable pattern that runs down the front. i also really like that this is cotton, and even though it is heavy and substantial, the thread gauge is a fine weight. whil"&amp;"e this says i can hand wash the sweater, i'm reluctant to because i'm worried that hand washing will end up stretching the sweater out of shape. i don't care for the heavy gold zipper running down from the neck, but my hair hides that. overall,")</f>
        <v>I'm an xl but ended up buying this in a size large. i am very pleased with the interesting cable pattern that runs down the front. i also really like that this is cotton, and even though it is heavy and substantial, the thread gauge is a fine weight. while this says i can hand wash the sweater, i'm reluctant to because i'm worried that hand washing will end up stretching the sweater out of shape. i don't care for the heavy gold zipper running down from the neck, but my hair hides that. overall,</v>
      </c>
      <c r="F812" s="8">
        <f>IFERROR(__xludf.DUMMYFUNCTION("""COMPUTED_VALUE"""),5.0)</f>
        <v>5</v>
      </c>
      <c r="G812" s="8">
        <f>IFERROR(__xludf.DUMMYFUNCTION("""COMPUTED_VALUE"""),1.0)</f>
        <v>1</v>
      </c>
      <c r="H812" s="8">
        <f>IFERROR(__xludf.DUMMYFUNCTION("""COMPUTED_VALUE"""),6.0)</f>
        <v>6</v>
      </c>
      <c r="I812" s="8" t="str">
        <f>IFERROR(__xludf.DUMMYFUNCTION("""COMPUTED_VALUE"""),"General")</f>
        <v>General</v>
      </c>
      <c r="J812" s="8" t="str">
        <f>IFERROR(__xludf.DUMMYFUNCTION("""COMPUTED_VALUE"""),"Tops")</f>
        <v>Tops</v>
      </c>
      <c r="K812" s="8" t="str">
        <f>IFERROR(__xludf.DUMMYFUNCTION("""COMPUTED_VALUE"""),"Sweaters")</f>
        <v>Sweaters</v>
      </c>
    </row>
    <row r="813">
      <c r="A813" s="8">
        <f>IFERROR(__xludf.DUMMYFUNCTION("""COMPUTED_VALUE"""),1051.0)</f>
        <v>1051</v>
      </c>
      <c r="B813" s="8">
        <f>IFERROR(__xludf.DUMMYFUNCTION("""COMPUTED_VALUE"""),949.0)</f>
        <v>949</v>
      </c>
      <c r="C813" s="8">
        <f>IFERROR(__xludf.DUMMYFUNCTION("""COMPUTED_VALUE"""),66.0)</f>
        <v>66</v>
      </c>
      <c r="D813" s="8" t="str">
        <f>IFERROR(__xludf.DUMMYFUNCTION("""COMPUTED_VALUE"""),"Nice cotton sweater")</f>
        <v>Nice cotton sweater</v>
      </c>
      <c r="E813" s="8" t="str">
        <f>IFERROR(__xludf.DUMMYFUNCTION("""COMPUTED_VALUE"""),"Bought this is the blue, which is actually a very grey-blue.  i love cotton sweaters and they are not easy to find.  this one has lovely colors and unusual design, but is a bit too full.  that said, i am keeping it for the cotton/linen factor, alone.")</f>
        <v>Bought this is the blue, which is actually a very grey-blue.  i love cotton sweaters and they are not easy to find.  this one has lovely colors and unusual design, but is a bit too full.  that said, i am keeping it for the cotton/linen factor, alone.</v>
      </c>
      <c r="F813" s="8">
        <f>IFERROR(__xludf.DUMMYFUNCTION("""COMPUTED_VALUE"""),4.0)</f>
        <v>4</v>
      </c>
      <c r="G813" s="8">
        <f>IFERROR(__xludf.DUMMYFUNCTION("""COMPUTED_VALUE"""),1.0)</f>
        <v>1</v>
      </c>
      <c r="H813" s="8">
        <f>IFERROR(__xludf.DUMMYFUNCTION("""COMPUTED_VALUE"""),0.0)</f>
        <v>0</v>
      </c>
      <c r="I813" s="8" t="str">
        <f>IFERROR(__xludf.DUMMYFUNCTION("""COMPUTED_VALUE"""),"General")</f>
        <v>General</v>
      </c>
      <c r="J813" s="8" t="str">
        <f>IFERROR(__xludf.DUMMYFUNCTION("""COMPUTED_VALUE"""),"Tops")</f>
        <v>Tops</v>
      </c>
      <c r="K813" s="8" t="str">
        <f>IFERROR(__xludf.DUMMYFUNCTION("""COMPUTED_VALUE"""),"Sweaters")</f>
        <v>Sweaters</v>
      </c>
    </row>
    <row r="814">
      <c r="A814" s="8">
        <f>IFERROR(__xludf.DUMMYFUNCTION("""COMPUTED_VALUE"""),1053.0)</f>
        <v>1053</v>
      </c>
      <c r="B814" s="8">
        <f>IFERROR(__xludf.DUMMYFUNCTION("""COMPUTED_VALUE"""),949.0)</f>
        <v>949</v>
      </c>
      <c r="C814" s="8">
        <f>IFERROR(__xludf.DUMMYFUNCTION("""COMPUTED_VALUE"""),40.0)</f>
        <v>40</v>
      </c>
      <c r="D814" s="8" t="str">
        <f>IFERROR(__xludf.DUMMYFUNCTION("""COMPUTED_VALUE"""),"Not as great as the photos")</f>
        <v>Not as great as the photos</v>
      </c>
      <c r="E814" s="8" t="str">
        <f>IFERROR(__xludf.DUMMYFUNCTION("""COMPUTED_VALUE"""),"I love mixed media clothing, and this is no exception. i fell in love with this right away, and after being torn between the two colors, opted for the rose. it's very gorgeous in person - midweight and very soft. however, as soon as i put it on, i noticed"&amp;" the knit sides truly flare out; they don't lay nicely like on the model. it could be because of my large chest (36dddd), but everything below the chest seems to widen me. it might work better on someone with a straighter build or smaller chest.")</f>
        <v>I love mixed media clothing, and this is no exception. i fell in love with this right away, and after being torn between the two colors, opted for the rose. it's very gorgeous in person - midweight and very soft. however, as soon as i put it on, i noticed the knit sides truly flare out; they don't lay nicely like on the model. it could be because of my large chest (36dddd), but everything below the chest seems to widen me. it might work better on someone with a straighter build or smaller chest.</v>
      </c>
      <c r="F814" s="8">
        <f>IFERROR(__xludf.DUMMYFUNCTION("""COMPUTED_VALUE"""),4.0)</f>
        <v>4</v>
      </c>
      <c r="G814" s="8">
        <f>IFERROR(__xludf.DUMMYFUNCTION("""COMPUTED_VALUE"""),1.0)</f>
        <v>1</v>
      </c>
      <c r="H814" s="8">
        <f>IFERROR(__xludf.DUMMYFUNCTION("""COMPUTED_VALUE"""),2.0)</f>
        <v>2</v>
      </c>
      <c r="I814" s="8" t="str">
        <f>IFERROR(__xludf.DUMMYFUNCTION("""COMPUTED_VALUE"""),"General")</f>
        <v>General</v>
      </c>
      <c r="J814" s="8" t="str">
        <f>IFERROR(__xludf.DUMMYFUNCTION("""COMPUTED_VALUE"""),"Tops")</f>
        <v>Tops</v>
      </c>
      <c r="K814" s="8" t="str">
        <f>IFERROR(__xludf.DUMMYFUNCTION("""COMPUTED_VALUE"""),"Sweaters")</f>
        <v>Sweaters</v>
      </c>
    </row>
    <row r="815">
      <c r="A815" s="8">
        <f>IFERROR(__xludf.DUMMYFUNCTION("""COMPUTED_VALUE"""),1055.0)</f>
        <v>1055</v>
      </c>
      <c r="B815" s="8">
        <f>IFERROR(__xludf.DUMMYFUNCTION("""COMPUTED_VALUE"""),864.0)</f>
        <v>864</v>
      </c>
      <c r="C815" s="8">
        <f>IFERROR(__xludf.DUMMYFUNCTION("""COMPUTED_VALUE"""),40.0)</f>
        <v>40</v>
      </c>
      <c r="D815" s="8" t="str">
        <f>IFERROR(__xludf.DUMMYFUNCTION("""COMPUTED_VALUE"""),"Cute tee")</f>
        <v>Cute tee</v>
      </c>
      <c r="E815" s="8" t="str">
        <f>IFERROR(__xludf.DUMMYFUNCTION("""COMPUTED_VALUE"""),"I got the pink version to layer with spring clothes. i always wear a medium, but sized down to a small based on the other review. the seams are very flattering. the material is very soft. on sale, the price is reasonable.")</f>
        <v>I got the pink version to layer with spring clothes. i always wear a medium, but sized down to a small based on the other review. the seams are very flattering. the material is very soft. on sale, the price is reasonable.</v>
      </c>
      <c r="F815" s="8">
        <f>IFERROR(__xludf.DUMMYFUNCTION("""COMPUTED_VALUE"""),5.0)</f>
        <v>5</v>
      </c>
      <c r="G815" s="8">
        <f>IFERROR(__xludf.DUMMYFUNCTION("""COMPUTED_VALUE"""),1.0)</f>
        <v>1</v>
      </c>
      <c r="H815" s="8">
        <f>IFERROR(__xludf.DUMMYFUNCTION("""COMPUTED_VALUE"""),0.0)</f>
        <v>0</v>
      </c>
      <c r="I815" s="8" t="str">
        <f>IFERROR(__xludf.DUMMYFUNCTION("""COMPUTED_VALUE"""),"General")</f>
        <v>General</v>
      </c>
      <c r="J815" s="8" t="str">
        <f>IFERROR(__xludf.DUMMYFUNCTION("""COMPUTED_VALUE"""),"Tops")</f>
        <v>Tops</v>
      </c>
      <c r="K815" s="8" t="str">
        <f>IFERROR(__xludf.DUMMYFUNCTION("""COMPUTED_VALUE"""),"Knits")</f>
        <v>Knits</v>
      </c>
    </row>
    <row r="816">
      <c r="A816" s="8">
        <f>IFERROR(__xludf.DUMMYFUNCTION("""COMPUTED_VALUE"""),1056.0)</f>
        <v>1056</v>
      </c>
      <c r="B816" s="8">
        <f>IFERROR(__xludf.DUMMYFUNCTION("""COMPUTED_VALUE"""),864.0)</f>
        <v>864</v>
      </c>
      <c r="C816" s="8">
        <f>IFERROR(__xludf.DUMMYFUNCTION("""COMPUTED_VALUE"""),39.0)</f>
        <v>39</v>
      </c>
      <c r="D816" s="8" t="str">
        <f>IFERROR(__xludf.DUMMYFUNCTION("""COMPUTED_VALUE"""),"Great tee but kind of short")</f>
        <v>Great tee but kind of short</v>
      </c>
      <c r="E816" s="8" t="str">
        <f>IFERROR(__xludf.DUMMYFUNCTION("""COMPUTED_VALUE"""),"I love this tee but there is a lot of swing/ fabric so it can tend to make you look wide. also, i have a short torso to begin with but this tee is on the short side. i'm still undecided on whether i'm going to keep it b/c it's rayon/ poly and it's hand wa"&amp;"sh only. and i'm worried that one wash will make it shrink in length and it's already short. rayon knits have a tendency to shrink in length when washed so beware!")</f>
        <v>I love this tee but there is a lot of swing/ fabric so it can tend to make you look wide. also, i have a short torso to begin with but this tee is on the short side. i'm still undecided on whether i'm going to keep it b/c it's rayon/ poly and it's hand wash only. and i'm worried that one wash will make it shrink in length and it's already short. rayon knits have a tendency to shrink in length when washed so beware!</v>
      </c>
      <c r="F816" s="8">
        <f>IFERROR(__xludf.DUMMYFUNCTION("""COMPUTED_VALUE"""),4.0)</f>
        <v>4</v>
      </c>
      <c r="G816" s="8">
        <f>IFERROR(__xludf.DUMMYFUNCTION("""COMPUTED_VALUE"""),1.0)</f>
        <v>1</v>
      </c>
      <c r="H816" s="8">
        <f>IFERROR(__xludf.DUMMYFUNCTION("""COMPUTED_VALUE"""),0.0)</f>
        <v>0</v>
      </c>
      <c r="I816" s="8" t="str">
        <f>IFERROR(__xludf.DUMMYFUNCTION("""COMPUTED_VALUE"""),"General")</f>
        <v>General</v>
      </c>
      <c r="J816" s="8" t="str">
        <f>IFERROR(__xludf.DUMMYFUNCTION("""COMPUTED_VALUE"""),"Tops")</f>
        <v>Tops</v>
      </c>
      <c r="K816" s="8" t="str">
        <f>IFERROR(__xludf.DUMMYFUNCTION("""COMPUTED_VALUE"""),"Knits")</f>
        <v>Knits</v>
      </c>
    </row>
    <row r="817">
      <c r="A817" s="8">
        <f>IFERROR(__xludf.DUMMYFUNCTION("""COMPUTED_VALUE"""),1058.0)</f>
        <v>1058</v>
      </c>
      <c r="B817" s="8">
        <f>IFERROR(__xludf.DUMMYFUNCTION("""COMPUTED_VALUE"""),873.0)</f>
        <v>873</v>
      </c>
      <c r="C817" s="8">
        <f>IFERROR(__xludf.DUMMYFUNCTION("""COMPUTED_VALUE"""),42.0)</f>
        <v>42</v>
      </c>
      <c r="D817" s="8" t="str">
        <f>IFERROR(__xludf.DUMMYFUNCTION("""COMPUTED_VALUE"""),"Love the color!")</f>
        <v>Love the color!</v>
      </c>
      <c r="E817" s="8" t="str">
        <f>IFERROR(__xludf.DUMMYFUNCTION("""COMPUTED_VALUE"""),"I love this shirt so much i am ordering the coral too! the weight of the material makes it hang nicely. there is a lot of material but it lends itself to the flowy style. i got many compliments of this top!")</f>
        <v>I love this shirt so much i am ordering the coral too! the weight of the material makes it hang nicely. there is a lot of material but it lends itself to the flowy style. i got many compliments of this top!</v>
      </c>
      <c r="F817" s="8">
        <f>IFERROR(__xludf.DUMMYFUNCTION("""COMPUTED_VALUE"""),5.0)</f>
        <v>5</v>
      </c>
      <c r="G817" s="8">
        <f>IFERROR(__xludf.DUMMYFUNCTION("""COMPUTED_VALUE"""),1.0)</f>
        <v>1</v>
      </c>
      <c r="H817" s="8">
        <f>IFERROR(__xludf.DUMMYFUNCTION("""COMPUTED_VALUE"""),3.0)</f>
        <v>3</v>
      </c>
      <c r="I817" s="8" t="str">
        <f>IFERROR(__xludf.DUMMYFUNCTION("""COMPUTED_VALUE"""),"General")</f>
        <v>General</v>
      </c>
      <c r="J817" s="8" t="str">
        <f>IFERROR(__xludf.DUMMYFUNCTION("""COMPUTED_VALUE"""),"Tops")</f>
        <v>Tops</v>
      </c>
      <c r="K817" s="8" t="str">
        <f>IFERROR(__xludf.DUMMYFUNCTION("""COMPUTED_VALUE"""),"Knits")</f>
        <v>Knits</v>
      </c>
    </row>
    <row r="818">
      <c r="A818" s="8">
        <f>IFERROR(__xludf.DUMMYFUNCTION("""COMPUTED_VALUE"""),1059.0)</f>
        <v>1059</v>
      </c>
      <c r="B818" s="8">
        <f>IFERROR(__xludf.DUMMYFUNCTION("""COMPUTED_VALUE"""),949.0)</f>
        <v>949</v>
      </c>
      <c r="C818" s="8">
        <f>IFERROR(__xludf.DUMMYFUNCTION("""COMPUTED_VALUE"""),57.0)</f>
        <v>57</v>
      </c>
      <c r="D818" s="8" t="str">
        <f>IFERROR(__xludf.DUMMYFUNCTION("""COMPUTED_VALUE"""),"Finally a flattering sweater!")</f>
        <v>Finally a flattering sweater!</v>
      </c>
      <c r="E818" s="8" t="str">
        <f>IFERROR(__xludf.DUMMYFUNCTION("""COMPUTED_VALUE"""),"This sweater is perfect! finally a sweater that doesn't make me look like a huge box!
i bought the blue &amp; it has other colors running through it so i'll be able to wear it with chinos &amp; jeans. very pretty, flattering &amp; i think i'm going to be wearing thi"&amp;"s a lot.")</f>
        <v>This sweater is perfect! finally a sweater that doesn't make me look like a huge box!
i bought the blue &amp; it has other colors running through it so i'll be able to wear it with chinos &amp; jeans. very pretty, flattering &amp; i think i'm going to be wearing this a lot.</v>
      </c>
      <c r="F818" s="8">
        <f>IFERROR(__xludf.DUMMYFUNCTION("""COMPUTED_VALUE"""),5.0)</f>
        <v>5</v>
      </c>
      <c r="G818" s="8">
        <f>IFERROR(__xludf.DUMMYFUNCTION("""COMPUTED_VALUE"""),1.0)</f>
        <v>1</v>
      </c>
      <c r="H818" s="8">
        <f>IFERROR(__xludf.DUMMYFUNCTION("""COMPUTED_VALUE"""),6.0)</f>
        <v>6</v>
      </c>
      <c r="I818" s="8" t="str">
        <f>IFERROR(__xludf.DUMMYFUNCTION("""COMPUTED_VALUE"""),"General")</f>
        <v>General</v>
      </c>
      <c r="J818" s="8" t="str">
        <f>IFERROR(__xludf.DUMMYFUNCTION("""COMPUTED_VALUE"""),"Tops")</f>
        <v>Tops</v>
      </c>
      <c r="K818" s="8" t="str">
        <f>IFERROR(__xludf.DUMMYFUNCTION("""COMPUTED_VALUE"""),"Sweaters")</f>
        <v>Sweaters</v>
      </c>
    </row>
    <row r="819">
      <c r="A819" s="8">
        <f>IFERROR(__xludf.DUMMYFUNCTION("""COMPUTED_VALUE"""),1060.0)</f>
        <v>1060</v>
      </c>
      <c r="B819" s="8">
        <f>IFERROR(__xludf.DUMMYFUNCTION("""COMPUTED_VALUE"""),1083.0)</f>
        <v>1083</v>
      </c>
      <c r="C819" s="8">
        <f>IFERROR(__xludf.DUMMYFUNCTION("""COMPUTED_VALUE"""),54.0)</f>
        <v>54</v>
      </c>
      <c r="D819" s="8" t="str">
        <f>IFERROR(__xludf.DUMMYFUNCTION("""COMPUTED_VALUE"""),"Great dress, not for me")</f>
        <v>Great dress, not for me</v>
      </c>
      <c r="E819" s="8" t="str">
        <f>IFERROR(__xludf.DUMMYFUNCTION("""COMPUTED_VALUE"""),"I love byron lars. very taken with his fabrics and design concepts and i have ordered several of his dresses but i believe i need to surrender to the fact that they do not work for my body type. the dress is gorgeous in person: all the fabrics are great, "&amp;"the dress is fully lined and lots of nice finishing touches. it is a unique and very striking dress; this one i really wanted. however, it is designed for a woman who is proportionally longer, leaner with a larger bust size than i have. i ordere")</f>
        <v>I love byron lars. very taken with his fabrics and design concepts and i have ordered several of his dresses but i believe i need to surrender to the fact that they do not work for my body type. the dress is gorgeous in person: all the fabrics are great, the dress is fully lined and lots of nice finishing touches. it is a unique and very striking dress; this one i really wanted. however, it is designed for a woman who is proportionally longer, leaner with a larger bust size than i have. i ordere</v>
      </c>
      <c r="F819" s="8">
        <f>IFERROR(__xludf.DUMMYFUNCTION("""COMPUTED_VALUE"""),4.0)</f>
        <v>4</v>
      </c>
      <c r="G819" s="8">
        <f>IFERROR(__xludf.DUMMYFUNCTION("""COMPUTED_VALUE"""),1.0)</f>
        <v>1</v>
      </c>
      <c r="H819" s="8">
        <f>IFERROR(__xludf.DUMMYFUNCTION("""COMPUTED_VALUE"""),0.0)</f>
        <v>0</v>
      </c>
      <c r="I819" s="8" t="str">
        <f>IFERROR(__xludf.DUMMYFUNCTION("""COMPUTED_VALUE"""),"General Petite")</f>
        <v>General Petite</v>
      </c>
      <c r="J819" s="8" t="str">
        <f>IFERROR(__xludf.DUMMYFUNCTION("""COMPUTED_VALUE"""),"Dresses")</f>
        <v>Dresses</v>
      </c>
      <c r="K819" s="8" t="str">
        <f>IFERROR(__xludf.DUMMYFUNCTION("""COMPUTED_VALUE"""),"Dresses")</f>
        <v>Dresses</v>
      </c>
    </row>
    <row r="820">
      <c r="A820" s="8">
        <f>IFERROR(__xludf.DUMMYFUNCTION("""COMPUTED_VALUE"""),1062.0)</f>
        <v>1062</v>
      </c>
      <c r="B820" s="8">
        <f>IFERROR(__xludf.DUMMYFUNCTION("""COMPUTED_VALUE"""),949.0)</f>
        <v>949</v>
      </c>
      <c r="C820" s="8">
        <f>IFERROR(__xludf.DUMMYFUNCTION("""COMPUTED_VALUE"""),23.0)</f>
        <v>23</v>
      </c>
      <c r="D820" s="8" t="str">
        <f>IFERROR(__xludf.DUMMYFUNCTION("""COMPUTED_VALUE"""),"Perfect in all respects")</f>
        <v>Perfect in all respects</v>
      </c>
      <c r="E820" s="8" t="str">
        <f>IFERROR(__xludf.DUMMYFUNCTION("""COMPUTED_VALUE"""),"True to size for petite person; bought in blue - subtle shading, looks great; paired with your blue straight leg blue ""jeans""; perfect outfit for almost all occasions.")</f>
        <v>True to size for petite person; bought in blue - subtle shading, looks great; paired with your blue straight leg blue "jeans"; perfect outfit for almost all occasions.</v>
      </c>
      <c r="F820" s="8">
        <f>IFERROR(__xludf.DUMMYFUNCTION("""COMPUTED_VALUE"""),5.0)</f>
        <v>5</v>
      </c>
      <c r="G820" s="8">
        <f>IFERROR(__xludf.DUMMYFUNCTION("""COMPUTED_VALUE"""),1.0)</f>
        <v>1</v>
      </c>
      <c r="H820" s="8">
        <f>IFERROR(__xludf.DUMMYFUNCTION("""COMPUTED_VALUE"""),0.0)</f>
        <v>0</v>
      </c>
      <c r="I820" s="8" t="str">
        <f>IFERROR(__xludf.DUMMYFUNCTION("""COMPUTED_VALUE"""),"General")</f>
        <v>General</v>
      </c>
      <c r="J820" s="8" t="str">
        <f>IFERROR(__xludf.DUMMYFUNCTION("""COMPUTED_VALUE"""),"Tops")</f>
        <v>Tops</v>
      </c>
      <c r="K820" s="8" t="str">
        <f>IFERROR(__xludf.DUMMYFUNCTION("""COMPUTED_VALUE"""),"Sweaters")</f>
        <v>Sweaters</v>
      </c>
    </row>
    <row r="821">
      <c r="A821" s="8">
        <f>IFERROR(__xludf.DUMMYFUNCTION("""COMPUTED_VALUE"""),1064.0)</f>
        <v>1064</v>
      </c>
      <c r="B821" s="8">
        <f>IFERROR(__xludf.DUMMYFUNCTION("""COMPUTED_VALUE"""),949.0)</f>
        <v>949</v>
      </c>
      <c r="C821" s="8">
        <f>IFERROR(__xludf.DUMMYFUNCTION("""COMPUTED_VALUE"""),45.0)</f>
        <v>45</v>
      </c>
      <c r="D821" s="8" t="str">
        <f>IFERROR(__xludf.DUMMYFUNCTION("""COMPUTED_VALUE"""),"Upscale, unique sweater")</f>
        <v>Upscale, unique sweater</v>
      </c>
      <c r="E821" s="8" t="str">
        <f>IFERROR(__xludf.DUMMYFUNCTION("""COMPUTED_VALUE"""),"Spotted this beauty in my local store - hanging (grrr) which made it stretch out. note that it's made of linen, cotton, and acrylic, so it's not heavy, it's weighty. anyways, it seemed to run large just due to gravity, so i ended up ordering it so it wasn"&amp;"'t all stretched out. it's got a beautiful a-line cut - perfect for us bottom-heavy gals. love the colored thread woven throughout. worth the extra $.")</f>
        <v>Spotted this beauty in my local store - hanging (grrr) which made it stretch out. note that it's made of linen, cotton, and acrylic, so it's not heavy, it's weighty. anyways, it seemed to run large just due to gravity, so i ended up ordering it so it wasn't all stretched out. it's got a beautiful a-line cut - perfect for us bottom-heavy gals. love the colored thread woven throughout. worth the extra $.</v>
      </c>
      <c r="F821" s="8">
        <f>IFERROR(__xludf.DUMMYFUNCTION("""COMPUTED_VALUE"""),5.0)</f>
        <v>5</v>
      </c>
      <c r="G821" s="8">
        <f>IFERROR(__xludf.DUMMYFUNCTION("""COMPUTED_VALUE"""),1.0)</f>
        <v>1</v>
      </c>
      <c r="H821" s="8">
        <f>IFERROR(__xludf.DUMMYFUNCTION("""COMPUTED_VALUE"""),1.0)</f>
        <v>1</v>
      </c>
      <c r="I821" s="8" t="str">
        <f>IFERROR(__xludf.DUMMYFUNCTION("""COMPUTED_VALUE"""),"General")</f>
        <v>General</v>
      </c>
      <c r="J821" s="8" t="str">
        <f>IFERROR(__xludf.DUMMYFUNCTION("""COMPUTED_VALUE"""),"Tops")</f>
        <v>Tops</v>
      </c>
      <c r="K821" s="8" t="str">
        <f>IFERROR(__xludf.DUMMYFUNCTION("""COMPUTED_VALUE"""),"Sweaters")</f>
        <v>Sweaters</v>
      </c>
    </row>
    <row r="822">
      <c r="A822" s="8">
        <f>IFERROR(__xludf.DUMMYFUNCTION("""COMPUTED_VALUE"""),1065.0)</f>
        <v>1065</v>
      </c>
      <c r="B822" s="8">
        <f>IFERROR(__xludf.DUMMYFUNCTION("""COMPUTED_VALUE"""),864.0)</f>
        <v>864</v>
      </c>
      <c r="C822" s="8">
        <f>IFERROR(__xludf.DUMMYFUNCTION("""COMPUTED_VALUE"""),22.0)</f>
        <v>22</v>
      </c>
      <c r="D822" s="8" t="str">
        <f>IFERROR(__xludf.DUMMYFUNCTION("""COMPUTED_VALUE"""),"Fun shirt!")</f>
        <v>Fun shirt!</v>
      </c>
      <c r="E822" s="8" t="str">
        <f>IFERROR(__xludf.DUMMYFUNCTION("""COMPUTED_VALUE"""),"Okay this shirt is soooo comf. it is super fun and flowy. but it runs large. get one size smaller than you would usually get! so worth the sale price!!!")</f>
        <v>Okay this shirt is soooo comf. it is super fun and flowy. but it runs large. get one size smaller than you would usually get! so worth the sale price!!!</v>
      </c>
      <c r="F822" s="8">
        <f>IFERROR(__xludf.DUMMYFUNCTION("""COMPUTED_VALUE"""),5.0)</f>
        <v>5</v>
      </c>
      <c r="G822" s="8">
        <f>IFERROR(__xludf.DUMMYFUNCTION("""COMPUTED_VALUE"""),1.0)</f>
        <v>1</v>
      </c>
      <c r="H822" s="8">
        <f>IFERROR(__xludf.DUMMYFUNCTION("""COMPUTED_VALUE"""),4.0)</f>
        <v>4</v>
      </c>
      <c r="I822" s="8" t="str">
        <f>IFERROR(__xludf.DUMMYFUNCTION("""COMPUTED_VALUE"""),"General")</f>
        <v>General</v>
      </c>
      <c r="J822" s="8" t="str">
        <f>IFERROR(__xludf.DUMMYFUNCTION("""COMPUTED_VALUE"""),"Tops")</f>
        <v>Tops</v>
      </c>
      <c r="K822" s="8" t="str">
        <f>IFERROR(__xludf.DUMMYFUNCTION("""COMPUTED_VALUE"""),"Knits")</f>
        <v>Knits</v>
      </c>
    </row>
    <row r="823">
      <c r="A823" s="8">
        <f>IFERROR(__xludf.DUMMYFUNCTION("""COMPUTED_VALUE"""),1066.0)</f>
        <v>1066</v>
      </c>
      <c r="B823" s="8">
        <f>IFERROR(__xludf.DUMMYFUNCTION("""COMPUTED_VALUE"""),864.0)</f>
        <v>864</v>
      </c>
      <c r="C823" s="8">
        <f>IFERROR(__xludf.DUMMYFUNCTION("""COMPUTED_VALUE"""),35.0)</f>
        <v>35</v>
      </c>
      <c r="D823" s="8"/>
      <c r="E823" s="8" t="str">
        <f>IFERROR(__xludf.DUMMYFUNCTION("""COMPUTED_VALUE"""),"Cute and comfy shirt! tts- got my usual m (i'm a 10) and it has a generous fit but i think it's supposed to. it's actually a silver grey color.")</f>
        <v>Cute and comfy shirt! tts- got my usual m (i'm a 10) and it has a generous fit but i think it's supposed to. it's actually a silver grey color.</v>
      </c>
      <c r="F823" s="8">
        <f>IFERROR(__xludf.DUMMYFUNCTION("""COMPUTED_VALUE"""),5.0)</f>
        <v>5</v>
      </c>
      <c r="G823" s="8">
        <f>IFERROR(__xludf.DUMMYFUNCTION("""COMPUTED_VALUE"""),1.0)</f>
        <v>1</v>
      </c>
      <c r="H823" s="8">
        <f>IFERROR(__xludf.DUMMYFUNCTION("""COMPUTED_VALUE"""),0.0)</f>
        <v>0</v>
      </c>
      <c r="I823" s="8" t="str">
        <f>IFERROR(__xludf.DUMMYFUNCTION("""COMPUTED_VALUE"""),"General")</f>
        <v>General</v>
      </c>
      <c r="J823" s="8" t="str">
        <f>IFERROR(__xludf.DUMMYFUNCTION("""COMPUTED_VALUE"""),"Tops")</f>
        <v>Tops</v>
      </c>
      <c r="K823" s="8" t="str">
        <f>IFERROR(__xludf.DUMMYFUNCTION("""COMPUTED_VALUE"""),"Knits")</f>
        <v>Knits</v>
      </c>
    </row>
    <row r="824">
      <c r="A824" s="8">
        <f>IFERROR(__xludf.DUMMYFUNCTION("""COMPUTED_VALUE"""),1067.0)</f>
        <v>1067</v>
      </c>
      <c r="B824" s="8">
        <f>IFERROR(__xludf.DUMMYFUNCTION("""COMPUTED_VALUE"""),873.0)</f>
        <v>873</v>
      </c>
      <c r="C824" s="8">
        <f>IFERROR(__xludf.DUMMYFUNCTION("""COMPUTED_VALUE"""),52.0)</f>
        <v>52</v>
      </c>
      <c r="D824" s="8" t="str">
        <f>IFERROR(__xludf.DUMMYFUNCTION("""COMPUTED_VALUE"""),"Lovely surprise")</f>
        <v>Lovely surprise</v>
      </c>
      <c r="E824" s="8" t="str">
        <f>IFERROR(__xludf.DUMMYFUNCTION("""COMPUTED_VALUE"""),"I would highly recommend this top. i usually wear a small petite. but returned the top for an xs petite which fit perfectly. there is a lot of fabric, but if you size down it wasn't an issue for me. i weigh 120lbs and am 5 feet tall. also, i'm busty, 34 d"&amp;". which worried me with this type of top. not a problem. i will wear a blazer or leather short jacket with this. i am very picky and i was happy with the quality. the fabric is not heavy. it's a fantastic purchase!")</f>
        <v>I would highly recommend this top. i usually wear a small petite. but returned the top for an xs petite which fit perfectly. there is a lot of fabric, but if you size down it wasn't an issue for me. i weigh 120lbs and am 5 feet tall. also, i'm busty, 34 d. which worried me with this type of top. not a problem. i will wear a blazer or leather short jacket with this. i am very picky and i was happy with the quality. the fabric is not heavy. it's a fantastic purchase!</v>
      </c>
      <c r="F824" s="8">
        <f>IFERROR(__xludf.DUMMYFUNCTION("""COMPUTED_VALUE"""),5.0)</f>
        <v>5</v>
      </c>
      <c r="G824" s="8">
        <f>IFERROR(__xludf.DUMMYFUNCTION("""COMPUTED_VALUE"""),1.0)</f>
        <v>1</v>
      </c>
      <c r="H824" s="8">
        <f>IFERROR(__xludf.DUMMYFUNCTION("""COMPUTED_VALUE"""),0.0)</f>
        <v>0</v>
      </c>
      <c r="I824" s="8" t="str">
        <f>IFERROR(__xludf.DUMMYFUNCTION("""COMPUTED_VALUE"""),"General")</f>
        <v>General</v>
      </c>
      <c r="J824" s="8" t="str">
        <f>IFERROR(__xludf.DUMMYFUNCTION("""COMPUTED_VALUE"""),"Tops")</f>
        <v>Tops</v>
      </c>
      <c r="K824" s="8" t="str">
        <f>IFERROR(__xludf.DUMMYFUNCTION("""COMPUTED_VALUE"""),"Knits")</f>
        <v>Knits</v>
      </c>
    </row>
    <row r="825">
      <c r="A825" s="8">
        <f>IFERROR(__xludf.DUMMYFUNCTION("""COMPUTED_VALUE"""),1068.0)</f>
        <v>1068</v>
      </c>
      <c r="B825" s="8">
        <f>IFERROR(__xludf.DUMMYFUNCTION("""COMPUTED_VALUE"""),1099.0)</f>
        <v>1099</v>
      </c>
      <c r="C825" s="8">
        <f>IFERROR(__xludf.DUMMYFUNCTION("""COMPUTED_VALUE"""),50.0)</f>
        <v>50</v>
      </c>
      <c r="D825" s="8" t="str">
        <f>IFERROR(__xludf.DUMMYFUNCTION("""COMPUTED_VALUE"""),"Petite busty girls rejoice 2")</f>
        <v>Petite busty girls rejoice 2</v>
      </c>
      <c r="E825" s="8" t="str">
        <f>IFERROR(__xludf.DUMMYFUNCTION("""COMPUTED_VALUE"""),"I loved this but hesitated to order since i'm petite and busty and assumed it would be an awful mess in the chest area (too tight, gaping etc) but it is great!!! it fits perfectly! there is plenty of room in the chest and the dress is not too long! i orde"&amp;"red a pm and its wonderful. the dress is not see through at all. love it!!!!!")</f>
        <v>I loved this but hesitated to order since i'm petite and busty and assumed it would be an awful mess in the chest area (too tight, gaping etc) but it is great!!! it fits perfectly! there is plenty of room in the chest and the dress is not too long! i ordered a pm and its wonderful. the dress is not see through at all. love it!!!!!</v>
      </c>
      <c r="F825" s="8">
        <f>IFERROR(__xludf.DUMMYFUNCTION("""COMPUTED_VALUE"""),5.0)</f>
        <v>5</v>
      </c>
      <c r="G825" s="8">
        <f>IFERROR(__xludf.DUMMYFUNCTION("""COMPUTED_VALUE"""),1.0)</f>
        <v>1</v>
      </c>
      <c r="H825" s="8">
        <f>IFERROR(__xludf.DUMMYFUNCTION("""COMPUTED_VALUE"""),1.0)</f>
        <v>1</v>
      </c>
      <c r="I825" s="8" t="str">
        <f>IFERROR(__xludf.DUMMYFUNCTION("""COMPUTED_VALUE"""),"General Petite")</f>
        <v>General Petite</v>
      </c>
      <c r="J825" s="8" t="str">
        <f>IFERROR(__xludf.DUMMYFUNCTION("""COMPUTED_VALUE"""),"Dresses")</f>
        <v>Dresses</v>
      </c>
      <c r="K825" s="8" t="str">
        <f>IFERROR(__xludf.DUMMYFUNCTION("""COMPUTED_VALUE"""),"Dresses")</f>
        <v>Dresses</v>
      </c>
    </row>
    <row r="826">
      <c r="A826" s="8">
        <f>IFERROR(__xludf.DUMMYFUNCTION("""COMPUTED_VALUE"""),1069.0)</f>
        <v>1069</v>
      </c>
      <c r="B826" s="8">
        <f>IFERROR(__xludf.DUMMYFUNCTION("""COMPUTED_VALUE"""),1001.0)</f>
        <v>1001</v>
      </c>
      <c r="C826" s="8">
        <f>IFERROR(__xludf.DUMMYFUNCTION("""COMPUTED_VALUE"""),48.0)</f>
        <v>48</v>
      </c>
      <c r="D826" s="8"/>
      <c r="E826" s="8" t="str">
        <f>IFERROR(__xludf.DUMMYFUNCTION("""COMPUTED_VALUE"""),"Runs a little big. fabric is very soft and comfortable")</f>
        <v>Runs a little big. fabric is very soft and comfortable</v>
      </c>
      <c r="F826" s="8">
        <f>IFERROR(__xludf.DUMMYFUNCTION("""COMPUTED_VALUE"""),4.0)</f>
        <v>4</v>
      </c>
      <c r="G826" s="8">
        <f>IFERROR(__xludf.DUMMYFUNCTION("""COMPUTED_VALUE"""),1.0)</f>
        <v>1</v>
      </c>
      <c r="H826" s="8">
        <f>IFERROR(__xludf.DUMMYFUNCTION("""COMPUTED_VALUE"""),1.0)</f>
        <v>1</v>
      </c>
      <c r="I826" s="8" t="str">
        <f>IFERROR(__xludf.DUMMYFUNCTION("""COMPUTED_VALUE"""),"General")</f>
        <v>General</v>
      </c>
      <c r="J826" s="8" t="str">
        <f>IFERROR(__xludf.DUMMYFUNCTION("""COMPUTED_VALUE"""),"Bottoms")</f>
        <v>Bottoms</v>
      </c>
      <c r="K826" s="8" t="str">
        <f>IFERROR(__xludf.DUMMYFUNCTION("""COMPUTED_VALUE"""),"Skirts")</f>
        <v>Skirts</v>
      </c>
    </row>
    <row r="827">
      <c r="A827" s="8">
        <f>IFERROR(__xludf.DUMMYFUNCTION("""COMPUTED_VALUE"""),1070.0)</f>
        <v>1070</v>
      </c>
      <c r="B827" s="8">
        <f>IFERROR(__xludf.DUMMYFUNCTION("""COMPUTED_VALUE"""),829.0)</f>
        <v>829</v>
      </c>
      <c r="C827" s="8">
        <f>IFERROR(__xludf.DUMMYFUNCTION("""COMPUTED_VALUE"""),41.0)</f>
        <v>41</v>
      </c>
      <c r="D827" s="8" t="str">
        <f>IFERROR(__xludf.DUMMYFUNCTION("""COMPUTED_VALUE"""),"Cute!")</f>
        <v>Cute!</v>
      </c>
      <c r="E827" s="8" t="str">
        <f>IFERROR(__xludf.DUMMYFUNCTION("""COMPUTED_VALUE"""),"This top is really cute and i think will be a great transition piece. i'm glad i tried it on in the store as it runs very small. i typically wear a 00 or 0 and bought this in a 2. they didn't have it in stock,so i ordered it and hope it fits.")</f>
        <v>This top is really cute and i think will be a great transition piece. i'm glad i tried it on in the store as it runs very small. i typically wear a 00 or 0 and bought this in a 2. they didn't have it in stock,so i ordered it and hope it fits.</v>
      </c>
      <c r="F827" s="8">
        <f>IFERROR(__xludf.DUMMYFUNCTION("""COMPUTED_VALUE"""),4.0)</f>
        <v>4</v>
      </c>
      <c r="G827" s="8">
        <f>IFERROR(__xludf.DUMMYFUNCTION("""COMPUTED_VALUE"""),1.0)</f>
        <v>1</v>
      </c>
      <c r="H827" s="8">
        <f>IFERROR(__xludf.DUMMYFUNCTION("""COMPUTED_VALUE"""),2.0)</f>
        <v>2</v>
      </c>
      <c r="I827" s="8" t="str">
        <f>IFERROR(__xludf.DUMMYFUNCTION("""COMPUTED_VALUE"""),"General Petite")</f>
        <v>General Petite</v>
      </c>
      <c r="J827" s="8" t="str">
        <f>IFERROR(__xludf.DUMMYFUNCTION("""COMPUTED_VALUE"""),"Tops")</f>
        <v>Tops</v>
      </c>
      <c r="K827" s="8" t="str">
        <f>IFERROR(__xludf.DUMMYFUNCTION("""COMPUTED_VALUE"""),"Blouses")</f>
        <v>Blouses</v>
      </c>
    </row>
    <row r="828">
      <c r="A828" s="8">
        <f>IFERROR(__xludf.DUMMYFUNCTION("""COMPUTED_VALUE"""),1071.0)</f>
        <v>1071</v>
      </c>
      <c r="B828" s="8">
        <f>IFERROR(__xludf.DUMMYFUNCTION("""COMPUTED_VALUE"""),815.0)</f>
        <v>815</v>
      </c>
      <c r="C828" s="8">
        <f>IFERROR(__xludf.DUMMYFUNCTION("""COMPUTED_VALUE"""),53.0)</f>
        <v>53</v>
      </c>
      <c r="D828" s="8" t="str">
        <f>IFERROR(__xludf.DUMMYFUNCTION("""COMPUTED_VALUE"""),"Such a beautiful victorian blouse!")</f>
        <v>Such a beautiful victorian blouse!</v>
      </c>
      <c r="E828" s="8" t="str">
        <f>IFERROR(__xludf.DUMMYFUNCTION("""COMPUTED_VALUE"""),"I just saw this vintage style blouse at my local store and tried it and think this blouse is amazingly beautiful! it's actually very well made and a tad heftier than i imagined from the picture. there's different strips of gorgeous lace all over including"&amp;" that amazing lace at the collar and bib, the arm holes are just perfect in my regular size small (34d-27-35) so it runs tts and i didn't find this overly blousy myself though that's just part of its charm. you'll need an undershirt or something")</f>
        <v>I just saw this vintage style blouse at my local store and tried it and think this blouse is amazingly beautiful! it's actually very well made and a tad heftier than i imagined from the picture. there's different strips of gorgeous lace all over including that amazing lace at the collar and bib, the arm holes are just perfect in my regular size small (34d-27-35) so it runs tts and i didn't find this overly blousy myself though that's just part of its charm. you'll need an undershirt or something</v>
      </c>
      <c r="F828" s="8">
        <f>IFERROR(__xludf.DUMMYFUNCTION("""COMPUTED_VALUE"""),5.0)</f>
        <v>5</v>
      </c>
      <c r="G828" s="8">
        <f>IFERROR(__xludf.DUMMYFUNCTION("""COMPUTED_VALUE"""),1.0)</f>
        <v>1</v>
      </c>
      <c r="H828" s="8">
        <f>IFERROR(__xludf.DUMMYFUNCTION("""COMPUTED_VALUE"""),4.0)</f>
        <v>4</v>
      </c>
      <c r="I828" s="8" t="str">
        <f>IFERROR(__xludf.DUMMYFUNCTION("""COMPUTED_VALUE"""),"General Petite")</f>
        <v>General Petite</v>
      </c>
      <c r="J828" s="8" t="str">
        <f>IFERROR(__xludf.DUMMYFUNCTION("""COMPUTED_VALUE"""),"Tops")</f>
        <v>Tops</v>
      </c>
      <c r="K828" s="8" t="str">
        <f>IFERROR(__xludf.DUMMYFUNCTION("""COMPUTED_VALUE"""),"Blouses")</f>
        <v>Blouses</v>
      </c>
    </row>
    <row r="829">
      <c r="A829" s="8">
        <f>IFERROR(__xludf.DUMMYFUNCTION("""COMPUTED_VALUE"""),1073.0)</f>
        <v>1073</v>
      </c>
      <c r="B829" s="8">
        <f>IFERROR(__xludf.DUMMYFUNCTION("""COMPUTED_VALUE"""),831.0)</f>
        <v>831</v>
      </c>
      <c r="C829" s="8">
        <f>IFERROR(__xludf.DUMMYFUNCTION("""COMPUTED_VALUE"""),20.0)</f>
        <v>20</v>
      </c>
      <c r="D829" s="8" t="str">
        <f>IFERROR(__xludf.DUMMYFUNCTION("""COMPUTED_VALUE"""),"Beautiful top, looks great with black/gray jeans")</f>
        <v>Beautiful top, looks great with black/gray jeans</v>
      </c>
      <c r="E829" s="8" t="str">
        <f>IFERROR(__xludf.DUMMYFUNCTION("""COMPUTED_VALUE"""),"I love this top. the quality is excellent. the blouse is lined and falls nicely.. i like to wear it with a pair of dark gray jeans. the color is described as ""orange"", but it really has more of a bronze tone. looks very rich and exotic. it's perfect top"&amp;" when you want to wear jeans, but want to dress it up a bit.")</f>
        <v>I love this top. the quality is excellent. the blouse is lined and falls nicely.. i like to wear it with a pair of dark gray jeans. the color is described as "orange", but it really has more of a bronze tone. looks very rich and exotic. it's perfect top when you want to wear jeans, but want to dress it up a bit.</v>
      </c>
      <c r="F829" s="8">
        <f>IFERROR(__xludf.DUMMYFUNCTION("""COMPUTED_VALUE"""),5.0)</f>
        <v>5</v>
      </c>
      <c r="G829" s="8">
        <f>IFERROR(__xludf.DUMMYFUNCTION("""COMPUTED_VALUE"""),1.0)</f>
        <v>1</v>
      </c>
      <c r="H829" s="8">
        <f>IFERROR(__xludf.DUMMYFUNCTION("""COMPUTED_VALUE"""),1.0)</f>
        <v>1</v>
      </c>
      <c r="I829" s="8" t="str">
        <f>IFERROR(__xludf.DUMMYFUNCTION("""COMPUTED_VALUE"""),"General")</f>
        <v>General</v>
      </c>
      <c r="J829" s="8" t="str">
        <f>IFERROR(__xludf.DUMMYFUNCTION("""COMPUTED_VALUE"""),"Tops")</f>
        <v>Tops</v>
      </c>
      <c r="K829" s="8" t="str">
        <f>IFERROR(__xludf.DUMMYFUNCTION("""COMPUTED_VALUE"""),"Blouses")</f>
        <v>Blouses</v>
      </c>
    </row>
    <row r="830">
      <c r="A830" s="8">
        <f>IFERROR(__xludf.DUMMYFUNCTION("""COMPUTED_VALUE"""),1074.0)</f>
        <v>1074</v>
      </c>
      <c r="B830" s="8">
        <f>IFERROR(__xludf.DUMMYFUNCTION("""COMPUTED_VALUE"""),738.0)</f>
        <v>738</v>
      </c>
      <c r="C830" s="8">
        <f>IFERROR(__xludf.DUMMYFUNCTION("""COMPUTED_VALUE"""),30.0)</f>
        <v>30</v>
      </c>
      <c r="D830" s="8" t="str">
        <f>IFERROR(__xludf.DUMMYFUNCTION("""COMPUTED_VALUE"""),"Gorgeous, high quality, and figure flattering!")</f>
        <v>Gorgeous, high quality, and figure flattering!</v>
      </c>
      <c r="E830" s="8" t="str">
        <f>IFERROR(__xludf.DUMMYFUNCTION("""COMPUTED_VALUE"""),"This swimsuit completely exceeded my expectations! 
i'm 5'2"", 140 lbs with an athletic build, and the cut of this swimsuit is ultra slimming! with the way the top wraps it makes my torso look much longer and leaner than it actually is :) i bought the top"&amp;" in a small and the matching bottoms in medium. 
the material is thick, high quality, and the colors are exactly the way they appear online. 
the top is reversible and the alternate side is teal and nude. i feel like i got 4 tops in one sinc")</f>
        <v>This swimsuit completely exceeded my expectations! 
i'm 5'2", 140 lbs with an athletic build, and the cut of this swimsuit is ultra slimming! with the way the top wraps it makes my torso look much longer and leaner than it actually is :) i bought the top in a small and the matching bottoms in medium. 
the material is thick, high quality, and the colors are exactly the way they appear online. 
the top is reversible and the alternate side is teal and nude. i feel like i got 4 tops in one sinc</v>
      </c>
      <c r="F830" s="8">
        <f>IFERROR(__xludf.DUMMYFUNCTION("""COMPUTED_VALUE"""),5.0)</f>
        <v>5</v>
      </c>
      <c r="G830" s="8">
        <f>IFERROR(__xludf.DUMMYFUNCTION("""COMPUTED_VALUE"""),1.0)</f>
        <v>1</v>
      </c>
      <c r="H830" s="8">
        <f>IFERROR(__xludf.DUMMYFUNCTION("""COMPUTED_VALUE"""),4.0)</f>
        <v>4</v>
      </c>
      <c r="I830" s="8" t="str">
        <f>IFERROR(__xludf.DUMMYFUNCTION("""COMPUTED_VALUE"""),"Initmates")</f>
        <v>Initmates</v>
      </c>
      <c r="J830" s="8" t="str">
        <f>IFERROR(__xludf.DUMMYFUNCTION("""COMPUTED_VALUE"""),"Intimate")</f>
        <v>Intimate</v>
      </c>
      <c r="K830" s="8" t="str">
        <f>IFERROR(__xludf.DUMMYFUNCTION("""COMPUTED_VALUE"""),"Swim")</f>
        <v>Swim</v>
      </c>
    </row>
    <row r="831">
      <c r="A831" s="8">
        <f>IFERROR(__xludf.DUMMYFUNCTION("""COMPUTED_VALUE"""),1075.0)</f>
        <v>1075</v>
      </c>
      <c r="B831" s="8">
        <f>IFERROR(__xludf.DUMMYFUNCTION("""COMPUTED_VALUE"""),1099.0)</f>
        <v>1099</v>
      </c>
      <c r="C831" s="8">
        <f>IFERROR(__xludf.DUMMYFUNCTION("""COMPUTED_VALUE"""),42.0)</f>
        <v>42</v>
      </c>
      <c r="D831" s="8" t="str">
        <f>IFERROR(__xludf.DUMMYFUNCTION("""COMPUTED_VALUE"""),"Pretty in pink")</f>
        <v>Pretty in pink</v>
      </c>
      <c r="E831" s="8" t="str">
        <f>IFERROR(__xludf.DUMMYFUNCTION("""COMPUTED_VALUE"""),"I'm 5'2 around 125 lbs, muscular and petite, so i ordered a petite small and it fits great. the length is perfect, i can wear with heels or dress down with flops. it's lined, which i think most dresses and skirts should be, so i was happy about that. i wa"&amp;"s pleasantly surprised with the slits up both sides, to show a little leg....sexy. it's not too low cut that you have to wear a cami and ruin the neckline, so that's plus. my only issue was the fabric didn't line up on me the same as the model,")</f>
        <v>I'm 5'2 around 125 lbs, muscular and petite, so i ordered a petite small and it fits great. the length is perfect, i can wear with heels or dress down with flops. it's lined, which i think most dresses and skirts should be, so i was happy about that. i was pleasantly surprised with the slits up both sides, to show a little leg....sexy. it's not too low cut that you have to wear a cami and ruin the neckline, so that's plus. my only issue was the fabric didn't line up on me the same as the model,</v>
      </c>
      <c r="F831" s="8">
        <f>IFERROR(__xludf.DUMMYFUNCTION("""COMPUTED_VALUE"""),4.0)</f>
        <v>4</v>
      </c>
      <c r="G831" s="8">
        <f>IFERROR(__xludf.DUMMYFUNCTION("""COMPUTED_VALUE"""),1.0)</f>
        <v>1</v>
      </c>
      <c r="H831" s="8">
        <f>IFERROR(__xludf.DUMMYFUNCTION("""COMPUTED_VALUE"""),0.0)</f>
        <v>0</v>
      </c>
      <c r="I831" s="8" t="str">
        <f>IFERROR(__xludf.DUMMYFUNCTION("""COMPUTED_VALUE"""),"General Petite")</f>
        <v>General Petite</v>
      </c>
      <c r="J831" s="8" t="str">
        <f>IFERROR(__xludf.DUMMYFUNCTION("""COMPUTED_VALUE"""),"Dresses")</f>
        <v>Dresses</v>
      </c>
      <c r="K831" s="8" t="str">
        <f>IFERROR(__xludf.DUMMYFUNCTION("""COMPUTED_VALUE"""),"Dresses")</f>
        <v>Dresses</v>
      </c>
    </row>
    <row r="832">
      <c r="A832" s="8">
        <f>IFERROR(__xludf.DUMMYFUNCTION("""COMPUTED_VALUE"""),1076.0)</f>
        <v>1076</v>
      </c>
      <c r="B832" s="8">
        <f>IFERROR(__xludf.DUMMYFUNCTION("""COMPUTED_VALUE"""),1094.0)</f>
        <v>1094</v>
      </c>
      <c r="C832" s="8">
        <f>IFERROR(__xludf.DUMMYFUNCTION("""COMPUTED_VALUE"""),53.0)</f>
        <v>53</v>
      </c>
      <c r="D832" s="8" t="str">
        <f>IFERROR(__xludf.DUMMYFUNCTION("""COMPUTED_VALUE"""),"This dress is divine!")</f>
        <v>This dress is divine!</v>
      </c>
      <c r="E832" s="8" t="str">
        <f>IFERROR(__xludf.DUMMYFUNCTION("""COMPUTED_VALUE"""),"As soon as i saw this dress, i knew i had to have it. i just tried it on and it is beautiful. i feel gorgeous and glamorous! i can't wait to wear this to a special event as it truly deserves that attention.
the silk is soft and the slip underneath is per"&amp;"fect. the tie in the back perfectly cinches the dress and the pleating is a wonderful detail to the look.
i am 5'0"", 110, and i purchased the small petite. it's slightly big around the armholes and it kind of poofs / puckers out so i'm going to")</f>
        <v>As soon as i saw this dress, i knew i had to have it. i just tried it on and it is beautiful. i feel gorgeous and glamorous! i can't wait to wear this to a special event as it truly deserves that attention.
the silk is soft and the slip underneath is perfect. the tie in the back perfectly cinches the dress and the pleating is a wonderful detail to the look.
i am 5'0", 110, and i purchased the small petite. it's slightly big around the armholes and it kind of poofs / puckers out so i'm going to</v>
      </c>
      <c r="F832" s="8">
        <f>IFERROR(__xludf.DUMMYFUNCTION("""COMPUTED_VALUE"""),5.0)</f>
        <v>5</v>
      </c>
      <c r="G832" s="8">
        <f>IFERROR(__xludf.DUMMYFUNCTION("""COMPUTED_VALUE"""),1.0)</f>
        <v>1</v>
      </c>
      <c r="H832" s="8">
        <f>IFERROR(__xludf.DUMMYFUNCTION("""COMPUTED_VALUE"""),11.0)</f>
        <v>11</v>
      </c>
      <c r="I832" s="8" t="str">
        <f>IFERROR(__xludf.DUMMYFUNCTION("""COMPUTED_VALUE"""),"General")</f>
        <v>General</v>
      </c>
      <c r="J832" s="8" t="str">
        <f>IFERROR(__xludf.DUMMYFUNCTION("""COMPUTED_VALUE"""),"Dresses")</f>
        <v>Dresses</v>
      </c>
      <c r="K832" s="8" t="str">
        <f>IFERROR(__xludf.DUMMYFUNCTION("""COMPUTED_VALUE"""),"Dresses")</f>
        <v>Dresses</v>
      </c>
    </row>
    <row r="833">
      <c r="A833" s="8">
        <f>IFERROR(__xludf.DUMMYFUNCTION("""COMPUTED_VALUE"""),1079.0)</f>
        <v>1079</v>
      </c>
      <c r="B833" s="8">
        <f>IFERROR(__xludf.DUMMYFUNCTION("""COMPUTED_VALUE"""),895.0)</f>
        <v>895</v>
      </c>
      <c r="C833" s="8">
        <f>IFERROR(__xludf.DUMMYFUNCTION("""COMPUTED_VALUE"""),47.0)</f>
        <v>47</v>
      </c>
      <c r="D833" s="8" t="str">
        <f>IFERROR(__xludf.DUMMYFUNCTION("""COMPUTED_VALUE"""),"Beautiful, cozy sweater")</f>
        <v>Beautiful, cozy sweater</v>
      </c>
      <c r="E833" s="8" t="str">
        <f>IFERROR(__xludf.DUMMYFUNCTION("""COMPUTED_VALUE"""),"I love how soft and cozy this sweater is. the addition of some cashmere in the yarn makes all the difference. the red color is beautiful also, perfect for the holidays. flattering cut in the back (it dips down to cover your bum) and the pointelle details "&amp;"are very pretty. fit was tts")</f>
        <v>I love how soft and cozy this sweater is. the addition of some cashmere in the yarn makes all the difference. the red color is beautiful also, perfect for the holidays. flattering cut in the back (it dips down to cover your bum) and the pointelle details are very pretty. fit was tts</v>
      </c>
      <c r="F833" s="8">
        <f>IFERROR(__xludf.DUMMYFUNCTION("""COMPUTED_VALUE"""),5.0)</f>
        <v>5</v>
      </c>
      <c r="G833" s="8">
        <f>IFERROR(__xludf.DUMMYFUNCTION("""COMPUTED_VALUE"""),1.0)</f>
        <v>1</v>
      </c>
      <c r="H833" s="8">
        <f>IFERROR(__xludf.DUMMYFUNCTION("""COMPUTED_VALUE"""),3.0)</f>
        <v>3</v>
      </c>
      <c r="I833" s="8" t="str">
        <f>IFERROR(__xludf.DUMMYFUNCTION("""COMPUTED_VALUE"""),"General")</f>
        <v>General</v>
      </c>
      <c r="J833" s="8" t="str">
        <f>IFERROR(__xludf.DUMMYFUNCTION("""COMPUTED_VALUE"""),"Tops")</f>
        <v>Tops</v>
      </c>
      <c r="K833" s="8" t="str">
        <f>IFERROR(__xludf.DUMMYFUNCTION("""COMPUTED_VALUE"""),"Fine gauge")</f>
        <v>Fine gauge</v>
      </c>
    </row>
    <row r="834">
      <c r="A834" s="8">
        <f>IFERROR(__xludf.DUMMYFUNCTION("""COMPUTED_VALUE"""),1080.0)</f>
        <v>1080</v>
      </c>
      <c r="B834" s="8">
        <f>IFERROR(__xludf.DUMMYFUNCTION("""COMPUTED_VALUE"""),831.0)</f>
        <v>831</v>
      </c>
      <c r="C834" s="8">
        <f>IFERROR(__xludf.DUMMYFUNCTION("""COMPUTED_VALUE"""),46.0)</f>
        <v>46</v>
      </c>
      <c r="D834" s="8" t="str">
        <f>IFERROR(__xludf.DUMMYFUNCTION("""COMPUTED_VALUE"""),"Worth thr $$$")</f>
        <v>Worth thr $$$</v>
      </c>
      <c r="E834" s="8" t="str">
        <f>IFERROR(__xludf.DUMMYFUNCTION("""COMPUTED_VALUE"""),"This top is such a great investment piece. looks classy and is comfortable all at the same time. it is pricey but you will not regret buying this. goes great with light trouser denim or i have the green pilcro khakis. it will he something you will keep in"&amp;" your closet for a long time.")</f>
        <v>This top is such a great investment piece. looks classy and is comfortable all at the same time. it is pricey but you will not regret buying this. goes great with light trouser denim or i have the green pilcro khakis. it will he something you will keep in your closet for a long time.</v>
      </c>
      <c r="F834" s="8">
        <f>IFERROR(__xludf.DUMMYFUNCTION("""COMPUTED_VALUE"""),5.0)</f>
        <v>5</v>
      </c>
      <c r="G834" s="8">
        <f>IFERROR(__xludf.DUMMYFUNCTION("""COMPUTED_VALUE"""),1.0)</f>
        <v>1</v>
      </c>
      <c r="H834" s="8">
        <f>IFERROR(__xludf.DUMMYFUNCTION("""COMPUTED_VALUE"""),0.0)</f>
        <v>0</v>
      </c>
      <c r="I834" s="8" t="str">
        <f>IFERROR(__xludf.DUMMYFUNCTION("""COMPUTED_VALUE"""),"General")</f>
        <v>General</v>
      </c>
      <c r="J834" s="8" t="str">
        <f>IFERROR(__xludf.DUMMYFUNCTION("""COMPUTED_VALUE"""),"Tops")</f>
        <v>Tops</v>
      </c>
      <c r="K834" s="8" t="str">
        <f>IFERROR(__xludf.DUMMYFUNCTION("""COMPUTED_VALUE"""),"Blouses")</f>
        <v>Blouses</v>
      </c>
    </row>
    <row r="835">
      <c r="A835" s="8">
        <f>IFERROR(__xludf.DUMMYFUNCTION("""COMPUTED_VALUE"""),1081.0)</f>
        <v>1081</v>
      </c>
      <c r="B835" s="8">
        <f>IFERROR(__xludf.DUMMYFUNCTION("""COMPUTED_VALUE"""),895.0)</f>
        <v>895</v>
      </c>
      <c r="C835" s="8">
        <f>IFERROR(__xludf.DUMMYFUNCTION("""COMPUTED_VALUE"""),33.0)</f>
        <v>33</v>
      </c>
      <c r="D835" s="8" t="str">
        <f>IFERROR(__xludf.DUMMYFUNCTION("""COMPUTED_VALUE"""),"Stunning")</f>
        <v>Stunning</v>
      </c>
      <c r="E835" s="8" t="str">
        <f>IFERROR(__xludf.DUMMYFUNCTION("""COMPUTED_VALUE"""),"I always end up walking out of an retailer store with something very different than what i thought and this was one. it drapes beautifully and the red color is rich and vibrant, cool tone not orangey. i fell in love with this one in person. it jumped at m"&amp;"e in the store, but online i think the outfit that the model is wearing is not my style at all and does not do the item justice. if you like to cover your assets, you will love it.")</f>
        <v>I always end up walking out of an retailer store with something very different than what i thought and this was one. it drapes beautifully and the red color is rich and vibrant, cool tone not orangey. i fell in love with this one in person. it jumped at me in the store, but online i think the outfit that the model is wearing is not my style at all and does not do the item justice. if you like to cover your assets, you will love it.</v>
      </c>
      <c r="F835" s="8">
        <f>IFERROR(__xludf.DUMMYFUNCTION("""COMPUTED_VALUE"""),5.0)</f>
        <v>5</v>
      </c>
      <c r="G835" s="8">
        <f>IFERROR(__xludf.DUMMYFUNCTION("""COMPUTED_VALUE"""),1.0)</f>
        <v>1</v>
      </c>
      <c r="H835" s="8">
        <f>IFERROR(__xludf.DUMMYFUNCTION("""COMPUTED_VALUE"""),2.0)</f>
        <v>2</v>
      </c>
      <c r="I835" s="8" t="str">
        <f>IFERROR(__xludf.DUMMYFUNCTION("""COMPUTED_VALUE"""),"General")</f>
        <v>General</v>
      </c>
      <c r="J835" s="8" t="str">
        <f>IFERROR(__xludf.DUMMYFUNCTION("""COMPUTED_VALUE"""),"Tops")</f>
        <v>Tops</v>
      </c>
      <c r="K835" s="8" t="str">
        <f>IFERROR(__xludf.DUMMYFUNCTION("""COMPUTED_VALUE"""),"Fine gauge")</f>
        <v>Fine gauge</v>
      </c>
    </row>
    <row r="836">
      <c r="A836" s="8">
        <f>IFERROR(__xludf.DUMMYFUNCTION("""COMPUTED_VALUE"""),1082.0)</f>
        <v>1082</v>
      </c>
      <c r="B836" s="8">
        <f>IFERROR(__xludf.DUMMYFUNCTION("""COMPUTED_VALUE"""),987.0)</f>
        <v>987</v>
      </c>
      <c r="C836" s="8">
        <f>IFERROR(__xludf.DUMMYFUNCTION("""COMPUTED_VALUE"""),58.0)</f>
        <v>58</v>
      </c>
      <c r="D836" s="8" t="str">
        <f>IFERROR(__xludf.DUMMYFUNCTION("""COMPUTED_VALUE"""),"Zipper is short")</f>
        <v>Zipper is short</v>
      </c>
      <c r="E836" s="8" t="str">
        <f>IFERROR(__xludf.DUMMYFUNCTION("""COMPUTED_VALUE"""),"This is a very comfortable, good-looking skirt. fits as shown. the zipper however is rather short, and it takes a bit of squirming to get it over the hips. once on, it's great.  it is not made in the usa, as stated. it is clearly marked ""made in mexico"""&amp;" from ""globally sourced"" materials (i.e. not from the us).")</f>
        <v>This is a very comfortable, good-looking skirt. fits as shown. the zipper however is rather short, and it takes a bit of squirming to get it over the hips. once on, it's great.  it is not made in the usa, as stated. it is clearly marked "made in mexico" from "globally sourced" materials (i.e. not from the us).</v>
      </c>
      <c r="F836" s="8">
        <f>IFERROR(__xludf.DUMMYFUNCTION("""COMPUTED_VALUE"""),4.0)</f>
        <v>4</v>
      </c>
      <c r="G836" s="8">
        <f>IFERROR(__xludf.DUMMYFUNCTION("""COMPUTED_VALUE"""),1.0)</f>
        <v>1</v>
      </c>
      <c r="H836" s="8">
        <f>IFERROR(__xludf.DUMMYFUNCTION("""COMPUTED_VALUE"""),4.0)</f>
        <v>4</v>
      </c>
      <c r="I836" s="8" t="str">
        <f>IFERROR(__xludf.DUMMYFUNCTION("""COMPUTED_VALUE"""),"General")</f>
        <v>General</v>
      </c>
      <c r="J836" s="8" t="str">
        <f>IFERROR(__xludf.DUMMYFUNCTION("""COMPUTED_VALUE"""),"Bottoms")</f>
        <v>Bottoms</v>
      </c>
      <c r="K836" s="8" t="str">
        <f>IFERROR(__xludf.DUMMYFUNCTION("""COMPUTED_VALUE"""),"Skirts")</f>
        <v>Skirts</v>
      </c>
    </row>
    <row r="837">
      <c r="A837" s="8">
        <f>IFERROR(__xludf.DUMMYFUNCTION("""COMPUTED_VALUE"""),1083.0)</f>
        <v>1083</v>
      </c>
      <c r="B837" s="8">
        <f>IFERROR(__xludf.DUMMYFUNCTION("""COMPUTED_VALUE"""),1099.0)</f>
        <v>1099</v>
      </c>
      <c r="C837" s="8">
        <f>IFERROR(__xludf.DUMMYFUNCTION("""COMPUTED_VALUE"""),49.0)</f>
        <v>49</v>
      </c>
      <c r="D837" s="8" t="str">
        <f>IFERROR(__xludf.DUMMYFUNCTION("""COMPUTED_VALUE"""),"Amazing")</f>
        <v>Amazing</v>
      </c>
      <c r="E837" s="8" t="str">
        <f>IFERROR(__xludf.DUMMYFUNCTION("""COMPUTED_VALUE"""),"I live in south florida so i'm always looking for sundresses that will be flattering (but not too clingy or hot), and that i can take from day to evening with accessories. when i pulled this out of the box and walked around in it, it met all my criteria, "&amp;"and as an added bonus, my husband said, ""wow! you look great! where'd you get that dress?"" i'm shocked because as an earlier reviewer said, this dress doesn't seem like much - it's not even lined. but it's comfy, flattering (in all the right pla")</f>
        <v>I live in south florida so i'm always looking for sundresses that will be flattering (but not too clingy or hot), and that i can take from day to evening with accessories. when i pulled this out of the box and walked around in it, it met all my criteria, and as an added bonus, my husband said, "wow! you look great! where'd you get that dress?" i'm shocked because as an earlier reviewer said, this dress doesn't seem like much - it's not even lined. but it's comfy, flattering (in all the right pla</v>
      </c>
      <c r="F837" s="8">
        <f>IFERROR(__xludf.DUMMYFUNCTION("""COMPUTED_VALUE"""),5.0)</f>
        <v>5</v>
      </c>
      <c r="G837" s="8">
        <f>IFERROR(__xludf.DUMMYFUNCTION("""COMPUTED_VALUE"""),1.0)</f>
        <v>1</v>
      </c>
      <c r="H837" s="8">
        <f>IFERROR(__xludf.DUMMYFUNCTION("""COMPUTED_VALUE"""),6.0)</f>
        <v>6</v>
      </c>
      <c r="I837" s="8" t="str">
        <f>IFERROR(__xludf.DUMMYFUNCTION("""COMPUTED_VALUE"""),"General Petite")</f>
        <v>General Petite</v>
      </c>
      <c r="J837" s="8" t="str">
        <f>IFERROR(__xludf.DUMMYFUNCTION("""COMPUTED_VALUE"""),"Dresses")</f>
        <v>Dresses</v>
      </c>
      <c r="K837" s="8" t="str">
        <f>IFERROR(__xludf.DUMMYFUNCTION("""COMPUTED_VALUE"""),"Dresses")</f>
        <v>Dresses</v>
      </c>
    </row>
    <row r="838">
      <c r="A838" s="8">
        <f>IFERROR(__xludf.DUMMYFUNCTION("""COMPUTED_VALUE"""),1084.0)</f>
        <v>1084</v>
      </c>
      <c r="B838" s="8">
        <f>IFERROR(__xludf.DUMMYFUNCTION("""COMPUTED_VALUE"""),1099.0)</f>
        <v>1099</v>
      </c>
      <c r="C838" s="8">
        <f>IFERROR(__xludf.DUMMYFUNCTION("""COMPUTED_VALUE"""),52.0)</f>
        <v>52</v>
      </c>
      <c r="D838" s="8" t="str">
        <f>IFERROR(__xludf.DUMMYFUNCTION("""COMPUTED_VALUE"""),"Lovely!")</f>
        <v>Lovely!</v>
      </c>
      <c r="E838" s="8" t="str">
        <f>IFERROR(__xludf.DUMMYFUNCTION("""COMPUTED_VALUE"""),"I agree, this dress runs long, but since i love high heels, it falls just right for me. it does seem quite roomy for a medium, which is a pleasant surprise. the fabric, drape and quality are contemporary but i know i'll be wearing this beyond this year fo"&amp;"r sure.")</f>
        <v>I agree, this dress runs long, but since i love high heels, it falls just right for me. it does seem quite roomy for a medium, which is a pleasant surprise. the fabric, drape and quality are contemporary but i know i'll be wearing this beyond this year for sure.</v>
      </c>
      <c r="F838" s="8">
        <f>IFERROR(__xludf.DUMMYFUNCTION("""COMPUTED_VALUE"""),4.0)</f>
        <v>4</v>
      </c>
      <c r="G838" s="8">
        <f>IFERROR(__xludf.DUMMYFUNCTION("""COMPUTED_VALUE"""),1.0)</f>
        <v>1</v>
      </c>
      <c r="H838" s="8">
        <f>IFERROR(__xludf.DUMMYFUNCTION("""COMPUTED_VALUE"""),0.0)</f>
        <v>0</v>
      </c>
      <c r="I838" s="8" t="str">
        <f>IFERROR(__xludf.DUMMYFUNCTION("""COMPUTED_VALUE"""),"General Petite")</f>
        <v>General Petite</v>
      </c>
      <c r="J838" s="8" t="str">
        <f>IFERROR(__xludf.DUMMYFUNCTION("""COMPUTED_VALUE"""),"Dresses")</f>
        <v>Dresses</v>
      </c>
      <c r="K838" s="8" t="str">
        <f>IFERROR(__xludf.DUMMYFUNCTION("""COMPUTED_VALUE"""),"Dresses")</f>
        <v>Dresses</v>
      </c>
    </row>
    <row r="839">
      <c r="A839" s="8">
        <f>IFERROR(__xludf.DUMMYFUNCTION("""COMPUTED_VALUE"""),1085.0)</f>
        <v>1085</v>
      </c>
      <c r="B839" s="8">
        <f>IFERROR(__xludf.DUMMYFUNCTION("""COMPUTED_VALUE"""),868.0)</f>
        <v>868</v>
      </c>
      <c r="C839" s="8">
        <f>IFERROR(__xludf.DUMMYFUNCTION("""COMPUTED_VALUE"""),55.0)</f>
        <v>55</v>
      </c>
      <c r="D839" s="8" t="str">
        <f>IFERROR(__xludf.DUMMYFUNCTION("""COMPUTED_VALUE"""),"Pretty and feminine")</f>
        <v>Pretty and feminine</v>
      </c>
      <c r="E839" s="8" t="str">
        <f>IFERROR(__xludf.DUMMYFUNCTION("""COMPUTED_VALUE"""),"Pretty pink top is great for layering iand alone in the summer and spring")</f>
        <v>Pretty pink top is great for layering iand alone in the summer and spring</v>
      </c>
      <c r="F839" s="8">
        <f>IFERROR(__xludf.DUMMYFUNCTION("""COMPUTED_VALUE"""),4.0)</f>
        <v>4</v>
      </c>
      <c r="G839" s="8">
        <f>IFERROR(__xludf.DUMMYFUNCTION("""COMPUTED_VALUE"""),1.0)</f>
        <v>1</v>
      </c>
      <c r="H839" s="8">
        <f>IFERROR(__xludf.DUMMYFUNCTION("""COMPUTED_VALUE"""),4.0)</f>
        <v>4</v>
      </c>
      <c r="I839" s="8" t="str">
        <f>IFERROR(__xludf.DUMMYFUNCTION("""COMPUTED_VALUE"""),"General")</f>
        <v>General</v>
      </c>
      <c r="J839" s="8" t="str">
        <f>IFERROR(__xludf.DUMMYFUNCTION("""COMPUTED_VALUE"""),"Tops")</f>
        <v>Tops</v>
      </c>
      <c r="K839" s="8" t="str">
        <f>IFERROR(__xludf.DUMMYFUNCTION("""COMPUTED_VALUE"""),"Knits")</f>
        <v>Knits</v>
      </c>
    </row>
    <row r="840">
      <c r="A840" s="8">
        <f>IFERROR(__xludf.DUMMYFUNCTION("""COMPUTED_VALUE"""),1086.0)</f>
        <v>1086</v>
      </c>
      <c r="B840" s="8">
        <f>IFERROR(__xludf.DUMMYFUNCTION("""COMPUTED_VALUE"""),831.0)</f>
        <v>831</v>
      </c>
      <c r="C840" s="8">
        <f>IFERROR(__xludf.DUMMYFUNCTION("""COMPUTED_VALUE"""),27.0)</f>
        <v>27</v>
      </c>
      <c r="D840" s="8" t="str">
        <f>IFERROR(__xludf.DUMMYFUNCTION("""COMPUTED_VALUE"""),"My absolute favorite top")</f>
        <v>My absolute favorite top</v>
      </c>
      <c r="E840" s="8" t="str">
        <f>IFERROR(__xludf.DUMMYFUNCTION("""COMPUTED_VALUE"""),"This shirt fits very true to size, with very soft and comfortable material that hangs just right. wears well and is versatile for many occasions. please come out with more colors so i can purchase them as well!")</f>
        <v>This shirt fits very true to size, with very soft and comfortable material that hangs just right. wears well and is versatile for many occasions. please come out with more colors so i can purchase them as well!</v>
      </c>
      <c r="F840" s="8">
        <f>IFERROR(__xludf.DUMMYFUNCTION("""COMPUTED_VALUE"""),5.0)</f>
        <v>5</v>
      </c>
      <c r="G840" s="8">
        <f>IFERROR(__xludf.DUMMYFUNCTION("""COMPUTED_VALUE"""),1.0)</f>
        <v>1</v>
      </c>
      <c r="H840" s="8">
        <f>IFERROR(__xludf.DUMMYFUNCTION("""COMPUTED_VALUE"""),7.0)</f>
        <v>7</v>
      </c>
      <c r="I840" s="8" t="str">
        <f>IFERROR(__xludf.DUMMYFUNCTION("""COMPUTED_VALUE"""),"General")</f>
        <v>General</v>
      </c>
      <c r="J840" s="8" t="str">
        <f>IFERROR(__xludf.DUMMYFUNCTION("""COMPUTED_VALUE"""),"Tops")</f>
        <v>Tops</v>
      </c>
      <c r="K840" s="8" t="str">
        <f>IFERROR(__xludf.DUMMYFUNCTION("""COMPUTED_VALUE"""),"Blouses")</f>
        <v>Blouses</v>
      </c>
    </row>
    <row r="841">
      <c r="A841" s="8">
        <f>IFERROR(__xludf.DUMMYFUNCTION("""COMPUTED_VALUE"""),1087.0)</f>
        <v>1087</v>
      </c>
      <c r="B841" s="8">
        <f>IFERROR(__xludf.DUMMYFUNCTION("""COMPUTED_VALUE"""),829.0)</f>
        <v>829</v>
      </c>
      <c r="C841" s="8">
        <f>IFERROR(__xludf.DUMMYFUNCTION("""COMPUTED_VALUE"""),46.0)</f>
        <v>46</v>
      </c>
      <c r="D841" s="8" t="str">
        <f>IFERROR(__xludf.DUMMYFUNCTION("""COMPUTED_VALUE"""),"Not perfect but cute shirt!!")</f>
        <v>Not perfect but cute shirt!!</v>
      </c>
      <c r="E841" s="8" t="str">
        <f>IFERROR(__xludf.DUMMYFUNCTION("""COMPUTED_VALUE"""),"I bought this in both the taupe and ivory. the beading on the neck line, the tie at the neck and the pleats make this a fun shirt. i bought a size 2 which is normally what i wear at retailer, so i would say it is true to size. i really like the length of "&amp;"the top. it hits mid-hip on me. it is a tad shorter on the sides than i would like but it is still long enough to cover my waistline. i also think the arms are too long so there is kind of a balloon look at my wrists because of it. i bought it to")</f>
        <v>I bought this in both the taupe and ivory. the beading on the neck line, the tie at the neck and the pleats make this a fun shirt. i bought a size 2 which is normally what i wear at retailer, so i would say it is true to size. i really like the length of the top. it hits mid-hip on me. it is a tad shorter on the sides than i would like but it is still long enough to cover my waistline. i also think the arms are too long so there is kind of a balloon look at my wrists because of it. i bought it to</v>
      </c>
      <c r="F841" s="8">
        <f>IFERROR(__xludf.DUMMYFUNCTION("""COMPUTED_VALUE"""),4.0)</f>
        <v>4</v>
      </c>
      <c r="G841" s="8">
        <f>IFERROR(__xludf.DUMMYFUNCTION("""COMPUTED_VALUE"""),1.0)</f>
        <v>1</v>
      </c>
      <c r="H841" s="8">
        <f>IFERROR(__xludf.DUMMYFUNCTION("""COMPUTED_VALUE"""),0.0)</f>
        <v>0</v>
      </c>
      <c r="I841" s="8" t="str">
        <f>IFERROR(__xludf.DUMMYFUNCTION("""COMPUTED_VALUE"""),"General Petite")</f>
        <v>General Petite</v>
      </c>
      <c r="J841" s="8" t="str">
        <f>IFERROR(__xludf.DUMMYFUNCTION("""COMPUTED_VALUE"""),"Tops")</f>
        <v>Tops</v>
      </c>
      <c r="K841" s="8" t="str">
        <f>IFERROR(__xludf.DUMMYFUNCTION("""COMPUTED_VALUE"""),"Blouses")</f>
        <v>Blouses</v>
      </c>
    </row>
    <row r="842">
      <c r="A842" s="8">
        <f>IFERROR(__xludf.DUMMYFUNCTION("""COMPUTED_VALUE"""),1088.0)</f>
        <v>1088</v>
      </c>
      <c r="B842" s="8">
        <f>IFERROR(__xludf.DUMMYFUNCTION("""COMPUTED_VALUE"""),1099.0)</f>
        <v>1099</v>
      </c>
      <c r="C842" s="8">
        <f>IFERROR(__xludf.DUMMYFUNCTION("""COMPUTED_VALUE"""),41.0)</f>
        <v>41</v>
      </c>
      <c r="D842" s="8" t="str">
        <f>IFERROR(__xludf.DUMMYFUNCTION("""COMPUTED_VALUE"""),"Gorgeous!!!")</f>
        <v>Gorgeous!!!</v>
      </c>
      <c r="E842" s="8" t="str">
        <f>IFERROR(__xludf.DUMMYFUNCTION("""COMPUTED_VALUE"""),"I saw this dress on line and knew i wanted it for the spring/summer season. i ordered it almost immediately and i am so glad i did. the photo on the website doesn't do it justice, there are a lot of pretty pastel colors in the paisley pattern that you jus"&amp;"t can't see on the computer screen. the wrap styling is a very flattering cut for most figures especially hourglass figures like mine and the dress fit's tts (for reference i am 5'9"" and a 36ddd). the silk material is very light and flowy and wi")</f>
        <v>I saw this dress on line and knew i wanted it for the spring/summer season. i ordered it almost immediately and i am so glad i did. the photo on the website doesn't do it justice, there are a lot of pretty pastel colors in the paisley pattern that you just can't see on the computer screen. the wrap styling is a very flattering cut for most figures especially hourglass figures like mine and the dress fit's tts (for reference i am 5'9" and a 36ddd). the silk material is very light and flowy and wi</v>
      </c>
      <c r="F842" s="8">
        <f>IFERROR(__xludf.DUMMYFUNCTION("""COMPUTED_VALUE"""),5.0)</f>
        <v>5</v>
      </c>
      <c r="G842" s="8">
        <f>IFERROR(__xludf.DUMMYFUNCTION("""COMPUTED_VALUE"""),1.0)</f>
        <v>1</v>
      </c>
      <c r="H842" s="8">
        <f>IFERROR(__xludf.DUMMYFUNCTION("""COMPUTED_VALUE"""),3.0)</f>
        <v>3</v>
      </c>
      <c r="I842" s="8" t="str">
        <f>IFERROR(__xludf.DUMMYFUNCTION("""COMPUTED_VALUE"""),"General Petite")</f>
        <v>General Petite</v>
      </c>
      <c r="J842" s="8" t="str">
        <f>IFERROR(__xludf.DUMMYFUNCTION("""COMPUTED_VALUE"""),"Dresses")</f>
        <v>Dresses</v>
      </c>
      <c r="K842" s="8" t="str">
        <f>IFERROR(__xludf.DUMMYFUNCTION("""COMPUTED_VALUE"""),"Dresses")</f>
        <v>Dresses</v>
      </c>
    </row>
    <row r="843">
      <c r="A843" s="8">
        <f>IFERROR(__xludf.DUMMYFUNCTION("""COMPUTED_VALUE"""),1090.0)</f>
        <v>1090</v>
      </c>
      <c r="B843" s="8">
        <f>IFERROR(__xludf.DUMMYFUNCTION("""COMPUTED_VALUE"""),829.0)</f>
        <v>829</v>
      </c>
      <c r="C843" s="8">
        <f>IFERROR(__xludf.DUMMYFUNCTION("""COMPUTED_VALUE"""),40.0)</f>
        <v>40</v>
      </c>
      <c r="D843" s="8" t="str">
        <f>IFERROR(__xludf.DUMMYFUNCTION("""COMPUTED_VALUE"""),"Casual top")</f>
        <v>Casual top</v>
      </c>
      <c r="E843" s="8" t="str">
        <f>IFERROR(__xludf.DUMMYFUNCTION("""COMPUTED_VALUE"""),"A little shorter than expected. very billowy, so watch out for wind!
it fits well on the arms and shoulders. not too see through")</f>
        <v>A little shorter than expected. very billowy, so watch out for wind!
it fits well on the arms and shoulders. not too see through</v>
      </c>
      <c r="F843" s="8">
        <f>IFERROR(__xludf.DUMMYFUNCTION("""COMPUTED_VALUE"""),4.0)</f>
        <v>4</v>
      </c>
      <c r="G843" s="8">
        <f>IFERROR(__xludf.DUMMYFUNCTION("""COMPUTED_VALUE"""),1.0)</f>
        <v>1</v>
      </c>
      <c r="H843" s="8">
        <f>IFERROR(__xludf.DUMMYFUNCTION("""COMPUTED_VALUE"""),0.0)</f>
        <v>0</v>
      </c>
      <c r="I843" s="8" t="str">
        <f>IFERROR(__xludf.DUMMYFUNCTION("""COMPUTED_VALUE"""),"General Petite")</f>
        <v>General Petite</v>
      </c>
      <c r="J843" s="8" t="str">
        <f>IFERROR(__xludf.DUMMYFUNCTION("""COMPUTED_VALUE"""),"Tops")</f>
        <v>Tops</v>
      </c>
      <c r="K843" s="8" t="str">
        <f>IFERROR(__xludf.DUMMYFUNCTION("""COMPUTED_VALUE"""),"Blouses")</f>
        <v>Blouses</v>
      </c>
    </row>
    <row r="844">
      <c r="A844" s="8">
        <f>IFERROR(__xludf.DUMMYFUNCTION("""COMPUTED_VALUE"""),1092.0)</f>
        <v>1092</v>
      </c>
      <c r="B844" s="8">
        <f>IFERROR(__xludf.DUMMYFUNCTION("""COMPUTED_VALUE"""),831.0)</f>
        <v>831</v>
      </c>
      <c r="C844" s="8">
        <f>IFERROR(__xludf.DUMMYFUNCTION("""COMPUTED_VALUE"""),72.0)</f>
        <v>72</v>
      </c>
      <c r="D844" s="8" t="str">
        <f>IFERROR(__xludf.DUMMYFUNCTION("""COMPUTED_VALUE"""),"Love this blouse!")</f>
        <v>Love this blouse!</v>
      </c>
      <c r="E844" s="8" t="str">
        <f>IFERROR(__xludf.DUMMYFUNCTION("""COMPUTED_VALUE"""),"Great that it's hand washable because i hate the smell of dry cleaned garmets.")</f>
        <v>Great that it's hand washable because i hate the smell of dry cleaned garmets.</v>
      </c>
      <c r="F844" s="8">
        <f>IFERROR(__xludf.DUMMYFUNCTION("""COMPUTED_VALUE"""),5.0)</f>
        <v>5</v>
      </c>
      <c r="G844" s="8">
        <f>IFERROR(__xludf.DUMMYFUNCTION("""COMPUTED_VALUE"""),1.0)</f>
        <v>1</v>
      </c>
      <c r="H844" s="8">
        <f>IFERROR(__xludf.DUMMYFUNCTION("""COMPUTED_VALUE"""),2.0)</f>
        <v>2</v>
      </c>
      <c r="I844" s="8" t="str">
        <f>IFERROR(__xludf.DUMMYFUNCTION("""COMPUTED_VALUE"""),"General")</f>
        <v>General</v>
      </c>
      <c r="J844" s="8" t="str">
        <f>IFERROR(__xludf.DUMMYFUNCTION("""COMPUTED_VALUE"""),"Tops")</f>
        <v>Tops</v>
      </c>
      <c r="K844" s="8" t="str">
        <f>IFERROR(__xludf.DUMMYFUNCTION("""COMPUTED_VALUE"""),"Blouses")</f>
        <v>Blouses</v>
      </c>
    </row>
    <row r="845">
      <c r="A845" s="8">
        <f>IFERROR(__xludf.DUMMYFUNCTION("""COMPUTED_VALUE"""),1094.0)</f>
        <v>1094</v>
      </c>
      <c r="B845" s="8">
        <f>IFERROR(__xludf.DUMMYFUNCTION("""COMPUTED_VALUE"""),1001.0)</f>
        <v>1001</v>
      </c>
      <c r="C845" s="8">
        <f>IFERROR(__xludf.DUMMYFUNCTION("""COMPUTED_VALUE"""),23.0)</f>
        <v>23</v>
      </c>
      <c r="D845" s="8"/>
      <c r="E845" s="8" t="str">
        <f>IFERROR(__xludf.DUMMYFUNCTION("""COMPUTED_VALUE"""),"I want to the store to try this skirt on. that had only one size m in stock (my size) and it was huge! i ordered an xs and it fits nicely. it's just what i needed for the warm days ahead.")</f>
        <v>I want to the store to try this skirt on. that had only one size m in stock (my size) and it was huge! i ordered an xs and it fits nicely. it's just what i needed for the warm days ahead.</v>
      </c>
      <c r="F845" s="8">
        <f>IFERROR(__xludf.DUMMYFUNCTION("""COMPUTED_VALUE"""),4.0)</f>
        <v>4</v>
      </c>
      <c r="G845" s="8">
        <f>IFERROR(__xludf.DUMMYFUNCTION("""COMPUTED_VALUE"""),1.0)</f>
        <v>1</v>
      </c>
      <c r="H845" s="8">
        <f>IFERROR(__xludf.DUMMYFUNCTION("""COMPUTED_VALUE"""),1.0)</f>
        <v>1</v>
      </c>
      <c r="I845" s="8" t="str">
        <f>IFERROR(__xludf.DUMMYFUNCTION("""COMPUTED_VALUE"""),"General")</f>
        <v>General</v>
      </c>
      <c r="J845" s="8" t="str">
        <f>IFERROR(__xludf.DUMMYFUNCTION("""COMPUTED_VALUE"""),"Bottoms")</f>
        <v>Bottoms</v>
      </c>
      <c r="K845" s="8" t="str">
        <f>IFERROR(__xludf.DUMMYFUNCTION("""COMPUTED_VALUE"""),"Skirts")</f>
        <v>Skirts</v>
      </c>
    </row>
    <row r="846">
      <c r="A846" s="8">
        <f>IFERROR(__xludf.DUMMYFUNCTION("""COMPUTED_VALUE"""),1096.0)</f>
        <v>1096</v>
      </c>
      <c r="B846" s="8">
        <f>IFERROR(__xludf.DUMMYFUNCTION("""COMPUTED_VALUE"""),815.0)</f>
        <v>815</v>
      </c>
      <c r="C846" s="8">
        <f>IFERROR(__xludf.DUMMYFUNCTION("""COMPUTED_VALUE"""),31.0)</f>
        <v>31</v>
      </c>
      <c r="D846" s="8" t="str">
        <f>IFERROR(__xludf.DUMMYFUNCTION("""COMPUTED_VALUE"""),"Super cute")</f>
        <v>Super cute</v>
      </c>
      <c r="E846" s="8" t="str">
        <f>IFERROR(__xludf.DUMMYFUNCTION("""COMPUTED_VALUE"""),"I love the style and quality of this blouse. it can easily be dressed up or down. the blouse is completely see through and delicate. still, it is so romantic, feminine, distinctive and timeless.")</f>
        <v>I love the style and quality of this blouse. it can easily be dressed up or down. the blouse is completely see through and delicate. still, it is so romantic, feminine, distinctive and timeless.</v>
      </c>
      <c r="F846" s="8">
        <f>IFERROR(__xludf.DUMMYFUNCTION("""COMPUTED_VALUE"""),5.0)</f>
        <v>5</v>
      </c>
      <c r="G846" s="8">
        <f>IFERROR(__xludf.DUMMYFUNCTION("""COMPUTED_VALUE"""),1.0)</f>
        <v>1</v>
      </c>
      <c r="H846" s="8">
        <f>IFERROR(__xludf.DUMMYFUNCTION("""COMPUTED_VALUE"""),0.0)</f>
        <v>0</v>
      </c>
      <c r="I846" s="8" t="str">
        <f>IFERROR(__xludf.DUMMYFUNCTION("""COMPUTED_VALUE"""),"General Petite")</f>
        <v>General Petite</v>
      </c>
      <c r="J846" s="8" t="str">
        <f>IFERROR(__xludf.DUMMYFUNCTION("""COMPUTED_VALUE"""),"Tops")</f>
        <v>Tops</v>
      </c>
      <c r="K846" s="8" t="str">
        <f>IFERROR(__xludf.DUMMYFUNCTION("""COMPUTED_VALUE"""),"Blouses")</f>
        <v>Blouses</v>
      </c>
    </row>
    <row r="847">
      <c r="A847" s="8">
        <f>IFERROR(__xludf.DUMMYFUNCTION("""COMPUTED_VALUE"""),1097.0)</f>
        <v>1097</v>
      </c>
      <c r="B847" s="8">
        <f>IFERROR(__xludf.DUMMYFUNCTION("""COMPUTED_VALUE"""),895.0)</f>
        <v>895</v>
      </c>
      <c r="C847" s="8">
        <f>IFERROR(__xludf.DUMMYFUNCTION("""COMPUTED_VALUE"""),48.0)</f>
        <v>48</v>
      </c>
      <c r="D847" s="8" t="str">
        <f>IFERROR(__xludf.DUMMYFUNCTION("""COMPUTED_VALUE"""),"Great piece")</f>
        <v>Great piece</v>
      </c>
      <c r="E847" s="8" t="str">
        <f>IFERROR(__xludf.DUMMYFUNCTION("""COMPUTED_VALUE"""),"Comfortable and great fit and color. high quality.")</f>
        <v>Comfortable and great fit and color. high quality.</v>
      </c>
      <c r="F847" s="8">
        <f>IFERROR(__xludf.DUMMYFUNCTION("""COMPUTED_VALUE"""),5.0)</f>
        <v>5</v>
      </c>
      <c r="G847" s="8">
        <f>IFERROR(__xludf.DUMMYFUNCTION("""COMPUTED_VALUE"""),1.0)</f>
        <v>1</v>
      </c>
      <c r="H847" s="8">
        <f>IFERROR(__xludf.DUMMYFUNCTION("""COMPUTED_VALUE"""),1.0)</f>
        <v>1</v>
      </c>
      <c r="I847" s="8" t="str">
        <f>IFERROR(__xludf.DUMMYFUNCTION("""COMPUTED_VALUE"""),"General")</f>
        <v>General</v>
      </c>
      <c r="J847" s="8" t="str">
        <f>IFERROR(__xludf.DUMMYFUNCTION("""COMPUTED_VALUE"""),"Tops")</f>
        <v>Tops</v>
      </c>
      <c r="K847" s="8" t="str">
        <f>IFERROR(__xludf.DUMMYFUNCTION("""COMPUTED_VALUE"""),"Fine gauge")</f>
        <v>Fine gauge</v>
      </c>
    </row>
    <row r="848">
      <c r="A848" s="8">
        <f>IFERROR(__xludf.DUMMYFUNCTION("""COMPUTED_VALUE"""),1100.0)</f>
        <v>1100</v>
      </c>
      <c r="B848" s="8">
        <f>IFERROR(__xludf.DUMMYFUNCTION("""COMPUTED_VALUE"""),1099.0)</f>
        <v>1099</v>
      </c>
      <c r="C848" s="8">
        <f>IFERROR(__xludf.DUMMYFUNCTION("""COMPUTED_VALUE"""),32.0)</f>
        <v>32</v>
      </c>
      <c r="D848" s="8" t="str">
        <f>IFERROR(__xludf.DUMMYFUNCTION("""COMPUTED_VALUE"""),"Cute!!!")</f>
        <v>Cute!!!</v>
      </c>
      <c r="E848" s="8" t="str">
        <f>IFERROR(__xludf.DUMMYFUNCTION("""COMPUTED_VALUE"""),"I haven't worn a halter dress in ages and saw this one and wanted to get it, hoping that it'll fit me. 
i love the swing skirt and the halter. this dress can be easily dressed up or down depending on your mood. there is a side zipper. 
i got s p and it "&amp;"hits me exactly like the dress on the model. it is unlined but with the color of the dress, i don't mind it.")</f>
        <v>I haven't worn a halter dress in ages and saw this one and wanted to get it, hoping that it'll fit me. 
i love the swing skirt and the halter. this dress can be easily dressed up or down depending on your mood. there is a side zipper. 
i got s p and it hits me exactly like the dress on the model. it is unlined but with the color of the dress, i don't mind it.</v>
      </c>
      <c r="F848" s="8">
        <f>IFERROR(__xludf.DUMMYFUNCTION("""COMPUTED_VALUE"""),5.0)</f>
        <v>5</v>
      </c>
      <c r="G848" s="8">
        <f>IFERROR(__xludf.DUMMYFUNCTION("""COMPUTED_VALUE"""),1.0)</f>
        <v>1</v>
      </c>
      <c r="H848" s="8">
        <f>IFERROR(__xludf.DUMMYFUNCTION("""COMPUTED_VALUE"""),8.0)</f>
        <v>8</v>
      </c>
      <c r="I848" s="8" t="str">
        <f>IFERROR(__xludf.DUMMYFUNCTION("""COMPUTED_VALUE"""),"General Petite")</f>
        <v>General Petite</v>
      </c>
      <c r="J848" s="8" t="str">
        <f>IFERROR(__xludf.DUMMYFUNCTION("""COMPUTED_VALUE"""),"Dresses")</f>
        <v>Dresses</v>
      </c>
      <c r="K848" s="8" t="str">
        <f>IFERROR(__xludf.DUMMYFUNCTION("""COMPUTED_VALUE"""),"Dresses")</f>
        <v>Dresses</v>
      </c>
    </row>
    <row r="849">
      <c r="A849" s="8">
        <f>IFERROR(__xludf.DUMMYFUNCTION("""COMPUTED_VALUE"""),1101.0)</f>
        <v>1101</v>
      </c>
      <c r="B849" s="8">
        <f>IFERROR(__xludf.DUMMYFUNCTION("""COMPUTED_VALUE"""),1099.0)</f>
        <v>1099</v>
      </c>
      <c r="C849" s="8">
        <f>IFERROR(__xludf.DUMMYFUNCTION("""COMPUTED_VALUE"""),77.0)</f>
        <v>77</v>
      </c>
      <c r="D849" s="8" t="str">
        <f>IFERROR(__xludf.DUMMYFUNCTION("""COMPUTED_VALUE"""),"Love, love, love this dress!")</f>
        <v>Love, love, love this dress!</v>
      </c>
      <c r="E849" s="8" t="str">
        <f>IFERROR(__xludf.DUMMYFUNCTION("""COMPUTED_VALUE"""),"I agree with the other review that the dress runs big and long, but i love it! it's very flattering and i have super high wedges that work great with it. i don't think it runs ""super big"" but it's slightly big. definitely size down if small busted. i wo"&amp;"re it out and got a ton of compliments. it's classy, different and hot!")</f>
        <v>I agree with the other review that the dress runs big and long, but i love it! it's very flattering and i have super high wedges that work great with it. i don't think it runs "super big" but it's slightly big. definitely size down if small busted. i wore it out and got a ton of compliments. it's classy, different and hot!</v>
      </c>
      <c r="F849" s="8">
        <f>IFERROR(__xludf.DUMMYFUNCTION("""COMPUTED_VALUE"""),4.0)</f>
        <v>4</v>
      </c>
      <c r="G849" s="8">
        <f>IFERROR(__xludf.DUMMYFUNCTION("""COMPUTED_VALUE"""),1.0)</f>
        <v>1</v>
      </c>
      <c r="H849" s="8">
        <f>IFERROR(__xludf.DUMMYFUNCTION("""COMPUTED_VALUE"""),0.0)</f>
        <v>0</v>
      </c>
      <c r="I849" s="8" t="str">
        <f>IFERROR(__xludf.DUMMYFUNCTION("""COMPUTED_VALUE"""),"General Petite")</f>
        <v>General Petite</v>
      </c>
      <c r="J849" s="8" t="str">
        <f>IFERROR(__xludf.DUMMYFUNCTION("""COMPUTED_VALUE"""),"Dresses")</f>
        <v>Dresses</v>
      </c>
      <c r="K849" s="8" t="str">
        <f>IFERROR(__xludf.DUMMYFUNCTION("""COMPUTED_VALUE"""),"Dresses")</f>
        <v>Dresses</v>
      </c>
    </row>
    <row r="850">
      <c r="A850" s="8">
        <f>IFERROR(__xludf.DUMMYFUNCTION("""COMPUTED_VALUE"""),1102.0)</f>
        <v>1102</v>
      </c>
      <c r="B850" s="8">
        <f>IFERROR(__xludf.DUMMYFUNCTION("""COMPUTED_VALUE"""),829.0)</f>
        <v>829</v>
      </c>
      <c r="C850" s="8">
        <f>IFERROR(__xludf.DUMMYFUNCTION("""COMPUTED_VALUE"""),40.0)</f>
        <v>40</v>
      </c>
      <c r="D850" s="8" t="str">
        <f>IFERROR(__xludf.DUMMYFUNCTION("""COMPUTED_VALUE"""),"Elegant, timeless and versatile")</f>
        <v>Elegant, timeless and versatile</v>
      </c>
      <c r="E850" s="8" t="str">
        <f>IFERROR(__xludf.DUMMYFUNCTION("""COMPUTED_VALUE"""),"Bought this blouse to wear with high wasted jeans and pants. it lays beautifully and can be dressed up or down. it's somewhat sheer, but i don't plan on wearing a cami under it. perfect for work or going out.")</f>
        <v>Bought this blouse to wear with high wasted jeans and pants. it lays beautifully and can be dressed up or down. it's somewhat sheer, but i don't plan on wearing a cami under it. perfect for work or going out.</v>
      </c>
      <c r="F850" s="8">
        <f>IFERROR(__xludf.DUMMYFUNCTION("""COMPUTED_VALUE"""),5.0)</f>
        <v>5</v>
      </c>
      <c r="G850" s="8">
        <f>IFERROR(__xludf.DUMMYFUNCTION("""COMPUTED_VALUE"""),1.0)</f>
        <v>1</v>
      </c>
      <c r="H850" s="8">
        <f>IFERROR(__xludf.DUMMYFUNCTION("""COMPUTED_VALUE"""),0.0)</f>
        <v>0</v>
      </c>
      <c r="I850" s="8" t="str">
        <f>IFERROR(__xludf.DUMMYFUNCTION("""COMPUTED_VALUE"""),"General Petite")</f>
        <v>General Petite</v>
      </c>
      <c r="J850" s="8" t="str">
        <f>IFERROR(__xludf.DUMMYFUNCTION("""COMPUTED_VALUE"""),"Tops")</f>
        <v>Tops</v>
      </c>
      <c r="K850" s="8" t="str">
        <f>IFERROR(__xludf.DUMMYFUNCTION("""COMPUTED_VALUE"""),"Blouses")</f>
        <v>Blouses</v>
      </c>
    </row>
    <row r="851">
      <c r="A851" s="8">
        <f>IFERROR(__xludf.DUMMYFUNCTION("""COMPUTED_VALUE"""),1103.0)</f>
        <v>1103</v>
      </c>
      <c r="B851" s="8">
        <f>IFERROR(__xludf.DUMMYFUNCTION("""COMPUTED_VALUE"""),831.0)</f>
        <v>831</v>
      </c>
      <c r="C851" s="8">
        <f>IFERROR(__xludf.DUMMYFUNCTION("""COMPUTED_VALUE"""),28.0)</f>
        <v>28</v>
      </c>
      <c r="D851" s="8"/>
      <c r="E851" s="8" t="str">
        <f>IFERROR(__xludf.DUMMYFUNCTION("""COMPUTED_VALUE"""),"I definitely recommend this shirt. it's lights and airy, something you can wear everyday.")</f>
        <v>I definitely recommend this shirt. it's lights and airy, something you can wear everyday.</v>
      </c>
      <c r="F851" s="8">
        <f>IFERROR(__xludf.DUMMYFUNCTION("""COMPUTED_VALUE"""),5.0)</f>
        <v>5</v>
      </c>
      <c r="G851" s="8">
        <f>IFERROR(__xludf.DUMMYFUNCTION("""COMPUTED_VALUE"""),1.0)</f>
        <v>1</v>
      </c>
      <c r="H851" s="8">
        <f>IFERROR(__xludf.DUMMYFUNCTION("""COMPUTED_VALUE"""),1.0)</f>
        <v>1</v>
      </c>
      <c r="I851" s="8" t="str">
        <f>IFERROR(__xludf.DUMMYFUNCTION("""COMPUTED_VALUE"""),"General")</f>
        <v>General</v>
      </c>
      <c r="J851" s="8" t="str">
        <f>IFERROR(__xludf.DUMMYFUNCTION("""COMPUTED_VALUE"""),"Tops")</f>
        <v>Tops</v>
      </c>
      <c r="K851" s="8" t="str">
        <f>IFERROR(__xludf.DUMMYFUNCTION("""COMPUTED_VALUE"""),"Blouses")</f>
        <v>Blouses</v>
      </c>
    </row>
    <row r="852">
      <c r="A852" s="8">
        <f>IFERROR(__xludf.DUMMYFUNCTION("""COMPUTED_VALUE"""),1104.0)</f>
        <v>1104</v>
      </c>
      <c r="B852" s="8">
        <f>IFERROR(__xludf.DUMMYFUNCTION("""COMPUTED_VALUE"""),815.0)</f>
        <v>815</v>
      </c>
      <c r="C852" s="8">
        <f>IFERROR(__xludf.DUMMYFUNCTION("""COMPUTED_VALUE"""),39.0)</f>
        <v>39</v>
      </c>
      <c r="D852" s="8" t="str">
        <f>IFERROR(__xludf.DUMMYFUNCTION("""COMPUTED_VALUE"""),"Ig brought me here")</f>
        <v>Ig brought me here</v>
      </c>
      <c r="E852" s="8" t="str">
        <f>IFERROR(__xludf.DUMMYFUNCTION("""COMPUTED_VALUE"""),"Love the way this top layers under my jackets and sweaters! so romantic and pretty. i am not experiencing the over pouf at the waist that a previous reviewer complained about. the fabric is slightly itchy and the top shipped to my house has misshapen shou"&amp;"lder bumps from the store hanger. all the beautiful styling pics done by retailer employees on ig is what made me want this blouse. whatever is going on with the model shot really really really does not represent how cute this top looks. in fact,")</f>
        <v>Love the way this top layers under my jackets and sweaters! so romantic and pretty. i am not experiencing the over pouf at the waist that a previous reviewer complained about. the fabric is slightly itchy and the top shipped to my house has misshapen shoulder bumps from the store hanger. all the beautiful styling pics done by retailer employees on ig is what made me want this blouse. whatever is going on with the model shot really really really does not represent how cute this top looks. in fact,</v>
      </c>
      <c r="F852" s="8">
        <f>IFERROR(__xludf.DUMMYFUNCTION("""COMPUTED_VALUE"""),4.0)</f>
        <v>4</v>
      </c>
      <c r="G852" s="8">
        <f>IFERROR(__xludf.DUMMYFUNCTION("""COMPUTED_VALUE"""),1.0)</f>
        <v>1</v>
      </c>
      <c r="H852" s="8">
        <f>IFERROR(__xludf.DUMMYFUNCTION("""COMPUTED_VALUE"""),0.0)</f>
        <v>0</v>
      </c>
      <c r="I852" s="8" t="str">
        <f>IFERROR(__xludf.DUMMYFUNCTION("""COMPUTED_VALUE"""),"General Petite")</f>
        <v>General Petite</v>
      </c>
      <c r="J852" s="8" t="str">
        <f>IFERROR(__xludf.DUMMYFUNCTION("""COMPUTED_VALUE"""),"Tops")</f>
        <v>Tops</v>
      </c>
      <c r="K852" s="8" t="str">
        <f>IFERROR(__xludf.DUMMYFUNCTION("""COMPUTED_VALUE"""),"Blouses")</f>
        <v>Blouses</v>
      </c>
    </row>
    <row r="853">
      <c r="A853" s="8">
        <f>IFERROR(__xludf.DUMMYFUNCTION("""COMPUTED_VALUE"""),1107.0)</f>
        <v>1107</v>
      </c>
      <c r="B853" s="8">
        <f>IFERROR(__xludf.DUMMYFUNCTION("""COMPUTED_VALUE"""),831.0)</f>
        <v>831</v>
      </c>
      <c r="C853" s="8">
        <f>IFERROR(__xludf.DUMMYFUNCTION("""COMPUTED_VALUE"""),44.0)</f>
        <v>44</v>
      </c>
      <c r="D853" s="8" t="str">
        <f>IFERROR(__xludf.DUMMYFUNCTION("""COMPUTED_VALUE"""),"Cute top!")</f>
        <v>Cute top!</v>
      </c>
      <c r="E853" s="8" t="str">
        <f>IFERROR(__xludf.DUMMYFUNCTION("""COMPUTED_VALUE"""),"This top is really cute and true to size. i like the color and the nice details.")</f>
        <v>This top is really cute and true to size. i like the color and the nice details.</v>
      </c>
      <c r="F853" s="8">
        <f>IFERROR(__xludf.DUMMYFUNCTION("""COMPUTED_VALUE"""),5.0)</f>
        <v>5</v>
      </c>
      <c r="G853" s="8">
        <f>IFERROR(__xludf.DUMMYFUNCTION("""COMPUTED_VALUE"""),1.0)</f>
        <v>1</v>
      </c>
      <c r="H853" s="8">
        <f>IFERROR(__xludf.DUMMYFUNCTION("""COMPUTED_VALUE"""),8.0)</f>
        <v>8</v>
      </c>
      <c r="I853" s="8" t="str">
        <f>IFERROR(__xludf.DUMMYFUNCTION("""COMPUTED_VALUE"""),"General")</f>
        <v>General</v>
      </c>
      <c r="J853" s="8" t="str">
        <f>IFERROR(__xludf.DUMMYFUNCTION("""COMPUTED_VALUE"""),"Tops")</f>
        <v>Tops</v>
      </c>
      <c r="K853" s="8" t="str">
        <f>IFERROR(__xludf.DUMMYFUNCTION("""COMPUTED_VALUE"""),"Blouses")</f>
        <v>Blouses</v>
      </c>
    </row>
    <row r="854">
      <c r="A854" s="8">
        <f>IFERROR(__xludf.DUMMYFUNCTION("""COMPUTED_VALUE"""),1108.0)</f>
        <v>1108</v>
      </c>
      <c r="B854" s="8">
        <f>IFERROR(__xludf.DUMMYFUNCTION("""COMPUTED_VALUE"""),815.0)</f>
        <v>815</v>
      </c>
      <c r="C854" s="8">
        <f>IFERROR(__xludf.DUMMYFUNCTION("""COMPUTED_VALUE"""),52.0)</f>
        <v>52</v>
      </c>
      <c r="D854" s="8" t="str">
        <f>IFERROR(__xludf.DUMMYFUNCTION("""COMPUTED_VALUE"""),"Victorian in a good way")</f>
        <v>Victorian in a good way</v>
      </c>
      <c r="E854" s="8" t="str">
        <f>IFERROR(__xludf.DUMMYFUNCTION("""COMPUTED_VALUE"""),"I'm 5' 0"" and 120 pounds. this top is beautiful. it's high neck is so flattering. a nice switch it up for us gals that are older and like neck coverage sometimes. i purchased a small and it is a little longer, but since it has elastic at the waist it's n"&amp;"o problem. i will tuck it in my jeans and skirts. the arm holes are perfect. the as far as it being a lot of blouse, i didn't find that at all. but i am busty, 34c or d depending on brand of bra. the color is ivory. omits completely sheer, no lin")</f>
        <v>I'm 5' 0" and 120 pounds. this top is beautiful. it's high neck is so flattering. a nice switch it up for us gals that are older and like neck coverage sometimes. i purchased a small and it is a little longer, but since it has elastic at the waist it's no problem. i will tuck it in my jeans and skirts. the arm holes are perfect. the as far as it being a lot of blouse, i didn't find that at all. but i am busty, 34c or d depending on brand of bra. the color is ivory. omits completely sheer, no lin</v>
      </c>
      <c r="F854" s="8">
        <f>IFERROR(__xludf.DUMMYFUNCTION("""COMPUTED_VALUE"""),5.0)</f>
        <v>5</v>
      </c>
      <c r="G854" s="8">
        <f>IFERROR(__xludf.DUMMYFUNCTION("""COMPUTED_VALUE"""),1.0)</f>
        <v>1</v>
      </c>
      <c r="H854" s="8">
        <f>IFERROR(__xludf.DUMMYFUNCTION("""COMPUTED_VALUE"""),7.0)</f>
        <v>7</v>
      </c>
      <c r="I854" s="8" t="str">
        <f>IFERROR(__xludf.DUMMYFUNCTION("""COMPUTED_VALUE"""),"General Petite")</f>
        <v>General Petite</v>
      </c>
      <c r="J854" s="8" t="str">
        <f>IFERROR(__xludf.DUMMYFUNCTION("""COMPUTED_VALUE"""),"Tops")</f>
        <v>Tops</v>
      </c>
      <c r="K854" s="8" t="str">
        <f>IFERROR(__xludf.DUMMYFUNCTION("""COMPUTED_VALUE"""),"Blouses")</f>
        <v>Blouses</v>
      </c>
    </row>
    <row r="855">
      <c r="A855" s="8">
        <f>IFERROR(__xludf.DUMMYFUNCTION("""COMPUTED_VALUE"""),1109.0)</f>
        <v>1109</v>
      </c>
      <c r="B855" s="8">
        <f>IFERROR(__xludf.DUMMYFUNCTION("""COMPUTED_VALUE"""),831.0)</f>
        <v>831</v>
      </c>
      <c r="C855" s="8">
        <f>IFERROR(__xludf.DUMMYFUNCTION("""COMPUTED_VALUE"""),33.0)</f>
        <v>33</v>
      </c>
      <c r="D855" s="8" t="str">
        <f>IFERROR(__xludf.DUMMYFUNCTION("""COMPUTED_VALUE"""),"Love this blouse")</f>
        <v>Love this blouse</v>
      </c>
      <c r="E855" s="8" t="str">
        <f>IFERROR(__xludf.DUMMYFUNCTION("""COMPUTED_VALUE"""),"Tried this blouse on in the store and fell in love with this top. i went down one size since i am a true petite. they were sold out of the petite small, but the regular x-small fit perfect. it is a little short so it's perfect for shorter people,")</f>
        <v>Tried this blouse on in the store and fell in love with this top. i went down one size since i am a true petite. they were sold out of the petite small, but the regular x-small fit perfect. it is a little short so it's perfect for shorter people,</v>
      </c>
      <c r="F855" s="8">
        <f>IFERROR(__xludf.DUMMYFUNCTION("""COMPUTED_VALUE"""),5.0)</f>
        <v>5</v>
      </c>
      <c r="G855" s="8">
        <f>IFERROR(__xludf.DUMMYFUNCTION("""COMPUTED_VALUE"""),1.0)</f>
        <v>1</v>
      </c>
      <c r="H855" s="8">
        <f>IFERROR(__xludf.DUMMYFUNCTION("""COMPUTED_VALUE"""),0.0)</f>
        <v>0</v>
      </c>
      <c r="I855" s="8" t="str">
        <f>IFERROR(__xludf.DUMMYFUNCTION("""COMPUTED_VALUE"""),"General")</f>
        <v>General</v>
      </c>
      <c r="J855" s="8" t="str">
        <f>IFERROR(__xludf.DUMMYFUNCTION("""COMPUTED_VALUE"""),"Tops")</f>
        <v>Tops</v>
      </c>
      <c r="K855" s="8" t="str">
        <f>IFERROR(__xludf.DUMMYFUNCTION("""COMPUTED_VALUE"""),"Blouses")</f>
        <v>Blouses</v>
      </c>
    </row>
    <row r="856">
      <c r="A856" s="8">
        <f>IFERROR(__xludf.DUMMYFUNCTION("""COMPUTED_VALUE"""),1110.0)</f>
        <v>1110</v>
      </c>
      <c r="B856" s="8">
        <f>IFERROR(__xludf.DUMMYFUNCTION("""COMPUTED_VALUE"""),877.0)</f>
        <v>877</v>
      </c>
      <c r="C856" s="8">
        <f>IFERROR(__xludf.DUMMYFUNCTION("""COMPUTED_VALUE"""),53.0)</f>
        <v>53</v>
      </c>
      <c r="D856" s="8" t="str">
        <f>IFERROR(__xludf.DUMMYFUNCTION("""COMPUTED_VALUE"""),"One can never have enough sequins")</f>
        <v>One can never have enough sequins</v>
      </c>
      <c r="E856" s="8" t="str">
        <f>IFERROR(__xludf.DUMMYFUNCTION("""COMPUTED_VALUE"""),"Oh yes. another sequin top to add to my collection. it is sparkly without being glittery- if you know what i mean. can definitely dress down as it is tee shirt- like. lots of options for this one. tts.  much better in person than the online pics.")</f>
        <v>Oh yes. another sequin top to add to my collection. it is sparkly without being glittery- if you know what i mean. can definitely dress down as it is tee shirt- like. lots of options for this one. tts.  much better in person than the online pics.</v>
      </c>
      <c r="F856" s="8">
        <f>IFERROR(__xludf.DUMMYFUNCTION("""COMPUTED_VALUE"""),4.0)</f>
        <v>4</v>
      </c>
      <c r="G856" s="8">
        <f>IFERROR(__xludf.DUMMYFUNCTION("""COMPUTED_VALUE"""),1.0)</f>
        <v>1</v>
      </c>
      <c r="H856" s="8">
        <f>IFERROR(__xludf.DUMMYFUNCTION("""COMPUTED_VALUE"""),0.0)</f>
        <v>0</v>
      </c>
      <c r="I856" s="8" t="str">
        <f>IFERROR(__xludf.DUMMYFUNCTION("""COMPUTED_VALUE"""),"General")</f>
        <v>General</v>
      </c>
      <c r="J856" s="8" t="str">
        <f>IFERROR(__xludf.DUMMYFUNCTION("""COMPUTED_VALUE"""),"Tops")</f>
        <v>Tops</v>
      </c>
      <c r="K856" s="8" t="str">
        <f>IFERROR(__xludf.DUMMYFUNCTION("""COMPUTED_VALUE"""),"Knits")</f>
        <v>Knits</v>
      </c>
    </row>
    <row r="857">
      <c r="A857" s="8">
        <f>IFERROR(__xludf.DUMMYFUNCTION("""COMPUTED_VALUE"""),1113.0)</f>
        <v>1113</v>
      </c>
      <c r="B857" s="8">
        <f>IFERROR(__xludf.DUMMYFUNCTION("""COMPUTED_VALUE"""),1068.0)</f>
        <v>1068</v>
      </c>
      <c r="C857" s="8">
        <f>IFERROR(__xludf.DUMMYFUNCTION("""COMPUTED_VALUE"""),45.0)</f>
        <v>45</v>
      </c>
      <c r="D857" s="8" t="str">
        <f>IFERROR(__xludf.DUMMYFUNCTION("""COMPUTED_VALUE"""),"Love these")</f>
        <v>Love these</v>
      </c>
      <c r="E857" s="8" t="str">
        <f>IFERROR(__xludf.DUMMYFUNCTION("""COMPUTED_VALUE"""),"These joggers are soo cute. they fit great!!
i seriously love them!! i have worn them so often
i may have to ban myself from them for a week.
i am 5'4 and the length was perfect for a jogger pant.
i got an xs because the small looked too baggy. 
the xs lo"&amp;"osened up a little after wearing them and are perfect.")</f>
        <v>These joggers are soo cute. they fit great!!
i seriously love them!! i have worn them so often
i may have to ban myself from them for a week.
i am 5'4 and the length was perfect for a jogger pant.
i got an xs because the small looked too baggy. 
the xs loosened up a little after wearing them and are perfect.</v>
      </c>
      <c r="F857" s="8">
        <f>IFERROR(__xludf.DUMMYFUNCTION("""COMPUTED_VALUE"""),5.0)</f>
        <v>5</v>
      </c>
      <c r="G857" s="8">
        <f>IFERROR(__xludf.DUMMYFUNCTION("""COMPUTED_VALUE"""),1.0)</f>
        <v>1</v>
      </c>
      <c r="H857" s="8">
        <f>IFERROR(__xludf.DUMMYFUNCTION("""COMPUTED_VALUE"""),0.0)</f>
        <v>0</v>
      </c>
      <c r="I857" s="8" t="str">
        <f>IFERROR(__xludf.DUMMYFUNCTION("""COMPUTED_VALUE"""),"General")</f>
        <v>General</v>
      </c>
      <c r="J857" s="8" t="str">
        <f>IFERROR(__xludf.DUMMYFUNCTION("""COMPUTED_VALUE"""),"Bottoms")</f>
        <v>Bottoms</v>
      </c>
      <c r="K857" s="8" t="str">
        <f>IFERROR(__xludf.DUMMYFUNCTION("""COMPUTED_VALUE"""),"Pants")</f>
        <v>Pants</v>
      </c>
    </row>
    <row r="858">
      <c r="A858" s="8">
        <f>IFERROR(__xludf.DUMMYFUNCTION("""COMPUTED_VALUE"""),1115.0)</f>
        <v>1115</v>
      </c>
      <c r="B858" s="8">
        <f>IFERROR(__xludf.DUMMYFUNCTION("""COMPUTED_VALUE"""),1068.0)</f>
        <v>1068</v>
      </c>
      <c r="C858" s="8">
        <f>IFERROR(__xludf.DUMMYFUNCTION("""COMPUTED_VALUE"""),42.0)</f>
        <v>42</v>
      </c>
      <c r="D858" s="8" t="str">
        <f>IFERROR(__xludf.DUMMYFUNCTION("""COMPUTED_VALUE"""),"So much cuter in person and oh so comfy")</f>
        <v>So much cuter in person and oh so comfy</v>
      </c>
      <c r="E858" s="8" t="str">
        <f>IFERROR(__xludf.DUMMYFUNCTION("""COMPUTED_VALUE"""),"I bought these in the olive green, in the store and will be ordering the gray pair online. i am 5' 9"" and 145 lbs, long legs and these are beyond adorable. some people mentioned that they stretched out? i did not find this to be true. what i do know is t"&amp;"hey can be dressed up or dressed down. they are flattering and perfect for the spring/summer. i would highly recommend and would/will purchase in every color. well done retailer!! one of my most favorite purchases so far this spring.")</f>
        <v>I bought these in the olive green, in the store and will be ordering the gray pair online. i am 5' 9" and 145 lbs, long legs and these are beyond adorable. some people mentioned that they stretched out? i did not find this to be true. what i do know is they can be dressed up or dressed down. they are flattering and perfect for the spring/summer. i would highly recommend and would/will purchase in every color. well done retailer!! one of my most favorite purchases so far this spring.</v>
      </c>
      <c r="F858" s="8">
        <f>IFERROR(__xludf.DUMMYFUNCTION("""COMPUTED_VALUE"""),5.0)</f>
        <v>5</v>
      </c>
      <c r="G858" s="8">
        <f>IFERROR(__xludf.DUMMYFUNCTION("""COMPUTED_VALUE"""),1.0)</f>
        <v>1</v>
      </c>
      <c r="H858" s="8">
        <f>IFERROR(__xludf.DUMMYFUNCTION("""COMPUTED_VALUE"""),1.0)</f>
        <v>1</v>
      </c>
      <c r="I858" s="8" t="str">
        <f>IFERROR(__xludf.DUMMYFUNCTION("""COMPUTED_VALUE"""),"General")</f>
        <v>General</v>
      </c>
      <c r="J858" s="8" t="str">
        <f>IFERROR(__xludf.DUMMYFUNCTION("""COMPUTED_VALUE"""),"Bottoms")</f>
        <v>Bottoms</v>
      </c>
      <c r="K858" s="8" t="str">
        <f>IFERROR(__xludf.DUMMYFUNCTION("""COMPUTED_VALUE"""),"Pants")</f>
        <v>Pants</v>
      </c>
    </row>
    <row r="859">
      <c r="A859" s="8">
        <f>IFERROR(__xludf.DUMMYFUNCTION("""COMPUTED_VALUE"""),1116.0)</f>
        <v>1116</v>
      </c>
      <c r="B859" s="8">
        <f>IFERROR(__xludf.DUMMYFUNCTION("""COMPUTED_VALUE"""),691.0)</f>
        <v>691</v>
      </c>
      <c r="C859" s="8">
        <f>IFERROR(__xludf.DUMMYFUNCTION("""COMPUTED_VALUE"""),38.0)</f>
        <v>38</v>
      </c>
      <c r="D859" s="8" t="str">
        <f>IFERROR(__xludf.DUMMYFUNCTION("""COMPUTED_VALUE"""),"Tx fan")</f>
        <v>Tx fan</v>
      </c>
      <c r="E859" s="8" t="str">
        <f>IFERROR(__xludf.DUMMYFUNCTION("""COMPUTED_VALUE"""),"I love the flower patterns. they add feminine touch. this legging is well made with good quality spandex. the only cons is the color is not as deep as the picture. when you wearing it and the fabric stretched, the color looks much lighter. other than that"&amp;", it's a good buy!")</f>
        <v>I love the flower patterns. they add feminine touch. this legging is well made with good quality spandex. the only cons is the color is not as deep as the picture. when you wearing it and the fabric stretched, the color looks much lighter. other than that, it's a good buy!</v>
      </c>
      <c r="F859" s="8">
        <f>IFERROR(__xludf.DUMMYFUNCTION("""COMPUTED_VALUE"""),4.0)</f>
        <v>4</v>
      </c>
      <c r="G859" s="8">
        <f>IFERROR(__xludf.DUMMYFUNCTION("""COMPUTED_VALUE"""),1.0)</f>
        <v>1</v>
      </c>
      <c r="H859" s="8">
        <f>IFERROR(__xludf.DUMMYFUNCTION("""COMPUTED_VALUE"""),0.0)</f>
        <v>0</v>
      </c>
      <c r="I859" s="8" t="str">
        <f>IFERROR(__xludf.DUMMYFUNCTION("""COMPUTED_VALUE"""),"Initmates")</f>
        <v>Initmates</v>
      </c>
      <c r="J859" s="8" t="str">
        <f>IFERROR(__xludf.DUMMYFUNCTION("""COMPUTED_VALUE"""),"Intimate")</f>
        <v>Intimate</v>
      </c>
      <c r="K859" s="8" t="str">
        <f>IFERROR(__xludf.DUMMYFUNCTION("""COMPUTED_VALUE"""),"Lounge")</f>
        <v>Lounge</v>
      </c>
    </row>
    <row r="860">
      <c r="A860" s="8">
        <f>IFERROR(__xludf.DUMMYFUNCTION("""COMPUTED_VALUE"""),1118.0)</f>
        <v>1118</v>
      </c>
      <c r="B860" s="8">
        <f>IFERROR(__xludf.DUMMYFUNCTION("""COMPUTED_VALUE"""),1068.0)</f>
        <v>1068</v>
      </c>
      <c r="C860" s="8">
        <f>IFERROR(__xludf.DUMMYFUNCTION("""COMPUTED_VALUE"""),39.0)</f>
        <v>39</v>
      </c>
      <c r="D860" s="8" t="str">
        <f>IFERROR(__xludf.DUMMYFUNCTION("""COMPUTED_VALUE"""),"Nice enough")</f>
        <v>Nice enough</v>
      </c>
      <c r="E860" s="8" t="str">
        <f>IFERROR(__xludf.DUMMYFUNCTION("""COMPUTED_VALUE"""),"I ordered these as i was curious of hte fit on my body type (shorter, thighs)... well, it was ok, but in the end, i dind't keep them as i would be better off wearing jeans on casual day, or ""real"" joggers (as in jogging material).
cut was ok, not super"&amp;" flattering, but tapered pants only suit stright legs in my opinion.
material was nice enough, din'dt notice wrikling, but i didn't wwear them, jsut tried them on.
grey color was nice.")</f>
        <v>I ordered these as i was curious of hte fit on my body type (shorter, thighs)... well, it was ok, but in the end, i dind't keep them as i would be better off wearing jeans on casual day, or "real" joggers (as in jogging material).
cut was ok, not super flattering, but tapered pants only suit stright legs in my opinion.
material was nice enough, din'dt notice wrikling, but i didn't wwear them, jsut tried them on.
grey color was nice.</v>
      </c>
      <c r="F860" s="8">
        <f>IFERROR(__xludf.DUMMYFUNCTION("""COMPUTED_VALUE"""),4.0)</f>
        <v>4</v>
      </c>
      <c r="G860" s="8">
        <f>IFERROR(__xludf.DUMMYFUNCTION("""COMPUTED_VALUE"""),1.0)</f>
        <v>1</v>
      </c>
      <c r="H860" s="8">
        <f>IFERROR(__xludf.DUMMYFUNCTION("""COMPUTED_VALUE"""),2.0)</f>
        <v>2</v>
      </c>
      <c r="I860" s="8" t="str">
        <f>IFERROR(__xludf.DUMMYFUNCTION("""COMPUTED_VALUE"""),"General")</f>
        <v>General</v>
      </c>
      <c r="J860" s="8" t="str">
        <f>IFERROR(__xludf.DUMMYFUNCTION("""COMPUTED_VALUE"""),"Bottoms")</f>
        <v>Bottoms</v>
      </c>
      <c r="K860" s="8" t="str">
        <f>IFERROR(__xludf.DUMMYFUNCTION("""COMPUTED_VALUE"""),"Pants")</f>
        <v>Pants</v>
      </c>
    </row>
    <row r="861">
      <c r="A861" s="8">
        <f>IFERROR(__xludf.DUMMYFUNCTION("""COMPUTED_VALUE"""),1120.0)</f>
        <v>1120</v>
      </c>
      <c r="B861" s="8">
        <f>IFERROR(__xludf.DUMMYFUNCTION("""COMPUTED_VALUE"""),1089.0)</f>
        <v>1089</v>
      </c>
      <c r="C861" s="8">
        <f>IFERROR(__xludf.DUMMYFUNCTION("""COMPUTED_VALUE"""),51.0)</f>
        <v>51</v>
      </c>
      <c r="D861" s="8"/>
      <c r="E861" s="8" t="str">
        <f>IFERROR(__xludf.DUMMYFUNCTION("""COMPUTED_VALUE"""),"Got the black but the orange it very pretty too the black fabric has a sheen to it; almost like snakeskin. as other reviewers have mentioned, it does run small and the armholes are cut in a bit. overall it is a more interesting than a basic lbd.")</f>
        <v>Got the black but the orange it very pretty too the black fabric has a sheen to it; almost like snakeskin. as other reviewers have mentioned, it does run small and the armholes are cut in a bit. overall it is a more interesting than a basic lbd.</v>
      </c>
      <c r="F861" s="8">
        <f>IFERROR(__xludf.DUMMYFUNCTION("""COMPUTED_VALUE"""),4.0)</f>
        <v>4</v>
      </c>
      <c r="G861" s="8">
        <f>IFERROR(__xludf.DUMMYFUNCTION("""COMPUTED_VALUE"""),1.0)</f>
        <v>1</v>
      </c>
      <c r="H861" s="8">
        <f>IFERROR(__xludf.DUMMYFUNCTION("""COMPUTED_VALUE"""),0.0)</f>
        <v>0</v>
      </c>
      <c r="I861" s="8" t="str">
        <f>IFERROR(__xludf.DUMMYFUNCTION("""COMPUTED_VALUE"""),"General Petite")</f>
        <v>General Petite</v>
      </c>
      <c r="J861" s="8" t="str">
        <f>IFERROR(__xludf.DUMMYFUNCTION("""COMPUTED_VALUE"""),"Dresses")</f>
        <v>Dresses</v>
      </c>
      <c r="K861" s="8" t="str">
        <f>IFERROR(__xludf.DUMMYFUNCTION("""COMPUTED_VALUE"""),"Dresses")</f>
        <v>Dresses</v>
      </c>
    </row>
    <row r="862">
      <c r="A862" s="8">
        <f>IFERROR(__xludf.DUMMYFUNCTION("""COMPUTED_VALUE"""),1123.0)</f>
        <v>1123</v>
      </c>
      <c r="B862" s="8">
        <f>IFERROR(__xludf.DUMMYFUNCTION("""COMPUTED_VALUE"""),1089.0)</f>
        <v>1089</v>
      </c>
      <c r="C862" s="8">
        <f>IFERROR(__xludf.DUMMYFUNCTION("""COMPUTED_VALUE"""),52.0)</f>
        <v>52</v>
      </c>
      <c r="D862" s="8" t="str">
        <f>IFERROR(__xludf.DUMMYFUNCTION("""COMPUTED_VALUE"""),"Can't miss classic!!")</f>
        <v>Can't miss classic!!</v>
      </c>
      <c r="E862" s="8" t="str">
        <f>IFERROR(__xludf.DUMMYFUNCTION("""COMPUTED_VALUE"""),"I was so impressed with the style &amp; boning on the sides for the perfect fit! it's truly a classic staple in your closet for that lbd!!")</f>
        <v>I was so impressed with the style &amp; boning on the sides for the perfect fit! it's truly a classic staple in your closet for that lbd!!</v>
      </c>
      <c r="F862" s="8">
        <f>IFERROR(__xludf.DUMMYFUNCTION("""COMPUTED_VALUE"""),5.0)</f>
        <v>5</v>
      </c>
      <c r="G862" s="8">
        <f>IFERROR(__xludf.DUMMYFUNCTION("""COMPUTED_VALUE"""),1.0)</f>
        <v>1</v>
      </c>
      <c r="H862" s="8">
        <f>IFERROR(__xludf.DUMMYFUNCTION("""COMPUTED_VALUE"""),12.0)</f>
        <v>12</v>
      </c>
      <c r="I862" s="8" t="str">
        <f>IFERROR(__xludf.DUMMYFUNCTION("""COMPUTED_VALUE"""),"General Petite")</f>
        <v>General Petite</v>
      </c>
      <c r="J862" s="8" t="str">
        <f>IFERROR(__xludf.DUMMYFUNCTION("""COMPUTED_VALUE"""),"Dresses")</f>
        <v>Dresses</v>
      </c>
      <c r="K862" s="8" t="str">
        <f>IFERROR(__xludf.DUMMYFUNCTION("""COMPUTED_VALUE"""),"Dresses")</f>
        <v>Dresses</v>
      </c>
    </row>
    <row r="863">
      <c r="A863" s="8">
        <f>IFERROR(__xludf.DUMMYFUNCTION("""COMPUTED_VALUE"""),1124.0)</f>
        <v>1124</v>
      </c>
      <c r="B863" s="8">
        <f>IFERROR(__xludf.DUMMYFUNCTION("""COMPUTED_VALUE"""),875.0)</f>
        <v>875</v>
      </c>
      <c r="C863" s="8">
        <f>IFERROR(__xludf.DUMMYFUNCTION("""COMPUTED_VALUE"""),64.0)</f>
        <v>64</v>
      </c>
      <c r="D863" s="8" t="str">
        <f>IFERROR(__xludf.DUMMYFUNCTION("""COMPUTED_VALUE"""),"Cute and comfortable")</f>
        <v>Cute and comfortable</v>
      </c>
      <c r="E863" s="8" t="str">
        <f>IFERROR(__xludf.DUMMYFUNCTION("""COMPUTED_VALUE"""),"I was surprised how soft and comfy the fabric is on this top. when i tried it on, i didn't want to take it off! it's a little bigger than i would like - i got a small, and am usually between xs and s. may have sized down if the top were available.but the "&amp;"fit and cut are flattering.")</f>
        <v>I was surprised how soft and comfy the fabric is on this top. when i tried it on, i didn't want to take it off! it's a little bigger than i would like - i got a small, and am usually between xs and s. may have sized down if the top were available.but the fit and cut are flattering.</v>
      </c>
      <c r="F863" s="8">
        <f>IFERROR(__xludf.DUMMYFUNCTION("""COMPUTED_VALUE"""),5.0)</f>
        <v>5</v>
      </c>
      <c r="G863" s="8">
        <f>IFERROR(__xludf.DUMMYFUNCTION("""COMPUTED_VALUE"""),1.0)</f>
        <v>1</v>
      </c>
      <c r="H863" s="8">
        <f>IFERROR(__xludf.DUMMYFUNCTION("""COMPUTED_VALUE"""),0.0)</f>
        <v>0</v>
      </c>
      <c r="I863" s="8" t="str">
        <f>IFERROR(__xludf.DUMMYFUNCTION("""COMPUTED_VALUE"""),"General")</f>
        <v>General</v>
      </c>
      <c r="J863" s="8" t="str">
        <f>IFERROR(__xludf.DUMMYFUNCTION("""COMPUTED_VALUE"""),"Tops")</f>
        <v>Tops</v>
      </c>
      <c r="K863" s="8" t="str">
        <f>IFERROR(__xludf.DUMMYFUNCTION("""COMPUTED_VALUE"""),"Knits")</f>
        <v>Knits</v>
      </c>
    </row>
    <row r="864">
      <c r="A864" s="8">
        <f>IFERROR(__xludf.DUMMYFUNCTION("""COMPUTED_VALUE"""),1125.0)</f>
        <v>1125</v>
      </c>
      <c r="B864" s="8">
        <f>IFERROR(__xludf.DUMMYFUNCTION("""COMPUTED_VALUE"""),992.0)</f>
        <v>992</v>
      </c>
      <c r="C864" s="8">
        <f>IFERROR(__xludf.DUMMYFUNCTION("""COMPUTED_VALUE"""),39.0)</f>
        <v>39</v>
      </c>
      <c r="D864" s="8"/>
      <c r="E864" s="8" t="str">
        <f>IFERROR(__xludf.DUMMYFUNCTION("""COMPUTED_VALUE"""),"I usually wear a size 8/10 and i needed a large in this skirt. it flows so beautifully!")</f>
        <v>I usually wear a size 8/10 and i needed a large in this skirt. it flows so beautifully!</v>
      </c>
      <c r="F864" s="8">
        <f>IFERROR(__xludf.DUMMYFUNCTION("""COMPUTED_VALUE"""),5.0)</f>
        <v>5</v>
      </c>
      <c r="G864" s="8">
        <f>IFERROR(__xludf.DUMMYFUNCTION("""COMPUTED_VALUE"""),1.0)</f>
        <v>1</v>
      </c>
      <c r="H864" s="8">
        <f>IFERROR(__xludf.DUMMYFUNCTION("""COMPUTED_VALUE"""),0.0)</f>
        <v>0</v>
      </c>
      <c r="I864" s="8" t="str">
        <f>IFERROR(__xludf.DUMMYFUNCTION("""COMPUTED_VALUE"""),"General Petite")</f>
        <v>General Petite</v>
      </c>
      <c r="J864" s="8" t="str">
        <f>IFERROR(__xludf.DUMMYFUNCTION("""COMPUTED_VALUE"""),"Bottoms")</f>
        <v>Bottoms</v>
      </c>
      <c r="K864" s="8" t="str">
        <f>IFERROR(__xludf.DUMMYFUNCTION("""COMPUTED_VALUE"""),"Skirts")</f>
        <v>Skirts</v>
      </c>
    </row>
    <row r="865">
      <c r="A865" s="8">
        <f>IFERROR(__xludf.DUMMYFUNCTION("""COMPUTED_VALUE"""),1126.0)</f>
        <v>1126</v>
      </c>
      <c r="B865" s="8">
        <f>IFERROR(__xludf.DUMMYFUNCTION("""COMPUTED_VALUE"""),860.0)</f>
        <v>860</v>
      </c>
      <c r="C865" s="8">
        <f>IFERROR(__xludf.DUMMYFUNCTION("""COMPUTED_VALUE"""),53.0)</f>
        <v>53</v>
      </c>
      <c r="D865" s="8" t="str">
        <f>IFERROR(__xludf.DUMMYFUNCTION("""COMPUTED_VALUE"""),"Favorite summer top")</f>
        <v>Favorite summer top</v>
      </c>
      <c r="E865" s="8" t="str">
        <f>IFERROR(__xludf.DUMMYFUNCTION("""COMPUTED_VALUE"""),"I love this little number. the quality is terrific, the weight is perfect, and the cut is superb. i love the way it fits and looks in the arms. i ordered my usual xxsp and it is perfect. i like that it is cool and flowy, without looking like maternity att"&amp;"ire. i have the bright turquoise and i am going to order another. i was about to order what looks like a yellow one, but i noticed the color is labeled ""chartreuse"". can anyone tell me if this is more yellow or green in ""real life""?")</f>
        <v>I love this little number. the quality is terrific, the weight is perfect, and the cut is superb. i love the way it fits and looks in the arms. i ordered my usual xxsp and it is perfect. i like that it is cool and flowy, without looking like maternity attire. i have the bright turquoise and i am going to order another. i was about to order what looks like a yellow one, but i noticed the color is labeled "chartreuse". can anyone tell me if this is more yellow or green in "real life"?</v>
      </c>
      <c r="F865" s="8">
        <f>IFERROR(__xludf.DUMMYFUNCTION("""COMPUTED_VALUE"""),5.0)</f>
        <v>5</v>
      </c>
      <c r="G865" s="8">
        <f>IFERROR(__xludf.DUMMYFUNCTION("""COMPUTED_VALUE"""),1.0)</f>
        <v>1</v>
      </c>
      <c r="H865" s="8">
        <f>IFERROR(__xludf.DUMMYFUNCTION("""COMPUTED_VALUE"""),1.0)</f>
        <v>1</v>
      </c>
      <c r="I865" s="8" t="str">
        <f>IFERROR(__xludf.DUMMYFUNCTION("""COMPUTED_VALUE"""),"General Petite")</f>
        <v>General Petite</v>
      </c>
      <c r="J865" s="8" t="str">
        <f>IFERROR(__xludf.DUMMYFUNCTION("""COMPUTED_VALUE"""),"Tops")</f>
        <v>Tops</v>
      </c>
      <c r="K865" s="8" t="str">
        <f>IFERROR(__xludf.DUMMYFUNCTION("""COMPUTED_VALUE"""),"Knits")</f>
        <v>Knits</v>
      </c>
    </row>
    <row r="866">
      <c r="A866" s="8">
        <f>IFERROR(__xludf.DUMMYFUNCTION("""COMPUTED_VALUE"""),1127.0)</f>
        <v>1127</v>
      </c>
      <c r="B866" s="8">
        <f>IFERROR(__xludf.DUMMYFUNCTION("""COMPUTED_VALUE"""),777.0)</f>
        <v>777</v>
      </c>
      <c r="C866" s="8">
        <f>IFERROR(__xludf.DUMMYFUNCTION("""COMPUTED_VALUE"""),48.0)</f>
        <v>48</v>
      </c>
      <c r="D866" s="8" t="str">
        <f>IFERROR(__xludf.DUMMYFUNCTION("""COMPUTED_VALUE"""),"Happy girl!")</f>
        <v>Happy girl!</v>
      </c>
      <c r="E866" s="8" t="str">
        <f>IFERROR(__xludf.DUMMYFUNCTION("""COMPUTED_VALUE"""),"One of 3 pair of leggings ordered and the only pair to fit properly! size l was perfect for me. they stretched nicely going on and the beautiful floral design on the legs didn't get distorted or faded looking from the stretch. wearing these makes me happy"&amp;" :)")</f>
        <v>One of 3 pair of leggings ordered and the only pair to fit properly! size l was perfect for me. they stretched nicely going on and the beautiful floral design on the legs didn't get distorted or faded looking from the stretch. wearing these makes me happy :)</v>
      </c>
      <c r="F866" s="8">
        <f>IFERROR(__xludf.DUMMYFUNCTION("""COMPUTED_VALUE"""),5.0)</f>
        <v>5</v>
      </c>
      <c r="G866" s="8">
        <f>IFERROR(__xludf.DUMMYFUNCTION("""COMPUTED_VALUE"""),1.0)</f>
        <v>1</v>
      </c>
      <c r="H866" s="8">
        <f>IFERROR(__xludf.DUMMYFUNCTION("""COMPUTED_VALUE"""),1.0)</f>
        <v>1</v>
      </c>
      <c r="I866" s="8" t="str">
        <f>IFERROR(__xludf.DUMMYFUNCTION("""COMPUTED_VALUE"""),"Initmates")</f>
        <v>Initmates</v>
      </c>
      <c r="J866" s="8" t="str">
        <f>IFERROR(__xludf.DUMMYFUNCTION("""COMPUTED_VALUE"""),"Intimate")</f>
        <v>Intimate</v>
      </c>
      <c r="K866" s="8" t="str">
        <f>IFERROR(__xludf.DUMMYFUNCTION("""COMPUTED_VALUE"""),"Lounge")</f>
        <v>Lounge</v>
      </c>
    </row>
    <row r="867">
      <c r="A867" s="8">
        <f>IFERROR(__xludf.DUMMYFUNCTION("""COMPUTED_VALUE"""),1128.0)</f>
        <v>1128</v>
      </c>
      <c r="B867" s="8">
        <f>IFERROR(__xludf.DUMMYFUNCTION("""COMPUTED_VALUE"""),777.0)</f>
        <v>777</v>
      </c>
      <c r="C867" s="8">
        <f>IFERROR(__xludf.DUMMYFUNCTION("""COMPUTED_VALUE"""),64.0)</f>
        <v>64</v>
      </c>
      <c r="D867" s="8" t="str">
        <f>IFERROR(__xludf.DUMMYFUNCTION("""COMPUTED_VALUE"""),"Unusual and eyecatching")</f>
        <v>Unusual and eyecatching</v>
      </c>
      <c r="E867" s="8" t="str">
        <f>IFERROR(__xludf.DUMMYFUNCTION("""COMPUTED_VALUE"""),"These leggings are beautiful! so unusual and colorful, comfortable, and flattering. they fit true-to-size with enough stretch to move with you yet retain their shape. the fabric is a bit lighter-weight than ponte but heavy enough to be completely opaque. "&amp;"i would definitely recommend these beautiful leggings to anyone who doesn't mind attracting a little (envious?) attention.")</f>
        <v>These leggings are beautiful! so unusual and colorful, comfortable, and flattering. they fit true-to-size with enough stretch to move with you yet retain their shape. the fabric is a bit lighter-weight than ponte but heavy enough to be completely opaque. i would definitely recommend these beautiful leggings to anyone who doesn't mind attracting a little (envious?) attention.</v>
      </c>
      <c r="F867" s="8">
        <f>IFERROR(__xludf.DUMMYFUNCTION("""COMPUTED_VALUE"""),5.0)</f>
        <v>5</v>
      </c>
      <c r="G867" s="8">
        <f>IFERROR(__xludf.DUMMYFUNCTION("""COMPUTED_VALUE"""),1.0)</f>
        <v>1</v>
      </c>
      <c r="H867" s="8">
        <f>IFERROR(__xludf.DUMMYFUNCTION("""COMPUTED_VALUE"""),1.0)</f>
        <v>1</v>
      </c>
      <c r="I867" s="8" t="str">
        <f>IFERROR(__xludf.DUMMYFUNCTION("""COMPUTED_VALUE"""),"Initmates")</f>
        <v>Initmates</v>
      </c>
      <c r="J867" s="8" t="str">
        <f>IFERROR(__xludf.DUMMYFUNCTION("""COMPUTED_VALUE"""),"Intimate")</f>
        <v>Intimate</v>
      </c>
      <c r="K867" s="8" t="str">
        <f>IFERROR(__xludf.DUMMYFUNCTION("""COMPUTED_VALUE"""),"Lounge")</f>
        <v>Lounge</v>
      </c>
    </row>
    <row r="868">
      <c r="A868" s="8">
        <f>IFERROR(__xludf.DUMMYFUNCTION("""COMPUTED_VALUE"""),1129.0)</f>
        <v>1129</v>
      </c>
      <c r="B868" s="8">
        <f>IFERROR(__xludf.DUMMYFUNCTION("""COMPUTED_VALUE"""),860.0)</f>
        <v>860</v>
      </c>
      <c r="C868" s="8">
        <f>IFERROR(__xludf.DUMMYFUNCTION("""COMPUTED_VALUE"""),48.0)</f>
        <v>48</v>
      </c>
      <c r="D868" s="8" t="str">
        <f>IFERROR(__xludf.DUMMYFUNCTION("""COMPUTED_VALUE"""),"Beautiful in blue!")</f>
        <v>Beautiful in blue!</v>
      </c>
      <c r="E868" s="8" t="str">
        <f>IFERROR(__xludf.DUMMYFUNCTION("""COMPUTED_VALUE"""),"I totally love this tank! the yoke detailing is so pretty! i read the other reviews...i feel it fits pretty tts, it's what i expected. i have already worn it several times since it arrived in the mail. i love it so much, i'm ordering it in the turquoise c"&amp;"olor as well. every time i have worn it, i have received compliments. i've worn it alone with shorts and/or jeans, as well as with a cardigan and dress pants for work. it's soft, comfortable and to echo what another review stated, the material s")</f>
        <v>I totally love this tank! the yoke detailing is so pretty! i read the other reviews...i feel it fits pretty tts, it's what i expected. i have already worn it several times since it arrived in the mail. i love it so much, i'm ordering it in the turquoise color as well. every time i have worn it, i have received compliments. i've worn it alone with shorts and/or jeans, as well as with a cardigan and dress pants for work. it's soft, comfortable and to echo what another review stated, the material s</v>
      </c>
      <c r="F868" s="8">
        <f>IFERROR(__xludf.DUMMYFUNCTION("""COMPUTED_VALUE"""),5.0)</f>
        <v>5</v>
      </c>
      <c r="G868" s="8">
        <f>IFERROR(__xludf.DUMMYFUNCTION("""COMPUTED_VALUE"""),1.0)</f>
        <v>1</v>
      </c>
      <c r="H868" s="8">
        <f>IFERROR(__xludf.DUMMYFUNCTION("""COMPUTED_VALUE"""),2.0)</f>
        <v>2</v>
      </c>
      <c r="I868" s="8" t="str">
        <f>IFERROR(__xludf.DUMMYFUNCTION("""COMPUTED_VALUE"""),"General Petite")</f>
        <v>General Petite</v>
      </c>
      <c r="J868" s="8" t="str">
        <f>IFERROR(__xludf.DUMMYFUNCTION("""COMPUTED_VALUE"""),"Tops")</f>
        <v>Tops</v>
      </c>
      <c r="K868" s="8" t="str">
        <f>IFERROR(__xludf.DUMMYFUNCTION("""COMPUTED_VALUE"""),"Knits")</f>
        <v>Knits</v>
      </c>
    </row>
    <row r="869">
      <c r="A869" s="8">
        <f>IFERROR(__xludf.DUMMYFUNCTION("""COMPUTED_VALUE"""),1130.0)</f>
        <v>1130</v>
      </c>
      <c r="B869" s="8">
        <f>IFERROR(__xludf.DUMMYFUNCTION("""COMPUTED_VALUE"""),860.0)</f>
        <v>860</v>
      </c>
      <c r="C869" s="8">
        <f>IFERROR(__xludf.DUMMYFUNCTION("""COMPUTED_VALUE"""),39.0)</f>
        <v>39</v>
      </c>
      <c r="D869" s="8" t="str">
        <f>IFERROR(__xludf.DUMMYFUNCTION("""COMPUTED_VALUE"""),"Gorgeous!")</f>
        <v>Gorgeous!</v>
      </c>
      <c r="E869" s="8" t="str">
        <f>IFERROR(__xludf.DUMMYFUNCTION("""COMPUTED_VALUE"""),"Gorgeous cobalt blue color!!!  usually s/m- bought the small (because of larger armholes).  so glad i snatched this one up on sale!  the detail on the top is amazing.")</f>
        <v>Gorgeous cobalt blue color!!!  usually s/m- bought the small (because of larger armholes).  so glad i snatched this one up on sale!  the detail on the top is amazing.</v>
      </c>
      <c r="F869" s="8">
        <f>IFERROR(__xludf.DUMMYFUNCTION("""COMPUTED_VALUE"""),5.0)</f>
        <v>5</v>
      </c>
      <c r="G869" s="8">
        <f>IFERROR(__xludf.DUMMYFUNCTION("""COMPUTED_VALUE"""),1.0)</f>
        <v>1</v>
      </c>
      <c r="H869" s="8">
        <f>IFERROR(__xludf.DUMMYFUNCTION("""COMPUTED_VALUE"""),0.0)</f>
        <v>0</v>
      </c>
      <c r="I869" s="8" t="str">
        <f>IFERROR(__xludf.DUMMYFUNCTION("""COMPUTED_VALUE"""),"General Petite")</f>
        <v>General Petite</v>
      </c>
      <c r="J869" s="8" t="str">
        <f>IFERROR(__xludf.DUMMYFUNCTION("""COMPUTED_VALUE"""),"Tops")</f>
        <v>Tops</v>
      </c>
      <c r="K869" s="8" t="str">
        <f>IFERROR(__xludf.DUMMYFUNCTION("""COMPUTED_VALUE"""),"Knits")</f>
        <v>Knits</v>
      </c>
    </row>
    <row r="870">
      <c r="A870" s="8">
        <f>IFERROR(__xludf.DUMMYFUNCTION("""COMPUTED_VALUE"""),1132.0)</f>
        <v>1132</v>
      </c>
      <c r="B870" s="8">
        <f>IFERROR(__xludf.DUMMYFUNCTION("""COMPUTED_VALUE"""),1089.0)</f>
        <v>1089</v>
      </c>
      <c r="C870" s="8">
        <f>IFERROR(__xludf.DUMMYFUNCTION("""COMPUTED_VALUE"""),68.0)</f>
        <v>68</v>
      </c>
      <c r="D870" s="8" t="str">
        <f>IFERROR(__xludf.DUMMYFUNCTION("""COMPUTED_VALUE"""),"Cute but runs small")</f>
        <v>Cute but runs small</v>
      </c>
      <c r="E870" s="8" t="str">
        <f>IFERROR(__xludf.DUMMYFUNCTION("""COMPUTED_VALUE"""),"This dress is attractive but it runs a little small. i'm a small curvy girl who usually wears a 2. this was small in the top and short waisted. i wanted to wear it to a recent event and didn't have time to return it for another size.")</f>
        <v>This dress is attractive but it runs a little small. i'm a small curvy girl who usually wears a 2. this was small in the top and short waisted. i wanted to wear it to a recent event and didn't have time to return it for another size.</v>
      </c>
      <c r="F870" s="8">
        <f>IFERROR(__xludf.DUMMYFUNCTION("""COMPUTED_VALUE"""),4.0)</f>
        <v>4</v>
      </c>
      <c r="G870" s="8">
        <f>IFERROR(__xludf.DUMMYFUNCTION("""COMPUTED_VALUE"""),1.0)</f>
        <v>1</v>
      </c>
      <c r="H870" s="8">
        <f>IFERROR(__xludf.DUMMYFUNCTION("""COMPUTED_VALUE"""),9.0)</f>
        <v>9</v>
      </c>
      <c r="I870" s="8" t="str">
        <f>IFERROR(__xludf.DUMMYFUNCTION("""COMPUTED_VALUE"""),"General Petite")</f>
        <v>General Petite</v>
      </c>
      <c r="J870" s="8" t="str">
        <f>IFERROR(__xludf.DUMMYFUNCTION("""COMPUTED_VALUE"""),"Dresses")</f>
        <v>Dresses</v>
      </c>
      <c r="K870" s="8" t="str">
        <f>IFERROR(__xludf.DUMMYFUNCTION("""COMPUTED_VALUE"""),"Dresses")</f>
        <v>Dresses</v>
      </c>
    </row>
    <row r="871">
      <c r="A871" s="8">
        <f>IFERROR(__xludf.DUMMYFUNCTION("""COMPUTED_VALUE"""),1134.0)</f>
        <v>1134</v>
      </c>
      <c r="B871" s="8">
        <f>IFERROR(__xludf.DUMMYFUNCTION("""COMPUTED_VALUE"""),992.0)</f>
        <v>992</v>
      </c>
      <c r="C871" s="8">
        <f>IFERROR(__xludf.DUMMYFUNCTION("""COMPUTED_VALUE"""),62.0)</f>
        <v>62</v>
      </c>
      <c r="D871" s="8" t="str">
        <f>IFERROR(__xludf.DUMMYFUNCTION("""COMPUTED_VALUE"""),"Beautiful day to evening skirt")</f>
        <v>Beautiful day to evening skirt</v>
      </c>
      <c r="E871" s="8" t="str">
        <f>IFERROR(__xludf.DUMMYFUNCTION("""COMPUTED_VALUE"""),"A lovely skirt and i'm so glad i found it before the medium sold out! having said that, i expected the medium to run small and that i'd have to squeeze into it but having tried it on this evening it's not the case at all. i nice fit. i might even have fit"&amp;"ted into a small, which i think is the only size remaining. the skirt is very spain inspired. very flamenco! i love it! i will say that you'd need a bit of height to wear this skirt due to the length at the back. i'm 5'6"" which is tall enough fo")</f>
        <v>A lovely skirt and i'm so glad i found it before the medium sold out! having said that, i expected the medium to run small and that i'd have to squeeze into it but having tried it on this evening it's not the case at all. i nice fit. i might even have fitted into a small, which i think is the only size remaining. the skirt is very spain inspired. very flamenco! i love it! i will say that you'd need a bit of height to wear this skirt due to the length at the back. i'm 5'6" which is tall enough fo</v>
      </c>
      <c r="F871" s="8">
        <f>IFERROR(__xludf.DUMMYFUNCTION("""COMPUTED_VALUE"""),4.0)</f>
        <v>4</v>
      </c>
      <c r="G871" s="8">
        <f>IFERROR(__xludf.DUMMYFUNCTION("""COMPUTED_VALUE"""),1.0)</f>
        <v>1</v>
      </c>
      <c r="H871" s="8">
        <f>IFERROR(__xludf.DUMMYFUNCTION("""COMPUTED_VALUE"""),0.0)</f>
        <v>0</v>
      </c>
      <c r="I871" s="8" t="str">
        <f>IFERROR(__xludf.DUMMYFUNCTION("""COMPUTED_VALUE"""),"General Petite")</f>
        <v>General Petite</v>
      </c>
      <c r="J871" s="8" t="str">
        <f>IFERROR(__xludf.DUMMYFUNCTION("""COMPUTED_VALUE"""),"Bottoms")</f>
        <v>Bottoms</v>
      </c>
      <c r="K871" s="8" t="str">
        <f>IFERROR(__xludf.DUMMYFUNCTION("""COMPUTED_VALUE"""),"Skirts")</f>
        <v>Skirts</v>
      </c>
    </row>
    <row r="872">
      <c r="A872" s="8">
        <f>IFERROR(__xludf.DUMMYFUNCTION("""COMPUTED_VALUE"""),1136.0)</f>
        <v>1136</v>
      </c>
      <c r="B872" s="8">
        <f>IFERROR(__xludf.DUMMYFUNCTION("""COMPUTED_VALUE"""),1068.0)</f>
        <v>1068</v>
      </c>
      <c r="C872" s="8">
        <f>IFERROR(__xludf.DUMMYFUNCTION("""COMPUTED_VALUE"""),37.0)</f>
        <v>37</v>
      </c>
      <c r="D872" s="8" t="str">
        <f>IFERROR(__xludf.DUMMYFUNCTION("""COMPUTED_VALUE"""),"Love love love!")</f>
        <v>Love love love!</v>
      </c>
      <c r="E872" s="8" t="str">
        <f>IFERROR(__xludf.DUMMYFUNCTION("""COMPUTED_VALUE"""),"I adore these little joggers. i was immediately drawn to the color (army green) and the little details. i carry all my weight on bottom, so i don't often wear many retailer bottoms (i'm usually a 16). i tried the xl on just to see how they would work and "&amp;"i was pleasantly surprised! they are absolutely perfect. they fit a little baggy, as joggers do, and go with just about everything! mine did loosen a tad, but not like the previous reviewer. i highly recommend these! can't wait to wear these throu")</f>
        <v>I adore these little joggers. i was immediately drawn to the color (army green) and the little details. i carry all my weight on bottom, so i don't often wear many retailer bottoms (i'm usually a 16). i tried the xl on just to see how they would work and i was pleasantly surprised! they are absolutely perfect. they fit a little baggy, as joggers do, and go with just about everything! mine did loosen a tad, but not like the previous reviewer. i highly recommend these! can't wait to wear these throu</v>
      </c>
      <c r="F872" s="8">
        <f>IFERROR(__xludf.DUMMYFUNCTION("""COMPUTED_VALUE"""),5.0)</f>
        <v>5</v>
      </c>
      <c r="G872" s="8">
        <f>IFERROR(__xludf.DUMMYFUNCTION("""COMPUTED_VALUE"""),1.0)</f>
        <v>1</v>
      </c>
      <c r="H872" s="8">
        <f>IFERROR(__xludf.DUMMYFUNCTION("""COMPUTED_VALUE"""),10.0)</f>
        <v>10</v>
      </c>
      <c r="I872" s="8" t="str">
        <f>IFERROR(__xludf.DUMMYFUNCTION("""COMPUTED_VALUE"""),"General")</f>
        <v>General</v>
      </c>
      <c r="J872" s="8" t="str">
        <f>IFERROR(__xludf.DUMMYFUNCTION("""COMPUTED_VALUE"""),"Bottoms")</f>
        <v>Bottoms</v>
      </c>
      <c r="K872" s="8" t="str">
        <f>IFERROR(__xludf.DUMMYFUNCTION("""COMPUTED_VALUE"""),"Pants")</f>
        <v>Pants</v>
      </c>
    </row>
    <row r="873">
      <c r="A873" s="8">
        <f>IFERROR(__xludf.DUMMYFUNCTION("""COMPUTED_VALUE"""),1137.0)</f>
        <v>1137</v>
      </c>
      <c r="B873" s="8">
        <f>IFERROR(__xludf.DUMMYFUNCTION("""COMPUTED_VALUE"""),860.0)</f>
        <v>860</v>
      </c>
      <c r="C873" s="8">
        <f>IFERROR(__xludf.DUMMYFUNCTION("""COMPUTED_VALUE"""),51.0)</f>
        <v>51</v>
      </c>
      <c r="D873" s="8" t="str">
        <f>IFERROR(__xludf.DUMMYFUNCTION("""COMPUTED_VALUE"""),"Easy fit")</f>
        <v>Easy fit</v>
      </c>
      <c r="E873" s="8" t="str">
        <f>IFERROR(__xludf.DUMMYFUNCTION("""COMPUTED_VALUE"""),"Love this tank. it has an easy fit that hides my post baby belly with out looking to wide.")</f>
        <v>Love this tank. it has an easy fit that hides my post baby belly with out looking to wide.</v>
      </c>
      <c r="F873" s="8">
        <f>IFERROR(__xludf.DUMMYFUNCTION("""COMPUTED_VALUE"""),5.0)</f>
        <v>5</v>
      </c>
      <c r="G873" s="8">
        <f>IFERROR(__xludf.DUMMYFUNCTION("""COMPUTED_VALUE"""),1.0)</f>
        <v>1</v>
      </c>
      <c r="H873" s="8">
        <f>IFERROR(__xludf.DUMMYFUNCTION("""COMPUTED_VALUE"""),0.0)</f>
        <v>0</v>
      </c>
      <c r="I873" s="8" t="str">
        <f>IFERROR(__xludf.DUMMYFUNCTION("""COMPUTED_VALUE"""),"General Petite")</f>
        <v>General Petite</v>
      </c>
      <c r="J873" s="8" t="str">
        <f>IFERROR(__xludf.DUMMYFUNCTION("""COMPUTED_VALUE"""),"Tops")</f>
        <v>Tops</v>
      </c>
      <c r="K873" s="8" t="str">
        <f>IFERROR(__xludf.DUMMYFUNCTION("""COMPUTED_VALUE"""),"Knits")</f>
        <v>Knits</v>
      </c>
    </row>
    <row r="874">
      <c r="A874" s="8">
        <f>IFERROR(__xludf.DUMMYFUNCTION("""COMPUTED_VALUE"""),1138.0)</f>
        <v>1138</v>
      </c>
      <c r="B874" s="8">
        <f>IFERROR(__xludf.DUMMYFUNCTION("""COMPUTED_VALUE"""),831.0)</f>
        <v>831</v>
      </c>
      <c r="C874" s="8">
        <f>IFERROR(__xludf.DUMMYFUNCTION("""COMPUTED_VALUE"""),38.0)</f>
        <v>38</v>
      </c>
      <c r="D874" s="8" t="str">
        <f>IFERROR(__xludf.DUMMYFUNCTION("""COMPUTED_VALUE"""),"Gorgeous top!")</f>
        <v>Gorgeous top!</v>
      </c>
      <c r="E874" s="8" t="str">
        <f>IFERROR(__xludf.DUMMYFUNCTION("""COMPUTED_VALUE"""),"I love this blouse. the lace panels are slightly sheer, but nothing inappropriate. the solid fabric is a lovely sort of heavy crepe. stunning bright cobalt blue color. i'm an xl in retailer and this top fit well in xl; ever so slightly snug at one part on"&amp;" the sleeve but nothing noticeable or uncomfortable. be aware, this did bleed blue when it was soaking and it did drip blue water while it was air drying on the hanger. while this blouse is still wet i would stretch out the sides and sleeves to ge")</f>
        <v>I love this blouse. the lace panels are slightly sheer, but nothing inappropriate. the solid fabric is a lovely sort of heavy crepe. stunning bright cobalt blue color. i'm an xl in retailer and this top fit well in xl; ever so slightly snug at one part on the sleeve but nothing noticeable or uncomfortable. be aware, this did bleed blue when it was soaking and it did drip blue water while it was air drying on the hanger. while this blouse is still wet i would stretch out the sides and sleeves to ge</v>
      </c>
      <c r="F874" s="8">
        <f>IFERROR(__xludf.DUMMYFUNCTION("""COMPUTED_VALUE"""),5.0)</f>
        <v>5</v>
      </c>
      <c r="G874" s="8">
        <f>IFERROR(__xludf.DUMMYFUNCTION("""COMPUTED_VALUE"""),1.0)</f>
        <v>1</v>
      </c>
      <c r="H874" s="8">
        <f>IFERROR(__xludf.DUMMYFUNCTION("""COMPUTED_VALUE"""),2.0)</f>
        <v>2</v>
      </c>
      <c r="I874" s="8" t="str">
        <f>IFERROR(__xludf.DUMMYFUNCTION("""COMPUTED_VALUE"""),"General")</f>
        <v>General</v>
      </c>
      <c r="J874" s="8" t="str">
        <f>IFERROR(__xludf.DUMMYFUNCTION("""COMPUTED_VALUE"""),"Tops")</f>
        <v>Tops</v>
      </c>
      <c r="K874" s="8" t="str">
        <f>IFERROR(__xludf.DUMMYFUNCTION("""COMPUTED_VALUE"""),"Blouses")</f>
        <v>Blouses</v>
      </c>
    </row>
    <row r="875">
      <c r="A875" s="8">
        <f>IFERROR(__xludf.DUMMYFUNCTION("""COMPUTED_VALUE"""),1144.0)</f>
        <v>1144</v>
      </c>
      <c r="B875" s="8">
        <f>IFERROR(__xludf.DUMMYFUNCTION("""COMPUTED_VALUE"""),993.0)</f>
        <v>993</v>
      </c>
      <c r="C875" s="8">
        <f>IFERROR(__xludf.DUMMYFUNCTION("""COMPUTED_VALUE"""),49.0)</f>
        <v>49</v>
      </c>
      <c r="D875" s="8" t="str">
        <f>IFERROR(__xludf.DUMMYFUNCTION("""COMPUTED_VALUE"""),"Everyday casual and cute")</f>
        <v>Everyday casual and cute</v>
      </c>
      <c r="E875" s="8" t="str">
        <f>IFERROR(__xludf.DUMMYFUNCTION("""COMPUTED_VALUE"""),"I wanted a casual, denim colored skirt for warmer weather without the denim weight  and this skirt fit my needs perfectly.  i'm 5'4, 117lbs and the xs fits me true to size, hitting about 1 1/2 inches above the knee. it's a more modest length for daytime b"&amp;"ut it definitely needs a slip underneath. the raw edge is subtle (no hanging threads) and unique. i can't speak to the lack of colorfastness but i washed it separately and will be mindful of the possibility .")</f>
        <v>I wanted a casual, denim colored skirt for warmer weather without the denim weight  and this skirt fit my needs perfectly.  i'm 5'4, 117lbs and the xs fits me true to size, hitting about 1 1/2 inches above the knee. it's a more modest length for daytime but it definitely needs a slip underneath. the raw edge is subtle (no hanging threads) and unique. i can't speak to the lack of colorfastness but i washed it separately and will be mindful of the possibility .</v>
      </c>
      <c r="F875" s="8">
        <f>IFERROR(__xludf.DUMMYFUNCTION("""COMPUTED_VALUE"""),5.0)</f>
        <v>5</v>
      </c>
      <c r="G875" s="8">
        <f>IFERROR(__xludf.DUMMYFUNCTION("""COMPUTED_VALUE"""),1.0)</f>
        <v>1</v>
      </c>
      <c r="H875" s="8">
        <f>IFERROR(__xludf.DUMMYFUNCTION("""COMPUTED_VALUE"""),0.0)</f>
        <v>0</v>
      </c>
      <c r="I875" s="8" t="str">
        <f>IFERROR(__xludf.DUMMYFUNCTION("""COMPUTED_VALUE"""),"General Petite")</f>
        <v>General Petite</v>
      </c>
      <c r="J875" s="8" t="str">
        <f>IFERROR(__xludf.DUMMYFUNCTION("""COMPUTED_VALUE"""),"Bottoms")</f>
        <v>Bottoms</v>
      </c>
      <c r="K875" s="8" t="str">
        <f>IFERROR(__xludf.DUMMYFUNCTION("""COMPUTED_VALUE"""),"Skirts")</f>
        <v>Skirts</v>
      </c>
    </row>
    <row r="876">
      <c r="A876" s="8">
        <f>IFERROR(__xludf.DUMMYFUNCTION("""COMPUTED_VALUE"""),1145.0)</f>
        <v>1145</v>
      </c>
      <c r="B876" s="8">
        <f>IFERROR(__xludf.DUMMYFUNCTION("""COMPUTED_VALUE"""),860.0)</f>
        <v>860</v>
      </c>
      <c r="C876" s="8">
        <f>IFERROR(__xludf.DUMMYFUNCTION("""COMPUTED_VALUE"""),62.0)</f>
        <v>62</v>
      </c>
      <c r="D876" s="8" t="str">
        <f>IFERROR(__xludf.DUMMYFUNCTION("""COMPUTED_VALUE"""),"Unusual, cool, fun top")</f>
        <v>Unusual, cool, fun top</v>
      </c>
      <c r="E876" s="8" t="str">
        <f>IFERROR(__xludf.DUMMYFUNCTION("""COMPUTED_VALUE"""),"I love this top!! the detail on front top of the top is so cute. the length is just right. i hesitated because of the unusual armhole shape but they are really not an issue. also, thanks for finding the top as it wasn't available at distribution center, w"&amp;"ent of your way!!")</f>
        <v>I love this top!! the detail on front top of the top is so cute. the length is just right. i hesitated because of the unusual armhole shape but they are really not an issue. also, thanks for finding the top as it wasn't available at distribution center, went of your way!!</v>
      </c>
      <c r="F876" s="8">
        <f>IFERROR(__xludf.DUMMYFUNCTION("""COMPUTED_VALUE"""),5.0)</f>
        <v>5</v>
      </c>
      <c r="G876" s="8">
        <f>IFERROR(__xludf.DUMMYFUNCTION("""COMPUTED_VALUE"""),1.0)</f>
        <v>1</v>
      </c>
      <c r="H876" s="8">
        <f>IFERROR(__xludf.DUMMYFUNCTION("""COMPUTED_VALUE"""),0.0)</f>
        <v>0</v>
      </c>
      <c r="I876" s="8" t="str">
        <f>IFERROR(__xludf.DUMMYFUNCTION("""COMPUTED_VALUE"""),"General Petite")</f>
        <v>General Petite</v>
      </c>
      <c r="J876" s="8" t="str">
        <f>IFERROR(__xludf.DUMMYFUNCTION("""COMPUTED_VALUE"""),"Tops")</f>
        <v>Tops</v>
      </c>
      <c r="K876" s="8" t="str">
        <f>IFERROR(__xludf.DUMMYFUNCTION("""COMPUTED_VALUE"""),"Knits")</f>
        <v>Knits</v>
      </c>
    </row>
    <row r="877">
      <c r="A877" s="8">
        <f>IFERROR(__xludf.DUMMYFUNCTION("""COMPUTED_VALUE"""),1146.0)</f>
        <v>1146</v>
      </c>
      <c r="B877" s="8">
        <f>IFERROR(__xludf.DUMMYFUNCTION("""COMPUTED_VALUE"""),777.0)</f>
        <v>777</v>
      </c>
      <c r="C877" s="8">
        <f>IFERROR(__xludf.DUMMYFUNCTION("""COMPUTED_VALUE"""),33.0)</f>
        <v>33</v>
      </c>
      <c r="D877" s="8" t="str">
        <f>IFERROR(__xludf.DUMMYFUNCTION("""COMPUTED_VALUE"""),"Gorgeous leggings")</f>
        <v>Gorgeous leggings</v>
      </c>
      <c r="E877" s="8" t="str">
        <f>IFERROR(__xludf.DUMMYFUNCTION("""COMPUTED_VALUE"""),"These leggings are beautiful and different. the material is very stretchy, sort of a spandex feel. panty lines definitely show in the back. i found they run true to size; i wear a size 6/medium/28 in pants or jeans and the size medium fit me great.")</f>
        <v>These leggings are beautiful and different. the material is very stretchy, sort of a spandex feel. panty lines definitely show in the back. i found they run true to size; i wear a size 6/medium/28 in pants or jeans and the size medium fit me great.</v>
      </c>
      <c r="F877" s="8">
        <f>IFERROR(__xludf.DUMMYFUNCTION("""COMPUTED_VALUE"""),5.0)</f>
        <v>5</v>
      </c>
      <c r="G877" s="8">
        <f>IFERROR(__xludf.DUMMYFUNCTION("""COMPUTED_VALUE"""),1.0)</f>
        <v>1</v>
      </c>
      <c r="H877" s="8">
        <f>IFERROR(__xludf.DUMMYFUNCTION("""COMPUTED_VALUE"""),0.0)</f>
        <v>0</v>
      </c>
      <c r="I877" s="8" t="str">
        <f>IFERROR(__xludf.DUMMYFUNCTION("""COMPUTED_VALUE"""),"Initmates")</f>
        <v>Initmates</v>
      </c>
      <c r="J877" s="8" t="str">
        <f>IFERROR(__xludf.DUMMYFUNCTION("""COMPUTED_VALUE"""),"Intimate")</f>
        <v>Intimate</v>
      </c>
      <c r="K877" s="8" t="str">
        <f>IFERROR(__xludf.DUMMYFUNCTION("""COMPUTED_VALUE"""),"Lounge")</f>
        <v>Lounge</v>
      </c>
    </row>
    <row r="878">
      <c r="A878" s="8">
        <f>IFERROR(__xludf.DUMMYFUNCTION("""COMPUTED_VALUE"""),1148.0)</f>
        <v>1148</v>
      </c>
      <c r="B878" s="8">
        <f>IFERROR(__xludf.DUMMYFUNCTION("""COMPUTED_VALUE"""),860.0)</f>
        <v>860</v>
      </c>
      <c r="C878" s="8">
        <f>IFERROR(__xludf.DUMMYFUNCTION("""COMPUTED_VALUE"""),38.0)</f>
        <v>38</v>
      </c>
      <c r="D878" s="8" t="str">
        <f>IFERROR(__xludf.DUMMYFUNCTION("""COMPUTED_VALUE"""),"Soft tank for the summer")</f>
        <v>Soft tank for the summer</v>
      </c>
      <c r="E878" s="8" t="str">
        <f>IFERROR(__xludf.DUMMYFUNCTION("""COMPUTED_VALUE"""),"I just purchased this tank in white and blue. i find it to be soft and will be perfect for hot days but also can wear into the fall with a cardigan. it's super comfy but i do find at retailer that it's best to try things on in the store (it's hard to find"&amp;" perfect sizes online since things are cut so differently based on the designer). i got a large and though it's a bit flowy in the tummy area, it fits nicely across my chest (not tight).")</f>
        <v>I just purchased this tank in white and blue. i find it to be soft and will be perfect for hot days but also can wear into the fall with a cardigan. it's super comfy but i do find at retailer that it's best to try things on in the store (it's hard to find perfect sizes online since things are cut so differently based on the designer). i got a large and though it's a bit flowy in the tummy area, it fits nicely across my chest (not tight).</v>
      </c>
      <c r="F878" s="8">
        <f>IFERROR(__xludf.DUMMYFUNCTION("""COMPUTED_VALUE"""),4.0)</f>
        <v>4</v>
      </c>
      <c r="G878" s="8">
        <f>IFERROR(__xludf.DUMMYFUNCTION("""COMPUTED_VALUE"""),1.0)</f>
        <v>1</v>
      </c>
      <c r="H878" s="8">
        <f>IFERROR(__xludf.DUMMYFUNCTION("""COMPUTED_VALUE"""),2.0)</f>
        <v>2</v>
      </c>
      <c r="I878" s="8" t="str">
        <f>IFERROR(__xludf.DUMMYFUNCTION("""COMPUTED_VALUE"""),"General Petite")</f>
        <v>General Petite</v>
      </c>
      <c r="J878" s="8" t="str">
        <f>IFERROR(__xludf.DUMMYFUNCTION("""COMPUTED_VALUE"""),"Tops")</f>
        <v>Tops</v>
      </c>
      <c r="K878" s="8" t="str">
        <f>IFERROR(__xludf.DUMMYFUNCTION("""COMPUTED_VALUE"""),"Knits")</f>
        <v>Knits</v>
      </c>
    </row>
    <row r="879">
      <c r="A879" s="8">
        <f>IFERROR(__xludf.DUMMYFUNCTION("""COMPUTED_VALUE"""),1150.0)</f>
        <v>1150</v>
      </c>
      <c r="B879" s="8">
        <f>IFERROR(__xludf.DUMMYFUNCTION("""COMPUTED_VALUE"""),860.0)</f>
        <v>860</v>
      </c>
      <c r="C879" s="8">
        <f>IFERROR(__xludf.DUMMYFUNCTION("""COMPUTED_VALUE"""),35.0)</f>
        <v>35</v>
      </c>
      <c r="D879" s="8"/>
      <c r="E879" s="8" t="str">
        <f>IFERROR(__xludf.DUMMYFUNCTION("""COMPUTED_VALUE"""),"Great lightweight summer top that's bra friendly.  i bought the teal color yesterday and wore it today with white skinnies.    i'm sometimes a small and sometimes a medium and was fine with the small on this one")</f>
        <v>Great lightweight summer top that's bra friendly.  i bought the teal color yesterday and wore it today with white skinnies.    i'm sometimes a small and sometimes a medium and was fine with the small on this one</v>
      </c>
      <c r="F879" s="8">
        <f>IFERROR(__xludf.DUMMYFUNCTION("""COMPUTED_VALUE"""),5.0)</f>
        <v>5</v>
      </c>
      <c r="G879" s="8">
        <f>IFERROR(__xludf.DUMMYFUNCTION("""COMPUTED_VALUE"""),1.0)</f>
        <v>1</v>
      </c>
      <c r="H879" s="8">
        <f>IFERROR(__xludf.DUMMYFUNCTION("""COMPUTED_VALUE"""),8.0)</f>
        <v>8</v>
      </c>
      <c r="I879" s="8" t="str">
        <f>IFERROR(__xludf.DUMMYFUNCTION("""COMPUTED_VALUE"""),"General Petite")</f>
        <v>General Petite</v>
      </c>
      <c r="J879" s="8" t="str">
        <f>IFERROR(__xludf.DUMMYFUNCTION("""COMPUTED_VALUE"""),"Tops")</f>
        <v>Tops</v>
      </c>
      <c r="K879" s="8" t="str">
        <f>IFERROR(__xludf.DUMMYFUNCTION("""COMPUTED_VALUE"""),"Knits")</f>
        <v>Knits</v>
      </c>
    </row>
    <row r="880">
      <c r="A880" s="8">
        <f>IFERROR(__xludf.DUMMYFUNCTION("""COMPUTED_VALUE"""),1151.0)</f>
        <v>1151</v>
      </c>
      <c r="B880" s="8">
        <f>IFERROR(__xludf.DUMMYFUNCTION("""COMPUTED_VALUE"""),860.0)</f>
        <v>860</v>
      </c>
      <c r="C880" s="8">
        <f>IFERROR(__xludf.DUMMYFUNCTION("""COMPUTED_VALUE"""),26.0)</f>
        <v>26</v>
      </c>
      <c r="D880" s="8" t="str">
        <f>IFERROR(__xludf.DUMMYFUNCTION("""COMPUTED_VALUE"""),"Nice top")</f>
        <v>Nice top</v>
      </c>
      <c r="E880" s="8" t="str">
        <f>IFERROR(__xludf.DUMMYFUNCTION("""COMPUTED_VALUE"""),"I love love this top. i was on the fence about it since it runs large and is loose fitting, very loose. i tried m, l, and xl. i usually wear xl but bought an l in this. i tried m, it was loose around the mid-section but fitted at the top. i wore them with"&amp;" fitted skinny pants and the top looks amazing. perfect for summer. the armholes also look flattering - not too big. i like turquoise. i didn't find yellow in the store, so bought green and white. it does need some ironing.")</f>
        <v>I love love this top. i was on the fence about it since it runs large and is loose fitting, very loose. i tried m, l, and xl. i usually wear xl but bought an l in this. i tried m, it was loose around the mid-section but fitted at the top. i wore them with fitted skinny pants and the top looks amazing. perfect for summer. the armholes also look flattering - not too big. i like turquoise. i didn't find yellow in the store, so bought green and white. it does need some ironing.</v>
      </c>
      <c r="F880" s="8">
        <f>IFERROR(__xludf.DUMMYFUNCTION("""COMPUTED_VALUE"""),4.0)</f>
        <v>4</v>
      </c>
      <c r="G880" s="8">
        <f>IFERROR(__xludf.DUMMYFUNCTION("""COMPUTED_VALUE"""),1.0)</f>
        <v>1</v>
      </c>
      <c r="H880" s="8">
        <f>IFERROR(__xludf.DUMMYFUNCTION("""COMPUTED_VALUE"""),2.0)</f>
        <v>2</v>
      </c>
      <c r="I880" s="8" t="str">
        <f>IFERROR(__xludf.DUMMYFUNCTION("""COMPUTED_VALUE"""),"General Petite")</f>
        <v>General Petite</v>
      </c>
      <c r="J880" s="8" t="str">
        <f>IFERROR(__xludf.DUMMYFUNCTION("""COMPUTED_VALUE"""),"Tops")</f>
        <v>Tops</v>
      </c>
      <c r="K880" s="8" t="str">
        <f>IFERROR(__xludf.DUMMYFUNCTION("""COMPUTED_VALUE"""),"Knits")</f>
        <v>Knits</v>
      </c>
    </row>
    <row r="881">
      <c r="A881" s="8">
        <f>IFERROR(__xludf.DUMMYFUNCTION("""COMPUTED_VALUE"""),1152.0)</f>
        <v>1152</v>
      </c>
      <c r="B881" s="8">
        <f>IFERROR(__xludf.DUMMYFUNCTION("""COMPUTED_VALUE"""),1042.0)</f>
        <v>1042</v>
      </c>
      <c r="C881" s="8">
        <f>IFERROR(__xludf.DUMMYFUNCTION("""COMPUTED_VALUE"""),31.0)</f>
        <v>31</v>
      </c>
      <c r="D881" s="8" t="str">
        <f>IFERROR(__xludf.DUMMYFUNCTION("""COMPUTED_VALUE"""),"Pretty much just like picture")</f>
        <v>Pretty much just like picture</v>
      </c>
      <c r="E881" s="8" t="str">
        <f>IFERROR(__xludf.DUMMYFUNCTION("""COMPUTED_VALUE"""),"This pants look pretty much exactly like the picture except these will wrinkle really easily so there is no way they will ever appear as wrinkle free as the pic.
i found the color to be exactly as seen online so i am not sure why others didn't. the mater"&amp;"ial is really light weight so i think these will work well for spring.
overall cute especially for the price. if not on sale, i would not have bought them but the sale price makes these pants awesome.")</f>
        <v>This pants look pretty much exactly like the picture except these will wrinkle really easily so there is no way they will ever appear as wrinkle free as the pic.
i found the color to be exactly as seen online so i am not sure why others didn't. the material is really light weight so i think these will work well for spring.
overall cute especially for the price. if not on sale, i would not have bought them but the sale price makes these pants awesome.</v>
      </c>
      <c r="F881" s="8">
        <f>IFERROR(__xludf.DUMMYFUNCTION("""COMPUTED_VALUE"""),4.0)</f>
        <v>4</v>
      </c>
      <c r="G881" s="8">
        <f>IFERROR(__xludf.DUMMYFUNCTION("""COMPUTED_VALUE"""),1.0)</f>
        <v>1</v>
      </c>
      <c r="H881" s="8">
        <f>IFERROR(__xludf.DUMMYFUNCTION("""COMPUTED_VALUE"""),0.0)</f>
        <v>0</v>
      </c>
      <c r="I881" s="8" t="str">
        <f>IFERROR(__xludf.DUMMYFUNCTION("""COMPUTED_VALUE"""),"General")</f>
        <v>General</v>
      </c>
      <c r="J881" s="8" t="str">
        <f>IFERROR(__xludf.DUMMYFUNCTION("""COMPUTED_VALUE"""),"Bottoms")</f>
        <v>Bottoms</v>
      </c>
      <c r="K881" s="8" t="str">
        <f>IFERROR(__xludf.DUMMYFUNCTION("""COMPUTED_VALUE"""),"Pants")</f>
        <v>Pants</v>
      </c>
    </row>
    <row r="882">
      <c r="A882" s="8">
        <f>IFERROR(__xludf.DUMMYFUNCTION("""COMPUTED_VALUE"""),1153.0)</f>
        <v>1153</v>
      </c>
      <c r="B882" s="8">
        <f>IFERROR(__xludf.DUMMYFUNCTION("""COMPUTED_VALUE"""),1060.0)</f>
        <v>1060</v>
      </c>
      <c r="C882" s="8">
        <f>IFERROR(__xludf.DUMMYFUNCTION("""COMPUTED_VALUE"""),55.0)</f>
        <v>55</v>
      </c>
      <c r="D882" s="8" t="str">
        <f>IFERROR(__xludf.DUMMYFUNCTION("""COMPUTED_VALUE"""),"Absolutely beautiful and feminine")</f>
        <v>Absolutely beautiful and feminine</v>
      </c>
      <c r="E882" s="8" t="str">
        <f>IFERROR(__xludf.DUMMYFUNCTION("""COMPUTED_VALUE"""),"This is not something i would normal wear but the beauty of the fabric made just give it a try. i am so glad i did. the fit is beautiful slimming feminine fit with just enough flow. i love it and bought it right away. you better get it before it's gone. a"&amp;"lso it is true to size, i have along torso so sometimes i have issues with jumpers but not this one.")</f>
        <v>This is not something i would normal wear but the beauty of the fabric made just give it a try. i am so glad i did. the fit is beautiful slimming feminine fit with just enough flow. i love it and bought it right away. you better get it before it's gone. also it is true to size, i have along torso so sometimes i have issues with jumpers but not this one.</v>
      </c>
      <c r="F882" s="8">
        <f>IFERROR(__xludf.DUMMYFUNCTION("""COMPUTED_VALUE"""),5.0)</f>
        <v>5</v>
      </c>
      <c r="G882" s="8">
        <f>IFERROR(__xludf.DUMMYFUNCTION("""COMPUTED_VALUE"""),1.0)</f>
        <v>1</v>
      </c>
      <c r="H882" s="8">
        <f>IFERROR(__xludf.DUMMYFUNCTION("""COMPUTED_VALUE"""),34.0)</f>
        <v>34</v>
      </c>
      <c r="I882" s="8" t="str">
        <f>IFERROR(__xludf.DUMMYFUNCTION("""COMPUTED_VALUE"""),"General")</f>
        <v>General</v>
      </c>
      <c r="J882" s="8" t="str">
        <f>IFERROR(__xludf.DUMMYFUNCTION("""COMPUTED_VALUE"""),"Bottoms")</f>
        <v>Bottoms</v>
      </c>
      <c r="K882" s="8" t="str">
        <f>IFERROR(__xludf.DUMMYFUNCTION("""COMPUTED_VALUE"""),"Pants")</f>
        <v>Pants</v>
      </c>
    </row>
    <row r="883">
      <c r="A883" s="8">
        <f>IFERROR(__xludf.DUMMYFUNCTION("""COMPUTED_VALUE"""),1154.0)</f>
        <v>1154</v>
      </c>
      <c r="B883" s="8">
        <f>IFERROR(__xludf.DUMMYFUNCTION("""COMPUTED_VALUE"""),59.0)</f>
        <v>59</v>
      </c>
      <c r="C883" s="8">
        <f>IFERROR(__xludf.DUMMYFUNCTION("""COMPUTED_VALUE"""),45.0)</f>
        <v>45</v>
      </c>
      <c r="D883" s="8" t="str">
        <f>IFERROR(__xludf.DUMMYFUNCTION("""COMPUTED_VALUE"""),"Fabulous")</f>
        <v>Fabulous</v>
      </c>
      <c r="E883" s="8" t="str">
        <f>IFERROR(__xludf.DUMMYFUNCTION("""COMPUTED_VALUE"""),"These undergarments are comfortable, streamlined, and well made. this bra holds up well without wires. i am a 34b and wear a small. it is a bit tight at first, but form fits after one wear. . after trying one bra and i ordered 4 more. then i researched th"&amp;"e brand and bought camis to match. i love how all the colors and styles are interchangeable.")</f>
        <v>These undergarments are comfortable, streamlined, and well made. this bra holds up well without wires. i am a 34b and wear a small. it is a bit tight at first, but form fits after one wear. . after trying one bra and i ordered 4 more. then i researched the brand and bought camis to match. i love how all the colors and styles are interchangeable.</v>
      </c>
      <c r="F883" s="8">
        <f>IFERROR(__xludf.DUMMYFUNCTION("""COMPUTED_VALUE"""),5.0)</f>
        <v>5</v>
      </c>
      <c r="G883" s="8">
        <f>IFERROR(__xludf.DUMMYFUNCTION("""COMPUTED_VALUE"""),1.0)</f>
        <v>1</v>
      </c>
      <c r="H883" s="8">
        <f>IFERROR(__xludf.DUMMYFUNCTION("""COMPUTED_VALUE"""),2.0)</f>
        <v>2</v>
      </c>
      <c r="I883" s="8" t="str">
        <f>IFERROR(__xludf.DUMMYFUNCTION("""COMPUTED_VALUE"""),"Initmates")</f>
        <v>Initmates</v>
      </c>
      <c r="J883" s="8" t="str">
        <f>IFERROR(__xludf.DUMMYFUNCTION("""COMPUTED_VALUE"""),"Intimate")</f>
        <v>Intimate</v>
      </c>
      <c r="K883" s="8" t="str">
        <f>IFERROR(__xludf.DUMMYFUNCTION("""COMPUTED_VALUE"""),"Intimates")</f>
        <v>Intimates</v>
      </c>
    </row>
    <row r="884">
      <c r="A884" s="8">
        <f>IFERROR(__xludf.DUMMYFUNCTION("""COMPUTED_VALUE"""),1155.0)</f>
        <v>1155</v>
      </c>
      <c r="B884" s="8">
        <f>IFERROR(__xludf.DUMMYFUNCTION("""COMPUTED_VALUE"""),1060.0)</f>
        <v>1060</v>
      </c>
      <c r="C884" s="8">
        <f>IFERROR(__xludf.DUMMYFUNCTION("""COMPUTED_VALUE"""),58.0)</f>
        <v>58</v>
      </c>
      <c r="D884" s="8" t="str">
        <f>IFERROR(__xludf.DUMMYFUNCTION("""COMPUTED_VALUE"""),"Lovely, comfortable and versatile")</f>
        <v>Lovely, comfortable and versatile</v>
      </c>
      <c r="E884" s="8" t="str">
        <f>IFERROR(__xludf.DUMMYFUNCTION("""COMPUTED_VALUE"""),"I tried this jumpsuit on in the store and loved it but decided to wait on purchasing it. after it went on sale i jumped on it because i new i would regret not buying it. 
i am tall but most of my height is from my long legs, not in my torso. i seldom fin"&amp;"d jumpsuits that fit my frame but his one fits perfectly. the fabric is very ""flowey"" and does not wrinkle. the overall design of this jumpsuit is slightly but not overly baggy. the pattern and pleating make it a perfect item for spring and su")</f>
        <v>I tried this jumpsuit on in the store and loved it but decided to wait on purchasing it. after it went on sale i jumped on it because i new i would regret not buying it. 
i am tall but most of my height is from my long legs, not in my torso. i seldom find jumpsuits that fit my frame but his one fits perfectly. the fabric is very "flowey" and does not wrinkle. the overall design of this jumpsuit is slightly but not overly baggy. the pattern and pleating make it a perfect item for spring and su</v>
      </c>
      <c r="F884" s="8">
        <f>IFERROR(__xludf.DUMMYFUNCTION("""COMPUTED_VALUE"""),5.0)</f>
        <v>5</v>
      </c>
      <c r="G884" s="8">
        <f>IFERROR(__xludf.DUMMYFUNCTION("""COMPUTED_VALUE"""),1.0)</f>
        <v>1</v>
      </c>
      <c r="H884" s="8">
        <f>IFERROR(__xludf.DUMMYFUNCTION("""COMPUTED_VALUE"""),0.0)</f>
        <v>0</v>
      </c>
      <c r="I884" s="8" t="str">
        <f>IFERROR(__xludf.DUMMYFUNCTION("""COMPUTED_VALUE"""),"General Petite")</f>
        <v>General Petite</v>
      </c>
      <c r="J884" s="8" t="str">
        <f>IFERROR(__xludf.DUMMYFUNCTION("""COMPUTED_VALUE"""),"Bottoms")</f>
        <v>Bottoms</v>
      </c>
      <c r="K884" s="8" t="str">
        <f>IFERROR(__xludf.DUMMYFUNCTION("""COMPUTED_VALUE"""),"Pants")</f>
        <v>Pants</v>
      </c>
    </row>
    <row r="885">
      <c r="A885" s="8">
        <f>IFERROR(__xludf.DUMMYFUNCTION("""COMPUTED_VALUE"""),1157.0)</f>
        <v>1157</v>
      </c>
      <c r="B885" s="8">
        <f>IFERROR(__xludf.DUMMYFUNCTION("""COMPUTED_VALUE"""),1060.0)</f>
        <v>1060</v>
      </c>
      <c r="C885" s="8">
        <f>IFERROR(__xludf.DUMMYFUNCTION("""COMPUTED_VALUE"""),46.0)</f>
        <v>46</v>
      </c>
      <c r="D885" s="8" t="str">
        <f>IFERROR(__xludf.DUMMYFUNCTION("""COMPUTED_VALUE"""),"Love")</f>
        <v>Love</v>
      </c>
      <c r="E885" s="8" t="str">
        <f>IFERROR(__xludf.DUMMYFUNCTION("""COMPUTED_VALUE"""),"I love this jumpsuit and definitely feel too confident in it! the fabric is a great weight- flowy, but still substantial enough. with nude undergarments, i can't see anything. in fact, that is one of the things i love; no special undergarments are require"&amp;"d, so it is very comfortable and still very flattering. i typically wear a medium- 135 pounds, 5'4"", 34b, 28 waist, 40 hip. i tried the small after seeing some reviews that it ran big. i would have bought it, but the salesperson suggested i try")</f>
        <v>I love this jumpsuit and definitely feel too confident in it! the fabric is a great weight- flowy, but still substantial enough. with nude undergarments, i can't see anything. in fact, that is one of the things i love; no special undergarments are required, so it is very comfortable and still very flattering. i typically wear a medium- 135 pounds, 5'4", 34b, 28 waist, 40 hip. i tried the small after seeing some reviews that it ran big. i would have bought it, but the salesperson suggested i try</v>
      </c>
      <c r="F885" s="8">
        <f>IFERROR(__xludf.DUMMYFUNCTION("""COMPUTED_VALUE"""),5.0)</f>
        <v>5</v>
      </c>
      <c r="G885" s="8">
        <f>IFERROR(__xludf.DUMMYFUNCTION("""COMPUTED_VALUE"""),1.0)</f>
        <v>1</v>
      </c>
      <c r="H885" s="8">
        <f>IFERROR(__xludf.DUMMYFUNCTION("""COMPUTED_VALUE"""),4.0)</f>
        <v>4</v>
      </c>
      <c r="I885" s="8" t="str">
        <f>IFERROR(__xludf.DUMMYFUNCTION("""COMPUTED_VALUE"""),"General Petite")</f>
        <v>General Petite</v>
      </c>
      <c r="J885" s="8" t="str">
        <f>IFERROR(__xludf.DUMMYFUNCTION("""COMPUTED_VALUE"""),"Bottoms")</f>
        <v>Bottoms</v>
      </c>
      <c r="K885" s="8" t="str">
        <f>IFERROR(__xludf.DUMMYFUNCTION("""COMPUTED_VALUE"""),"Pants")</f>
        <v>Pants</v>
      </c>
    </row>
    <row r="886">
      <c r="A886" s="8">
        <f>IFERROR(__xludf.DUMMYFUNCTION("""COMPUTED_VALUE"""),1158.0)</f>
        <v>1158</v>
      </c>
      <c r="B886" s="8">
        <f>IFERROR(__xludf.DUMMYFUNCTION("""COMPUTED_VALUE"""),1110.0)</f>
        <v>1110</v>
      </c>
      <c r="C886" s="8">
        <f>IFERROR(__xludf.DUMMYFUNCTION("""COMPUTED_VALUE"""),59.0)</f>
        <v>59</v>
      </c>
      <c r="D886" s="8"/>
      <c r="E886" s="8" t="str">
        <f>IFERROR(__xludf.DUMMYFUNCTION("""COMPUTED_VALUE"""),"Runs large in arm holes. have to wear bandeau. love this print and flow of dress. loose but still flattering due to arms and shoulders . love the overall look. midi length for this 5'6.5"" gal. size s worked best -36c-125lbs")</f>
        <v>Runs large in arm holes. have to wear bandeau. love this print and flow of dress. loose but still flattering due to arms and shoulders . love the overall look. midi length for this 5'6.5" gal. size s worked best -36c-125lbs</v>
      </c>
      <c r="F886" s="8">
        <f>IFERROR(__xludf.DUMMYFUNCTION("""COMPUTED_VALUE"""),5.0)</f>
        <v>5</v>
      </c>
      <c r="G886" s="8">
        <f>IFERROR(__xludf.DUMMYFUNCTION("""COMPUTED_VALUE"""),1.0)</f>
        <v>1</v>
      </c>
      <c r="H886" s="8">
        <f>IFERROR(__xludf.DUMMYFUNCTION("""COMPUTED_VALUE"""),2.0)</f>
        <v>2</v>
      </c>
      <c r="I886" s="8" t="str">
        <f>IFERROR(__xludf.DUMMYFUNCTION("""COMPUTED_VALUE"""),"General")</f>
        <v>General</v>
      </c>
      <c r="J886" s="8" t="str">
        <f>IFERROR(__xludf.DUMMYFUNCTION("""COMPUTED_VALUE"""),"Dresses")</f>
        <v>Dresses</v>
      </c>
      <c r="K886" s="8" t="str">
        <f>IFERROR(__xludf.DUMMYFUNCTION("""COMPUTED_VALUE"""),"Dresses")</f>
        <v>Dresses</v>
      </c>
    </row>
    <row r="887">
      <c r="A887" s="8">
        <f>IFERROR(__xludf.DUMMYFUNCTION("""COMPUTED_VALUE"""),1160.0)</f>
        <v>1160</v>
      </c>
      <c r="B887" s="8">
        <f>IFERROR(__xludf.DUMMYFUNCTION("""COMPUTED_VALUE"""),720.0)</f>
        <v>720</v>
      </c>
      <c r="C887" s="8">
        <f>IFERROR(__xludf.DUMMYFUNCTION("""COMPUTED_VALUE"""),40.0)</f>
        <v>40</v>
      </c>
      <c r="D887" s="8"/>
      <c r="E887" s="8" t="str">
        <f>IFERROR(__xludf.DUMMYFUNCTION("""COMPUTED_VALUE"""),"I love this dress. it is so soft and comfortable, perfect for summer!! i wish it came in more colors because i would buy everyone!!")</f>
        <v>I love this dress. it is so soft and comfortable, perfect for summer!! i wish it came in more colors because i would buy everyone!!</v>
      </c>
      <c r="F887" s="8">
        <f>IFERROR(__xludf.DUMMYFUNCTION("""COMPUTED_VALUE"""),5.0)</f>
        <v>5</v>
      </c>
      <c r="G887" s="8">
        <f>IFERROR(__xludf.DUMMYFUNCTION("""COMPUTED_VALUE"""),1.0)</f>
        <v>1</v>
      </c>
      <c r="H887" s="8">
        <f>IFERROR(__xludf.DUMMYFUNCTION("""COMPUTED_VALUE"""),1.0)</f>
        <v>1</v>
      </c>
      <c r="I887" s="8" t="str">
        <f>IFERROR(__xludf.DUMMYFUNCTION("""COMPUTED_VALUE"""),"Initmates")</f>
        <v>Initmates</v>
      </c>
      <c r="J887" s="8" t="str">
        <f>IFERROR(__xludf.DUMMYFUNCTION("""COMPUTED_VALUE"""),"Intimate")</f>
        <v>Intimate</v>
      </c>
      <c r="K887" s="8" t="str">
        <f>IFERROR(__xludf.DUMMYFUNCTION("""COMPUTED_VALUE"""),"Lounge")</f>
        <v>Lounge</v>
      </c>
    </row>
    <row r="888">
      <c r="A888" s="8">
        <f>IFERROR(__xludf.DUMMYFUNCTION("""COMPUTED_VALUE"""),1161.0)</f>
        <v>1161</v>
      </c>
      <c r="B888" s="8">
        <f>IFERROR(__xludf.DUMMYFUNCTION("""COMPUTED_VALUE"""),1098.0)</f>
        <v>1098</v>
      </c>
      <c r="C888" s="8">
        <f>IFERROR(__xludf.DUMMYFUNCTION("""COMPUTED_VALUE"""),68.0)</f>
        <v>68</v>
      </c>
      <c r="D888" s="8"/>
      <c r="E888" s="8" t="str">
        <f>IFERROR(__xludf.DUMMYFUNCTION("""COMPUTED_VALUE"""),"Like other reviewers, i'm glad i sized down. this is a cute tunic that is definitely great quality, lightweight chambray. i love that it has pockets, but they do puff a bit at my hips.")</f>
        <v>Like other reviewers, i'm glad i sized down. this is a cute tunic that is definitely great quality, lightweight chambray. i love that it has pockets, but they do puff a bit at my hips.</v>
      </c>
      <c r="F888" s="8">
        <f>IFERROR(__xludf.DUMMYFUNCTION("""COMPUTED_VALUE"""),4.0)</f>
        <v>4</v>
      </c>
      <c r="G888" s="8">
        <f>IFERROR(__xludf.DUMMYFUNCTION("""COMPUTED_VALUE"""),1.0)</f>
        <v>1</v>
      </c>
      <c r="H888" s="8">
        <f>IFERROR(__xludf.DUMMYFUNCTION("""COMPUTED_VALUE"""),0.0)</f>
        <v>0</v>
      </c>
      <c r="I888" s="8" t="str">
        <f>IFERROR(__xludf.DUMMYFUNCTION("""COMPUTED_VALUE"""),"General Petite")</f>
        <v>General Petite</v>
      </c>
      <c r="J888" s="8" t="str">
        <f>IFERROR(__xludf.DUMMYFUNCTION("""COMPUTED_VALUE"""),"Dresses")</f>
        <v>Dresses</v>
      </c>
      <c r="K888" s="8" t="str">
        <f>IFERROR(__xludf.DUMMYFUNCTION("""COMPUTED_VALUE"""),"Dresses")</f>
        <v>Dresses</v>
      </c>
    </row>
    <row r="889">
      <c r="A889" s="8">
        <f>IFERROR(__xludf.DUMMYFUNCTION("""COMPUTED_VALUE"""),1162.0)</f>
        <v>1162</v>
      </c>
      <c r="B889" s="8">
        <f>IFERROR(__xludf.DUMMYFUNCTION("""COMPUTED_VALUE"""),59.0)</f>
        <v>59</v>
      </c>
      <c r="C889" s="8">
        <f>IFERROR(__xludf.DUMMYFUNCTION("""COMPUTED_VALUE"""),68.0)</f>
        <v>68</v>
      </c>
      <c r="D889" s="8"/>
      <c r="E889" s="8" t="str">
        <f>IFERROR(__xludf.DUMMYFUNCTION("""COMPUTED_VALUE"""),"This is the perfect bralette for comfort; it's soft and fits to form really quickly. i wear a b cup, and it's enough support for me to wear daily doing everything other than heavy exercise. now, at 5 months pregnant it's pretty much perfect to sleep in to"&amp;"o. i'm at 35 band, and i'm still wearing it on the loosest closure, but it fits perfectly there for me.")</f>
        <v>This is the perfect bralette for comfort; it's soft and fits to form really quickly. i wear a b cup, and it's enough support for me to wear daily doing everything other than heavy exercise. now, at 5 months pregnant it's pretty much perfect to sleep in too. i'm at 35 band, and i'm still wearing it on the loosest closure, but it fits perfectly there for me.</v>
      </c>
      <c r="F889" s="8">
        <f>IFERROR(__xludf.DUMMYFUNCTION("""COMPUTED_VALUE"""),5.0)</f>
        <v>5</v>
      </c>
      <c r="G889" s="8">
        <f>IFERROR(__xludf.DUMMYFUNCTION("""COMPUTED_VALUE"""),1.0)</f>
        <v>1</v>
      </c>
      <c r="H889" s="8">
        <f>IFERROR(__xludf.DUMMYFUNCTION("""COMPUTED_VALUE"""),1.0)</f>
        <v>1</v>
      </c>
      <c r="I889" s="8" t="str">
        <f>IFERROR(__xludf.DUMMYFUNCTION("""COMPUTED_VALUE"""),"Initmates")</f>
        <v>Initmates</v>
      </c>
      <c r="J889" s="8" t="str">
        <f>IFERROR(__xludf.DUMMYFUNCTION("""COMPUTED_VALUE"""),"Intimate")</f>
        <v>Intimate</v>
      </c>
      <c r="K889" s="8" t="str">
        <f>IFERROR(__xludf.DUMMYFUNCTION("""COMPUTED_VALUE"""),"Intimates")</f>
        <v>Intimates</v>
      </c>
    </row>
    <row r="890">
      <c r="A890" s="8">
        <f>IFERROR(__xludf.DUMMYFUNCTION("""COMPUTED_VALUE"""),1164.0)</f>
        <v>1164</v>
      </c>
      <c r="B890" s="8">
        <f>IFERROR(__xludf.DUMMYFUNCTION("""COMPUTED_VALUE"""),1060.0)</f>
        <v>1060</v>
      </c>
      <c r="C890" s="8">
        <f>IFERROR(__xludf.DUMMYFUNCTION("""COMPUTED_VALUE"""),62.0)</f>
        <v>62</v>
      </c>
      <c r="D890" s="8" t="str">
        <f>IFERROR(__xludf.DUMMYFUNCTION("""COMPUTED_VALUE"""),"Came dirty, but nice fit...")</f>
        <v>Came dirty, but nice fit...</v>
      </c>
      <c r="E890" s="8" t="str">
        <f>IFERROR(__xludf.DUMMYFUNCTION("""COMPUTED_VALUE"""),"I followed the advice of other reviewers and sized down from a s to xs. i was worried about the length of the torso since i'm long in that area, but the xs still worked great. it's a totally adorable jumpsuit with a nice fit. my biggest peeve with this wa"&amp;"s that it came dirty on the hems...like it had been dragged on the ground somewhere. unfortunately, there were no more xs online once i got it though, so i will keep and try to clean. this is not the first time in recent months that i have recei")</f>
        <v>I followed the advice of other reviewers and sized down from a s to xs. i was worried about the length of the torso since i'm long in that area, but the xs still worked great. it's a totally adorable jumpsuit with a nice fit. my biggest peeve with this was that it came dirty on the hems...like it had been dragged on the ground somewhere. unfortunately, there were no more xs online once i got it though, so i will keep and try to clean. this is not the first time in recent months that i have recei</v>
      </c>
      <c r="F890" s="8">
        <f>IFERROR(__xludf.DUMMYFUNCTION("""COMPUTED_VALUE"""),4.0)</f>
        <v>4</v>
      </c>
      <c r="G890" s="8">
        <f>IFERROR(__xludf.DUMMYFUNCTION("""COMPUTED_VALUE"""),1.0)</f>
        <v>1</v>
      </c>
      <c r="H890" s="8">
        <f>IFERROR(__xludf.DUMMYFUNCTION("""COMPUTED_VALUE"""),0.0)</f>
        <v>0</v>
      </c>
      <c r="I890" s="8" t="str">
        <f>IFERROR(__xludf.DUMMYFUNCTION("""COMPUTED_VALUE"""),"General Petite")</f>
        <v>General Petite</v>
      </c>
      <c r="J890" s="8" t="str">
        <f>IFERROR(__xludf.DUMMYFUNCTION("""COMPUTED_VALUE"""),"Bottoms")</f>
        <v>Bottoms</v>
      </c>
      <c r="K890" s="8" t="str">
        <f>IFERROR(__xludf.DUMMYFUNCTION("""COMPUTED_VALUE"""),"Pants")</f>
        <v>Pants</v>
      </c>
    </row>
    <row r="891">
      <c r="A891" s="8">
        <f>IFERROR(__xludf.DUMMYFUNCTION("""COMPUTED_VALUE"""),1165.0)</f>
        <v>1165</v>
      </c>
      <c r="B891" s="8">
        <f>IFERROR(__xludf.DUMMYFUNCTION("""COMPUTED_VALUE"""),1110.0)</f>
        <v>1110</v>
      </c>
      <c r="C891" s="8">
        <f>IFERROR(__xludf.DUMMYFUNCTION("""COMPUTED_VALUE"""),53.0)</f>
        <v>53</v>
      </c>
      <c r="D891" s="8"/>
      <c r="E891" s="8" t="str">
        <f>IFERROR(__xludf.DUMMYFUNCTION("""COMPUTED_VALUE"""),"This dress looks better in person. nice navy with subtle pattern - looks super cute with a really lightweat pale yellow sweater! i thought that wiastband area would hit in a funky spot (my problem area) but it doesnt and looks great. super comfortable and"&amp;" i love this neckline. also has a decent lining so no bra necessary if youre cool with that. i have packed on some ""after 50"" lbs and wear a 12-14 shirt and 10-12 pant and the large is roomy enough.i received a number of compliments and let's fa")</f>
        <v>This dress looks better in person. nice navy with subtle pattern - looks super cute with a really lightweat pale yellow sweater! i thought that wiastband area would hit in a funky spot (my problem area) but it doesnt and looks great. super comfortable and i love this neckline. also has a decent lining so no bra necessary if youre cool with that. i have packed on some "after 50" lbs and wear a 12-14 shirt and 10-12 pant and the large is roomy enough.i received a number of compliments and let's fa</v>
      </c>
      <c r="F891" s="8">
        <f>IFERROR(__xludf.DUMMYFUNCTION("""COMPUTED_VALUE"""),5.0)</f>
        <v>5</v>
      </c>
      <c r="G891" s="8">
        <f>IFERROR(__xludf.DUMMYFUNCTION("""COMPUTED_VALUE"""),1.0)</f>
        <v>1</v>
      </c>
      <c r="H891" s="8">
        <f>IFERROR(__xludf.DUMMYFUNCTION("""COMPUTED_VALUE"""),1.0)</f>
        <v>1</v>
      </c>
      <c r="I891" s="8" t="str">
        <f>IFERROR(__xludf.DUMMYFUNCTION("""COMPUTED_VALUE"""),"General")</f>
        <v>General</v>
      </c>
      <c r="J891" s="8" t="str">
        <f>IFERROR(__xludf.DUMMYFUNCTION("""COMPUTED_VALUE"""),"Dresses")</f>
        <v>Dresses</v>
      </c>
      <c r="K891" s="8" t="str">
        <f>IFERROR(__xludf.DUMMYFUNCTION("""COMPUTED_VALUE"""),"Dresses")</f>
        <v>Dresses</v>
      </c>
    </row>
    <row r="892">
      <c r="A892" s="8">
        <f>IFERROR(__xludf.DUMMYFUNCTION("""COMPUTED_VALUE"""),1166.0)</f>
        <v>1166</v>
      </c>
      <c r="B892" s="8">
        <f>IFERROR(__xludf.DUMMYFUNCTION("""COMPUTED_VALUE"""),1082.0)</f>
        <v>1082</v>
      </c>
      <c r="C892" s="8">
        <f>IFERROR(__xludf.DUMMYFUNCTION("""COMPUTED_VALUE"""),28.0)</f>
        <v>28</v>
      </c>
      <c r="D892" s="8" t="str">
        <f>IFERROR(__xludf.DUMMYFUNCTION("""COMPUTED_VALUE"""),"Bright &amp; versatile")</f>
        <v>Bright &amp; versatile</v>
      </c>
      <c r="E892" s="8" t="str">
        <f>IFERROR(__xludf.DUMMYFUNCTION("""COMPUTED_VALUE"""),"I received this dress as a gift and it has become such a great addition to my wardrobe! i love that i can wear it to work and then out with friends. a great value if you're looking for one special piece that you can get miles out of - you can wear the two"&amp;" pieces separate or together. i love floral and felt this non traditional take on a floral was very refreshing.")</f>
        <v>I received this dress as a gift and it has become such a great addition to my wardrobe! i love that i can wear it to work and then out with friends. a great value if you're looking for one special piece that you can get miles out of - you can wear the two pieces separate or together. i love floral and felt this non traditional take on a floral was very refreshing.</v>
      </c>
      <c r="F892" s="8">
        <f>IFERROR(__xludf.DUMMYFUNCTION("""COMPUTED_VALUE"""),5.0)</f>
        <v>5</v>
      </c>
      <c r="G892" s="8">
        <f>IFERROR(__xludf.DUMMYFUNCTION("""COMPUTED_VALUE"""),1.0)</f>
        <v>1</v>
      </c>
      <c r="H892" s="8">
        <f>IFERROR(__xludf.DUMMYFUNCTION("""COMPUTED_VALUE"""),1.0)</f>
        <v>1</v>
      </c>
      <c r="I892" s="8" t="str">
        <f>IFERROR(__xludf.DUMMYFUNCTION("""COMPUTED_VALUE"""),"General Petite")</f>
        <v>General Petite</v>
      </c>
      <c r="J892" s="8" t="str">
        <f>IFERROR(__xludf.DUMMYFUNCTION("""COMPUTED_VALUE"""),"Dresses")</f>
        <v>Dresses</v>
      </c>
      <c r="K892" s="8" t="str">
        <f>IFERROR(__xludf.DUMMYFUNCTION("""COMPUTED_VALUE"""),"Dresses")</f>
        <v>Dresses</v>
      </c>
    </row>
    <row r="893">
      <c r="A893" s="8">
        <f>IFERROR(__xludf.DUMMYFUNCTION("""COMPUTED_VALUE"""),1168.0)</f>
        <v>1168</v>
      </c>
      <c r="B893" s="8">
        <f>IFERROR(__xludf.DUMMYFUNCTION("""COMPUTED_VALUE"""),1060.0)</f>
        <v>1060</v>
      </c>
      <c r="C893" s="8">
        <f>IFERROR(__xludf.DUMMYFUNCTION("""COMPUTED_VALUE"""),38.0)</f>
        <v>38</v>
      </c>
      <c r="D893" s="8"/>
      <c r="E893" s="8" t="str">
        <f>IFERROR(__xludf.DUMMYFUNCTION("""COMPUTED_VALUE"""),"Simply awesome. wonderful fit and flatters any body type. looks great booties, flats, or flip flops. must have ...")</f>
        <v>Simply awesome. wonderful fit and flatters any body type. looks great booties, flats, or flip flops. must have ...</v>
      </c>
      <c r="F893" s="8">
        <f>IFERROR(__xludf.DUMMYFUNCTION("""COMPUTED_VALUE"""),5.0)</f>
        <v>5</v>
      </c>
      <c r="G893" s="8">
        <f>IFERROR(__xludf.DUMMYFUNCTION("""COMPUTED_VALUE"""),1.0)</f>
        <v>1</v>
      </c>
      <c r="H893" s="8">
        <f>IFERROR(__xludf.DUMMYFUNCTION("""COMPUTED_VALUE"""),5.0)</f>
        <v>5</v>
      </c>
      <c r="I893" s="8" t="str">
        <f>IFERROR(__xludf.DUMMYFUNCTION("""COMPUTED_VALUE"""),"General Petite")</f>
        <v>General Petite</v>
      </c>
      <c r="J893" s="8" t="str">
        <f>IFERROR(__xludf.DUMMYFUNCTION("""COMPUTED_VALUE"""),"Bottoms")</f>
        <v>Bottoms</v>
      </c>
      <c r="K893" s="8" t="str">
        <f>IFERROR(__xludf.DUMMYFUNCTION("""COMPUTED_VALUE"""),"Pants")</f>
        <v>Pants</v>
      </c>
    </row>
    <row r="894">
      <c r="A894" s="8">
        <f>IFERROR(__xludf.DUMMYFUNCTION("""COMPUTED_VALUE"""),1169.0)</f>
        <v>1169</v>
      </c>
      <c r="B894" s="8">
        <f>IFERROR(__xludf.DUMMYFUNCTION("""COMPUTED_VALUE"""),1060.0)</f>
        <v>1060</v>
      </c>
      <c r="C894" s="8">
        <f>IFERROR(__xludf.DUMMYFUNCTION("""COMPUTED_VALUE"""),46.0)</f>
        <v>46</v>
      </c>
      <c r="D894" s="8" t="str">
        <f>IFERROR(__xludf.DUMMYFUNCTION("""COMPUTED_VALUE"""),"Feminine")</f>
        <v>Feminine</v>
      </c>
      <c r="E894" s="8" t="str">
        <f>IFERROR(__xludf.DUMMYFUNCTION("""COMPUTED_VALUE"""),"Although it may not look like it takes on a shape - what a wonderfully flattering jumper. was intrigued from seeing it in the catalog and had to try it on in the store -- i was unsure how the middle would appear. but it fit, wonderfully feminine, looking "&amp;"forward to the summer.")</f>
        <v>Although it may not look like it takes on a shape - what a wonderfully flattering jumper. was intrigued from seeing it in the catalog and had to try it on in the store -- i was unsure how the middle would appear. but it fit, wonderfully feminine, looking forward to the summer.</v>
      </c>
      <c r="F894" s="8">
        <f>IFERROR(__xludf.DUMMYFUNCTION("""COMPUTED_VALUE"""),5.0)</f>
        <v>5</v>
      </c>
      <c r="G894" s="8">
        <f>IFERROR(__xludf.DUMMYFUNCTION("""COMPUTED_VALUE"""),1.0)</f>
        <v>1</v>
      </c>
      <c r="H894" s="8">
        <f>IFERROR(__xludf.DUMMYFUNCTION("""COMPUTED_VALUE"""),2.0)</f>
        <v>2</v>
      </c>
      <c r="I894" s="8" t="str">
        <f>IFERROR(__xludf.DUMMYFUNCTION("""COMPUTED_VALUE"""),"General Petite")</f>
        <v>General Petite</v>
      </c>
      <c r="J894" s="8" t="str">
        <f>IFERROR(__xludf.DUMMYFUNCTION("""COMPUTED_VALUE"""),"Bottoms")</f>
        <v>Bottoms</v>
      </c>
      <c r="K894" s="8" t="str">
        <f>IFERROR(__xludf.DUMMYFUNCTION("""COMPUTED_VALUE"""),"Pants")</f>
        <v>Pants</v>
      </c>
    </row>
    <row r="895">
      <c r="A895" s="8">
        <f>IFERROR(__xludf.DUMMYFUNCTION("""COMPUTED_VALUE"""),1170.0)</f>
        <v>1170</v>
      </c>
      <c r="B895" s="8">
        <f>IFERROR(__xludf.DUMMYFUNCTION("""COMPUTED_VALUE"""),1042.0)</f>
        <v>1042</v>
      </c>
      <c r="C895" s="8">
        <f>IFERROR(__xludf.DUMMYFUNCTION("""COMPUTED_VALUE"""),49.0)</f>
        <v>49</v>
      </c>
      <c r="D895" s="8" t="str">
        <f>IFERROR(__xludf.DUMMYFUNCTION("""COMPUTED_VALUE"""),"Love these!")</f>
        <v>Love these!</v>
      </c>
      <c r="E895" s="8" t="str">
        <f>IFERROR(__xludf.DUMMYFUNCTION("""COMPUTED_VALUE"""),"I had been eyeing these for a while, but as they didn't seem very popular, i figured i'd wait for a sale. i finally bought them at the 40% off of sale price (yay!) and i love them. they're extremely comfortable, and very flattering. i'd say they run true "&amp;"to size, but maybe on the smaller end of the size for the waist. the blue pants are more greenish in color than the picture shows, but still beautiful. i'm looking forward to wearing these now and into the spring.")</f>
        <v>I had been eyeing these for a while, but as they didn't seem very popular, i figured i'd wait for a sale. i finally bought them at the 40% off of sale price (yay!) and i love them. they're extremely comfortable, and very flattering. i'd say they run true to size, but maybe on the smaller end of the size for the waist. the blue pants are more greenish in color than the picture shows, but still beautiful. i'm looking forward to wearing these now and into the spring.</v>
      </c>
      <c r="F895" s="8">
        <f>IFERROR(__xludf.DUMMYFUNCTION("""COMPUTED_VALUE"""),4.0)</f>
        <v>4</v>
      </c>
      <c r="G895" s="8">
        <f>IFERROR(__xludf.DUMMYFUNCTION("""COMPUTED_VALUE"""),1.0)</f>
        <v>1</v>
      </c>
      <c r="H895" s="8">
        <f>IFERROR(__xludf.DUMMYFUNCTION("""COMPUTED_VALUE"""),0.0)</f>
        <v>0</v>
      </c>
      <c r="I895" s="8" t="str">
        <f>IFERROR(__xludf.DUMMYFUNCTION("""COMPUTED_VALUE"""),"General")</f>
        <v>General</v>
      </c>
      <c r="J895" s="8" t="str">
        <f>IFERROR(__xludf.DUMMYFUNCTION("""COMPUTED_VALUE"""),"Bottoms")</f>
        <v>Bottoms</v>
      </c>
      <c r="K895" s="8" t="str">
        <f>IFERROR(__xludf.DUMMYFUNCTION("""COMPUTED_VALUE"""),"Pants")</f>
        <v>Pants</v>
      </c>
    </row>
    <row r="896">
      <c r="A896" s="8">
        <f>IFERROR(__xludf.DUMMYFUNCTION("""COMPUTED_VALUE"""),1171.0)</f>
        <v>1171</v>
      </c>
      <c r="B896" s="8">
        <f>IFERROR(__xludf.DUMMYFUNCTION("""COMPUTED_VALUE"""),1060.0)</f>
        <v>1060</v>
      </c>
      <c r="C896" s="8">
        <f>IFERROR(__xludf.DUMMYFUNCTION("""COMPUTED_VALUE"""),56.0)</f>
        <v>56</v>
      </c>
      <c r="D896" s="8"/>
      <c r="E896" s="8" t="str">
        <f>IFERROR(__xludf.DUMMYFUNCTION("""COMPUTED_VALUE"""),"I loooove this. my favorite retailer purchase in a while and i buy frequently. ran out of s p while in my basket (there are never enough petites available) so i got the medium. it is big but with this style i can pull it off. it does run a bit large so a "&amp;"s would have been perfect. please make this in more colors/fabrics! i would buy them all!")</f>
        <v>I loooove this. my favorite retailer purchase in a while and i buy frequently. ran out of s p while in my basket (there are never enough petites available) so i got the medium. it is big but with this style i can pull it off. it does run a bit large so a s would have been perfect. please make this in more colors/fabrics! i would buy them all!</v>
      </c>
      <c r="F896" s="8">
        <f>IFERROR(__xludf.DUMMYFUNCTION("""COMPUTED_VALUE"""),5.0)</f>
        <v>5</v>
      </c>
      <c r="G896" s="8">
        <f>IFERROR(__xludf.DUMMYFUNCTION("""COMPUTED_VALUE"""),1.0)</f>
        <v>1</v>
      </c>
      <c r="H896" s="8">
        <f>IFERROR(__xludf.DUMMYFUNCTION("""COMPUTED_VALUE"""),3.0)</f>
        <v>3</v>
      </c>
      <c r="I896" s="8" t="str">
        <f>IFERROR(__xludf.DUMMYFUNCTION("""COMPUTED_VALUE"""),"General Petite")</f>
        <v>General Petite</v>
      </c>
      <c r="J896" s="8" t="str">
        <f>IFERROR(__xludf.DUMMYFUNCTION("""COMPUTED_VALUE"""),"Bottoms")</f>
        <v>Bottoms</v>
      </c>
      <c r="K896" s="8" t="str">
        <f>IFERROR(__xludf.DUMMYFUNCTION("""COMPUTED_VALUE"""),"Pants")</f>
        <v>Pants</v>
      </c>
    </row>
    <row r="897">
      <c r="A897" s="8">
        <f>IFERROR(__xludf.DUMMYFUNCTION("""COMPUTED_VALUE"""),1172.0)</f>
        <v>1172</v>
      </c>
      <c r="B897" s="8">
        <f>IFERROR(__xludf.DUMMYFUNCTION("""COMPUTED_VALUE"""),1060.0)</f>
        <v>1060</v>
      </c>
      <c r="C897" s="8">
        <f>IFERROR(__xludf.DUMMYFUNCTION("""COMPUTED_VALUE"""),37.0)</f>
        <v>37</v>
      </c>
      <c r="D897" s="8" t="str">
        <f>IFERROR(__xludf.DUMMYFUNCTION("""COMPUTED_VALUE"""),"Super cute. pockets would be nice")</f>
        <v>Super cute. pockets would be nice</v>
      </c>
      <c r="E897" s="8" t="str">
        <f>IFERROR(__xludf.DUMMYFUNCTION("""COMPUTED_VALUE"""),"Easy and fun jumper. runs slightly large. i ordered a medium and returned for a small. can be dressed up or down for a variety of occasions. would be perfect if it had pockets.")</f>
        <v>Easy and fun jumper. runs slightly large. i ordered a medium and returned for a small. can be dressed up or down for a variety of occasions. would be perfect if it had pockets.</v>
      </c>
      <c r="F897" s="8">
        <f>IFERROR(__xludf.DUMMYFUNCTION("""COMPUTED_VALUE"""),4.0)</f>
        <v>4</v>
      </c>
      <c r="G897" s="8">
        <f>IFERROR(__xludf.DUMMYFUNCTION("""COMPUTED_VALUE"""),1.0)</f>
        <v>1</v>
      </c>
      <c r="H897" s="8">
        <f>IFERROR(__xludf.DUMMYFUNCTION("""COMPUTED_VALUE"""),2.0)</f>
        <v>2</v>
      </c>
      <c r="I897" s="8" t="str">
        <f>IFERROR(__xludf.DUMMYFUNCTION("""COMPUTED_VALUE"""),"General Petite")</f>
        <v>General Petite</v>
      </c>
      <c r="J897" s="8" t="str">
        <f>IFERROR(__xludf.DUMMYFUNCTION("""COMPUTED_VALUE"""),"Bottoms")</f>
        <v>Bottoms</v>
      </c>
      <c r="K897" s="8" t="str">
        <f>IFERROR(__xludf.DUMMYFUNCTION("""COMPUTED_VALUE"""),"Pants")</f>
        <v>Pants</v>
      </c>
    </row>
    <row r="898">
      <c r="A898" s="8">
        <f>IFERROR(__xludf.DUMMYFUNCTION("""COMPUTED_VALUE"""),1173.0)</f>
        <v>1173</v>
      </c>
      <c r="B898" s="8">
        <f>IFERROR(__xludf.DUMMYFUNCTION("""COMPUTED_VALUE"""),1110.0)</f>
        <v>1110</v>
      </c>
      <c r="C898" s="8">
        <f>IFERROR(__xludf.DUMMYFUNCTION("""COMPUTED_VALUE"""),23.0)</f>
        <v>23</v>
      </c>
      <c r="D898" s="8" t="str">
        <f>IFERROR(__xludf.DUMMYFUNCTION("""COMPUTED_VALUE"""),"Prettier in person")</f>
        <v>Prettier in person</v>
      </c>
      <c r="E898" s="8" t="str">
        <f>IFERROR(__xludf.DUMMYFUNCTION("""COMPUTED_VALUE"""),"This is such a pretty dress. light and flowy. i got it to wear on hot summer days.")</f>
        <v>This is such a pretty dress. light and flowy. i got it to wear on hot summer days.</v>
      </c>
      <c r="F898" s="8">
        <f>IFERROR(__xludf.DUMMYFUNCTION("""COMPUTED_VALUE"""),5.0)</f>
        <v>5</v>
      </c>
      <c r="G898" s="8">
        <f>IFERROR(__xludf.DUMMYFUNCTION("""COMPUTED_VALUE"""),1.0)</f>
        <v>1</v>
      </c>
      <c r="H898" s="8">
        <f>IFERROR(__xludf.DUMMYFUNCTION("""COMPUTED_VALUE"""),0.0)</f>
        <v>0</v>
      </c>
      <c r="I898" s="8" t="str">
        <f>IFERROR(__xludf.DUMMYFUNCTION("""COMPUTED_VALUE"""),"General")</f>
        <v>General</v>
      </c>
      <c r="J898" s="8" t="str">
        <f>IFERROR(__xludf.DUMMYFUNCTION("""COMPUTED_VALUE"""),"Dresses")</f>
        <v>Dresses</v>
      </c>
      <c r="K898" s="8" t="str">
        <f>IFERROR(__xludf.DUMMYFUNCTION("""COMPUTED_VALUE"""),"Dresses")</f>
        <v>Dresses</v>
      </c>
    </row>
    <row r="899">
      <c r="A899" s="8">
        <f>IFERROR(__xludf.DUMMYFUNCTION("""COMPUTED_VALUE"""),1177.0)</f>
        <v>1177</v>
      </c>
      <c r="B899" s="8">
        <f>IFERROR(__xludf.DUMMYFUNCTION("""COMPUTED_VALUE"""),1094.0)</f>
        <v>1094</v>
      </c>
      <c r="C899" s="8">
        <f>IFERROR(__xludf.DUMMYFUNCTION("""COMPUTED_VALUE"""),53.0)</f>
        <v>53</v>
      </c>
      <c r="D899" s="8" t="str">
        <f>IFERROR(__xludf.DUMMYFUNCTION("""COMPUTED_VALUE"""),"Beautiful summer dress")</f>
        <v>Beautiful summer dress</v>
      </c>
      <c r="E899" s="8" t="str">
        <f>IFERROR(__xludf.DUMMYFUNCTION("""COMPUTED_VALUE"""),"I was unsure about this dress when i first tried it on. the color is gorgeous, it is flowy and beautiful. it hits just below the knee (i am tall), which is something i am not used to. i hadn't decided on it, but my husband loves it and that's all that mat"&amp;"ters! it is very feminine and pretty. i normally wear a 0, but ordered a 00- it fits just slightly loose, which is the style this dress is going for.")</f>
        <v>I was unsure about this dress when i first tried it on. the color is gorgeous, it is flowy and beautiful. it hits just below the knee (i am tall), which is something i am not used to. i hadn't decided on it, but my husband loves it and that's all that matters! it is very feminine and pretty. i normally wear a 0, but ordered a 00- it fits just slightly loose, which is the style this dress is going for.</v>
      </c>
      <c r="F899" s="8">
        <f>IFERROR(__xludf.DUMMYFUNCTION("""COMPUTED_VALUE"""),4.0)</f>
        <v>4</v>
      </c>
      <c r="G899" s="8">
        <f>IFERROR(__xludf.DUMMYFUNCTION("""COMPUTED_VALUE"""),1.0)</f>
        <v>1</v>
      </c>
      <c r="H899" s="8">
        <f>IFERROR(__xludf.DUMMYFUNCTION("""COMPUTED_VALUE"""),0.0)</f>
        <v>0</v>
      </c>
      <c r="I899" s="8" t="str">
        <f>IFERROR(__xludf.DUMMYFUNCTION("""COMPUTED_VALUE"""),"General Petite")</f>
        <v>General Petite</v>
      </c>
      <c r="J899" s="8" t="str">
        <f>IFERROR(__xludf.DUMMYFUNCTION("""COMPUTED_VALUE"""),"Dresses")</f>
        <v>Dresses</v>
      </c>
      <c r="K899" s="8" t="str">
        <f>IFERROR(__xludf.DUMMYFUNCTION("""COMPUTED_VALUE"""),"Dresses")</f>
        <v>Dresses</v>
      </c>
    </row>
    <row r="900">
      <c r="A900" s="8">
        <f>IFERROR(__xludf.DUMMYFUNCTION("""COMPUTED_VALUE"""),1178.0)</f>
        <v>1178</v>
      </c>
      <c r="B900" s="8">
        <f>IFERROR(__xludf.DUMMYFUNCTION("""COMPUTED_VALUE"""),1204.0)</f>
        <v>1204</v>
      </c>
      <c r="C900" s="8">
        <f>IFERROR(__xludf.DUMMYFUNCTION("""COMPUTED_VALUE"""),39.0)</f>
        <v>39</v>
      </c>
      <c r="D900" s="8" t="str">
        <f>IFERROR(__xludf.DUMMYFUNCTION("""COMPUTED_VALUE"""),"Comfy and cute pants")</f>
        <v>Comfy and cute pants</v>
      </c>
      <c r="E900" s="8" t="str">
        <f>IFERROR(__xludf.DUMMYFUNCTION("""COMPUTED_VALUE"""),"I love these pants. i have them in navy and carbon. the navy color seems to run bigger than the carbon. they are very loose like a boyfriend pant in navy. they loosen up as the day goes on as well. super comfy and great for running errands and taking my l"&amp;"ittle one to the park. i can look cute and feel comfy and i can give my yoga pants a break.")</f>
        <v>I love these pants. i have them in navy and carbon. the navy color seems to run bigger than the carbon. they are very loose like a boyfriend pant in navy. they loosen up as the day goes on as well. super comfy and great for running errands and taking my little one to the park. i can look cute and feel comfy and i can give my yoga pants a break.</v>
      </c>
      <c r="F900" s="8">
        <f>IFERROR(__xludf.DUMMYFUNCTION("""COMPUTED_VALUE"""),5.0)</f>
        <v>5</v>
      </c>
      <c r="G900" s="8">
        <f>IFERROR(__xludf.DUMMYFUNCTION("""COMPUTED_VALUE"""),1.0)</f>
        <v>1</v>
      </c>
      <c r="H900" s="8">
        <f>IFERROR(__xludf.DUMMYFUNCTION("""COMPUTED_VALUE"""),3.0)</f>
        <v>3</v>
      </c>
      <c r="I900" s="8" t="str">
        <f>IFERROR(__xludf.DUMMYFUNCTION("""COMPUTED_VALUE"""),"General Petite")</f>
        <v>General Petite</v>
      </c>
      <c r="J900" s="8" t="str">
        <f>IFERROR(__xludf.DUMMYFUNCTION("""COMPUTED_VALUE"""),"Bottoms")</f>
        <v>Bottoms</v>
      </c>
      <c r="K900" s="8" t="str">
        <f>IFERROR(__xludf.DUMMYFUNCTION("""COMPUTED_VALUE"""),"Pants")</f>
        <v>Pants</v>
      </c>
    </row>
    <row r="901">
      <c r="A901" s="8">
        <f>IFERROR(__xludf.DUMMYFUNCTION("""COMPUTED_VALUE"""),1179.0)</f>
        <v>1179</v>
      </c>
      <c r="B901" s="8">
        <f>IFERROR(__xludf.DUMMYFUNCTION("""COMPUTED_VALUE"""),1204.0)</f>
        <v>1204</v>
      </c>
      <c r="C901" s="8">
        <f>IFERROR(__xludf.DUMMYFUNCTION("""COMPUTED_VALUE"""),39.0)</f>
        <v>39</v>
      </c>
      <c r="D901" s="8" t="str">
        <f>IFERROR(__xludf.DUMMYFUNCTION("""COMPUTED_VALUE"""),"Very comfortable/relaxed")</f>
        <v>Very comfortable/relaxed</v>
      </c>
      <c r="E901" s="8" t="str">
        <f>IFERROR(__xludf.DUMMYFUNCTION("""COMPUTED_VALUE"""),"These are super soft and relaxed. i have them in navy and lavender. i am 5'6"" and 130 lbs. and ordered them in a 28, which fits loosely, but comfortably.")</f>
        <v>These are super soft and relaxed. i have them in navy and lavender. i am 5'6" and 130 lbs. and ordered them in a 28, which fits loosely, but comfortably.</v>
      </c>
      <c r="F901" s="8">
        <f>IFERROR(__xludf.DUMMYFUNCTION("""COMPUTED_VALUE"""),4.0)</f>
        <v>4</v>
      </c>
      <c r="G901" s="8">
        <f>IFERROR(__xludf.DUMMYFUNCTION("""COMPUTED_VALUE"""),1.0)</f>
        <v>1</v>
      </c>
      <c r="H901" s="8">
        <f>IFERROR(__xludf.DUMMYFUNCTION("""COMPUTED_VALUE"""),0.0)</f>
        <v>0</v>
      </c>
      <c r="I901" s="8" t="str">
        <f>IFERROR(__xludf.DUMMYFUNCTION("""COMPUTED_VALUE"""),"General Petite")</f>
        <v>General Petite</v>
      </c>
      <c r="J901" s="8" t="str">
        <f>IFERROR(__xludf.DUMMYFUNCTION("""COMPUTED_VALUE"""),"Bottoms")</f>
        <v>Bottoms</v>
      </c>
      <c r="K901" s="8" t="str">
        <f>IFERROR(__xludf.DUMMYFUNCTION("""COMPUTED_VALUE"""),"Pants")</f>
        <v>Pants</v>
      </c>
    </row>
    <row r="902">
      <c r="A902" s="8">
        <f>IFERROR(__xludf.DUMMYFUNCTION("""COMPUTED_VALUE"""),1180.0)</f>
        <v>1180</v>
      </c>
      <c r="B902" s="8">
        <f>IFERROR(__xludf.DUMMYFUNCTION("""COMPUTED_VALUE"""),1082.0)</f>
        <v>1082</v>
      </c>
      <c r="C902" s="8">
        <f>IFERROR(__xludf.DUMMYFUNCTION("""COMPUTED_VALUE"""),31.0)</f>
        <v>31</v>
      </c>
      <c r="D902" s="8" t="str">
        <f>IFERROR(__xludf.DUMMYFUNCTION("""COMPUTED_VALUE"""),"Finally found my staple summer dress!")</f>
        <v>Finally found my staple summer dress!</v>
      </c>
      <c r="E902" s="8" t="str">
        <f>IFERROR(__xludf.DUMMYFUNCTION("""COMPUTED_VALUE"""),"Was so thrilled to receive my dress in the mail. its just what i was looking for, for my staple summer dress. i love how i can wear it with or without the sweater top, and even can pair just the sweater top with my high-waisted shorts!")</f>
        <v>Was so thrilled to receive my dress in the mail. its just what i was looking for, for my staple summer dress. i love how i can wear it with or without the sweater top, and even can pair just the sweater top with my high-waisted shorts!</v>
      </c>
      <c r="F902" s="8">
        <f>IFERROR(__xludf.DUMMYFUNCTION("""COMPUTED_VALUE"""),5.0)</f>
        <v>5</v>
      </c>
      <c r="G902" s="8">
        <f>IFERROR(__xludf.DUMMYFUNCTION("""COMPUTED_VALUE"""),1.0)</f>
        <v>1</v>
      </c>
      <c r="H902" s="8">
        <f>IFERROR(__xludf.DUMMYFUNCTION("""COMPUTED_VALUE"""),2.0)</f>
        <v>2</v>
      </c>
      <c r="I902" s="8" t="str">
        <f>IFERROR(__xludf.DUMMYFUNCTION("""COMPUTED_VALUE"""),"General Petite")</f>
        <v>General Petite</v>
      </c>
      <c r="J902" s="8" t="str">
        <f>IFERROR(__xludf.DUMMYFUNCTION("""COMPUTED_VALUE"""),"Dresses")</f>
        <v>Dresses</v>
      </c>
      <c r="K902" s="8" t="str">
        <f>IFERROR(__xludf.DUMMYFUNCTION("""COMPUTED_VALUE"""),"Dresses")</f>
        <v>Dresses</v>
      </c>
    </row>
    <row r="903">
      <c r="A903" s="8">
        <f>IFERROR(__xludf.DUMMYFUNCTION("""COMPUTED_VALUE"""),1183.0)</f>
        <v>1183</v>
      </c>
      <c r="B903" s="8">
        <f>IFERROR(__xludf.DUMMYFUNCTION("""COMPUTED_VALUE"""),1098.0)</f>
        <v>1098</v>
      </c>
      <c r="C903" s="8">
        <f>IFERROR(__xludf.DUMMYFUNCTION("""COMPUTED_VALUE"""),54.0)</f>
        <v>54</v>
      </c>
      <c r="D903" s="8"/>
      <c r="E903" s="8" t="str">
        <f>IFERROR(__xludf.DUMMYFUNCTION("""COMPUTED_VALUE"""),"The dress is cute, but i'm somewhat concerned that it will be sheer in the sunlight. i guess we'll have to wait and see!")</f>
        <v>The dress is cute, but i'm somewhat concerned that it will be sheer in the sunlight. i guess we'll have to wait and see!</v>
      </c>
      <c r="F903" s="8">
        <f>IFERROR(__xludf.DUMMYFUNCTION("""COMPUTED_VALUE"""),4.0)</f>
        <v>4</v>
      </c>
      <c r="G903" s="8">
        <f>IFERROR(__xludf.DUMMYFUNCTION("""COMPUTED_VALUE"""),1.0)</f>
        <v>1</v>
      </c>
      <c r="H903" s="8">
        <f>IFERROR(__xludf.DUMMYFUNCTION("""COMPUTED_VALUE"""),0.0)</f>
        <v>0</v>
      </c>
      <c r="I903" s="8" t="str">
        <f>IFERROR(__xludf.DUMMYFUNCTION("""COMPUTED_VALUE"""),"General Petite")</f>
        <v>General Petite</v>
      </c>
      <c r="J903" s="8" t="str">
        <f>IFERROR(__xludf.DUMMYFUNCTION("""COMPUTED_VALUE"""),"Dresses")</f>
        <v>Dresses</v>
      </c>
      <c r="K903" s="8" t="str">
        <f>IFERROR(__xludf.DUMMYFUNCTION("""COMPUTED_VALUE"""),"Dresses")</f>
        <v>Dresses</v>
      </c>
    </row>
    <row r="904">
      <c r="A904" s="8">
        <f>IFERROR(__xludf.DUMMYFUNCTION("""COMPUTED_VALUE"""),1184.0)</f>
        <v>1184</v>
      </c>
      <c r="B904" s="8">
        <f>IFERROR(__xludf.DUMMYFUNCTION("""COMPUTED_VALUE"""),1060.0)</f>
        <v>1060</v>
      </c>
      <c r="C904" s="8">
        <f>IFERROR(__xludf.DUMMYFUNCTION("""COMPUTED_VALUE"""),55.0)</f>
        <v>55</v>
      </c>
      <c r="D904" s="8" t="str">
        <f>IFERROR(__xludf.DUMMYFUNCTION("""COMPUTED_VALUE"""),"So flattering!")</f>
        <v>So flattering!</v>
      </c>
      <c r="E904" s="8" t="str">
        <f>IFERROR(__xludf.DUMMYFUNCTION("""COMPUTED_VALUE"""),"I tried this on in the store in a regular medium and the size was fine, just the length. fortunately retailer will ship for free if you need a petite! i'm so excited to get this. i'm 5'1 and a bit busty, and the medium fit perfect. its very flattering and"&amp;" so comfortable! perfect for a hot summer day. or as the cute clerk in the store had it styled with a cropped jean jacket and a fun necklace. the styling idea's are endless. i'm waiting by the mailbox for it to arrive!")</f>
        <v>I tried this on in the store in a regular medium and the size was fine, just the length. fortunately retailer will ship for free if you need a petite! i'm so excited to get this. i'm 5'1 and a bit busty, and the medium fit perfect. its very flattering and so comfortable! perfect for a hot summer day. or as the cute clerk in the store had it styled with a cropped jean jacket and a fun necklace. the styling idea's are endless. i'm waiting by the mailbox for it to arrive!</v>
      </c>
      <c r="F904" s="8">
        <f>IFERROR(__xludf.DUMMYFUNCTION("""COMPUTED_VALUE"""),5.0)</f>
        <v>5</v>
      </c>
      <c r="G904" s="8">
        <f>IFERROR(__xludf.DUMMYFUNCTION("""COMPUTED_VALUE"""),1.0)</f>
        <v>1</v>
      </c>
      <c r="H904" s="8">
        <f>IFERROR(__xludf.DUMMYFUNCTION("""COMPUTED_VALUE"""),6.0)</f>
        <v>6</v>
      </c>
      <c r="I904" s="8" t="str">
        <f>IFERROR(__xludf.DUMMYFUNCTION("""COMPUTED_VALUE"""),"General Petite")</f>
        <v>General Petite</v>
      </c>
      <c r="J904" s="8" t="str">
        <f>IFERROR(__xludf.DUMMYFUNCTION("""COMPUTED_VALUE"""),"Bottoms")</f>
        <v>Bottoms</v>
      </c>
      <c r="K904" s="8" t="str">
        <f>IFERROR(__xludf.DUMMYFUNCTION("""COMPUTED_VALUE"""),"Pants")</f>
        <v>Pants</v>
      </c>
    </row>
    <row r="905">
      <c r="A905" s="8">
        <f>IFERROR(__xludf.DUMMYFUNCTION("""COMPUTED_VALUE"""),1186.0)</f>
        <v>1186</v>
      </c>
      <c r="B905" s="8">
        <f>IFERROR(__xludf.DUMMYFUNCTION("""COMPUTED_VALUE"""),1060.0)</f>
        <v>1060</v>
      </c>
      <c r="C905" s="8">
        <f>IFERROR(__xludf.DUMMYFUNCTION("""COMPUTED_VALUE"""),66.0)</f>
        <v>66</v>
      </c>
      <c r="D905" s="8"/>
      <c r="E905" s="8" t="str">
        <f>IFERROR(__xludf.DUMMYFUNCTION("""COMPUTED_VALUE"""),"Bought this for my daughter. it's adorable on her. we're going to take it in at the waist so it doesn't look so sack-like; then it'll be perfect!")</f>
        <v>Bought this for my daughter. it's adorable on her. we're going to take it in at the waist so it doesn't look so sack-like; then it'll be perfect!</v>
      </c>
      <c r="F905" s="8">
        <f>IFERROR(__xludf.DUMMYFUNCTION("""COMPUTED_VALUE"""),4.0)</f>
        <v>4</v>
      </c>
      <c r="G905" s="8">
        <f>IFERROR(__xludf.DUMMYFUNCTION("""COMPUTED_VALUE"""),1.0)</f>
        <v>1</v>
      </c>
      <c r="H905" s="8">
        <f>IFERROR(__xludf.DUMMYFUNCTION("""COMPUTED_VALUE"""),1.0)</f>
        <v>1</v>
      </c>
      <c r="I905" s="8" t="str">
        <f>IFERROR(__xludf.DUMMYFUNCTION("""COMPUTED_VALUE"""),"General Petite")</f>
        <v>General Petite</v>
      </c>
      <c r="J905" s="8" t="str">
        <f>IFERROR(__xludf.DUMMYFUNCTION("""COMPUTED_VALUE"""),"Bottoms")</f>
        <v>Bottoms</v>
      </c>
      <c r="K905" s="8" t="str">
        <f>IFERROR(__xludf.DUMMYFUNCTION("""COMPUTED_VALUE"""),"Pants")</f>
        <v>Pants</v>
      </c>
    </row>
    <row r="906">
      <c r="A906" s="8">
        <f>IFERROR(__xludf.DUMMYFUNCTION("""COMPUTED_VALUE"""),1188.0)</f>
        <v>1188</v>
      </c>
      <c r="B906" s="8">
        <f>IFERROR(__xludf.DUMMYFUNCTION("""COMPUTED_VALUE"""),1060.0)</f>
        <v>1060</v>
      </c>
      <c r="C906" s="8">
        <f>IFERROR(__xludf.DUMMYFUNCTION("""COMPUTED_VALUE"""),85.0)</f>
        <v>85</v>
      </c>
      <c r="D906" s="8" t="str">
        <f>IFERROR(__xludf.DUMMYFUNCTION("""COMPUTED_VALUE"""),"Beautiful, flattering, but runs large")</f>
        <v>Beautiful, flattering, but runs large</v>
      </c>
      <c r="E906" s="8" t="str">
        <f>IFERROR(__xludf.DUMMYFUNCTION("""COMPUTED_VALUE"""),"Perfect for the summer weddings that i am attending. i am 5-1, 119#, 32dd and usually a sp. i tried on a regular s and xs in the store, and the s was huge. i ended up ordering the regular xs instead of the petite xs when the 20% off sale hit because i lik"&amp;"ed the extra length. great bra coverage...it is not too long at the armholes, or too low in the back. i will take it up a bit in the top seams just so it doesn't have quite so much decolletage, but it is wearable as is. this is much more of a ro")</f>
        <v>Perfect for the summer weddings that i am attending. i am 5-1, 119#, 32dd and usually a sp. i tried on a regular s and xs in the store, and the s was huge. i ended up ordering the regular xs instead of the petite xs when the 20% off sale hit because i liked the extra length. great bra coverage...it is not too long at the armholes, or too low in the back. i will take it up a bit in the top seams just so it doesn't have quite so much decolletage, but it is wearable as is. this is much more of a ro</v>
      </c>
      <c r="F906" s="8">
        <f>IFERROR(__xludf.DUMMYFUNCTION("""COMPUTED_VALUE"""),5.0)</f>
        <v>5</v>
      </c>
      <c r="G906" s="8">
        <f>IFERROR(__xludf.DUMMYFUNCTION("""COMPUTED_VALUE"""),1.0)</f>
        <v>1</v>
      </c>
      <c r="H906" s="8">
        <f>IFERROR(__xludf.DUMMYFUNCTION("""COMPUTED_VALUE"""),4.0)</f>
        <v>4</v>
      </c>
      <c r="I906" s="8" t="str">
        <f>IFERROR(__xludf.DUMMYFUNCTION("""COMPUTED_VALUE"""),"General Petite")</f>
        <v>General Petite</v>
      </c>
      <c r="J906" s="8" t="str">
        <f>IFERROR(__xludf.DUMMYFUNCTION("""COMPUTED_VALUE"""),"Bottoms")</f>
        <v>Bottoms</v>
      </c>
      <c r="K906" s="8" t="str">
        <f>IFERROR(__xludf.DUMMYFUNCTION("""COMPUTED_VALUE"""),"Pants")</f>
        <v>Pants</v>
      </c>
    </row>
    <row r="907">
      <c r="A907" s="8">
        <f>IFERROR(__xludf.DUMMYFUNCTION("""COMPUTED_VALUE"""),1189.0)</f>
        <v>1189</v>
      </c>
      <c r="B907" s="8">
        <f>IFERROR(__xludf.DUMMYFUNCTION("""COMPUTED_VALUE"""),1060.0)</f>
        <v>1060</v>
      </c>
      <c r="C907" s="8">
        <f>IFERROR(__xludf.DUMMYFUNCTION("""COMPUTED_VALUE"""),64.0)</f>
        <v>64</v>
      </c>
      <c r="D907" s="8" t="str">
        <f>IFERROR(__xludf.DUMMYFUNCTION("""COMPUTED_VALUE"""),"Adorable")</f>
        <v>Adorable</v>
      </c>
      <c r="E907" s="8" t="str">
        <f>IFERROR(__xludf.DUMMYFUNCTION("""COMPUTED_VALUE"""),"A sales associate found this for me at my local retailer. i probably would have never thought to try it on. i am 5'1'' and normally a size 8 or a medium. the size small was still too large, so i ordered a size small petite. it fits perfectly, looks adorab"&amp;"le on, and is so comfortable. i can't wait for the warm weather to wear it!")</f>
        <v>A sales associate found this for me at my local retailer. i probably would have never thought to try it on. i am 5'1'' and normally a size 8 or a medium. the size small was still too large, so i ordered a size small petite. it fits perfectly, looks adorable on, and is so comfortable. i can't wait for the warm weather to wear it!</v>
      </c>
      <c r="F907" s="8">
        <f>IFERROR(__xludf.DUMMYFUNCTION("""COMPUTED_VALUE"""),5.0)</f>
        <v>5</v>
      </c>
      <c r="G907" s="8">
        <f>IFERROR(__xludf.DUMMYFUNCTION("""COMPUTED_VALUE"""),1.0)</f>
        <v>1</v>
      </c>
      <c r="H907" s="8">
        <f>IFERROR(__xludf.DUMMYFUNCTION("""COMPUTED_VALUE"""),0.0)</f>
        <v>0</v>
      </c>
      <c r="I907" s="8" t="str">
        <f>IFERROR(__xludf.DUMMYFUNCTION("""COMPUTED_VALUE"""),"General Petite")</f>
        <v>General Petite</v>
      </c>
      <c r="J907" s="8" t="str">
        <f>IFERROR(__xludf.DUMMYFUNCTION("""COMPUTED_VALUE"""),"Bottoms")</f>
        <v>Bottoms</v>
      </c>
      <c r="K907" s="8" t="str">
        <f>IFERROR(__xludf.DUMMYFUNCTION("""COMPUTED_VALUE"""),"Pants")</f>
        <v>Pants</v>
      </c>
    </row>
    <row r="908">
      <c r="A908" s="8">
        <f>IFERROR(__xludf.DUMMYFUNCTION("""COMPUTED_VALUE"""),1190.0)</f>
        <v>1190</v>
      </c>
      <c r="B908" s="8">
        <f>IFERROR(__xludf.DUMMYFUNCTION("""COMPUTED_VALUE"""),1072.0)</f>
        <v>1072</v>
      </c>
      <c r="C908" s="8">
        <f>IFERROR(__xludf.DUMMYFUNCTION("""COMPUTED_VALUE"""),48.0)</f>
        <v>48</v>
      </c>
      <c r="D908" s="8" t="str">
        <f>IFERROR(__xludf.DUMMYFUNCTION("""COMPUTED_VALUE"""),"Lovely dress")</f>
        <v>Lovely dress</v>
      </c>
      <c r="E908" s="8" t="str">
        <f>IFERROR(__xludf.DUMMYFUNCTION("""COMPUTED_VALUE"""),"This is a lovely piece, with great shape and details. i think it would really stand out at events. i ended up returning it. i don't have much occasion for cocktail dresses. i had trouble sending it back. it has a slip with the sheer overlay. the slip seem"&amp;"ed a bit tight at the bottom hem for the shape of the dress.")</f>
        <v>This is a lovely piece, with great shape and details. i think it would really stand out at events. i ended up returning it. i don't have much occasion for cocktail dresses. i had trouble sending it back. it has a slip with the sheer overlay. the slip seemed a bit tight at the bottom hem for the shape of the dress.</v>
      </c>
      <c r="F908" s="8">
        <f>IFERROR(__xludf.DUMMYFUNCTION("""COMPUTED_VALUE"""),4.0)</f>
        <v>4</v>
      </c>
      <c r="G908" s="8">
        <f>IFERROR(__xludf.DUMMYFUNCTION("""COMPUTED_VALUE"""),1.0)</f>
        <v>1</v>
      </c>
      <c r="H908" s="8">
        <f>IFERROR(__xludf.DUMMYFUNCTION("""COMPUTED_VALUE"""),5.0)</f>
        <v>5</v>
      </c>
      <c r="I908" s="8" t="str">
        <f>IFERROR(__xludf.DUMMYFUNCTION("""COMPUTED_VALUE"""),"General")</f>
        <v>General</v>
      </c>
      <c r="J908" s="8" t="str">
        <f>IFERROR(__xludf.DUMMYFUNCTION("""COMPUTED_VALUE"""),"Dresses")</f>
        <v>Dresses</v>
      </c>
      <c r="K908" s="8" t="str">
        <f>IFERROR(__xludf.DUMMYFUNCTION("""COMPUTED_VALUE"""),"Dresses")</f>
        <v>Dresses</v>
      </c>
    </row>
    <row r="909">
      <c r="A909" s="8">
        <f>IFERROR(__xludf.DUMMYFUNCTION("""COMPUTED_VALUE"""),1193.0)</f>
        <v>1193</v>
      </c>
      <c r="B909" s="8">
        <f>IFERROR(__xludf.DUMMYFUNCTION("""COMPUTED_VALUE"""),720.0)</f>
        <v>720</v>
      </c>
      <c r="C909" s="8">
        <f>IFERROR(__xludf.DUMMYFUNCTION("""COMPUTED_VALUE"""),43.0)</f>
        <v>43</v>
      </c>
      <c r="D909" s="8" t="str">
        <f>IFERROR(__xludf.DUMMYFUNCTION("""COMPUTED_VALUE"""),"Cute casual summer dress")</f>
        <v>Cute casual summer dress</v>
      </c>
      <c r="E909" s="8" t="str">
        <f>IFERROR(__xludf.DUMMYFUNCTION("""COMPUTED_VALUE"""),"Just purchased this- love how light and airy it is. perfect for throwing on on a warm summer day. it is soft and comfy, but it does run pretty large. i am normally a m, and in this the m was swimming on me. i purchased the s, and still loose and flowy. i "&amp;"wore a strapless bra with it, but will also try a bandeau or tank top.")</f>
        <v>Just purchased this- love how light and airy it is. perfect for throwing on on a warm summer day. it is soft and comfy, but it does run pretty large. i am normally a m, and in this the m was swimming on me. i purchased the s, and still loose and flowy. i wore a strapless bra with it, but will also try a bandeau or tank top.</v>
      </c>
      <c r="F909" s="8">
        <f>IFERROR(__xludf.DUMMYFUNCTION("""COMPUTED_VALUE"""),4.0)</f>
        <v>4</v>
      </c>
      <c r="G909" s="8">
        <f>IFERROR(__xludf.DUMMYFUNCTION("""COMPUTED_VALUE"""),1.0)</f>
        <v>1</v>
      </c>
      <c r="H909" s="8">
        <f>IFERROR(__xludf.DUMMYFUNCTION("""COMPUTED_VALUE"""),5.0)</f>
        <v>5</v>
      </c>
      <c r="I909" s="8" t="str">
        <f>IFERROR(__xludf.DUMMYFUNCTION("""COMPUTED_VALUE"""),"Initmates")</f>
        <v>Initmates</v>
      </c>
      <c r="J909" s="8" t="str">
        <f>IFERROR(__xludf.DUMMYFUNCTION("""COMPUTED_VALUE"""),"Intimate")</f>
        <v>Intimate</v>
      </c>
      <c r="K909" s="8" t="str">
        <f>IFERROR(__xludf.DUMMYFUNCTION("""COMPUTED_VALUE"""),"Lounge")</f>
        <v>Lounge</v>
      </c>
    </row>
    <row r="910">
      <c r="A910" s="8">
        <f>IFERROR(__xludf.DUMMYFUNCTION("""COMPUTED_VALUE"""),1194.0)</f>
        <v>1194</v>
      </c>
      <c r="B910" s="8">
        <f>IFERROR(__xludf.DUMMYFUNCTION("""COMPUTED_VALUE"""),1060.0)</f>
        <v>1060</v>
      </c>
      <c r="C910" s="8">
        <f>IFERROR(__xludf.DUMMYFUNCTION("""COMPUTED_VALUE"""),26.0)</f>
        <v>26</v>
      </c>
      <c r="D910" s="8" t="str">
        <f>IFERROR(__xludf.DUMMYFUNCTION("""COMPUTED_VALUE"""),"Throw on and go perfection")</f>
        <v>Throw on and go perfection</v>
      </c>
      <c r="E910" s="8" t="str">
        <f>IFERROR(__xludf.DUMMYFUNCTION("""COMPUTED_VALUE"""),"I'm very picky about jumpers, and this one is abolutely perfect! i love how it looks like a dress at first glance. it runs a little big because of the oversized fit it is supposed to have, i sized down because of the armpit area. nude garments and you'll "&amp;"be fine. this is going to sell out fast, don't wait for it to go on sale! (seriously my store is already out of xs's)")</f>
        <v>I'm very picky about jumpers, and this one is abolutely perfect! i love how it looks like a dress at first glance. it runs a little big because of the oversized fit it is supposed to have, i sized down because of the armpit area. nude garments and you'll be fine. this is going to sell out fast, don't wait for it to go on sale! (seriously my store is already out of xs's)</v>
      </c>
      <c r="F910" s="8">
        <f>IFERROR(__xludf.DUMMYFUNCTION("""COMPUTED_VALUE"""),5.0)</f>
        <v>5</v>
      </c>
      <c r="G910" s="8">
        <f>IFERROR(__xludf.DUMMYFUNCTION("""COMPUTED_VALUE"""),1.0)</f>
        <v>1</v>
      </c>
      <c r="H910" s="8">
        <f>IFERROR(__xludf.DUMMYFUNCTION("""COMPUTED_VALUE"""),9.0)</f>
        <v>9</v>
      </c>
      <c r="I910" s="8" t="str">
        <f>IFERROR(__xludf.DUMMYFUNCTION("""COMPUTED_VALUE"""),"General Petite")</f>
        <v>General Petite</v>
      </c>
      <c r="J910" s="8" t="str">
        <f>IFERROR(__xludf.DUMMYFUNCTION("""COMPUTED_VALUE"""),"Bottoms")</f>
        <v>Bottoms</v>
      </c>
      <c r="K910" s="8" t="str">
        <f>IFERROR(__xludf.DUMMYFUNCTION("""COMPUTED_VALUE"""),"Pants")</f>
        <v>Pants</v>
      </c>
    </row>
    <row r="911">
      <c r="A911" s="8">
        <f>IFERROR(__xludf.DUMMYFUNCTION("""COMPUTED_VALUE"""),1195.0)</f>
        <v>1195</v>
      </c>
      <c r="B911" s="8">
        <f>IFERROR(__xludf.DUMMYFUNCTION("""COMPUTED_VALUE"""),720.0)</f>
        <v>720</v>
      </c>
      <c r="C911" s="8">
        <f>IFERROR(__xludf.DUMMYFUNCTION("""COMPUTED_VALUE"""),58.0)</f>
        <v>58</v>
      </c>
      <c r="D911" s="8"/>
      <c r="E911" s="8" t="str">
        <f>IFERROR(__xludf.DUMMYFUNCTION("""COMPUTED_VALUE"""),"Nice flowing summer sun dress. i was looking for something very simple and put a colorful kimono over. it. i put a bando under it. i think this dress can be for all ages as my friend in her 20s bought and loves this dress as well.")</f>
        <v>Nice flowing summer sun dress. i was looking for something very simple and put a colorful kimono over. it. i put a bando under it. i think this dress can be for all ages as my friend in her 20s bought and loves this dress as well.</v>
      </c>
      <c r="F911" s="8">
        <f>IFERROR(__xludf.DUMMYFUNCTION("""COMPUTED_VALUE"""),5.0)</f>
        <v>5</v>
      </c>
      <c r="G911" s="8">
        <f>IFERROR(__xludf.DUMMYFUNCTION("""COMPUTED_VALUE"""),1.0)</f>
        <v>1</v>
      </c>
      <c r="H911" s="8">
        <f>IFERROR(__xludf.DUMMYFUNCTION("""COMPUTED_VALUE"""),1.0)</f>
        <v>1</v>
      </c>
      <c r="I911" s="8" t="str">
        <f>IFERROR(__xludf.DUMMYFUNCTION("""COMPUTED_VALUE"""),"Initmates")</f>
        <v>Initmates</v>
      </c>
      <c r="J911" s="8" t="str">
        <f>IFERROR(__xludf.DUMMYFUNCTION("""COMPUTED_VALUE"""),"Intimate")</f>
        <v>Intimate</v>
      </c>
      <c r="K911" s="8" t="str">
        <f>IFERROR(__xludf.DUMMYFUNCTION("""COMPUTED_VALUE"""),"Lounge")</f>
        <v>Lounge</v>
      </c>
    </row>
    <row r="912">
      <c r="A912" s="8">
        <f>IFERROR(__xludf.DUMMYFUNCTION("""COMPUTED_VALUE"""),1198.0)</f>
        <v>1198</v>
      </c>
      <c r="B912" s="8">
        <f>IFERROR(__xludf.DUMMYFUNCTION("""COMPUTED_VALUE"""),1060.0)</f>
        <v>1060</v>
      </c>
      <c r="C912" s="8">
        <f>IFERROR(__xludf.DUMMYFUNCTION("""COMPUTED_VALUE"""),52.0)</f>
        <v>52</v>
      </c>
      <c r="D912" s="8"/>
      <c r="E912" s="8" t="str">
        <f>IFERROR(__xludf.DUMMYFUNCTION("""COMPUTED_VALUE"""),"This jumpsuit is the epitome of what i love about retailer! unique and absolutely beautiful. i love how it flows and on my petite frame when paired with heels makes me look taller. hopefully the designs for spring/summer are just as beautiful and comforta"&amp;"ble as this piece. i plan to rock this with a cute belt and a bolo jacket.")</f>
        <v>This jumpsuit is the epitome of what i love about retailer! unique and absolutely beautiful. i love how it flows and on my petite frame when paired with heels makes me look taller. hopefully the designs for spring/summer are just as beautiful and comfortable as this piece. i plan to rock this with a cute belt and a bolo jacket.</v>
      </c>
      <c r="F912" s="8">
        <f>IFERROR(__xludf.DUMMYFUNCTION("""COMPUTED_VALUE"""),5.0)</f>
        <v>5</v>
      </c>
      <c r="G912" s="8">
        <f>IFERROR(__xludf.DUMMYFUNCTION("""COMPUTED_VALUE"""),1.0)</f>
        <v>1</v>
      </c>
      <c r="H912" s="8">
        <f>IFERROR(__xludf.DUMMYFUNCTION("""COMPUTED_VALUE"""),19.0)</f>
        <v>19</v>
      </c>
      <c r="I912" s="8" t="str">
        <f>IFERROR(__xludf.DUMMYFUNCTION("""COMPUTED_VALUE"""),"General Petite")</f>
        <v>General Petite</v>
      </c>
      <c r="J912" s="8" t="str">
        <f>IFERROR(__xludf.DUMMYFUNCTION("""COMPUTED_VALUE"""),"Bottoms")</f>
        <v>Bottoms</v>
      </c>
      <c r="K912" s="8" t="str">
        <f>IFERROR(__xludf.DUMMYFUNCTION("""COMPUTED_VALUE"""),"Pants")</f>
        <v>Pants</v>
      </c>
    </row>
    <row r="913">
      <c r="A913" s="8">
        <f>IFERROR(__xludf.DUMMYFUNCTION("""COMPUTED_VALUE"""),1199.0)</f>
        <v>1199</v>
      </c>
      <c r="B913" s="8">
        <f>IFERROR(__xludf.DUMMYFUNCTION("""COMPUTED_VALUE"""),720.0)</f>
        <v>720</v>
      </c>
      <c r="C913" s="8">
        <f>IFERROR(__xludf.DUMMYFUNCTION("""COMPUTED_VALUE"""),80.0)</f>
        <v>80</v>
      </c>
      <c r="D913" s="8" t="str">
        <f>IFERROR(__xludf.DUMMYFUNCTION("""COMPUTED_VALUE"""),"Pretty but runs big!!")</f>
        <v>Pretty but runs big!!</v>
      </c>
      <c r="E913" s="8" t="str">
        <f>IFERROR(__xludf.DUMMYFUNCTION("""COMPUTED_VALUE"""),"I loved this dress from the moment i saw it! i ordered it immediately, after reading the reviews, and felt confident in my dress size choice...but when it arrived it was big! i am 5'7"" 140lbs with an athletic build and i usually wear a 6 or 8 in dresses,"&amp;" so usually a small but sometimes a medium...because if this ""in between"" that i am, i ordered a small...and it was really too big. so sad...incalled a bunch of stores to try and find an xs but they are sold out everywhere.
style is fun and flir")</f>
        <v>I loved this dress from the moment i saw it! i ordered it immediately, after reading the reviews, and felt confident in my dress size choice...but when it arrived it was big! i am 5'7" 140lbs with an athletic build and i usually wear a 6 or 8 in dresses, so usually a small but sometimes a medium...because if this "in between" that i am, i ordered a small...and it was really too big. so sad...incalled a bunch of stores to try and find an xs but they are sold out everywhere.
style is fun and flir</v>
      </c>
      <c r="F913" s="8">
        <f>IFERROR(__xludf.DUMMYFUNCTION("""COMPUTED_VALUE"""),5.0)</f>
        <v>5</v>
      </c>
      <c r="G913" s="8">
        <f>IFERROR(__xludf.DUMMYFUNCTION("""COMPUTED_VALUE"""),1.0)</f>
        <v>1</v>
      </c>
      <c r="H913" s="8">
        <f>IFERROR(__xludf.DUMMYFUNCTION("""COMPUTED_VALUE"""),1.0)</f>
        <v>1</v>
      </c>
      <c r="I913" s="8" t="str">
        <f>IFERROR(__xludf.DUMMYFUNCTION("""COMPUTED_VALUE"""),"Initmates")</f>
        <v>Initmates</v>
      </c>
      <c r="J913" s="8" t="str">
        <f>IFERROR(__xludf.DUMMYFUNCTION("""COMPUTED_VALUE"""),"Intimate")</f>
        <v>Intimate</v>
      </c>
      <c r="K913" s="8" t="str">
        <f>IFERROR(__xludf.DUMMYFUNCTION("""COMPUTED_VALUE"""),"Lounge")</f>
        <v>Lounge</v>
      </c>
    </row>
    <row r="914">
      <c r="A914" s="8">
        <f>IFERROR(__xludf.DUMMYFUNCTION("""COMPUTED_VALUE"""),1200.0)</f>
        <v>1200</v>
      </c>
      <c r="B914" s="8">
        <f>IFERROR(__xludf.DUMMYFUNCTION("""COMPUTED_VALUE"""),720.0)</f>
        <v>720</v>
      </c>
      <c r="C914" s="8">
        <f>IFERROR(__xludf.DUMMYFUNCTION("""COMPUTED_VALUE"""),37.0)</f>
        <v>37</v>
      </c>
      <c r="D914" s="8" t="str">
        <f>IFERROR(__xludf.DUMMYFUNCTION("""COMPUTED_VALUE"""),"Fun easy dress!")</f>
        <v>Fun easy dress!</v>
      </c>
      <c r="E914" s="8" t="str">
        <f>IFERROR(__xludf.DUMMYFUNCTION("""COMPUTED_VALUE"""),"This dress is great. it appears just as it does online. its soft, flowy and a thin chambray material. the straps are adjustable which makes it a good fit for all women. i am fuller in my hips and toosh and this dress fell beautifully over them. i tried a "&amp;"large (i normally do l or xl in retailer dresses) and there was plenty of room! i would have probably liked the xl more just because i prefer things oversized. the dress is a midi length, very breezy and airy. its extremely comfortable and very fl")</f>
        <v>This dress is great. it appears just as it does online. its soft, flowy and a thin chambray material. the straps are adjustable which makes it a good fit for all women. i am fuller in my hips and toosh and this dress fell beautifully over them. i tried a large (i normally do l or xl in retailer dresses) and there was plenty of room! i would have probably liked the xl more just because i prefer things oversized. the dress is a midi length, very breezy and airy. its extremely comfortable and very fl</v>
      </c>
      <c r="F914" s="8">
        <f>IFERROR(__xludf.DUMMYFUNCTION("""COMPUTED_VALUE"""),5.0)</f>
        <v>5</v>
      </c>
      <c r="G914" s="8">
        <f>IFERROR(__xludf.DUMMYFUNCTION("""COMPUTED_VALUE"""),1.0)</f>
        <v>1</v>
      </c>
      <c r="H914" s="8">
        <f>IFERROR(__xludf.DUMMYFUNCTION("""COMPUTED_VALUE"""),4.0)</f>
        <v>4</v>
      </c>
      <c r="I914" s="8" t="str">
        <f>IFERROR(__xludf.DUMMYFUNCTION("""COMPUTED_VALUE"""),"Initmates")</f>
        <v>Initmates</v>
      </c>
      <c r="J914" s="8" t="str">
        <f>IFERROR(__xludf.DUMMYFUNCTION("""COMPUTED_VALUE"""),"Intimate")</f>
        <v>Intimate</v>
      </c>
      <c r="K914" s="8" t="str">
        <f>IFERROR(__xludf.DUMMYFUNCTION("""COMPUTED_VALUE"""),"Lounge")</f>
        <v>Lounge</v>
      </c>
    </row>
    <row r="915">
      <c r="A915" s="8">
        <f>IFERROR(__xludf.DUMMYFUNCTION("""COMPUTED_VALUE"""),1201.0)</f>
        <v>1201</v>
      </c>
      <c r="B915" s="8">
        <f>IFERROR(__xludf.DUMMYFUNCTION("""COMPUTED_VALUE"""),1060.0)</f>
        <v>1060</v>
      </c>
      <c r="C915" s="8">
        <f>IFERROR(__xludf.DUMMYFUNCTION("""COMPUTED_VALUE"""),53.0)</f>
        <v>53</v>
      </c>
      <c r="D915" s="8"/>
      <c r="E915" s="8"/>
      <c r="F915" s="8">
        <f>IFERROR(__xludf.DUMMYFUNCTION("""COMPUTED_VALUE"""),5.0)</f>
        <v>5</v>
      </c>
      <c r="G915" s="8">
        <f>IFERROR(__xludf.DUMMYFUNCTION("""COMPUTED_VALUE"""),1.0)</f>
        <v>1</v>
      </c>
      <c r="H915" s="8">
        <f>IFERROR(__xludf.DUMMYFUNCTION("""COMPUTED_VALUE"""),0.0)</f>
        <v>0</v>
      </c>
      <c r="I915" s="8" t="str">
        <f>IFERROR(__xludf.DUMMYFUNCTION("""COMPUTED_VALUE"""),"General Petite")</f>
        <v>General Petite</v>
      </c>
      <c r="J915" s="8" t="str">
        <f>IFERROR(__xludf.DUMMYFUNCTION("""COMPUTED_VALUE"""),"Bottoms")</f>
        <v>Bottoms</v>
      </c>
      <c r="K915" s="8" t="str">
        <f>IFERROR(__xludf.DUMMYFUNCTION("""COMPUTED_VALUE"""),"Pants")</f>
        <v>Pants</v>
      </c>
    </row>
    <row r="916">
      <c r="A916" s="8">
        <f>IFERROR(__xludf.DUMMYFUNCTION("""COMPUTED_VALUE"""),1202.0)</f>
        <v>1202</v>
      </c>
      <c r="B916" s="8">
        <f>IFERROR(__xludf.DUMMYFUNCTION("""COMPUTED_VALUE"""),1072.0)</f>
        <v>1072</v>
      </c>
      <c r="C916" s="8">
        <f>IFERROR(__xludf.DUMMYFUNCTION("""COMPUTED_VALUE"""),62.0)</f>
        <v>62</v>
      </c>
      <c r="D916" s="8"/>
      <c r="E916" s="8" t="str">
        <f>IFERROR(__xludf.DUMMYFUNCTION("""COMPUTED_VALUE"""),"I was worried at first that the metal leaves would come off easily. i was pleasantly surprised after a day at disneyland, i don't think i lost even one of them. this dress is super fancy but very comfy.")</f>
        <v>I was worried at first that the metal leaves would come off easily. i was pleasantly surprised after a day at disneyland, i don't think i lost even one of them. this dress is super fancy but very comfy.</v>
      </c>
      <c r="F916" s="8">
        <f>IFERROR(__xludf.DUMMYFUNCTION("""COMPUTED_VALUE"""),5.0)</f>
        <v>5</v>
      </c>
      <c r="G916" s="8">
        <f>IFERROR(__xludf.DUMMYFUNCTION("""COMPUTED_VALUE"""),1.0)</f>
        <v>1</v>
      </c>
      <c r="H916" s="8">
        <f>IFERROR(__xludf.DUMMYFUNCTION("""COMPUTED_VALUE"""),0.0)</f>
        <v>0</v>
      </c>
      <c r="I916" s="8" t="str">
        <f>IFERROR(__xludf.DUMMYFUNCTION("""COMPUTED_VALUE"""),"General")</f>
        <v>General</v>
      </c>
      <c r="J916" s="8" t="str">
        <f>IFERROR(__xludf.DUMMYFUNCTION("""COMPUTED_VALUE"""),"Dresses")</f>
        <v>Dresses</v>
      </c>
      <c r="K916" s="8" t="str">
        <f>IFERROR(__xludf.DUMMYFUNCTION("""COMPUTED_VALUE"""),"Dresses")</f>
        <v>Dresses</v>
      </c>
    </row>
    <row r="917">
      <c r="A917" s="8">
        <f>IFERROR(__xludf.DUMMYFUNCTION("""COMPUTED_VALUE"""),1203.0)</f>
        <v>1203</v>
      </c>
      <c r="B917" s="8">
        <f>IFERROR(__xludf.DUMMYFUNCTION("""COMPUTED_VALUE"""),1022.0)</f>
        <v>1022</v>
      </c>
      <c r="C917" s="8">
        <f>IFERROR(__xludf.DUMMYFUNCTION("""COMPUTED_VALUE"""),38.0)</f>
        <v>38</v>
      </c>
      <c r="D917" s="8" t="str">
        <f>IFERROR(__xludf.DUMMYFUNCTION("""COMPUTED_VALUE"""),"Sleepable jeans")</f>
        <v>Sleepable jeans</v>
      </c>
      <c r="E917" s="8" t="str">
        <f>IFERROR(__xludf.DUMMYFUNCTION("""COMPUTED_VALUE"""),"These jeans have been the best pair of jeans i have ever worn. you could practically sleep in them, they are so comfortable, brushed softness, and stretch easily. they hug your body in a flattering way, that these jeans are worth the money spent, as you'l"&amp;"l have them for a while.")</f>
        <v>These jeans have been the best pair of jeans i have ever worn. you could practically sleep in them, they are so comfortable, brushed softness, and stretch easily. they hug your body in a flattering way, that these jeans are worth the money spent, as you'll have them for a while.</v>
      </c>
      <c r="F917" s="8">
        <f>IFERROR(__xludf.DUMMYFUNCTION("""COMPUTED_VALUE"""),5.0)</f>
        <v>5</v>
      </c>
      <c r="G917" s="8">
        <f>IFERROR(__xludf.DUMMYFUNCTION("""COMPUTED_VALUE"""),1.0)</f>
        <v>1</v>
      </c>
      <c r="H917" s="8">
        <f>IFERROR(__xludf.DUMMYFUNCTION("""COMPUTED_VALUE"""),0.0)</f>
        <v>0</v>
      </c>
      <c r="I917" s="8" t="str">
        <f>IFERROR(__xludf.DUMMYFUNCTION("""COMPUTED_VALUE"""),"General Petite")</f>
        <v>General Petite</v>
      </c>
      <c r="J917" s="8" t="str">
        <f>IFERROR(__xludf.DUMMYFUNCTION("""COMPUTED_VALUE"""),"Bottoms")</f>
        <v>Bottoms</v>
      </c>
      <c r="K917" s="8" t="str">
        <f>IFERROR(__xludf.DUMMYFUNCTION("""COMPUTED_VALUE"""),"Jeans")</f>
        <v>Jeans</v>
      </c>
    </row>
    <row r="918">
      <c r="A918" s="8">
        <f>IFERROR(__xludf.DUMMYFUNCTION("""COMPUTED_VALUE"""),1204.0)</f>
        <v>1204</v>
      </c>
      <c r="B918" s="8">
        <f>IFERROR(__xludf.DUMMYFUNCTION("""COMPUTED_VALUE"""),1060.0)</f>
        <v>1060</v>
      </c>
      <c r="C918" s="8">
        <f>IFERROR(__xludf.DUMMYFUNCTION("""COMPUTED_VALUE"""),59.0)</f>
        <v>59</v>
      </c>
      <c r="D918" s="8" t="str">
        <f>IFERROR(__xludf.DUMMYFUNCTION("""COMPUTED_VALUE"""),"Lovely, feminine, needs belt for definition")</f>
        <v>Lovely, feminine, needs belt for definition</v>
      </c>
      <c r="E918" s="8" t="str">
        <f>IFERROR(__xludf.DUMMYFUNCTION("""COMPUTED_VALUE"""),"I'd been eyeing this for months, loving the look but afraid it'd be too young for me (i'm 58). i tried it on in the store and loved it, with one caveat: it hangs rather like a sack, so i think it needs a belt for waist definition. with a belt, it looks gr"&amp;"eat. my measurements are 38-30-38 and i wear a medium. oh, and contrary to what other reviewers have said, i don't find that the fabric is too thin or transparent.")</f>
        <v>I'd been eyeing this for months, loving the look but afraid it'd be too young for me (i'm 58). i tried it on in the store and loved it, with one caveat: it hangs rather like a sack, so i think it needs a belt for waist definition. with a belt, it looks great. my measurements are 38-30-38 and i wear a medium. oh, and contrary to what other reviewers have said, i don't find that the fabric is too thin or transparent.</v>
      </c>
      <c r="F918" s="8">
        <f>IFERROR(__xludf.DUMMYFUNCTION("""COMPUTED_VALUE"""),5.0)</f>
        <v>5</v>
      </c>
      <c r="G918" s="8">
        <f>IFERROR(__xludf.DUMMYFUNCTION("""COMPUTED_VALUE"""),1.0)</f>
        <v>1</v>
      </c>
      <c r="H918" s="8">
        <f>IFERROR(__xludf.DUMMYFUNCTION("""COMPUTED_VALUE"""),4.0)</f>
        <v>4</v>
      </c>
      <c r="I918" s="8" t="str">
        <f>IFERROR(__xludf.DUMMYFUNCTION("""COMPUTED_VALUE"""),"General Petite")</f>
        <v>General Petite</v>
      </c>
      <c r="J918" s="8" t="str">
        <f>IFERROR(__xludf.DUMMYFUNCTION("""COMPUTED_VALUE"""),"Bottoms")</f>
        <v>Bottoms</v>
      </c>
      <c r="K918" s="8" t="str">
        <f>IFERROR(__xludf.DUMMYFUNCTION("""COMPUTED_VALUE"""),"Pants")</f>
        <v>Pants</v>
      </c>
    </row>
    <row r="919">
      <c r="A919" s="8">
        <f>IFERROR(__xludf.DUMMYFUNCTION("""COMPUTED_VALUE"""),1206.0)</f>
        <v>1206</v>
      </c>
      <c r="B919" s="8">
        <f>IFERROR(__xludf.DUMMYFUNCTION("""COMPUTED_VALUE"""),1042.0)</f>
        <v>1042</v>
      </c>
      <c r="C919" s="8">
        <f>IFERROR(__xludf.DUMMYFUNCTION("""COMPUTED_VALUE"""),39.0)</f>
        <v>39</v>
      </c>
      <c r="D919" s="8" t="str">
        <f>IFERROR(__xludf.DUMMYFUNCTION("""COMPUTED_VALUE"""),"Unique, classy")</f>
        <v>Unique, classy</v>
      </c>
      <c r="E919" s="8" t="str">
        <f>IFERROR(__xludf.DUMMYFUNCTION("""COMPUTED_VALUE"""),"Great fit. smooth, comfortable material. wrinkles, but nothing an iron can't fix. beautiful colors, i got both the teal and the black.")</f>
        <v>Great fit. smooth, comfortable material. wrinkles, but nothing an iron can't fix. beautiful colors, i got both the teal and the black.</v>
      </c>
      <c r="F919" s="8">
        <f>IFERROR(__xludf.DUMMYFUNCTION("""COMPUTED_VALUE"""),5.0)</f>
        <v>5</v>
      </c>
      <c r="G919" s="8">
        <f>IFERROR(__xludf.DUMMYFUNCTION("""COMPUTED_VALUE"""),1.0)</f>
        <v>1</v>
      </c>
      <c r="H919" s="8">
        <f>IFERROR(__xludf.DUMMYFUNCTION("""COMPUTED_VALUE"""),0.0)</f>
        <v>0</v>
      </c>
      <c r="I919" s="8" t="str">
        <f>IFERROR(__xludf.DUMMYFUNCTION("""COMPUTED_VALUE"""),"General")</f>
        <v>General</v>
      </c>
      <c r="J919" s="8" t="str">
        <f>IFERROR(__xludf.DUMMYFUNCTION("""COMPUTED_VALUE"""),"Bottoms")</f>
        <v>Bottoms</v>
      </c>
      <c r="K919" s="8" t="str">
        <f>IFERROR(__xludf.DUMMYFUNCTION("""COMPUTED_VALUE"""),"Pants")</f>
        <v>Pants</v>
      </c>
    </row>
    <row r="920">
      <c r="A920" s="8">
        <f>IFERROR(__xludf.DUMMYFUNCTION("""COMPUTED_VALUE"""),1208.0)</f>
        <v>1208</v>
      </c>
      <c r="B920" s="8">
        <f>IFERROR(__xludf.DUMMYFUNCTION("""COMPUTED_VALUE"""),1110.0)</f>
        <v>1110</v>
      </c>
      <c r="C920" s="8">
        <f>IFERROR(__xludf.DUMMYFUNCTION("""COMPUTED_VALUE"""),27.0)</f>
        <v>27</v>
      </c>
      <c r="D920" s="8" t="str">
        <f>IFERROR(__xludf.DUMMYFUNCTION("""COMPUTED_VALUE"""),"Beautifully constructed dress, runs large")</f>
        <v>Beautifully constructed dress, runs large</v>
      </c>
      <c r="E920" s="8" t="str">
        <f>IFERROR(__xludf.DUMMYFUNCTION("""COMPUTED_VALUE"""),"I tried this on in the store last night and decided to order it today. it is a really beautifully made and flattering dress, with very interestingly cut seams. the fabric is a distinctive flower pattern that has been overlaid to appear almost abstract. go"&amp;"rgeous and high quality!
fit: i am 5'6"" and curvy, usually a size 14/16, and the xl fits quite roomy on me (that's the size i ordered because i like flowy things). so it definitely runs large. usually i have better luck with a-line dress shap")</f>
        <v>I tried this on in the store last night and decided to order it today. it is a really beautifully made and flattering dress, with very interestingly cut seams. the fabric is a distinctive flower pattern that has been overlaid to appear almost abstract. gorgeous and high quality!
fit: i am 5'6" and curvy, usually a size 14/16, and the xl fits quite roomy on me (that's the size i ordered because i like flowy things). so it definitely runs large. usually i have better luck with a-line dress shap</v>
      </c>
      <c r="F920" s="8">
        <f>IFERROR(__xludf.DUMMYFUNCTION("""COMPUTED_VALUE"""),5.0)</f>
        <v>5</v>
      </c>
      <c r="G920" s="8">
        <f>IFERROR(__xludf.DUMMYFUNCTION("""COMPUTED_VALUE"""),1.0)</f>
        <v>1</v>
      </c>
      <c r="H920" s="8">
        <f>IFERROR(__xludf.DUMMYFUNCTION("""COMPUTED_VALUE"""),3.0)</f>
        <v>3</v>
      </c>
      <c r="I920" s="8" t="str">
        <f>IFERROR(__xludf.DUMMYFUNCTION("""COMPUTED_VALUE"""),"General")</f>
        <v>General</v>
      </c>
      <c r="J920" s="8" t="str">
        <f>IFERROR(__xludf.DUMMYFUNCTION("""COMPUTED_VALUE"""),"Dresses")</f>
        <v>Dresses</v>
      </c>
      <c r="K920" s="8" t="str">
        <f>IFERROR(__xludf.DUMMYFUNCTION("""COMPUTED_VALUE"""),"Dresses")</f>
        <v>Dresses</v>
      </c>
    </row>
    <row r="921">
      <c r="A921" s="8">
        <f>IFERROR(__xludf.DUMMYFUNCTION("""COMPUTED_VALUE"""),1209.0)</f>
        <v>1209</v>
      </c>
      <c r="B921" s="8">
        <f>IFERROR(__xludf.DUMMYFUNCTION("""COMPUTED_VALUE"""),1094.0)</f>
        <v>1094</v>
      </c>
      <c r="C921" s="8">
        <f>IFERROR(__xludf.DUMMYFUNCTION("""COMPUTED_VALUE"""),72.0)</f>
        <v>72</v>
      </c>
      <c r="D921" s="8" t="str">
        <f>IFERROR(__xludf.DUMMYFUNCTION("""COMPUTED_VALUE"""),"Perfect for irish fest and beyond!")</f>
        <v>Perfect for irish fest and beyond!</v>
      </c>
      <c r="E921" s="8" t="str">
        <f>IFERROR(__xludf.DUMMYFUNCTION("""COMPUTED_VALUE"""),"I bought this dress for its green color and flowy design to wear at an irish fest held in the hot summer. it's perfect! being of irish descent with red hair and fair skin, i love all shades of green, and this green dress is no exception. the color is love"&amp;"ly and eye-catching and cool. as to the sizing, i usually wear a size 8, but to make sure due to the design, i ordered an 8 and a 6. there wasn't a great difference between the two dresses, but the size 6 top was a bit more fitted and looked bet")</f>
        <v>I bought this dress for its green color and flowy design to wear at an irish fest held in the hot summer. it's perfect! being of irish descent with red hair and fair skin, i love all shades of green, and this green dress is no exception. the color is lovely and eye-catching and cool. as to the sizing, i usually wear a size 8, but to make sure due to the design, i ordered an 8 and a 6. there wasn't a great difference between the two dresses, but the size 6 top was a bit more fitted and looked bet</v>
      </c>
      <c r="F921" s="8">
        <f>IFERROR(__xludf.DUMMYFUNCTION("""COMPUTED_VALUE"""),5.0)</f>
        <v>5</v>
      </c>
      <c r="G921" s="8">
        <f>IFERROR(__xludf.DUMMYFUNCTION("""COMPUTED_VALUE"""),1.0)</f>
        <v>1</v>
      </c>
      <c r="H921" s="8">
        <f>IFERROR(__xludf.DUMMYFUNCTION("""COMPUTED_VALUE"""),0.0)</f>
        <v>0</v>
      </c>
      <c r="I921" s="8" t="str">
        <f>IFERROR(__xludf.DUMMYFUNCTION("""COMPUTED_VALUE"""),"General")</f>
        <v>General</v>
      </c>
      <c r="J921" s="8" t="str">
        <f>IFERROR(__xludf.DUMMYFUNCTION("""COMPUTED_VALUE"""),"Dresses")</f>
        <v>Dresses</v>
      </c>
      <c r="K921" s="8" t="str">
        <f>IFERROR(__xludf.DUMMYFUNCTION("""COMPUTED_VALUE"""),"Dresses")</f>
        <v>Dresses</v>
      </c>
    </row>
    <row r="922">
      <c r="A922" s="8">
        <f>IFERROR(__xludf.DUMMYFUNCTION("""COMPUTED_VALUE"""),1210.0)</f>
        <v>1210</v>
      </c>
      <c r="B922" s="8">
        <f>IFERROR(__xludf.DUMMYFUNCTION("""COMPUTED_VALUE"""),1060.0)</f>
        <v>1060</v>
      </c>
      <c r="C922" s="8">
        <f>IFERROR(__xludf.DUMMYFUNCTION("""COMPUTED_VALUE"""),32.0)</f>
        <v>32</v>
      </c>
      <c r="D922" s="8" t="str">
        <f>IFERROR(__xludf.DUMMYFUNCTION("""COMPUTED_VALUE"""),"Cute, sweet, flirty, sexy")</f>
        <v>Cute, sweet, flirty, sexy</v>
      </c>
      <c r="E922" s="8" t="str">
        <f>IFERROR(__xludf.DUMMYFUNCTION("""COMPUTED_VALUE"""),"I just bought this at the store. i simply couldn't resist! it is very light and comfortable and could easily be dressed up or dressed down, sandals and a crossbody bag for exploring the city, strappy healed sandals and some flashy jewelry for a garden par"&amp;"ty or day event, slip on booties and a cardigan for the evening. can't wait to rock it. in terms of sizing, i am 5'5 150 with 36dd bust and some hips and booty. usually i am a size 6-8/m in dresses and pants but in true retailer style, i ended up")</f>
        <v>I just bought this at the store. i simply couldn't resist! it is very light and comfortable and could easily be dressed up or dressed down, sandals and a crossbody bag for exploring the city, strappy healed sandals and some flashy jewelry for a garden party or day event, slip on booties and a cardigan for the evening. can't wait to rock it. in terms of sizing, i am 5'5 150 with 36dd bust and some hips and booty. usually i am a size 6-8/m in dresses and pants but in true retailer style, i ended up</v>
      </c>
      <c r="F922" s="8">
        <f>IFERROR(__xludf.DUMMYFUNCTION("""COMPUTED_VALUE"""),5.0)</f>
        <v>5</v>
      </c>
      <c r="G922" s="8">
        <f>IFERROR(__xludf.DUMMYFUNCTION("""COMPUTED_VALUE"""),1.0)</f>
        <v>1</v>
      </c>
      <c r="H922" s="8">
        <f>IFERROR(__xludf.DUMMYFUNCTION("""COMPUTED_VALUE"""),14.0)</f>
        <v>14</v>
      </c>
      <c r="I922" s="8" t="str">
        <f>IFERROR(__xludf.DUMMYFUNCTION("""COMPUTED_VALUE"""),"General Petite")</f>
        <v>General Petite</v>
      </c>
      <c r="J922" s="8" t="str">
        <f>IFERROR(__xludf.DUMMYFUNCTION("""COMPUTED_VALUE"""),"Bottoms")</f>
        <v>Bottoms</v>
      </c>
      <c r="K922" s="8" t="str">
        <f>IFERROR(__xludf.DUMMYFUNCTION("""COMPUTED_VALUE"""),"Pants")</f>
        <v>Pants</v>
      </c>
    </row>
    <row r="923">
      <c r="A923" s="8">
        <f>IFERROR(__xludf.DUMMYFUNCTION("""COMPUTED_VALUE"""),1211.0)</f>
        <v>1211</v>
      </c>
      <c r="B923" s="8">
        <f>IFERROR(__xludf.DUMMYFUNCTION("""COMPUTED_VALUE"""),1060.0)</f>
        <v>1060</v>
      </c>
      <c r="C923" s="8">
        <f>IFERROR(__xludf.DUMMYFUNCTION("""COMPUTED_VALUE"""),30.0)</f>
        <v>30</v>
      </c>
      <c r="D923" s="8"/>
      <c r="E923" s="8" t="str">
        <f>IFERROR(__xludf.DUMMYFUNCTION("""COMPUTED_VALUE"""),"Great jumpsuit ! even better ""in person""; elegant and stylish. i'am 5'7 and 165lb , m fits perfectly! material is not see- throug ( that was my biggest concern). sooo happy that i got it.")</f>
        <v>Great jumpsuit ! even better "in person"; elegant and stylish. i'am 5'7 and 165lb , m fits perfectly! material is not see- throug ( that was my biggest concern). sooo happy that i got it.</v>
      </c>
      <c r="F923" s="8">
        <f>IFERROR(__xludf.DUMMYFUNCTION("""COMPUTED_VALUE"""),5.0)</f>
        <v>5</v>
      </c>
      <c r="G923" s="8">
        <f>IFERROR(__xludf.DUMMYFUNCTION("""COMPUTED_VALUE"""),1.0)</f>
        <v>1</v>
      </c>
      <c r="H923" s="8">
        <f>IFERROR(__xludf.DUMMYFUNCTION("""COMPUTED_VALUE"""),2.0)</f>
        <v>2</v>
      </c>
      <c r="I923" s="8" t="str">
        <f>IFERROR(__xludf.DUMMYFUNCTION("""COMPUTED_VALUE"""),"General Petite")</f>
        <v>General Petite</v>
      </c>
      <c r="J923" s="8" t="str">
        <f>IFERROR(__xludf.DUMMYFUNCTION("""COMPUTED_VALUE"""),"Bottoms")</f>
        <v>Bottoms</v>
      </c>
      <c r="K923" s="8" t="str">
        <f>IFERROR(__xludf.DUMMYFUNCTION("""COMPUTED_VALUE"""),"Pants")</f>
        <v>Pants</v>
      </c>
    </row>
    <row r="924">
      <c r="A924" s="8">
        <f>IFERROR(__xludf.DUMMYFUNCTION("""COMPUTED_VALUE"""),1212.0)</f>
        <v>1212</v>
      </c>
      <c r="B924" s="8">
        <f>IFERROR(__xludf.DUMMYFUNCTION("""COMPUTED_VALUE"""),868.0)</f>
        <v>868</v>
      </c>
      <c r="C924" s="8">
        <f>IFERROR(__xludf.DUMMYFUNCTION("""COMPUTED_VALUE"""),34.0)</f>
        <v>34</v>
      </c>
      <c r="D924" s="8" t="str">
        <f>IFERROR(__xludf.DUMMYFUNCTION("""COMPUTED_VALUE"""),"Nice simple staple")</f>
        <v>Nice simple staple</v>
      </c>
      <c r="E924" s="8" t="str">
        <f>IFERROR(__xludf.DUMMYFUNCTION("""COMPUTED_VALUE"""),"I purchased this in the mauve color. beautiful color with tan skin for the summer, but also perfect for fall. the material is very thin but not sheer at all. has quite a bit of drape/swing to it so i sized up to make sure it was long enough. it fits me li"&amp;"ke it fits the model shown here. i am about 5'4"" 115lbs and 32b and am keeping the small.")</f>
        <v>I purchased this in the mauve color. beautiful color with tan skin for the summer, but also perfect for fall. the material is very thin but not sheer at all. has quite a bit of drape/swing to it so i sized up to make sure it was long enough. it fits me like it fits the model shown here. i am about 5'4" 115lbs and 32b and am keeping the small.</v>
      </c>
      <c r="F924" s="8">
        <f>IFERROR(__xludf.DUMMYFUNCTION("""COMPUTED_VALUE"""),5.0)</f>
        <v>5</v>
      </c>
      <c r="G924" s="8">
        <f>IFERROR(__xludf.DUMMYFUNCTION("""COMPUTED_VALUE"""),1.0)</f>
        <v>1</v>
      </c>
      <c r="H924" s="8">
        <f>IFERROR(__xludf.DUMMYFUNCTION("""COMPUTED_VALUE"""),2.0)</f>
        <v>2</v>
      </c>
      <c r="I924" s="8" t="str">
        <f>IFERROR(__xludf.DUMMYFUNCTION("""COMPUTED_VALUE"""),"General")</f>
        <v>General</v>
      </c>
      <c r="J924" s="8" t="str">
        <f>IFERROR(__xludf.DUMMYFUNCTION("""COMPUTED_VALUE"""),"Tops")</f>
        <v>Tops</v>
      </c>
      <c r="K924" s="8" t="str">
        <f>IFERROR(__xludf.DUMMYFUNCTION("""COMPUTED_VALUE"""),"Knits")</f>
        <v>Knits</v>
      </c>
    </row>
    <row r="925">
      <c r="A925" s="8">
        <f>IFERROR(__xludf.DUMMYFUNCTION("""COMPUTED_VALUE"""),1213.0)</f>
        <v>1213</v>
      </c>
      <c r="B925" s="8">
        <f>IFERROR(__xludf.DUMMYFUNCTION("""COMPUTED_VALUE"""),1094.0)</f>
        <v>1094</v>
      </c>
      <c r="C925" s="8">
        <f>IFERROR(__xludf.DUMMYFUNCTION("""COMPUTED_VALUE"""),42.0)</f>
        <v>42</v>
      </c>
      <c r="D925" s="8" t="str">
        <f>IFERROR(__xludf.DUMMYFUNCTION("""COMPUTED_VALUE"""),"Flowy and flirty for summer flings")</f>
        <v>Flowy and flirty for summer flings</v>
      </c>
      <c r="E925" s="8" t="str">
        <f>IFERROR(__xludf.DUMMYFUNCTION("""COMPUTED_VALUE"""),"I originally ordered this in green, and unlike another reviewer, i thought the color was perfect for spring. it is trendy, flattering and fun in green, but perhaps not a color i would wear long-term, so i decided to return it and order it in red and black"&amp;". i also noted the boxy cut, and if that is what you want, it runs true to size. however, if, like me, you want something a little more form fitting, consider ordering down a size or two (depending on your chest size,) and just carefully shimmy")</f>
        <v>I originally ordered this in green, and unlike another reviewer, i thought the color was perfect for spring. it is trendy, flattering and fun in green, but perhaps not a color i would wear long-term, so i decided to return it and order it in red and black. i also noted the boxy cut, and if that is what you want, it runs true to size. however, if, like me, you want something a little more form fitting, consider ordering down a size or two (depending on your chest size,) and just carefully shimmy</v>
      </c>
      <c r="F925" s="8">
        <f>IFERROR(__xludf.DUMMYFUNCTION("""COMPUTED_VALUE"""),5.0)</f>
        <v>5</v>
      </c>
      <c r="G925" s="8">
        <f>IFERROR(__xludf.DUMMYFUNCTION("""COMPUTED_VALUE"""),1.0)</f>
        <v>1</v>
      </c>
      <c r="H925" s="8">
        <f>IFERROR(__xludf.DUMMYFUNCTION("""COMPUTED_VALUE"""),0.0)</f>
        <v>0</v>
      </c>
      <c r="I925" s="8" t="str">
        <f>IFERROR(__xludf.DUMMYFUNCTION("""COMPUTED_VALUE"""),"General")</f>
        <v>General</v>
      </c>
      <c r="J925" s="8" t="str">
        <f>IFERROR(__xludf.DUMMYFUNCTION("""COMPUTED_VALUE"""),"Dresses")</f>
        <v>Dresses</v>
      </c>
      <c r="K925" s="8" t="str">
        <f>IFERROR(__xludf.DUMMYFUNCTION("""COMPUTED_VALUE"""),"Dresses")</f>
        <v>Dresses</v>
      </c>
    </row>
    <row r="926">
      <c r="A926" s="8">
        <f>IFERROR(__xludf.DUMMYFUNCTION("""COMPUTED_VALUE"""),1216.0)</f>
        <v>1216</v>
      </c>
      <c r="B926" s="8">
        <f>IFERROR(__xludf.DUMMYFUNCTION("""COMPUTED_VALUE"""),1028.0)</f>
        <v>1028</v>
      </c>
      <c r="C926" s="8">
        <f>IFERROR(__xludf.DUMMYFUNCTION("""COMPUTED_VALUE"""),44.0)</f>
        <v>44</v>
      </c>
      <c r="D926" s="8" t="str">
        <f>IFERROR(__xludf.DUMMYFUNCTION("""COMPUTED_VALUE"""),"Love")</f>
        <v>Love</v>
      </c>
      <c r="E926" s="8" t="str">
        <f>IFERROR(__xludf.DUMMYFUNCTION("""COMPUTED_VALUE"""),"I tried these on at my local retailer, and was like, no way am i spending almost $300 on a pair of jeans. alas, i could not stop thinking about them. the pictures really don't do them justice. they are a more substantial jean, have a distressed look, with"&amp;"out being fragile. and yet they are so soft, so comfortable, you really just don't want to take them off. they do have a bit of stretch, but hold their shape all day long. the length and taper are perfect, in that you can wear them with boots, san")</f>
        <v>I tried these on at my local retailer, and was like, no way am i spending almost $300 on a pair of jeans. alas, i could not stop thinking about them. the pictures really don't do them justice. they are a more substantial jean, have a distressed look, without being fragile. and yet they are so soft, so comfortable, you really just don't want to take them off. they do have a bit of stretch, but hold their shape all day long. the length and taper are perfect, in that you can wear them with boots, san</v>
      </c>
      <c r="F926" s="8">
        <f>IFERROR(__xludf.DUMMYFUNCTION("""COMPUTED_VALUE"""),5.0)</f>
        <v>5</v>
      </c>
      <c r="G926" s="8">
        <f>IFERROR(__xludf.DUMMYFUNCTION("""COMPUTED_VALUE"""),1.0)</f>
        <v>1</v>
      </c>
      <c r="H926" s="8">
        <f>IFERROR(__xludf.DUMMYFUNCTION("""COMPUTED_VALUE"""),3.0)</f>
        <v>3</v>
      </c>
      <c r="I926" s="8" t="str">
        <f>IFERROR(__xludf.DUMMYFUNCTION("""COMPUTED_VALUE"""),"General")</f>
        <v>General</v>
      </c>
      <c r="J926" s="8" t="str">
        <f>IFERROR(__xludf.DUMMYFUNCTION("""COMPUTED_VALUE"""),"Bottoms")</f>
        <v>Bottoms</v>
      </c>
      <c r="K926" s="8" t="str">
        <f>IFERROR(__xludf.DUMMYFUNCTION("""COMPUTED_VALUE"""),"Jeans")</f>
        <v>Jeans</v>
      </c>
    </row>
    <row r="927">
      <c r="A927" s="8">
        <f>IFERROR(__xludf.DUMMYFUNCTION("""COMPUTED_VALUE"""),1217.0)</f>
        <v>1217</v>
      </c>
      <c r="B927" s="8">
        <f>IFERROR(__xludf.DUMMYFUNCTION("""COMPUTED_VALUE"""),1095.0)</f>
        <v>1095</v>
      </c>
      <c r="C927" s="8">
        <f>IFERROR(__xludf.DUMMYFUNCTION("""COMPUTED_VALUE"""),37.0)</f>
        <v>37</v>
      </c>
      <c r="D927" s="8" t="str">
        <f>IFERROR(__xludf.DUMMYFUNCTION("""COMPUTED_VALUE"""),"Pretty, comfy, casual, dressy")</f>
        <v>Pretty, comfy, casual, dressy</v>
      </c>
      <c r="E927" s="8" t="str">
        <f>IFERROR(__xludf.DUMMYFUNCTION("""COMPUTED_VALUE"""),"I love this dress, i disagree with the review saying it was too sheer. this is a thicker material and doesnt need a slip, it is beautiful and is so comfy. it looks good with heels or sandals. i definately recommend this dress, it would look good on any bo"&amp;"dy type.")</f>
        <v>I love this dress, i disagree with the review saying it was too sheer. this is a thicker material and doesnt need a slip, it is beautiful and is so comfy. it looks good with heels or sandals. i definately recommend this dress, it would look good on any body type.</v>
      </c>
      <c r="F927" s="8">
        <f>IFERROR(__xludf.DUMMYFUNCTION("""COMPUTED_VALUE"""),5.0)</f>
        <v>5</v>
      </c>
      <c r="G927" s="8">
        <f>IFERROR(__xludf.DUMMYFUNCTION("""COMPUTED_VALUE"""),1.0)</f>
        <v>1</v>
      </c>
      <c r="H927" s="8">
        <f>IFERROR(__xludf.DUMMYFUNCTION("""COMPUTED_VALUE"""),0.0)</f>
        <v>0</v>
      </c>
      <c r="I927" s="8" t="str">
        <f>IFERROR(__xludf.DUMMYFUNCTION("""COMPUTED_VALUE"""),"General")</f>
        <v>General</v>
      </c>
      <c r="J927" s="8" t="str">
        <f>IFERROR(__xludf.DUMMYFUNCTION("""COMPUTED_VALUE"""),"Dresses")</f>
        <v>Dresses</v>
      </c>
      <c r="K927" s="8" t="str">
        <f>IFERROR(__xludf.DUMMYFUNCTION("""COMPUTED_VALUE"""),"Dresses")</f>
        <v>Dresses</v>
      </c>
    </row>
    <row r="928">
      <c r="A928" s="8">
        <f>IFERROR(__xludf.DUMMYFUNCTION("""COMPUTED_VALUE"""),1218.0)</f>
        <v>1218</v>
      </c>
      <c r="B928" s="8">
        <f>IFERROR(__xludf.DUMMYFUNCTION("""COMPUTED_VALUE"""),850.0)</f>
        <v>850</v>
      </c>
      <c r="C928" s="8">
        <f>IFERROR(__xludf.DUMMYFUNCTION("""COMPUTED_VALUE"""),30.0)</f>
        <v>30</v>
      </c>
      <c r="D928" s="8" t="str">
        <f>IFERROR(__xludf.DUMMYFUNCTION("""COMPUTED_VALUE"""),"Cute top!")</f>
        <v>Cute top!</v>
      </c>
      <c r="E928" s="8" t="str">
        <f>IFERROR(__xludf.DUMMYFUNCTION("""COMPUTED_VALUE"""),"This top is cute and could be worn to work or casually. being tall, i love how long this shirt is! definitely recommend!")</f>
        <v>This top is cute and could be worn to work or casually. being tall, i love how long this shirt is! definitely recommend!</v>
      </c>
      <c r="F928" s="8">
        <f>IFERROR(__xludf.DUMMYFUNCTION("""COMPUTED_VALUE"""),5.0)</f>
        <v>5</v>
      </c>
      <c r="G928" s="8">
        <f>IFERROR(__xludf.DUMMYFUNCTION("""COMPUTED_VALUE"""),1.0)</f>
        <v>1</v>
      </c>
      <c r="H928" s="8">
        <f>IFERROR(__xludf.DUMMYFUNCTION("""COMPUTED_VALUE"""),0.0)</f>
        <v>0</v>
      </c>
      <c r="I928" s="8" t="str">
        <f>IFERROR(__xludf.DUMMYFUNCTION("""COMPUTED_VALUE"""),"General Petite")</f>
        <v>General Petite</v>
      </c>
      <c r="J928" s="8" t="str">
        <f>IFERROR(__xludf.DUMMYFUNCTION("""COMPUTED_VALUE"""),"Tops")</f>
        <v>Tops</v>
      </c>
      <c r="K928" s="8" t="str">
        <f>IFERROR(__xludf.DUMMYFUNCTION("""COMPUTED_VALUE"""),"Blouses")</f>
        <v>Blouses</v>
      </c>
    </row>
    <row r="929">
      <c r="A929" s="8">
        <f>IFERROR(__xludf.DUMMYFUNCTION("""COMPUTED_VALUE"""),1219.0)</f>
        <v>1219</v>
      </c>
      <c r="B929" s="8">
        <f>IFERROR(__xludf.DUMMYFUNCTION("""COMPUTED_VALUE"""),850.0)</f>
        <v>850</v>
      </c>
      <c r="C929" s="8">
        <f>IFERROR(__xludf.DUMMYFUNCTION("""COMPUTED_VALUE"""),44.0)</f>
        <v>44</v>
      </c>
      <c r="D929" s="8" t="str">
        <f>IFERROR(__xludf.DUMMYFUNCTION("""COMPUTED_VALUE"""),"Flattering")</f>
        <v>Flattering</v>
      </c>
      <c r="E929" s="8" t="str">
        <f>IFERROR(__xludf.DUMMYFUNCTION("""COMPUTED_VALUE"""),"I purchased the gorgeous green color. i love that i can wear this with leggings and sandals in warm weather or boots and scarves when it's cooler outside. the best thing is that it has pockets to slip my phone in! the color is very flattering and i get lo"&amp;"ts of compliments when i wear it!")</f>
        <v>I purchased the gorgeous green color. i love that i can wear this with leggings and sandals in warm weather or boots and scarves when it's cooler outside. the best thing is that it has pockets to slip my phone in! the color is very flattering and i get lots of compliments when i wear it!</v>
      </c>
      <c r="F929" s="8">
        <f>IFERROR(__xludf.DUMMYFUNCTION("""COMPUTED_VALUE"""),5.0)</f>
        <v>5</v>
      </c>
      <c r="G929" s="8">
        <f>IFERROR(__xludf.DUMMYFUNCTION("""COMPUTED_VALUE"""),1.0)</f>
        <v>1</v>
      </c>
      <c r="H929" s="8">
        <f>IFERROR(__xludf.DUMMYFUNCTION("""COMPUTED_VALUE"""),0.0)</f>
        <v>0</v>
      </c>
      <c r="I929" s="8" t="str">
        <f>IFERROR(__xludf.DUMMYFUNCTION("""COMPUTED_VALUE"""),"General Petite")</f>
        <v>General Petite</v>
      </c>
      <c r="J929" s="8" t="str">
        <f>IFERROR(__xludf.DUMMYFUNCTION("""COMPUTED_VALUE"""),"Tops")</f>
        <v>Tops</v>
      </c>
      <c r="K929" s="8" t="str">
        <f>IFERROR(__xludf.DUMMYFUNCTION("""COMPUTED_VALUE"""),"Blouses")</f>
        <v>Blouses</v>
      </c>
    </row>
    <row r="930">
      <c r="A930" s="8">
        <f>IFERROR(__xludf.DUMMYFUNCTION("""COMPUTED_VALUE"""),1220.0)</f>
        <v>1220</v>
      </c>
      <c r="B930" s="8">
        <f>IFERROR(__xludf.DUMMYFUNCTION("""COMPUTED_VALUE"""),850.0)</f>
        <v>850</v>
      </c>
      <c r="C930" s="8">
        <f>IFERROR(__xludf.DUMMYFUNCTION("""COMPUTED_VALUE"""),59.0)</f>
        <v>59</v>
      </c>
      <c r="D930" s="8"/>
      <c r="E930" s="8" t="str">
        <f>IFERROR(__xludf.DUMMYFUNCTION("""COMPUTED_VALUE"""),"I bought the blue pattern and really have found this print to be very fun and flattering and the tunic style great for work and play. highly recommend!!!")</f>
        <v>I bought the blue pattern and really have found this print to be very fun and flattering and the tunic style great for work and play. highly recommend!!!</v>
      </c>
      <c r="F930" s="8">
        <f>IFERROR(__xludf.DUMMYFUNCTION("""COMPUTED_VALUE"""),5.0)</f>
        <v>5</v>
      </c>
      <c r="G930" s="8">
        <f>IFERROR(__xludf.DUMMYFUNCTION("""COMPUTED_VALUE"""),1.0)</f>
        <v>1</v>
      </c>
      <c r="H930" s="8">
        <f>IFERROR(__xludf.DUMMYFUNCTION("""COMPUTED_VALUE"""),2.0)</f>
        <v>2</v>
      </c>
      <c r="I930" s="8" t="str">
        <f>IFERROR(__xludf.DUMMYFUNCTION("""COMPUTED_VALUE"""),"General Petite")</f>
        <v>General Petite</v>
      </c>
      <c r="J930" s="8" t="str">
        <f>IFERROR(__xludf.DUMMYFUNCTION("""COMPUTED_VALUE"""),"Tops")</f>
        <v>Tops</v>
      </c>
      <c r="K930" s="8" t="str">
        <f>IFERROR(__xludf.DUMMYFUNCTION("""COMPUTED_VALUE"""),"Blouses")</f>
        <v>Blouses</v>
      </c>
    </row>
    <row r="931">
      <c r="A931" s="8">
        <f>IFERROR(__xludf.DUMMYFUNCTION("""COMPUTED_VALUE"""),1222.0)</f>
        <v>1222</v>
      </c>
      <c r="B931" s="8">
        <f>IFERROR(__xludf.DUMMYFUNCTION("""COMPUTED_VALUE"""),940.0)</f>
        <v>940</v>
      </c>
      <c r="C931" s="8">
        <f>IFERROR(__xludf.DUMMYFUNCTION("""COMPUTED_VALUE"""),57.0)</f>
        <v>57</v>
      </c>
      <c r="D931" s="8" t="str">
        <f>IFERROR(__xludf.DUMMYFUNCTION("""COMPUTED_VALUE"""),"Bryson cowl")</f>
        <v>Bryson cowl</v>
      </c>
      <c r="E931" s="8" t="str">
        <f>IFERROR(__xludf.DUMMYFUNCTION("""COMPUTED_VALUE"""),"This is a beautiful sweater -- soft, lovely color and easy to wear. the current photo is more true to the length. i am 5'2"" and 128 pounds and ordered the regular sm and it fits just below my hips.")</f>
        <v>This is a beautiful sweater -- soft, lovely color and easy to wear. the current photo is more true to the length. i am 5'2" and 128 pounds and ordered the regular sm and it fits just below my hips.</v>
      </c>
      <c r="F931" s="8">
        <f>IFERROR(__xludf.DUMMYFUNCTION("""COMPUTED_VALUE"""),5.0)</f>
        <v>5</v>
      </c>
      <c r="G931" s="8">
        <f>IFERROR(__xludf.DUMMYFUNCTION("""COMPUTED_VALUE"""),1.0)</f>
        <v>1</v>
      </c>
      <c r="H931" s="8">
        <f>IFERROR(__xludf.DUMMYFUNCTION("""COMPUTED_VALUE"""),1.0)</f>
        <v>1</v>
      </c>
      <c r="I931" s="8" t="str">
        <f>IFERROR(__xludf.DUMMYFUNCTION("""COMPUTED_VALUE"""),"General Petite")</f>
        <v>General Petite</v>
      </c>
      <c r="J931" s="8" t="str">
        <f>IFERROR(__xludf.DUMMYFUNCTION("""COMPUTED_VALUE"""),"Tops")</f>
        <v>Tops</v>
      </c>
      <c r="K931" s="8" t="str">
        <f>IFERROR(__xludf.DUMMYFUNCTION("""COMPUTED_VALUE"""),"Sweaters")</f>
        <v>Sweaters</v>
      </c>
    </row>
    <row r="932">
      <c r="A932" s="8">
        <f>IFERROR(__xludf.DUMMYFUNCTION("""COMPUTED_VALUE"""),1224.0)</f>
        <v>1224</v>
      </c>
      <c r="B932" s="8">
        <f>IFERROR(__xludf.DUMMYFUNCTION("""COMPUTED_VALUE"""),1028.0)</f>
        <v>1028</v>
      </c>
      <c r="C932" s="8">
        <f>IFERROR(__xludf.DUMMYFUNCTION("""COMPUTED_VALUE"""),40.0)</f>
        <v>40</v>
      </c>
      <c r="D932" s="8" t="str">
        <f>IFERROR(__xludf.DUMMYFUNCTION("""COMPUTED_VALUE"""),"Amazing fit and wash")</f>
        <v>Amazing fit and wash</v>
      </c>
      <c r="E932" s="8" t="str">
        <f>IFERROR(__xludf.DUMMYFUNCTION("""COMPUTED_VALUE"""),"Like other reviewers i was hesitant to spend this much on a pair of jeans. however, i purchased them at  20% off on retailer day and...honestly...they look so good i probably would have paid full price. these jeans are fresh!")</f>
        <v>Like other reviewers i was hesitant to spend this much on a pair of jeans. however, i purchased them at  20% off on retailer day and...honestly...they look so good i probably would have paid full price. these jeans are fresh!</v>
      </c>
      <c r="F932" s="8">
        <f>IFERROR(__xludf.DUMMYFUNCTION("""COMPUTED_VALUE"""),5.0)</f>
        <v>5</v>
      </c>
      <c r="G932" s="8">
        <f>IFERROR(__xludf.DUMMYFUNCTION("""COMPUTED_VALUE"""),1.0)</f>
        <v>1</v>
      </c>
      <c r="H932" s="8">
        <f>IFERROR(__xludf.DUMMYFUNCTION("""COMPUTED_VALUE"""),0.0)</f>
        <v>0</v>
      </c>
      <c r="I932" s="8" t="str">
        <f>IFERROR(__xludf.DUMMYFUNCTION("""COMPUTED_VALUE"""),"General")</f>
        <v>General</v>
      </c>
      <c r="J932" s="8" t="str">
        <f>IFERROR(__xludf.DUMMYFUNCTION("""COMPUTED_VALUE"""),"Bottoms")</f>
        <v>Bottoms</v>
      </c>
      <c r="K932" s="8" t="str">
        <f>IFERROR(__xludf.DUMMYFUNCTION("""COMPUTED_VALUE"""),"Jeans")</f>
        <v>Jeans</v>
      </c>
    </row>
    <row r="933">
      <c r="A933" s="8">
        <f>IFERROR(__xludf.DUMMYFUNCTION("""COMPUTED_VALUE"""),1225.0)</f>
        <v>1225</v>
      </c>
      <c r="B933" s="8">
        <f>IFERROR(__xludf.DUMMYFUNCTION("""COMPUTED_VALUE"""),1095.0)</f>
        <v>1095</v>
      </c>
      <c r="C933" s="8">
        <f>IFERROR(__xludf.DUMMYFUNCTION("""COMPUTED_VALUE"""),42.0)</f>
        <v>42</v>
      </c>
      <c r="D933" s="8" t="str">
        <f>IFERROR(__xludf.DUMMYFUNCTION("""COMPUTED_VALUE"""),"Elegant and comfortable")</f>
        <v>Elegant and comfortable</v>
      </c>
      <c r="E933" s="8" t="str">
        <f>IFERROR(__xludf.DUMMYFUNCTION("""COMPUTED_VALUE"""),"After reading the reviews, i ordered this dress in an xs and sp. i'm 5' 3"" and 120 lbs. the xs was too long and too big on the bottom while being too tight in the chest. the sp fits perfectly. i'm wearing this to a wedding and know that i will get lots o"&amp;"f use out of it for many different occasions.")</f>
        <v>After reading the reviews, i ordered this dress in an xs and sp. i'm 5' 3" and 120 lbs. the xs was too long and too big on the bottom while being too tight in the chest. the sp fits perfectly. i'm wearing this to a wedding and know that i will get lots of use out of it for many different occasions.</v>
      </c>
      <c r="F933" s="8">
        <f>IFERROR(__xludf.DUMMYFUNCTION("""COMPUTED_VALUE"""),5.0)</f>
        <v>5</v>
      </c>
      <c r="G933" s="8">
        <f>IFERROR(__xludf.DUMMYFUNCTION("""COMPUTED_VALUE"""),1.0)</f>
        <v>1</v>
      </c>
      <c r="H933" s="8">
        <f>IFERROR(__xludf.DUMMYFUNCTION("""COMPUTED_VALUE"""),0.0)</f>
        <v>0</v>
      </c>
      <c r="I933" s="8" t="str">
        <f>IFERROR(__xludf.DUMMYFUNCTION("""COMPUTED_VALUE"""),"General")</f>
        <v>General</v>
      </c>
      <c r="J933" s="8" t="str">
        <f>IFERROR(__xludf.DUMMYFUNCTION("""COMPUTED_VALUE"""),"Dresses")</f>
        <v>Dresses</v>
      </c>
      <c r="K933" s="8" t="str">
        <f>IFERROR(__xludf.DUMMYFUNCTION("""COMPUTED_VALUE"""),"Dresses")</f>
        <v>Dresses</v>
      </c>
    </row>
    <row r="934">
      <c r="A934" s="8">
        <f>IFERROR(__xludf.DUMMYFUNCTION("""COMPUTED_VALUE"""),1226.0)</f>
        <v>1226</v>
      </c>
      <c r="B934" s="8">
        <f>IFERROR(__xludf.DUMMYFUNCTION("""COMPUTED_VALUE"""),868.0)</f>
        <v>868</v>
      </c>
      <c r="C934" s="8">
        <f>IFERROR(__xludf.DUMMYFUNCTION("""COMPUTED_VALUE"""),59.0)</f>
        <v>59</v>
      </c>
      <c r="D934" s="8" t="str">
        <f>IFERROR(__xludf.DUMMYFUNCTION("""COMPUTED_VALUE"""),"So cute!")</f>
        <v>So cute!</v>
      </c>
      <c r="E934" s="8" t="str">
        <f>IFERROR(__xludf.DUMMYFUNCTION("""COMPUTED_VALUE"""),"I always look for things to hide ""parts"" without making my ""parts"" look even more pronounced. this top is much cuter in person than online. it has floral edging around the neck and lace up area i didn't notice. the length is perfect, the sleeve length"&amp;" is perfect and it makes me feel thin (even though it has stripes!). perfect spring summer top.")</f>
        <v>I always look for things to hide "parts" without making my "parts" look even more pronounced. this top is much cuter in person than online. it has floral edging around the neck and lace up area i didn't notice. the length is perfect, the sleeve length is perfect and it makes me feel thin (even though it has stripes!). perfect spring summer top.</v>
      </c>
      <c r="F934" s="8">
        <f>IFERROR(__xludf.DUMMYFUNCTION("""COMPUTED_VALUE"""),5.0)</f>
        <v>5</v>
      </c>
      <c r="G934" s="8">
        <f>IFERROR(__xludf.DUMMYFUNCTION("""COMPUTED_VALUE"""),1.0)</f>
        <v>1</v>
      </c>
      <c r="H934" s="8">
        <f>IFERROR(__xludf.DUMMYFUNCTION("""COMPUTED_VALUE"""),16.0)</f>
        <v>16</v>
      </c>
      <c r="I934" s="8" t="str">
        <f>IFERROR(__xludf.DUMMYFUNCTION("""COMPUTED_VALUE"""),"General")</f>
        <v>General</v>
      </c>
      <c r="J934" s="8" t="str">
        <f>IFERROR(__xludf.DUMMYFUNCTION("""COMPUTED_VALUE"""),"Tops")</f>
        <v>Tops</v>
      </c>
      <c r="K934" s="8" t="str">
        <f>IFERROR(__xludf.DUMMYFUNCTION("""COMPUTED_VALUE"""),"Knits")</f>
        <v>Knits</v>
      </c>
    </row>
    <row r="935">
      <c r="A935" s="8">
        <f>IFERROR(__xludf.DUMMYFUNCTION("""COMPUTED_VALUE"""),1227.0)</f>
        <v>1227</v>
      </c>
      <c r="B935" s="8">
        <f>IFERROR(__xludf.DUMMYFUNCTION("""COMPUTED_VALUE"""),1095.0)</f>
        <v>1095</v>
      </c>
      <c r="C935" s="8">
        <f>IFERROR(__xludf.DUMMYFUNCTION("""COMPUTED_VALUE"""),31.0)</f>
        <v>31</v>
      </c>
      <c r="D935" s="8" t="str">
        <f>IFERROR(__xludf.DUMMYFUNCTION("""COMPUTED_VALUE"""),"Great buy!")</f>
        <v>Great buy!</v>
      </c>
      <c r="E935" s="8" t="str">
        <f>IFERROR(__xludf.DUMMYFUNCTION("""COMPUTED_VALUE"""),"Fit is true to size but keep in mind this dress has a ""box-like"" fit. i am debating whether to have mine taken in a little under the arms.
the material isn't what i expected but i still love it. the dress has a more textured/thick fabric instead of the "&amp;"light, somewhat silky fabric that the photo portrays.
i am very happy with the color!")</f>
        <v>Fit is true to size but keep in mind this dress has a "box-like" fit. i am debating whether to have mine taken in a little under the arms.
the material isn't what i expected but i still love it. the dress has a more textured/thick fabric instead of the light, somewhat silky fabric that the photo portrays.
i am very happy with the color!</v>
      </c>
      <c r="F935" s="8">
        <f>IFERROR(__xludf.DUMMYFUNCTION("""COMPUTED_VALUE"""),4.0)</f>
        <v>4</v>
      </c>
      <c r="G935" s="8">
        <f>IFERROR(__xludf.DUMMYFUNCTION("""COMPUTED_VALUE"""),1.0)</f>
        <v>1</v>
      </c>
      <c r="H935" s="8">
        <f>IFERROR(__xludf.DUMMYFUNCTION("""COMPUTED_VALUE"""),9.0)</f>
        <v>9</v>
      </c>
      <c r="I935" s="8" t="str">
        <f>IFERROR(__xludf.DUMMYFUNCTION("""COMPUTED_VALUE"""),"General")</f>
        <v>General</v>
      </c>
      <c r="J935" s="8" t="str">
        <f>IFERROR(__xludf.DUMMYFUNCTION("""COMPUTED_VALUE"""),"Dresses")</f>
        <v>Dresses</v>
      </c>
      <c r="K935" s="8" t="str">
        <f>IFERROR(__xludf.DUMMYFUNCTION("""COMPUTED_VALUE"""),"Dresses")</f>
        <v>Dresses</v>
      </c>
    </row>
    <row r="936">
      <c r="A936" s="8">
        <f>IFERROR(__xludf.DUMMYFUNCTION("""COMPUTED_VALUE"""),1228.0)</f>
        <v>1228</v>
      </c>
      <c r="B936" s="8">
        <f>IFERROR(__xludf.DUMMYFUNCTION("""COMPUTED_VALUE"""),850.0)</f>
        <v>850</v>
      </c>
      <c r="C936" s="8">
        <f>IFERROR(__xludf.DUMMYFUNCTION("""COMPUTED_VALUE"""),62.0)</f>
        <v>62</v>
      </c>
      <c r="D936" s="8" t="str">
        <f>IFERROR(__xludf.DUMMYFUNCTION("""COMPUTED_VALUE"""),"Bought in 2 patterns!")</f>
        <v>Bought in 2 patterns!</v>
      </c>
      <c r="E936" s="8" t="str">
        <f>IFERROR(__xludf.DUMMYFUNCTION("""COMPUTED_VALUE"""),"This shirt is easy, breezy, comfy, and stylish - everything i want as a busy mom. all the patterns are beautiful it i went with the blue motif as well as the floral print because they felt fun and easy to wear with jeans or white pants. this definitely fi"&amp;"t a full size large for me. i tried my usual s plus xs thinking the shoulders might be too tight, but the xs was perfect. happy to have this beauty in the rotation!")</f>
        <v>This shirt is easy, breezy, comfy, and stylish - everything i want as a busy mom. all the patterns are beautiful it i went with the blue motif as well as the floral print because they felt fun and easy to wear with jeans or white pants. this definitely fit a full size large for me. i tried my usual s plus xs thinking the shoulders might be too tight, but the xs was perfect. happy to have this beauty in the rotation!</v>
      </c>
      <c r="F936" s="8">
        <f>IFERROR(__xludf.DUMMYFUNCTION("""COMPUTED_VALUE"""),5.0)</f>
        <v>5</v>
      </c>
      <c r="G936" s="8">
        <f>IFERROR(__xludf.DUMMYFUNCTION("""COMPUTED_VALUE"""),1.0)</f>
        <v>1</v>
      </c>
      <c r="H936" s="8">
        <f>IFERROR(__xludf.DUMMYFUNCTION("""COMPUTED_VALUE"""),1.0)</f>
        <v>1</v>
      </c>
      <c r="I936" s="8" t="str">
        <f>IFERROR(__xludf.DUMMYFUNCTION("""COMPUTED_VALUE"""),"General Petite")</f>
        <v>General Petite</v>
      </c>
      <c r="J936" s="8" t="str">
        <f>IFERROR(__xludf.DUMMYFUNCTION("""COMPUTED_VALUE"""),"Tops")</f>
        <v>Tops</v>
      </c>
      <c r="K936" s="8" t="str">
        <f>IFERROR(__xludf.DUMMYFUNCTION("""COMPUTED_VALUE"""),"Blouses")</f>
        <v>Blouses</v>
      </c>
    </row>
    <row r="937">
      <c r="A937" s="8">
        <f>IFERROR(__xludf.DUMMYFUNCTION("""COMPUTED_VALUE"""),1230.0)</f>
        <v>1230</v>
      </c>
      <c r="B937" s="8">
        <f>IFERROR(__xludf.DUMMYFUNCTION("""COMPUTED_VALUE"""),1028.0)</f>
        <v>1028</v>
      </c>
      <c r="C937" s="8">
        <f>IFERROR(__xludf.DUMMYFUNCTION("""COMPUTED_VALUE"""),38.0)</f>
        <v>38</v>
      </c>
      <c r="D937" s="8"/>
      <c r="E937" s="8" t="str">
        <f>IFERROR(__xludf.DUMMYFUNCTION("""COMPUTED_VALUE"""),"This is my first pair of realllly expensive jeans, and they were worth every penny. i love the fit, the distressing, everything about them. they make me feel like i look amazing, which is what good jeans should do! i wear a 31 in pilcro jeans, but based o"&amp;"n some reviews went up to a 32 in these and they are perfect. also, i'm 5'6 but the crop length hits at my ankle, which is perfect.")</f>
        <v>This is my first pair of realllly expensive jeans, and they were worth every penny. i love the fit, the distressing, everything about them. they make me feel like i look amazing, which is what good jeans should do! i wear a 31 in pilcro jeans, but based on some reviews went up to a 32 in these and they are perfect. also, i'm 5'6 but the crop length hits at my ankle, which is perfect.</v>
      </c>
      <c r="F937" s="8">
        <f>IFERROR(__xludf.DUMMYFUNCTION("""COMPUTED_VALUE"""),5.0)</f>
        <v>5</v>
      </c>
      <c r="G937" s="8">
        <f>IFERROR(__xludf.DUMMYFUNCTION("""COMPUTED_VALUE"""),1.0)</f>
        <v>1</v>
      </c>
      <c r="H937" s="8">
        <f>IFERROR(__xludf.DUMMYFUNCTION("""COMPUTED_VALUE"""),1.0)</f>
        <v>1</v>
      </c>
      <c r="I937" s="8" t="str">
        <f>IFERROR(__xludf.DUMMYFUNCTION("""COMPUTED_VALUE"""),"General")</f>
        <v>General</v>
      </c>
      <c r="J937" s="8" t="str">
        <f>IFERROR(__xludf.DUMMYFUNCTION("""COMPUTED_VALUE"""),"Bottoms")</f>
        <v>Bottoms</v>
      </c>
      <c r="K937" s="8" t="str">
        <f>IFERROR(__xludf.DUMMYFUNCTION("""COMPUTED_VALUE"""),"Jeans")</f>
        <v>Jeans</v>
      </c>
    </row>
    <row r="938">
      <c r="A938" s="8">
        <f>IFERROR(__xludf.DUMMYFUNCTION("""COMPUTED_VALUE"""),1231.0)</f>
        <v>1231</v>
      </c>
      <c r="B938" s="8">
        <f>IFERROR(__xludf.DUMMYFUNCTION("""COMPUTED_VALUE"""),1055.0)</f>
        <v>1055</v>
      </c>
      <c r="C938" s="8">
        <f>IFERROR(__xludf.DUMMYFUNCTION("""COMPUTED_VALUE"""),38.0)</f>
        <v>38</v>
      </c>
      <c r="D938" s="8" t="str">
        <f>IFERROR(__xludf.DUMMYFUNCTION("""COMPUTED_VALUE"""),"Cute with some adjustments")</f>
        <v>Cute with some adjustments</v>
      </c>
      <c r="E938" s="8" t="str">
        <f>IFERROR(__xludf.DUMMYFUNCTION("""COMPUTED_VALUE"""),"Shortened it to knee length and it was perfect. material is soft. comfortable to wear. can be paired with wedges or pumps or flats. fits true to size.")</f>
        <v>Shortened it to knee length and it was perfect. material is soft. comfortable to wear. can be paired with wedges or pumps or flats. fits true to size.</v>
      </c>
      <c r="F938" s="8">
        <f>IFERROR(__xludf.DUMMYFUNCTION("""COMPUTED_VALUE"""),5.0)</f>
        <v>5</v>
      </c>
      <c r="G938" s="8">
        <f>IFERROR(__xludf.DUMMYFUNCTION("""COMPUTED_VALUE"""),1.0)</f>
        <v>1</v>
      </c>
      <c r="H938" s="8">
        <f>IFERROR(__xludf.DUMMYFUNCTION("""COMPUTED_VALUE"""),0.0)</f>
        <v>0</v>
      </c>
      <c r="I938" s="8" t="str">
        <f>IFERROR(__xludf.DUMMYFUNCTION("""COMPUTED_VALUE"""),"General Petite")</f>
        <v>General Petite</v>
      </c>
      <c r="J938" s="8" t="str">
        <f>IFERROR(__xludf.DUMMYFUNCTION("""COMPUTED_VALUE"""),"Bottoms")</f>
        <v>Bottoms</v>
      </c>
      <c r="K938" s="8" t="str">
        <f>IFERROR(__xludf.DUMMYFUNCTION("""COMPUTED_VALUE"""),"Pants")</f>
        <v>Pants</v>
      </c>
    </row>
    <row r="939">
      <c r="A939" s="8">
        <f>IFERROR(__xludf.DUMMYFUNCTION("""COMPUTED_VALUE"""),1232.0)</f>
        <v>1232</v>
      </c>
      <c r="B939" s="8">
        <f>IFERROR(__xludf.DUMMYFUNCTION("""COMPUTED_VALUE"""),850.0)</f>
        <v>850</v>
      </c>
      <c r="C939" s="8">
        <f>IFERROR(__xludf.DUMMYFUNCTION("""COMPUTED_VALUE"""),20.0)</f>
        <v>20</v>
      </c>
      <c r="D939" s="8"/>
      <c r="E939" s="8" t="str">
        <f>IFERROR(__xludf.DUMMYFUNCTION("""COMPUTED_VALUE"""),"Super cute and flattering shirt, the long tunic-style makes it so you can dress it up or down, so cute and comfy!")</f>
        <v>Super cute and flattering shirt, the long tunic-style makes it so you can dress it up or down, so cute and comfy!</v>
      </c>
      <c r="F939" s="8">
        <f>IFERROR(__xludf.DUMMYFUNCTION("""COMPUTED_VALUE"""),4.0)</f>
        <v>4</v>
      </c>
      <c r="G939" s="8">
        <f>IFERROR(__xludf.DUMMYFUNCTION("""COMPUTED_VALUE"""),1.0)</f>
        <v>1</v>
      </c>
      <c r="H939" s="8">
        <f>IFERROR(__xludf.DUMMYFUNCTION("""COMPUTED_VALUE"""),0.0)</f>
        <v>0</v>
      </c>
      <c r="I939" s="8" t="str">
        <f>IFERROR(__xludf.DUMMYFUNCTION("""COMPUTED_VALUE"""),"General Petite")</f>
        <v>General Petite</v>
      </c>
      <c r="J939" s="8" t="str">
        <f>IFERROR(__xludf.DUMMYFUNCTION("""COMPUTED_VALUE"""),"Tops")</f>
        <v>Tops</v>
      </c>
      <c r="K939" s="8" t="str">
        <f>IFERROR(__xludf.DUMMYFUNCTION("""COMPUTED_VALUE"""),"Blouses")</f>
        <v>Blouses</v>
      </c>
    </row>
    <row r="940">
      <c r="A940" s="8">
        <f>IFERROR(__xludf.DUMMYFUNCTION("""COMPUTED_VALUE"""),1234.0)</f>
        <v>1234</v>
      </c>
      <c r="B940" s="8">
        <f>IFERROR(__xludf.DUMMYFUNCTION("""COMPUTED_VALUE"""),850.0)</f>
        <v>850</v>
      </c>
      <c r="C940" s="8">
        <f>IFERROR(__xludf.DUMMYFUNCTION("""COMPUTED_VALUE"""),33.0)</f>
        <v>33</v>
      </c>
      <c r="D940" s="8" t="str">
        <f>IFERROR(__xludf.DUMMYFUNCTION("""COMPUTED_VALUE"""),"Go to summer top!")</f>
        <v>Go to summer top!</v>
      </c>
      <c r="E940" s="8" t="str">
        <f>IFERROR(__xludf.DUMMYFUNCTION("""COMPUTED_VALUE"""),"This shirt is just so easy breezy! i got the blue motif and love the pattern. the top is loose but it's supposed to fit that way. i have a feeling this will be my go to for the spring summer! i'm about 136lbs and ordered a small.")</f>
        <v>This shirt is just so easy breezy! i got the blue motif and love the pattern. the top is loose but it's supposed to fit that way. i have a feeling this will be my go to for the spring summer! i'm about 136lbs and ordered a small.</v>
      </c>
      <c r="F940" s="8">
        <f>IFERROR(__xludf.DUMMYFUNCTION("""COMPUTED_VALUE"""),5.0)</f>
        <v>5</v>
      </c>
      <c r="G940" s="8">
        <f>IFERROR(__xludf.DUMMYFUNCTION("""COMPUTED_VALUE"""),1.0)</f>
        <v>1</v>
      </c>
      <c r="H940" s="8">
        <f>IFERROR(__xludf.DUMMYFUNCTION("""COMPUTED_VALUE"""),1.0)</f>
        <v>1</v>
      </c>
      <c r="I940" s="8" t="str">
        <f>IFERROR(__xludf.DUMMYFUNCTION("""COMPUTED_VALUE"""),"General Petite")</f>
        <v>General Petite</v>
      </c>
      <c r="J940" s="8" t="str">
        <f>IFERROR(__xludf.DUMMYFUNCTION("""COMPUTED_VALUE"""),"Tops")</f>
        <v>Tops</v>
      </c>
      <c r="K940" s="8" t="str">
        <f>IFERROR(__xludf.DUMMYFUNCTION("""COMPUTED_VALUE"""),"Blouses")</f>
        <v>Blouses</v>
      </c>
    </row>
    <row r="941">
      <c r="A941" s="8">
        <f>IFERROR(__xludf.DUMMYFUNCTION("""COMPUTED_VALUE"""),1236.0)</f>
        <v>1236</v>
      </c>
      <c r="B941" s="8">
        <f>IFERROR(__xludf.DUMMYFUNCTION("""COMPUTED_VALUE"""),1094.0)</f>
        <v>1094</v>
      </c>
      <c r="C941" s="8">
        <f>IFERROR(__xludf.DUMMYFUNCTION("""COMPUTED_VALUE"""),60.0)</f>
        <v>60</v>
      </c>
      <c r="D941" s="8" t="str">
        <f>IFERROR(__xludf.DUMMYFUNCTION("""COMPUTED_VALUE"""),"The lady dress")</f>
        <v>The lady dress</v>
      </c>
      <c r="E941" s="8" t="str">
        <f>IFERROR(__xludf.DUMMYFUNCTION("""COMPUTED_VALUE"""),"If there ever was the perfect feminine dress, this would be it .")</f>
        <v>If there ever was the perfect feminine dress, this would be it .</v>
      </c>
      <c r="F941" s="8">
        <f>IFERROR(__xludf.DUMMYFUNCTION("""COMPUTED_VALUE"""),5.0)</f>
        <v>5</v>
      </c>
      <c r="G941" s="8">
        <f>IFERROR(__xludf.DUMMYFUNCTION("""COMPUTED_VALUE"""),1.0)</f>
        <v>1</v>
      </c>
      <c r="H941" s="8">
        <f>IFERROR(__xludf.DUMMYFUNCTION("""COMPUTED_VALUE"""),1.0)</f>
        <v>1</v>
      </c>
      <c r="I941" s="8" t="str">
        <f>IFERROR(__xludf.DUMMYFUNCTION("""COMPUTED_VALUE"""),"General")</f>
        <v>General</v>
      </c>
      <c r="J941" s="8" t="str">
        <f>IFERROR(__xludf.DUMMYFUNCTION("""COMPUTED_VALUE"""),"Dresses")</f>
        <v>Dresses</v>
      </c>
      <c r="K941" s="8" t="str">
        <f>IFERROR(__xludf.DUMMYFUNCTION("""COMPUTED_VALUE"""),"Dresses")</f>
        <v>Dresses</v>
      </c>
    </row>
    <row r="942">
      <c r="A942" s="8">
        <f>IFERROR(__xludf.DUMMYFUNCTION("""COMPUTED_VALUE"""),1237.0)</f>
        <v>1237</v>
      </c>
      <c r="B942" s="8">
        <f>IFERROR(__xludf.DUMMYFUNCTION("""COMPUTED_VALUE"""),850.0)</f>
        <v>850</v>
      </c>
      <c r="C942" s="8">
        <f>IFERROR(__xludf.DUMMYFUNCTION("""COMPUTED_VALUE"""),37.0)</f>
        <v>37</v>
      </c>
      <c r="D942" s="8" t="str">
        <f>IFERROR(__xludf.DUMMYFUNCTION("""COMPUTED_VALUE"""),"Cute")</f>
        <v>Cute</v>
      </c>
      <c r="E942" s="8" t="str">
        <f>IFERROR(__xludf.DUMMYFUNCTION("""COMPUTED_VALUE"""),"I'm small (4'11, 98 pounds and 34a) so the regular xs looks like a baby doll dress on me.  i just wear the tunic with a tank top underneath (or i can wear the tunic by itself) and leggings plus a pair of boots.  the top part is slightly baggy so if you wa"&amp;"nt tight fitting, is size down to xxs.  i got the yellow flower and white + grey one and plan to get the navy one soon.  the quality is good and you can machine wash it with cold water.  i plan to use a tide sweater garment bag to wash it (i put")</f>
        <v>I'm small (4'11, 98 pounds and 34a) so the regular xs looks like a baby doll dress on me.  i just wear the tunic with a tank top underneath (or i can wear the tunic by itself) and leggings plus a pair of boots.  the top part is slightly baggy so if you want tight fitting, is size down to xxs.  i got the yellow flower and white + grey one and plan to get the navy one soon.  the quality is good and you can machine wash it with cold water.  i plan to use a tide sweater garment bag to wash it (i put</v>
      </c>
      <c r="F942" s="8">
        <f>IFERROR(__xludf.DUMMYFUNCTION("""COMPUTED_VALUE"""),5.0)</f>
        <v>5</v>
      </c>
      <c r="G942" s="8">
        <f>IFERROR(__xludf.DUMMYFUNCTION("""COMPUTED_VALUE"""),1.0)</f>
        <v>1</v>
      </c>
      <c r="H942" s="8">
        <f>IFERROR(__xludf.DUMMYFUNCTION("""COMPUTED_VALUE"""),3.0)</f>
        <v>3</v>
      </c>
      <c r="I942" s="8" t="str">
        <f>IFERROR(__xludf.DUMMYFUNCTION("""COMPUTED_VALUE"""),"General Petite")</f>
        <v>General Petite</v>
      </c>
      <c r="J942" s="8" t="str">
        <f>IFERROR(__xludf.DUMMYFUNCTION("""COMPUTED_VALUE"""),"Tops")</f>
        <v>Tops</v>
      </c>
      <c r="K942" s="8" t="str">
        <f>IFERROR(__xludf.DUMMYFUNCTION("""COMPUTED_VALUE"""),"Blouses")</f>
        <v>Blouses</v>
      </c>
    </row>
    <row r="943">
      <c r="A943" s="8">
        <f>IFERROR(__xludf.DUMMYFUNCTION("""COMPUTED_VALUE"""),1239.0)</f>
        <v>1239</v>
      </c>
      <c r="B943" s="8">
        <f>IFERROR(__xludf.DUMMYFUNCTION("""COMPUTED_VALUE"""),850.0)</f>
        <v>850</v>
      </c>
      <c r="C943" s="8">
        <f>IFERROR(__xludf.DUMMYFUNCTION("""COMPUTED_VALUE"""),34.0)</f>
        <v>34</v>
      </c>
      <c r="D943" s="8"/>
      <c r="E943" s="8" t="str">
        <f>IFERROR(__xludf.DUMMYFUNCTION("""COMPUTED_VALUE"""),"I ordered the black and it was a soft black, which i loved. i felt like the shirt was a little boxy (i was hoping the top would have been a bit more fitted (the arm holes are loose) and the bottom a little longer, but i like it enough that i am keeping it"&amp;". works well to wear to work.")</f>
        <v>I ordered the black and it was a soft black, which i loved. i felt like the shirt was a little boxy (i was hoping the top would have been a bit more fitted (the arm holes are loose) and the bottom a little longer, but i like it enough that i am keeping it. works well to wear to work.</v>
      </c>
      <c r="F943" s="8">
        <f>IFERROR(__xludf.DUMMYFUNCTION("""COMPUTED_VALUE"""),4.0)</f>
        <v>4</v>
      </c>
      <c r="G943" s="8">
        <f>IFERROR(__xludf.DUMMYFUNCTION("""COMPUTED_VALUE"""),1.0)</f>
        <v>1</v>
      </c>
      <c r="H943" s="8">
        <f>IFERROR(__xludf.DUMMYFUNCTION("""COMPUTED_VALUE"""),0.0)</f>
        <v>0</v>
      </c>
      <c r="I943" s="8" t="str">
        <f>IFERROR(__xludf.DUMMYFUNCTION("""COMPUTED_VALUE"""),"General Petite")</f>
        <v>General Petite</v>
      </c>
      <c r="J943" s="8" t="str">
        <f>IFERROR(__xludf.DUMMYFUNCTION("""COMPUTED_VALUE"""),"Tops")</f>
        <v>Tops</v>
      </c>
      <c r="K943" s="8" t="str">
        <f>IFERROR(__xludf.DUMMYFUNCTION("""COMPUTED_VALUE"""),"Blouses")</f>
        <v>Blouses</v>
      </c>
    </row>
    <row r="944">
      <c r="A944" s="8">
        <f>IFERROR(__xludf.DUMMYFUNCTION("""COMPUTED_VALUE"""),1241.0)</f>
        <v>1241</v>
      </c>
      <c r="B944" s="8">
        <f>IFERROR(__xludf.DUMMYFUNCTION("""COMPUTED_VALUE"""),850.0)</f>
        <v>850</v>
      </c>
      <c r="C944" s="8">
        <f>IFERROR(__xludf.DUMMYFUNCTION("""COMPUTED_VALUE"""),50.0)</f>
        <v>50</v>
      </c>
      <c r="D944" s="8"/>
      <c r="E944" s="8" t="str">
        <f>IFERROR(__xludf.DUMMYFUNCTION("""COMPUTED_VALUE"""),"I initially purchased this shirt in the grey motif color, size l (my usual size, i'm 5'8"" size 14). unfortunately i found the shirt very roomy, but loved the pattern and style. so i ordered a medium and much to my surprise it fit much better. i'm very ha"&amp;"ppy with my purchase.")</f>
        <v>I initially purchased this shirt in the grey motif color, size l (my usual size, i'm 5'8" size 14). unfortunately i found the shirt very roomy, but loved the pattern and style. so i ordered a medium and much to my surprise it fit much better. i'm very happy with my purchase.</v>
      </c>
      <c r="F944" s="8">
        <f>IFERROR(__xludf.DUMMYFUNCTION("""COMPUTED_VALUE"""),5.0)</f>
        <v>5</v>
      </c>
      <c r="G944" s="8">
        <f>IFERROR(__xludf.DUMMYFUNCTION("""COMPUTED_VALUE"""),1.0)</f>
        <v>1</v>
      </c>
      <c r="H944" s="8">
        <f>IFERROR(__xludf.DUMMYFUNCTION("""COMPUTED_VALUE"""),1.0)</f>
        <v>1</v>
      </c>
      <c r="I944" s="8" t="str">
        <f>IFERROR(__xludf.DUMMYFUNCTION("""COMPUTED_VALUE"""),"General Petite")</f>
        <v>General Petite</v>
      </c>
      <c r="J944" s="8" t="str">
        <f>IFERROR(__xludf.DUMMYFUNCTION("""COMPUTED_VALUE"""),"Tops")</f>
        <v>Tops</v>
      </c>
      <c r="K944" s="8" t="str">
        <f>IFERROR(__xludf.DUMMYFUNCTION("""COMPUTED_VALUE"""),"Blouses")</f>
        <v>Blouses</v>
      </c>
    </row>
    <row r="945">
      <c r="A945" s="8">
        <f>IFERROR(__xludf.DUMMYFUNCTION("""COMPUTED_VALUE"""),1242.0)</f>
        <v>1242</v>
      </c>
      <c r="B945" s="8">
        <f>IFERROR(__xludf.DUMMYFUNCTION("""COMPUTED_VALUE"""),1094.0)</f>
        <v>1094</v>
      </c>
      <c r="C945" s="8">
        <f>IFERROR(__xludf.DUMMYFUNCTION("""COMPUTED_VALUE"""),44.0)</f>
        <v>44</v>
      </c>
      <c r="D945" s="8" t="str">
        <f>IFERROR(__xludf.DUMMYFUNCTION("""COMPUTED_VALUE"""),"New year party dress")</f>
        <v>New year party dress</v>
      </c>
      <c r="E945" s="8" t="str">
        <f>IFERROR(__xludf.DUMMYFUNCTION("""COMPUTED_VALUE"""),"I bought the dress in black. it is very elegant with a fun flare, suits my taste. it does run a size too small like other reviewer mentioned. the material has no give at all. i couldn't breathe in my regular size. one size up fits like a glove. it is a pe"&amp;"rfect party dress to show your free and fun spirit!")</f>
        <v>I bought the dress in black. it is very elegant with a fun flare, suits my taste. it does run a size too small like other reviewer mentioned. the material has no give at all. i couldn't breathe in my regular size. one size up fits like a glove. it is a perfect party dress to show your free and fun spirit!</v>
      </c>
      <c r="F945" s="8">
        <f>IFERROR(__xludf.DUMMYFUNCTION("""COMPUTED_VALUE"""),5.0)</f>
        <v>5</v>
      </c>
      <c r="G945" s="8">
        <f>IFERROR(__xludf.DUMMYFUNCTION("""COMPUTED_VALUE"""),1.0)</f>
        <v>1</v>
      </c>
      <c r="H945" s="8">
        <f>IFERROR(__xludf.DUMMYFUNCTION("""COMPUTED_VALUE"""),0.0)</f>
        <v>0</v>
      </c>
      <c r="I945" s="8" t="str">
        <f>IFERROR(__xludf.DUMMYFUNCTION("""COMPUTED_VALUE"""),"General")</f>
        <v>General</v>
      </c>
      <c r="J945" s="8" t="str">
        <f>IFERROR(__xludf.DUMMYFUNCTION("""COMPUTED_VALUE"""),"Dresses")</f>
        <v>Dresses</v>
      </c>
      <c r="K945" s="8" t="str">
        <f>IFERROR(__xludf.DUMMYFUNCTION("""COMPUTED_VALUE"""),"Dresses")</f>
        <v>Dresses</v>
      </c>
    </row>
    <row r="946">
      <c r="A946" s="8">
        <f>IFERROR(__xludf.DUMMYFUNCTION("""COMPUTED_VALUE"""),1243.0)</f>
        <v>1243</v>
      </c>
      <c r="B946" s="8">
        <f>IFERROR(__xludf.DUMMYFUNCTION("""COMPUTED_VALUE"""),979.0)</f>
        <v>979</v>
      </c>
      <c r="C946" s="8">
        <f>IFERROR(__xludf.DUMMYFUNCTION("""COMPUTED_VALUE"""),63.0)</f>
        <v>63</v>
      </c>
      <c r="D946" s="8" t="str">
        <f>IFERROR(__xludf.DUMMYFUNCTION("""COMPUTED_VALUE"""),"Wonderful!")</f>
        <v>Wonderful!</v>
      </c>
      <c r="E946" s="8" t="str">
        <f>IFERROR(__xludf.DUMMYFUNCTION("""COMPUTED_VALUE"""),"I agree with the previous comments. the vest runs a little large, so you can easily size down for a more form-fitting fit. it is so soft and the colors are lovely ... will be a welcome addition when the weather turns a little cooler. i am so glad i purcha"&amp;"sed this vest!")</f>
        <v>I agree with the previous comments. the vest runs a little large, so you can easily size down for a more form-fitting fit. it is so soft and the colors are lovely ... will be a welcome addition when the weather turns a little cooler. i am so glad i purchased this vest!</v>
      </c>
      <c r="F946" s="8">
        <f>IFERROR(__xludf.DUMMYFUNCTION("""COMPUTED_VALUE"""),5.0)</f>
        <v>5</v>
      </c>
      <c r="G946" s="8">
        <f>IFERROR(__xludf.DUMMYFUNCTION("""COMPUTED_VALUE"""),1.0)</f>
        <v>1</v>
      </c>
      <c r="H946" s="8">
        <f>IFERROR(__xludf.DUMMYFUNCTION("""COMPUTED_VALUE"""),1.0)</f>
        <v>1</v>
      </c>
      <c r="I946" s="8" t="str">
        <f>IFERROR(__xludf.DUMMYFUNCTION("""COMPUTED_VALUE"""),"General")</f>
        <v>General</v>
      </c>
      <c r="J946" s="8" t="str">
        <f>IFERROR(__xludf.DUMMYFUNCTION("""COMPUTED_VALUE"""),"Jackets")</f>
        <v>Jackets</v>
      </c>
      <c r="K946" s="8" t="str">
        <f>IFERROR(__xludf.DUMMYFUNCTION("""COMPUTED_VALUE"""),"Jackets")</f>
        <v>Jackets</v>
      </c>
    </row>
    <row r="947">
      <c r="A947" s="8">
        <f>IFERROR(__xludf.DUMMYFUNCTION("""COMPUTED_VALUE"""),1244.0)</f>
        <v>1244</v>
      </c>
      <c r="B947" s="8">
        <f>IFERROR(__xludf.DUMMYFUNCTION("""COMPUTED_VALUE"""),979.0)</f>
        <v>979</v>
      </c>
      <c r="C947" s="8">
        <f>IFERROR(__xludf.DUMMYFUNCTION("""COMPUTED_VALUE"""),61.0)</f>
        <v>61</v>
      </c>
      <c r="D947" s="8" t="str">
        <f>IFERROR(__xludf.DUMMYFUNCTION("""COMPUTED_VALUE"""),"Soft, warm and stylish!")</f>
        <v>Soft, warm and stylish!</v>
      </c>
      <c r="E947" s="8" t="str">
        <f>IFERROR(__xludf.DUMMYFUNCTION("""COMPUTED_VALUE"""),"Fit great - maybe a bit large....i bought a l (typically i go between a large and extra large) and there is room to put a thick sweater on underneath it.  this goes with just about everything!")</f>
        <v>Fit great - maybe a bit large....i bought a l (typically i go between a large and extra large) and there is room to put a thick sweater on underneath it.  this goes with just about everything!</v>
      </c>
      <c r="F947" s="8">
        <f>IFERROR(__xludf.DUMMYFUNCTION("""COMPUTED_VALUE"""),5.0)</f>
        <v>5</v>
      </c>
      <c r="G947" s="8">
        <f>IFERROR(__xludf.DUMMYFUNCTION("""COMPUTED_VALUE"""),1.0)</f>
        <v>1</v>
      </c>
      <c r="H947" s="8">
        <f>IFERROR(__xludf.DUMMYFUNCTION("""COMPUTED_VALUE"""),0.0)</f>
        <v>0</v>
      </c>
      <c r="I947" s="8" t="str">
        <f>IFERROR(__xludf.DUMMYFUNCTION("""COMPUTED_VALUE"""),"General")</f>
        <v>General</v>
      </c>
      <c r="J947" s="8" t="str">
        <f>IFERROR(__xludf.DUMMYFUNCTION("""COMPUTED_VALUE"""),"Jackets")</f>
        <v>Jackets</v>
      </c>
      <c r="K947" s="8" t="str">
        <f>IFERROR(__xludf.DUMMYFUNCTION("""COMPUTED_VALUE"""),"Jackets")</f>
        <v>Jackets</v>
      </c>
    </row>
    <row r="948">
      <c r="A948" s="8">
        <f>IFERROR(__xludf.DUMMYFUNCTION("""COMPUTED_VALUE"""),1245.0)</f>
        <v>1245</v>
      </c>
      <c r="B948" s="8">
        <f>IFERROR(__xludf.DUMMYFUNCTION("""COMPUTED_VALUE"""),850.0)</f>
        <v>850</v>
      </c>
      <c r="C948" s="8">
        <f>IFERROR(__xludf.DUMMYFUNCTION("""COMPUTED_VALUE"""),55.0)</f>
        <v>55</v>
      </c>
      <c r="D948" s="8" t="str">
        <f>IFERROR(__xludf.DUMMYFUNCTION("""COMPUTED_VALUE"""),"Darling top- runs large and long!")</f>
        <v>Darling top- runs large and long!</v>
      </c>
      <c r="E948" s="8" t="str">
        <f>IFERROR(__xludf.DUMMYFUNCTION("""COMPUTED_VALUE"""),"I am a solid size 6 in most brands, top and bottom, 5'3"" tall, 125#. i have long legs, short torso, and fairly broad shoulders - i almost never wear petite sizes.however, this top in the regular small size could be a maternity dress on me! i am literally"&amp;" swimming in it, and it is quite long. however, i can still make it work, with a cami underneath and leggings or skinny jeans... i like it, did not return, and will buy another color, but will go with petite x-small in the future.")</f>
        <v>I am a solid size 6 in most brands, top and bottom, 5'3" tall, 125#. i have long legs, short torso, and fairly broad shoulders - i almost never wear petite sizes.however, this top in the regular small size could be a maternity dress on me! i am literally swimming in it, and it is quite long. however, i can still make it work, with a cami underneath and leggings or skinny jeans... i like it, did not return, and will buy another color, but will go with petite x-small in the future.</v>
      </c>
      <c r="F948" s="8">
        <f>IFERROR(__xludf.DUMMYFUNCTION("""COMPUTED_VALUE"""),4.0)</f>
        <v>4</v>
      </c>
      <c r="G948" s="8">
        <f>IFERROR(__xludf.DUMMYFUNCTION("""COMPUTED_VALUE"""),1.0)</f>
        <v>1</v>
      </c>
      <c r="H948" s="8">
        <f>IFERROR(__xludf.DUMMYFUNCTION("""COMPUTED_VALUE"""),0.0)</f>
        <v>0</v>
      </c>
      <c r="I948" s="8" t="str">
        <f>IFERROR(__xludf.DUMMYFUNCTION("""COMPUTED_VALUE"""),"General Petite")</f>
        <v>General Petite</v>
      </c>
      <c r="J948" s="8" t="str">
        <f>IFERROR(__xludf.DUMMYFUNCTION("""COMPUTED_VALUE"""),"Tops")</f>
        <v>Tops</v>
      </c>
      <c r="K948" s="8" t="str">
        <f>IFERROR(__xludf.DUMMYFUNCTION("""COMPUTED_VALUE"""),"Blouses")</f>
        <v>Blouses</v>
      </c>
    </row>
    <row r="949">
      <c r="A949" s="8">
        <f>IFERROR(__xludf.DUMMYFUNCTION("""COMPUTED_VALUE"""),1246.0)</f>
        <v>1246</v>
      </c>
      <c r="B949" s="8">
        <f>IFERROR(__xludf.DUMMYFUNCTION("""COMPUTED_VALUE"""),850.0)</f>
        <v>850</v>
      </c>
      <c r="C949" s="8">
        <f>IFERROR(__xludf.DUMMYFUNCTION("""COMPUTED_VALUE"""),29.0)</f>
        <v>29</v>
      </c>
      <c r="D949" s="8"/>
      <c r="E949" s="8" t="str">
        <f>IFERROR(__xludf.DUMMYFUNCTION("""COMPUTED_VALUE"""),"This top is such a great color and style. i did have to go a size down, as i typically wear a medium. the style is very forgiving. it looks great with shorts and jeans! it's staple!")</f>
        <v>This top is such a great color and style. i did have to go a size down, as i typically wear a medium. the style is very forgiving. it looks great with shorts and jeans! it's staple!</v>
      </c>
      <c r="F949" s="8">
        <f>IFERROR(__xludf.DUMMYFUNCTION("""COMPUTED_VALUE"""),4.0)</f>
        <v>4</v>
      </c>
      <c r="G949" s="8">
        <f>IFERROR(__xludf.DUMMYFUNCTION("""COMPUTED_VALUE"""),1.0)</f>
        <v>1</v>
      </c>
      <c r="H949" s="8">
        <f>IFERROR(__xludf.DUMMYFUNCTION("""COMPUTED_VALUE"""),0.0)</f>
        <v>0</v>
      </c>
      <c r="I949" s="8" t="str">
        <f>IFERROR(__xludf.DUMMYFUNCTION("""COMPUTED_VALUE"""),"General Petite")</f>
        <v>General Petite</v>
      </c>
      <c r="J949" s="8" t="str">
        <f>IFERROR(__xludf.DUMMYFUNCTION("""COMPUTED_VALUE"""),"Tops")</f>
        <v>Tops</v>
      </c>
      <c r="K949" s="8" t="str">
        <f>IFERROR(__xludf.DUMMYFUNCTION("""COMPUTED_VALUE"""),"Blouses")</f>
        <v>Blouses</v>
      </c>
    </row>
    <row r="950">
      <c r="A950" s="8">
        <f>IFERROR(__xludf.DUMMYFUNCTION("""COMPUTED_VALUE"""),1247.0)</f>
        <v>1247</v>
      </c>
      <c r="B950" s="8">
        <f>IFERROR(__xludf.DUMMYFUNCTION("""COMPUTED_VALUE"""),850.0)</f>
        <v>850</v>
      </c>
      <c r="C950" s="8">
        <f>IFERROR(__xludf.DUMMYFUNCTION("""COMPUTED_VALUE"""),51.0)</f>
        <v>51</v>
      </c>
      <c r="D950" s="8" t="str">
        <f>IFERROR(__xludf.DUMMYFUNCTION("""COMPUTED_VALUE"""),"This top is really cute")</f>
        <v>This top is really cute</v>
      </c>
      <c r="E950" s="8" t="str">
        <f>IFERROR(__xludf.DUMMYFUNCTION("""COMPUTED_VALUE"""),"I just bought this top yesterday in the yellow. i can't wait until it warms up a little more to wear it. it's very comfortable and very cute. i did have to size down. i may get one of the other prints as well.")</f>
        <v>I just bought this top yesterday in the yellow. i can't wait until it warms up a little more to wear it. it's very comfortable and very cute. i did have to size down. i may get one of the other prints as well.</v>
      </c>
      <c r="F950" s="8">
        <f>IFERROR(__xludf.DUMMYFUNCTION("""COMPUTED_VALUE"""),5.0)</f>
        <v>5</v>
      </c>
      <c r="G950" s="8">
        <f>IFERROR(__xludf.DUMMYFUNCTION("""COMPUTED_VALUE"""),1.0)</f>
        <v>1</v>
      </c>
      <c r="H950" s="8">
        <f>IFERROR(__xludf.DUMMYFUNCTION("""COMPUTED_VALUE"""),0.0)</f>
        <v>0</v>
      </c>
      <c r="I950" s="8" t="str">
        <f>IFERROR(__xludf.DUMMYFUNCTION("""COMPUTED_VALUE"""),"General Petite")</f>
        <v>General Petite</v>
      </c>
      <c r="J950" s="8" t="str">
        <f>IFERROR(__xludf.DUMMYFUNCTION("""COMPUTED_VALUE"""),"Tops")</f>
        <v>Tops</v>
      </c>
      <c r="K950" s="8" t="str">
        <f>IFERROR(__xludf.DUMMYFUNCTION("""COMPUTED_VALUE"""),"Blouses")</f>
        <v>Blouses</v>
      </c>
    </row>
    <row r="951">
      <c r="A951" s="8">
        <f>IFERROR(__xludf.DUMMYFUNCTION("""COMPUTED_VALUE"""),1248.0)</f>
        <v>1248</v>
      </c>
      <c r="B951" s="8">
        <f>IFERROR(__xludf.DUMMYFUNCTION("""COMPUTED_VALUE"""),850.0)</f>
        <v>850</v>
      </c>
      <c r="C951" s="8">
        <f>IFERROR(__xludf.DUMMYFUNCTION("""COMPUTED_VALUE"""),46.0)</f>
        <v>46</v>
      </c>
      <c r="D951" s="8" t="str">
        <f>IFERROR(__xludf.DUMMYFUNCTION("""COMPUTED_VALUE"""),"Xl fits great")</f>
        <v>Xl fits great</v>
      </c>
      <c r="E951" s="8" t="str">
        <f>IFERROR(__xludf.DUMMYFUNCTION("""COMPUTED_VALUE"""),"I ordered the yellow/floral version in size xl. it fits me just as shown with the model so it's true to size. it's very comfortable and made well. the floral looks the same in person as in the photos too.")</f>
        <v>I ordered the yellow/floral version in size xl. it fits me just as shown with the model so it's true to size. it's very comfortable and made well. the floral looks the same in person as in the photos too.</v>
      </c>
      <c r="F951" s="8">
        <f>IFERROR(__xludf.DUMMYFUNCTION("""COMPUTED_VALUE"""),5.0)</f>
        <v>5</v>
      </c>
      <c r="G951" s="8">
        <f>IFERROR(__xludf.DUMMYFUNCTION("""COMPUTED_VALUE"""),1.0)</f>
        <v>1</v>
      </c>
      <c r="H951" s="8">
        <f>IFERROR(__xludf.DUMMYFUNCTION("""COMPUTED_VALUE"""),0.0)</f>
        <v>0</v>
      </c>
      <c r="I951" s="8" t="str">
        <f>IFERROR(__xludf.DUMMYFUNCTION("""COMPUTED_VALUE"""),"General Petite")</f>
        <v>General Petite</v>
      </c>
      <c r="J951" s="8" t="str">
        <f>IFERROR(__xludf.DUMMYFUNCTION("""COMPUTED_VALUE"""),"Tops")</f>
        <v>Tops</v>
      </c>
      <c r="K951" s="8" t="str">
        <f>IFERROR(__xludf.DUMMYFUNCTION("""COMPUTED_VALUE"""),"Blouses")</f>
        <v>Blouses</v>
      </c>
    </row>
    <row r="952">
      <c r="A952" s="8">
        <f>IFERROR(__xludf.DUMMYFUNCTION("""COMPUTED_VALUE"""),1249.0)</f>
        <v>1249</v>
      </c>
      <c r="B952" s="8">
        <f>IFERROR(__xludf.DUMMYFUNCTION("""COMPUTED_VALUE"""),1095.0)</f>
        <v>1095</v>
      </c>
      <c r="C952" s="8">
        <f>IFERROR(__xludf.DUMMYFUNCTION("""COMPUTED_VALUE"""),41.0)</f>
        <v>41</v>
      </c>
      <c r="D952" s="8" t="str">
        <f>IFERROR(__xludf.DUMMYFUNCTION("""COMPUTED_VALUE"""),"European flair")</f>
        <v>European flair</v>
      </c>
      <c r="E952" s="8" t="str">
        <f>IFERROR(__xludf.DUMMYFUNCTION("""COMPUTED_VALUE"""),"I love this dress!! it has a beautiful european flair, and more beautiful in person. i don't agree with the other reviewers that its see through-the fabric is a good quality, and thicker than you would think. the variable length is the best part of the dr"&amp;"ess. the color looks beautiful with a tan summer glow!")</f>
        <v>I love this dress!! it has a beautiful european flair, and more beautiful in person. i don't agree with the other reviewers that its see through-the fabric is a good quality, and thicker than you would think. the variable length is the best part of the dress. the color looks beautiful with a tan summer glow!</v>
      </c>
      <c r="F952" s="8">
        <f>IFERROR(__xludf.DUMMYFUNCTION("""COMPUTED_VALUE"""),5.0)</f>
        <v>5</v>
      </c>
      <c r="G952" s="8">
        <f>IFERROR(__xludf.DUMMYFUNCTION("""COMPUTED_VALUE"""),1.0)</f>
        <v>1</v>
      </c>
      <c r="H952" s="8">
        <f>IFERROR(__xludf.DUMMYFUNCTION("""COMPUTED_VALUE"""),0.0)</f>
        <v>0</v>
      </c>
      <c r="I952" s="8" t="str">
        <f>IFERROR(__xludf.DUMMYFUNCTION("""COMPUTED_VALUE"""),"General")</f>
        <v>General</v>
      </c>
      <c r="J952" s="8" t="str">
        <f>IFERROR(__xludf.DUMMYFUNCTION("""COMPUTED_VALUE"""),"Dresses")</f>
        <v>Dresses</v>
      </c>
      <c r="K952" s="8" t="str">
        <f>IFERROR(__xludf.DUMMYFUNCTION("""COMPUTED_VALUE"""),"Dresses")</f>
        <v>Dresses</v>
      </c>
    </row>
    <row r="953">
      <c r="A953" s="8">
        <f>IFERROR(__xludf.DUMMYFUNCTION("""COMPUTED_VALUE"""),1250.0)</f>
        <v>1250</v>
      </c>
      <c r="B953" s="8">
        <f>IFERROR(__xludf.DUMMYFUNCTION("""COMPUTED_VALUE"""),850.0)</f>
        <v>850</v>
      </c>
      <c r="C953" s="8">
        <f>IFERROR(__xludf.DUMMYFUNCTION("""COMPUTED_VALUE"""),59.0)</f>
        <v>59</v>
      </c>
      <c r="D953" s="8" t="str">
        <f>IFERROR(__xludf.DUMMYFUNCTION("""COMPUTED_VALUE"""),"Cute summer top")</f>
        <v>Cute summer top</v>
      </c>
      <c r="E953" s="8" t="str">
        <f>IFERROR(__xludf.DUMMYFUNCTION("""COMPUTED_VALUE"""),"Got the flower print and it is really a nice top. covers the butt!. i normally need a xl, but in this top i got a large.")</f>
        <v>Got the flower print and it is really a nice top. covers the butt!. i normally need a xl, but in this top i got a large.</v>
      </c>
      <c r="F953" s="8">
        <f>IFERROR(__xludf.DUMMYFUNCTION("""COMPUTED_VALUE"""),5.0)</f>
        <v>5</v>
      </c>
      <c r="G953" s="8">
        <f>IFERROR(__xludf.DUMMYFUNCTION("""COMPUTED_VALUE"""),1.0)</f>
        <v>1</v>
      </c>
      <c r="H953" s="8">
        <f>IFERROR(__xludf.DUMMYFUNCTION("""COMPUTED_VALUE"""),1.0)</f>
        <v>1</v>
      </c>
      <c r="I953" s="8" t="str">
        <f>IFERROR(__xludf.DUMMYFUNCTION("""COMPUTED_VALUE"""),"General Petite")</f>
        <v>General Petite</v>
      </c>
      <c r="J953" s="8" t="str">
        <f>IFERROR(__xludf.DUMMYFUNCTION("""COMPUTED_VALUE"""),"Tops")</f>
        <v>Tops</v>
      </c>
      <c r="K953" s="8" t="str">
        <f>IFERROR(__xludf.DUMMYFUNCTION("""COMPUTED_VALUE"""),"Blouses")</f>
        <v>Blouses</v>
      </c>
    </row>
    <row r="954">
      <c r="A954" s="8">
        <f>IFERROR(__xludf.DUMMYFUNCTION("""COMPUTED_VALUE"""),1251.0)</f>
        <v>1251</v>
      </c>
      <c r="B954" s="8">
        <f>IFERROR(__xludf.DUMMYFUNCTION("""COMPUTED_VALUE"""),940.0)</f>
        <v>940</v>
      </c>
      <c r="C954" s="8">
        <f>IFERROR(__xludf.DUMMYFUNCTION("""COMPUTED_VALUE"""),39.0)</f>
        <v>39</v>
      </c>
      <c r="D954" s="8" t="str">
        <f>IFERROR(__xludf.DUMMYFUNCTION("""COMPUTED_VALUE"""),"Beautiful and versatile, but big...")</f>
        <v>Beautiful and versatile, but big...</v>
      </c>
      <c r="E954" s="8" t="str">
        <f>IFERROR(__xludf.DUMMYFUNCTION("""COMPUTED_VALUE"""),"I love the idea, and color, very flattrering and easy to trhrow on, however, i need the petite in this one, and they sold out in the neutral color. it looks too big in eregular sizing, and since it combines xs/s, it is made slightly bigger. material is so"&amp;"ft enough.")</f>
        <v>I love the idea, and color, very flattrering and easy to trhrow on, however, i need the petite in this one, and they sold out in the neutral color. it looks too big in eregular sizing, and since it combines xs/s, it is made slightly bigger. material is soft enough.</v>
      </c>
      <c r="F954" s="8">
        <f>IFERROR(__xludf.DUMMYFUNCTION("""COMPUTED_VALUE"""),4.0)</f>
        <v>4</v>
      </c>
      <c r="G954" s="8">
        <f>IFERROR(__xludf.DUMMYFUNCTION("""COMPUTED_VALUE"""),1.0)</f>
        <v>1</v>
      </c>
      <c r="H954" s="8">
        <f>IFERROR(__xludf.DUMMYFUNCTION("""COMPUTED_VALUE"""),0.0)</f>
        <v>0</v>
      </c>
      <c r="I954" s="8" t="str">
        <f>IFERROR(__xludf.DUMMYFUNCTION("""COMPUTED_VALUE"""),"General Petite")</f>
        <v>General Petite</v>
      </c>
      <c r="J954" s="8" t="str">
        <f>IFERROR(__xludf.DUMMYFUNCTION("""COMPUTED_VALUE"""),"Tops")</f>
        <v>Tops</v>
      </c>
      <c r="K954" s="8" t="str">
        <f>IFERROR(__xludf.DUMMYFUNCTION("""COMPUTED_VALUE"""),"Sweaters")</f>
        <v>Sweaters</v>
      </c>
    </row>
    <row r="955">
      <c r="A955" s="8">
        <f>IFERROR(__xludf.DUMMYFUNCTION("""COMPUTED_VALUE"""),1252.0)</f>
        <v>1252</v>
      </c>
      <c r="B955" s="8">
        <f>IFERROR(__xludf.DUMMYFUNCTION("""COMPUTED_VALUE"""),850.0)</f>
        <v>850</v>
      </c>
      <c r="C955" s="8">
        <f>IFERROR(__xludf.DUMMYFUNCTION("""COMPUTED_VALUE"""),28.0)</f>
        <v>28</v>
      </c>
      <c r="D955" s="8" t="str">
        <f>IFERROR(__xludf.DUMMYFUNCTION("""COMPUTED_VALUE"""),"Runs large - order down!")</f>
        <v>Runs large - order down!</v>
      </c>
      <c r="E955" s="8" t="str">
        <f>IFERROR(__xludf.DUMMYFUNCTION("""COMPUTED_VALUE"""),"I received this in the mail a few days ago, and was so pleased with it except that it was huge! i am normally a 10/12 in most things so i ordered a large. i was swimming in it in all areas - shoulders and bust bothered me most because i need a waist on sh"&amp;"irts so i don't look larger than i am. i liked it enough to o ahead and order a size down. i ordered a medium and medium petite because the top is quite long and i think i could get away with wearing it with leggings or tights if i were looking")</f>
        <v>I received this in the mail a few days ago, and was so pleased with it except that it was huge! i am normally a 10/12 in most things so i ordered a large. i was swimming in it in all areas - shoulders and bust bothered me most because i need a waist on shirts so i don't look larger than i am. i liked it enough to o ahead and order a size down. i ordered a medium and medium petite because the top is quite long and i think i could get away with wearing it with leggings or tights if i were looking</v>
      </c>
      <c r="F955" s="8">
        <f>IFERROR(__xludf.DUMMYFUNCTION("""COMPUTED_VALUE"""),4.0)</f>
        <v>4</v>
      </c>
      <c r="G955" s="8">
        <f>IFERROR(__xludf.DUMMYFUNCTION("""COMPUTED_VALUE"""),1.0)</f>
        <v>1</v>
      </c>
      <c r="H955" s="8">
        <f>IFERROR(__xludf.DUMMYFUNCTION("""COMPUTED_VALUE"""),11.0)</f>
        <v>11</v>
      </c>
      <c r="I955" s="8" t="str">
        <f>IFERROR(__xludf.DUMMYFUNCTION("""COMPUTED_VALUE"""),"General Petite")</f>
        <v>General Petite</v>
      </c>
      <c r="J955" s="8" t="str">
        <f>IFERROR(__xludf.DUMMYFUNCTION("""COMPUTED_VALUE"""),"Tops")</f>
        <v>Tops</v>
      </c>
      <c r="K955" s="8" t="str">
        <f>IFERROR(__xludf.DUMMYFUNCTION("""COMPUTED_VALUE"""),"Blouses")</f>
        <v>Blouses</v>
      </c>
    </row>
    <row r="956">
      <c r="A956" s="8">
        <f>IFERROR(__xludf.DUMMYFUNCTION("""COMPUTED_VALUE"""),1253.0)</f>
        <v>1253</v>
      </c>
      <c r="B956" s="8">
        <f>IFERROR(__xludf.DUMMYFUNCTION("""COMPUTED_VALUE"""),850.0)</f>
        <v>850</v>
      </c>
      <c r="C956" s="8">
        <f>IFERROR(__xludf.DUMMYFUNCTION("""COMPUTED_VALUE"""),52.0)</f>
        <v>52</v>
      </c>
      <c r="D956" s="8" t="str">
        <f>IFERROR(__xludf.DUMMYFUNCTION("""COMPUTED_VALUE"""),"Adorable")</f>
        <v>Adorable</v>
      </c>
      <c r="E956" s="8" t="str">
        <f>IFERROR(__xludf.DUMMYFUNCTION("""COMPUTED_VALUE"""),"I have received so many compliments on this top. it really looks exactly like it does on the model, and i'm not as thin as she is. i am 5'5"" and 134 lbs,, small on top, and bought the small in this top. the v-neck is very flattering and is hangs so nicel"&amp;"y that it does not make me look hippy. looks great from all views. i paired it with white pencil pants and wedge heels. also, the black lace detail down the sides looked great when i paired it with black yoga pants and flip flops. the colors are")</f>
        <v>I have received so many compliments on this top. it really looks exactly like it does on the model, and i'm not as thin as she is. i am 5'5" and 134 lbs,, small on top, and bought the small in this top. the v-neck is very flattering and is hangs so nicely that it does not make me look hippy. looks great from all views. i paired it with white pencil pants and wedge heels. also, the black lace detail down the sides looked great when i paired it with black yoga pants and flip flops. the colors are</v>
      </c>
      <c r="F956" s="8">
        <f>IFERROR(__xludf.DUMMYFUNCTION("""COMPUTED_VALUE"""),5.0)</f>
        <v>5</v>
      </c>
      <c r="G956" s="8">
        <f>IFERROR(__xludf.DUMMYFUNCTION("""COMPUTED_VALUE"""),1.0)</f>
        <v>1</v>
      </c>
      <c r="H956" s="8">
        <f>IFERROR(__xludf.DUMMYFUNCTION("""COMPUTED_VALUE"""),1.0)</f>
        <v>1</v>
      </c>
      <c r="I956" s="8" t="str">
        <f>IFERROR(__xludf.DUMMYFUNCTION("""COMPUTED_VALUE"""),"General Petite")</f>
        <v>General Petite</v>
      </c>
      <c r="J956" s="8" t="str">
        <f>IFERROR(__xludf.DUMMYFUNCTION("""COMPUTED_VALUE"""),"Tops")</f>
        <v>Tops</v>
      </c>
      <c r="K956" s="8" t="str">
        <f>IFERROR(__xludf.DUMMYFUNCTION("""COMPUTED_VALUE"""),"Blouses")</f>
        <v>Blouses</v>
      </c>
    </row>
    <row r="957">
      <c r="A957" s="8">
        <f>IFERROR(__xludf.DUMMYFUNCTION("""COMPUTED_VALUE"""),1254.0)</f>
        <v>1254</v>
      </c>
      <c r="B957" s="8">
        <f>IFERROR(__xludf.DUMMYFUNCTION("""COMPUTED_VALUE"""),850.0)</f>
        <v>850</v>
      </c>
      <c r="C957" s="8">
        <f>IFERROR(__xludf.DUMMYFUNCTION("""COMPUTED_VALUE"""),49.0)</f>
        <v>49</v>
      </c>
      <c r="D957" s="8" t="str">
        <f>IFERROR(__xludf.DUMMYFUNCTION("""COMPUTED_VALUE"""),"Flattering, comfy top")</f>
        <v>Flattering, comfy top</v>
      </c>
      <c r="E957" s="8" t="str">
        <f>IFERROR(__xludf.DUMMYFUNCTION("""COMPUTED_VALUE"""),"Everyone has said it, so i'll just add my two cents - this is a great, soft, flattering top. i bought two, one in white and one in black, and i have never worn them without getting compliments. i sometimes wear them buttoned up, and sometimes completely u"&amp;"nbuttoned to expose tanks or bathing suits. (i live in florida, and these tops make great beach cover ups). i am 5'7"" and over 160 but not busty, and the medium was swimming on me, but i think this particular shirt is supposed to be that way. su")</f>
        <v>Everyone has said it, so i'll just add my two cents - this is a great, soft, flattering top. i bought two, one in white and one in black, and i have never worn them without getting compliments. i sometimes wear them buttoned up, and sometimes completely unbuttoned to expose tanks or bathing suits. (i live in florida, and these tops make great beach cover ups). i am 5'7" and over 160 but not busty, and the medium was swimming on me, but i think this particular shirt is supposed to be that way. su</v>
      </c>
      <c r="F957" s="8">
        <f>IFERROR(__xludf.DUMMYFUNCTION("""COMPUTED_VALUE"""),4.0)</f>
        <v>4</v>
      </c>
      <c r="G957" s="8">
        <f>IFERROR(__xludf.DUMMYFUNCTION("""COMPUTED_VALUE"""),1.0)</f>
        <v>1</v>
      </c>
      <c r="H957" s="8">
        <f>IFERROR(__xludf.DUMMYFUNCTION("""COMPUTED_VALUE"""),0.0)</f>
        <v>0</v>
      </c>
      <c r="I957" s="8" t="str">
        <f>IFERROR(__xludf.DUMMYFUNCTION("""COMPUTED_VALUE"""),"General Petite")</f>
        <v>General Petite</v>
      </c>
      <c r="J957" s="8" t="str">
        <f>IFERROR(__xludf.DUMMYFUNCTION("""COMPUTED_VALUE"""),"Tops")</f>
        <v>Tops</v>
      </c>
      <c r="K957" s="8" t="str">
        <f>IFERROR(__xludf.DUMMYFUNCTION("""COMPUTED_VALUE"""),"Blouses")</f>
        <v>Blouses</v>
      </c>
    </row>
    <row r="958">
      <c r="A958" s="8">
        <f>IFERROR(__xludf.DUMMYFUNCTION("""COMPUTED_VALUE"""),1255.0)</f>
        <v>1255</v>
      </c>
      <c r="B958" s="8">
        <f>IFERROR(__xludf.DUMMYFUNCTION("""COMPUTED_VALUE"""),1094.0)</f>
        <v>1094</v>
      </c>
      <c r="C958" s="8">
        <f>IFERROR(__xludf.DUMMYFUNCTION("""COMPUTED_VALUE"""),35.0)</f>
        <v>35</v>
      </c>
      <c r="D958" s="8" t="str">
        <f>IFERROR(__xludf.DUMMYFUNCTION("""COMPUTED_VALUE"""),"Amazing retro style")</f>
        <v>Amazing retro style</v>
      </c>
      <c r="E958" s="8" t="str">
        <f>IFERROR(__xludf.DUMMYFUNCTION("""COMPUTED_VALUE"""),"Perfect party dress - well constructed, bra hidden at arms and on top, what more can you ask for? i felt like betty draper the moment i put it on. i'm normally a 6, but the 4 (while fitted) looked amazing and didn't pull.")</f>
        <v>Perfect party dress - well constructed, bra hidden at arms and on top, what more can you ask for? i felt like betty draper the moment i put it on. i'm normally a 6, but the 4 (while fitted) looked amazing and didn't pull.</v>
      </c>
      <c r="F958" s="8">
        <f>IFERROR(__xludf.DUMMYFUNCTION("""COMPUTED_VALUE"""),5.0)</f>
        <v>5</v>
      </c>
      <c r="G958" s="8">
        <f>IFERROR(__xludf.DUMMYFUNCTION("""COMPUTED_VALUE"""),1.0)</f>
        <v>1</v>
      </c>
      <c r="H958" s="8">
        <f>IFERROR(__xludf.DUMMYFUNCTION("""COMPUTED_VALUE"""),0.0)</f>
        <v>0</v>
      </c>
      <c r="I958" s="8" t="str">
        <f>IFERROR(__xludf.DUMMYFUNCTION("""COMPUTED_VALUE"""),"General")</f>
        <v>General</v>
      </c>
      <c r="J958" s="8" t="str">
        <f>IFERROR(__xludf.DUMMYFUNCTION("""COMPUTED_VALUE"""),"Dresses")</f>
        <v>Dresses</v>
      </c>
      <c r="K958" s="8" t="str">
        <f>IFERROR(__xludf.DUMMYFUNCTION("""COMPUTED_VALUE"""),"Dresses")</f>
        <v>Dresses</v>
      </c>
    </row>
    <row r="959">
      <c r="A959" s="8">
        <f>IFERROR(__xludf.DUMMYFUNCTION("""COMPUTED_VALUE"""),1256.0)</f>
        <v>1256</v>
      </c>
      <c r="B959" s="8">
        <f>IFERROR(__xludf.DUMMYFUNCTION("""COMPUTED_VALUE"""),868.0)</f>
        <v>868</v>
      </c>
      <c r="C959" s="8">
        <f>IFERROR(__xludf.DUMMYFUNCTION("""COMPUTED_VALUE"""),41.0)</f>
        <v>41</v>
      </c>
      <c r="D959" s="8" t="str">
        <f>IFERROR(__xludf.DUMMYFUNCTION("""COMPUTED_VALUE"""),"Love it!")</f>
        <v>Love it!</v>
      </c>
      <c r="E959" s="8" t="str">
        <f>IFERROR(__xludf.DUMMYFUNCTION("""COMPUTED_VALUE"""),"I love this shirt! it hides my tummy perfectly without being too baggy! super cute!!")</f>
        <v>I love this shirt! it hides my tummy perfectly without being too baggy! super cute!!</v>
      </c>
      <c r="F959" s="8">
        <f>IFERROR(__xludf.DUMMYFUNCTION("""COMPUTED_VALUE"""),5.0)</f>
        <v>5</v>
      </c>
      <c r="G959" s="8">
        <f>IFERROR(__xludf.DUMMYFUNCTION("""COMPUTED_VALUE"""),1.0)</f>
        <v>1</v>
      </c>
      <c r="H959" s="8">
        <f>IFERROR(__xludf.DUMMYFUNCTION("""COMPUTED_VALUE"""),6.0)</f>
        <v>6</v>
      </c>
      <c r="I959" s="8" t="str">
        <f>IFERROR(__xludf.DUMMYFUNCTION("""COMPUTED_VALUE"""),"General")</f>
        <v>General</v>
      </c>
      <c r="J959" s="8" t="str">
        <f>IFERROR(__xludf.DUMMYFUNCTION("""COMPUTED_VALUE"""),"Tops")</f>
        <v>Tops</v>
      </c>
      <c r="K959" s="8" t="str">
        <f>IFERROR(__xludf.DUMMYFUNCTION("""COMPUTED_VALUE"""),"Knits")</f>
        <v>Knits</v>
      </c>
    </row>
    <row r="960">
      <c r="A960" s="8">
        <f>IFERROR(__xludf.DUMMYFUNCTION("""COMPUTED_VALUE"""),1259.0)</f>
        <v>1259</v>
      </c>
      <c r="B960" s="8">
        <f>IFERROR(__xludf.DUMMYFUNCTION("""COMPUTED_VALUE"""),1095.0)</f>
        <v>1095</v>
      </c>
      <c r="C960" s="8">
        <f>IFERROR(__xludf.DUMMYFUNCTION("""COMPUTED_VALUE"""),32.0)</f>
        <v>32</v>
      </c>
      <c r="D960" s="8" t="str">
        <f>IFERROR(__xludf.DUMMYFUNCTION("""COMPUTED_VALUE"""),"Special")</f>
        <v>Special</v>
      </c>
      <c r="E960" s="8" t="str">
        <f>IFERROR(__xludf.DUMMYFUNCTION("""COMPUTED_VALUE"""),"I bought the tangerine version of this dress for my brother's summer wedding in the south, and i can't wait to wear it. cotton material has a touch almost like linen, but not rough. nice and hearty fabric. tangerine color is beautiful, more salmon than co"&amp;"ral. wearing it with a little shoulder shrug and the laika inca shoes?the shoes aren't on the retailer site anymore, but i found them at my local store. just perfect.")</f>
        <v>I bought the tangerine version of this dress for my brother's summer wedding in the south, and i can't wait to wear it. cotton material has a touch almost like linen, but not rough. nice and hearty fabric. tangerine color is beautiful, more salmon than coral. wearing it with a little shoulder shrug and the laika inca shoes?the shoes aren't on the retailer site anymore, but i found them at my local store. just perfect.</v>
      </c>
      <c r="F960" s="8">
        <f>IFERROR(__xludf.DUMMYFUNCTION("""COMPUTED_VALUE"""),5.0)</f>
        <v>5</v>
      </c>
      <c r="G960" s="8">
        <f>IFERROR(__xludf.DUMMYFUNCTION("""COMPUTED_VALUE"""),1.0)</f>
        <v>1</v>
      </c>
      <c r="H960" s="8">
        <f>IFERROR(__xludf.DUMMYFUNCTION("""COMPUTED_VALUE"""),0.0)</f>
        <v>0</v>
      </c>
      <c r="I960" s="8" t="str">
        <f>IFERROR(__xludf.DUMMYFUNCTION("""COMPUTED_VALUE"""),"General")</f>
        <v>General</v>
      </c>
      <c r="J960" s="8" t="str">
        <f>IFERROR(__xludf.DUMMYFUNCTION("""COMPUTED_VALUE"""),"Dresses")</f>
        <v>Dresses</v>
      </c>
      <c r="K960" s="8" t="str">
        <f>IFERROR(__xludf.DUMMYFUNCTION("""COMPUTED_VALUE"""),"Dresses")</f>
        <v>Dresses</v>
      </c>
    </row>
    <row r="961">
      <c r="A961" s="8">
        <f>IFERROR(__xludf.DUMMYFUNCTION("""COMPUTED_VALUE"""),1260.0)</f>
        <v>1260</v>
      </c>
      <c r="B961" s="8">
        <f>IFERROR(__xludf.DUMMYFUNCTION("""COMPUTED_VALUE"""),850.0)</f>
        <v>850</v>
      </c>
      <c r="C961" s="8">
        <f>IFERROR(__xludf.DUMMYFUNCTION("""COMPUTED_VALUE"""),59.0)</f>
        <v>59</v>
      </c>
      <c r="D961" s="8" t="str">
        <f>IFERROR(__xludf.DUMMYFUNCTION("""COMPUTED_VALUE"""),"Perfect for summer")</f>
        <v>Perfect for summer</v>
      </c>
      <c r="E961" s="8" t="str">
        <f>IFERROR(__xludf.DUMMYFUNCTION("""COMPUTED_VALUE"""),"I purchased this top in white. it is see through so i wear a tank or cami underneath. i usually wear xs or s in retailer tops and in this one, i purchased the xs, but wish i had bought a s. the problem is the top is just small enough to pull slightly betw"&amp;"een the top two buttons. for reference, i am 5'6, weigh 128 lbs, 34b bra size, 28 jean size, and small boned. i currently carry most of my weight in my hips and waist. my normal weight is 110-112 lbs and i add this to point out that i am out of sh")</f>
        <v>I purchased this top in white. it is see through so i wear a tank or cami underneath. i usually wear xs or s in retailer tops and in this one, i purchased the xs, but wish i had bought a s. the problem is the top is just small enough to pull slightly between the top two buttons. for reference, i am 5'6, weigh 128 lbs, 34b bra size, 28 jean size, and small boned. i currently carry most of my weight in my hips and waist. my normal weight is 110-112 lbs and i add this to point out that i am out of sh</v>
      </c>
      <c r="F961" s="8">
        <f>IFERROR(__xludf.DUMMYFUNCTION("""COMPUTED_VALUE"""),5.0)</f>
        <v>5</v>
      </c>
      <c r="G961" s="8">
        <f>IFERROR(__xludf.DUMMYFUNCTION("""COMPUTED_VALUE"""),1.0)</f>
        <v>1</v>
      </c>
      <c r="H961" s="8">
        <f>IFERROR(__xludf.DUMMYFUNCTION("""COMPUTED_VALUE"""),1.0)</f>
        <v>1</v>
      </c>
      <c r="I961" s="8" t="str">
        <f>IFERROR(__xludf.DUMMYFUNCTION("""COMPUTED_VALUE"""),"General Petite")</f>
        <v>General Petite</v>
      </c>
      <c r="J961" s="8" t="str">
        <f>IFERROR(__xludf.DUMMYFUNCTION("""COMPUTED_VALUE"""),"Tops")</f>
        <v>Tops</v>
      </c>
      <c r="K961" s="8" t="str">
        <f>IFERROR(__xludf.DUMMYFUNCTION("""COMPUTED_VALUE"""),"Blouses")</f>
        <v>Blouses</v>
      </c>
    </row>
    <row r="962">
      <c r="A962" s="8">
        <f>IFERROR(__xludf.DUMMYFUNCTION("""COMPUTED_VALUE"""),1261.0)</f>
        <v>1261</v>
      </c>
      <c r="B962" s="8">
        <f>IFERROR(__xludf.DUMMYFUNCTION("""COMPUTED_VALUE"""),979.0)</f>
        <v>979</v>
      </c>
      <c r="C962" s="8">
        <f>IFERROR(__xludf.DUMMYFUNCTION("""COMPUTED_VALUE"""),60.0)</f>
        <v>60</v>
      </c>
      <c r="D962" s="8" t="str">
        <f>IFERROR(__xludf.DUMMYFUNCTION("""COMPUTED_VALUE"""),"Fell in love")</f>
        <v>Fell in love</v>
      </c>
      <c r="E962" s="8" t="str">
        <f>IFERROR(__xludf.DUMMYFUNCTION("""COMPUTED_VALUE"""),"Picture definitely does not do this vest justice.  i saw it on a rack and had to try on and instantly loved the look and feel.  i am 5'9"" - 135 lbs - size 6 and the small works for me.  the vest will work with ivory, black, grey, and red underneath.  i l"&amp;"ove the little bits of fur sticking out of the seams.  the back has fitted seams to give it a trim look.  there are small pockets in the front as well.  definitely worth the 108$ asking price.")</f>
        <v>Picture definitely does not do this vest justice.  i saw it on a rack and had to try on and instantly loved the look and feel.  i am 5'9" - 135 lbs - size 6 and the small works for me.  the vest will work with ivory, black, grey, and red underneath.  i love the little bits of fur sticking out of the seams.  the back has fitted seams to give it a trim look.  there are small pockets in the front as well.  definitely worth the 108$ asking price.</v>
      </c>
      <c r="F962" s="8">
        <f>IFERROR(__xludf.DUMMYFUNCTION("""COMPUTED_VALUE"""),5.0)</f>
        <v>5</v>
      </c>
      <c r="G962" s="8">
        <f>IFERROR(__xludf.DUMMYFUNCTION("""COMPUTED_VALUE"""),1.0)</f>
        <v>1</v>
      </c>
      <c r="H962" s="8">
        <f>IFERROR(__xludf.DUMMYFUNCTION("""COMPUTED_VALUE"""),0.0)</f>
        <v>0</v>
      </c>
      <c r="I962" s="8" t="str">
        <f>IFERROR(__xludf.DUMMYFUNCTION("""COMPUTED_VALUE"""),"General")</f>
        <v>General</v>
      </c>
      <c r="J962" s="8" t="str">
        <f>IFERROR(__xludf.DUMMYFUNCTION("""COMPUTED_VALUE"""),"Jackets")</f>
        <v>Jackets</v>
      </c>
      <c r="K962" s="8" t="str">
        <f>IFERROR(__xludf.DUMMYFUNCTION("""COMPUTED_VALUE"""),"Jackets")</f>
        <v>Jackets</v>
      </c>
    </row>
    <row r="963">
      <c r="A963" s="8">
        <f>IFERROR(__xludf.DUMMYFUNCTION("""COMPUTED_VALUE"""),1262.0)</f>
        <v>1262</v>
      </c>
      <c r="B963" s="8">
        <f>IFERROR(__xludf.DUMMYFUNCTION("""COMPUTED_VALUE"""),1095.0)</f>
        <v>1095</v>
      </c>
      <c r="C963" s="8">
        <f>IFERROR(__xludf.DUMMYFUNCTION("""COMPUTED_VALUE"""),20.0)</f>
        <v>20</v>
      </c>
      <c r="D963" s="8"/>
      <c r="E963" s="8" t="str">
        <f>IFERROR(__xludf.DUMMYFUNCTION("""COMPUTED_VALUE"""),"This dress is great! it fits true to size and the pockets are very unnoticable!
my only note is that the first picture of the dress show the dress to be a bit darker than the actual dress. the dress colour more closely resembles that of the other two phot"&amp;"os.")</f>
        <v>This dress is great! it fits true to size and the pockets are very unnoticable!
my only note is that the first picture of the dress show the dress to be a bit darker than the actual dress. the dress colour more closely resembles that of the other two photos.</v>
      </c>
      <c r="F963" s="8">
        <f>IFERROR(__xludf.DUMMYFUNCTION("""COMPUTED_VALUE"""),4.0)</f>
        <v>4</v>
      </c>
      <c r="G963" s="8">
        <f>IFERROR(__xludf.DUMMYFUNCTION("""COMPUTED_VALUE"""),1.0)</f>
        <v>1</v>
      </c>
      <c r="H963" s="8">
        <f>IFERROR(__xludf.DUMMYFUNCTION("""COMPUTED_VALUE"""),0.0)</f>
        <v>0</v>
      </c>
      <c r="I963" s="8" t="str">
        <f>IFERROR(__xludf.DUMMYFUNCTION("""COMPUTED_VALUE"""),"General")</f>
        <v>General</v>
      </c>
      <c r="J963" s="8" t="str">
        <f>IFERROR(__xludf.DUMMYFUNCTION("""COMPUTED_VALUE"""),"Dresses")</f>
        <v>Dresses</v>
      </c>
      <c r="K963" s="8" t="str">
        <f>IFERROR(__xludf.DUMMYFUNCTION("""COMPUTED_VALUE"""),"Dresses")</f>
        <v>Dresses</v>
      </c>
    </row>
    <row r="964">
      <c r="A964" s="8">
        <f>IFERROR(__xludf.DUMMYFUNCTION("""COMPUTED_VALUE"""),1264.0)</f>
        <v>1264</v>
      </c>
      <c r="B964" s="8">
        <f>IFERROR(__xludf.DUMMYFUNCTION("""COMPUTED_VALUE"""),850.0)</f>
        <v>850</v>
      </c>
      <c r="C964" s="8">
        <f>IFERROR(__xludf.DUMMYFUNCTION("""COMPUTED_VALUE"""),40.0)</f>
        <v>40</v>
      </c>
      <c r="D964" s="8" t="str">
        <f>IFERROR(__xludf.DUMMYFUNCTION("""COMPUTED_VALUE"""),"Perfect tunic")</f>
        <v>Perfect tunic</v>
      </c>
      <c r="E964" s="8" t="str">
        <f>IFERROR(__xludf.DUMMYFUNCTION("""COMPUTED_VALUE"""),"I purchased this in 2 colors. the black which is really actually a dark grey( no complaints) and the cream with black print version. i have worn both at least once a week and receive compliments everytime! looks great with skinny pants or jeans. great alo"&amp;"ne or layered with a jacket or cardigan. does run on the looser side fyi")</f>
        <v>I purchased this in 2 colors. the black which is really actually a dark grey( no complaints) and the cream with black print version. i have worn both at least once a week and receive compliments everytime! looks great with skinny pants or jeans. great alone or layered with a jacket or cardigan. does run on the looser side fyi</v>
      </c>
      <c r="F964" s="8">
        <f>IFERROR(__xludf.DUMMYFUNCTION("""COMPUTED_VALUE"""),5.0)</f>
        <v>5</v>
      </c>
      <c r="G964" s="8">
        <f>IFERROR(__xludf.DUMMYFUNCTION("""COMPUTED_VALUE"""),1.0)</f>
        <v>1</v>
      </c>
      <c r="H964" s="8">
        <f>IFERROR(__xludf.DUMMYFUNCTION("""COMPUTED_VALUE"""),0.0)</f>
        <v>0</v>
      </c>
      <c r="I964" s="8" t="str">
        <f>IFERROR(__xludf.DUMMYFUNCTION("""COMPUTED_VALUE"""),"General Petite")</f>
        <v>General Petite</v>
      </c>
      <c r="J964" s="8" t="str">
        <f>IFERROR(__xludf.DUMMYFUNCTION("""COMPUTED_VALUE"""),"Tops")</f>
        <v>Tops</v>
      </c>
      <c r="K964" s="8" t="str">
        <f>IFERROR(__xludf.DUMMYFUNCTION("""COMPUTED_VALUE"""),"Blouses")</f>
        <v>Blouses</v>
      </c>
    </row>
    <row r="965">
      <c r="A965" s="8">
        <f>IFERROR(__xludf.DUMMYFUNCTION("""COMPUTED_VALUE"""),1266.0)</f>
        <v>1266</v>
      </c>
      <c r="B965" s="8">
        <f>IFERROR(__xludf.DUMMYFUNCTION("""COMPUTED_VALUE"""),1095.0)</f>
        <v>1095</v>
      </c>
      <c r="C965" s="8">
        <f>IFERROR(__xludf.DUMMYFUNCTION("""COMPUTED_VALUE"""),26.0)</f>
        <v>26</v>
      </c>
      <c r="D965" s="8" t="str">
        <f>IFERROR(__xludf.DUMMYFUNCTION("""COMPUTED_VALUE"""),"Can't get enough")</f>
        <v>Can't get enough</v>
      </c>
      <c r="E965" s="8" t="str">
        <f>IFERROR(__xludf.DUMMYFUNCTION("""COMPUTED_VALUE"""),"This is my favorite dress i have ever purchased. as a 6' tall woman, it's hard to find flattering dresses that are long enough for my legs. this dress is classic, comfortable, and truly flattering. i love the blush color and did not have the issues that o"&amp;"ther people listed for the color being see-through. i can't get enough of this style...i'll be buying it in black too...ooopss :)")</f>
        <v>This is my favorite dress i have ever purchased. as a 6' tall woman, it's hard to find flattering dresses that are long enough for my legs. this dress is classic, comfortable, and truly flattering. i love the blush color and did not have the issues that other people listed for the color being see-through. i can't get enough of this style...i'll be buying it in black too...ooopss :)</v>
      </c>
      <c r="F965" s="8">
        <f>IFERROR(__xludf.DUMMYFUNCTION("""COMPUTED_VALUE"""),5.0)</f>
        <v>5</v>
      </c>
      <c r="G965" s="8">
        <f>IFERROR(__xludf.DUMMYFUNCTION("""COMPUTED_VALUE"""),1.0)</f>
        <v>1</v>
      </c>
      <c r="H965" s="8">
        <f>IFERROR(__xludf.DUMMYFUNCTION("""COMPUTED_VALUE"""),0.0)</f>
        <v>0</v>
      </c>
      <c r="I965" s="8" t="str">
        <f>IFERROR(__xludf.DUMMYFUNCTION("""COMPUTED_VALUE"""),"General")</f>
        <v>General</v>
      </c>
      <c r="J965" s="8" t="str">
        <f>IFERROR(__xludf.DUMMYFUNCTION("""COMPUTED_VALUE"""),"Dresses")</f>
        <v>Dresses</v>
      </c>
      <c r="K965" s="8" t="str">
        <f>IFERROR(__xludf.DUMMYFUNCTION("""COMPUTED_VALUE"""),"Dresses")</f>
        <v>Dresses</v>
      </c>
    </row>
    <row r="966">
      <c r="A966" s="8">
        <f>IFERROR(__xludf.DUMMYFUNCTION("""COMPUTED_VALUE"""),1268.0)</f>
        <v>1268</v>
      </c>
      <c r="B966" s="8">
        <f>IFERROR(__xludf.DUMMYFUNCTION("""COMPUTED_VALUE"""),850.0)</f>
        <v>850</v>
      </c>
      <c r="C966" s="8">
        <f>IFERROR(__xludf.DUMMYFUNCTION("""COMPUTED_VALUE"""),41.0)</f>
        <v>41</v>
      </c>
      <c r="D966" s="8" t="str">
        <f>IFERROR(__xludf.DUMMYFUNCTION("""COMPUTED_VALUE"""),"Adorable")</f>
        <v>Adorable</v>
      </c>
      <c r="E966" s="8" t="str">
        <f>IFERROR(__xludf.DUMMYFUNCTION("""COMPUTED_VALUE"""),"Bought this top in white and blue motif. it fits me great and looks adorable. the only comment is that the holes for the buttons are a little too big but it's an easy fix.
this top looks great dressed up or down. would definitely recommend!")</f>
        <v>Bought this top in white and blue motif. it fits me great and looks adorable. the only comment is that the holes for the buttons are a little too big but it's an easy fix.
this top looks great dressed up or down. would definitely recommend!</v>
      </c>
      <c r="F966" s="8">
        <f>IFERROR(__xludf.DUMMYFUNCTION("""COMPUTED_VALUE"""),5.0)</f>
        <v>5</v>
      </c>
      <c r="G966" s="8">
        <f>IFERROR(__xludf.DUMMYFUNCTION("""COMPUTED_VALUE"""),1.0)</f>
        <v>1</v>
      </c>
      <c r="H966" s="8">
        <f>IFERROR(__xludf.DUMMYFUNCTION("""COMPUTED_VALUE"""),0.0)</f>
        <v>0</v>
      </c>
      <c r="I966" s="8" t="str">
        <f>IFERROR(__xludf.DUMMYFUNCTION("""COMPUTED_VALUE"""),"General")</f>
        <v>General</v>
      </c>
      <c r="J966" s="8" t="str">
        <f>IFERROR(__xludf.DUMMYFUNCTION("""COMPUTED_VALUE"""),"Tops")</f>
        <v>Tops</v>
      </c>
      <c r="K966" s="8" t="str">
        <f>IFERROR(__xludf.DUMMYFUNCTION("""COMPUTED_VALUE"""),"Blouses")</f>
        <v>Blouses</v>
      </c>
    </row>
    <row r="967">
      <c r="A967" s="8">
        <f>IFERROR(__xludf.DUMMYFUNCTION("""COMPUTED_VALUE"""),1269.0)</f>
        <v>1269</v>
      </c>
      <c r="B967" s="8">
        <f>IFERROR(__xludf.DUMMYFUNCTION("""COMPUTED_VALUE"""),850.0)</f>
        <v>850</v>
      </c>
      <c r="C967" s="8">
        <f>IFERROR(__xludf.DUMMYFUNCTION("""COMPUTED_VALUE"""),47.0)</f>
        <v>47</v>
      </c>
      <c r="D967" s="8" t="str">
        <f>IFERROR(__xludf.DUMMYFUNCTION("""COMPUTED_VALUE"""),"Cute and comfy!")</f>
        <v>Cute and comfy!</v>
      </c>
      <c r="E967" s="8" t="str">
        <f>IFERROR(__xludf.DUMMYFUNCTION("""COMPUTED_VALUE"""),"Just purchased this yesterday in the store and i can't wait to wear it! it is a perfect spring/summer top when you just want to wear something pretty and comfortable! i agree that it is big but that is the style of this shirt. so if you're ok with this lo"&amp;"ok, you will love this shirt! i took my usual medium and the prints are adorable! a great addition to my wardrobe!")</f>
        <v>Just purchased this yesterday in the store and i can't wait to wear it! it is a perfect spring/summer top when you just want to wear something pretty and comfortable! i agree that it is big but that is the style of this shirt. so if you're ok with this look, you will love this shirt! i took my usual medium and the prints are adorable! a great addition to my wardrobe!</v>
      </c>
      <c r="F967" s="8">
        <f>IFERROR(__xludf.DUMMYFUNCTION("""COMPUTED_VALUE"""),5.0)</f>
        <v>5</v>
      </c>
      <c r="G967" s="8">
        <f>IFERROR(__xludf.DUMMYFUNCTION("""COMPUTED_VALUE"""),1.0)</f>
        <v>1</v>
      </c>
      <c r="H967" s="8">
        <f>IFERROR(__xludf.DUMMYFUNCTION("""COMPUTED_VALUE"""),0.0)</f>
        <v>0</v>
      </c>
      <c r="I967" s="8" t="str">
        <f>IFERROR(__xludf.DUMMYFUNCTION("""COMPUTED_VALUE"""),"General")</f>
        <v>General</v>
      </c>
      <c r="J967" s="8" t="str">
        <f>IFERROR(__xludf.DUMMYFUNCTION("""COMPUTED_VALUE"""),"Tops")</f>
        <v>Tops</v>
      </c>
      <c r="K967" s="8" t="str">
        <f>IFERROR(__xludf.DUMMYFUNCTION("""COMPUTED_VALUE"""),"Blouses")</f>
        <v>Blouses</v>
      </c>
    </row>
    <row r="968">
      <c r="A968" s="8">
        <f>IFERROR(__xludf.DUMMYFUNCTION("""COMPUTED_VALUE"""),1270.0)</f>
        <v>1270</v>
      </c>
      <c r="B968" s="8">
        <f>IFERROR(__xludf.DUMMYFUNCTION("""COMPUTED_VALUE"""),850.0)</f>
        <v>850</v>
      </c>
      <c r="C968" s="8">
        <f>IFERROR(__xludf.DUMMYFUNCTION("""COMPUTED_VALUE"""),21.0)</f>
        <v>21</v>
      </c>
      <c r="D968" s="8" t="str">
        <f>IFERROR(__xludf.DUMMYFUNCTION("""COMPUTED_VALUE"""),"Great quality!")</f>
        <v>Great quality!</v>
      </c>
      <c r="E968" s="8" t="str">
        <f>IFERROR(__xludf.DUMMYFUNCTION("""COMPUTED_VALUE"""),"Love this shirt. tried it on in 2 of the colors and both were very flattering. the quality of the shirt is great. worth the price for sure!")</f>
        <v>Love this shirt. tried it on in 2 of the colors and both were very flattering. the quality of the shirt is great. worth the price for sure!</v>
      </c>
      <c r="F968" s="8">
        <f>IFERROR(__xludf.DUMMYFUNCTION("""COMPUTED_VALUE"""),5.0)</f>
        <v>5</v>
      </c>
      <c r="G968" s="8">
        <f>IFERROR(__xludf.DUMMYFUNCTION("""COMPUTED_VALUE"""),1.0)</f>
        <v>1</v>
      </c>
      <c r="H968" s="8">
        <f>IFERROR(__xludf.DUMMYFUNCTION("""COMPUTED_VALUE"""),1.0)</f>
        <v>1</v>
      </c>
      <c r="I968" s="8" t="str">
        <f>IFERROR(__xludf.DUMMYFUNCTION("""COMPUTED_VALUE"""),"General")</f>
        <v>General</v>
      </c>
      <c r="J968" s="8" t="str">
        <f>IFERROR(__xludf.DUMMYFUNCTION("""COMPUTED_VALUE"""),"Tops")</f>
        <v>Tops</v>
      </c>
      <c r="K968" s="8" t="str">
        <f>IFERROR(__xludf.DUMMYFUNCTION("""COMPUTED_VALUE"""),"Blouses")</f>
        <v>Blouses</v>
      </c>
    </row>
    <row r="969">
      <c r="A969" s="8">
        <f>IFERROR(__xludf.DUMMYFUNCTION("""COMPUTED_VALUE"""),1271.0)</f>
        <v>1271</v>
      </c>
      <c r="B969" s="8">
        <f>IFERROR(__xludf.DUMMYFUNCTION("""COMPUTED_VALUE"""),850.0)</f>
        <v>850</v>
      </c>
      <c r="C969" s="8">
        <f>IFERROR(__xludf.DUMMYFUNCTION("""COMPUTED_VALUE"""),54.0)</f>
        <v>54</v>
      </c>
      <c r="D969" s="8"/>
      <c r="E969" s="8" t="str">
        <f>IFERROR(__xludf.DUMMYFUNCTION("""COMPUTED_VALUE"""),"Love this top! i receive so many compliments wearing it, even from my teenage boys! runs large, but that's the style of it, very flowy. very flattering.")</f>
        <v>Love this top! i receive so many compliments wearing it, even from my teenage boys! runs large, but that's the style of it, very flowy. very flattering.</v>
      </c>
      <c r="F969" s="8">
        <f>IFERROR(__xludf.DUMMYFUNCTION("""COMPUTED_VALUE"""),5.0)</f>
        <v>5</v>
      </c>
      <c r="G969" s="8">
        <f>IFERROR(__xludf.DUMMYFUNCTION("""COMPUTED_VALUE"""),1.0)</f>
        <v>1</v>
      </c>
      <c r="H969" s="8">
        <f>IFERROR(__xludf.DUMMYFUNCTION("""COMPUTED_VALUE"""),0.0)</f>
        <v>0</v>
      </c>
      <c r="I969" s="8" t="str">
        <f>IFERROR(__xludf.DUMMYFUNCTION("""COMPUTED_VALUE"""),"General")</f>
        <v>General</v>
      </c>
      <c r="J969" s="8" t="str">
        <f>IFERROR(__xludf.DUMMYFUNCTION("""COMPUTED_VALUE"""),"Tops")</f>
        <v>Tops</v>
      </c>
      <c r="K969" s="8" t="str">
        <f>IFERROR(__xludf.DUMMYFUNCTION("""COMPUTED_VALUE"""),"Blouses")</f>
        <v>Blouses</v>
      </c>
    </row>
    <row r="970">
      <c r="A970" s="8">
        <f>IFERROR(__xludf.DUMMYFUNCTION("""COMPUTED_VALUE"""),1274.0)</f>
        <v>1274</v>
      </c>
      <c r="B970" s="8">
        <f>IFERROR(__xludf.DUMMYFUNCTION("""COMPUTED_VALUE"""),1095.0)</f>
        <v>1095</v>
      </c>
      <c r="C970" s="8">
        <f>IFERROR(__xludf.DUMMYFUNCTION("""COMPUTED_VALUE"""),45.0)</f>
        <v>45</v>
      </c>
      <c r="D970" s="8" t="str">
        <f>IFERROR(__xludf.DUMMYFUNCTION("""COMPUTED_VALUE"""),"Beautiful")</f>
        <v>Beautiful</v>
      </c>
      <c r="E970" s="8" t="str">
        <f>IFERROR(__xludf.DUMMYFUNCTION("""COMPUTED_VALUE"""),"The rose color is lighter than the photo of the model in front of the pink building, but on the other photos it does look lighter so i wasn't surprised.  my dress fits very nicely. i love the drop waist, the loose fit at the hips, and the flare of the ruf"&amp;"fles.  the back is just like the model too. i thought it may be boxy but it comes in at the waist and goes a-line. perfect. i ordered the xl because it wanted it to be loose like on the model.  i was afraid because of my large dd chest it would")</f>
        <v>The rose color is lighter than the photo of the model in front of the pink building, but on the other photos it does look lighter so i wasn't surprised.  my dress fits very nicely. i love the drop waist, the loose fit at the hips, and the flare of the ruffles.  the back is just like the model too. i thought it may be boxy but it comes in at the waist and goes a-line. perfect. i ordered the xl because it wanted it to be loose like on the model.  i was afraid because of my large dd chest it would</v>
      </c>
      <c r="F970" s="8">
        <f>IFERROR(__xludf.DUMMYFUNCTION("""COMPUTED_VALUE"""),4.0)</f>
        <v>4</v>
      </c>
      <c r="G970" s="8">
        <f>IFERROR(__xludf.DUMMYFUNCTION("""COMPUTED_VALUE"""),1.0)</f>
        <v>1</v>
      </c>
      <c r="H970" s="8">
        <f>IFERROR(__xludf.DUMMYFUNCTION("""COMPUTED_VALUE"""),65.0)</f>
        <v>65</v>
      </c>
      <c r="I970" s="8" t="str">
        <f>IFERROR(__xludf.DUMMYFUNCTION("""COMPUTED_VALUE"""),"General")</f>
        <v>General</v>
      </c>
      <c r="J970" s="8" t="str">
        <f>IFERROR(__xludf.DUMMYFUNCTION("""COMPUTED_VALUE"""),"Dresses")</f>
        <v>Dresses</v>
      </c>
      <c r="K970" s="8" t="str">
        <f>IFERROR(__xludf.DUMMYFUNCTION("""COMPUTED_VALUE"""),"Dresses")</f>
        <v>Dresses</v>
      </c>
    </row>
    <row r="971">
      <c r="A971" s="8">
        <f>IFERROR(__xludf.DUMMYFUNCTION("""COMPUTED_VALUE"""),1275.0)</f>
        <v>1275</v>
      </c>
      <c r="B971" s="8">
        <f>IFERROR(__xludf.DUMMYFUNCTION("""COMPUTED_VALUE"""),850.0)</f>
        <v>850</v>
      </c>
      <c r="C971" s="8">
        <f>IFERROR(__xludf.DUMMYFUNCTION("""COMPUTED_VALUE"""),34.0)</f>
        <v>34</v>
      </c>
      <c r="D971" s="8" t="str">
        <f>IFERROR(__xludf.DUMMYFUNCTION("""COMPUTED_VALUE"""),"Fun top for all seasons")</f>
        <v>Fun top for all seasons</v>
      </c>
      <c r="E971" s="8" t="str">
        <f>IFERROR(__xludf.DUMMYFUNCTION("""COMPUTED_VALUE"""),"I am so happy i purchased this top in 2 colors while it was on sale. i have the navy/white pattern and the green. both are vibrant and fun. i'm 8 months pregnant and these fit me currently. i can see them being a great top for post baby and on as well. i'"&amp;"ll probably layer this in the fall and winter with a chambray jacket or a loose knit sweater. my only complaint (which is why i gave 4 stars) the top button comes undone very easily. it also pulls a bit at the top 2 buttons, but i may be able to")</f>
        <v>I am so happy i purchased this top in 2 colors while it was on sale. i have the navy/white pattern and the green. both are vibrant and fun. i'm 8 months pregnant and these fit me currently. i can see them being a great top for post baby and on as well. i'll probably layer this in the fall and winter with a chambray jacket or a loose knit sweater. my only complaint (which is why i gave 4 stars) the top button comes undone very easily. it also pulls a bit at the top 2 buttons, but i may be able to</v>
      </c>
      <c r="F971" s="8">
        <f>IFERROR(__xludf.DUMMYFUNCTION("""COMPUTED_VALUE"""),4.0)</f>
        <v>4</v>
      </c>
      <c r="G971" s="8">
        <f>IFERROR(__xludf.DUMMYFUNCTION("""COMPUTED_VALUE"""),1.0)</f>
        <v>1</v>
      </c>
      <c r="H971" s="8">
        <f>IFERROR(__xludf.DUMMYFUNCTION("""COMPUTED_VALUE"""),0.0)</f>
        <v>0</v>
      </c>
      <c r="I971" s="8" t="str">
        <f>IFERROR(__xludf.DUMMYFUNCTION("""COMPUTED_VALUE"""),"General")</f>
        <v>General</v>
      </c>
      <c r="J971" s="8" t="str">
        <f>IFERROR(__xludf.DUMMYFUNCTION("""COMPUTED_VALUE"""),"Tops")</f>
        <v>Tops</v>
      </c>
      <c r="K971" s="8" t="str">
        <f>IFERROR(__xludf.DUMMYFUNCTION("""COMPUTED_VALUE"""),"Blouses")</f>
        <v>Blouses</v>
      </c>
    </row>
    <row r="972">
      <c r="A972" s="8">
        <f>IFERROR(__xludf.DUMMYFUNCTION("""COMPUTED_VALUE"""),1276.0)</f>
        <v>1276</v>
      </c>
      <c r="B972" s="8">
        <f>IFERROR(__xludf.DUMMYFUNCTION("""COMPUTED_VALUE"""),850.0)</f>
        <v>850</v>
      </c>
      <c r="C972" s="8">
        <f>IFERROR(__xludf.DUMMYFUNCTION("""COMPUTED_VALUE"""),37.0)</f>
        <v>37</v>
      </c>
      <c r="D972" s="8" t="str">
        <f>IFERROR(__xludf.DUMMYFUNCTION("""COMPUTED_VALUE"""),"Very flattering and comfy")</f>
        <v>Very flattering and comfy</v>
      </c>
      <c r="E972" s="8" t="str">
        <f>IFERROR(__xludf.DUMMYFUNCTION("""COMPUTED_VALUE"""),"I'm so short that this could be a dress! runs a little big, but very forgiving. the green color is so vibrant! love love love!")</f>
        <v>I'm so short that this could be a dress! runs a little big, but very forgiving. the green color is so vibrant! love love love!</v>
      </c>
      <c r="F972" s="8">
        <f>IFERROR(__xludf.DUMMYFUNCTION("""COMPUTED_VALUE"""),5.0)</f>
        <v>5</v>
      </c>
      <c r="G972" s="8">
        <f>IFERROR(__xludf.DUMMYFUNCTION("""COMPUTED_VALUE"""),1.0)</f>
        <v>1</v>
      </c>
      <c r="H972" s="8">
        <f>IFERROR(__xludf.DUMMYFUNCTION("""COMPUTED_VALUE"""),2.0)</f>
        <v>2</v>
      </c>
      <c r="I972" s="8" t="str">
        <f>IFERROR(__xludf.DUMMYFUNCTION("""COMPUTED_VALUE"""),"General")</f>
        <v>General</v>
      </c>
      <c r="J972" s="8" t="str">
        <f>IFERROR(__xludf.DUMMYFUNCTION("""COMPUTED_VALUE"""),"Tops")</f>
        <v>Tops</v>
      </c>
      <c r="K972" s="8" t="str">
        <f>IFERROR(__xludf.DUMMYFUNCTION("""COMPUTED_VALUE"""),"Blouses")</f>
        <v>Blouses</v>
      </c>
    </row>
    <row r="973">
      <c r="A973" s="8">
        <f>IFERROR(__xludf.DUMMYFUNCTION("""COMPUTED_VALUE"""),1277.0)</f>
        <v>1277</v>
      </c>
      <c r="B973" s="8">
        <f>IFERROR(__xludf.DUMMYFUNCTION("""COMPUTED_VALUE"""),850.0)</f>
        <v>850</v>
      </c>
      <c r="C973" s="8">
        <f>IFERROR(__xludf.DUMMYFUNCTION("""COMPUTED_VALUE"""),49.0)</f>
        <v>49</v>
      </c>
      <c r="D973" s="8" t="str">
        <f>IFERROR(__xludf.DUMMYFUNCTION("""COMPUTED_VALUE"""),"Blouse")</f>
        <v>Blouse</v>
      </c>
      <c r="E973" s="8" t="str">
        <f>IFERROR(__xludf.DUMMYFUNCTION("""COMPUTED_VALUE"""),"This light blouse is beautiful and true to size. i ordered the black one and love it!
i would recommend this product")</f>
        <v>This light blouse is beautiful and true to size. i ordered the black one and love it!
i would recommend this product</v>
      </c>
      <c r="F973" s="8">
        <f>IFERROR(__xludf.DUMMYFUNCTION("""COMPUTED_VALUE"""),5.0)</f>
        <v>5</v>
      </c>
      <c r="G973" s="8">
        <f>IFERROR(__xludf.DUMMYFUNCTION("""COMPUTED_VALUE"""),1.0)</f>
        <v>1</v>
      </c>
      <c r="H973" s="8">
        <f>IFERROR(__xludf.DUMMYFUNCTION("""COMPUTED_VALUE"""),0.0)</f>
        <v>0</v>
      </c>
      <c r="I973" s="8" t="str">
        <f>IFERROR(__xludf.DUMMYFUNCTION("""COMPUTED_VALUE"""),"General")</f>
        <v>General</v>
      </c>
      <c r="J973" s="8" t="str">
        <f>IFERROR(__xludf.DUMMYFUNCTION("""COMPUTED_VALUE"""),"Tops")</f>
        <v>Tops</v>
      </c>
      <c r="K973" s="8" t="str">
        <f>IFERROR(__xludf.DUMMYFUNCTION("""COMPUTED_VALUE"""),"Blouses")</f>
        <v>Blouses</v>
      </c>
    </row>
    <row r="974">
      <c r="A974" s="8">
        <f>IFERROR(__xludf.DUMMYFUNCTION("""COMPUTED_VALUE"""),1278.0)</f>
        <v>1278</v>
      </c>
      <c r="B974" s="8">
        <f>IFERROR(__xludf.DUMMYFUNCTION("""COMPUTED_VALUE"""),850.0)</f>
        <v>850</v>
      </c>
      <c r="C974" s="8">
        <f>IFERROR(__xludf.DUMMYFUNCTION("""COMPUTED_VALUE"""),59.0)</f>
        <v>59</v>
      </c>
      <c r="D974" s="8" t="str">
        <f>IFERROR(__xludf.DUMMYFUNCTION("""COMPUTED_VALUE"""),"Beautiful")</f>
        <v>Beautiful</v>
      </c>
      <c r="E974" s="8" t="str">
        <f>IFERROR(__xludf.DUMMYFUNCTION("""COMPUTED_VALUE"""),"Stopped in to my local retailer today specifically for this top. i was pleasantly surprised - the green is even more vibrant in person! just gorgeous. typically a size small but based on reviews tried on the extra small. still a tad roomy but portland doe"&amp;"sn't carry petite sizing aaaaandidon'twanttopayforshipping... remedy that, retailer portland!")</f>
        <v>Stopped in to my local retailer today specifically for this top. i was pleasantly surprised - the green is even more vibrant in person! just gorgeous. typically a size small but based on reviews tried on the extra small. still a tad roomy but portland doesn't carry petite sizing aaaaandidon'twanttopayforshipping... remedy that, retailer portland!</v>
      </c>
      <c r="F974" s="8">
        <f>IFERROR(__xludf.DUMMYFUNCTION("""COMPUTED_VALUE"""),5.0)</f>
        <v>5</v>
      </c>
      <c r="G974" s="8">
        <f>IFERROR(__xludf.DUMMYFUNCTION("""COMPUTED_VALUE"""),1.0)</f>
        <v>1</v>
      </c>
      <c r="H974" s="8">
        <f>IFERROR(__xludf.DUMMYFUNCTION("""COMPUTED_VALUE"""),8.0)</f>
        <v>8</v>
      </c>
      <c r="I974" s="8" t="str">
        <f>IFERROR(__xludf.DUMMYFUNCTION("""COMPUTED_VALUE"""),"General")</f>
        <v>General</v>
      </c>
      <c r="J974" s="8" t="str">
        <f>IFERROR(__xludf.DUMMYFUNCTION("""COMPUTED_VALUE"""),"Tops")</f>
        <v>Tops</v>
      </c>
      <c r="K974" s="8" t="str">
        <f>IFERROR(__xludf.DUMMYFUNCTION("""COMPUTED_VALUE"""),"Blouses")</f>
        <v>Blouses</v>
      </c>
    </row>
    <row r="975">
      <c r="A975" s="8">
        <f>IFERROR(__xludf.DUMMYFUNCTION("""COMPUTED_VALUE"""),1280.0)</f>
        <v>1280</v>
      </c>
      <c r="B975" s="8">
        <f>IFERROR(__xludf.DUMMYFUNCTION("""COMPUTED_VALUE"""),940.0)</f>
        <v>940</v>
      </c>
      <c r="C975" s="8">
        <f>IFERROR(__xludf.DUMMYFUNCTION("""COMPUTED_VALUE"""),48.0)</f>
        <v>48</v>
      </c>
      <c r="D975" s="8" t="str">
        <f>IFERROR(__xludf.DUMMYFUNCTION("""COMPUTED_VALUE"""),"Great fall piece")</f>
        <v>Great fall piece</v>
      </c>
      <c r="E975" s="8" t="str">
        <f>IFERROR(__xludf.DUMMYFUNCTION("""COMPUTED_VALUE"""),"This sweater poncho is a nice versatile piece to wear in the fall. wear a blouse or tee under for extra warmth for the maine winters. love the side buttons and the uniqueness of this poncho. true to size, great color. lot's of compliments.")</f>
        <v>This sweater poncho is a nice versatile piece to wear in the fall. wear a blouse or tee under for extra warmth for the maine winters. love the side buttons and the uniqueness of this poncho. true to size, great color. lot's of compliments.</v>
      </c>
      <c r="F975" s="8">
        <f>IFERROR(__xludf.DUMMYFUNCTION("""COMPUTED_VALUE"""),5.0)</f>
        <v>5</v>
      </c>
      <c r="G975" s="8">
        <f>IFERROR(__xludf.DUMMYFUNCTION("""COMPUTED_VALUE"""),1.0)</f>
        <v>1</v>
      </c>
      <c r="H975" s="8">
        <f>IFERROR(__xludf.DUMMYFUNCTION("""COMPUTED_VALUE"""),2.0)</f>
        <v>2</v>
      </c>
      <c r="I975" s="8" t="str">
        <f>IFERROR(__xludf.DUMMYFUNCTION("""COMPUTED_VALUE"""),"General Petite")</f>
        <v>General Petite</v>
      </c>
      <c r="J975" s="8" t="str">
        <f>IFERROR(__xludf.DUMMYFUNCTION("""COMPUTED_VALUE"""),"Tops")</f>
        <v>Tops</v>
      </c>
      <c r="K975" s="8" t="str">
        <f>IFERROR(__xludf.DUMMYFUNCTION("""COMPUTED_VALUE"""),"Sweaters")</f>
        <v>Sweaters</v>
      </c>
    </row>
    <row r="976">
      <c r="A976" s="8">
        <f>IFERROR(__xludf.DUMMYFUNCTION("""COMPUTED_VALUE"""),1281.0)</f>
        <v>1281</v>
      </c>
      <c r="B976" s="8">
        <f>IFERROR(__xludf.DUMMYFUNCTION("""COMPUTED_VALUE"""),875.0)</f>
        <v>875</v>
      </c>
      <c r="C976" s="8">
        <f>IFERROR(__xludf.DUMMYFUNCTION("""COMPUTED_VALUE"""),50.0)</f>
        <v>50</v>
      </c>
      <c r="D976" s="8" t="str">
        <f>IFERROR(__xludf.DUMMYFUNCTION("""COMPUTED_VALUE"""),"Super cute")</f>
        <v>Super cute</v>
      </c>
      <c r="E976" s="8" t="str">
        <f>IFERROR(__xludf.DUMMYFUNCTION("""COMPUTED_VALUE"""),"Love this top. bought it in both color ways. just adorable and washes well. great option for larger ladies. 
retailer needs to provide more xls to be available in the stores. i shop at the pasadena store and see so many women my size shopping right next t"&amp;"o me, and there is nothing for us. it is so sad that we want to spend our money with you, but you don't want it.")</f>
        <v>Love this top. bought it in both color ways. just adorable and washes well. great option for larger ladies. 
retailer needs to provide more xls to be available in the stores. i shop at the pasadena store and see so many women my size shopping right next to me, and there is nothing for us. it is so sad that we want to spend our money with you, but you don't want it.</v>
      </c>
      <c r="F976" s="8">
        <f>IFERROR(__xludf.DUMMYFUNCTION("""COMPUTED_VALUE"""),5.0)</f>
        <v>5</v>
      </c>
      <c r="G976" s="8">
        <f>IFERROR(__xludf.DUMMYFUNCTION("""COMPUTED_VALUE"""),1.0)</f>
        <v>1</v>
      </c>
      <c r="H976" s="8">
        <f>IFERROR(__xludf.DUMMYFUNCTION("""COMPUTED_VALUE"""),1.0)</f>
        <v>1</v>
      </c>
      <c r="I976" s="8" t="str">
        <f>IFERROR(__xludf.DUMMYFUNCTION("""COMPUTED_VALUE"""),"General")</f>
        <v>General</v>
      </c>
      <c r="J976" s="8" t="str">
        <f>IFERROR(__xludf.DUMMYFUNCTION("""COMPUTED_VALUE"""),"Tops")</f>
        <v>Tops</v>
      </c>
      <c r="K976" s="8" t="str">
        <f>IFERROR(__xludf.DUMMYFUNCTION("""COMPUTED_VALUE"""),"Knits")</f>
        <v>Knits</v>
      </c>
    </row>
    <row r="977">
      <c r="A977" s="8">
        <f>IFERROR(__xludf.DUMMYFUNCTION("""COMPUTED_VALUE"""),1282.0)</f>
        <v>1282</v>
      </c>
      <c r="B977" s="8">
        <f>IFERROR(__xludf.DUMMYFUNCTION("""COMPUTED_VALUE"""),868.0)</f>
        <v>868</v>
      </c>
      <c r="C977" s="8">
        <f>IFERROR(__xludf.DUMMYFUNCTION("""COMPUTED_VALUE"""),38.0)</f>
        <v>38</v>
      </c>
      <c r="D977" s="8" t="str">
        <f>IFERROR(__xludf.DUMMYFUNCTION("""COMPUTED_VALUE"""),"Comfortable style")</f>
        <v>Comfortable style</v>
      </c>
      <c r="E977" s="8" t="str">
        <f>IFERROR(__xludf.DUMMYFUNCTION("""COMPUTED_VALUE"""),"Like the extra details on the neck and back - and it's versatile to wear everywhere")</f>
        <v>Like the extra details on the neck and back - and it's versatile to wear everywhere</v>
      </c>
      <c r="F977" s="8">
        <f>IFERROR(__xludf.DUMMYFUNCTION("""COMPUTED_VALUE"""),4.0)</f>
        <v>4</v>
      </c>
      <c r="G977" s="8">
        <f>IFERROR(__xludf.DUMMYFUNCTION("""COMPUTED_VALUE"""),1.0)</f>
        <v>1</v>
      </c>
      <c r="H977" s="8">
        <f>IFERROR(__xludf.DUMMYFUNCTION("""COMPUTED_VALUE"""),3.0)</f>
        <v>3</v>
      </c>
      <c r="I977" s="8" t="str">
        <f>IFERROR(__xludf.DUMMYFUNCTION("""COMPUTED_VALUE"""),"General")</f>
        <v>General</v>
      </c>
      <c r="J977" s="8" t="str">
        <f>IFERROR(__xludf.DUMMYFUNCTION("""COMPUTED_VALUE"""),"Tops")</f>
        <v>Tops</v>
      </c>
      <c r="K977" s="8" t="str">
        <f>IFERROR(__xludf.DUMMYFUNCTION("""COMPUTED_VALUE"""),"Knits")</f>
        <v>Knits</v>
      </c>
    </row>
    <row r="978">
      <c r="A978" s="8">
        <f>IFERROR(__xludf.DUMMYFUNCTION("""COMPUTED_VALUE"""),1283.0)</f>
        <v>1283</v>
      </c>
      <c r="B978" s="8">
        <f>IFERROR(__xludf.DUMMYFUNCTION("""COMPUTED_VALUE"""),850.0)</f>
        <v>850</v>
      </c>
      <c r="C978" s="8">
        <f>IFERROR(__xludf.DUMMYFUNCTION("""COMPUTED_VALUE"""),33.0)</f>
        <v>33</v>
      </c>
      <c r="D978" s="8" t="str">
        <f>IFERROR(__xludf.DUMMYFUNCTION("""COMPUTED_VALUE"""),"Versatile blouse!")</f>
        <v>Versatile blouse!</v>
      </c>
      <c r="E978" s="8" t="str">
        <f>IFERROR(__xludf.DUMMYFUNCTION("""COMPUTED_VALUE"""),"Agree with other contributer - this is a great piece to snag on sale. i bought this 2 months post partum with the intention of hiding the post baby belly - which is does well! i think it fits true to size (i'm typically l and this l fit well). i can see h"&amp;"ow certain body types it would look maternity, but i'm short and curvy and the blouse is flattering. it's lightweight, so i plan to add a cardigan in the fall/winter.")</f>
        <v>Agree with other contributer - this is a great piece to snag on sale. i bought this 2 months post partum with the intention of hiding the post baby belly - which is does well! i think it fits true to size (i'm typically l and this l fit well). i can see how certain body types it would look maternity, but i'm short and curvy and the blouse is flattering. it's lightweight, so i plan to add a cardigan in the fall/winter.</v>
      </c>
      <c r="F978" s="8">
        <f>IFERROR(__xludf.DUMMYFUNCTION("""COMPUTED_VALUE"""),4.0)</f>
        <v>4</v>
      </c>
      <c r="G978" s="8">
        <f>IFERROR(__xludf.DUMMYFUNCTION("""COMPUTED_VALUE"""),1.0)</f>
        <v>1</v>
      </c>
      <c r="H978" s="8">
        <f>IFERROR(__xludf.DUMMYFUNCTION("""COMPUTED_VALUE"""),0.0)</f>
        <v>0</v>
      </c>
      <c r="I978" s="8" t="str">
        <f>IFERROR(__xludf.DUMMYFUNCTION("""COMPUTED_VALUE"""),"General")</f>
        <v>General</v>
      </c>
      <c r="J978" s="8" t="str">
        <f>IFERROR(__xludf.DUMMYFUNCTION("""COMPUTED_VALUE"""),"Tops")</f>
        <v>Tops</v>
      </c>
      <c r="K978" s="8" t="str">
        <f>IFERROR(__xludf.DUMMYFUNCTION("""COMPUTED_VALUE"""),"Blouses")</f>
        <v>Blouses</v>
      </c>
    </row>
    <row r="979">
      <c r="A979" s="8">
        <f>IFERROR(__xludf.DUMMYFUNCTION("""COMPUTED_VALUE"""),1285.0)</f>
        <v>1285</v>
      </c>
      <c r="B979" s="8">
        <f>IFERROR(__xludf.DUMMYFUNCTION("""COMPUTED_VALUE"""),979.0)</f>
        <v>979</v>
      </c>
      <c r="C979" s="8">
        <f>IFERROR(__xludf.DUMMYFUNCTION("""COMPUTED_VALUE"""),37.0)</f>
        <v>37</v>
      </c>
      <c r="D979" s="8" t="str">
        <f>IFERROR(__xludf.DUMMYFUNCTION("""COMPUTED_VALUE"""),"Cozy amazingness!!")</f>
        <v>Cozy amazingness!!</v>
      </c>
      <c r="E979" s="8" t="str">
        <f>IFERROR(__xludf.DUMMYFUNCTION("""COMPUTED_VALUE"""),"This beauty arrived in my store today...and despite all my gals telling me that i own too many vests, i just had to have this one. i've always wanted a cozy fur or sherpa vest...but i'm curvy and always feel like those add bulk. this one only has sherpa o"&amp;"n one side (the softest most cozy sherpa ever) and its not too bulky! the print is even better than it appears online...in fact, the vest almost appears pink online, and its not in person. there is much more variation in color in person! i adore")</f>
        <v>This beauty arrived in my store today...and despite all my gals telling me that i own too many vests, i just had to have this one. i've always wanted a cozy fur or sherpa vest...but i'm curvy and always feel like those add bulk. this one only has sherpa on one side (the softest most cozy sherpa ever) and its not too bulky! the print is even better than it appears online...in fact, the vest almost appears pink online, and its not in person. there is much more variation in color in person! i adore</v>
      </c>
      <c r="F979" s="8">
        <f>IFERROR(__xludf.DUMMYFUNCTION("""COMPUTED_VALUE"""),5.0)</f>
        <v>5</v>
      </c>
      <c r="G979" s="8">
        <f>IFERROR(__xludf.DUMMYFUNCTION("""COMPUTED_VALUE"""),1.0)</f>
        <v>1</v>
      </c>
      <c r="H979" s="8">
        <f>IFERROR(__xludf.DUMMYFUNCTION("""COMPUTED_VALUE"""),1.0)</f>
        <v>1</v>
      </c>
      <c r="I979" s="8" t="str">
        <f>IFERROR(__xludf.DUMMYFUNCTION("""COMPUTED_VALUE"""),"General")</f>
        <v>General</v>
      </c>
      <c r="J979" s="8" t="str">
        <f>IFERROR(__xludf.DUMMYFUNCTION("""COMPUTED_VALUE"""),"Jackets")</f>
        <v>Jackets</v>
      </c>
      <c r="K979" s="8" t="str">
        <f>IFERROR(__xludf.DUMMYFUNCTION("""COMPUTED_VALUE"""),"Jackets")</f>
        <v>Jackets</v>
      </c>
    </row>
    <row r="980">
      <c r="A980" s="8">
        <f>IFERROR(__xludf.DUMMYFUNCTION("""COMPUTED_VALUE"""),1286.0)</f>
        <v>1286</v>
      </c>
      <c r="B980" s="8">
        <f>IFERROR(__xludf.DUMMYFUNCTION("""COMPUTED_VALUE"""),875.0)</f>
        <v>875</v>
      </c>
      <c r="C980" s="8">
        <f>IFERROR(__xludf.DUMMYFUNCTION("""COMPUTED_VALUE"""),37.0)</f>
        <v>37</v>
      </c>
      <c r="D980" s="8" t="str">
        <f>IFERROR(__xludf.DUMMYFUNCTION("""COMPUTED_VALUE"""),"Cute and fun top!")</f>
        <v>Cute and fun top!</v>
      </c>
      <c r="E980" s="8" t="str">
        <f>IFERROR(__xludf.DUMMYFUNCTION("""COMPUTED_VALUE"""),"I love swing tops. the more swingy, the better! this top is so fun. its a little hard to tell online, but its made of two fabrics. most of the fabric is a thin t-shirt material, and then theres a panel on one side thats more of a silky fabric. its so so c"&amp;"ool! the colors are just as they appear online, and the print is fun and edgy. i have larger arms, so i love the length of the sleeves. the other reviewer said it was cropped, but i did not have that experience. in fact i was able to wear mine w")</f>
        <v>I love swing tops. the more swingy, the better! this top is so fun. its a little hard to tell online, but its made of two fabrics. most of the fabric is a thin t-shirt material, and then theres a panel on one side thats more of a silky fabric. its so so cool! the colors are just as they appear online, and the print is fun and edgy. i have larger arms, so i love the length of the sleeves. the other reviewer said it was cropped, but i did not have that experience. in fact i was able to wear mine w</v>
      </c>
      <c r="F980" s="8">
        <f>IFERROR(__xludf.DUMMYFUNCTION("""COMPUTED_VALUE"""),5.0)</f>
        <v>5</v>
      </c>
      <c r="G980" s="8">
        <f>IFERROR(__xludf.DUMMYFUNCTION("""COMPUTED_VALUE"""),1.0)</f>
        <v>1</v>
      </c>
      <c r="H980" s="8">
        <f>IFERROR(__xludf.DUMMYFUNCTION("""COMPUTED_VALUE"""),5.0)</f>
        <v>5</v>
      </c>
      <c r="I980" s="8" t="str">
        <f>IFERROR(__xludf.DUMMYFUNCTION("""COMPUTED_VALUE"""),"General")</f>
        <v>General</v>
      </c>
      <c r="J980" s="8" t="str">
        <f>IFERROR(__xludf.DUMMYFUNCTION("""COMPUTED_VALUE"""),"Tops")</f>
        <v>Tops</v>
      </c>
      <c r="K980" s="8" t="str">
        <f>IFERROR(__xludf.DUMMYFUNCTION("""COMPUTED_VALUE"""),"Knits")</f>
        <v>Knits</v>
      </c>
    </row>
    <row r="981">
      <c r="A981" s="8">
        <f>IFERROR(__xludf.DUMMYFUNCTION("""COMPUTED_VALUE"""),1287.0)</f>
        <v>1287</v>
      </c>
      <c r="B981" s="8">
        <f>IFERROR(__xludf.DUMMYFUNCTION("""COMPUTED_VALUE"""),1095.0)</f>
        <v>1095</v>
      </c>
      <c r="C981" s="8">
        <f>IFERROR(__xludf.DUMMYFUNCTION("""COMPUTED_VALUE"""),23.0)</f>
        <v>23</v>
      </c>
      <c r="D981" s="8" t="str">
        <f>IFERROR(__xludf.DUMMYFUNCTION("""COMPUTED_VALUE"""),"Lovely, unique and odd")</f>
        <v>Lovely, unique and odd</v>
      </c>
      <c r="E981" s="8" t="str">
        <f>IFERROR(__xludf.DUMMYFUNCTION("""COMPUTED_VALUE"""),"I really wanted to love this dress. two lovely associates paired it with the desideria bib necklace and the black dakota cardigan, which gives the outfit definition and elegance. but the dress by itself would have needed altering to fit my 34-b top. i cho"&amp;"se size m because of the length-- the small was 1 1/2 "" shorter in front (i am 5'8"") in the end, i realized i would probably choose my other favorites from my closet. but it will be stunning on the right person.")</f>
        <v>I really wanted to love this dress. two lovely associates paired it with the desideria bib necklace and the black dakota cardigan, which gives the outfit definition and elegance. but the dress by itself would have needed altering to fit my 34-b top. i chose size m because of the length-- the small was 1 1/2 " shorter in front (i am 5'8") in the end, i realized i would probably choose my other favorites from my closet. but it will be stunning on the right person.</v>
      </c>
      <c r="F981" s="8">
        <f>IFERROR(__xludf.DUMMYFUNCTION("""COMPUTED_VALUE"""),5.0)</f>
        <v>5</v>
      </c>
      <c r="G981" s="8">
        <f>IFERROR(__xludf.DUMMYFUNCTION("""COMPUTED_VALUE"""),1.0)</f>
        <v>1</v>
      </c>
      <c r="H981" s="8">
        <f>IFERROR(__xludf.DUMMYFUNCTION("""COMPUTED_VALUE"""),6.0)</f>
        <v>6</v>
      </c>
      <c r="I981" s="8" t="str">
        <f>IFERROR(__xludf.DUMMYFUNCTION("""COMPUTED_VALUE"""),"General")</f>
        <v>General</v>
      </c>
      <c r="J981" s="8" t="str">
        <f>IFERROR(__xludf.DUMMYFUNCTION("""COMPUTED_VALUE"""),"Dresses")</f>
        <v>Dresses</v>
      </c>
      <c r="K981" s="8" t="str">
        <f>IFERROR(__xludf.DUMMYFUNCTION("""COMPUTED_VALUE"""),"Dresses")</f>
        <v>Dresses</v>
      </c>
    </row>
    <row r="982">
      <c r="A982" s="8">
        <f>IFERROR(__xludf.DUMMYFUNCTION("""COMPUTED_VALUE"""),1290.0)</f>
        <v>1290</v>
      </c>
      <c r="B982" s="8">
        <f>IFERROR(__xludf.DUMMYFUNCTION("""COMPUTED_VALUE"""),1095.0)</f>
        <v>1095</v>
      </c>
      <c r="C982" s="8">
        <f>IFERROR(__xludf.DUMMYFUNCTION("""COMPUTED_VALUE"""),35.0)</f>
        <v>35</v>
      </c>
      <c r="D982" s="8" t="str">
        <f>IFERROR(__xludf.DUMMYFUNCTION("""COMPUTED_VALUE"""),"Love it so much")</f>
        <v>Love it so much</v>
      </c>
      <c r="E982" s="8" t="str">
        <f>IFERROR(__xludf.DUMMYFUNCTION("""COMPUTED_VALUE"""),"I love this dress - originally ordered the medium, which is my normal size, especially because i am tall. the arm holes were gaping, and so i returned for the small. the small is perfect. it fits exactly as on the model, and i didn't have a problem with t"&amp;"he color being see-through. it really is so unique but so simple. the color is perfect. 
i took a single star off because it is not lined - for the price, this would have been nice.")</f>
        <v>I love this dress - originally ordered the medium, which is my normal size, especially because i am tall. the arm holes were gaping, and so i returned for the small. the small is perfect. it fits exactly as on the model, and i didn't have a problem with the color being see-through. it really is so unique but so simple. the color is perfect. 
i took a single star off because it is not lined - for the price, this would have been nice.</v>
      </c>
      <c r="F982" s="8">
        <f>IFERROR(__xludf.DUMMYFUNCTION("""COMPUTED_VALUE"""),5.0)</f>
        <v>5</v>
      </c>
      <c r="G982" s="8">
        <f>IFERROR(__xludf.DUMMYFUNCTION("""COMPUTED_VALUE"""),1.0)</f>
        <v>1</v>
      </c>
      <c r="H982" s="8">
        <f>IFERROR(__xludf.DUMMYFUNCTION("""COMPUTED_VALUE"""),7.0)</f>
        <v>7</v>
      </c>
      <c r="I982" s="8" t="str">
        <f>IFERROR(__xludf.DUMMYFUNCTION("""COMPUTED_VALUE"""),"General")</f>
        <v>General</v>
      </c>
      <c r="J982" s="8" t="str">
        <f>IFERROR(__xludf.DUMMYFUNCTION("""COMPUTED_VALUE"""),"Dresses")</f>
        <v>Dresses</v>
      </c>
      <c r="K982" s="8" t="str">
        <f>IFERROR(__xludf.DUMMYFUNCTION("""COMPUTED_VALUE"""),"Dresses")</f>
        <v>Dresses</v>
      </c>
    </row>
    <row r="983">
      <c r="A983" s="8">
        <f>IFERROR(__xludf.DUMMYFUNCTION("""COMPUTED_VALUE"""),1291.0)</f>
        <v>1291</v>
      </c>
      <c r="B983" s="8">
        <f>IFERROR(__xludf.DUMMYFUNCTION("""COMPUTED_VALUE"""),850.0)</f>
        <v>850</v>
      </c>
      <c r="C983" s="8">
        <f>IFERROR(__xludf.DUMMYFUNCTION("""COMPUTED_VALUE"""),61.0)</f>
        <v>61</v>
      </c>
      <c r="D983" s="8" t="str">
        <f>IFERROR(__xludf.DUMMYFUNCTION("""COMPUTED_VALUE"""),"Adorable top")</f>
        <v>Adorable top</v>
      </c>
      <c r="E983" s="8" t="str">
        <f>IFERROR(__xludf.DUMMYFUNCTION("""COMPUTED_VALUE"""),"This is a cute top, especially the material design. i like tops that go over my bottom and this does. if i had a problem it is with the sizing. the fact that it was only online so i could not try it on made it difficult to know really what size to get. so"&amp;"me reviews said it was true to size and others said go down a size. i did go down a size but it still hangs a little big. but i still love the overall look. i am also petite which is what i ordered.")</f>
        <v>This is a cute top, especially the material design. i like tops that go over my bottom and this does. if i had a problem it is with the sizing. the fact that it was only online so i could not try it on made it difficult to know really what size to get. some reviews said it was true to size and others said go down a size. i did go down a size but it still hangs a little big. but i still love the overall look. i am also petite which is what i ordered.</v>
      </c>
      <c r="F983" s="8">
        <f>IFERROR(__xludf.DUMMYFUNCTION("""COMPUTED_VALUE"""),4.0)</f>
        <v>4</v>
      </c>
      <c r="G983" s="8">
        <f>IFERROR(__xludf.DUMMYFUNCTION("""COMPUTED_VALUE"""),1.0)</f>
        <v>1</v>
      </c>
      <c r="H983" s="8">
        <f>IFERROR(__xludf.DUMMYFUNCTION("""COMPUTED_VALUE"""),0.0)</f>
        <v>0</v>
      </c>
      <c r="I983" s="8" t="str">
        <f>IFERROR(__xludf.DUMMYFUNCTION("""COMPUTED_VALUE"""),"General")</f>
        <v>General</v>
      </c>
      <c r="J983" s="8" t="str">
        <f>IFERROR(__xludf.DUMMYFUNCTION("""COMPUTED_VALUE"""),"Tops")</f>
        <v>Tops</v>
      </c>
      <c r="K983" s="8" t="str">
        <f>IFERROR(__xludf.DUMMYFUNCTION("""COMPUTED_VALUE"""),"Blouses")</f>
        <v>Blouses</v>
      </c>
    </row>
    <row r="984">
      <c r="A984" s="8">
        <f>IFERROR(__xludf.DUMMYFUNCTION("""COMPUTED_VALUE"""),1292.0)</f>
        <v>1292</v>
      </c>
      <c r="B984" s="8">
        <f>IFERROR(__xludf.DUMMYFUNCTION("""COMPUTED_VALUE"""),873.0)</f>
        <v>873</v>
      </c>
      <c r="C984" s="8">
        <f>IFERROR(__xludf.DUMMYFUNCTION("""COMPUTED_VALUE"""),60.0)</f>
        <v>60</v>
      </c>
      <c r="D984" s="8" t="str">
        <f>IFERROR(__xludf.DUMMYFUNCTION("""COMPUTED_VALUE"""),"Cute white tee")</f>
        <v>Cute white tee</v>
      </c>
      <c r="E984" s="8" t="str">
        <f>IFERROR(__xludf.DUMMYFUNCTION("""COMPUTED_VALUE"""),"Cute white t-shirt different style but didn't work on my body type so i returned it 
 good price point 
 basic fabric")</f>
        <v>Cute white t-shirt different style but didn't work on my body type so i returned it 
 good price point 
 basic fabric</v>
      </c>
      <c r="F984" s="8">
        <f>IFERROR(__xludf.DUMMYFUNCTION("""COMPUTED_VALUE"""),4.0)</f>
        <v>4</v>
      </c>
      <c r="G984" s="8">
        <f>IFERROR(__xludf.DUMMYFUNCTION("""COMPUTED_VALUE"""),1.0)</f>
        <v>1</v>
      </c>
      <c r="H984" s="8">
        <f>IFERROR(__xludf.DUMMYFUNCTION("""COMPUTED_VALUE"""),1.0)</f>
        <v>1</v>
      </c>
      <c r="I984" s="8" t="str">
        <f>IFERROR(__xludf.DUMMYFUNCTION("""COMPUTED_VALUE"""),"General")</f>
        <v>General</v>
      </c>
      <c r="J984" s="8" t="str">
        <f>IFERROR(__xludf.DUMMYFUNCTION("""COMPUTED_VALUE"""),"Tops")</f>
        <v>Tops</v>
      </c>
      <c r="K984" s="8" t="str">
        <f>IFERROR(__xludf.DUMMYFUNCTION("""COMPUTED_VALUE"""),"Knits")</f>
        <v>Knits</v>
      </c>
    </row>
    <row r="985">
      <c r="A985" s="8">
        <f>IFERROR(__xludf.DUMMYFUNCTION("""COMPUTED_VALUE"""),1293.0)</f>
        <v>1293</v>
      </c>
      <c r="B985" s="8">
        <f>IFERROR(__xludf.DUMMYFUNCTION("""COMPUTED_VALUE"""),850.0)</f>
        <v>850</v>
      </c>
      <c r="C985" s="8">
        <f>IFERROR(__xludf.DUMMYFUNCTION("""COMPUTED_VALUE"""),36.0)</f>
        <v>36</v>
      </c>
      <c r="D985" s="8"/>
      <c r="E985" s="8" t="str">
        <f>IFERROR(__xludf.DUMMYFUNCTION("""COMPUTED_VALUE"""),"Nice, flowy, comfy top with soft fabric. there's a lot of fabric below the waist - it could probably work as a maternity top - but it drapes nicely rather than looking overwhelming. i do find that the buttons gap a little at the chest, despite the top fit"&amp;"ting loosely on me, so i have to wear a layer under it.")</f>
        <v>Nice, flowy, comfy top with soft fabric. there's a lot of fabric below the waist - it could probably work as a maternity top - but it drapes nicely rather than looking overwhelming. i do find that the buttons gap a little at the chest, despite the top fitting loosely on me, so i have to wear a layer under it.</v>
      </c>
      <c r="F985" s="8">
        <f>IFERROR(__xludf.DUMMYFUNCTION("""COMPUTED_VALUE"""),4.0)</f>
        <v>4</v>
      </c>
      <c r="G985" s="8">
        <f>IFERROR(__xludf.DUMMYFUNCTION("""COMPUTED_VALUE"""),1.0)</f>
        <v>1</v>
      </c>
      <c r="H985" s="8">
        <f>IFERROR(__xludf.DUMMYFUNCTION("""COMPUTED_VALUE"""),0.0)</f>
        <v>0</v>
      </c>
      <c r="I985" s="8" t="str">
        <f>IFERROR(__xludf.DUMMYFUNCTION("""COMPUTED_VALUE"""),"General")</f>
        <v>General</v>
      </c>
      <c r="J985" s="8" t="str">
        <f>IFERROR(__xludf.DUMMYFUNCTION("""COMPUTED_VALUE"""),"Tops")</f>
        <v>Tops</v>
      </c>
      <c r="K985" s="8" t="str">
        <f>IFERROR(__xludf.DUMMYFUNCTION("""COMPUTED_VALUE"""),"Blouses")</f>
        <v>Blouses</v>
      </c>
    </row>
    <row r="986">
      <c r="A986" s="8">
        <f>IFERROR(__xludf.DUMMYFUNCTION("""COMPUTED_VALUE"""),1294.0)</f>
        <v>1294</v>
      </c>
      <c r="B986" s="8">
        <f>IFERROR(__xludf.DUMMYFUNCTION("""COMPUTED_VALUE"""),1095.0)</f>
        <v>1095</v>
      </c>
      <c r="C986" s="8">
        <f>IFERROR(__xludf.DUMMYFUNCTION("""COMPUTED_VALUE"""),29.0)</f>
        <v>29</v>
      </c>
      <c r="D986" s="8"/>
      <c r="E986" s="8" t="str">
        <f>IFERROR(__xludf.DUMMYFUNCTION("""COMPUTED_VALUE"""),"I've been on the hunt for the perfect dress to wear for my daughter's first birthday party. since we are throwing a traditional korean first birthday, i was looking for a dress you might wear to a daytime wedding or a fancy brunch. i just purchased this d"&amp;"ress today in the store and it fits my needs perfectly. 
i disagree with the first reviewer who mentioned that this dress was too sheer. this dress is a thicker fabric so i do not think i will need a slip when wearing it. it does drape nicely")</f>
        <v>I've been on the hunt for the perfect dress to wear for my daughter's first birthday party. since we are throwing a traditional korean first birthday, i was looking for a dress you might wear to a daytime wedding or a fancy brunch. i just purchased this dress today in the store and it fits my needs perfectly. 
i disagree with the first reviewer who mentioned that this dress was too sheer. this dress is a thicker fabric so i do not think i will need a slip when wearing it. it does drape nicely</v>
      </c>
      <c r="F986" s="8">
        <f>IFERROR(__xludf.DUMMYFUNCTION("""COMPUTED_VALUE"""),5.0)</f>
        <v>5</v>
      </c>
      <c r="G986" s="8">
        <f>IFERROR(__xludf.DUMMYFUNCTION("""COMPUTED_VALUE"""),1.0)</f>
        <v>1</v>
      </c>
      <c r="H986" s="8">
        <f>IFERROR(__xludf.DUMMYFUNCTION("""COMPUTED_VALUE"""),117.0)</f>
        <v>117</v>
      </c>
      <c r="I986" s="8" t="str">
        <f>IFERROR(__xludf.DUMMYFUNCTION("""COMPUTED_VALUE"""),"General")</f>
        <v>General</v>
      </c>
      <c r="J986" s="8" t="str">
        <f>IFERROR(__xludf.DUMMYFUNCTION("""COMPUTED_VALUE"""),"Dresses")</f>
        <v>Dresses</v>
      </c>
      <c r="K986" s="8" t="str">
        <f>IFERROR(__xludf.DUMMYFUNCTION("""COMPUTED_VALUE"""),"Dresses")</f>
        <v>Dresses</v>
      </c>
    </row>
    <row r="987">
      <c r="A987" s="8">
        <f>IFERROR(__xludf.DUMMYFUNCTION("""COMPUTED_VALUE"""),1295.0)</f>
        <v>1295</v>
      </c>
      <c r="B987" s="8">
        <f>IFERROR(__xludf.DUMMYFUNCTION("""COMPUTED_VALUE"""),875.0)</f>
        <v>875</v>
      </c>
      <c r="C987" s="8">
        <f>IFERROR(__xludf.DUMMYFUNCTION("""COMPUTED_VALUE"""),42.0)</f>
        <v>42</v>
      </c>
      <c r="D987" s="8" t="str">
        <f>IFERROR(__xludf.DUMMYFUNCTION("""COMPUTED_VALUE"""),"A unique one of a kind t shirt")</f>
        <v>A unique one of a kind t shirt</v>
      </c>
      <c r="E987" s="8" t="str">
        <f>IFERROR(__xludf.DUMMYFUNCTION("""COMPUTED_VALUE"""),"I absolutely love this shirt! even though it has a large flowy design it looks wonderful. the print is so unique and will transition to autumn beautifully! i loved it so much i got both colors.")</f>
        <v>I absolutely love this shirt! even though it has a large flowy design it looks wonderful. the print is so unique and will transition to autumn beautifully! i loved it so much i got both colors.</v>
      </c>
      <c r="F987" s="8">
        <f>IFERROR(__xludf.DUMMYFUNCTION("""COMPUTED_VALUE"""),4.0)</f>
        <v>4</v>
      </c>
      <c r="G987" s="8">
        <f>IFERROR(__xludf.DUMMYFUNCTION("""COMPUTED_VALUE"""),1.0)</f>
        <v>1</v>
      </c>
      <c r="H987" s="8">
        <f>IFERROR(__xludf.DUMMYFUNCTION("""COMPUTED_VALUE"""),1.0)</f>
        <v>1</v>
      </c>
      <c r="I987" s="8" t="str">
        <f>IFERROR(__xludf.DUMMYFUNCTION("""COMPUTED_VALUE"""),"General")</f>
        <v>General</v>
      </c>
      <c r="J987" s="8" t="str">
        <f>IFERROR(__xludf.DUMMYFUNCTION("""COMPUTED_VALUE"""),"Tops")</f>
        <v>Tops</v>
      </c>
      <c r="K987" s="8" t="str">
        <f>IFERROR(__xludf.DUMMYFUNCTION("""COMPUTED_VALUE"""),"Knits")</f>
        <v>Knits</v>
      </c>
    </row>
    <row r="988">
      <c r="A988" s="8">
        <f>IFERROR(__xludf.DUMMYFUNCTION("""COMPUTED_VALUE"""),1296.0)</f>
        <v>1296</v>
      </c>
      <c r="B988" s="8">
        <f>IFERROR(__xludf.DUMMYFUNCTION("""COMPUTED_VALUE"""),1095.0)</f>
        <v>1095</v>
      </c>
      <c r="C988" s="8">
        <f>IFERROR(__xludf.DUMMYFUNCTION("""COMPUTED_VALUE"""),56.0)</f>
        <v>56</v>
      </c>
      <c r="D988" s="8"/>
      <c r="E988" s="8" t="str">
        <f>IFERROR(__xludf.DUMMYFUNCTION("""COMPUTED_VALUE"""),"I would describe the color as more blush. the fabric does not have a sheen as in the model picture. the fit is much cuter on than hanging. i'm a 36c and the extra small is just a bit tight in the bust, otherwise i like the fit everywhere else. i'm going t"&amp;"o order a small and see how it fits. at 5' 3"" it's also longer on me than on the model but not a deal breaker. looks kind of 1920's vintage on. my fabric is not see through it's more of a twill fabric but not quite as heavy as that.")</f>
        <v>I would describe the color as more blush. the fabric does not have a sheen as in the model picture. the fit is much cuter on than hanging. i'm a 36c and the extra small is just a bit tight in the bust, otherwise i like the fit everywhere else. i'm going to order a small and see how it fits. at 5' 3" it's also longer on me than on the model but not a deal breaker. looks kind of 1920's vintage on. my fabric is not see through it's more of a twill fabric but not quite as heavy as that.</v>
      </c>
      <c r="F988" s="8">
        <f>IFERROR(__xludf.DUMMYFUNCTION("""COMPUTED_VALUE"""),4.0)</f>
        <v>4</v>
      </c>
      <c r="G988" s="8">
        <f>IFERROR(__xludf.DUMMYFUNCTION("""COMPUTED_VALUE"""),1.0)</f>
        <v>1</v>
      </c>
      <c r="H988" s="8">
        <f>IFERROR(__xludf.DUMMYFUNCTION("""COMPUTED_VALUE"""),0.0)</f>
        <v>0</v>
      </c>
      <c r="I988" s="8" t="str">
        <f>IFERROR(__xludf.DUMMYFUNCTION("""COMPUTED_VALUE"""),"General")</f>
        <v>General</v>
      </c>
      <c r="J988" s="8" t="str">
        <f>IFERROR(__xludf.DUMMYFUNCTION("""COMPUTED_VALUE"""),"Dresses")</f>
        <v>Dresses</v>
      </c>
      <c r="K988" s="8" t="str">
        <f>IFERROR(__xludf.DUMMYFUNCTION("""COMPUTED_VALUE"""),"Dresses")</f>
        <v>Dresses</v>
      </c>
    </row>
    <row r="989">
      <c r="A989" s="8">
        <f>IFERROR(__xludf.DUMMYFUNCTION("""COMPUTED_VALUE"""),1297.0)</f>
        <v>1297</v>
      </c>
      <c r="B989" s="8">
        <f>IFERROR(__xludf.DUMMYFUNCTION("""COMPUTED_VALUE"""),1095.0)</f>
        <v>1095</v>
      </c>
      <c r="C989" s="8">
        <f>IFERROR(__xludf.DUMMYFUNCTION("""COMPUTED_VALUE"""),34.0)</f>
        <v>34</v>
      </c>
      <c r="D989" s="8" t="str">
        <f>IFERROR(__xludf.DUMMYFUNCTION("""COMPUTED_VALUE"""),"Size up if busty")</f>
        <v>Size up if busty</v>
      </c>
      <c r="E989" s="8" t="str">
        <f>IFERROR(__xludf.DUMMYFUNCTION("""COMPUTED_VALUE"""),"I agree with the other reviewer that the color isn't as pink in person and more subtle. my thoughts below on some other things:
__________
pros:
- pockets! makes it so fun and chic with the overall style.
- the material is lovely and breathable. i didn't "&amp;"find it sheer at all! of course, i didn't wear it outside the dressing room. the material is thicker but it hangs on the body well.
- runs ""mostly"" tts. i only tried on the medium and it fit everywhere being slightly tighter in the chest. i")</f>
        <v>I agree with the other reviewer that the color isn't as pink in person and more subtle. my thoughts below on some other things:
__________
pros:
- pockets! makes it so fun and chic with the overall style.
- the material is lovely and breathable. i didn't find it sheer at all! of course, i didn't wear it outside the dressing room. the material is thicker but it hangs on the body well.
- runs "mostly" tts. i only tried on the medium and it fit everywhere being slightly tighter in the chest. i</v>
      </c>
      <c r="F989" s="8">
        <f>IFERROR(__xludf.DUMMYFUNCTION("""COMPUTED_VALUE"""),4.0)</f>
        <v>4</v>
      </c>
      <c r="G989" s="8">
        <f>IFERROR(__xludf.DUMMYFUNCTION("""COMPUTED_VALUE"""),1.0)</f>
        <v>1</v>
      </c>
      <c r="H989" s="8">
        <f>IFERROR(__xludf.DUMMYFUNCTION("""COMPUTED_VALUE"""),19.0)</f>
        <v>19</v>
      </c>
      <c r="I989" s="8" t="str">
        <f>IFERROR(__xludf.DUMMYFUNCTION("""COMPUTED_VALUE"""),"General")</f>
        <v>General</v>
      </c>
      <c r="J989" s="8" t="str">
        <f>IFERROR(__xludf.DUMMYFUNCTION("""COMPUTED_VALUE"""),"Dresses")</f>
        <v>Dresses</v>
      </c>
      <c r="K989" s="8" t="str">
        <f>IFERROR(__xludf.DUMMYFUNCTION("""COMPUTED_VALUE"""),"Dresses")</f>
        <v>Dresses</v>
      </c>
    </row>
    <row r="990">
      <c r="A990" s="8">
        <f>IFERROR(__xludf.DUMMYFUNCTION("""COMPUTED_VALUE"""),1298.0)</f>
        <v>1298</v>
      </c>
      <c r="B990" s="8">
        <f>IFERROR(__xludf.DUMMYFUNCTION("""COMPUTED_VALUE"""),1095.0)</f>
        <v>1095</v>
      </c>
      <c r="C990" s="8">
        <f>IFERROR(__xludf.DUMMYFUNCTION("""COMPUTED_VALUE"""),55.0)</f>
        <v>55</v>
      </c>
      <c r="D990" s="8"/>
      <c r="E990" s="8"/>
      <c r="F990" s="8">
        <f>IFERROR(__xludf.DUMMYFUNCTION("""COMPUTED_VALUE"""),5.0)</f>
        <v>5</v>
      </c>
      <c r="G990" s="8">
        <f>IFERROR(__xludf.DUMMYFUNCTION("""COMPUTED_VALUE"""),1.0)</f>
        <v>1</v>
      </c>
      <c r="H990" s="8">
        <f>IFERROR(__xludf.DUMMYFUNCTION("""COMPUTED_VALUE"""),0.0)</f>
        <v>0</v>
      </c>
      <c r="I990" s="8" t="str">
        <f>IFERROR(__xludf.DUMMYFUNCTION("""COMPUTED_VALUE"""),"General")</f>
        <v>General</v>
      </c>
      <c r="J990" s="8" t="str">
        <f>IFERROR(__xludf.DUMMYFUNCTION("""COMPUTED_VALUE"""),"Dresses")</f>
        <v>Dresses</v>
      </c>
      <c r="K990" s="8" t="str">
        <f>IFERROR(__xludf.DUMMYFUNCTION("""COMPUTED_VALUE"""),"Dresses")</f>
        <v>Dresses</v>
      </c>
    </row>
    <row r="991">
      <c r="A991" s="8">
        <f>IFERROR(__xludf.DUMMYFUNCTION("""COMPUTED_VALUE"""),1299.0)</f>
        <v>1299</v>
      </c>
      <c r="B991" s="8">
        <f>IFERROR(__xludf.DUMMYFUNCTION("""COMPUTED_VALUE"""),868.0)</f>
        <v>868</v>
      </c>
      <c r="C991" s="8">
        <f>IFERROR(__xludf.DUMMYFUNCTION("""COMPUTED_VALUE"""),42.0)</f>
        <v>42</v>
      </c>
      <c r="D991" s="8" t="str">
        <f>IFERROR(__xludf.DUMMYFUNCTION("""COMPUTED_VALUE"""),"Comfy and lovely")</f>
        <v>Comfy and lovely</v>
      </c>
      <c r="E991" s="8" t="str">
        <f>IFERROR(__xludf.DUMMYFUNCTION("""COMPUTED_VALUE"""),"This shirt is so very pretty in person. the detail on the neckline and the lace up on the back are so cute and give the shirt just a bit of whimsy, making it more unique than your usual flowy t-shirt. it lays perfectly and the material is very soft and co"&amp;"mfy. you can wear it casual or dress it up. i may get another one because this is the kind of shirt i will wear constantly!")</f>
        <v>This shirt is so very pretty in person. the detail on the neckline and the lace up on the back are so cute and give the shirt just a bit of whimsy, making it more unique than your usual flowy t-shirt. it lays perfectly and the material is very soft and comfy. you can wear it casual or dress it up. i may get another one because this is the kind of shirt i will wear constantly!</v>
      </c>
      <c r="F991" s="8">
        <f>IFERROR(__xludf.DUMMYFUNCTION("""COMPUTED_VALUE"""),5.0)</f>
        <v>5</v>
      </c>
      <c r="G991" s="8">
        <f>IFERROR(__xludf.DUMMYFUNCTION("""COMPUTED_VALUE"""),1.0)</f>
        <v>1</v>
      </c>
      <c r="H991" s="8">
        <f>IFERROR(__xludf.DUMMYFUNCTION("""COMPUTED_VALUE"""),4.0)</f>
        <v>4</v>
      </c>
      <c r="I991" s="8" t="str">
        <f>IFERROR(__xludf.DUMMYFUNCTION("""COMPUTED_VALUE"""),"General Petite")</f>
        <v>General Petite</v>
      </c>
      <c r="J991" s="8" t="str">
        <f>IFERROR(__xludf.DUMMYFUNCTION("""COMPUTED_VALUE"""),"Tops")</f>
        <v>Tops</v>
      </c>
      <c r="K991" s="8" t="str">
        <f>IFERROR(__xludf.DUMMYFUNCTION("""COMPUTED_VALUE"""),"Knits")</f>
        <v>Knits</v>
      </c>
    </row>
    <row r="992">
      <c r="A992" s="8">
        <f>IFERROR(__xludf.DUMMYFUNCTION("""COMPUTED_VALUE"""),1301.0)</f>
        <v>1301</v>
      </c>
      <c r="B992" s="8">
        <f>IFERROR(__xludf.DUMMYFUNCTION("""COMPUTED_VALUE"""),1028.0)</f>
        <v>1028</v>
      </c>
      <c r="C992" s="8">
        <f>IFERROR(__xludf.DUMMYFUNCTION("""COMPUTED_VALUE"""),35.0)</f>
        <v>35</v>
      </c>
      <c r="D992" s="8" t="str">
        <f>IFERROR(__xludf.DUMMYFUNCTION("""COMPUTED_VALUE"""),"Great denim")</f>
        <v>Great denim</v>
      </c>
      <c r="E992" s="8" t="str">
        <f>IFERROR(__xludf.DUMMYFUNCTION("""COMPUTED_VALUE"""),"I usually wear a size 28 &amp; the fit was perfect. highly recommend, many compliments.")</f>
        <v>I usually wear a size 28 &amp; the fit was perfect. highly recommend, many compliments.</v>
      </c>
      <c r="F992" s="8">
        <f>IFERROR(__xludf.DUMMYFUNCTION("""COMPUTED_VALUE"""),5.0)</f>
        <v>5</v>
      </c>
      <c r="G992" s="8">
        <f>IFERROR(__xludf.DUMMYFUNCTION("""COMPUTED_VALUE"""),1.0)</f>
        <v>1</v>
      </c>
      <c r="H992" s="8">
        <f>IFERROR(__xludf.DUMMYFUNCTION("""COMPUTED_VALUE"""),2.0)</f>
        <v>2</v>
      </c>
      <c r="I992" s="8" t="str">
        <f>IFERROR(__xludf.DUMMYFUNCTION("""COMPUTED_VALUE"""),"General")</f>
        <v>General</v>
      </c>
      <c r="J992" s="8" t="str">
        <f>IFERROR(__xludf.DUMMYFUNCTION("""COMPUTED_VALUE"""),"Bottoms")</f>
        <v>Bottoms</v>
      </c>
      <c r="K992" s="8" t="str">
        <f>IFERROR(__xludf.DUMMYFUNCTION("""COMPUTED_VALUE"""),"Jeans")</f>
        <v>Jeans</v>
      </c>
    </row>
    <row r="993">
      <c r="A993" s="8">
        <f>IFERROR(__xludf.DUMMYFUNCTION("""COMPUTED_VALUE"""),1302.0)</f>
        <v>1302</v>
      </c>
      <c r="B993" s="8">
        <f>IFERROR(__xludf.DUMMYFUNCTION("""COMPUTED_VALUE"""),1095.0)</f>
        <v>1095</v>
      </c>
      <c r="C993" s="8">
        <f>IFERROR(__xludf.DUMMYFUNCTION("""COMPUTED_VALUE"""),35.0)</f>
        <v>35</v>
      </c>
      <c r="D993" s="8" t="str">
        <f>IFERROR(__xludf.DUMMYFUNCTION("""COMPUTED_VALUE"""),"This dress is so classic!")</f>
        <v>This dress is so classic!</v>
      </c>
      <c r="E993" s="8" t="str">
        <f>IFERROR(__xludf.DUMMYFUNCTION("""COMPUTED_VALUE"""),"I fell in love with this dress from the moment i saw it in store. i tried it on immediately and knew i had to have it. it fits a little big -- definitely size down. but other than that, i have never felt more beautiful than when i wear this. the color is "&amp;"a perfect blush pink and the drop waist/tiered skirt make you feel downright bridal when wearing it, despite it being the perfect fabric for day. i find that this dress is perfect for those days at work when i have an event later.. it can be dre")</f>
        <v>I fell in love with this dress from the moment i saw it in store. i tried it on immediately and knew i had to have it. it fits a little big -- definitely size down. but other than that, i have never felt more beautiful than when i wear this. the color is a perfect blush pink and the drop waist/tiered skirt make you feel downright bridal when wearing it, despite it being the perfect fabric for day. i find that this dress is perfect for those days at work when i have an event later.. it can be dre</v>
      </c>
      <c r="F993" s="8">
        <f>IFERROR(__xludf.DUMMYFUNCTION("""COMPUTED_VALUE"""),5.0)</f>
        <v>5</v>
      </c>
      <c r="G993" s="8">
        <f>IFERROR(__xludf.DUMMYFUNCTION("""COMPUTED_VALUE"""),1.0)</f>
        <v>1</v>
      </c>
      <c r="H993" s="8">
        <f>IFERROR(__xludf.DUMMYFUNCTION("""COMPUTED_VALUE"""),8.0)</f>
        <v>8</v>
      </c>
      <c r="I993" s="8" t="str">
        <f>IFERROR(__xludf.DUMMYFUNCTION("""COMPUTED_VALUE"""),"General")</f>
        <v>General</v>
      </c>
      <c r="J993" s="8" t="str">
        <f>IFERROR(__xludf.DUMMYFUNCTION("""COMPUTED_VALUE"""),"Dresses")</f>
        <v>Dresses</v>
      </c>
      <c r="K993" s="8" t="str">
        <f>IFERROR(__xludf.DUMMYFUNCTION("""COMPUTED_VALUE"""),"Dresses")</f>
        <v>Dresses</v>
      </c>
    </row>
    <row r="994">
      <c r="A994" s="8">
        <f>IFERROR(__xludf.DUMMYFUNCTION("""COMPUTED_VALUE"""),1304.0)</f>
        <v>1304</v>
      </c>
      <c r="B994" s="8">
        <f>IFERROR(__xludf.DUMMYFUNCTION("""COMPUTED_VALUE"""),850.0)</f>
        <v>850</v>
      </c>
      <c r="C994" s="8">
        <f>IFERROR(__xludf.DUMMYFUNCTION("""COMPUTED_VALUE"""),51.0)</f>
        <v>51</v>
      </c>
      <c r="D994" s="8" t="str">
        <f>IFERROR(__xludf.DUMMYFUNCTION("""COMPUTED_VALUE"""),"Cute top!")</f>
        <v>Cute top!</v>
      </c>
      <c r="E994" s="8" t="str">
        <f>IFERROR(__xludf.DUMMYFUNCTION("""COMPUTED_VALUE"""),"This is a such a cute top. can be dressed up for work or worn more casually. very flattering. i'm 5'6"" and 125lb. i was borderline between the xs and s but ended up with the s because it was a tad longer and more 'tunic-y.' bought two colors!")</f>
        <v>This is a such a cute top. can be dressed up for work or worn more casually. very flattering. i'm 5'6" and 125lb. i was borderline between the xs and s but ended up with the s because it was a tad longer and more 'tunic-y.' bought two colors!</v>
      </c>
      <c r="F994" s="8">
        <f>IFERROR(__xludf.DUMMYFUNCTION("""COMPUTED_VALUE"""),5.0)</f>
        <v>5</v>
      </c>
      <c r="G994" s="8">
        <f>IFERROR(__xludf.DUMMYFUNCTION("""COMPUTED_VALUE"""),1.0)</f>
        <v>1</v>
      </c>
      <c r="H994" s="8">
        <f>IFERROR(__xludf.DUMMYFUNCTION("""COMPUTED_VALUE"""),0.0)</f>
        <v>0</v>
      </c>
      <c r="I994" s="8" t="str">
        <f>IFERROR(__xludf.DUMMYFUNCTION("""COMPUTED_VALUE"""),"General")</f>
        <v>General</v>
      </c>
      <c r="J994" s="8" t="str">
        <f>IFERROR(__xludf.DUMMYFUNCTION("""COMPUTED_VALUE"""),"Tops")</f>
        <v>Tops</v>
      </c>
      <c r="K994" s="8" t="str">
        <f>IFERROR(__xludf.DUMMYFUNCTION("""COMPUTED_VALUE"""),"Blouses")</f>
        <v>Blouses</v>
      </c>
    </row>
    <row r="995">
      <c r="A995" s="8">
        <f>IFERROR(__xludf.DUMMYFUNCTION("""COMPUTED_VALUE"""),1305.0)</f>
        <v>1305</v>
      </c>
      <c r="B995" s="8">
        <f>IFERROR(__xludf.DUMMYFUNCTION("""COMPUTED_VALUE"""),875.0)</f>
        <v>875</v>
      </c>
      <c r="C995" s="8">
        <f>IFERROR(__xludf.DUMMYFUNCTION("""COMPUTED_VALUE"""),40.0)</f>
        <v>40</v>
      </c>
      <c r="D995" s="8" t="str">
        <f>IFERROR(__xludf.DUMMYFUNCTION("""COMPUTED_VALUE"""),"Love this top!")</f>
        <v>Love this top!</v>
      </c>
      <c r="E995" s="8" t="str">
        <f>IFERROR(__xludf.DUMMYFUNCTION("""COMPUTED_VALUE"""),"I loved this top so much i bought it in both colors. size down because it run very large, but it is nice and flowy. i'm 5'11"" and slim and the top hung nicely on me.")</f>
        <v>I loved this top so much i bought it in both colors. size down because it run very large, but it is nice and flowy. i'm 5'11" and slim and the top hung nicely on me.</v>
      </c>
      <c r="F995" s="8">
        <f>IFERROR(__xludf.DUMMYFUNCTION("""COMPUTED_VALUE"""),5.0)</f>
        <v>5</v>
      </c>
      <c r="G995" s="8">
        <f>IFERROR(__xludf.DUMMYFUNCTION("""COMPUTED_VALUE"""),1.0)</f>
        <v>1</v>
      </c>
      <c r="H995" s="8">
        <f>IFERROR(__xludf.DUMMYFUNCTION("""COMPUTED_VALUE"""),0.0)</f>
        <v>0</v>
      </c>
      <c r="I995" s="8" t="str">
        <f>IFERROR(__xludf.DUMMYFUNCTION("""COMPUTED_VALUE"""),"General")</f>
        <v>General</v>
      </c>
      <c r="J995" s="8" t="str">
        <f>IFERROR(__xludf.DUMMYFUNCTION("""COMPUTED_VALUE"""),"Tops")</f>
        <v>Tops</v>
      </c>
      <c r="K995" s="8" t="str">
        <f>IFERROR(__xludf.DUMMYFUNCTION("""COMPUTED_VALUE"""),"Knits")</f>
        <v>Knits</v>
      </c>
    </row>
    <row r="996">
      <c r="A996" s="8">
        <f>IFERROR(__xludf.DUMMYFUNCTION("""COMPUTED_VALUE"""),1307.0)</f>
        <v>1307</v>
      </c>
      <c r="B996" s="8">
        <f>IFERROR(__xludf.DUMMYFUNCTION("""COMPUTED_VALUE"""),940.0)</f>
        <v>940</v>
      </c>
      <c r="C996" s="8">
        <f>IFERROR(__xludf.DUMMYFUNCTION("""COMPUTED_VALUE"""),45.0)</f>
        <v>45</v>
      </c>
      <c r="D996" s="8" t="str">
        <f>IFERROR(__xludf.DUMMYFUNCTION("""COMPUTED_VALUE"""),"Love!")</f>
        <v>Love!</v>
      </c>
      <c r="E996" s="8" t="str">
        <f>IFERROR(__xludf.DUMMYFUNCTION("""COMPUTED_VALUE"""),"This is a very flattering / soft sweater. the pockets make it so much cuter &amp; do not make me look ""thick"". highly recommend!")</f>
        <v>This is a very flattering / soft sweater. the pockets make it so much cuter &amp; do not make me look "thick". highly recommend!</v>
      </c>
      <c r="F996" s="8">
        <f>IFERROR(__xludf.DUMMYFUNCTION("""COMPUTED_VALUE"""),5.0)</f>
        <v>5</v>
      </c>
      <c r="G996" s="8">
        <f>IFERROR(__xludf.DUMMYFUNCTION("""COMPUTED_VALUE"""),1.0)</f>
        <v>1</v>
      </c>
      <c r="H996" s="8">
        <f>IFERROR(__xludf.DUMMYFUNCTION("""COMPUTED_VALUE"""),0.0)</f>
        <v>0</v>
      </c>
      <c r="I996" s="8" t="str">
        <f>IFERROR(__xludf.DUMMYFUNCTION("""COMPUTED_VALUE"""),"General")</f>
        <v>General</v>
      </c>
      <c r="J996" s="8" t="str">
        <f>IFERROR(__xludf.DUMMYFUNCTION("""COMPUTED_VALUE"""),"Tops")</f>
        <v>Tops</v>
      </c>
      <c r="K996" s="8" t="str">
        <f>IFERROR(__xludf.DUMMYFUNCTION("""COMPUTED_VALUE"""),"Sweaters")</f>
        <v>Sweaters</v>
      </c>
    </row>
    <row r="997">
      <c r="A997" s="8">
        <f>IFERROR(__xludf.DUMMYFUNCTION("""COMPUTED_VALUE"""),1308.0)</f>
        <v>1308</v>
      </c>
      <c r="B997" s="8">
        <f>IFERROR(__xludf.DUMMYFUNCTION("""COMPUTED_VALUE"""),1095.0)</f>
        <v>1095</v>
      </c>
      <c r="C997" s="8">
        <f>IFERROR(__xludf.DUMMYFUNCTION("""COMPUTED_VALUE"""),35.0)</f>
        <v>35</v>
      </c>
      <c r="D997" s="8" t="str">
        <f>IFERROR(__xludf.DUMMYFUNCTION("""COMPUTED_VALUE"""),"I ended up loving this dress")</f>
        <v>I ended up loving this dress</v>
      </c>
      <c r="E997" s="8" t="str">
        <f>IFERROR(__xludf.DUMMYFUNCTION("""COMPUTED_VALUE"""),"I fell in love with this dress when i saw it in the catalog and ordered it immediately. i was a bit disappointed that the dress is a little lighter than the pink showed in the catalog but it didn't deter my liking it because it's still a lovely shade of p"&amp;"ink. the fabric takes a bit getting used to though - i thought it would be silkier but it's really a thicker fabric. i ordered a size small and i usually wear size 4. the dress drowned me. so i returned it for an xs, which fit me beautifully. so")</f>
        <v>I fell in love with this dress when i saw it in the catalog and ordered it immediately. i was a bit disappointed that the dress is a little lighter than the pink showed in the catalog but it didn't deter my liking it because it's still a lovely shade of pink. the fabric takes a bit getting used to though - i thought it would be silkier but it's really a thicker fabric. i ordered a size small and i usually wear size 4. the dress drowned me. so i returned it for an xs, which fit me beautifully. so</v>
      </c>
      <c r="F997" s="8">
        <f>IFERROR(__xludf.DUMMYFUNCTION("""COMPUTED_VALUE"""),5.0)</f>
        <v>5</v>
      </c>
      <c r="G997" s="8">
        <f>IFERROR(__xludf.DUMMYFUNCTION("""COMPUTED_VALUE"""),1.0)</f>
        <v>1</v>
      </c>
      <c r="H997" s="8">
        <f>IFERROR(__xludf.DUMMYFUNCTION("""COMPUTED_VALUE"""),2.0)</f>
        <v>2</v>
      </c>
      <c r="I997" s="8" t="str">
        <f>IFERROR(__xludf.DUMMYFUNCTION("""COMPUTED_VALUE"""),"General")</f>
        <v>General</v>
      </c>
      <c r="J997" s="8" t="str">
        <f>IFERROR(__xludf.DUMMYFUNCTION("""COMPUTED_VALUE"""),"Dresses")</f>
        <v>Dresses</v>
      </c>
      <c r="K997" s="8" t="str">
        <f>IFERROR(__xludf.DUMMYFUNCTION("""COMPUTED_VALUE"""),"Dresses")</f>
        <v>Dresses</v>
      </c>
    </row>
    <row r="998">
      <c r="A998" s="8">
        <f>IFERROR(__xludf.DUMMYFUNCTION("""COMPUTED_VALUE"""),1309.0)</f>
        <v>1309</v>
      </c>
      <c r="B998" s="8">
        <f>IFERROR(__xludf.DUMMYFUNCTION("""COMPUTED_VALUE"""),868.0)</f>
        <v>868</v>
      </c>
      <c r="C998" s="8">
        <f>IFERROR(__xludf.DUMMYFUNCTION("""COMPUTED_VALUE"""),41.0)</f>
        <v>41</v>
      </c>
      <c r="D998" s="8" t="str">
        <f>IFERROR(__xludf.DUMMYFUNCTION("""COMPUTED_VALUE"""),"Adorable!")</f>
        <v>Adorable!</v>
      </c>
      <c r="E998" s="8" t="str">
        <f>IFERROR(__xludf.DUMMYFUNCTION("""COMPUTED_VALUE"""),"This is such an adorable tee. the stripes and lace up details are super cute and on trend. i usually take a xxs and that is what i took in this tee. i tried the xs and at 5""1 and 104 pounds it looked a bit loose and long on me. love this tee and highly r"&amp;"ecommend this one!")</f>
        <v>This is such an adorable tee. the stripes and lace up details are super cute and on trend. i usually take a xxs and that is what i took in this tee. i tried the xs and at 5"1 and 104 pounds it looked a bit loose and long on me. love this tee and highly recommend this one!</v>
      </c>
      <c r="F998" s="8">
        <f>IFERROR(__xludf.DUMMYFUNCTION("""COMPUTED_VALUE"""),5.0)</f>
        <v>5</v>
      </c>
      <c r="G998" s="8">
        <f>IFERROR(__xludf.DUMMYFUNCTION("""COMPUTED_VALUE"""),1.0)</f>
        <v>1</v>
      </c>
      <c r="H998" s="8">
        <f>IFERROR(__xludf.DUMMYFUNCTION("""COMPUTED_VALUE"""),7.0)</f>
        <v>7</v>
      </c>
      <c r="I998" s="8" t="str">
        <f>IFERROR(__xludf.DUMMYFUNCTION("""COMPUTED_VALUE"""),"General Petite")</f>
        <v>General Petite</v>
      </c>
      <c r="J998" s="8" t="str">
        <f>IFERROR(__xludf.DUMMYFUNCTION("""COMPUTED_VALUE"""),"Tops")</f>
        <v>Tops</v>
      </c>
      <c r="K998" s="8" t="str">
        <f>IFERROR(__xludf.DUMMYFUNCTION("""COMPUTED_VALUE"""),"Knits")</f>
        <v>Knits</v>
      </c>
    </row>
    <row r="999">
      <c r="A999" s="8">
        <f>IFERROR(__xludf.DUMMYFUNCTION("""COMPUTED_VALUE"""),1310.0)</f>
        <v>1310</v>
      </c>
      <c r="B999" s="8">
        <f>IFERROR(__xludf.DUMMYFUNCTION("""COMPUTED_VALUE"""),875.0)</f>
        <v>875</v>
      </c>
      <c r="C999" s="8">
        <f>IFERROR(__xludf.DUMMYFUNCTION("""COMPUTED_VALUE"""),65.0)</f>
        <v>65</v>
      </c>
      <c r="D999" s="8" t="str">
        <f>IFERROR(__xludf.DUMMYFUNCTION("""COMPUTED_VALUE"""),"Order down a size; sooooooooooooo cute!!!")</f>
        <v>Order down a size; sooooooooooooo cute!!!</v>
      </c>
      <c r="E999" s="8" t="str">
        <f>IFERROR(__xludf.DUMMYFUNCTION("""COMPUTED_VALUE"""),"This shirt runs large, so order down a size. it is comfortable, cute and great for transitioning from summer into fall. adding jewelry really dresses this top up. can't wait to layer it with kimono, vest, pashminas or wraps. great with sandals or boots. g"&amp;"lad i bought both colors. it looks much better on, than in the photo/on hanger. great purchase and can't wait to wear!")</f>
        <v>This shirt runs large, so order down a size. it is comfortable, cute and great for transitioning from summer into fall. adding jewelry really dresses this top up. can't wait to layer it with kimono, vest, pashminas or wraps. great with sandals or boots. glad i bought both colors. it looks much better on, than in the photo/on hanger. great purchase and can't wait to wear!</v>
      </c>
      <c r="F999" s="8">
        <f>IFERROR(__xludf.DUMMYFUNCTION("""COMPUTED_VALUE"""),5.0)</f>
        <v>5</v>
      </c>
      <c r="G999" s="8">
        <f>IFERROR(__xludf.DUMMYFUNCTION("""COMPUTED_VALUE"""),1.0)</f>
        <v>1</v>
      </c>
      <c r="H999" s="8">
        <f>IFERROR(__xludf.DUMMYFUNCTION("""COMPUTED_VALUE"""),1.0)</f>
        <v>1</v>
      </c>
      <c r="I999" s="8" t="str">
        <f>IFERROR(__xludf.DUMMYFUNCTION("""COMPUTED_VALUE"""),"General")</f>
        <v>General</v>
      </c>
      <c r="J999" s="8" t="str">
        <f>IFERROR(__xludf.DUMMYFUNCTION("""COMPUTED_VALUE"""),"Tops")</f>
        <v>Tops</v>
      </c>
      <c r="K999" s="8" t="str">
        <f>IFERROR(__xludf.DUMMYFUNCTION("""COMPUTED_VALUE"""),"Knits")</f>
        <v>Knits</v>
      </c>
    </row>
    <row r="1000">
      <c r="A1000" s="8">
        <f>IFERROR(__xludf.DUMMYFUNCTION("""COMPUTED_VALUE"""),1311.0)</f>
        <v>1311</v>
      </c>
      <c r="B1000" s="8">
        <f>IFERROR(__xludf.DUMMYFUNCTION("""COMPUTED_VALUE"""),940.0)</f>
        <v>940</v>
      </c>
      <c r="C1000" s="8">
        <f>IFERROR(__xludf.DUMMYFUNCTION("""COMPUTED_VALUE"""),54.0)</f>
        <v>54</v>
      </c>
      <c r="D1000" s="8" t="str">
        <f>IFERROR(__xludf.DUMMYFUNCTION("""COMPUTED_VALUE"""),"Beautiful poncho")</f>
        <v>Beautiful poncho</v>
      </c>
      <c r="E1000" s="8" t="str">
        <f>IFERROR(__xludf.DUMMYFUNCTION("""COMPUTED_VALUE"""),"I purchased this poncho online in the cream color. when it arrived i tried it on to decide whether or not to keep it. i immediately went on line and purchased the taupe color , as well. thank goodness it didn't come in 5 more colors! this sweater is so ve"&amp;"rsatile and beautifully detailed, plus it is very soft. you take one look at it and you know the quality! i think you could wear this dressed up or down and it would be perfect either way. i do agree, it is not quite as long as pictured , but pe")</f>
        <v>I purchased this poncho online in the cream color. when it arrived i tried it on to decide whether or not to keep it. i immediately went on line and purchased the taupe color , as well. thank goodness it didn't come in 5 more colors! this sweater is so versatile and beautifully detailed, plus it is very soft. you take one look at it and you know the quality! i think you could wear this dressed up or down and it would be perfect either way. i do agree, it is not quite as long as pictured , but pe</v>
      </c>
      <c r="F1000" s="8">
        <f>IFERROR(__xludf.DUMMYFUNCTION("""COMPUTED_VALUE"""),5.0)</f>
        <v>5</v>
      </c>
      <c r="G1000" s="8">
        <f>IFERROR(__xludf.DUMMYFUNCTION("""COMPUTED_VALUE"""),1.0)</f>
        <v>1</v>
      </c>
      <c r="H1000" s="8">
        <f>IFERROR(__xludf.DUMMYFUNCTION("""COMPUTED_VALUE"""),0.0)</f>
        <v>0</v>
      </c>
      <c r="I1000" s="8" t="str">
        <f>IFERROR(__xludf.DUMMYFUNCTION("""COMPUTED_VALUE"""),"General")</f>
        <v>General</v>
      </c>
      <c r="J1000" s="8" t="str">
        <f>IFERROR(__xludf.DUMMYFUNCTION("""COMPUTED_VALUE"""),"Tops")</f>
        <v>Tops</v>
      </c>
      <c r="K1000" s="8" t="str">
        <f>IFERROR(__xludf.DUMMYFUNCTION("""COMPUTED_VALUE"""),"Sweaters")</f>
        <v>Sweaters</v>
      </c>
    </row>
    <row r="1001">
      <c r="A1001" s="8">
        <f>IFERROR(__xludf.DUMMYFUNCTION("""COMPUTED_VALUE"""),1312.0)</f>
        <v>1312</v>
      </c>
      <c r="B1001" s="8">
        <f>IFERROR(__xludf.DUMMYFUNCTION("""COMPUTED_VALUE"""),850.0)</f>
        <v>850</v>
      </c>
      <c r="C1001" s="8">
        <f>IFERROR(__xludf.DUMMYFUNCTION("""COMPUTED_VALUE"""),41.0)</f>
        <v>41</v>
      </c>
      <c r="D1001" s="8" t="str">
        <f>IFERROR(__xludf.DUMMYFUNCTION("""COMPUTED_VALUE"""),"Love the color")</f>
        <v>Love the color</v>
      </c>
      <c r="E1001" s="8" t="str">
        <f>IFERROR(__xludf.DUMMYFUNCTION("""COMPUTED_VALUE"""),"The green is a deep, beautiful shade. the fabric and fir is very flattering!")</f>
        <v>The green is a deep, beautiful shade. the fabric and fir is very flattering!</v>
      </c>
      <c r="F1001" s="8">
        <f>IFERROR(__xludf.DUMMYFUNCTION("""COMPUTED_VALUE"""),5.0)</f>
        <v>5</v>
      </c>
      <c r="G1001" s="8">
        <f>IFERROR(__xludf.DUMMYFUNCTION("""COMPUTED_VALUE"""),1.0)</f>
        <v>1</v>
      </c>
      <c r="H1001" s="8">
        <f>IFERROR(__xludf.DUMMYFUNCTION("""COMPUTED_VALUE"""),0.0)</f>
        <v>0</v>
      </c>
      <c r="I1001" s="8" t="str">
        <f>IFERROR(__xludf.DUMMYFUNCTION("""COMPUTED_VALUE"""),"General")</f>
        <v>General</v>
      </c>
      <c r="J1001" s="8" t="str">
        <f>IFERROR(__xludf.DUMMYFUNCTION("""COMPUTED_VALUE"""),"Tops")</f>
        <v>Tops</v>
      </c>
      <c r="K1001" s="8" t="str">
        <f>IFERROR(__xludf.DUMMYFUNCTION("""COMPUTED_VALUE"""),"Blouses")</f>
        <v>Blouses</v>
      </c>
    </row>
    <row r="1002">
      <c r="A1002" s="8">
        <f>IFERROR(__xludf.DUMMYFUNCTION("""COMPUTED_VALUE"""),1313.0)</f>
        <v>1313</v>
      </c>
      <c r="B1002" s="8">
        <f>IFERROR(__xludf.DUMMYFUNCTION("""COMPUTED_VALUE"""),873.0)</f>
        <v>873</v>
      </c>
      <c r="C1002" s="8">
        <f>IFERROR(__xludf.DUMMYFUNCTION("""COMPUTED_VALUE"""),43.0)</f>
        <v>43</v>
      </c>
      <c r="D1002" s="8" t="str">
        <f>IFERROR(__xludf.DUMMYFUNCTION("""COMPUTED_VALUE"""),"Perfect t-shirt")</f>
        <v>Perfect t-shirt</v>
      </c>
      <c r="E1002" s="8" t="str">
        <f>IFERROR(__xludf.DUMMYFUNCTION("""COMPUTED_VALUE"""),"Love this white shirt! it fits great and gives you a little breathing room around the waist. this goes with shorts, skirts, and jeans. i will be wearing it all summer")</f>
        <v>Love this white shirt! it fits great and gives you a little breathing room around the waist. this goes with shorts, skirts, and jeans. i will be wearing it all summer</v>
      </c>
      <c r="F1002" s="8">
        <f>IFERROR(__xludf.DUMMYFUNCTION("""COMPUTED_VALUE"""),5.0)</f>
        <v>5</v>
      </c>
      <c r="G1002" s="8">
        <f>IFERROR(__xludf.DUMMYFUNCTION("""COMPUTED_VALUE"""),1.0)</f>
        <v>1</v>
      </c>
      <c r="H1002" s="8">
        <f>IFERROR(__xludf.DUMMYFUNCTION("""COMPUTED_VALUE"""),1.0)</f>
        <v>1</v>
      </c>
      <c r="I1002" s="8" t="str">
        <f>IFERROR(__xludf.DUMMYFUNCTION("""COMPUTED_VALUE"""),"General")</f>
        <v>General</v>
      </c>
      <c r="J1002" s="8" t="str">
        <f>IFERROR(__xludf.DUMMYFUNCTION("""COMPUTED_VALUE"""),"Tops")</f>
        <v>Tops</v>
      </c>
      <c r="K1002" s="8" t="str">
        <f>IFERROR(__xludf.DUMMYFUNCTION("""COMPUTED_VALUE"""),"Knits")</f>
        <v>Knits</v>
      </c>
    </row>
    <row r="1003">
      <c r="A1003" s="8">
        <f>IFERROR(__xludf.DUMMYFUNCTION("""COMPUTED_VALUE"""),1314.0)</f>
        <v>1314</v>
      </c>
      <c r="B1003" s="8">
        <f>IFERROR(__xludf.DUMMYFUNCTION("""COMPUTED_VALUE"""),1095.0)</f>
        <v>1095</v>
      </c>
      <c r="C1003" s="8">
        <f>IFERROR(__xludf.DUMMYFUNCTION("""COMPUTED_VALUE"""),32.0)</f>
        <v>32</v>
      </c>
      <c r="D1003" s="8" t="str">
        <f>IFERROR(__xludf.DUMMYFUNCTION("""COMPUTED_VALUE"""),"Cute!")</f>
        <v>Cute!</v>
      </c>
      <c r="E1003" s="8" t="str">
        <f>IFERROR(__xludf.DUMMYFUNCTION("""COMPUTED_VALUE"""),"I loved this dress on. the material was quite different than expected, almost a canvas-y feel to it. ran a little large, but so cute.")</f>
        <v>I loved this dress on. the material was quite different than expected, almost a canvas-y feel to it. ran a little large, but so cute.</v>
      </c>
      <c r="F1003" s="8">
        <f>IFERROR(__xludf.DUMMYFUNCTION("""COMPUTED_VALUE"""),4.0)</f>
        <v>4</v>
      </c>
      <c r="G1003" s="8">
        <f>IFERROR(__xludf.DUMMYFUNCTION("""COMPUTED_VALUE"""),1.0)</f>
        <v>1</v>
      </c>
      <c r="H1003" s="8">
        <f>IFERROR(__xludf.DUMMYFUNCTION("""COMPUTED_VALUE"""),0.0)</f>
        <v>0</v>
      </c>
      <c r="I1003" s="8" t="str">
        <f>IFERROR(__xludf.DUMMYFUNCTION("""COMPUTED_VALUE"""),"General")</f>
        <v>General</v>
      </c>
      <c r="J1003" s="8" t="str">
        <f>IFERROR(__xludf.DUMMYFUNCTION("""COMPUTED_VALUE"""),"Dresses")</f>
        <v>Dresses</v>
      </c>
      <c r="K1003" s="8" t="str">
        <f>IFERROR(__xludf.DUMMYFUNCTION("""COMPUTED_VALUE"""),"Dresses")</f>
        <v>Dresses</v>
      </c>
    </row>
    <row r="1004">
      <c r="A1004" s="8">
        <f>IFERROR(__xludf.DUMMYFUNCTION("""COMPUTED_VALUE"""),1315.0)</f>
        <v>1315</v>
      </c>
      <c r="B1004" s="8">
        <f>IFERROR(__xludf.DUMMYFUNCTION("""COMPUTED_VALUE"""),836.0)</f>
        <v>836</v>
      </c>
      <c r="C1004" s="8">
        <f>IFERROR(__xludf.DUMMYFUNCTION("""COMPUTED_VALUE"""),33.0)</f>
        <v>33</v>
      </c>
      <c r="D1004" s="8"/>
      <c r="E1004" s="8"/>
      <c r="F1004" s="8">
        <f>IFERROR(__xludf.DUMMYFUNCTION("""COMPUTED_VALUE"""),4.0)</f>
        <v>4</v>
      </c>
      <c r="G1004" s="8">
        <f>IFERROR(__xludf.DUMMYFUNCTION("""COMPUTED_VALUE"""),1.0)</f>
        <v>1</v>
      </c>
      <c r="H1004" s="8">
        <f>IFERROR(__xludf.DUMMYFUNCTION("""COMPUTED_VALUE"""),0.0)</f>
        <v>0</v>
      </c>
      <c r="I1004" s="8" t="str">
        <f>IFERROR(__xludf.DUMMYFUNCTION("""COMPUTED_VALUE"""),"General")</f>
        <v>General</v>
      </c>
      <c r="J1004" s="8" t="str">
        <f>IFERROR(__xludf.DUMMYFUNCTION("""COMPUTED_VALUE"""),"Tops")</f>
        <v>Tops</v>
      </c>
      <c r="K1004" s="8" t="str">
        <f>IFERROR(__xludf.DUMMYFUNCTION("""COMPUTED_VALUE"""),"Blouses")</f>
        <v>Blouses</v>
      </c>
    </row>
    <row r="1005">
      <c r="A1005" s="8">
        <f>IFERROR(__xludf.DUMMYFUNCTION("""COMPUTED_VALUE"""),1317.0)</f>
        <v>1317</v>
      </c>
      <c r="B1005" s="8">
        <f>IFERROR(__xludf.DUMMYFUNCTION("""COMPUTED_VALUE"""),836.0)</f>
        <v>836</v>
      </c>
      <c r="C1005" s="8">
        <f>IFERROR(__xludf.DUMMYFUNCTION("""COMPUTED_VALUE"""),47.0)</f>
        <v>47</v>
      </c>
      <c r="D1005" s="8"/>
      <c r="E1005" s="8" t="str">
        <f>IFERROR(__xludf.DUMMYFUNCTION("""COMPUTED_VALUE"""),"This top is absolutely adorable, fits small on top and then flares out a bit as shown. i bought it months ago and haven't worn it yet though. might try it with white jeans as shown.")</f>
        <v>This top is absolutely adorable, fits small on top and then flares out a bit as shown. i bought it months ago and haven't worn it yet though. might try it with white jeans as shown.</v>
      </c>
      <c r="F1005" s="8">
        <f>IFERROR(__xludf.DUMMYFUNCTION("""COMPUTED_VALUE"""),4.0)</f>
        <v>4</v>
      </c>
      <c r="G1005" s="8">
        <f>IFERROR(__xludf.DUMMYFUNCTION("""COMPUTED_VALUE"""),1.0)</f>
        <v>1</v>
      </c>
      <c r="H1005" s="8">
        <f>IFERROR(__xludf.DUMMYFUNCTION("""COMPUTED_VALUE"""),0.0)</f>
        <v>0</v>
      </c>
      <c r="I1005" s="8" t="str">
        <f>IFERROR(__xludf.DUMMYFUNCTION("""COMPUTED_VALUE"""),"General")</f>
        <v>General</v>
      </c>
      <c r="J1005" s="8" t="str">
        <f>IFERROR(__xludf.DUMMYFUNCTION("""COMPUTED_VALUE"""),"Tops")</f>
        <v>Tops</v>
      </c>
      <c r="K1005" s="8" t="str">
        <f>IFERROR(__xludf.DUMMYFUNCTION("""COMPUTED_VALUE"""),"Blouses")</f>
        <v>Blouses</v>
      </c>
    </row>
    <row r="1006">
      <c r="A1006" s="8">
        <f>IFERROR(__xludf.DUMMYFUNCTION("""COMPUTED_VALUE"""),1319.0)</f>
        <v>1319</v>
      </c>
      <c r="B1006" s="8">
        <f>IFERROR(__xludf.DUMMYFUNCTION("""COMPUTED_VALUE"""),836.0)</f>
        <v>836</v>
      </c>
      <c r="C1006" s="8">
        <f>IFERROR(__xludf.DUMMYFUNCTION("""COMPUTED_VALUE"""),31.0)</f>
        <v>31</v>
      </c>
      <c r="D1006" s="8" t="str">
        <f>IFERROR(__xludf.DUMMYFUNCTION("""COMPUTED_VALUE"""),"Must see in person")</f>
        <v>Must see in person</v>
      </c>
      <c r="E1006" s="8" t="str">
        <f>IFERROR(__xludf.DUMMYFUNCTION("""COMPUTED_VALUE"""),"Gorgeous baby blue lace is a must see. i received many compliments. my only gripe is that i don't love when shirts have those connecting camisoles (which make it harder to put on) as i would much rather just have a sewn in lining, but it didn't deter me. "&amp;"i am 5'5"", 135lbs, 34c, muscular/curvy frame and a size 4 fit perfectly.")</f>
        <v>Gorgeous baby blue lace is a must see. i received many compliments. my only gripe is that i don't love when shirts have those connecting camisoles (which make it harder to put on) as i would much rather just have a sewn in lining, but it didn't deter me. i am 5'5", 135lbs, 34c, muscular/curvy frame and a size 4 fit perfectly.</v>
      </c>
      <c r="F1006" s="8">
        <f>IFERROR(__xludf.DUMMYFUNCTION("""COMPUTED_VALUE"""),5.0)</f>
        <v>5</v>
      </c>
      <c r="G1006" s="8">
        <f>IFERROR(__xludf.DUMMYFUNCTION("""COMPUTED_VALUE"""),1.0)</f>
        <v>1</v>
      </c>
      <c r="H1006" s="8">
        <f>IFERROR(__xludf.DUMMYFUNCTION("""COMPUTED_VALUE"""),2.0)</f>
        <v>2</v>
      </c>
      <c r="I1006" s="8" t="str">
        <f>IFERROR(__xludf.DUMMYFUNCTION("""COMPUTED_VALUE"""),"General")</f>
        <v>General</v>
      </c>
      <c r="J1006" s="8" t="str">
        <f>IFERROR(__xludf.DUMMYFUNCTION("""COMPUTED_VALUE"""),"Tops")</f>
        <v>Tops</v>
      </c>
      <c r="K1006" s="8" t="str">
        <f>IFERROR(__xludf.DUMMYFUNCTION("""COMPUTED_VALUE"""),"Blouses")</f>
        <v>Blouses</v>
      </c>
    </row>
    <row r="1007">
      <c r="A1007" s="8">
        <f>IFERROR(__xludf.DUMMYFUNCTION("""COMPUTED_VALUE"""),1320.0)</f>
        <v>1320</v>
      </c>
      <c r="B1007" s="8">
        <f>IFERROR(__xludf.DUMMYFUNCTION("""COMPUTED_VALUE"""),865.0)</f>
        <v>865</v>
      </c>
      <c r="C1007" s="8">
        <f>IFERROR(__xludf.DUMMYFUNCTION("""COMPUTED_VALUE"""),44.0)</f>
        <v>44</v>
      </c>
      <c r="D1007" s="8"/>
      <c r="E1007" s="8" t="str">
        <f>IFERROR(__xludf.DUMMYFUNCTION("""COMPUTED_VALUE"""),"Super cute poncho to add to my wardrobe.  love the grey color and the material is super soft.  glad i snagged this up for less than $30!")</f>
        <v>Super cute poncho to add to my wardrobe.  love the grey color and the material is super soft.  glad i snagged this up for less than $30!</v>
      </c>
      <c r="F1007" s="8">
        <f>IFERROR(__xludf.DUMMYFUNCTION("""COMPUTED_VALUE"""),5.0)</f>
        <v>5</v>
      </c>
      <c r="G1007" s="8">
        <f>IFERROR(__xludf.DUMMYFUNCTION("""COMPUTED_VALUE"""),1.0)</f>
        <v>1</v>
      </c>
      <c r="H1007" s="8">
        <f>IFERROR(__xludf.DUMMYFUNCTION("""COMPUTED_VALUE"""),0.0)</f>
        <v>0</v>
      </c>
      <c r="I1007" s="8" t="str">
        <f>IFERROR(__xludf.DUMMYFUNCTION("""COMPUTED_VALUE"""),"General")</f>
        <v>General</v>
      </c>
      <c r="J1007" s="8" t="str">
        <f>IFERROR(__xludf.DUMMYFUNCTION("""COMPUTED_VALUE"""),"Tops")</f>
        <v>Tops</v>
      </c>
      <c r="K1007" s="8" t="str">
        <f>IFERROR(__xludf.DUMMYFUNCTION("""COMPUTED_VALUE"""),"Knits")</f>
        <v>Knits</v>
      </c>
    </row>
    <row r="1008">
      <c r="A1008" s="8">
        <f>IFERROR(__xludf.DUMMYFUNCTION("""COMPUTED_VALUE"""),1321.0)</f>
        <v>1321</v>
      </c>
      <c r="B1008" s="8">
        <f>IFERROR(__xludf.DUMMYFUNCTION("""COMPUTED_VALUE"""),836.0)</f>
        <v>836</v>
      </c>
      <c r="C1008" s="8">
        <f>IFERROR(__xludf.DUMMYFUNCTION("""COMPUTED_VALUE"""),35.0)</f>
        <v>35</v>
      </c>
      <c r="D1008" s="8" t="str">
        <f>IFERROR(__xludf.DUMMYFUNCTION("""COMPUTED_VALUE"""),"Stunning top")</f>
        <v>Stunning top</v>
      </c>
      <c r="E1008" s="8" t="str">
        <f>IFERROR(__xludf.DUMMYFUNCTION("""COMPUTED_VALUE"""),"Great top!! love the fit, it pairs great with dark denim and pearls!! i ordered a 00 and am a 32c cup and 24-25 waist")</f>
        <v>Great top!! love the fit, it pairs great with dark denim and pearls!! i ordered a 00 and am a 32c cup and 24-25 waist</v>
      </c>
      <c r="F1008" s="8">
        <f>IFERROR(__xludf.DUMMYFUNCTION("""COMPUTED_VALUE"""),5.0)</f>
        <v>5</v>
      </c>
      <c r="G1008" s="8">
        <f>IFERROR(__xludf.DUMMYFUNCTION("""COMPUTED_VALUE"""),1.0)</f>
        <v>1</v>
      </c>
      <c r="H1008" s="8">
        <f>IFERROR(__xludf.DUMMYFUNCTION("""COMPUTED_VALUE"""),33.0)</f>
        <v>33</v>
      </c>
      <c r="I1008" s="8" t="str">
        <f>IFERROR(__xludf.DUMMYFUNCTION("""COMPUTED_VALUE"""),"General")</f>
        <v>General</v>
      </c>
      <c r="J1008" s="8" t="str">
        <f>IFERROR(__xludf.DUMMYFUNCTION("""COMPUTED_VALUE"""),"Tops")</f>
        <v>Tops</v>
      </c>
      <c r="K1008" s="8" t="str">
        <f>IFERROR(__xludf.DUMMYFUNCTION("""COMPUTED_VALUE"""),"Blouses")</f>
        <v>Blouses</v>
      </c>
    </row>
    <row r="1009">
      <c r="A1009" s="8">
        <f>IFERROR(__xludf.DUMMYFUNCTION("""COMPUTED_VALUE"""),1322.0)</f>
        <v>1322</v>
      </c>
      <c r="B1009" s="8">
        <f>IFERROR(__xludf.DUMMYFUNCTION("""COMPUTED_VALUE"""),819.0)</f>
        <v>819</v>
      </c>
      <c r="C1009" s="8">
        <f>IFERROR(__xludf.DUMMYFUNCTION("""COMPUTED_VALUE"""),31.0)</f>
        <v>31</v>
      </c>
      <c r="D1009" s="8"/>
      <c r="E1009" s="8" t="str">
        <f>IFERROR(__xludf.DUMMYFUNCTION("""COMPUTED_VALUE"""),"This top/jacket is less red than it appears in the pictures - more of a wine color (as it is labeled) but it is pretty and the gold details are nice.")</f>
        <v>This top/jacket is less red than it appears in the pictures - more of a wine color (as it is labeled) but it is pretty and the gold details are nice.</v>
      </c>
      <c r="F1009" s="8">
        <f>IFERROR(__xludf.DUMMYFUNCTION("""COMPUTED_VALUE"""),4.0)</f>
        <v>4</v>
      </c>
      <c r="G1009" s="8">
        <f>IFERROR(__xludf.DUMMYFUNCTION("""COMPUTED_VALUE"""),1.0)</f>
        <v>1</v>
      </c>
      <c r="H1009" s="8">
        <f>IFERROR(__xludf.DUMMYFUNCTION("""COMPUTED_VALUE"""),1.0)</f>
        <v>1</v>
      </c>
      <c r="I1009" s="8" t="str">
        <f>IFERROR(__xludf.DUMMYFUNCTION("""COMPUTED_VALUE"""),"General")</f>
        <v>General</v>
      </c>
      <c r="J1009" s="8" t="str">
        <f>IFERROR(__xludf.DUMMYFUNCTION("""COMPUTED_VALUE"""),"Tops")</f>
        <v>Tops</v>
      </c>
      <c r="K1009" s="8" t="str">
        <f>IFERROR(__xludf.DUMMYFUNCTION("""COMPUTED_VALUE"""),"Blouses")</f>
        <v>Blouses</v>
      </c>
    </row>
    <row r="1010">
      <c r="A1010" s="8">
        <f>IFERROR(__xludf.DUMMYFUNCTION("""COMPUTED_VALUE"""),1323.0)</f>
        <v>1323</v>
      </c>
      <c r="B1010" s="8">
        <f>IFERROR(__xludf.DUMMYFUNCTION("""COMPUTED_VALUE"""),865.0)</f>
        <v>865</v>
      </c>
      <c r="C1010" s="8">
        <f>IFERROR(__xludf.DUMMYFUNCTION("""COMPUTED_VALUE"""),44.0)</f>
        <v>44</v>
      </c>
      <c r="D1010" s="8"/>
      <c r="E1010" s="8" t="str">
        <f>IFERROR(__xludf.DUMMYFUNCTION("""COMPUTED_VALUE"""),"This sweater is a perfect transition piece!  the material is really soft. while it has the shape of a poncho it is cut nicely and doesn't make you look like a big blob.")</f>
        <v>This sweater is a perfect transition piece!  the material is really soft. while it has the shape of a poncho it is cut nicely and doesn't make you look like a big blob.</v>
      </c>
      <c r="F1010" s="8">
        <f>IFERROR(__xludf.DUMMYFUNCTION("""COMPUTED_VALUE"""),5.0)</f>
        <v>5</v>
      </c>
      <c r="G1010" s="8">
        <f>IFERROR(__xludf.DUMMYFUNCTION("""COMPUTED_VALUE"""),1.0)</f>
        <v>1</v>
      </c>
      <c r="H1010" s="8">
        <f>IFERROR(__xludf.DUMMYFUNCTION("""COMPUTED_VALUE"""),3.0)</f>
        <v>3</v>
      </c>
      <c r="I1010" s="8" t="str">
        <f>IFERROR(__xludf.DUMMYFUNCTION("""COMPUTED_VALUE"""),"General")</f>
        <v>General</v>
      </c>
      <c r="J1010" s="8" t="str">
        <f>IFERROR(__xludf.DUMMYFUNCTION("""COMPUTED_VALUE"""),"Tops")</f>
        <v>Tops</v>
      </c>
      <c r="K1010" s="8" t="str">
        <f>IFERROR(__xludf.DUMMYFUNCTION("""COMPUTED_VALUE"""),"Knits")</f>
        <v>Knits</v>
      </c>
    </row>
    <row r="1011">
      <c r="A1011" s="8">
        <f>IFERROR(__xludf.DUMMYFUNCTION("""COMPUTED_VALUE"""),1324.0)</f>
        <v>1324</v>
      </c>
      <c r="B1011" s="8">
        <f>IFERROR(__xludf.DUMMYFUNCTION("""COMPUTED_VALUE"""),836.0)</f>
        <v>836</v>
      </c>
      <c r="C1011" s="8">
        <f>IFERROR(__xludf.DUMMYFUNCTION("""COMPUTED_VALUE"""),34.0)</f>
        <v>34</v>
      </c>
      <c r="D1011" s="8" t="str">
        <f>IFERROR(__xludf.DUMMYFUNCTION("""COMPUTED_VALUE"""),"Love!!!")</f>
        <v>Love!!!</v>
      </c>
      <c r="E1011" s="8" t="str">
        <f>IFERROR(__xludf.DUMMYFUNCTION("""COMPUTED_VALUE"""),"I am obsessed with this top. it is even more gorgeous in person.... a real showstopper!")</f>
        <v>I am obsessed with this top. it is even more gorgeous in person.... a real showstopper!</v>
      </c>
      <c r="F1011" s="8">
        <f>IFERROR(__xludf.DUMMYFUNCTION("""COMPUTED_VALUE"""),5.0)</f>
        <v>5</v>
      </c>
      <c r="G1011" s="8">
        <f>IFERROR(__xludf.DUMMYFUNCTION("""COMPUTED_VALUE"""),1.0)</f>
        <v>1</v>
      </c>
      <c r="H1011" s="8">
        <f>IFERROR(__xludf.DUMMYFUNCTION("""COMPUTED_VALUE"""),9.0)</f>
        <v>9</v>
      </c>
      <c r="I1011" s="8" t="str">
        <f>IFERROR(__xludf.DUMMYFUNCTION("""COMPUTED_VALUE"""),"General")</f>
        <v>General</v>
      </c>
      <c r="J1011" s="8" t="str">
        <f>IFERROR(__xludf.DUMMYFUNCTION("""COMPUTED_VALUE"""),"Tops")</f>
        <v>Tops</v>
      </c>
      <c r="K1011" s="8" t="str">
        <f>IFERROR(__xludf.DUMMYFUNCTION("""COMPUTED_VALUE"""),"Blouses")</f>
        <v>Blouses</v>
      </c>
    </row>
    <row r="1012">
      <c r="A1012" s="8">
        <f>IFERROR(__xludf.DUMMYFUNCTION("""COMPUTED_VALUE"""),1325.0)</f>
        <v>1325</v>
      </c>
      <c r="B1012" s="8">
        <f>IFERROR(__xludf.DUMMYFUNCTION("""COMPUTED_VALUE"""),819.0)</f>
        <v>819</v>
      </c>
      <c r="C1012" s="8">
        <f>IFERROR(__xludf.DUMMYFUNCTION("""COMPUTED_VALUE"""),33.0)</f>
        <v>33</v>
      </c>
      <c r="D1012" s="8" t="str">
        <f>IFERROR(__xludf.DUMMYFUNCTION("""COMPUTED_VALUE"""),"Perfect for fall layering")</f>
        <v>Perfect for fall layering</v>
      </c>
      <c r="E1012" s="8" t="str">
        <f>IFERROR(__xludf.DUMMYFUNCTION("""COMPUTED_VALUE"""),"Beautiful color and a great lightweight piece for fall layering. the petite sizing was perfect for me. more like a belted kimono. very happy with this purchase")</f>
        <v>Beautiful color and a great lightweight piece for fall layering. the petite sizing was perfect for me. more like a belted kimono. very happy with this purchase</v>
      </c>
      <c r="F1012" s="8">
        <f>IFERROR(__xludf.DUMMYFUNCTION("""COMPUTED_VALUE"""),5.0)</f>
        <v>5</v>
      </c>
      <c r="G1012" s="8">
        <f>IFERROR(__xludf.DUMMYFUNCTION("""COMPUTED_VALUE"""),1.0)</f>
        <v>1</v>
      </c>
      <c r="H1012" s="8">
        <f>IFERROR(__xludf.DUMMYFUNCTION("""COMPUTED_VALUE"""),3.0)</f>
        <v>3</v>
      </c>
      <c r="I1012" s="8" t="str">
        <f>IFERROR(__xludf.DUMMYFUNCTION("""COMPUTED_VALUE"""),"General")</f>
        <v>General</v>
      </c>
      <c r="J1012" s="8" t="str">
        <f>IFERROR(__xludf.DUMMYFUNCTION("""COMPUTED_VALUE"""),"Tops")</f>
        <v>Tops</v>
      </c>
      <c r="K1012" s="8" t="str">
        <f>IFERROR(__xludf.DUMMYFUNCTION("""COMPUTED_VALUE"""),"Blouses")</f>
        <v>Blouses</v>
      </c>
    </row>
    <row r="1013">
      <c r="A1013" s="8">
        <f>IFERROR(__xludf.DUMMYFUNCTION("""COMPUTED_VALUE"""),1328.0)</f>
        <v>1328</v>
      </c>
      <c r="B1013" s="8">
        <f>IFERROR(__xludf.DUMMYFUNCTION("""COMPUTED_VALUE"""),865.0)</f>
        <v>865</v>
      </c>
      <c r="C1013" s="8">
        <f>IFERROR(__xludf.DUMMYFUNCTION("""COMPUTED_VALUE"""),53.0)</f>
        <v>53</v>
      </c>
      <c r="D1013" s="8" t="str">
        <f>IFERROR(__xludf.DUMMYFUNCTION("""COMPUTED_VALUE"""),"Soft, subtle loveliness")</f>
        <v>Soft, subtle loveliness</v>
      </c>
      <c r="E1013" s="8" t="str">
        <f>IFERROR(__xludf.DUMMYFUNCTION("""COMPUTED_VALUE"""),"This a lovely piece. you have to see it close up to appreciate the subtle details. i typically wear xxsp or xsp, so i did not expect this to fit, but decided to try it because i liked the style. as a petite, many poncho styles overwhelm me and look like t"&amp;"ents. not this one. the xxs fit nicely - just the right length and width. i am 5'1"" and 108 lbs. i think one of the reasons this has not been popular is because it only shows up when searching on ponchos, and not when you search for sweaters. it")</f>
        <v>This a lovely piece. you have to see it close up to appreciate the subtle details. i typically wear xxsp or xsp, so i did not expect this to fit, but decided to try it because i liked the style. as a petite, many poncho styles overwhelm me and look like tents. not this one. the xxs fit nicely - just the right length and width. i am 5'1" and 108 lbs. i think one of the reasons this has not been popular is because it only shows up when searching on ponchos, and not when you search for sweaters. it</v>
      </c>
      <c r="F1013" s="8">
        <f>IFERROR(__xludf.DUMMYFUNCTION("""COMPUTED_VALUE"""),5.0)</f>
        <v>5</v>
      </c>
      <c r="G1013" s="8">
        <f>IFERROR(__xludf.DUMMYFUNCTION("""COMPUTED_VALUE"""),1.0)</f>
        <v>1</v>
      </c>
      <c r="H1013" s="8">
        <f>IFERROR(__xludf.DUMMYFUNCTION("""COMPUTED_VALUE"""),0.0)</f>
        <v>0</v>
      </c>
      <c r="I1013" s="8" t="str">
        <f>IFERROR(__xludf.DUMMYFUNCTION("""COMPUTED_VALUE"""),"General")</f>
        <v>General</v>
      </c>
      <c r="J1013" s="8" t="str">
        <f>IFERROR(__xludf.DUMMYFUNCTION("""COMPUTED_VALUE"""),"Tops")</f>
        <v>Tops</v>
      </c>
      <c r="K1013" s="8" t="str">
        <f>IFERROR(__xludf.DUMMYFUNCTION("""COMPUTED_VALUE"""),"Knits")</f>
        <v>Knits</v>
      </c>
    </row>
    <row r="1014">
      <c r="A1014" s="8">
        <f>IFERROR(__xludf.DUMMYFUNCTION("""COMPUTED_VALUE"""),1329.0)</f>
        <v>1329</v>
      </c>
      <c r="B1014" s="8">
        <f>IFERROR(__xludf.DUMMYFUNCTION("""COMPUTED_VALUE"""),836.0)</f>
        <v>836</v>
      </c>
      <c r="C1014" s="8">
        <f>IFERROR(__xludf.DUMMYFUNCTION("""COMPUTED_VALUE"""),51.0)</f>
        <v>51</v>
      </c>
      <c r="D1014" s="8" t="str">
        <f>IFERROR(__xludf.DUMMYFUNCTION("""COMPUTED_VALUE"""),"Happy top!")</f>
        <v>Happy top!</v>
      </c>
      <c r="E1014" s="8" t="str">
        <f>IFERROR(__xludf.DUMMYFUNCTION("""COMPUTED_VALUE"""),"In the midst of the end-of-winter doldrums, i tried this cute top on. springy. powdery. happy. the lace is soft, not too stiff or scratchy, and lightweight enough to transition nicely into summer. because the cami is a separate piece, i also envision wear"&amp;"ing this as a top over a slip-dress with some retro mary janes. the sleeve length makes it fair game for late winter, too. yay!")</f>
        <v>In the midst of the end-of-winter doldrums, i tried this cute top on. springy. powdery. happy. the lace is soft, not too stiff or scratchy, and lightweight enough to transition nicely into summer. because the cami is a separate piece, i also envision wearing this as a top over a slip-dress with some retro mary janes. the sleeve length makes it fair game for late winter, too. yay!</v>
      </c>
      <c r="F1014" s="8">
        <f>IFERROR(__xludf.DUMMYFUNCTION("""COMPUTED_VALUE"""),4.0)</f>
        <v>4</v>
      </c>
      <c r="G1014" s="8">
        <f>IFERROR(__xludf.DUMMYFUNCTION("""COMPUTED_VALUE"""),1.0)</f>
        <v>1</v>
      </c>
      <c r="H1014" s="8">
        <f>IFERROR(__xludf.DUMMYFUNCTION("""COMPUTED_VALUE"""),1.0)</f>
        <v>1</v>
      </c>
      <c r="I1014" s="8" t="str">
        <f>IFERROR(__xludf.DUMMYFUNCTION("""COMPUTED_VALUE"""),"General")</f>
        <v>General</v>
      </c>
      <c r="J1014" s="8" t="str">
        <f>IFERROR(__xludf.DUMMYFUNCTION("""COMPUTED_VALUE"""),"Tops")</f>
        <v>Tops</v>
      </c>
      <c r="K1014" s="8" t="str">
        <f>IFERROR(__xludf.DUMMYFUNCTION("""COMPUTED_VALUE"""),"Blouses")</f>
        <v>Blouses</v>
      </c>
    </row>
    <row r="1015">
      <c r="A1015" s="8">
        <f>IFERROR(__xludf.DUMMYFUNCTION("""COMPUTED_VALUE"""),1330.0)</f>
        <v>1330</v>
      </c>
      <c r="B1015" s="8">
        <f>IFERROR(__xludf.DUMMYFUNCTION("""COMPUTED_VALUE"""),836.0)</f>
        <v>836</v>
      </c>
      <c r="C1015" s="8">
        <f>IFERROR(__xludf.DUMMYFUNCTION("""COMPUTED_VALUE"""),39.0)</f>
        <v>39</v>
      </c>
      <c r="D1015" s="8"/>
      <c r="E1015" s="8" t="str">
        <f>IFERROR(__xludf.DUMMYFUNCTION("""COMPUTED_VALUE"""),"Absolutely love this top. it is beautiful, well made and so unique.")</f>
        <v>Absolutely love this top. it is beautiful, well made and so unique.</v>
      </c>
      <c r="F1015" s="8">
        <f>IFERROR(__xludf.DUMMYFUNCTION("""COMPUTED_VALUE"""),5.0)</f>
        <v>5</v>
      </c>
      <c r="G1015" s="8">
        <f>IFERROR(__xludf.DUMMYFUNCTION("""COMPUTED_VALUE"""),1.0)</f>
        <v>1</v>
      </c>
      <c r="H1015" s="8">
        <f>IFERROR(__xludf.DUMMYFUNCTION("""COMPUTED_VALUE"""),9.0)</f>
        <v>9</v>
      </c>
      <c r="I1015" s="8" t="str">
        <f>IFERROR(__xludf.DUMMYFUNCTION("""COMPUTED_VALUE"""),"General")</f>
        <v>General</v>
      </c>
      <c r="J1015" s="8" t="str">
        <f>IFERROR(__xludf.DUMMYFUNCTION("""COMPUTED_VALUE"""),"Tops")</f>
        <v>Tops</v>
      </c>
      <c r="K1015" s="8" t="str">
        <f>IFERROR(__xludf.DUMMYFUNCTION("""COMPUTED_VALUE"""),"Blouses")</f>
        <v>Blouses</v>
      </c>
    </row>
    <row r="1016">
      <c r="A1016" s="8">
        <f>IFERROR(__xludf.DUMMYFUNCTION("""COMPUTED_VALUE"""),1332.0)</f>
        <v>1332</v>
      </c>
      <c r="B1016" s="8">
        <f>IFERROR(__xludf.DUMMYFUNCTION("""COMPUTED_VALUE"""),836.0)</f>
        <v>836</v>
      </c>
      <c r="C1016" s="8">
        <f>IFERROR(__xludf.DUMMYFUNCTION("""COMPUTED_VALUE"""),26.0)</f>
        <v>26</v>
      </c>
      <c r="D1016" s="8" t="str">
        <f>IFERROR(__xludf.DUMMYFUNCTION("""COMPUTED_VALUE"""),"Great overall, but with it's issues")</f>
        <v>Great overall, but with it's issues</v>
      </c>
      <c r="E1016" s="8" t="str">
        <f>IFERROR(__xludf.DUMMYFUNCTION("""COMPUTED_VALUE"""),"This top is really pretty and i received a lot of compliments on it. i said it ran true to size, but really the torso part runs a little big. if i had sized down, i think it would have been too tight in the arms. the cami that came with it kept falling ou"&amp;"t, which is no big deal, but be aware that the strings might not hold the cami with the shirt. overall, it's a really pretty blue and the details make it worth it.")</f>
        <v>This top is really pretty and i received a lot of compliments on it. i said it ran true to size, but really the torso part runs a little big. if i had sized down, i think it would have been too tight in the arms. the cami that came with it kept falling out, which is no big deal, but be aware that the strings might not hold the cami with the shirt. overall, it's a really pretty blue and the details make it worth it.</v>
      </c>
      <c r="F1016" s="8">
        <f>IFERROR(__xludf.DUMMYFUNCTION("""COMPUTED_VALUE"""),4.0)</f>
        <v>4</v>
      </c>
      <c r="G1016" s="8">
        <f>IFERROR(__xludf.DUMMYFUNCTION("""COMPUTED_VALUE"""),1.0)</f>
        <v>1</v>
      </c>
      <c r="H1016" s="8">
        <f>IFERROR(__xludf.DUMMYFUNCTION("""COMPUTED_VALUE"""),0.0)</f>
        <v>0</v>
      </c>
      <c r="I1016" s="8" t="str">
        <f>IFERROR(__xludf.DUMMYFUNCTION("""COMPUTED_VALUE"""),"General")</f>
        <v>General</v>
      </c>
      <c r="J1016" s="8" t="str">
        <f>IFERROR(__xludf.DUMMYFUNCTION("""COMPUTED_VALUE"""),"Tops")</f>
        <v>Tops</v>
      </c>
      <c r="K1016" s="8" t="str">
        <f>IFERROR(__xludf.DUMMYFUNCTION("""COMPUTED_VALUE"""),"Blouses")</f>
        <v>Blouses</v>
      </c>
    </row>
    <row r="1017">
      <c r="A1017" s="8">
        <f>IFERROR(__xludf.DUMMYFUNCTION("""COMPUTED_VALUE"""),1336.0)</f>
        <v>1336</v>
      </c>
      <c r="B1017" s="8">
        <f>IFERROR(__xludf.DUMMYFUNCTION("""COMPUTED_VALUE"""),836.0)</f>
        <v>836</v>
      </c>
      <c r="C1017" s="8">
        <f>IFERROR(__xludf.DUMMYFUNCTION("""COMPUTED_VALUE"""),36.0)</f>
        <v>36</v>
      </c>
      <c r="D1017" s="8" t="str">
        <f>IFERROR(__xludf.DUMMYFUNCTION("""COMPUTED_VALUE"""),"Stunning!")</f>
        <v>Stunning!</v>
      </c>
      <c r="E1017" s="8" t="str">
        <f>IFERROR(__xludf.DUMMYFUNCTION("""COMPUTED_VALUE"""),"I knew i wanted this top the moment i saw it, so onto my wishlist it went until it went on sale! it fits beautifully in my normal size and i love that it already has a coordinating tank top. i get compliments whenever i wear it- think hd in paris might be"&amp;" my new go-to!")</f>
        <v>I knew i wanted this top the moment i saw it, so onto my wishlist it went until it went on sale! it fits beautifully in my normal size and i love that it already has a coordinating tank top. i get compliments whenever i wear it- think hd in paris might be my new go-to!</v>
      </c>
      <c r="F1017" s="8">
        <f>IFERROR(__xludf.DUMMYFUNCTION("""COMPUTED_VALUE"""),5.0)</f>
        <v>5</v>
      </c>
      <c r="G1017" s="8">
        <f>IFERROR(__xludf.DUMMYFUNCTION("""COMPUTED_VALUE"""),1.0)</f>
        <v>1</v>
      </c>
      <c r="H1017" s="8">
        <f>IFERROR(__xludf.DUMMYFUNCTION("""COMPUTED_VALUE"""),0.0)</f>
        <v>0</v>
      </c>
      <c r="I1017" s="8" t="str">
        <f>IFERROR(__xludf.DUMMYFUNCTION("""COMPUTED_VALUE"""),"General Petite")</f>
        <v>General Petite</v>
      </c>
      <c r="J1017" s="8" t="str">
        <f>IFERROR(__xludf.DUMMYFUNCTION("""COMPUTED_VALUE"""),"Tops")</f>
        <v>Tops</v>
      </c>
      <c r="K1017" s="8" t="str">
        <f>IFERROR(__xludf.DUMMYFUNCTION("""COMPUTED_VALUE"""),"Blouses")</f>
        <v>Blouses</v>
      </c>
    </row>
    <row r="1018">
      <c r="A1018" s="8">
        <f>IFERROR(__xludf.DUMMYFUNCTION("""COMPUTED_VALUE"""),1337.0)</f>
        <v>1337</v>
      </c>
      <c r="B1018" s="8">
        <f>IFERROR(__xludf.DUMMYFUNCTION("""COMPUTED_VALUE"""),860.0)</f>
        <v>860</v>
      </c>
      <c r="C1018" s="8">
        <f>IFERROR(__xludf.DUMMYFUNCTION("""COMPUTED_VALUE"""),56.0)</f>
        <v>56</v>
      </c>
      <c r="D1018" s="8"/>
      <c r="E1018" s="8" t="str">
        <f>IFERROR(__xludf.DUMMYFUNCTION("""COMPUTED_VALUE"""),"This is probably a blouse for curvy women. with that i mean large breasted. i am a 40d and the xl fits well and the cleavage is in the limit of ok for the office. the bottom is a little too large but not too long. however, the fabric feels extremely comfo"&amp;"rtable and it stretches but it doesn't lose the shape. i am tempted to buy 2 more. if you are thin, you probably need to size down.")</f>
        <v>This is probably a blouse for curvy women. with that i mean large breasted. i am a 40d and the xl fits well and the cleavage is in the limit of ok for the office. the bottom is a little too large but not too long. however, the fabric feels extremely comfortable and it stretches but it doesn't lose the shape. i am tempted to buy 2 more. if you are thin, you probably need to size down.</v>
      </c>
      <c r="F1018" s="8">
        <f>IFERROR(__xludf.DUMMYFUNCTION("""COMPUTED_VALUE"""),5.0)</f>
        <v>5</v>
      </c>
      <c r="G1018" s="8">
        <f>IFERROR(__xludf.DUMMYFUNCTION("""COMPUTED_VALUE"""),1.0)</f>
        <v>1</v>
      </c>
      <c r="H1018" s="8">
        <f>IFERROR(__xludf.DUMMYFUNCTION("""COMPUTED_VALUE"""),2.0)</f>
        <v>2</v>
      </c>
      <c r="I1018" s="8" t="str">
        <f>IFERROR(__xludf.DUMMYFUNCTION("""COMPUTED_VALUE"""),"General")</f>
        <v>General</v>
      </c>
      <c r="J1018" s="8" t="str">
        <f>IFERROR(__xludf.DUMMYFUNCTION("""COMPUTED_VALUE"""),"Tops")</f>
        <v>Tops</v>
      </c>
      <c r="K1018" s="8" t="str">
        <f>IFERROR(__xludf.DUMMYFUNCTION("""COMPUTED_VALUE"""),"Knits")</f>
        <v>Knits</v>
      </c>
    </row>
    <row r="1019">
      <c r="A1019" s="8">
        <f>IFERROR(__xludf.DUMMYFUNCTION("""COMPUTED_VALUE"""),1338.0)</f>
        <v>1338</v>
      </c>
      <c r="B1019" s="8">
        <f>IFERROR(__xludf.DUMMYFUNCTION("""COMPUTED_VALUE"""),867.0)</f>
        <v>867</v>
      </c>
      <c r="C1019" s="8">
        <f>IFERROR(__xludf.DUMMYFUNCTION("""COMPUTED_VALUE"""),48.0)</f>
        <v>48</v>
      </c>
      <c r="D1019" s="8" t="str">
        <f>IFERROR(__xludf.DUMMYFUNCTION("""COMPUTED_VALUE"""),"Soft lightweight and cool")</f>
        <v>Soft lightweight and cool</v>
      </c>
      <c r="E1019" s="8" t="str">
        <f>IFERROR(__xludf.DUMMYFUNCTION("""COMPUTED_VALUE"""),"This tee is super soft and thin. perfect for hot humid days. i went with the neutral version and it is adorable with chino shorts or jean shorts. i found it ran big.. i purchased in xs and still pretty baggy.")</f>
        <v>This tee is super soft and thin. perfect for hot humid days. i went with the neutral version and it is adorable with chino shorts or jean shorts. i found it ran big.. i purchased in xs and still pretty baggy.</v>
      </c>
      <c r="F1019" s="8">
        <f>IFERROR(__xludf.DUMMYFUNCTION("""COMPUTED_VALUE"""),5.0)</f>
        <v>5</v>
      </c>
      <c r="G1019" s="8">
        <f>IFERROR(__xludf.DUMMYFUNCTION("""COMPUTED_VALUE"""),1.0)</f>
        <v>1</v>
      </c>
      <c r="H1019" s="8">
        <f>IFERROR(__xludf.DUMMYFUNCTION("""COMPUTED_VALUE"""),3.0)</f>
        <v>3</v>
      </c>
      <c r="I1019" s="8" t="str">
        <f>IFERROR(__xludf.DUMMYFUNCTION("""COMPUTED_VALUE"""),"General")</f>
        <v>General</v>
      </c>
      <c r="J1019" s="8" t="str">
        <f>IFERROR(__xludf.DUMMYFUNCTION("""COMPUTED_VALUE"""),"Tops")</f>
        <v>Tops</v>
      </c>
      <c r="K1019" s="8" t="str">
        <f>IFERROR(__xludf.DUMMYFUNCTION("""COMPUTED_VALUE"""),"Knits")</f>
        <v>Knits</v>
      </c>
    </row>
    <row r="1020">
      <c r="A1020" s="8">
        <f>IFERROR(__xludf.DUMMYFUNCTION("""COMPUTED_VALUE"""),1340.0)</f>
        <v>1340</v>
      </c>
      <c r="B1020" s="8">
        <f>IFERROR(__xludf.DUMMYFUNCTION("""COMPUTED_VALUE"""),1098.0)</f>
        <v>1098</v>
      </c>
      <c r="C1020" s="8">
        <f>IFERROR(__xludf.DUMMYFUNCTION("""COMPUTED_VALUE"""),42.0)</f>
        <v>42</v>
      </c>
      <c r="D1020" s="8" t="str">
        <f>IFERROR(__xludf.DUMMYFUNCTION("""COMPUTED_VALUE"""),"Beautiful!")</f>
        <v>Beautiful!</v>
      </c>
      <c r="E1020" s="8" t="str">
        <f>IFERROR(__xludf.DUMMYFUNCTION("""COMPUTED_VALUE"""),"Beautiful dress! excellent detail! loved everything about this dress except for the weight. this dress is very heavy which limits my wearing options in fl. given the fabric, this is a great special occasion dress.")</f>
        <v>Beautiful dress! excellent detail! loved everything about this dress except for the weight. this dress is very heavy which limits my wearing options in fl. given the fabric, this is a great special occasion dress.</v>
      </c>
      <c r="F1020" s="8">
        <f>IFERROR(__xludf.DUMMYFUNCTION("""COMPUTED_VALUE"""),4.0)</f>
        <v>4</v>
      </c>
      <c r="G1020" s="8">
        <f>IFERROR(__xludf.DUMMYFUNCTION("""COMPUTED_VALUE"""),1.0)</f>
        <v>1</v>
      </c>
      <c r="H1020" s="8">
        <f>IFERROR(__xludf.DUMMYFUNCTION("""COMPUTED_VALUE"""),6.0)</f>
        <v>6</v>
      </c>
      <c r="I1020" s="8" t="str">
        <f>IFERROR(__xludf.DUMMYFUNCTION("""COMPUTED_VALUE"""),"General")</f>
        <v>General</v>
      </c>
      <c r="J1020" s="8" t="str">
        <f>IFERROR(__xludf.DUMMYFUNCTION("""COMPUTED_VALUE"""),"Dresses")</f>
        <v>Dresses</v>
      </c>
      <c r="K1020" s="8" t="str">
        <f>IFERROR(__xludf.DUMMYFUNCTION("""COMPUTED_VALUE"""),"Dresses")</f>
        <v>Dresses</v>
      </c>
    </row>
    <row r="1021">
      <c r="A1021" s="8">
        <f>IFERROR(__xludf.DUMMYFUNCTION("""COMPUTED_VALUE"""),1342.0)</f>
        <v>1342</v>
      </c>
      <c r="B1021" s="8">
        <f>IFERROR(__xludf.DUMMYFUNCTION("""COMPUTED_VALUE"""),825.0)</f>
        <v>825</v>
      </c>
      <c r="C1021" s="8">
        <f>IFERROR(__xludf.DUMMYFUNCTION("""COMPUTED_VALUE"""),42.0)</f>
        <v>42</v>
      </c>
      <c r="D1021" s="8" t="str">
        <f>IFERROR(__xludf.DUMMYFUNCTION("""COMPUTED_VALUE"""),"Yeh, what she said.....")</f>
        <v>Yeh, what she said.....</v>
      </c>
      <c r="E1021" s="8" t="str">
        <f>IFERROR(__xludf.DUMMYFUNCTION("""COMPUTED_VALUE"""),"Yep. this is snug, so maybe you might consider upping your normal size. but here's the annoying thing for me...the buttons fell off. not kidding. the first i wore this blouse and two buttons came off. when i looked at the other ones i saw that they all ne"&amp;"eded to be resewn to keep them attached. what a bother. but i'm doing it because the cotton poplin is nice and the little ruffle is a nice touch that i really like . where am i going to find another? so i'll fix it up the way it should have been")</f>
        <v>Yep. this is snug, so maybe you might consider upping your normal size. but here's the annoying thing for me...the buttons fell off. not kidding. the first i wore this blouse and two buttons came off. when i looked at the other ones i saw that they all needed to be resewn to keep them attached. what a bother. but i'm doing it because the cotton poplin is nice and the little ruffle is a nice touch that i really like . where am i going to find another? so i'll fix it up the way it should have been</v>
      </c>
      <c r="F1021" s="8">
        <f>IFERROR(__xludf.DUMMYFUNCTION("""COMPUTED_VALUE"""),4.0)</f>
        <v>4</v>
      </c>
      <c r="G1021" s="8">
        <f>IFERROR(__xludf.DUMMYFUNCTION("""COMPUTED_VALUE"""),1.0)</f>
        <v>1</v>
      </c>
      <c r="H1021" s="8">
        <f>IFERROR(__xludf.DUMMYFUNCTION("""COMPUTED_VALUE"""),1.0)</f>
        <v>1</v>
      </c>
      <c r="I1021" s="8" t="str">
        <f>IFERROR(__xludf.DUMMYFUNCTION("""COMPUTED_VALUE"""),"General")</f>
        <v>General</v>
      </c>
      <c r="J1021" s="8" t="str">
        <f>IFERROR(__xludf.DUMMYFUNCTION("""COMPUTED_VALUE"""),"Tops")</f>
        <v>Tops</v>
      </c>
      <c r="K1021" s="8" t="str">
        <f>IFERROR(__xludf.DUMMYFUNCTION("""COMPUTED_VALUE"""),"Blouses")</f>
        <v>Blouses</v>
      </c>
    </row>
    <row r="1022">
      <c r="A1022" s="8">
        <f>IFERROR(__xludf.DUMMYFUNCTION("""COMPUTED_VALUE"""),1343.0)</f>
        <v>1343</v>
      </c>
      <c r="B1022" s="8">
        <f>IFERROR(__xludf.DUMMYFUNCTION("""COMPUTED_VALUE"""),708.0)</f>
        <v>708</v>
      </c>
      <c r="C1022" s="8">
        <f>IFERROR(__xludf.DUMMYFUNCTION("""COMPUTED_VALUE"""),27.0)</f>
        <v>27</v>
      </c>
      <c r="D1022" s="8" t="str">
        <f>IFERROR(__xludf.DUMMYFUNCTION("""COMPUTED_VALUE"""),"My favorite workout leggings")</f>
        <v>My favorite workout leggings</v>
      </c>
      <c r="E1022" s="8" t="str">
        <f>IFERROR(__xludf.DUMMYFUNCTION("""COMPUTED_VALUE"""),"These leggings are wonderful. they are incredibly soft, and stay in place when working out.")</f>
        <v>These leggings are wonderful. they are incredibly soft, and stay in place when working out.</v>
      </c>
      <c r="F1022" s="8">
        <f>IFERROR(__xludf.DUMMYFUNCTION("""COMPUTED_VALUE"""),5.0)</f>
        <v>5</v>
      </c>
      <c r="G1022" s="8">
        <f>IFERROR(__xludf.DUMMYFUNCTION("""COMPUTED_VALUE"""),1.0)</f>
        <v>1</v>
      </c>
      <c r="H1022" s="8">
        <f>IFERROR(__xludf.DUMMYFUNCTION("""COMPUTED_VALUE"""),0.0)</f>
        <v>0</v>
      </c>
      <c r="I1022" s="8" t="str">
        <f>IFERROR(__xludf.DUMMYFUNCTION("""COMPUTED_VALUE"""),"Initmates")</f>
        <v>Initmates</v>
      </c>
      <c r="J1022" s="8" t="str">
        <f>IFERROR(__xludf.DUMMYFUNCTION("""COMPUTED_VALUE"""),"Intimate")</f>
        <v>Intimate</v>
      </c>
      <c r="K1022" s="8" t="str">
        <f>IFERROR(__xludf.DUMMYFUNCTION("""COMPUTED_VALUE"""),"Lounge")</f>
        <v>Lounge</v>
      </c>
    </row>
    <row r="1023">
      <c r="A1023" s="8">
        <f>IFERROR(__xludf.DUMMYFUNCTION("""COMPUTED_VALUE"""),1344.0)</f>
        <v>1344</v>
      </c>
      <c r="B1023" s="8">
        <f>IFERROR(__xludf.DUMMYFUNCTION("""COMPUTED_VALUE"""),867.0)</f>
        <v>867</v>
      </c>
      <c r="C1023" s="8">
        <f>IFERROR(__xludf.DUMMYFUNCTION("""COMPUTED_VALUE"""),71.0)</f>
        <v>71</v>
      </c>
      <c r="D1023" s="8"/>
      <c r="E1023" s="8"/>
      <c r="F1023" s="8">
        <f>IFERROR(__xludf.DUMMYFUNCTION("""COMPUTED_VALUE"""),4.0)</f>
        <v>4</v>
      </c>
      <c r="G1023" s="8">
        <f>IFERROR(__xludf.DUMMYFUNCTION("""COMPUTED_VALUE"""),1.0)</f>
        <v>1</v>
      </c>
      <c r="H1023" s="8">
        <f>IFERROR(__xludf.DUMMYFUNCTION("""COMPUTED_VALUE"""),0.0)</f>
        <v>0</v>
      </c>
      <c r="I1023" s="8" t="str">
        <f>IFERROR(__xludf.DUMMYFUNCTION("""COMPUTED_VALUE"""),"General")</f>
        <v>General</v>
      </c>
      <c r="J1023" s="8" t="str">
        <f>IFERROR(__xludf.DUMMYFUNCTION("""COMPUTED_VALUE"""),"Tops")</f>
        <v>Tops</v>
      </c>
      <c r="K1023" s="8" t="str">
        <f>IFERROR(__xludf.DUMMYFUNCTION("""COMPUTED_VALUE"""),"Knits")</f>
        <v>Knits</v>
      </c>
    </row>
    <row r="1024">
      <c r="A1024" s="8">
        <f>IFERROR(__xludf.DUMMYFUNCTION("""COMPUTED_VALUE"""),1345.0)</f>
        <v>1345</v>
      </c>
      <c r="B1024" s="8">
        <f>IFERROR(__xludf.DUMMYFUNCTION("""COMPUTED_VALUE"""),850.0)</f>
        <v>850</v>
      </c>
      <c r="C1024" s="8">
        <f>IFERROR(__xludf.DUMMYFUNCTION("""COMPUTED_VALUE"""),25.0)</f>
        <v>25</v>
      </c>
      <c r="D1024" s="8" t="str">
        <f>IFERROR(__xludf.DUMMYFUNCTION("""COMPUTED_VALUE"""),"Pretty details")</f>
        <v>Pretty details</v>
      </c>
      <c r="E1024" s="8" t="str">
        <f>IFERROR(__xludf.DUMMYFUNCTION("""COMPUTED_VALUE"""),"I initially tried this on in store and fell in love with the beautiful cut out details and fit. the star design is really cute and unique and the blue color is not see-through at all. i eventually had to buy the blouse online because i could not stop thin"&amp;"king about it. also machine washable is a major plus.")</f>
        <v>I initially tried this on in store and fell in love with the beautiful cut out details and fit. the star design is really cute and unique and the blue color is not see-through at all. i eventually had to buy the blouse online because i could not stop thinking about it. also machine washable is a major plus.</v>
      </c>
      <c r="F1024" s="8">
        <f>IFERROR(__xludf.DUMMYFUNCTION("""COMPUTED_VALUE"""),5.0)</f>
        <v>5</v>
      </c>
      <c r="G1024" s="8">
        <f>IFERROR(__xludf.DUMMYFUNCTION("""COMPUTED_VALUE"""),1.0)</f>
        <v>1</v>
      </c>
      <c r="H1024" s="8">
        <f>IFERROR(__xludf.DUMMYFUNCTION("""COMPUTED_VALUE"""),0.0)</f>
        <v>0</v>
      </c>
      <c r="I1024" s="8" t="str">
        <f>IFERROR(__xludf.DUMMYFUNCTION("""COMPUTED_VALUE"""),"General")</f>
        <v>General</v>
      </c>
      <c r="J1024" s="8" t="str">
        <f>IFERROR(__xludf.DUMMYFUNCTION("""COMPUTED_VALUE"""),"Tops")</f>
        <v>Tops</v>
      </c>
      <c r="K1024" s="8" t="str">
        <f>IFERROR(__xludf.DUMMYFUNCTION("""COMPUTED_VALUE"""),"Blouses")</f>
        <v>Blouses</v>
      </c>
    </row>
    <row r="1025">
      <c r="A1025" s="8">
        <f>IFERROR(__xludf.DUMMYFUNCTION("""COMPUTED_VALUE"""),1350.0)</f>
        <v>1350</v>
      </c>
      <c r="B1025" s="8">
        <f>IFERROR(__xludf.DUMMYFUNCTION("""COMPUTED_VALUE"""),1098.0)</f>
        <v>1098</v>
      </c>
      <c r="C1025" s="8">
        <f>IFERROR(__xludf.DUMMYFUNCTION("""COMPUTED_VALUE"""),56.0)</f>
        <v>56</v>
      </c>
      <c r="D1025" s="8" t="str">
        <f>IFERROR(__xludf.DUMMYFUNCTION("""COMPUTED_VALUE"""),"Great find.")</f>
        <v>Great find.</v>
      </c>
      <c r="E1025" s="8" t="str">
        <f>IFERROR(__xludf.DUMMYFUNCTION("""COMPUTED_VALUE"""),"This dress has special written all over it. the poms at the hem and bodice, as well as the rows of black seed beads push are the kind of details that stand out. i like all the varying textures. it looks great with sandals or short boots. fits true to size"&amp;". a nice sassy length.")</f>
        <v>This dress has special written all over it. the poms at the hem and bodice, as well as the rows of black seed beads push are the kind of details that stand out. i like all the varying textures. it looks great with sandals or short boots. fits true to size. a nice sassy length.</v>
      </c>
      <c r="F1025" s="8">
        <f>IFERROR(__xludf.DUMMYFUNCTION("""COMPUTED_VALUE"""),5.0)</f>
        <v>5</v>
      </c>
      <c r="G1025" s="8">
        <f>IFERROR(__xludf.DUMMYFUNCTION("""COMPUTED_VALUE"""),1.0)</f>
        <v>1</v>
      </c>
      <c r="H1025" s="8">
        <f>IFERROR(__xludf.DUMMYFUNCTION("""COMPUTED_VALUE"""),0.0)</f>
        <v>0</v>
      </c>
      <c r="I1025" s="8" t="str">
        <f>IFERROR(__xludf.DUMMYFUNCTION("""COMPUTED_VALUE"""),"General")</f>
        <v>General</v>
      </c>
      <c r="J1025" s="8" t="str">
        <f>IFERROR(__xludf.DUMMYFUNCTION("""COMPUTED_VALUE"""),"Dresses")</f>
        <v>Dresses</v>
      </c>
      <c r="K1025" s="8" t="str">
        <f>IFERROR(__xludf.DUMMYFUNCTION("""COMPUTED_VALUE"""),"Dresses")</f>
        <v>Dresses</v>
      </c>
    </row>
    <row r="1026">
      <c r="A1026" s="8">
        <f>IFERROR(__xludf.DUMMYFUNCTION("""COMPUTED_VALUE"""),1352.0)</f>
        <v>1352</v>
      </c>
      <c r="B1026" s="8">
        <f>IFERROR(__xludf.DUMMYFUNCTION("""COMPUTED_VALUE"""),1098.0)</f>
        <v>1098</v>
      </c>
      <c r="C1026" s="8">
        <f>IFERROR(__xludf.DUMMYFUNCTION("""COMPUTED_VALUE"""),50.0)</f>
        <v>50</v>
      </c>
      <c r="D1026" s="8" t="str">
        <f>IFERROR(__xludf.DUMMYFUNCTION("""COMPUTED_VALUE"""),"Great summer  dress")</f>
        <v>Great summer  dress</v>
      </c>
      <c r="E1026" s="8" t="str">
        <f>IFERROR(__xludf.DUMMYFUNCTION("""COMPUTED_VALUE"""),"I found this dress at my local retailer must be a web order return i feel in love with it once i put it on its better in person that online but it does run a little tight in the chest area  it was fine for me as i'm not big busted")</f>
        <v>I found this dress at my local retailer must be a web order return i feel in love with it once i put it on its better in person that online but it does run a little tight in the chest area  it was fine for me as i'm not big busted</v>
      </c>
      <c r="F1026" s="8">
        <f>IFERROR(__xludf.DUMMYFUNCTION("""COMPUTED_VALUE"""),5.0)</f>
        <v>5</v>
      </c>
      <c r="G1026" s="8">
        <f>IFERROR(__xludf.DUMMYFUNCTION("""COMPUTED_VALUE"""),1.0)</f>
        <v>1</v>
      </c>
      <c r="H1026" s="8">
        <f>IFERROR(__xludf.DUMMYFUNCTION("""COMPUTED_VALUE"""),2.0)</f>
        <v>2</v>
      </c>
      <c r="I1026" s="8" t="str">
        <f>IFERROR(__xludf.DUMMYFUNCTION("""COMPUTED_VALUE"""),"General")</f>
        <v>General</v>
      </c>
      <c r="J1026" s="8" t="str">
        <f>IFERROR(__xludf.DUMMYFUNCTION("""COMPUTED_VALUE"""),"Dresses")</f>
        <v>Dresses</v>
      </c>
      <c r="K1026" s="8" t="str">
        <f>IFERROR(__xludf.DUMMYFUNCTION("""COMPUTED_VALUE"""),"Dresses")</f>
        <v>Dresses</v>
      </c>
    </row>
    <row r="1027">
      <c r="A1027" s="8">
        <f>IFERROR(__xludf.DUMMYFUNCTION("""COMPUTED_VALUE"""),1354.0)</f>
        <v>1354</v>
      </c>
      <c r="B1027" s="8">
        <f>IFERROR(__xludf.DUMMYFUNCTION("""COMPUTED_VALUE"""),1022.0)</f>
        <v>1022</v>
      </c>
      <c r="C1027" s="8">
        <f>IFERROR(__xludf.DUMMYFUNCTION("""COMPUTED_VALUE"""),42.0)</f>
        <v>42</v>
      </c>
      <c r="D1027" s="8" t="str">
        <f>IFERROR(__xludf.DUMMYFUNCTION("""COMPUTED_VALUE"""),"Great jeans!")</f>
        <v>Great jeans!</v>
      </c>
      <c r="E1027" s="8" t="str">
        <f>IFERROR(__xludf.DUMMYFUNCTION("""COMPUTED_VALUE"""),"I tried these on in-store not intending to buy them (was trying on shirts and needed to see how they would look with jeans!) and loved them! great ""medium blue"" color and they fit me so nicely (i am 5'2"" with actual hips and thighs :) ...the price is a"&amp;" bit high for me though. hoping to find a pair at some point when they are on sale!")</f>
        <v>I tried these on in-store not intending to buy them (was trying on shirts and needed to see how they would look with jeans!) and loved them! great "medium blue" color and they fit me so nicely (i am 5'2" with actual hips and thighs :) ...the price is a bit high for me though. hoping to find a pair at some point when they are on sale!</v>
      </c>
      <c r="F1027" s="8">
        <f>IFERROR(__xludf.DUMMYFUNCTION("""COMPUTED_VALUE"""),5.0)</f>
        <v>5</v>
      </c>
      <c r="G1027" s="8">
        <f>IFERROR(__xludf.DUMMYFUNCTION("""COMPUTED_VALUE"""),1.0)</f>
        <v>1</v>
      </c>
      <c r="H1027" s="8">
        <f>IFERROR(__xludf.DUMMYFUNCTION("""COMPUTED_VALUE"""),1.0)</f>
        <v>1</v>
      </c>
      <c r="I1027" s="8" t="str">
        <f>IFERROR(__xludf.DUMMYFUNCTION("""COMPUTED_VALUE"""),"General")</f>
        <v>General</v>
      </c>
      <c r="J1027" s="8" t="str">
        <f>IFERROR(__xludf.DUMMYFUNCTION("""COMPUTED_VALUE"""),"Bottoms")</f>
        <v>Bottoms</v>
      </c>
      <c r="K1027" s="8" t="str">
        <f>IFERROR(__xludf.DUMMYFUNCTION("""COMPUTED_VALUE"""),"Jeans")</f>
        <v>Jeans</v>
      </c>
    </row>
    <row r="1028">
      <c r="A1028" s="8">
        <f>IFERROR(__xludf.DUMMYFUNCTION("""COMPUTED_VALUE"""),1357.0)</f>
        <v>1357</v>
      </c>
      <c r="B1028" s="8">
        <f>IFERROR(__xludf.DUMMYFUNCTION("""COMPUTED_VALUE"""),895.0)</f>
        <v>895</v>
      </c>
      <c r="C1028" s="8">
        <f>IFERROR(__xludf.DUMMYFUNCTION("""COMPUTED_VALUE"""),52.0)</f>
        <v>52</v>
      </c>
      <c r="D1028" s="8" t="str">
        <f>IFERROR(__xludf.DUMMYFUNCTION("""COMPUTED_VALUE"""),"As expected")</f>
        <v>As expected</v>
      </c>
      <c r="E1028" s="8" t="str">
        <f>IFERROR(__xludf.DUMMYFUNCTION("""COMPUTED_VALUE"""),"I like this top. yes it is very cropped and fitted but that's the style as shown on the model in the picture. but its true this style may not fits everyone. it probably flatters those of athletic or petite figure more than a full figure. i am 5' 6"" 110#."&amp;" my usual size is xs. the top looks small to me at first so i tried both size xs and s. i took the xs cause i like it look fitted than loose. i wear this top with high waist fitted skirts or pants and it looks great. if this top can be an inch lo")</f>
        <v>I like this top. yes it is very cropped and fitted but that's the style as shown on the model in the picture. but its true this style may not fits everyone. it probably flatters those of athletic or petite figure more than a full figure. i am 5' 6" 110#. my usual size is xs. the top looks small to me at first so i tried both size xs and s. i took the xs cause i like it look fitted than loose. i wear this top with high waist fitted skirts or pants and it looks great. if this top can be an inch lo</v>
      </c>
      <c r="F1028" s="8">
        <f>IFERROR(__xludf.DUMMYFUNCTION("""COMPUTED_VALUE"""),4.0)</f>
        <v>4</v>
      </c>
      <c r="G1028" s="8">
        <f>IFERROR(__xludf.DUMMYFUNCTION("""COMPUTED_VALUE"""),1.0)</f>
        <v>1</v>
      </c>
      <c r="H1028" s="8">
        <f>IFERROR(__xludf.DUMMYFUNCTION("""COMPUTED_VALUE"""),2.0)</f>
        <v>2</v>
      </c>
      <c r="I1028" s="8" t="str">
        <f>IFERROR(__xludf.DUMMYFUNCTION("""COMPUTED_VALUE"""),"General Petite")</f>
        <v>General Petite</v>
      </c>
      <c r="J1028" s="8" t="str">
        <f>IFERROR(__xludf.DUMMYFUNCTION("""COMPUTED_VALUE"""),"Tops")</f>
        <v>Tops</v>
      </c>
      <c r="K1028" s="8" t="str">
        <f>IFERROR(__xludf.DUMMYFUNCTION("""COMPUTED_VALUE"""),"Fine gauge")</f>
        <v>Fine gauge</v>
      </c>
    </row>
    <row r="1029">
      <c r="A1029" s="8">
        <f>IFERROR(__xludf.DUMMYFUNCTION("""COMPUTED_VALUE"""),1360.0)</f>
        <v>1360</v>
      </c>
      <c r="B1029" s="8">
        <f>IFERROR(__xludf.DUMMYFUNCTION("""COMPUTED_VALUE"""),861.0)</f>
        <v>861</v>
      </c>
      <c r="C1029" s="8">
        <f>IFERROR(__xludf.DUMMYFUNCTION("""COMPUTED_VALUE"""),47.0)</f>
        <v>47</v>
      </c>
      <c r="D1029" s="8" t="str">
        <f>IFERROR(__xludf.DUMMYFUNCTION("""COMPUTED_VALUE"""),"Comfy")</f>
        <v>Comfy</v>
      </c>
      <c r="E1029" s="8" t="str">
        <f>IFERROR(__xludf.DUMMYFUNCTION("""COMPUTED_VALUE"""),"Love this soft sweatshirt. the peplum makes it a little different and the quality is great. go to piece for spring. loose fitting but true to size in shoulders.")</f>
        <v>Love this soft sweatshirt. the peplum makes it a little different and the quality is great. go to piece for spring. loose fitting but true to size in shoulders.</v>
      </c>
      <c r="F1029" s="8">
        <f>IFERROR(__xludf.DUMMYFUNCTION("""COMPUTED_VALUE"""),5.0)</f>
        <v>5</v>
      </c>
      <c r="G1029" s="8">
        <f>IFERROR(__xludf.DUMMYFUNCTION("""COMPUTED_VALUE"""),1.0)</f>
        <v>1</v>
      </c>
      <c r="H1029" s="8">
        <f>IFERROR(__xludf.DUMMYFUNCTION("""COMPUTED_VALUE"""),0.0)</f>
        <v>0</v>
      </c>
      <c r="I1029" s="8" t="str">
        <f>IFERROR(__xludf.DUMMYFUNCTION("""COMPUTED_VALUE"""),"General")</f>
        <v>General</v>
      </c>
      <c r="J1029" s="8" t="str">
        <f>IFERROR(__xludf.DUMMYFUNCTION("""COMPUTED_VALUE"""),"Tops")</f>
        <v>Tops</v>
      </c>
      <c r="K1029" s="8" t="str">
        <f>IFERROR(__xludf.DUMMYFUNCTION("""COMPUTED_VALUE"""),"Knits")</f>
        <v>Knits</v>
      </c>
    </row>
    <row r="1030">
      <c r="A1030" s="8">
        <f>IFERROR(__xludf.DUMMYFUNCTION("""COMPUTED_VALUE"""),1363.0)</f>
        <v>1363</v>
      </c>
      <c r="B1030" s="8">
        <f>IFERROR(__xludf.DUMMYFUNCTION("""COMPUTED_VALUE"""),850.0)</f>
        <v>850</v>
      </c>
      <c r="C1030" s="8">
        <f>IFERROR(__xludf.DUMMYFUNCTION("""COMPUTED_VALUE"""),41.0)</f>
        <v>41</v>
      </c>
      <c r="D1030" s="8" t="str">
        <f>IFERROR(__xludf.DUMMYFUNCTION("""COMPUTED_VALUE"""),"Beautiful winter color")</f>
        <v>Beautiful winter color</v>
      </c>
      <c r="E1030" s="8" t="str">
        <f>IFERROR(__xludf.DUMMYFUNCTION("""COMPUTED_VALUE"""),"Beautiful and very feminine look but run big. i m 5ft 105 lbs curvy , size 00 fit me well")</f>
        <v>Beautiful and very feminine look but run big. i m 5ft 105 lbs curvy , size 00 fit me well</v>
      </c>
      <c r="F1030" s="8">
        <f>IFERROR(__xludf.DUMMYFUNCTION("""COMPUTED_VALUE"""),5.0)</f>
        <v>5</v>
      </c>
      <c r="G1030" s="8">
        <f>IFERROR(__xludf.DUMMYFUNCTION("""COMPUTED_VALUE"""),1.0)</f>
        <v>1</v>
      </c>
      <c r="H1030" s="8">
        <f>IFERROR(__xludf.DUMMYFUNCTION("""COMPUTED_VALUE"""),10.0)</f>
        <v>10</v>
      </c>
      <c r="I1030" s="8" t="str">
        <f>IFERROR(__xludf.DUMMYFUNCTION("""COMPUTED_VALUE"""),"General")</f>
        <v>General</v>
      </c>
      <c r="J1030" s="8" t="str">
        <f>IFERROR(__xludf.DUMMYFUNCTION("""COMPUTED_VALUE"""),"Tops")</f>
        <v>Tops</v>
      </c>
      <c r="K1030" s="8" t="str">
        <f>IFERROR(__xludf.DUMMYFUNCTION("""COMPUTED_VALUE"""),"Blouses")</f>
        <v>Blouses</v>
      </c>
    </row>
    <row r="1031">
      <c r="A1031" s="8">
        <f>IFERROR(__xludf.DUMMYFUNCTION("""COMPUTED_VALUE"""),1364.0)</f>
        <v>1364</v>
      </c>
      <c r="B1031" s="8">
        <f>IFERROR(__xludf.DUMMYFUNCTION("""COMPUTED_VALUE"""),861.0)</f>
        <v>861</v>
      </c>
      <c r="C1031" s="8">
        <f>IFERROR(__xludf.DUMMYFUNCTION("""COMPUTED_VALUE"""),66.0)</f>
        <v>66</v>
      </c>
      <c r="D1031" s="8" t="str">
        <f>IFERROR(__xludf.DUMMYFUNCTION("""COMPUTED_VALUE"""),"Comfortable")</f>
        <v>Comfortable</v>
      </c>
      <c r="E1031" s="8" t="str">
        <f>IFERROR(__xludf.DUMMYFUNCTION("""COMPUTED_VALUE"""),"I really like this jacket. very comfortable, nice material. i like the weight of this jacket, i wore it alone but it will be cute with a t-shirt under it too.")</f>
        <v>I really like this jacket. very comfortable, nice material. i like the weight of this jacket, i wore it alone but it will be cute with a t-shirt under it too.</v>
      </c>
      <c r="F1031" s="8">
        <f>IFERROR(__xludf.DUMMYFUNCTION("""COMPUTED_VALUE"""),5.0)</f>
        <v>5</v>
      </c>
      <c r="G1031" s="8">
        <f>IFERROR(__xludf.DUMMYFUNCTION("""COMPUTED_VALUE"""),1.0)</f>
        <v>1</v>
      </c>
      <c r="H1031" s="8">
        <f>IFERROR(__xludf.DUMMYFUNCTION("""COMPUTED_VALUE"""),2.0)</f>
        <v>2</v>
      </c>
      <c r="I1031" s="8" t="str">
        <f>IFERROR(__xludf.DUMMYFUNCTION("""COMPUTED_VALUE"""),"General")</f>
        <v>General</v>
      </c>
      <c r="J1031" s="8" t="str">
        <f>IFERROR(__xludf.DUMMYFUNCTION("""COMPUTED_VALUE"""),"Tops")</f>
        <v>Tops</v>
      </c>
      <c r="K1031" s="8" t="str">
        <f>IFERROR(__xludf.DUMMYFUNCTION("""COMPUTED_VALUE"""),"Knits")</f>
        <v>Knits</v>
      </c>
    </row>
    <row r="1032">
      <c r="A1032" s="8">
        <f>IFERROR(__xludf.DUMMYFUNCTION("""COMPUTED_VALUE"""),1365.0)</f>
        <v>1365</v>
      </c>
      <c r="B1032" s="8">
        <f>IFERROR(__xludf.DUMMYFUNCTION("""COMPUTED_VALUE"""),1110.0)</f>
        <v>1110</v>
      </c>
      <c r="C1032" s="8">
        <f>IFERROR(__xludf.DUMMYFUNCTION("""COMPUTED_VALUE"""),38.0)</f>
        <v>38</v>
      </c>
      <c r="D1032" s="8" t="str">
        <f>IFERROR(__xludf.DUMMYFUNCTION("""COMPUTED_VALUE"""),"Love it!")</f>
        <v>Love it!</v>
      </c>
      <c r="E1032" s="8" t="str">
        <f>IFERROR(__xludf.DUMMYFUNCTION("""COMPUTED_VALUE"""),"Ordered this dress for a summer wedding. it is so cute! true to size, well made with a hint of tulle. super comfortable for moving and dancing. winner!")</f>
        <v>Ordered this dress for a summer wedding. it is so cute! true to size, well made with a hint of tulle. super comfortable for moving and dancing. winner!</v>
      </c>
      <c r="F1032" s="8">
        <f>IFERROR(__xludf.DUMMYFUNCTION("""COMPUTED_VALUE"""),5.0)</f>
        <v>5</v>
      </c>
      <c r="G1032" s="8">
        <f>IFERROR(__xludf.DUMMYFUNCTION("""COMPUTED_VALUE"""),1.0)</f>
        <v>1</v>
      </c>
      <c r="H1032" s="8">
        <f>IFERROR(__xludf.DUMMYFUNCTION("""COMPUTED_VALUE"""),6.0)</f>
        <v>6</v>
      </c>
      <c r="I1032" s="8" t="str">
        <f>IFERROR(__xludf.DUMMYFUNCTION("""COMPUTED_VALUE"""),"General Petite")</f>
        <v>General Petite</v>
      </c>
      <c r="J1032" s="8" t="str">
        <f>IFERROR(__xludf.DUMMYFUNCTION("""COMPUTED_VALUE"""),"Dresses")</f>
        <v>Dresses</v>
      </c>
      <c r="K1032" s="8" t="str">
        <f>IFERROR(__xludf.DUMMYFUNCTION("""COMPUTED_VALUE"""),"Dresses")</f>
        <v>Dresses</v>
      </c>
    </row>
    <row r="1033">
      <c r="A1033" s="8">
        <f>IFERROR(__xludf.DUMMYFUNCTION("""COMPUTED_VALUE"""),1366.0)</f>
        <v>1366</v>
      </c>
      <c r="B1033" s="8">
        <f>IFERROR(__xludf.DUMMYFUNCTION("""COMPUTED_VALUE"""),867.0)</f>
        <v>867</v>
      </c>
      <c r="C1033" s="8">
        <f>IFERROR(__xludf.DUMMYFUNCTION("""COMPUTED_VALUE"""),44.0)</f>
        <v>44</v>
      </c>
      <c r="D1033" s="8"/>
      <c r="E1033" s="8"/>
      <c r="F1033" s="8">
        <f>IFERROR(__xludf.DUMMYFUNCTION("""COMPUTED_VALUE"""),5.0)</f>
        <v>5</v>
      </c>
      <c r="G1033" s="8">
        <f>IFERROR(__xludf.DUMMYFUNCTION("""COMPUTED_VALUE"""),1.0)</f>
        <v>1</v>
      </c>
      <c r="H1033" s="8">
        <f>IFERROR(__xludf.DUMMYFUNCTION("""COMPUTED_VALUE"""),0.0)</f>
        <v>0</v>
      </c>
      <c r="I1033" s="8" t="str">
        <f>IFERROR(__xludf.DUMMYFUNCTION("""COMPUTED_VALUE"""),"General")</f>
        <v>General</v>
      </c>
      <c r="J1033" s="8" t="str">
        <f>IFERROR(__xludf.DUMMYFUNCTION("""COMPUTED_VALUE"""),"Tops")</f>
        <v>Tops</v>
      </c>
      <c r="K1033" s="8" t="str">
        <f>IFERROR(__xludf.DUMMYFUNCTION("""COMPUTED_VALUE"""),"Knits")</f>
        <v>Knits</v>
      </c>
    </row>
    <row r="1034">
      <c r="A1034" s="8">
        <f>IFERROR(__xludf.DUMMYFUNCTION("""COMPUTED_VALUE"""),1368.0)</f>
        <v>1368</v>
      </c>
      <c r="B1034" s="8">
        <f>IFERROR(__xludf.DUMMYFUNCTION("""COMPUTED_VALUE"""),860.0)</f>
        <v>860</v>
      </c>
      <c r="C1034" s="8">
        <f>IFERROR(__xludf.DUMMYFUNCTION("""COMPUTED_VALUE"""),36.0)</f>
        <v>36</v>
      </c>
      <c r="D1034" s="8"/>
      <c r="E1034" s="8" t="str">
        <f>IFERROR(__xludf.DUMMYFUNCTION("""COMPUTED_VALUE"""),"Very nice top, fits true to size, a little short buy looks nice with jeans or work pants")</f>
        <v>Very nice top, fits true to size, a little short buy looks nice with jeans or work pants</v>
      </c>
      <c r="F1034" s="8">
        <f>IFERROR(__xludf.DUMMYFUNCTION("""COMPUTED_VALUE"""),4.0)</f>
        <v>4</v>
      </c>
      <c r="G1034" s="8">
        <f>IFERROR(__xludf.DUMMYFUNCTION("""COMPUTED_VALUE"""),1.0)</f>
        <v>1</v>
      </c>
      <c r="H1034" s="8">
        <f>IFERROR(__xludf.DUMMYFUNCTION("""COMPUTED_VALUE"""),0.0)</f>
        <v>0</v>
      </c>
      <c r="I1034" s="8" t="str">
        <f>IFERROR(__xludf.DUMMYFUNCTION("""COMPUTED_VALUE"""),"General")</f>
        <v>General</v>
      </c>
      <c r="J1034" s="8" t="str">
        <f>IFERROR(__xludf.DUMMYFUNCTION("""COMPUTED_VALUE"""),"Tops")</f>
        <v>Tops</v>
      </c>
      <c r="K1034" s="8" t="str">
        <f>IFERROR(__xludf.DUMMYFUNCTION("""COMPUTED_VALUE"""),"Knits")</f>
        <v>Knits</v>
      </c>
    </row>
    <row r="1035">
      <c r="A1035" s="8">
        <f>IFERROR(__xludf.DUMMYFUNCTION("""COMPUTED_VALUE"""),1372.0)</f>
        <v>1372</v>
      </c>
      <c r="B1035" s="8">
        <f>IFERROR(__xludf.DUMMYFUNCTION("""COMPUTED_VALUE"""),867.0)</f>
        <v>867</v>
      </c>
      <c r="C1035" s="8">
        <f>IFERROR(__xludf.DUMMYFUNCTION("""COMPUTED_VALUE"""),52.0)</f>
        <v>52</v>
      </c>
      <c r="D1035" s="8"/>
      <c r="E1035" s="8" t="str">
        <f>IFERROR(__xludf.DUMMYFUNCTION("""COMPUTED_VALUE"""),"Love this t-shirt. the weight is great for the impending heat and humidity of summer. it looks positively fabulous for casual occasions with pilcro chinos in moss and fuchsia suede pumps.")</f>
        <v>Love this t-shirt. the weight is great for the impending heat and humidity of summer. it looks positively fabulous for casual occasions with pilcro chinos in moss and fuchsia suede pumps.</v>
      </c>
      <c r="F1035" s="8">
        <f>IFERROR(__xludf.DUMMYFUNCTION("""COMPUTED_VALUE"""),5.0)</f>
        <v>5</v>
      </c>
      <c r="G1035" s="8">
        <f>IFERROR(__xludf.DUMMYFUNCTION("""COMPUTED_VALUE"""),1.0)</f>
        <v>1</v>
      </c>
      <c r="H1035" s="8">
        <f>IFERROR(__xludf.DUMMYFUNCTION("""COMPUTED_VALUE"""),2.0)</f>
        <v>2</v>
      </c>
      <c r="I1035" s="8" t="str">
        <f>IFERROR(__xludf.DUMMYFUNCTION("""COMPUTED_VALUE"""),"General")</f>
        <v>General</v>
      </c>
      <c r="J1035" s="8" t="str">
        <f>IFERROR(__xludf.DUMMYFUNCTION("""COMPUTED_VALUE"""),"Tops")</f>
        <v>Tops</v>
      </c>
      <c r="K1035" s="8" t="str">
        <f>IFERROR(__xludf.DUMMYFUNCTION("""COMPUTED_VALUE"""),"Knits")</f>
        <v>Knits</v>
      </c>
    </row>
    <row r="1036">
      <c r="A1036" s="8">
        <f>IFERROR(__xludf.DUMMYFUNCTION("""COMPUTED_VALUE"""),1374.0)</f>
        <v>1374</v>
      </c>
      <c r="B1036" s="8">
        <f>IFERROR(__xludf.DUMMYFUNCTION("""COMPUTED_VALUE"""),867.0)</f>
        <v>867</v>
      </c>
      <c r="C1036" s="8">
        <f>IFERROR(__xludf.DUMMYFUNCTION("""COMPUTED_VALUE"""),49.0)</f>
        <v>49</v>
      </c>
      <c r="D1036" s="8" t="str">
        <f>IFERROR(__xludf.DUMMYFUNCTION("""COMPUTED_VALUE"""),"Nice summer t-shirt")</f>
        <v>Nice summer t-shirt</v>
      </c>
      <c r="E1036" s="8" t="str">
        <f>IFERROR(__xludf.DUMMYFUNCTION("""COMPUTED_VALUE"""),"I purchased the yellow and i am quite happy. it matches a lot of things that i already own. nice summer tee.")</f>
        <v>I purchased the yellow and i am quite happy. it matches a lot of things that i already own. nice summer tee.</v>
      </c>
      <c r="F1036" s="8">
        <f>IFERROR(__xludf.DUMMYFUNCTION("""COMPUTED_VALUE"""),5.0)</f>
        <v>5</v>
      </c>
      <c r="G1036" s="8">
        <f>IFERROR(__xludf.DUMMYFUNCTION("""COMPUTED_VALUE"""),1.0)</f>
        <v>1</v>
      </c>
      <c r="H1036" s="8">
        <f>IFERROR(__xludf.DUMMYFUNCTION("""COMPUTED_VALUE"""),1.0)</f>
        <v>1</v>
      </c>
      <c r="I1036" s="8" t="str">
        <f>IFERROR(__xludf.DUMMYFUNCTION("""COMPUTED_VALUE"""),"General")</f>
        <v>General</v>
      </c>
      <c r="J1036" s="8" t="str">
        <f>IFERROR(__xludf.DUMMYFUNCTION("""COMPUTED_VALUE"""),"Tops")</f>
        <v>Tops</v>
      </c>
      <c r="K1036" s="8" t="str">
        <f>IFERROR(__xludf.DUMMYFUNCTION("""COMPUTED_VALUE"""),"Knits")</f>
        <v>Knits</v>
      </c>
    </row>
    <row r="1037">
      <c r="A1037" s="8">
        <f>IFERROR(__xludf.DUMMYFUNCTION("""COMPUTED_VALUE"""),1375.0)</f>
        <v>1375</v>
      </c>
      <c r="B1037" s="8">
        <f>IFERROR(__xludf.DUMMYFUNCTION("""COMPUTED_VALUE"""),867.0)</f>
        <v>867</v>
      </c>
      <c r="C1037" s="8">
        <f>IFERROR(__xludf.DUMMYFUNCTION("""COMPUTED_VALUE"""),40.0)</f>
        <v>40</v>
      </c>
      <c r="D1037" s="8" t="str">
        <f>IFERROR(__xludf.DUMMYFUNCTION("""COMPUTED_VALUE"""),"This shirt will brighten you day")</f>
        <v>This shirt will brighten you day</v>
      </c>
      <c r="E1037" s="8" t="str">
        <f>IFERROR(__xludf.DUMMYFUNCTION("""COMPUTED_VALUE"""),"I bought the ""here comes the sun"" version of this shirt. i had to have it. i'm a cervical cancer survivor who is still dealing with some health issues. i recently attended a cancer survivor event where a women talked about her life with cancer. she said"&amp;" that you no longer counts the years of her life, instead she counts her sunny days. i was inspired to do the same. so, i love this shirt. i got it on sale, but it still could've been cheaper.")</f>
        <v>I bought the "here comes the sun" version of this shirt. i had to have it. i'm a cervical cancer survivor who is still dealing with some health issues. i recently attended a cancer survivor event where a women talked about her life with cancer. she said that you no longer counts the years of her life, instead she counts her sunny days. i was inspired to do the same. so, i love this shirt. i got it on sale, but it still could've been cheaper.</v>
      </c>
      <c r="F1037" s="8">
        <f>IFERROR(__xludf.DUMMYFUNCTION("""COMPUTED_VALUE"""),5.0)</f>
        <v>5</v>
      </c>
      <c r="G1037" s="8">
        <f>IFERROR(__xludf.DUMMYFUNCTION("""COMPUTED_VALUE"""),1.0)</f>
        <v>1</v>
      </c>
      <c r="H1037" s="8">
        <f>IFERROR(__xludf.DUMMYFUNCTION("""COMPUTED_VALUE"""),0.0)</f>
        <v>0</v>
      </c>
      <c r="I1037" s="8" t="str">
        <f>IFERROR(__xludf.DUMMYFUNCTION("""COMPUTED_VALUE"""),"General")</f>
        <v>General</v>
      </c>
      <c r="J1037" s="8" t="str">
        <f>IFERROR(__xludf.DUMMYFUNCTION("""COMPUTED_VALUE"""),"Tops")</f>
        <v>Tops</v>
      </c>
      <c r="K1037" s="8" t="str">
        <f>IFERROR(__xludf.DUMMYFUNCTION("""COMPUTED_VALUE"""),"Knits")</f>
        <v>Knits</v>
      </c>
    </row>
    <row r="1038">
      <c r="A1038" s="8">
        <f>IFERROR(__xludf.DUMMYFUNCTION("""COMPUTED_VALUE"""),1377.0)</f>
        <v>1377</v>
      </c>
      <c r="B1038" s="8">
        <f>IFERROR(__xludf.DUMMYFUNCTION("""COMPUTED_VALUE"""),867.0)</f>
        <v>867</v>
      </c>
      <c r="C1038" s="8">
        <f>IFERROR(__xludf.DUMMYFUNCTION("""COMPUTED_VALUE"""),49.0)</f>
        <v>49</v>
      </c>
      <c r="D1038" s="8" t="str">
        <f>IFERROR(__xludf.DUMMYFUNCTION("""COMPUTED_VALUE"""),"Very cute tee!")</f>
        <v>Very cute tee!</v>
      </c>
      <c r="E1038" s="8" t="str">
        <f>IFERROR(__xludf.DUMMYFUNCTION("""COMPUTED_VALUE"""),"Love this tee! lightweight, airy and comfy. i think it fits true to size. so soft and summery. can't wait to wear it this summer!")</f>
        <v>Love this tee! lightweight, airy and comfy. i think it fits true to size. so soft and summery. can't wait to wear it this summer!</v>
      </c>
      <c r="F1038" s="8">
        <f>IFERROR(__xludf.DUMMYFUNCTION("""COMPUTED_VALUE"""),5.0)</f>
        <v>5</v>
      </c>
      <c r="G1038" s="8">
        <f>IFERROR(__xludf.DUMMYFUNCTION("""COMPUTED_VALUE"""),1.0)</f>
        <v>1</v>
      </c>
      <c r="H1038" s="8">
        <f>IFERROR(__xludf.DUMMYFUNCTION("""COMPUTED_VALUE"""),2.0)</f>
        <v>2</v>
      </c>
      <c r="I1038" s="8" t="str">
        <f>IFERROR(__xludf.DUMMYFUNCTION("""COMPUTED_VALUE"""),"General")</f>
        <v>General</v>
      </c>
      <c r="J1038" s="8" t="str">
        <f>IFERROR(__xludf.DUMMYFUNCTION("""COMPUTED_VALUE"""),"Tops")</f>
        <v>Tops</v>
      </c>
      <c r="K1038" s="8" t="str">
        <f>IFERROR(__xludf.DUMMYFUNCTION("""COMPUTED_VALUE"""),"Knits")</f>
        <v>Knits</v>
      </c>
    </row>
    <row r="1039">
      <c r="A1039" s="8">
        <f>IFERROR(__xludf.DUMMYFUNCTION("""COMPUTED_VALUE"""),1378.0)</f>
        <v>1378</v>
      </c>
      <c r="B1039" s="8">
        <f>IFERROR(__xludf.DUMMYFUNCTION("""COMPUTED_VALUE"""),860.0)</f>
        <v>860</v>
      </c>
      <c r="C1039" s="8">
        <f>IFERROR(__xludf.DUMMYFUNCTION("""COMPUTED_VALUE"""),43.0)</f>
        <v>43</v>
      </c>
      <c r="D1039" s="8" t="str">
        <f>IFERROR(__xludf.DUMMYFUNCTION("""COMPUTED_VALUE"""),"Beautiful and tailored.")</f>
        <v>Beautiful and tailored.</v>
      </c>
      <c r="E1039" s="8" t="str">
        <f>IFERROR(__xludf.DUMMYFUNCTION("""COMPUTED_VALUE"""),"This is much more a blouse than a ""tee"". the detailing is beautiful and the fabric on the back is a more stuff, starched cotton, not stretchy jersey. because of that i felt like this top ran small. i had to size up.")</f>
        <v>This is much more a blouse than a "tee". the detailing is beautiful and the fabric on the back is a more stuff, starched cotton, not stretchy jersey. because of that i felt like this top ran small. i had to size up.</v>
      </c>
      <c r="F1039" s="8">
        <f>IFERROR(__xludf.DUMMYFUNCTION("""COMPUTED_VALUE"""),5.0)</f>
        <v>5</v>
      </c>
      <c r="G1039" s="8">
        <f>IFERROR(__xludf.DUMMYFUNCTION("""COMPUTED_VALUE"""),1.0)</f>
        <v>1</v>
      </c>
      <c r="H1039" s="8">
        <f>IFERROR(__xludf.DUMMYFUNCTION("""COMPUTED_VALUE"""),9.0)</f>
        <v>9</v>
      </c>
      <c r="I1039" s="8" t="str">
        <f>IFERROR(__xludf.DUMMYFUNCTION("""COMPUTED_VALUE"""),"General")</f>
        <v>General</v>
      </c>
      <c r="J1039" s="8" t="str">
        <f>IFERROR(__xludf.DUMMYFUNCTION("""COMPUTED_VALUE"""),"Tops")</f>
        <v>Tops</v>
      </c>
      <c r="K1039" s="8" t="str">
        <f>IFERROR(__xludf.DUMMYFUNCTION("""COMPUTED_VALUE"""),"Knits")</f>
        <v>Knits</v>
      </c>
    </row>
    <row r="1040">
      <c r="A1040" s="8">
        <f>IFERROR(__xludf.DUMMYFUNCTION("""COMPUTED_VALUE"""),1379.0)</f>
        <v>1379</v>
      </c>
      <c r="B1040" s="8">
        <f>IFERROR(__xludf.DUMMYFUNCTION("""COMPUTED_VALUE"""),850.0)</f>
        <v>850</v>
      </c>
      <c r="C1040" s="8">
        <f>IFERROR(__xludf.DUMMYFUNCTION("""COMPUTED_VALUE"""),29.0)</f>
        <v>29</v>
      </c>
      <c r="D1040" s="8" t="str">
        <f>IFERROR(__xludf.DUMMYFUNCTION("""COMPUTED_VALUE"""),"Star print is so pretty!")</f>
        <v>Star print is so pretty!</v>
      </c>
      <c r="E1040" s="8" t="str">
        <f>IFERROR(__xludf.DUMMYFUNCTION("""COMPUTED_VALUE"""),"I tried this on today and i wish i had taken it home. for me it was true to size, and the star print was perfect. flowy but not in maternity way at all. i'm gonna have to go back for this one!")</f>
        <v>I tried this on today and i wish i had taken it home. for me it was true to size, and the star print was perfect. flowy but not in maternity way at all. i'm gonna have to go back for this one!</v>
      </c>
      <c r="F1040" s="8">
        <f>IFERROR(__xludf.DUMMYFUNCTION("""COMPUTED_VALUE"""),5.0)</f>
        <v>5</v>
      </c>
      <c r="G1040" s="8">
        <f>IFERROR(__xludf.DUMMYFUNCTION("""COMPUTED_VALUE"""),1.0)</f>
        <v>1</v>
      </c>
      <c r="H1040" s="8">
        <f>IFERROR(__xludf.DUMMYFUNCTION("""COMPUTED_VALUE"""),3.0)</f>
        <v>3</v>
      </c>
      <c r="I1040" s="8" t="str">
        <f>IFERROR(__xludf.DUMMYFUNCTION("""COMPUTED_VALUE"""),"General")</f>
        <v>General</v>
      </c>
      <c r="J1040" s="8" t="str">
        <f>IFERROR(__xludf.DUMMYFUNCTION("""COMPUTED_VALUE"""),"Tops")</f>
        <v>Tops</v>
      </c>
      <c r="K1040" s="8" t="str">
        <f>IFERROR(__xludf.DUMMYFUNCTION("""COMPUTED_VALUE"""),"Blouses")</f>
        <v>Blouses</v>
      </c>
    </row>
    <row r="1041">
      <c r="A1041" s="8">
        <f>IFERROR(__xludf.DUMMYFUNCTION("""COMPUTED_VALUE"""),1380.0)</f>
        <v>1380</v>
      </c>
      <c r="B1041" s="8">
        <f>IFERROR(__xludf.DUMMYFUNCTION("""COMPUTED_VALUE"""),867.0)</f>
        <v>867</v>
      </c>
      <c r="C1041" s="8">
        <f>IFERROR(__xludf.DUMMYFUNCTION("""COMPUTED_VALUE"""),66.0)</f>
        <v>66</v>
      </c>
      <c r="D1041" s="8" t="str">
        <f>IFERROR(__xludf.DUMMYFUNCTION("""COMPUTED_VALUE"""),"Soft and cute")</f>
        <v>Soft and cute</v>
      </c>
      <c r="E1041" s="8" t="str">
        <f>IFERROR(__xludf.DUMMYFUNCTION("""COMPUTED_VALUE"""),"This runs way big.  i would recommend sizing down at least one size.  possibly 2.
i got the design with divers.  it's fun and light for summer.  soft material and very comfy.")</f>
        <v>This runs way big.  i would recommend sizing down at least one size.  possibly 2.
i got the design with divers.  it's fun and light for summer.  soft material and very comfy.</v>
      </c>
      <c r="F1041" s="8">
        <f>IFERROR(__xludf.DUMMYFUNCTION("""COMPUTED_VALUE"""),4.0)</f>
        <v>4</v>
      </c>
      <c r="G1041" s="8">
        <f>IFERROR(__xludf.DUMMYFUNCTION("""COMPUTED_VALUE"""),1.0)</f>
        <v>1</v>
      </c>
      <c r="H1041" s="8">
        <f>IFERROR(__xludf.DUMMYFUNCTION("""COMPUTED_VALUE"""),2.0)</f>
        <v>2</v>
      </c>
      <c r="I1041" s="8" t="str">
        <f>IFERROR(__xludf.DUMMYFUNCTION("""COMPUTED_VALUE"""),"General")</f>
        <v>General</v>
      </c>
      <c r="J1041" s="8" t="str">
        <f>IFERROR(__xludf.DUMMYFUNCTION("""COMPUTED_VALUE"""),"Tops")</f>
        <v>Tops</v>
      </c>
      <c r="K1041" s="8" t="str">
        <f>IFERROR(__xludf.DUMMYFUNCTION("""COMPUTED_VALUE"""),"Knits")</f>
        <v>Knits</v>
      </c>
    </row>
    <row r="1042">
      <c r="A1042" s="8">
        <f>IFERROR(__xludf.DUMMYFUNCTION("""COMPUTED_VALUE"""),1382.0)</f>
        <v>1382</v>
      </c>
      <c r="B1042" s="8">
        <f>IFERROR(__xludf.DUMMYFUNCTION("""COMPUTED_VALUE"""),1110.0)</f>
        <v>1110</v>
      </c>
      <c r="C1042" s="8">
        <f>IFERROR(__xludf.DUMMYFUNCTION("""COMPUTED_VALUE"""),49.0)</f>
        <v>49</v>
      </c>
      <c r="D1042" s="8" t="str">
        <f>IFERROR(__xludf.DUMMYFUNCTION("""COMPUTED_VALUE"""),"Lovely but armholes too revealing for me...")</f>
        <v>Lovely but armholes too revealing for me...</v>
      </c>
      <c r="E1042" s="8" t="str">
        <f>IFERROR(__xludf.DUMMYFUNCTION("""COMPUTED_VALUE"""),"Wished this had worked for me! however, i prefer smaller armholes so my bra and skin (not so young anymore) don't show. the beige lining shows at the armholes as well. on the upside, it's very slimming even with the stiff petticoat. so cute! perfect lengt"&amp;"h for me. another caveat -- if your back is not completely symmetrical, as mine isn't, the decorative back straps sit in a wonky position. i'm 98 lbs, 4' 10"", and the oop was perfect but for the above objections.")</f>
        <v>Wished this had worked for me! however, i prefer smaller armholes so my bra and skin (not so young anymore) don't show. the beige lining shows at the armholes as well. on the upside, it's very slimming even with the stiff petticoat. so cute! perfect length for me. another caveat -- if your back is not completely symmetrical, as mine isn't, the decorative back straps sit in a wonky position. i'm 98 lbs, 4' 10", and the oop was perfect but for the above objections.</v>
      </c>
      <c r="F1042" s="8">
        <f>IFERROR(__xludf.DUMMYFUNCTION("""COMPUTED_VALUE"""),4.0)</f>
        <v>4</v>
      </c>
      <c r="G1042" s="8">
        <f>IFERROR(__xludf.DUMMYFUNCTION("""COMPUTED_VALUE"""),1.0)</f>
        <v>1</v>
      </c>
      <c r="H1042" s="8">
        <f>IFERROR(__xludf.DUMMYFUNCTION("""COMPUTED_VALUE"""),7.0)</f>
        <v>7</v>
      </c>
      <c r="I1042" s="8" t="str">
        <f>IFERROR(__xludf.DUMMYFUNCTION("""COMPUTED_VALUE"""),"General Petite")</f>
        <v>General Petite</v>
      </c>
      <c r="J1042" s="8" t="str">
        <f>IFERROR(__xludf.DUMMYFUNCTION("""COMPUTED_VALUE"""),"Dresses")</f>
        <v>Dresses</v>
      </c>
      <c r="K1042" s="8" t="str">
        <f>IFERROR(__xludf.DUMMYFUNCTION("""COMPUTED_VALUE"""),"Dresses")</f>
        <v>Dresses</v>
      </c>
    </row>
    <row r="1043">
      <c r="A1043" s="8">
        <f>IFERROR(__xludf.DUMMYFUNCTION("""COMPUTED_VALUE"""),1383.0)</f>
        <v>1383</v>
      </c>
      <c r="B1043" s="8">
        <f>IFERROR(__xludf.DUMMYFUNCTION("""COMPUTED_VALUE"""),1083.0)</f>
        <v>1083</v>
      </c>
      <c r="C1043" s="8">
        <f>IFERROR(__xludf.DUMMYFUNCTION("""COMPUTED_VALUE"""),34.0)</f>
        <v>34</v>
      </c>
      <c r="D1043" s="8" t="str">
        <f>IFERROR(__xludf.DUMMYFUNCTION("""COMPUTED_VALUE"""),"Very cute everyday dress")</f>
        <v>Very cute everyday dress</v>
      </c>
      <c r="E1043" s="8" t="str">
        <f>IFERROR(__xludf.DUMMYFUNCTION("""COMPUTED_VALUE"""),"The retailer store by me only carried these in the petites, but i've learned to always snag a petite just to see because sometimes the petites fit just as well, if not better, depending on the length of the outfit!
______________
pros:
- looks exactly the"&amp;" same in person as online. color runs true.
- well made, good stitching, solid dress.
- great length in the sleeves.
- fits tts. i'm normally a size 10 or 12 and grabbed the 12p to see how it'd fit. other than being too short in length on my")</f>
        <v>The retailer store by me only carried these in the petites, but i've learned to always snag a petite just to see because sometimes the petites fit just as well, if not better, depending on the length of the outfit!
______________
pros:
- looks exactly the same in person as online. color runs true.
- well made, good stitching, solid dress.
- great length in the sleeves.
- fits tts. i'm normally a size 10 or 12 and grabbed the 12p to see how it'd fit. other than being too short in length on my</v>
      </c>
      <c r="F1043" s="8">
        <f>IFERROR(__xludf.DUMMYFUNCTION("""COMPUTED_VALUE"""),4.0)</f>
        <v>4</v>
      </c>
      <c r="G1043" s="8">
        <f>IFERROR(__xludf.DUMMYFUNCTION("""COMPUTED_VALUE"""),1.0)</f>
        <v>1</v>
      </c>
      <c r="H1043" s="8">
        <f>IFERROR(__xludf.DUMMYFUNCTION("""COMPUTED_VALUE"""),8.0)</f>
        <v>8</v>
      </c>
      <c r="I1043" s="8" t="str">
        <f>IFERROR(__xludf.DUMMYFUNCTION("""COMPUTED_VALUE"""),"General Petite")</f>
        <v>General Petite</v>
      </c>
      <c r="J1043" s="8" t="str">
        <f>IFERROR(__xludf.DUMMYFUNCTION("""COMPUTED_VALUE"""),"Dresses")</f>
        <v>Dresses</v>
      </c>
      <c r="K1043" s="8" t="str">
        <f>IFERROR(__xludf.DUMMYFUNCTION("""COMPUTED_VALUE"""),"Dresses")</f>
        <v>Dresses</v>
      </c>
    </row>
    <row r="1044">
      <c r="A1044" s="8">
        <f>IFERROR(__xludf.DUMMYFUNCTION("""COMPUTED_VALUE"""),1384.0)</f>
        <v>1384</v>
      </c>
      <c r="B1044" s="8">
        <f>IFERROR(__xludf.DUMMYFUNCTION("""COMPUTED_VALUE"""),867.0)</f>
        <v>867</v>
      </c>
      <c r="C1044" s="8">
        <f>IFERROR(__xludf.DUMMYFUNCTION("""COMPUTED_VALUE"""),62.0)</f>
        <v>62</v>
      </c>
      <c r="D1044" s="8" t="str">
        <f>IFERROR(__xludf.DUMMYFUNCTION("""COMPUTED_VALUE"""),"Simply dive-ine!")</f>
        <v>Simply dive-ine!</v>
      </c>
      <c r="E1044" s="8" t="str">
        <f>IFERROR(__xludf.DUMMYFUNCTION("""COMPUTED_VALUE"""),"Love the diving beauty version, it is charming without being too ""cutsie"" which i stay away from. the epitome of summer and that grab and go easy little statement. i find it runs true to size...you could safely size down if need be. love it! thinking of"&amp;" getting the here comes the sun too! tuck it in, tie it in the back or side or great just draping...love the little touch on the sleeve too...nice surprise!")</f>
        <v>Love the diving beauty version, it is charming without being too "cutsie" which i stay away from. the epitome of summer and that grab and go easy little statement. i find it runs true to size...you could safely size down if need be. love it! thinking of getting the here comes the sun too! tuck it in, tie it in the back or side or great just draping...love the little touch on the sleeve too...nice surprise!</v>
      </c>
      <c r="F1044" s="8">
        <f>IFERROR(__xludf.DUMMYFUNCTION("""COMPUTED_VALUE"""),5.0)</f>
        <v>5</v>
      </c>
      <c r="G1044" s="8">
        <f>IFERROR(__xludf.DUMMYFUNCTION("""COMPUTED_VALUE"""),1.0)</f>
        <v>1</v>
      </c>
      <c r="H1044" s="8">
        <f>IFERROR(__xludf.DUMMYFUNCTION("""COMPUTED_VALUE"""),2.0)</f>
        <v>2</v>
      </c>
      <c r="I1044" s="8" t="str">
        <f>IFERROR(__xludf.DUMMYFUNCTION("""COMPUTED_VALUE"""),"General")</f>
        <v>General</v>
      </c>
      <c r="J1044" s="8" t="str">
        <f>IFERROR(__xludf.DUMMYFUNCTION("""COMPUTED_VALUE"""),"Tops")</f>
        <v>Tops</v>
      </c>
      <c r="K1044" s="8" t="str">
        <f>IFERROR(__xludf.DUMMYFUNCTION("""COMPUTED_VALUE"""),"Knits")</f>
        <v>Knits</v>
      </c>
    </row>
    <row r="1045">
      <c r="A1045" s="8">
        <f>IFERROR(__xludf.DUMMYFUNCTION("""COMPUTED_VALUE"""),1385.0)</f>
        <v>1385</v>
      </c>
      <c r="B1045" s="8">
        <f>IFERROR(__xludf.DUMMYFUNCTION("""COMPUTED_VALUE"""),861.0)</f>
        <v>861</v>
      </c>
      <c r="C1045" s="8">
        <f>IFERROR(__xludf.DUMMYFUNCTION("""COMPUTED_VALUE"""),49.0)</f>
        <v>49</v>
      </c>
      <c r="D1045" s="8" t="str">
        <f>IFERROR(__xludf.DUMMYFUNCTION("""COMPUTED_VALUE"""),"A lovely piece to be worn and cherished")</f>
        <v>A lovely piece to be worn and cherished</v>
      </c>
      <c r="E1045" s="8" t="str">
        <f>IFERROR(__xludf.DUMMYFUNCTION("""COMPUTED_VALUE"""),"This is great. on the model it looks largish, but on me it doesn't. if you're curvier like me (5'10"", 155, 32e) it may be more fitted. long arms with great wrists. design is just as shown. not a sturdy piece. but not cheap looking in any way. i plan to h"&amp;"and-wash and not drop coffee down the front so i can wear it for a long time. just what i want to wear on certain days, and more colors would be great. thanks, retailer.")</f>
        <v>This is great. on the model it looks largish, but on me it doesn't. if you're curvier like me (5'10", 155, 32e) it may be more fitted. long arms with great wrists. design is just as shown. not a sturdy piece. but not cheap looking in any way. i plan to hand-wash and not drop coffee down the front so i can wear it for a long time. just what i want to wear on certain days, and more colors would be great. thanks, retailer.</v>
      </c>
      <c r="F1045" s="8">
        <f>IFERROR(__xludf.DUMMYFUNCTION("""COMPUTED_VALUE"""),5.0)</f>
        <v>5</v>
      </c>
      <c r="G1045" s="8">
        <f>IFERROR(__xludf.DUMMYFUNCTION("""COMPUTED_VALUE"""),1.0)</f>
        <v>1</v>
      </c>
      <c r="H1045" s="8">
        <f>IFERROR(__xludf.DUMMYFUNCTION("""COMPUTED_VALUE"""),13.0)</f>
        <v>13</v>
      </c>
      <c r="I1045" s="8" t="str">
        <f>IFERROR(__xludf.DUMMYFUNCTION("""COMPUTED_VALUE"""),"General")</f>
        <v>General</v>
      </c>
      <c r="J1045" s="8" t="str">
        <f>IFERROR(__xludf.DUMMYFUNCTION("""COMPUTED_VALUE"""),"Tops")</f>
        <v>Tops</v>
      </c>
      <c r="K1045" s="8" t="str">
        <f>IFERROR(__xludf.DUMMYFUNCTION("""COMPUTED_VALUE"""),"Knits")</f>
        <v>Knits</v>
      </c>
    </row>
    <row r="1046">
      <c r="A1046" s="8">
        <f>IFERROR(__xludf.DUMMYFUNCTION("""COMPUTED_VALUE"""),1386.0)</f>
        <v>1386</v>
      </c>
      <c r="B1046" s="8">
        <f>IFERROR(__xludf.DUMMYFUNCTION("""COMPUTED_VALUE"""),860.0)</f>
        <v>860</v>
      </c>
      <c r="C1046" s="8">
        <f>IFERROR(__xludf.DUMMYFUNCTION("""COMPUTED_VALUE"""),42.0)</f>
        <v>42</v>
      </c>
      <c r="D1046" s="8" t="str">
        <f>IFERROR(__xludf.DUMMYFUNCTION("""COMPUTED_VALUE"""),"Flattering tee")</f>
        <v>Flattering tee</v>
      </c>
      <c r="E1046" s="8" t="str">
        <f>IFERROR(__xludf.DUMMYFUNCTION("""COMPUTED_VALUE"""),"This is a really flattering tee for my curves. pretty lace details. i purchased the gray and ordered the wine. the pink looked more peach to me in the store. only reason for 4 stars is that the back material wrinkles easily. true to size (large) for me.")</f>
        <v>This is a really flattering tee for my curves. pretty lace details. i purchased the gray and ordered the wine. the pink looked more peach to me in the store. only reason for 4 stars is that the back material wrinkles easily. true to size (large) for me.</v>
      </c>
      <c r="F1046" s="8">
        <f>IFERROR(__xludf.DUMMYFUNCTION("""COMPUTED_VALUE"""),4.0)</f>
        <v>4</v>
      </c>
      <c r="G1046" s="8">
        <f>IFERROR(__xludf.DUMMYFUNCTION("""COMPUTED_VALUE"""),1.0)</f>
        <v>1</v>
      </c>
      <c r="H1046" s="8">
        <f>IFERROR(__xludf.DUMMYFUNCTION("""COMPUTED_VALUE"""),8.0)</f>
        <v>8</v>
      </c>
      <c r="I1046" s="8" t="str">
        <f>IFERROR(__xludf.DUMMYFUNCTION("""COMPUTED_VALUE"""),"General")</f>
        <v>General</v>
      </c>
      <c r="J1046" s="8" t="str">
        <f>IFERROR(__xludf.DUMMYFUNCTION("""COMPUTED_VALUE"""),"Tops")</f>
        <v>Tops</v>
      </c>
      <c r="K1046" s="8" t="str">
        <f>IFERROR(__xludf.DUMMYFUNCTION("""COMPUTED_VALUE"""),"Knits")</f>
        <v>Knits</v>
      </c>
    </row>
    <row r="1047">
      <c r="A1047" s="8">
        <f>IFERROR(__xludf.DUMMYFUNCTION("""COMPUTED_VALUE"""),1387.0)</f>
        <v>1387</v>
      </c>
      <c r="B1047" s="8">
        <f>IFERROR(__xludf.DUMMYFUNCTION("""COMPUTED_VALUE"""),1081.0)</f>
        <v>1081</v>
      </c>
      <c r="C1047" s="8">
        <f>IFERROR(__xludf.DUMMYFUNCTION("""COMPUTED_VALUE"""),55.0)</f>
        <v>55</v>
      </c>
      <c r="D1047" s="8" t="str">
        <f>IFERROR(__xludf.DUMMYFUNCTION("""COMPUTED_VALUE"""),"Classic")</f>
        <v>Classic</v>
      </c>
      <c r="E1047" s="8" t="str">
        <f>IFERROR(__xludf.DUMMYFUNCTION("""COMPUTED_VALUE"""),"Comfortable material, fits true to size, love the color and can wear all year round. selected this dress for a fall wedding and its a keeper!")</f>
        <v>Comfortable material, fits true to size, love the color and can wear all year round. selected this dress for a fall wedding and its a keeper!</v>
      </c>
      <c r="F1047" s="8">
        <f>IFERROR(__xludf.DUMMYFUNCTION("""COMPUTED_VALUE"""),5.0)</f>
        <v>5</v>
      </c>
      <c r="G1047" s="8">
        <f>IFERROR(__xludf.DUMMYFUNCTION("""COMPUTED_VALUE"""),1.0)</f>
        <v>1</v>
      </c>
      <c r="H1047" s="8">
        <f>IFERROR(__xludf.DUMMYFUNCTION("""COMPUTED_VALUE"""),1.0)</f>
        <v>1</v>
      </c>
      <c r="I1047" s="8" t="str">
        <f>IFERROR(__xludf.DUMMYFUNCTION("""COMPUTED_VALUE"""),"General Petite")</f>
        <v>General Petite</v>
      </c>
      <c r="J1047" s="8" t="str">
        <f>IFERROR(__xludf.DUMMYFUNCTION("""COMPUTED_VALUE"""),"Dresses")</f>
        <v>Dresses</v>
      </c>
      <c r="K1047" s="8" t="str">
        <f>IFERROR(__xludf.DUMMYFUNCTION("""COMPUTED_VALUE"""),"Dresses")</f>
        <v>Dresses</v>
      </c>
    </row>
    <row r="1048">
      <c r="A1048" s="8">
        <f>IFERROR(__xludf.DUMMYFUNCTION("""COMPUTED_VALUE"""),1388.0)</f>
        <v>1388</v>
      </c>
      <c r="B1048" s="8">
        <f>IFERROR(__xludf.DUMMYFUNCTION("""COMPUTED_VALUE"""),1110.0)</f>
        <v>1110</v>
      </c>
      <c r="C1048" s="8">
        <f>IFERROR(__xludf.DUMMYFUNCTION("""COMPUTED_VALUE"""),30.0)</f>
        <v>30</v>
      </c>
      <c r="D1048" s="8" t="str">
        <f>IFERROR(__xludf.DUMMYFUNCTION("""COMPUTED_VALUE"""),"Lovely dress")</f>
        <v>Lovely dress</v>
      </c>
      <c r="E1048" s="8" t="str">
        <f>IFERROR(__xludf.DUMMYFUNCTION("""COMPUTED_VALUE"""),"I stumbled across this dress at the store and fell in love. it's so bright and cheery but still sophisticated enough for most events. i love that the tulle that gives the skirt a slight flare and body is completely concealed. the dress is well lined and d"&amp;"arling. i am small chested so i didn't have an issue with it feeling revealing nor did the lining hang out. i purchased this for my rehearsal and rehearsal dinner for my summer wedding. i look forward to wearing the dress many times after.")</f>
        <v>I stumbled across this dress at the store and fell in love. it's so bright and cheery but still sophisticated enough for most events. i love that the tulle that gives the skirt a slight flare and body is completely concealed. the dress is well lined and darling. i am small chested so i didn't have an issue with it feeling revealing nor did the lining hang out. i purchased this for my rehearsal and rehearsal dinner for my summer wedding. i look forward to wearing the dress many times after.</v>
      </c>
      <c r="F1048" s="8">
        <f>IFERROR(__xludf.DUMMYFUNCTION("""COMPUTED_VALUE"""),5.0)</f>
        <v>5</v>
      </c>
      <c r="G1048" s="8">
        <f>IFERROR(__xludf.DUMMYFUNCTION("""COMPUTED_VALUE"""),1.0)</f>
        <v>1</v>
      </c>
      <c r="H1048" s="8">
        <f>IFERROR(__xludf.DUMMYFUNCTION("""COMPUTED_VALUE"""),1.0)</f>
        <v>1</v>
      </c>
      <c r="I1048" s="8" t="str">
        <f>IFERROR(__xludf.DUMMYFUNCTION("""COMPUTED_VALUE"""),"General Petite")</f>
        <v>General Petite</v>
      </c>
      <c r="J1048" s="8" t="str">
        <f>IFERROR(__xludf.DUMMYFUNCTION("""COMPUTED_VALUE"""),"Dresses")</f>
        <v>Dresses</v>
      </c>
      <c r="K1048" s="8" t="str">
        <f>IFERROR(__xludf.DUMMYFUNCTION("""COMPUTED_VALUE"""),"Dresses")</f>
        <v>Dresses</v>
      </c>
    </row>
    <row r="1049">
      <c r="A1049" s="8">
        <f>IFERROR(__xludf.DUMMYFUNCTION("""COMPUTED_VALUE"""),1389.0)</f>
        <v>1389</v>
      </c>
      <c r="B1049" s="8">
        <f>IFERROR(__xludf.DUMMYFUNCTION("""COMPUTED_VALUE"""),1098.0)</f>
        <v>1098</v>
      </c>
      <c r="C1049" s="8">
        <f>IFERROR(__xludf.DUMMYFUNCTION("""COMPUTED_VALUE"""),54.0)</f>
        <v>54</v>
      </c>
      <c r="D1049" s="8" t="str">
        <f>IFERROR(__xludf.DUMMYFUNCTION("""COMPUTED_VALUE"""),"Sassy maxi")</f>
        <v>Sassy maxi</v>
      </c>
      <c r="E1049" s="8" t="str">
        <f>IFERROR(__xludf.DUMMYFUNCTION("""COMPUTED_VALUE"""),"I""m not crazy about maxi dresses so when i found this fun print with fringe-it spoke my language. love this dress. feel this dress will work with many seasons. dress falls nicely and feels comfortable. i was worried it would be too long but with a 2 inch"&amp;" heel-its perfect. have paired it with some red dangled earrings that spice it just right.")</f>
        <v>I"m not crazy about maxi dresses so when i found this fun print with fringe-it spoke my language. love this dress. feel this dress will work with many seasons. dress falls nicely and feels comfortable. i was worried it would be too long but with a 2 inch heel-its perfect. have paired it with some red dangled earrings that spice it just right.</v>
      </c>
      <c r="F1049" s="8">
        <f>IFERROR(__xludf.DUMMYFUNCTION("""COMPUTED_VALUE"""),5.0)</f>
        <v>5</v>
      </c>
      <c r="G1049" s="8">
        <f>IFERROR(__xludf.DUMMYFUNCTION("""COMPUTED_VALUE"""),1.0)</f>
        <v>1</v>
      </c>
      <c r="H1049" s="8">
        <f>IFERROR(__xludf.DUMMYFUNCTION("""COMPUTED_VALUE"""),0.0)</f>
        <v>0</v>
      </c>
      <c r="I1049" s="8" t="str">
        <f>IFERROR(__xludf.DUMMYFUNCTION("""COMPUTED_VALUE"""),"General")</f>
        <v>General</v>
      </c>
      <c r="J1049" s="8" t="str">
        <f>IFERROR(__xludf.DUMMYFUNCTION("""COMPUTED_VALUE"""),"Dresses")</f>
        <v>Dresses</v>
      </c>
      <c r="K1049" s="8" t="str">
        <f>IFERROR(__xludf.DUMMYFUNCTION("""COMPUTED_VALUE"""),"Dresses")</f>
        <v>Dresses</v>
      </c>
    </row>
    <row r="1050">
      <c r="A1050" s="8">
        <f>IFERROR(__xludf.DUMMYFUNCTION("""COMPUTED_VALUE"""),1392.0)</f>
        <v>1392</v>
      </c>
      <c r="B1050" s="8">
        <f>IFERROR(__xludf.DUMMYFUNCTION("""COMPUTED_VALUE"""),936.0)</f>
        <v>936</v>
      </c>
      <c r="C1050" s="8">
        <f>IFERROR(__xludf.DUMMYFUNCTION("""COMPUTED_VALUE"""),39.0)</f>
        <v>39</v>
      </c>
      <c r="D1050" s="8" t="str">
        <f>IFERROR(__xludf.DUMMYFUNCTION("""COMPUTED_VALUE"""),"Signature retailer sweater")</f>
        <v>Signature retailer sweater</v>
      </c>
      <c r="E1050" s="8" t="str">
        <f>IFERROR(__xludf.DUMMYFUNCTION("""COMPUTED_VALUE"""),"Fantastic signature retailer styling with this unique statement sweater. the pattern placement has a slimming look on the front and a rear enhancing look from behind. i've been using the super soft removable fur collar as a scarf and stole for my other ou"&amp;"tfits as well. the length is almost tunic on me, so it looks great with leggings and skinny jeans while buttoned up. if you choose to remove the fur collar the v-neck is very open, so i keep it unbuttoned when i style it that way. knit fabric is s")</f>
        <v>Fantastic signature retailer styling with this unique statement sweater. the pattern placement has a slimming look on the front and a rear enhancing look from behind. i've been using the super soft removable fur collar as a scarf and stole for my other outfits as well. the length is almost tunic on me, so it looks great with leggings and skinny jeans while buttoned up. if you choose to remove the fur collar the v-neck is very open, so i keep it unbuttoned when i style it that way. knit fabric is s</v>
      </c>
      <c r="F1050" s="8">
        <f>IFERROR(__xludf.DUMMYFUNCTION("""COMPUTED_VALUE"""),5.0)</f>
        <v>5</v>
      </c>
      <c r="G1050" s="8">
        <f>IFERROR(__xludf.DUMMYFUNCTION("""COMPUTED_VALUE"""),1.0)</f>
        <v>1</v>
      </c>
      <c r="H1050" s="8">
        <f>IFERROR(__xludf.DUMMYFUNCTION("""COMPUTED_VALUE"""),0.0)</f>
        <v>0</v>
      </c>
      <c r="I1050" s="8" t="str">
        <f>IFERROR(__xludf.DUMMYFUNCTION("""COMPUTED_VALUE"""),"General Petite")</f>
        <v>General Petite</v>
      </c>
      <c r="J1050" s="8" t="str">
        <f>IFERROR(__xludf.DUMMYFUNCTION("""COMPUTED_VALUE"""),"Tops")</f>
        <v>Tops</v>
      </c>
      <c r="K1050" s="8" t="str">
        <f>IFERROR(__xludf.DUMMYFUNCTION("""COMPUTED_VALUE"""),"Sweaters")</f>
        <v>Sweaters</v>
      </c>
    </row>
    <row r="1051">
      <c r="A1051" s="8">
        <f>IFERROR(__xludf.DUMMYFUNCTION("""COMPUTED_VALUE"""),1393.0)</f>
        <v>1393</v>
      </c>
      <c r="B1051" s="8">
        <f>IFERROR(__xludf.DUMMYFUNCTION("""COMPUTED_VALUE"""),1098.0)</f>
        <v>1098</v>
      </c>
      <c r="C1051" s="8">
        <f>IFERROR(__xludf.DUMMYFUNCTION("""COMPUTED_VALUE"""),26.0)</f>
        <v>26</v>
      </c>
      <c r="D1051" s="8" t="str">
        <f>IFERROR(__xludf.DUMMYFUNCTION("""COMPUTED_VALUE"""),"Beautiful and unique dress")</f>
        <v>Beautiful and unique dress</v>
      </c>
      <c r="E1051" s="8" t="str">
        <f>IFERROR(__xludf.DUMMYFUNCTION("""COMPUTED_VALUE"""),"I purchased this dress for my bridal shower and it was perfect! the details on it are amazing-delicate and lovely! i am 5'11'' and it hit just above my ankles which i loved because i could show off my shoes!")</f>
        <v>I purchased this dress for my bridal shower and it was perfect! the details on it are amazing-delicate and lovely! i am 5'11'' and it hit just above my ankles which i loved because i could show off my shoes!</v>
      </c>
      <c r="F1051" s="8">
        <f>IFERROR(__xludf.DUMMYFUNCTION("""COMPUTED_VALUE"""),5.0)</f>
        <v>5</v>
      </c>
      <c r="G1051" s="8">
        <f>IFERROR(__xludf.DUMMYFUNCTION("""COMPUTED_VALUE"""),1.0)</f>
        <v>1</v>
      </c>
      <c r="H1051" s="8">
        <f>IFERROR(__xludf.DUMMYFUNCTION("""COMPUTED_VALUE"""),0.0)</f>
        <v>0</v>
      </c>
      <c r="I1051" s="8" t="str">
        <f>IFERROR(__xludf.DUMMYFUNCTION("""COMPUTED_VALUE"""),"General")</f>
        <v>General</v>
      </c>
      <c r="J1051" s="8" t="str">
        <f>IFERROR(__xludf.DUMMYFUNCTION("""COMPUTED_VALUE"""),"Dresses")</f>
        <v>Dresses</v>
      </c>
      <c r="K1051" s="8" t="str">
        <f>IFERROR(__xludf.DUMMYFUNCTION("""COMPUTED_VALUE"""),"Dresses")</f>
        <v>Dresses</v>
      </c>
    </row>
    <row r="1052">
      <c r="A1052" s="8">
        <f>IFERROR(__xludf.DUMMYFUNCTION("""COMPUTED_VALUE"""),1394.0)</f>
        <v>1394</v>
      </c>
      <c r="B1052" s="8">
        <f>IFERROR(__xludf.DUMMYFUNCTION("""COMPUTED_VALUE"""),1081.0)</f>
        <v>1081</v>
      </c>
      <c r="C1052" s="8">
        <f>IFERROR(__xludf.DUMMYFUNCTION("""COMPUTED_VALUE"""),34.0)</f>
        <v>34</v>
      </c>
      <c r="D1052" s="8" t="str">
        <f>IFERROR(__xludf.DUMMYFUNCTION("""COMPUTED_VALUE"""),"Nice dress, fit is ok")</f>
        <v>Nice dress, fit is ok</v>
      </c>
      <c r="E1052" s="8" t="str">
        <f>IFERROR(__xludf.DUMMYFUNCTION("""COMPUTED_VALUE"""),"I love the style of this dress and the color is beautiful and very much like the photo. like previous reviewers mentioned, the top is a little loose in comparison to the bottom. i originally bought a size 4 but then exchanged it for a 2. i tend to be betw"&amp;"een those sizes. the 2 fits great on bottom but the straps are a bit loose. it might be better for bigger busted ladies!")</f>
        <v>I love the style of this dress and the color is beautiful and very much like the photo. like previous reviewers mentioned, the top is a little loose in comparison to the bottom. i originally bought a size 4 but then exchanged it for a 2. i tend to be between those sizes. the 2 fits great on bottom but the straps are a bit loose. it might be better for bigger busted ladies!</v>
      </c>
      <c r="F1052" s="8">
        <f>IFERROR(__xludf.DUMMYFUNCTION("""COMPUTED_VALUE"""),4.0)</f>
        <v>4</v>
      </c>
      <c r="G1052" s="8">
        <f>IFERROR(__xludf.DUMMYFUNCTION("""COMPUTED_VALUE"""),1.0)</f>
        <v>1</v>
      </c>
      <c r="H1052" s="8">
        <f>IFERROR(__xludf.DUMMYFUNCTION("""COMPUTED_VALUE"""),0.0)</f>
        <v>0</v>
      </c>
      <c r="I1052" s="8" t="str">
        <f>IFERROR(__xludf.DUMMYFUNCTION("""COMPUTED_VALUE"""),"General Petite")</f>
        <v>General Petite</v>
      </c>
      <c r="J1052" s="8" t="str">
        <f>IFERROR(__xludf.DUMMYFUNCTION("""COMPUTED_VALUE"""),"Dresses")</f>
        <v>Dresses</v>
      </c>
      <c r="K1052" s="8" t="str">
        <f>IFERROR(__xludf.DUMMYFUNCTION("""COMPUTED_VALUE"""),"Dresses")</f>
        <v>Dresses</v>
      </c>
    </row>
    <row r="1053">
      <c r="A1053" s="8">
        <f>IFERROR(__xludf.DUMMYFUNCTION("""COMPUTED_VALUE"""),1395.0)</f>
        <v>1395</v>
      </c>
      <c r="B1053" s="8">
        <f>IFERROR(__xludf.DUMMYFUNCTION("""COMPUTED_VALUE"""),867.0)</f>
        <v>867</v>
      </c>
      <c r="C1053" s="8">
        <f>IFERROR(__xludf.DUMMYFUNCTION("""COMPUTED_VALUE"""),65.0)</f>
        <v>65</v>
      </c>
      <c r="D1053" s="8" t="str">
        <f>IFERROR(__xludf.DUMMYFUNCTION("""COMPUTED_VALUE"""),"Really soft")</f>
        <v>Really soft</v>
      </c>
      <c r="E1053" s="8" t="str">
        <f>IFERROR(__xludf.DUMMYFUNCTION("""COMPUTED_VALUE"""),"I bought the design which has now sold out, of the sailboats and waves along the top. the t-shirt is super soft and thin. but, it's not sheer or see-through. very light and cool for hot humid summer days. has some nice stretch as well. a really gentle cot"&amp;"ton knit.
this top does run large. maybe that's so it will be cool and not stick to you? thus, i didn't size down because i don't like clothes too form-fitting on super hot days.")</f>
        <v>I bought the design which has now sold out, of the sailboats and waves along the top. the t-shirt is super soft and thin. but, it's not sheer or see-through. very light and cool for hot humid summer days. has some nice stretch as well. a really gentle cotton knit.
this top does run large. maybe that's so it will be cool and not stick to you? thus, i didn't size down because i don't like clothes too form-fitting on super hot days.</v>
      </c>
      <c r="F1053" s="8">
        <f>IFERROR(__xludf.DUMMYFUNCTION("""COMPUTED_VALUE"""),5.0)</f>
        <v>5</v>
      </c>
      <c r="G1053" s="8">
        <f>IFERROR(__xludf.DUMMYFUNCTION("""COMPUTED_VALUE"""),1.0)</f>
        <v>1</v>
      </c>
      <c r="H1053" s="8">
        <f>IFERROR(__xludf.DUMMYFUNCTION("""COMPUTED_VALUE"""),0.0)</f>
        <v>0</v>
      </c>
      <c r="I1053" s="8" t="str">
        <f>IFERROR(__xludf.DUMMYFUNCTION("""COMPUTED_VALUE"""),"General")</f>
        <v>General</v>
      </c>
      <c r="J1053" s="8" t="str">
        <f>IFERROR(__xludf.DUMMYFUNCTION("""COMPUTED_VALUE"""),"Tops")</f>
        <v>Tops</v>
      </c>
      <c r="K1053" s="8" t="str">
        <f>IFERROR(__xludf.DUMMYFUNCTION("""COMPUTED_VALUE"""),"Knits")</f>
        <v>Knits</v>
      </c>
    </row>
    <row r="1054">
      <c r="A1054" s="8">
        <f>IFERROR(__xludf.DUMMYFUNCTION("""COMPUTED_VALUE"""),1396.0)</f>
        <v>1396</v>
      </c>
      <c r="B1054" s="8">
        <f>IFERROR(__xludf.DUMMYFUNCTION("""COMPUTED_VALUE"""),1081.0)</f>
        <v>1081</v>
      </c>
      <c r="C1054" s="8">
        <f>IFERROR(__xludf.DUMMYFUNCTION("""COMPUTED_VALUE"""),36.0)</f>
        <v>36</v>
      </c>
      <c r="D1054" s="8" t="str">
        <f>IFERROR(__xludf.DUMMYFUNCTION("""COMPUTED_VALUE"""),"A little big up top")</f>
        <v>A little big up top</v>
      </c>
      <c r="E1054" s="8" t="str">
        <f>IFERROR(__xludf.DUMMYFUNCTION("""COMPUTED_VALUE"""),"Overall i really like this dress. the color is vibrant &amp; unique. the top of the dress especially the shoulder straps seem loose so i'm getting it tailored.")</f>
        <v>Overall i really like this dress. the color is vibrant &amp; unique. the top of the dress especially the shoulder straps seem loose so i'm getting it tailored.</v>
      </c>
      <c r="F1054" s="8">
        <f>IFERROR(__xludf.DUMMYFUNCTION("""COMPUTED_VALUE"""),4.0)</f>
        <v>4</v>
      </c>
      <c r="G1054" s="8">
        <f>IFERROR(__xludf.DUMMYFUNCTION("""COMPUTED_VALUE"""),1.0)</f>
        <v>1</v>
      </c>
      <c r="H1054" s="8">
        <f>IFERROR(__xludf.DUMMYFUNCTION("""COMPUTED_VALUE"""),0.0)</f>
        <v>0</v>
      </c>
      <c r="I1054" s="8" t="str">
        <f>IFERROR(__xludf.DUMMYFUNCTION("""COMPUTED_VALUE"""),"General Petite")</f>
        <v>General Petite</v>
      </c>
      <c r="J1054" s="8" t="str">
        <f>IFERROR(__xludf.DUMMYFUNCTION("""COMPUTED_VALUE"""),"Dresses")</f>
        <v>Dresses</v>
      </c>
      <c r="K1054" s="8" t="str">
        <f>IFERROR(__xludf.DUMMYFUNCTION("""COMPUTED_VALUE"""),"Dresses")</f>
        <v>Dresses</v>
      </c>
    </row>
    <row r="1055">
      <c r="A1055" s="8">
        <f>IFERROR(__xludf.DUMMYFUNCTION("""COMPUTED_VALUE"""),1397.0)</f>
        <v>1397</v>
      </c>
      <c r="B1055" s="8">
        <f>IFERROR(__xludf.DUMMYFUNCTION("""COMPUTED_VALUE"""),860.0)</f>
        <v>860</v>
      </c>
      <c r="C1055" s="8">
        <f>IFERROR(__xludf.DUMMYFUNCTION("""COMPUTED_VALUE"""),23.0)</f>
        <v>23</v>
      </c>
      <c r="D1055" s="8" t="str">
        <f>IFERROR(__xludf.DUMMYFUNCTION("""COMPUTED_VALUE"""),"Lovely lace top!")</f>
        <v>Lovely lace top!</v>
      </c>
      <c r="E1055" s="8" t="str">
        <f>IFERROR(__xludf.DUMMYFUNCTION("""COMPUTED_VALUE"""),"Bought this in green at my local store and fell in love with it! i also tried one in pink and it was a bit sheer which is why i opted for the green color instead. very nice and feminine.")</f>
        <v>Bought this in green at my local store and fell in love with it! i also tried one in pink and it was a bit sheer which is why i opted for the green color instead. very nice and feminine.</v>
      </c>
      <c r="F1055" s="8">
        <f>IFERROR(__xludf.DUMMYFUNCTION("""COMPUTED_VALUE"""),4.0)</f>
        <v>4</v>
      </c>
      <c r="G1055" s="8">
        <f>IFERROR(__xludf.DUMMYFUNCTION("""COMPUTED_VALUE"""),1.0)</f>
        <v>1</v>
      </c>
      <c r="H1055" s="8">
        <f>IFERROR(__xludf.DUMMYFUNCTION("""COMPUTED_VALUE"""),0.0)</f>
        <v>0</v>
      </c>
      <c r="I1055" s="8" t="str">
        <f>IFERROR(__xludf.DUMMYFUNCTION("""COMPUTED_VALUE"""),"General")</f>
        <v>General</v>
      </c>
      <c r="J1055" s="8" t="str">
        <f>IFERROR(__xludf.DUMMYFUNCTION("""COMPUTED_VALUE"""),"Tops")</f>
        <v>Tops</v>
      </c>
      <c r="K1055" s="8" t="str">
        <f>IFERROR(__xludf.DUMMYFUNCTION("""COMPUTED_VALUE"""),"Knits")</f>
        <v>Knits</v>
      </c>
    </row>
    <row r="1056">
      <c r="A1056" s="8">
        <f>IFERROR(__xludf.DUMMYFUNCTION("""COMPUTED_VALUE"""),1398.0)</f>
        <v>1398</v>
      </c>
      <c r="B1056" s="8">
        <f>IFERROR(__xludf.DUMMYFUNCTION("""COMPUTED_VALUE"""),1110.0)</f>
        <v>1110</v>
      </c>
      <c r="C1056" s="8">
        <f>IFERROR(__xludf.DUMMYFUNCTION("""COMPUTED_VALUE"""),43.0)</f>
        <v>43</v>
      </c>
      <c r="D1056" s="8" t="str">
        <f>IFERROR(__xludf.DUMMYFUNCTION("""COMPUTED_VALUE"""),"Skirt flares more than it looks")</f>
        <v>Skirt flares more than it looks</v>
      </c>
      <c r="E1056" s="8" t="str">
        <f>IFERROR(__xludf.DUMMYFUNCTION("""COMPUTED_VALUE"""),"Very cute dress but the skirt flares out more than it looks in the picture. this made my midsection look unflattering from the side. also, for some who is on the flat chested side, you need a good bra or alteration (at least for me). despite what i listed"&amp;" above, i kept the dress since it's a versatile dress for many occasions.")</f>
        <v>Very cute dress but the skirt flares out more than it looks in the picture. this made my midsection look unflattering from the side. also, for some who is on the flat chested side, you need a good bra or alteration (at least for me). despite what i listed above, i kept the dress since it's a versatile dress for many occasions.</v>
      </c>
      <c r="F1056" s="8">
        <f>IFERROR(__xludf.DUMMYFUNCTION("""COMPUTED_VALUE"""),4.0)</f>
        <v>4</v>
      </c>
      <c r="G1056" s="8">
        <f>IFERROR(__xludf.DUMMYFUNCTION("""COMPUTED_VALUE"""),1.0)</f>
        <v>1</v>
      </c>
      <c r="H1056" s="8">
        <f>IFERROR(__xludf.DUMMYFUNCTION("""COMPUTED_VALUE"""),2.0)</f>
        <v>2</v>
      </c>
      <c r="I1056" s="8" t="str">
        <f>IFERROR(__xludf.DUMMYFUNCTION("""COMPUTED_VALUE"""),"General")</f>
        <v>General</v>
      </c>
      <c r="J1056" s="8" t="str">
        <f>IFERROR(__xludf.DUMMYFUNCTION("""COMPUTED_VALUE"""),"Dresses")</f>
        <v>Dresses</v>
      </c>
      <c r="K1056" s="8" t="str">
        <f>IFERROR(__xludf.DUMMYFUNCTION("""COMPUTED_VALUE"""),"Dresses")</f>
        <v>Dresses</v>
      </c>
    </row>
    <row r="1057">
      <c r="A1057" s="8">
        <f>IFERROR(__xludf.DUMMYFUNCTION("""COMPUTED_VALUE"""),1399.0)</f>
        <v>1399</v>
      </c>
      <c r="B1057" s="8">
        <f>IFERROR(__xludf.DUMMYFUNCTION("""COMPUTED_VALUE"""),1110.0)</f>
        <v>1110</v>
      </c>
      <c r="C1057" s="8">
        <f>IFERROR(__xludf.DUMMYFUNCTION("""COMPUTED_VALUE"""),35.0)</f>
        <v>35</v>
      </c>
      <c r="D1057" s="8" t="str">
        <f>IFERROR(__xludf.DUMMYFUNCTION("""COMPUTED_VALUE"""),"Oh, so gorgeous")</f>
        <v>Oh, so gorgeous</v>
      </c>
      <c r="E1057" s="8" t="str">
        <f>IFERROR(__xludf.DUMMYFUNCTION("""COMPUTED_VALUE"""),"I just couldn't resist this dress! it's blue, it's fun, it's feminine. the color is so vivid and beautiful in person. i was worried that the length would be an issue (i bought a regular size instead of my normal petite), but i feel that it is perfect. it "&amp;"fits great, and i know i will wear it a lot this summer.")</f>
        <v>I just couldn't resist this dress! it's blue, it's fun, it's feminine. the color is so vivid and beautiful in person. i was worried that the length would be an issue (i bought a regular size instead of my normal petite), but i feel that it is perfect. it fits great, and i know i will wear it a lot this summer.</v>
      </c>
      <c r="F1057" s="8">
        <f>IFERROR(__xludf.DUMMYFUNCTION("""COMPUTED_VALUE"""),5.0)</f>
        <v>5</v>
      </c>
      <c r="G1057" s="8">
        <f>IFERROR(__xludf.DUMMYFUNCTION("""COMPUTED_VALUE"""),1.0)</f>
        <v>1</v>
      </c>
      <c r="H1057" s="8">
        <f>IFERROR(__xludf.DUMMYFUNCTION("""COMPUTED_VALUE"""),0.0)</f>
        <v>0</v>
      </c>
      <c r="I1057" s="8" t="str">
        <f>IFERROR(__xludf.DUMMYFUNCTION("""COMPUTED_VALUE"""),"General")</f>
        <v>General</v>
      </c>
      <c r="J1057" s="8" t="str">
        <f>IFERROR(__xludf.DUMMYFUNCTION("""COMPUTED_VALUE"""),"Dresses")</f>
        <v>Dresses</v>
      </c>
      <c r="K1057" s="8" t="str">
        <f>IFERROR(__xludf.DUMMYFUNCTION("""COMPUTED_VALUE"""),"Dresses")</f>
        <v>Dresses</v>
      </c>
    </row>
    <row r="1058">
      <c r="A1058" s="8">
        <f>IFERROR(__xludf.DUMMYFUNCTION("""COMPUTED_VALUE"""),1400.0)</f>
        <v>1400</v>
      </c>
      <c r="B1058" s="8">
        <f>IFERROR(__xludf.DUMMYFUNCTION("""COMPUTED_VALUE"""),1022.0)</f>
        <v>1022</v>
      </c>
      <c r="C1058" s="8">
        <f>IFERROR(__xludf.DUMMYFUNCTION("""COMPUTED_VALUE"""),37.0)</f>
        <v>37</v>
      </c>
      <c r="D1058" s="8" t="str">
        <f>IFERROR(__xludf.DUMMYFUNCTION("""COMPUTED_VALUE"""),"Love these jeans!")</f>
        <v>Love these jeans!</v>
      </c>
      <c r="E1058" s="8" t="str">
        <f>IFERROR(__xludf.DUMMYFUNCTION("""COMPUTED_VALUE"""),"Great fit, perfect length! so happy with these jeans. the fabric is pretty stretchy but definitely still has a denim feel. very soft - love these jeans!")</f>
        <v>Great fit, perfect length! so happy with these jeans. the fabric is pretty stretchy but definitely still has a denim feel. very soft - love these jeans!</v>
      </c>
      <c r="F1058" s="8">
        <f>IFERROR(__xludf.DUMMYFUNCTION("""COMPUTED_VALUE"""),5.0)</f>
        <v>5</v>
      </c>
      <c r="G1058" s="8">
        <f>IFERROR(__xludf.DUMMYFUNCTION("""COMPUTED_VALUE"""),1.0)</f>
        <v>1</v>
      </c>
      <c r="H1058" s="8">
        <f>IFERROR(__xludf.DUMMYFUNCTION("""COMPUTED_VALUE"""),3.0)</f>
        <v>3</v>
      </c>
      <c r="I1058" s="8" t="str">
        <f>IFERROR(__xludf.DUMMYFUNCTION("""COMPUTED_VALUE"""),"General")</f>
        <v>General</v>
      </c>
      <c r="J1058" s="8" t="str">
        <f>IFERROR(__xludf.DUMMYFUNCTION("""COMPUTED_VALUE"""),"Bottoms")</f>
        <v>Bottoms</v>
      </c>
      <c r="K1058" s="8" t="str">
        <f>IFERROR(__xludf.DUMMYFUNCTION("""COMPUTED_VALUE"""),"Jeans")</f>
        <v>Jeans</v>
      </c>
    </row>
    <row r="1059">
      <c r="A1059" s="8">
        <f>IFERROR(__xludf.DUMMYFUNCTION("""COMPUTED_VALUE"""),1401.0)</f>
        <v>1401</v>
      </c>
      <c r="B1059" s="8">
        <f>IFERROR(__xludf.DUMMYFUNCTION("""COMPUTED_VALUE"""),850.0)</f>
        <v>850</v>
      </c>
      <c r="C1059" s="8">
        <f>IFERROR(__xludf.DUMMYFUNCTION("""COMPUTED_VALUE"""),44.0)</f>
        <v>44</v>
      </c>
      <c r="D1059" s="8" t="str">
        <f>IFERROR(__xludf.DUMMYFUNCTION("""COMPUTED_VALUE"""),"Beautiful feminine blouse")</f>
        <v>Beautiful feminine blouse</v>
      </c>
      <c r="E1059" s="8" t="str">
        <f>IFERROR(__xludf.DUMMYFUNCTION("""COMPUTED_VALUE"""),"I bought this top at my local retailer in a burgundy color. it is so beautiful and feminine. i want to get it in the other color they had in the store and also this black one available on-line. i bought it in a size 6 and i am 5' 2"" , 34d. i sometimes ge"&amp;"t tops in petite but i felt the reg size fit just fine.")</f>
        <v>I bought this top at my local retailer in a burgundy color. it is so beautiful and feminine. i want to get it in the other color they had in the store and also this black one available on-line. i bought it in a size 6 and i am 5' 2" , 34d. i sometimes get tops in petite but i felt the reg size fit just fine.</v>
      </c>
      <c r="F1059" s="8">
        <f>IFERROR(__xludf.DUMMYFUNCTION("""COMPUTED_VALUE"""),5.0)</f>
        <v>5</v>
      </c>
      <c r="G1059" s="8">
        <f>IFERROR(__xludf.DUMMYFUNCTION("""COMPUTED_VALUE"""),1.0)</f>
        <v>1</v>
      </c>
      <c r="H1059" s="8">
        <f>IFERROR(__xludf.DUMMYFUNCTION("""COMPUTED_VALUE"""),21.0)</f>
        <v>21</v>
      </c>
      <c r="I1059" s="8" t="str">
        <f>IFERROR(__xludf.DUMMYFUNCTION("""COMPUTED_VALUE"""),"General")</f>
        <v>General</v>
      </c>
      <c r="J1059" s="8" t="str">
        <f>IFERROR(__xludf.DUMMYFUNCTION("""COMPUTED_VALUE"""),"Tops")</f>
        <v>Tops</v>
      </c>
      <c r="K1059" s="8" t="str">
        <f>IFERROR(__xludf.DUMMYFUNCTION("""COMPUTED_VALUE"""),"Blouses")</f>
        <v>Blouses</v>
      </c>
    </row>
    <row r="1060">
      <c r="A1060" s="8">
        <f>IFERROR(__xludf.DUMMYFUNCTION("""COMPUTED_VALUE"""),1402.0)</f>
        <v>1402</v>
      </c>
      <c r="B1060" s="8">
        <f>IFERROR(__xludf.DUMMYFUNCTION("""COMPUTED_VALUE"""),860.0)</f>
        <v>860</v>
      </c>
      <c r="C1060" s="8">
        <f>IFERROR(__xludf.DUMMYFUNCTION("""COMPUTED_VALUE"""),48.0)</f>
        <v>48</v>
      </c>
      <c r="D1060" s="8" t="str">
        <f>IFERROR(__xludf.DUMMYFUNCTION("""COMPUTED_VALUE"""),"Great detail")</f>
        <v>Great detail</v>
      </c>
      <c r="E1060" s="8" t="str">
        <f>IFERROR(__xludf.DUMMYFUNCTION("""COMPUTED_VALUE"""),"I purchased this item as a gift for my wife and she loves it. the quality for the price is great. soft and comfortable. needs to be washed with care but is worth it")</f>
        <v>I purchased this item as a gift for my wife and she loves it. the quality for the price is great. soft and comfortable. needs to be washed with care but is worth it</v>
      </c>
      <c r="F1060" s="8">
        <f>IFERROR(__xludf.DUMMYFUNCTION("""COMPUTED_VALUE"""),5.0)</f>
        <v>5</v>
      </c>
      <c r="G1060" s="8">
        <f>IFERROR(__xludf.DUMMYFUNCTION("""COMPUTED_VALUE"""),1.0)</f>
        <v>1</v>
      </c>
      <c r="H1060" s="8">
        <f>IFERROR(__xludf.DUMMYFUNCTION("""COMPUTED_VALUE"""),0.0)</f>
        <v>0</v>
      </c>
      <c r="I1060" s="8" t="str">
        <f>IFERROR(__xludf.DUMMYFUNCTION("""COMPUTED_VALUE"""),"General")</f>
        <v>General</v>
      </c>
      <c r="J1060" s="8" t="str">
        <f>IFERROR(__xludf.DUMMYFUNCTION("""COMPUTED_VALUE"""),"Tops")</f>
        <v>Tops</v>
      </c>
      <c r="K1060" s="8" t="str">
        <f>IFERROR(__xludf.DUMMYFUNCTION("""COMPUTED_VALUE"""),"Knits")</f>
        <v>Knits</v>
      </c>
    </row>
    <row r="1061">
      <c r="A1061" s="8">
        <f>IFERROR(__xludf.DUMMYFUNCTION("""COMPUTED_VALUE"""),1404.0)</f>
        <v>1404</v>
      </c>
      <c r="B1061" s="8">
        <f>IFERROR(__xludf.DUMMYFUNCTION("""COMPUTED_VALUE"""),1074.0)</f>
        <v>1074</v>
      </c>
      <c r="C1061" s="8">
        <f>IFERROR(__xludf.DUMMYFUNCTION("""COMPUTED_VALUE"""),50.0)</f>
        <v>50</v>
      </c>
      <c r="D1061" s="8" t="str">
        <f>IFERROR(__xludf.DUMMYFUNCTION("""COMPUTED_VALUE"""),"Very pretty - runs large (busty petites rejoice 3)")</f>
        <v>Very pretty - runs large (busty petites rejoice 3)</v>
      </c>
      <c r="E1061" s="8" t="str">
        <f>IFERROR(__xludf.DUMMYFUNCTION("""COMPUTED_VALUE"""),"I kept the size 8 of the dress and had to return the 10 as it was too roomy at the arms and chest (which is great!!!). material is nice and not too much material, hangs nice (its a swing). another win!")</f>
        <v>I kept the size 8 of the dress and had to return the 10 as it was too roomy at the arms and chest (which is great!!!). material is nice and not too much material, hangs nice (its a swing). another win!</v>
      </c>
      <c r="F1061" s="8">
        <f>IFERROR(__xludf.DUMMYFUNCTION("""COMPUTED_VALUE"""),4.0)</f>
        <v>4</v>
      </c>
      <c r="G1061" s="8">
        <f>IFERROR(__xludf.DUMMYFUNCTION("""COMPUTED_VALUE"""),1.0)</f>
        <v>1</v>
      </c>
      <c r="H1061" s="8">
        <f>IFERROR(__xludf.DUMMYFUNCTION("""COMPUTED_VALUE"""),2.0)</f>
        <v>2</v>
      </c>
      <c r="I1061" s="8" t="str">
        <f>IFERROR(__xludf.DUMMYFUNCTION("""COMPUTED_VALUE"""),"General")</f>
        <v>General</v>
      </c>
      <c r="J1061" s="8" t="str">
        <f>IFERROR(__xludf.DUMMYFUNCTION("""COMPUTED_VALUE"""),"Dresses")</f>
        <v>Dresses</v>
      </c>
      <c r="K1061" s="8" t="str">
        <f>IFERROR(__xludf.DUMMYFUNCTION("""COMPUTED_VALUE"""),"Dresses")</f>
        <v>Dresses</v>
      </c>
    </row>
    <row r="1062">
      <c r="A1062" s="8">
        <f>IFERROR(__xludf.DUMMYFUNCTION("""COMPUTED_VALUE"""),1405.0)</f>
        <v>1405</v>
      </c>
      <c r="B1062" s="8">
        <f>IFERROR(__xludf.DUMMYFUNCTION("""COMPUTED_VALUE"""),1094.0)</f>
        <v>1094</v>
      </c>
      <c r="C1062" s="8">
        <f>IFERROR(__xludf.DUMMYFUNCTION("""COMPUTED_VALUE"""),37.0)</f>
        <v>37</v>
      </c>
      <c r="D1062" s="8" t="str">
        <f>IFERROR(__xludf.DUMMYFUNCTION("""COMPUTED_VALUE"""),"Love this dress!")</f>
        <v>Love this dress!</v>
      </c>
      <c r="E1062" s="8" t="str">
        <f>IFERROR(__xludf.DUMMYFUNCTION("""COMPUTED_VALUE"""),"Many compliments - great color and so comfy. most of my dresses from retailer are maeve brand, and i have never been disappointed.")</f>
        <v>Many compliments - great color and so comfy. most of my dresses from retailer are maeve brand, and i have never been disappointed.</v>
      </c>
      <c r="F1062" s="8">
        <f>IFERROR(__xludf.DUMMYFUNCTION("""COMPUTED_VALUE"""),5.0)</f>
        <v>5</v>
      </c>
      <c r="G1062" s="8">
        <f>IFERROR(__xludf.DUMMYFUNCTION("""COMPUTED_VALUE"""),1.0)</f>
        <v>1</v>
      </c>
      <c r="H1062" s="8">
        <f>IFERROR(__xludf.DUMMYFUNCTION("""COMPUTED_VALUE"""),0.0)</f>
        <v>0</v>
      </c>
      <c r="I1062" s="8" t="str">
        <f>IFERROR(__xludf.DUMMYFUNCTION("""COMPUTED_VALUE"""),"General")</f>
        <v>General</v>
      </c>
      <c r="J1062" s="8" t="str">
        <f>IFERROR(__xludf.DUMMYFUNCTION("""COMPUTED_VALUE"""),"Dresses")</f>
        <v>Dresses</v>
      </c>
      <c r="K1062" s="8" t="str">
        <f>IFERROR(__xludf.DUMMYFUNCTION("""COMPUTED_VALUE"""),"Dresses")</f>
        <v>Dresses</v>
      </c>
    </row>
    <row r="1063">
      <c r="A1063" s="8">
        <f>IFERROR(__xludf.DUMMYFUNCTION("""COMPUTED_VALUE"""),1406.0)</f>
        <v>1406</v>
      </c>
      <c r="B1063" s="8">
        <f>IFERROR(__xludf.DUMMYFUNCTION("""COMPUTED_VALUE"""),1025.0)</f>
        <v>1025</v>
      </c>
      <c r="C1063" s="8">
        <f>IFERROR(__xludf.DUMMYFUNCTION("""COMPUTED_VALUE"""),59.0)</f>
        <v>59</v>
      </c>
      <c r="D1063" s="8"/>
      <c r="E1063" s="8" t="str">
        <f>IFERROR(__xludf.DUMMYFUNCTION("""COMPUTED_VALUE"""),"Tts and very very sleek and flattering. just love for summer. nice light weight. feel great on and not saggy. nice color addition since my other favorite are lighter shade of blue.")</f>
        <v>Tts and very very sleek and flattering. just love for summer. nice light weight. feel great on and not saggy. nice color addition since my other favorite are lighter shade of blue.</v>
      </c>
      <c r="F1063" s="8">
        <f>IFERROR(__xludf.DUMMYFUNCTION("""COMPUTED_VALUE"""),5.0)</f>
        <v>5</v>
      </c>
      <c r="G1063" s="8">
        <f>IFERROR(__xludf.DUMMYFUNCTION("""COMPUTED_VALUE"""),1.0)</f>
        <v>1</v>
      </c>
      <c r="H1063" s="8">
        <f>IFERROR(__xludf.DUMMYFUNCTION("""COMPUTED_VALUE"""),1.0)</f>
        <v>1</v>
      </c>
      <c r="I1063" s="8" t="str">
        <f>IFERROR(__xludf.DUMMYFUNCTION("""COMPUTED_VALUE"""),"General Petite")</f>
        <v>General Petite</v>
      </c>
      <c r="J1063" s="8" t="str">
        <f>IFERROR(__xludf.DUMMYFUNCTION("""COMPUTED_VALUE"""),"Bottoms")</f>
        <v>Bottoms</v>
      </c>
      <c r="K1063" s="8" t="str">
        <f>IFERROR(__xludf.DUMMYFUNCTION("""COMPUTED_VALUE"""),"Jeans")</f>
        <v>Jeans</v>
      </c>
    </row>
    <row r="1064">
      <c r="A1064" s="8">
        <f>IFERROR(__xludf.DUMMYFUNCTION("""COMPUTED_VALUE"""),1407.0)</f>
        <v>1407</v>
      </c>
      <c r="B1064" s="8">
        <f>IFERROR(__xludf.DUMMYFUNCTION("""COMPUTED_VALUE"""),1094.0)</f>
        <v>1094</v>
      </c>
      <c r="C1064" s="8">
        <f>IFERROR(__xludf.DUMMYFUNCTION("""COMPUTED_VALUE"""),56.0)</f>
        <v>56</v>
      </c>
      <c r="D1064" s="8" t="str">
        <f>IFERROR(__xludf.DUMMYFUNCTION("""COMPUTED_VALUE"""),"Gorgeous turquoise color")</f>
        <v>Gorgeous turquoise color</v>
      </c>
      <c r="E1064" s="8" t="str">
        <f>IFERROR(__xludf.DUMMYFUNCTION("""COMPUTED_VALUE"""),"I really love this this dress, but i agree with the previous reviewer about the belt around the waist-it is a draped piece of fabric that is very figure flattering where it wraps, but one side of the dress has no belt and it shows muffin tops/bulges.i wou"&amp;"ld have loved this if the belt went all the way around. one other point i would like to make is that bra straps are hard to conceal. i bought this dress because of the gorgeous color, but ended up returning it because of the belt and bra strap i")</f>
        <v>I really love this this dress, but i agree with the previous reviewer about the belt around the waist-it is a draped piece of fabric that is very figure flattering where it wraps, but one side of the dress has no belt and it shows muffin tops/bulges.i would have loved this if the belt went all the way around. one other point i would like to make is that bra straps are hard to conceal. i bought this dress because of the gorgeous color, but ended up returning it because of the belt and bra strap i</v>
      </c>
      <c r="F1064" s="8">
        <f>IFERROR(__xludf.DUMMYFUNCTION("""COMPUTED_VALUE"""),5.0)</f>
        <v>5</v>
      </c>
      <c r="G1064" s="8">
        <f>IFERROR(__xludf.DUMMYFUNCTION("""COMPUTED_VALUE"""),1.0)</f>
        <v>1</v>
      </c>
      <c r="H1064" s="8">
        <f>IFERROR(__xludf.DUMMYFUNCTION("""COMPUTED_VALUE"""),19.0)</f>
        <v>19</v>
      </c>
      <c r="I1064" s="8" t="str">
        <f>IFERROR(__xludf.DUMMYFUNCTION("""COMPUTED_VALUE"""),"General")</f>
        <v>General</v>
      </c>
      <c r="J1064" s="8" t="str">
        <f>IFERROR(__xludf.DUMMYFUNCTION("""COMPUTED_VALUE"""),"Dresses")</f>
        <v>Dresses</v>
      </c>
      <c r="K1064" s="8" t="str">
        <f>IFERROR(__xludf.DUMMYFUNCTION("""COMPUTED_VALUE"""),"Dresses")</f>
        <v>Dresses</v>
      </c>
    </row>
    <row r="1065">
      <c r="A1065" s="8">
        <f>IFERROR(__xludf.DUMMYFUNCTION("""COMPUTED_VALUE"""),1408.0)</f>
        <v>1408</v>
      </c>
      <c r="B1065" s="8">
        <f>IFERROR(__xludf.DUMMYFUNCTION("""COMPUTED_VALUE"""),230.0)</f>
        <v>230</v>
      </c>
      <c r="C1065" s="8">
        <f>IFERROR(__xludf.DUMMYFUNCTION("""COMPUTED_VALUE"""),30.0)</f>
        <v>30</v>
      </c>
      <c r="D1065" s="8" t="str">
        <f>IFERROR(__xludf.DUMMYFUNCTION("""COMPUTED_VALUE"""),"Skarlett blue demi convertible bra review")</f>
        <v>Skarlett blue demi convertible bra review</v>
      </c>
      <c r="E1065" s="8" t="str">
        <f>IFERROR(__xludf.DUMMYFUNCTION("""COMPUTED_VALUE"""),"This is by far the most comfortable bra i've ever owned. i love the convertible strap feature. it's great for shirts with a back cutout.")</f>
        <v>This is by far the most comfortable bra i've ever owned. i love the convertible strap feature. it's great for shirts with a back cutout.</v>
      </c>
      <c r="F1065" s="8">
        <f>IFERROR(__xludf.DUMMYFUNCTION("""COMPUTED_VALUE"""),5.0)</f>
        <v>5</v>
      </c>
      <c r="G1065" s="8">
        <f>IFERROR(__xludf.DUMMYFUNCTION("""COMPUTED_VALUE"""),1.0)</f>
        <v>1</v>
      </c>
      <c r="H1065" s="8">
        <f>IFERROR(__xludf.DUMMYFUNCTION("""COMPUTED_VALUE"""),1.0)</f>
        <v>1</v>
      </c>
      <c r="I1065" s="8" t="str">
        <f>IFERROR(__xludf.DUMMYFUNCTION("""COMPUTED_VALUE"""),"Initmates")</f>
        <v>Initmates</v>
      </c>
      <c r="J1065" s="8" t="str">
        <f>IFERROR(__xludf.DUMMYFUNCTION("""COMPUTED_VALUE"""),"Intimate")</f>
        <v>Intimate</v>
      </c>
      <c r="K1065" s="8" t="str">
        <f>IFERROR(__xludf.DUMMYFUNCTION("""COMPUTED_VALUE"""),"Intimates")</f>
        <v>Intimates</v>
      </c>
    </row>
    <row r="1066">
      <c r="A1066" s="8">
        <f>IFERROR(__xludf.DUMMYFUNCTION("""COMPUTED_VALUE"""),1410.0)</f>
        <v>1410</v>
      </c>
      <c r="B1066" s="8">
        <f>IFERROR(__xludf.DUMMYFUNCTION("""COMPUTED_VALUE"""),1081.0)</f>
        <v>1081</v>
      </c>
      <c r="C1066" s="8">
        <f>IFERROR(__xludf.DUMMYFUNCTION("""COMPUTED_VALUE"""),45.0)</f>
        <v>45</v>
      </c>
      <c r="D1066" s="8" t="str">
        <f>IFERROR(__xludf.DUMMYFUNCTION("""COMPUTED_VALUE"""),"Cute and comfy dress")</f>
        <v>Cute and comfy dress</v>
      </c>
      <c r="E1066" s="8" t="str">
        <f>IFERROR(__xludf.DUMMYFUNCTION("""COMPUTED_VALUE"""),"Love this dress. the fabric is super soft and flowy. be aware that the model is a tall gal.... i'm usually a size 8/10 in dresses and purchased a large. returned it for a large petite as it went way past my knees. looks funny if it is below the knee. the "&amp;"petite is perfect.")</f>
        <v>Love this dress. the fabric is super soft and flowy. be aware that the model is a tall gal.... i'm usually a size 8/10 in dresses and purchased a large. returned it for a large petite as it went way past my knees. looks funny if it is below the knee. the petite is perfect.</v>
      </c>
      <c r="F1066" s="8">
        <f>IFERROR(__xludf.DUMMYFUNCTION("""COMPUTED_VALUE"""),4.0)</f>
        <v>4</v>
      </c>
      <c r="G1066" s="8">
        <f>IFERROR(__xludf.DUMMYFUNCTION("""COMPUTED_VALUE"""),1.0)</f>
        <v>1</v>
      </c>
      <c r="H1066" s="8">
        <f>IFERROR(__xludf.DUMMYFUNCTION("""COMPUTED_VALUE"""),2.0)</f>
        <v>2</v>
      </c>
      <c r="I1066" s="8" t="str">
        <f>IFERROR(__xludf.DUMMYFUNCTION("""COMPUTED_VALUE"""),"General")</f>
        <v>General</v>
      </c>
      <c r="J1066" s="8" t="str">
        <f>IFERROR(__xludf.DUMMYFUNCTION("""COMPUTED_VALUE"""),"Dresses")</f>
        <v>Dresses</v>
      </c>
      <c r="K1066" s="8" t="str">
        <f>IFERROR(__xludf.DUMMYFUNCTION("""COMPUTED_VALUE"""),"Dresses")</f>
        <v>Dresses</v>
      </c>
    </row>
    <row r="1067">
      <c r="A1067" s="8">
        <f>IFERROR(__xludf.DUMMYFUNCTION("""COMPUTED_VALUE"""),1411.0)</f>
        <v>1411</v>
      </c>
      <c r="B1067" s="8">
        <f>IFERROR(__xludf.DUMMYFUNCTION("""COMPUTED_VALUE"""),837.0)</f>
        <v>837</v>
      </c>
      <c r="C1067" s="8">
        <f>IFERROR(__xludf.DUMMYFUNCTION("""COMPUTED_VALUE"""),44.0)</f>
        <v>44</v>
      </c>
      <c r="D1067" s="8" t="str">
        <f>IFERROR(__xludf.DUMMYFUNCTION("""COMPUTED_VALUE"""),"Adorable tank!")</f>
        <v>Adorable tank!</v>
      </c>
      <c r="E1067" s="8" t="str">
        <f>IFERROR(__xludf.DUMMYFUNCTION("""COMPUTED_VALUE"""),"I bought this tank in the blue popsicle print, and i think it's cuter in person than it is online. the beautiful pastel colors on the popsicles really stand out and make it special. i am normally a size 4-6, and the small fits me perfectly. also, i apprec"&amp;"iate that it's lined. i wore it with skinnies, and received lots of compliments. it's the perfect tank for summer!")</f>
        <v>I bought this tank in the blue popsicle print, and i think it's cuter in person than it is online. the beautiful pastel colors on the popsicles really stand out and make it special. i am normally a size 4-6, and the small fits me perfectly. also, i appreciate that it's lined. i wore it with skinnies, and received lots of compliments. it's the perfect tank for summer!</v>
      </c>
      <c r="F1067" s="8">
        <f>IFERROR(__xludf.DUMMYFUNCTION("""COMPUTED_VALUE"""),5.0)</f>
        <v>5</v>
      </c>
      <c r="G1067" s="8">
        <f>IFERROR(__xludf.DUMMYFUNCTION("""COMPUTED_VALUE"""),1.0)</f>
        <v>1</v>
      </c>
      <c r="H1067" s="8">
        <f>IFERROR(__xludf.DUMMYFUNCTION("""COMPUTED_VALUE"""),1.0)</f>
        <v>1</v>
      </c>
      <c r="I1067" s="8" t="str">
        <f>IFERROR(__xludf.DUMMYFUNCTION("""COMPUTED_VALUE"""),"General")</f>
        <v>General</v>
      </c>
      <c r="J1067" s="8" t="str">
        <f>IFERROR(__xludf.DUMMYFUNCTION("""COMPUTED_VALUE"""),"Tops")</f>
        <v>Tops</v>
      </c>
      <c r="K1067" s="8" t="str">
        <f>IFERROR(__xludf.DUMMYFUNCTION("""COMPUTED_VALUE"""),"Blouses")</f>
        <v>Blouses</v>
      </c>
    </row>
    <row r="1068">
      <c r="A1068" s="8">
        <f>IFERROR(__xludf.DUMMYFUNCTION("""COMPUTED_VALUE"""),1412.0)</f>
        <v>1412</v>
      </c>
      <c r="B1068" s="8">
        <f>IFERROR(__xludf.DUMMYFUNCTION("""COMPUTED_VALUE"""),442.0)</f>
        <v>442</v>
      </c>
      <c r="C1068" s="8">
        <f>IFERROR(__xludf.DUMMYFUNCTION("""COMPUTED_VALUE"""),32.0)</f>
        <v>32</v>
      </c>
      <c r="D1068" s="8"/>
      <c r="E1068" s="8" t="str">
        <f>IFERROR(__xludf.DUMMYFUNCTION("""COMPUTED_VALUE"""),"Very pretty but also very roomy. i'm using it as a swimsuit cover up, so it's perfect!")</f>
        <v>Very pretty but also very roomy. i'm using it as a swimsuit cover up, so it's perfect!</v>
      </c>
      <c r="F1068" s="8">
        <f>IFERROR(__xludf.DUMMYFUNCTION("""COMPUTED_VALUE"""),4.0)</f>
        <v>4</v>
      </c>
      <c r="G1068" s="8">
        <f>IFERROR(__xludf.DUMMYFUNCTION("""COMPUTED_VALUE"""),1.0)</f>
        <v>1</v>
      </c>
      <c r="H1068" s="8">
        <f>IFERROR(__xludf.DUMMYFUNCTION("""COMPUTED_VALUE"""),0.0)</f>
        <v>0</v>
      </c>
      <c r="I1068" s="8" t="str">
        <f>IFERROR(__xludf.DUMMYFUNCTION("""COMPUTED_VALUE"""),"Initmates")</f>
        <v>Initmates</v>
      </c>
      <c r="J1068" s="8" t="str">
        <f>IFERROR(__xludf.DUMMYFUNCTION("""COMPUTED_VALUE"""),"Intimate")</f>
        <v>Intimate</v>
      </c>
      <c r="K1068" s="8" t="str">
        <f>IFERROR(__xludf.DUMMYFUNCTION("""COMPUTED_VALUE"""),"Swim")</f>
        <v>Swim</v>
      </c>
    </row>
    <row r="1069">
      <c r="A1069" s="8">
        <f>IFERROR(__xludf.DUMMYFUNCTION("""COMPUTED_VALUE"""),1413.0)</f>
        <v>1413</v>
      </c>
      <c r="B1069" s="8">
        <f>IFERROR(__xludf.DUMMYFUNCTION("""COMPUTED_VALUE"""),1025.0)</f>
        <v>1025</v>
      </c>
      <c r="C1069" s="8">
        <f>IFERROR(__xludf.DUMMYFUNCTION("""COMPUTED_VALUE"""),37.0)</f>
        <v>37</v>
      </c>
      <c r="D1069" s="8" t="str">
        <f>IFERROR(__xludf.DUMMYFUNCTION("""COMPUTED_VALUE"""),"Almost")</f>
        <v>Almost</v>
      </c>
      <c r="E1069" s="8" t="str">
        <f>IFERROR(__xludf.DUMMYFUNCTION("""COMPUTED_VALUE"""),"I ordered these in my typical size, 26, and they fit everywhere perfectly except the butt. for me, i found them to be too tight in that area. i went to the store and tried on the 27 and they were too big in the waist. i do recommend them though. they are "&amp;"well made, i loved the wash and the length was perfect. being 5'3"" they came to the lower ankle and that was fine with me. give them a try, hopefully they work better for you.")</f>
        <v>I ordered these in my typical size, 26, and they fit everywhere perfectly except the butt. for me, i found them to be too tight in that area. i went to the store and tried on the 27 and they were too big in the waist. i do recommend them though. they are well made, i loved the wash and the length was perfect. being 5'3" they came to the lower ankle and that was fine with me. give them a try, hopefully they work better for you.</v>
      </c>
      <c r="F1069" s="8">
        <f>IFERROR(__xludf.DUMMYFUNCTION("""COMPUTED_VALUE"""),4.0)</f>
        <v>4</v>
      </c>
      <c r="G1069" s="8">
        <f>IFERROR(__xludf.DUMMYFUNCTION("""COMPUTED_VALUE"""),1.0)</f>
        <v>1</v>
      </c>
      <c r="H1069" s="8">
        <f>IFERROR(__xludf.DUMMYFUNCTION("""COMPUTED_VALUE"""),3.0)</f>
        <v>3</v>
      </c>
      <c r="I1069" s="8" t="str">
        <f>IFERROR(__xludf.DUMMYFUNCTION("""COMPUTED_VALUE"""),"General Petite")</f>
        <v>General Petite</v>
      </c>
      <c r="J1069" s="8" t="str">
        <f>IFERROR(__xludf.DUMMYFUNCTION("""COMPUTED_VALUE"""),"Bottoms")</f>
        <v>Bottoms</v>
      </c>
      <c r="K1069" s="8" t="str">
        <f>IFERROR(__xludf.DUMMYFUNCTION("""COMPUTED_VALUE"""),"Jeans")</f>
        <v>Jeans</v>
      </c>
    </row>
    <row r="1070">
      <c r="A1070" s="8">
        <f>IFERROR(__xludf.DUMMYFUNCTION("""COMPUTED_VALUE"""),1414.0)</f>
        <v>1414</v>
      </c>
      <c r="B1070" s="8">
        <f>IFERROR(__xludf.DUMMYFUNCTION("""COMPUTED_VALUE"""),1094.0)</f>
        <v>1094</v>
      </c>
      <c r="C1070" s="8">
        <f>IFERROR(__xludf.DUMMYFUNCTION("""COMPUTED_VALUE"""),39.0)</f>
        <v>39</v>
      </c>
      <c r="D1070" s="8" t="str">
        <f>IFERROR(__xludf.DUMMYFUNCTION("""COMPUTED_VALUE"""),"Lovely feel and color")</f>
        <v>Lovely feel and color</v>
      </c>
      <c r="E1070" s="8" t="str">
        <f>IFERROR(__xludf.DUMMYFUNCTION("""COMPUTED_VALUE"""),"I tried on the xs in the store (115 lbs, 30dd chest, short). fit: i think it is a little big, i would tend to go for a xxs petite in this for me, the length was ok, but would look more flattering in petite. also, the waist was on the looser side. the gree"&amp;"n color is amazing though, very flattering and springy/summery. the flow of the dress is also very nice. the weird thing is the belt at the waist, it starts a little off from the seam, and doesn't go all the way around, not sure if i love it or")</f>
        <v>I tried on the xs in the store (115 lbs, 30dd chest, short). fit: i think it is a little big, i would tend to go for a xxs petite in this for me, the length was ok, but would look more flattering in petite. also, the waist was on the looser side. the green color is amazing though, very flattering and springy/summery. the flow of the dress is also very nice. the weird thing is the belt at the waist, it starts a little off from the seam, and doesn't go all the way around, not sure if i love it or</v>
      </c>
      <c r="F1070" s="8">
        <f>IFERROR(__xludf.DUMMYFUNCTION("""COMPUTED_VALUE"""),4.0)</f>
        <v>4</v>
      </c>
      <c r="G1070" s="8">
        <f>IFERROR(__xludf.DUMMYFUNCTION("""COMPUTED_VALUE"""),1.0)</f>
        <v>1</v>
      </c>
      <c r="H1070" s="8">
        <f>IFERROR(__xludf.DUMMYFUNCTION("""COMPUTED_VALUE"""),24.0)</f>
        <v>24</v>
      </c>
      <c r="I1070" s="8" t="str">
        <f>IFERROR(__xludf.DUMMYFUNCTION("""COMPUTED_VALUE"""),"General")</f>
        <v>General</v>
      </c>
      <c r="J1070" s="8" t="str">
        <f>IFERROR(__xludf.DUMMYFUNCTION("""COMPUTED_VALUE"""),"Dresses")</f>
        <v>Dresses</v>
      </c>
      <c r="K1070" s="8" t="str">
        <f>IFERROR(__xludf.DUMMYFUNCTION("""COMPUTED_VALUE"""),"Dresses")</f>
        <v>Dresses</v>
      </c>
    </row>
    <row r="1071">
      <c r="A1071" s="8">
        <f>IFERROR(__xludf.DUMMYFUNCTION("""COMPUTED_VALUE"""),1415.0)</f>
        <v>1415</v>
      </c>
      <c r="B1071" s="8">
        <f>IFERROR(__xludf.DUMMYFUNCTION("""COMPUTED_VALUE"""),744.0)</f>
        <v>744</v>
      </c>
      <c r="C1071" s="8">
        <f>IFERROR(__xludf.DUMMYFUNCTION("""COMPUTED_VALUE"""),63.0)</f>
        <v>63</v>
      </c>
      <c r="D1071" s="8" t="str">
        <f>IFERROR(__xludf.DUMMYFUNCTION("""COMPUTED_VALUE"""),"Beautiful chemise!")</f>
        <v>Beautiful chemise!</v>
      </c>
      <c r="E1071" s="8" t="str">
        <f>IFERROR(__xludf.DUMMYFUNCTION("""COMPUTED_VALUE"""),"This well made chemise is figure flattering and just the right length for me (5'2""). i would wear it as a slip or a nightie. looking forward to wearing it!")</f>
        <v>This well made chemise is figure flattering and just the right length for me (5'2"). i would wear it as a slip or a nightie. looking forward to wearing it!</v>
      </c>
      <c r="F1071" s="8">
        <f>IFERROR(__xludf.DUMMYFUNCTION("""COMPUTED_VALUE"""),5.0)</f>
        <v>5</v>
      </c>
      <c r="G1071" s="8">
        <f>IFERROR(__xludf.DUMMYFUNCTION("""COMPUTED_VALUE"""),1.0)</f>
        <v>1</v>
      </c>
      <c r="H1071" s="8">
        <f>IFERROR(__xludf.DUMMYFUNCTION("""COMPUTED_VALUE"""),0.0)</f>
        <v>0</v>
      </c>
      <c r="I1071" s="8" t="str">
        <f>IFERROR(__xludf.DUMMYFUNCTION("""COMPUTED_VALUE"""),"Initmates")</f>
        <v>Initmates</v>
      </c>
      <c r="J1071" s="8" t="str">
        <f>IFERROR(__xludf.DUMMYFUNCTION("""COMPUTED_VALUE"""),"Intimate")</f>
        <v>Intimate</v>
      </c>
      <c r="K1071" s="8" t="str">
        <f>IFERROR(__xludf.DUMMYFUNCTION("""COMPUTED_VALUE"""),"Intimates")</f>
        <v>Intimates</v>
      </c>
    </row>
    <row r="1072">
      <c r="A1072" s="8">
        <f>IFERROR(__xludf.DUMMYFUNCTION("""COMPUTED_VALUE"""),1416.0)</f>
        <v>1416</v>
      </c>
      <c r="B1072" s="8">
        <f>IFERROR(__xludf.DUMMYFUNCTION("""COMPUTED_VALUE"""),1081.0)</f>
        <v>1081</v>
      </c>
      <c r="C1072" s="8">
        <f>IFERROR(__xludf.DUMMYFUNCTION("""COMPUTED_VALUE"""),54.0)</f>
        <v>54</v>
      </c>
      <c r="D1072" s="8" t="str">
        <f>IFERROR(__xludf.DUMMYFUNCTION("""COMPUTED_VALUE"""),"Wow!")</f>
        <v>Wow!</v>
      </c>
      <c r="E1072" s="8" t="str">
        <f>IFERROR(__xludf.DUMMYFUNCTION("""COMPUTED_VALUE"""),"This is just a fantastic dress! i bought it in my usual m in the blue and it fits like a glove. i love the varying lengths and the adorable sleeves and the substantial knit which feels amazing on the body without revealing any bumps and lumps :) i took th"&amp;"e regular length and found it perfect. the front hits about two inches above my knee and the rest hits a bit lower. i'm only 5""1, but i prefer dresses that hit closer to my knee than mini so the regular was perfect for me
definitely a keeper!")</f>
        <v>This is just a fantastic dress! i bought it in my usual m in the blue and it fits like a glove. i love the varying lengths and the adorable sleeves and the substantial knit which feels amazing on the body without revealing any bumps and lumps :) i took the regular length and found it perfect. the front hits about two inches above my knee and the rest hits a bit lower. i'm only 5"1, but i prefer dresses that hit closer to my knee than mini so the regular was perfect for me
definitely a keeper!</v>
      </c>
      <c r="F1072" s="8">
        <f>IFERROR(__xludf.DUMMYFUNCTION("""COMPUTED_VALUE"""),5.0)</f>
        <v>5</v>
      </c>
      <c r="G1072" s="8">
        <f>IFERROR(__xludf.DUMMYFUNCTION("""COMPUTED_VALUE"""),1.0)</f>
        <v>1</v>
      </c>
      <c r="H1072" s="8">
        <f>IFERROR(__xludf.DUMMYFUNCTION("""COMPUTED_VALUE"""),3.0)</f>
        <v>3</v>
      </c>
      <c r="I1072" s="8" t="str">
        <f>IFERROR(__xludf.DUMMYFUNCTION("""COMPUTED_VALUE"""),"General")</f>
        <v>General</v>
      </c>
      <c r="J1072" s="8" t="str">
        <f>IFERROR(__xludf.DUMMYFUNCTION("""COMPUTED_VALUE"""),"Dresses")</f>
        <v>Dresses</v>
      </c>
      <c r="K1072" s="8" t="str">
        <f>IFERROR(__xludf.DUMMYFUNCTION("""COMPUTED_VALUE"""),"Dresses")</f>
        <v>Dresses</v>
      </c>
    </row>
    <row r="1073">
      <c r="A1073" s="8">
        <f>IFERROR(__xludf.DUMMYFUNCTION("""COMPUTED_VALUE"""),1417.0)</f>
        <v>1417</v>
      </c>
      <c r="B1073" s="8">
        <f>IFERROR(__xludf.DUMMYFUNCTION("""COMPUTED_VALUE"""),1094.0)</f>
        <v>1094</v>
      </c>
      <c r="C1073" s="8">
        <f>IFERROR(__xludf.DUMMYFUNCTION("""COMPUTED_VALUE"""),40.0)</f>
        <v>40</v>
      </c>
      <c r="D1073" s="8" t="str">
        <f>IFERROR(__xludf.DUMMYFUNCTION("""COMPUTED_VALUE"""),"Perfect ease")</f>
        <v>Perfect ease</v>
      </c>
      <c r="E1073" s="8" t="str">
        <f>IFERROR(__xludf.DUMMYFUNCTION("""COMPUTED_VALUE"""),"This dress is perfection it is extremely comfortable and versatile. great for dressing up or down. i am large busted (36g) so was delighted that it stretches as this is a problem for me finding clothing to fit allover. i am petite 5""1 with a curvy figure"&amp;" and a regular medium fit great!")</f>
        <v>This dress is perfection it is extremely comfortable and versatile. great for dressing up or down. i am large busted (36g) so was delighted that it stretches as this is a problem for me finding clothing to fit allover. i am petite 5"1 with a curvy figure and a regular medium fit great!</v>
      </c>
      <c r="F1073" s="8">
        <f>IFERROR(__xludf.DUMMYFUNCTION("""COMPUTED_VALUE"""),5.0)</f>
        <v>5</v>
      </c>
      <c r="G1073" s="8">
        <f>IFERROR(__xludf.DUMMYFUNCTION("""COMPUTED_VALUE"""),1.0)</f>
        <v>1</v>
      </c>
      <c r="H1073" s="8">
        <f>IFERROR(__xludf.DUMMYFUNCTION("""COMPUTED_VALUE"""),1.0)</f>
        <v>1</v>
      </c>
      <c r="I1073" s="8" t="str">
        <f>IFERROR(__xludf.DUMMYFUNCTION("""COMPUTED_VALUE"""),"General")</f>
        <v>General</v>
      </c>
      <c r="J1073" s="8" t="str">
        <f>IFERROR(__xludf.DUMMYFUNCTION("""COMPUTED_VALUE"""),"Dresses")</f>
        <v>Dresses</v>
      </c>
      <c r="K1073" s="8" t="str">
        <f>IFERROR(__xludf.DUMMYFUNCTION("""COMPUTED_VALUE"""),"Dresses")</f>
        <v>Dresses</v>
      </c>
    </row>
    <row r="1074">
      <c r="A1074" s="8">
        <f>IFERROR(__xludf.DUMMYFUNCTION("""COMPUTED_VALUE"""),1420.0)</f>
        <v>1420</v>
      </c>
      <c r="B1074" s="8">
        <f>IFERROR(__xludf.DUMMYFUNCTION("""COMPUTED_VALUE"""),1094.0)</f>
        <v>1094</v>
      </c>
      <c r="C1074" s="8">
        <f>IFERROR(__xludf.DUMMYFUNCTION("""COMPUTED_VALUE"""),42.0)</f>
        <v>42</v>
      </c>
      <c r="D1074" s="8" t="str">
        <f>IFERROR(__xludf.DUMMYFUNCTION("""COMPUTED_VALUE"""),"Great maxi dress")</f>
        <v>Great maxi dress</v>
      </c>
      <c r="E1074" s="8" t="str">
        <f>IFERROR(__xludf.DUMMYFUNCTION("""COMPUTED_VALUE"""),"This is a great summer maxi dress. i am 5'4"" 120lbs, about a size 4 in dresses, 32dd. i got this in an extra small. i was really happy that on someone my height, it's just a few inches above my ankle, so did not shorten me at all. the straps were a good "&amp;"length, and the waist hit at the right spot. i don't think the waist detail not going all the way around is a big deal, there are the little snaps in the straps for your bra, and skirt is lined. the turquoise color is really pretty and the fabric")</f>
        <v>This is a great summer maxi dress. i am 5'4" 120lbs, about a size 4 in dresses, 32dd. i got this in an extra small. i was really happy that on someone my height, it's just a few inches above my ankle, so did not shorten me at all. the straps were a good length, and the waist hit at the right spot. i don't think the waist detail not going all the way around is a big deal, there are the little snaps in the straps for your bra, and skirt is lined. the turquoise color is really pretty and the fabric</v>
      </c>
      <c r="F1074" s="8">
        <f>IFERROR(__xludf.DUMMYFUNCTION("""COMPUTED_VALUE"""),5.0)</f>
        <v>5</v>
      </c>
      <c r="G1074" s="8">
        <f>IFERROR(__xludf.DUMMYFUNCTION("""COMPUTED_VALUE"""),1.0)</f>
        <v>1</v>
      </c>
      <c r="H1074" s="8">
        <f>IFERROR(__xludf.DUMMYFUNCTION("""COMPUTED_VALUE"""),5.0)</f>
        <v>5</v>
      </c>
      <c r="I1074" s="8" t="str">
        <f>IFERROR(__xludf.DUMMYFUNCTION("""COMPUTED_VALUE"""),"General")</f>
        <v>General</v>
      </c>
      <c r="J1074" s="8" t="str">
        <f>IFERROR(__xludf.DUMMYFUNCTION("""COMPUTED_VALUE"""),"Dresses")</f>
        <v>Dresses</v>
      </c>
      <c r="K1074" s="8" t="str">
        <f>IFERROR(__xludf.DUMMYFUNCTION("""COMPUTED_VALUE"""),"Dresses")</f>
        <v>Dresses</v>
      </c>
    </row>
    <row r="1075">
      <c r="A1075" s="8">
        <f>IFERROR(__xludf.DUMMYFUNCTION("""COMPUTED_VALUE"""),1422.0)</f>
        <v>1422</v>
      </c>
      <c r="B1075" s="8">
        <f>IFERROR(__xludf.DUMMYFUNCTION("""COMPUTED_VALUE"""),1081.0)</f>
        <v>1081</v>
      </c>
      <c r="C1075" s="8">
        <f>IFERROR(__xludf.DUMMYFUNCTION("""COMPUTED_VALUE"""),29.0)</f>
        <v>29</v>
      </c>
      <c r="D1075" s="8" t="str">
        <f>IFERROR(__xludf.DUMMYFUNCTION("""COMPUTED_VALUE"""),"Comfort")</f>
        <v>Comfort</v>
      </c>
      <c r="E1075" s="8" t="str">
        <f>IFERROR(__xludf.DUMMYFUNCTION("""COMPUTED_VALUE"""),"This dress is super comfortable and the material is so soft. the fit is very flattering and will cover any imperfections if you are heavier and want to hide anything. its more fitted in the top and drapes on the body very nicely. the hem is asymmetrical a"&amp;"nd the highest part of the hem hits about 2 inches above my knee and i am 5'3.'' i will wear this with tights for work. color is very nice also.")</f>
        <v>This dress is super comfortable and the material is so soft. the fit is very flattering and will cover any imperfections if you are heavier and want to hide anything. its more fitted in the top and drapes on the body very nicely. the hem is asymmetrical and the highest part of the hem hits about 2 inches above my knee and i am 5'3.'' i will wear this with tights for work. color is very nice also.</v>
      </c>
      <c r="F1075" s="8">
        <f>IFERROR(__xludf.DUMMYFUNCTION("""COMPUTED_VALUE"""),5.0)</f>
        <v>5</v>
      </c>
      <c r="G1075" s="8">
        <f>IFERROR(__xludf.DUMMYFUNCTION("""COMPUTED_VALUE"""),1.0)</f>
        <v>1</v>
      </c>
      <c r="H1075" s="8">
        <f>IFERROR(__xludf.DUMMYFUNCTION("""COMPUTED_VALUE"""),0.0)</f>
        <v>0</v>
      </c>
      <c r="I1075" s="8" t="str">
        <f>IFERROR(__xludf.DUMMYFUNCTION("""COMPUTED_VALUE"""),"General Petite")</f>
        <v>General Petite</v>
      </c>
      <c r="J1075" s="8" t="str">
        <f>IFERROR(__xludf.DUMMYFUNCTION("""COMPUTED_VALUE"""),"Dresses")</f>
        <v>Dresses</v>
      </c>
      <c r="K1075" s="8" t="str">
        <f>IFERROR(__xludf.DUMMYFUNCTION("""COMPUTED_VALUE"""),"Dresses")</f>
        <v>Dresses</v>
      </c>
    </row>
    <row r="1076">
      <c r="A1076" s="8">
        <f>IFERROR(__xludf.DUMMYFUNCTION("""COMPUTED_VALUE"""),1424.0)</f>
        <v>1424</v>
      </c>
      <c r="B1076" s="8">
        <f>IFERROR(__xludf.DUMMYFUNCTION("""COMPUTED_VALUE"""),1081.0)</f>
        <v>1081</v>
      </c>
      <c r="C1076" s="8">
        <f>IFERROR(__xludf.DUMMYFUNCTION("""COMPUTED_VALUE"""),36.0)</f>
        <v>36</v>
      </c>
      <c r="D1076" s="8" t="str">
        <f>IFERROR(__xludf.DUMMYFUNCTION("""COMPUTED_VALUE"""),"Perfect for everyone!!!!")</f>
        <v>Perfect for everyone!!!!</v>
      </c>
      <c r="E1076" s="8" t="str">
        <f>IFERROR(__xludf.DUMMYFUNCTION("""COMPUTED_VALUE"""),"I love this dress!!! it's comfortable, flattering and stylish. looks great with flats or boots - awesome with a chunky scarf and tights.")</f>
        <v>I love this dress!!! it's comfortable, flattering and stylish. looks great with flats or boots - awesome with a chunky scarf and tights.</v>
      </c>
      <c r="F1076" s="8">
        <f>IFERROR(__xludf.DUMMYFUNCTION("""COMPUTED_VALUE"""),5.0)</f>
        <v>5</v>
      </c>
      <c r="G1076" s="8">
        <f>IFERROR(__xludf.DUMMYFUNCTION("""COMPUTED_VALUE"""),1.0)</f>
        <v>1</v>
      </c>
      <c r="H1076" s="8">
        <f>IFERROR(__xludf.DUMMYFUNCTION("""COMPUTED_VALUE"""),0.0)</f>
        <v>0</v>
      </c>
      <c r="I1076" s="8" t="str">
        <f>IFERROR(__xludf.DUMMYFUNCTION("""COMPUTED_VALUE"""),"General Petite")</f>
        <v>General Petite</v>
      </c>
      <c r="J1076" s="8" t="str">
        <f>IFERROR(__xludf.DUMMYFUNCTION("""COMPUTED_VALUE"""),"Dresses")</f>
        <v>Dresses</v>
      </c>
      <c r="K1076" s="8" t="str">
        <f>IFERROR(__xludf.DUMMYFUNCTION("""COMPUTED_VALUE"""),"Dresses")</f>
        <v>Dresses</v>
      </c>
    </row>
    <row r="1077">
      <c r="A1077" s="8">
        <f>IFERROR(__xludf.DUMMYFUNCTION("""COMPUTED_VALUE"""),1425.0)</f>
        <v>1425</v>
      </c>
      <c r="B1077" s="8">
        <f>IFERROR(__xludf.DUMMYFUNCTION("""COMPUTED_VALUE"""),1081.0)</f>
        <v>1081</v>
      </c>
      <c r="C1077" s="8">
        <f>IFERROR(__xludf.DUMMYFUNCTION("""COMPUTED_VALUE"""),52.0)</f>
        <v>52</v>
      </c>
      <c r="D1077" s="8"/>
      <c r="E1077" s="8"/>
      <c r="F1077" s="8">
        <f>IFERROR(__xludf.DUMMYFUNCTION("""COMPUTED_VALUE"""),5.0)</f>
        <v>5</v>
      </c>
      <c r="G1077" s="8">
        <f>IFERROR(__xludf.DUMMYFUNCTION("""COMPUTED_VALUE"""),1.0)</f>
        <v>1</v>
      </c>
      <c r="H1077" s="8">
        <f>IFERROR(__xludf.DUMMYFUNCTION("""COMPUTED_VALUE"""),0.0)</f>
        <v>0</v>
      </c>
      <c r="I1077" s="8" t="str">
        <f>IFERROR(__xludf.DUMMYFUNCTION("""COMPUTED_VALUE"""),"General Petite")</f>
        <v>General Petite</v>
      </c>
      <c r="J1077" s="8" t="str">
        <f>IFERROR(__xludf.DUMMYFUNCTION("""COMPUTED_VALUE"""),"Dresses")</f>
        <v>Dresses</v>
      </c>
      <c r="K1077" s="8" t="str">
        <f>IFERROR(__xludf.DUMMYFUNCTION("""COMPUTED_VALUE"""),"Dresses")</f>
        <v>Dresses</v>
      </c>
    </row>
    <row r="1078">
      <c r="A1078" s="8">
        <f>IFERROR(__xludf.DUMMYFUNCTION("""COMPUTED_VALUE"""),1426.0)</f>
        <v>1426</v>
      </c>
      <c r="B1078" s="8">
        <f>IFERROR(__xludf.DUMMYFUNCTION("""COMPUTED_VALUE"""),1094.0)</f>
        <v>1094</v>
      </c>
      <c r="C1078" s="8">
        <f>IFERROR(__xludf.DUMMYFUNCTION("""COMPUTED_VALUE"""),40.0)</f>
        <v>40</v>
      </c>
      <c r="D1078" s="8" t="str">
        <f>IFERROR(__xludf.DUMMYFUNCTION("""COMPUTED_VALUE"""),"Beautiful summer dress")</f>
        <v>Beautiful summer dress</v>
      </c>
      <c r="E1078" s="8" t="str">
        <f>IFERROR(__xludf.DUMMYFUNCTION("""COMPUTED_VALUE"""),"I loved this dress on way more than i expected to - the pictures don't do it justice. the fabric is soft and is a really nice weight - heavier than i expected, which makes the dress hang in a really flattering way. the belt doesn't go all the way around, "&amp;"as other reviewers said, but i actually kind of like it that way. i almost didn't try it on based on some of the other reviews, but i'm sooooo glad i did. it's a really cute dress - will look great as is, or with a light cardigan if it's a littl")</f>
        <v>I loved this dress on way more than i expected to - the pictures don't do it justice. the fabric is soft and is a really nice weight - heavier than i expected, which makes the dress hang in a really flattering way. the belt doesn't go all the way around, as other reviewers said, but i actually kind of like it that way. i almost didn't try it on based on some of the other reviews, but i'm sooooo glad i did. it's a really cute dress - will look great as is, or with a light cardigan if it's a littl</v>
      </c>
      <c r="F1078" s="8">
        <f>IFERROR(__xludf.DUMMYFUNCTION("""COMPUTED_VALUE"""),4.0)</f>
        <v>4</v>
      </c>
      <c r="G1078" s="8">
        <f>IFERROR(__xludf.DUMMYFUNCTION("""COMPUTED_VALUE"""),1.0)</f>
        <v>1</v>
      </c>
      <c r="H1078" s="8">
        <f>IFERROR(__xludf.DUMMYFUNCTION("""COMPUTED_VALUE"""),2.0)</f>
        <v>2</v>
      </c>
      <c r="I1078" s="8" t="str">
        <f>IFERROR(__xludf.DUMMYFUNCTION("""COMPUTED_VALUE"""),"General")</f>
        <v>General</v>
      </c>
      <c r="J1078" s="8" t="str">
        <f>IFERROR(__xludf.DUMMYFUNCTION("""COMPUTED_VALUE"""),"Dresses")</f>
        <v>Dresses</v>
      </c>
      <c r="K1078" s="8" t="str">
        <f>IFERROR(__xludf.DUMMYFUNCTION("""COMPUTED_VALUE"""),"Dresses")</f>
        <v>Dresses</v>
      </c>
    </row>
    <row r="1079">
      <c r="A1079" s="8">
        <f>IFERROR(__xludf.DUMMYFUNCTION("""COMPUTED_VALUE"""),1427.0)</f>
        <v>1427</v>
      </c>
      <c r="B1079" s="8">
        <f>IFERROR(__xludf.DUMMYFUNCTION("""COMPUTED_VALUE"""),1081.0)</f>
        <v>1081</v>
      </c>
      <c r="C1079" s="8">
        <f>IFERROR(__xludf.DUMMYFUNCTION("""COMPUTED_VALUE"""),45.0)</f>
        <v>45</v>
      </c>
      <c r="D1079" s="8" t="str">
        <f>IFERROR(__xludf.DUMMYFUNCTION("""COMPUTED_VALUE"""),"Comfy, runs large")</f>
        <v>Comfy, runs large</v>
      </c>
      <c r="E1079" s="8" t="str">
        <f>IFERROR(__xludf.DUMMYFUNCTION("""COMPUTED_VALUE"""),"I like the style, but i ordered an extra small (i am5'4' 120#) and it was still too loose fitting on me, had to return, hopefully exchange for xxs")</f>
        <v>I like the style, but i ordered an extra small (i am5'4' 120#) and it was still too loose fitting on me, had to return, hopefully exchange for xxs</v>
      </c>
      <c r="F1079" s="8">
        <f>IFERROR(__xludf.DUMMYFUNCTION("""COMPUTED_VALUE"""),4.0)</f>
        <v>4</v>
      </c>
      <c r="G1079" s="8">
        <f>IFERROR(__xludf.DUMMYFUNCTION("""COMPUTED_VALUE"""),1.0)</f>
        <v>1</v>
      </c>
      <c r="H1079" s="8">
        <f>IFERROR(__xludf.DUMMYFUNCTION("""COMPUTED_VALUE"""),0.0)</f>
        <v>0</v>
      </c>
      <c r="I1079" s="8" t="str">
        <f>IFERROR(__xludf.DUMMYFUNCTION("""COMPUTED_VALUE"""),"General Petite")</f>
        <v>General Petite</v>
      </c>
      <c r="J1079" s="8" t="str">
        <f>IFERROR(__xludf.DUMMYFUNCTION("""COMPUTED_VALUE"""),"Dresses")</f>
        <v>Dresses</v>
      </c>
      <c r="K1079" s="8" t="str">
        <f>IFERROR(__xludf.DUMMYFUNCTION("""COMPUTED_VALUE"""),"Dresses")</f>
        <v>Dresses</v>
      </c>
    </row>
    <row r="1080">
      <c r="A1080" s="8">
        <f>IFERROR(__xludf.DUMMYFUNCTION("""COMPUTED_VALUE"""),1428.0)</f>
        <v>1428</v>
      </c>
      <c r="B1080" s="8">
        <f>IFERROR(__xludf.DUMMYFUNCTION("""COMPUTED_VALUE"""),1094.0)</f>
        <v>1094</v>
      </c>
      <c r="C1080" s="8">
        <f>IFERROR(__xludf.DUMMYFUNCTION("""COMPUTED_VALUE"""),36.0)</f>
        <v>36</v>
      </c>
      <c r="D1080" s="8" t="str">
        <f>IFERROR(__xludf.DUMMYFUNCTION("""COMPUTED_VALUE"""),"Super comfy dress")</f>
        <v>Super comfy dress</v>
      </c>
      <c r="E1080" s="8" t="str">
        <f>IFERROR(__xludf.DUMMYFUNCTION("""COMPUTED_VALUE"""),"I ordered a regular size xs and the length is still fine for me at 5'2"". i love the color and the fabric is super soft and comfortable. i'll get a lot of use out of it this summer and the sale price is a great bargain!")</f>
        <v>I ordered a regular size xs and the length is still fine for me at 5'2". i love the color and the fabric is super soft and comfortable. i'll get a lot of use out of it this summer and the sale price is a great bargain!</v>
      </c>
      <c r="F1080" s="8">
        <f>IFERROR(__xludf.DUMMYFUNCTION("""COMPUTED_VALUE"""),5.0)</f>
        <v>5</v>
      </c>
      <c r="G1080" s="8">
        <f>IFERROR(__xludf.DUMMYFUNCTION("""COMPUTED_VALUE"""),1.0)</f>
        <v>1</v>
      </c>
      <c r="H1080" s="8">
        <f>IFERROR(__xludf.DUMMYFUNCTION("""COMPUTED_VALUE"""),1.0)</f>
        <v>1</v>
      </c>
      <c r="I1080" s="8" t="str">
        <f>IFERROR(__xludf.DUMMYFUNCTION("""COMPUTED_VALUE"""),"General")</f>
        <v>General</v>
      </c>
      <c r="J1080" s="8" t="str">
        <f>IFERROR(__xludf.DUMMYFUNCTION("""COMPUTED_VALUE"""),"Dresses")</f>
        <v>Dresses</v>
      </c>
      <c r="K1080" s="8" t="str">
        <f>IFERROR(__xludf.DUMMYFUNCTION("""COMPUTED_VALUE"""),"Dresses")</f>
        <v>Dresses</v>
      </c>
    </row>
    <row r="1081">
      <c r="A1081" s="8">
        <f>IFERROR(__xludf.DUMMYFUNCTION("""COMPUTED_VALUE"""),1429.0)</f>
        <v>1429</v>
      </c>
      <c r="B1081" s="8">
        <f>IFERROR(__xludf.DUMMYFUNCTION("""COMPUTED_VALUE"""),1025.0)</f>
        <v>1025</v>
      </c>
      <c r="C1081" s="8">
        <f>IFERROR(__xludf.DUMMYFUNCTION("""COMPUTED_VALUE"""),34.0)</f>
        <v>34</v>
      </c>
      <c r="D1081" s="8" t="str">
        <f>IFERROR(__xludf.DUMMYFUNCTION("""COMPUTED_VALUE"""),"They keep their shape")</f>
        <v>They keep their shape</v>
      </c>
      <c r="E1081" s="8" t="str">
        <f>IFERROR(__xludf.DUMMYFUNCTION("""COMPUTED_VALUE"""),"I'm a big fan of paige jeans. these are perfect for my petite frame. at 5""3' they were ankle length. i tried my normal paige size and ultimately sized up for a better fit at the waist.")</f>
        <v>I'm a big fan of paige jeans. these are perfect for my petite frame. at 5"3' they were ankle length. i tried my normal paige size and ultimately sized up for a better fit at the waist.</v>
      </c>
      <c r="F1081" s="8">
        <f>IFERROR(__xludf.DUMMYFUNCTION("""COMPUTED_VALUE"""),4.0)</f>
        <v>4</v>
      </c>
      <c r="G1081" s="8">
        <f>IFERROR(__xludf.DUMMYFUNCTION("""COMPUTED_VALUE"""),1.0)</f>
        <v>1</v>
      </c>
      <c r="H1081" s="8">
        <f>IFERROR(__xludf.DUMMYFUNCTION("""COMPUTED_VALUE"""),2.0)</f>
        <v>2</v>
      </c>
      <c r="I1081" s="8" t="str">
        <f>IFERROR(__xludf.DUMMYFUNCTION("""COMPUTED_VALUE"""),"General Petite")</f>
        <v>General Petite</v>
      </c>
      <c r="J1081" s="8" t="str">
        <f>IFERROR(__xludf.DUMMYFUNCTION("""COMPUTED_VALUE"""),"Bottoms")</f>
        <v>Bottoms</v>
      </c>
      <c r="K1081" s="8" t="str">
        <f>IFERROR(__xludf.DUMMYFUNCTION("""COMPUTED_VALUE"""),"Jeans")</f>
        <v>Jeans</v>
      </c>
    </row>
    <row r="1082">
      <c r="A1082" s="8">
        <f>IFERROR(__xludf.DUMMYFUNCTION("""COMPUTED_VALUE"""),1432.0)</f>
        <v>1432</v>
      </c>
      <c r="B1082" s="8">
        <f>IFERROR(__xludf.DUMMYFUNCTION("""COMPUTED_VALUE"""),1094.0)</f>
        <v>1094</v>
      </c>
      <c r="C1082" s="8">
        <f>IFERROR(__xludf.DUMMYFUNCTION("""COMPUTED_VALUE"""),48.0)</f>
        <v>48</v>
      </c>
      <c r="D1082" s="8" t="str">
        <f>IFERROR(__xludf.DUMMYFUNCTION("""COMPUTED_VALUE"""),"Gorgeous")</f>
        <v>Gorgeous</v>
      </c>
      <c r="E1082" s="8" t="str">
        <f>IFERROR(__xludf.DUMMYFUNCTION("""COMPUTED_VALUE"""),"I am so glad i tried this dress on. it is so chic and beautiful! perfect for an evening out or during the day. i can't believe the price!")</f>
        <v>I am so glad i tried this dress on. it is so chic and beautiful! perfect for an evening out or during the day. i can't believe the price!</v>
      </c>
      <c r="F1082" s="8">
        <f>IFERROR(__xludf.DUMMYFUNCTION("""COMPUTED_VALUE"""),5.0)</f>
        <v>5</v>
      </c>
      <c r="G1082" s="8">
        <f>IFERROR(__xludf.DUMMYFUNCTION("""COMPUTED_VALUE"""),1.0)</f>
        <v>1</v>
      </c>
      <c r="H1082" s="8">
        <f>IFERROR(__xludf.DUMMYFUNCTION("""COMPUTED_VALUE"""),0.0)</f>
        <v>0</v>
      </c>
      <c r="I1082" s="8" t="str">
        <f>IFERROR(__xludf.DUMMYFUNCTION("""COMPUTED_VALUE"""),"General")</f>
        <v>General</v>
      </c>
      <c r="J1082" s="8" t="str">
        <f>IFERROR(__xludf.DUMMYFUNCTION("""COMPUTED_VALUE"""),"Dresses")</f>
        <v>Dresses</v>
      </c>
      <c r="K1082" s="8" t="str">
        <f>IFERROR(__xludf.DUMMYFUNCTION("""COMPUTED_VALUE"""),"Dresses")</f>
        <v>Dresses</v>
      </c>
    </row>
    <row r="1083">
      <c r="A1083" s="8">
        <f>IFERROR(__xludf.DUMMYFUNCTION("""COMPUTED_VALUE"""),1435.0)</f>
        <v>1435</v>
      </c>
      <c r="B1083" s="8">
        <f>IFERROR(__xludf.DUMMYFUNCTION("""COMPUTED_VALUE"""),1094.0)</f>
        <v>1094</v>
      </c>
      <c r="C1083" s="8">
        <f>IFERROR(__xludf.DUMMYFUNCTION("""COMPUTED_VALUE"""),33.0)</f>
        <v>33</v>
      </c>
      <c r="D1083" s="8" t="str">
        <f>IFERROR(__xludf.DUMMYFUNCTION("""COMPUTED_VALUE"""),"Great summer dress")</f>
        <v>Great summer dress</v>
      </c>
      <c r="E1083" s="8" t="str">
        <f>IFERROR(__xludf.DUMMYFUNCTION("""COMPUTED_VALUE"""),"I tried this on in store and was very close to purchasing, but ultimately decided against it because it was too in between causal and dressy to me. i couldn't imagine where i would wear the dress. it was great quality and the green color was very pretty o"&amp;"n. you could find a way to wear a bra with the dress.")</f>
        <v>I tried this on in store and was very close to purchasing, but ultimately decided against it because it was too in between causal and dressy to me. i couldn't imagine where i would wear the dress. it was great quality and the green color was very pretty on. you could find a way to wear a bra with the dress.</v>
      </c>
      <c r="F1083" s="8">
        <f>IFERROR(__xludf.DUMMYFUNCTION("""COMPUTED_VALUE"""),4.0)</f>
        <v>4</v>
      </c>
      <c r="G1083" s="8">
        <f>IFERROR(__xludf.DUMMYFUNCTION("""COMPUTED_VALUE"""),1.0)</f>
        <v>1</v>
      </c>
      <c r="H1083" s="8">
        <f>IFERROR(__xludf.DUMMYFUNCTION("""COMPUTED_VALUE"""),0.0)</f>
        <v>0</v>
      </c>
      <c r="I1083" s="8" t="str">
        <f>IFERROR(__xludf.DUMMYFUNCTION("""COMPUTED_VALUE"""),"General")</f>
        <v>General</v>
      </c>
      <c r="J1083" s="8" t="str">
        <f>IFERROR(__xludf.DUMMYFUNCTION("""COMPUTED_VALUE"""),"Dresses")</f>
        <v>Dresses</v>
      </c>
      <c r="K1083" s="8" t="str">
        <f>IFERROR(__xludf.DUMMYFUNCTION("""COMPUTED_VALUE"""),"Dresses")</f>
        <v>Dresses</v>
      </c>
    </row>
    <row r="1084">
      <c r="A1084" s="8">
        <f>IFERROR(__xludf.DUMMYFUNCTION("""COMPUTED_VALUE"""),1436.0)</f>
        <v>1436</v>
      </c>
      <c r="B1084" s="8">
        <f>IFERROR(__xludf.DUMMYFUNCTION("""COMPUTED_VALUE"""),442.0)</f>
        <v>442</v>
      </c>
      <c r="C1084" s="8">
        <f>IFERROR(__xludf.DUMMYFUNCTION("""COMPUTED_VALUE"""),53.0)</f>
        <v>53</v>
      </c>
      <c r="D1084" s="8" t="str">
        <f>IFERROR(__xludf.DUMMYFUNCTION("""COMPUTED_VALUE"""),"Summer and spring go to tunic")</f>
        <v>Summer and spring go to tunic</v>
      </c>
      <c r="E1084" s="8" t="str">
        <f>IFERROR(__xludf.DUMMYFUNCTION("""COMPUTED_VALUE"""),"I love this! i will sport it in the spring with white capris/ leggings and awesome for a beach cover-up! the fit is comfy the embroidery gives it a feminine touch. i purchased the large but could've gotten away with a slender fit in medium. i am 5'4 170 l"&amp;"bs.")</f>
        <v>I love this! i will sport it in the spring with white capris/ leggings and awesome for a beach cover-up! the fit is comfy the embroidery gives it a feminine touch. i purchased the large but could've gotten away with a slender fit in medium. i am 5'4 170 lbs.</v>
      </c>
      <c r="F1084" s="8">
        <f>IFERROR(__xludf.DUMMYFUNCTION("""COMPUTED_VALUE"""),5.0)</f>
        <v>5</v>
      </c>
      <c r="G1084" s="8">
        <f>IFERROR(__xludf.DUMMYFUNCTION("""COMPUTED_VALUE"""),1.0)</f>
        <v>1</v>
      </c>
      <c r="H1084" s="8">
        <f>IFERROR(__xludf.DUMMYFUNCTION("""COMPUTED_VALUE"""),1.0)</f>
        <v>1</v>
      </c>
      <c r="I1084" s="8" t="str">
        <f>IFERROR(__xludf.DUMMYFUNCTION("""COMPUTED_VALUE"""),"Initmates")</f>
        <v>Initmates</v>
      </c>
      <c r="J1084" s="8" t="str">
        <f>IFERROR(__xludf.DUMMYFUNCTION("""COMPUTED_VALUE"""),"Intimate")</f>
        <v>Intimate</v>
      </c>
      <c r="K1084" s="8" t="str">
        <f>IFERROR(__xludf.DUMMYFUNCTION("""COMPUTED_VALUE"""),"Swim")</f>
        <v>Swim</v>
      </c>
    </row>
    <row r="1085">
      <c r="A1085" s="8">
        <f>IFERROR(__xludf.DUMMYFUNCTION("""COMPUTED_VALUE"""),1437.0)</f>
        <v>1437</v>
      </c>
      <c r="B1085" s="8">
        <f>IFERROR(__xludf.DUMMYFUNCTION("""COMPUTED_VALUE"""),1081.0)</f>
        <v>1081</v>
      </c>
      <c r="C1085" s="8">
        <f>IFERROR(__xludf.DUMMYFUNCTION("""COMPUTED_VALUE"""),52.0)</f>
        <v>52</v>
      </c>
      <c r="D1085" s="8" t="str">
        <f>IFERROR(__xludf.DUMMYFUNCTION("""COMPUTED_VALUE"""),"Great style")</f>
        <v>Great style</v>
      </c>
      <c r="E1085" s="8" t="str">
        <f>IFERROR(__xludf.DUMMYFUNCTION("""COMPUTED_VALUE"""),"I loved this dress and purchased it in my usual m. however, i agree with another reviewer that it is too long for me at least, so i returned this and will buy it in petite instead. if you are shorter (i'm 5'2), the regular length doesn't fall right, the s"&amp;"horter front section falling right at the knee and the longer section falling halfway on my calf . but great style! looking forward to seeing it on me in the petite.")</f>
        <v>I loved this dress and purchased it in my usual m. however, i agree with another reviewer that it is too long for me at least, so i returned this and will buy it in petite instead. if you are shorter (i'm 5'2), the regular length doesn't fall right, the shorter front section falling right at the knee and the longer section falling halfway on my calf . but great style! looking forward to seeing it on me in the petite.</v>
      </c>
      <c r="F1085" s="8">
        <f>IFERROR(__xludf.DUMMYFUNCTION("""COMPUTED_VALUE"""),4.0)</f>
        <v>4</v>
      </c>
      <c r="G1085" s="8">
        <f>IFERROR(__xludf.DUMMYFUNCTION("""COMPUTED_VALUE"""),1.0)</f>
        <v>1</v>
      </c>
      <c r="H1085" s="8">
        <f>IFERROR(__xludf.DUMMYFUNCTION("""COMPUTED_VALUE"""),0.0)</f>
        <v>0</v>
      </c>
      <c r="I1085" s="8" t="str">
        <f>IFERROR(__xludf.DUMMYFUNCTION("""COMPUTED_VALUE"""),"General Petite")</f>
        <v>General Petite</v>
      </c>
      <c r="J1085" s="8" t="str">
        <f>IFERROR(__xludf.DUMMYFUNCTION("""COMPUTED_VALUE"""),"Dresses")</f>
        <v>Dresses</v>
      </c>
      <c r="K1085" s="8" t="str">
        <f>IFERROR(__xludf.DUMMYFUNCTION("""COMPUTED_VALUE"""),"Dresses")</f>
        <v>Dresses</v>
      </c>
    </row>
    <row r="1086">
      <c r="A1086" s="8">
        <f>IFERROR(__xludf.DUMMYFUNCTION("""COMPUTED_VALUE"""),1438.0)</f>
        <v>1438</v>
      </c>
      <c r="B1086" s="8">
        <f>IFERROR(__xludf.DUMMYFUNCTION("""COMPUTED_VALUE"""),1081.0)</f>
        <v>1081</v>
      </c>
      <c r="C1086" s="8">
        <f>IFERROR(__xludf.DUMMYFUNCTION("""COMPUTED_VALUE"""),39.0)</f>
        <v>39</v>
      </c>
      <c r="D1086" s="8" t="str">
        <f>IFERROR(__xludf.DUMMYFUNCTION("""COMPUTED_VALUE"""),"Beautiful casual dress")</f>
        <v>Beautiful casual dress</v>
      </c>
      <c r="E1086" s="8" t="str">
        <f>IFERROR(__xludf.DUMMYFUNCTION("""COMPUTED_VALUE"""),"Love! highly recommend...usually i wait for sale price but this was worth the extra splurge. so flattering!")</f>
        <v>Love! highly recommend...usually i wait for sale price but this was worth the extra splurge. so flattering!</v>
      </c>
      <c r="F1086" s="8">
        <f>IFERROR(__xludf.DUMMYFUNCTION("""COMPUTED_VALUE"""),5.0)</f>
        <v>5</v>
      </c>
      <c r="G1086" s="8">
        <f>IFERROR(__xludf.DUMMYFUNCTION("""COMPUTED_VALUE"""),1.0)</f>
        <v>1</v>
      </c>
      <c r="H1086" s="8">
        <f>IFERROR(__xludf.DUMMYFUNCTION("""COMPUTED_VALUE"""),0.0)</f>
        <v>0</v>
      </c>
      <c r="I1086" s="8" t="str">
        <f>IFERROR(__xludf.DUMMYFUNCTION("""COMPUTED_VALUE"""),"General Petite")</f>
        <v>General Petite</v>
      </c>
      <c r="J1086" s="8" t="str">
        <f>IFERROR(__xludf.DUMMYFUNCTION("""COMPUTED_VALUE"""),"Dresses")</f>
        <v>Dresses</v>
      </c>
      <c r="K1086" s="8" t="str">
        <f>IFERROR(__xludf.DUMMYFUNCTION("""COMPUTED_VALUE"""),"Dresses")</f>
        <v>Dresses</v>
      </c>
    </row>
    <row r="1087">
      <c r="A1087" s="8">
        <f>IFERROR(__xludf.DUMMYFUNCTION("""COMPUTED_VALUE"""),1439.0)</f>
        <v>1439</v>
      </c>
      <c r="B1087" s="8">
        <f>IFERROR(__xludf.DUMMYFUNCTION("""COMPUTED_VALUE"""),1081.0)</f>
        <v>1081</v>
      </c>
      <c r="C1087" s="8">
        <f>IFERROR(__xludf.DUMMYFUNCTION("""COMPUTED_VALUE"""),51.0)</f>
        <v>51</v>
      </c>
      <c r="D1087" s="8" t="str">
        <f>IFERROR(__xludf.DUMMYFUNCTION("""COMPUTED_VALUE"""),"Perfect and easy to wear dress")</f>
        <v>Perfect and easy to wear dress</v>
      </c>
      <c r="E1087" s="8" t="str">
        <f>IFERROR(__xludf.DUMMYFUNCTION("""COMPUTED_VALUE"""),"This is a great dress for all body types. the fabric is substantial and soft.  i sized down for a closer fit, but i could have also bought my usual medium and had the extra space to belt it and wear a looser fit. i busted out the boots, a little early, an"&amp;"d the outfit was done.  super easy to wear, dressed up or dressed down.  totally worth the price, i'm glad i didn't wait until it went on sale for fear of selling out.")</f>
        <v>This is a great dress for all body types. the fabric is substantial and soft.  i sized down for a closer fit, but i could have also bought my usual medium and had the extra space to belt it and wear a looser fit. i busted out the boots, a little early, and the outfit was done.  super easy to wear, dressed up or dressed down.  totally worth the price, i'm glad i didn't wait until it went on sale for fear of selling out.</v>
      </c>
      <c r="F1087" s="8">
        <f>IFERROR(__xludf.DUMMYFUNCTION("""COMPUTED_VALUE"""),5.0)</f>
        <v>5</v>
      </c>
      <c r="G1087" s="8">
        <f>IFERROR(__xludf.DUMMYFUNCTION("""COMPUTED_VALUE"""),1.0)</f>
        <v>1</v>
      </c>
      <c r="H1087" s="8">
        <f>IFERROR(__xludf.DUMMYFUNCTION("""COMPUTED_VALUE"""),0.0)</f>
        <v>0</v>
      </c>
      <c r="I1087" s="8" t="str">
        <f>IFERROR(__xludf.DUMMYFUNCTION("""COMPUTED_VALUE"""),"General Petite")</f>
        <v>General Petite</v>
      </c>
      <c r="J1087" s="8" t="str">
        <f>IFERROR(__xludf.DUMMYFUNCTION("""COMPUTED_VALUE"""),"Dresses")</f>
        <v>Dresses</v>
      </c>
      <c r="K1087" s="8" t="str">
        <f>IFERROR(__xludf.DUMMYFUNCTION("""COMPUTED_VALUE"""),"Dresses")</f>
        <v>Dresses</v>
      </c>
    </row>
    <row r="1088">
      <c r="A1088" s="8">
        <f>IFERROR(__xludf.DUMMYFUNCTION("""COMPUTED_VALUE"""),1441.0)</f>
        <v>1441</v>
      </c>
      <c r="B1088" s="8">
        <f>IFERROR(__xludf.DUMMYFUNCTION("""COMPUTED_VALUE"""),1081.0)</f>
        <v>1081</v>
      </c>
      <c r="C1088" s="8">
        <f>IFERROR(__xludf.DUMMYFUNCTION("""COMPUTED_VALUE"""),43.0)</f>
        <v>43</v>
      </c>
      <c r="D1088" s="8" t="str">
        <f>IFERROR(__xludf.DUMMYFUNCTION("""COMPUTED_VALUE"""),"Great fall dress")</f>
        <v>Great fall dress</v>
      </c>
      <c r="E1088" s="8" t="str">
        <f>IFERROR(__xludf.DUMMYFUNCTION("""COMPUTED_VALUE"""),"This is a solid well made transistional dress going from late summer to fall. i'm 5'7"" and got the medium and it falls a little above my knee. i could see it being very flattering on many body types. i do think you need to accessorize the dress as it is "&amp;"on the bland side. i bought the plum/brown color and am very happy with it.")</f>
        <v>This is a solid well made transistional dress going from late summer to fall. i'm 5'7" and got the medium and it falls a little above my knee. i could see it being very flattering on many body types. i do think you need to accessorize the dress as it is on the bland side. i bought the plum/brown color and am very happy with it.</v>
      </c>
      <c r="F1088" s="8">
        <f>IFERROR(__xludf.DUMMYFUNCTION("""COMPUTED_VALUE"""),5.0)</f>
        <v>5</v>
      </c>
      <c r="G1088" s="8">
        <f>IFERROR(__xludf.DUMMYFUNCTION("""COMPUTED_VALUE"""),1.0)</f>
        <v>1</v>
      </c>
      <c r="H1088" s="8">
        <f>IFERROR(__xludf.DUMMYFUNCTION("""COMPUTED_VALUE"""),0.0)</f>
        <v>0</v>
      </c>
      <c r="I1088" s="8" t="str">
        <f>IFERROR(__xludf.DUMMYFUNCTION("""COMPUTED_VALUE"""),"General Petite")</f>
        <v>General Petite</v>
      </c>
      <c r="J1088" s="8" t="str">
        <f>IFERROR(__xludf.DUMMYFUNCTION("""COMPUTED_VALUE"""),"Dresses")</f>
        <v>Dresses</v>
      </c>
      <c r="K1088" s="8" t="str">
        <f>IFERROR(__xludf.DUMMYFUNCTION("""COMPUTED_VALUE"""),"Dresses")</f>
        <v>Dresses</v>
      </c>
    </row>
    <row r="1089">
      <c r="A1089" s="8">
        <f>IFERROR(__xludf.DUMMYFUNCTION("""COMPUTED_VALUE"""),1442.0)</f>
        <v>1442</v>
      </c>
      <c r="B1089" s="8">
        <f>IFERROR(__xludf.DUMMYFUNCTION("""COMPUTED_VALUE"""),1025.0)</f>
        <v>1025</v>
      </c>
      <c r="C1089" s="8">
        <f>IFERROR(__xludf.DUMMYFUNCTION("""COMPUTED_VALUE"""),57.0)</f>
        <v>57</v>
      </c>
      <c r="D1089" s="8" t="str">
        <f>IFERROR(__xludf.DUMMYFUNCTION("""COMPUTED_VALUE"""),"Makes my butt look amazing!!")</f>
        <v>Makes my butt look amazing!!</v>
      </c>
      <c r="E1089" s="8" t="str">
        <f>IFERROR(__xludf.DUMMYFUNCTION("""COMPUTED_VALUE"""),"Perfection! i am 5'3""/108 and the size 25 fit me like a glove. beautiful color too!! highly recommend!!")</f>
        <v>Perfection! i am 5'3"/108 and the size 25 fit me like a glove. beautiful color too!! highly recommend!!</v>
      </c>
      <c r="F1089" s="8">
        <f>IFERROR(__xludf.DUMMYFUNCTION("""COMPUTED_VALUE"""),5.0)</f>
        <v>5</v>
      </c>
      <c r="G1089" s="8">
        <f>IFERROR(__xludf.DUMMYFUNCTION("""COMPUTED_VALUE"""),1.0)</f>
        <v>1</v>
      </c>
      <c r="H1089" s="8">
        <f>IFERROR(__xludf.DUMMYFUNCTION("""COMPUTED_VALUE"""),0.0)</f>
        <v>0</v>
      </c>
      <c r="I1089" s="8" t="str">
        <f>IFERROR(__xludf.DUMMYFUNCTION("""COMPUTED_VALUE"""),"General Petite")</f>
        <v>General Petite</v>
      </c>
      <c r="J1089" s="8" t="str">
        <f>IFERROR(__xludf.DUMMYFUNCTION("""COMPUTED_VALUE"""),"Bottoms")</f>
        <v>Bottoms</v>
      </c>
      <c r="K1089" s="8" t="str">
        <f>IFERROR(__xludf.DUMMYFUNCTION("""COMPUTED_VALUE"""),"Jeans")</f>
        <v>Jeans</v>
      </c>
    </row>
    <row r="1090">
      <c r="A1090" s="8">
        <f>IFERROR(__xludf.DUMMYFUNCTION("""COMPUTED_VALUE"""),1443.0)</f>
        <v>1443</v>
      </c>
      <c r="B1090" s="8">
        <f>IFERROR(__xludf.DUMMYFUNCTION("""COMPUTED_VALUE"""),1094.0)</f>
        <v>1094</v>
      </c>
      <c r="C1090" s="8">
        <f>IFERROR(__xludf.DUMMYFUNCTION("""COMPUTED_VALUE"""),39.0)</f>
        <v>39</v>
      </c>
      <c r="D1090" s="8" t="str">
        <f>IFERROR(__xludf.DUMMYFUNCTION("""COMPUTED_VALUE"""),"Not a halter?")</f>
        <v>Not a halter?</v>
      </c>
      <c r="E1090" s="8" t="str">
        <f>IFERROR(__xludf.DUMMYFUNCTION("""COMPUTED_VALUE"""),"Thrilled that this not only fits great on me but i got it at a deep sale price!  all the problems that the negative reviewers had did not apply to me at all.  i'm so glad i gave this a try.  my body is large on top with a square waist, a bit of a tummy, n"&amp;"o hips or bum and the medium petite skimmed over all my flaws and made me look more proportionate.  not sure why this is called halter though.  i am 5'3"" 36dd, wide torso, size 28 jeans, 140#.")</f>
        <v>Thrilled that this not only fits great on me but i got it at a deep sale price!  all the problems that the negative reviewers had did not apply to me at all.  i'm so glad i gave this a try.  my body is large on top with a square waist, a bit of a tummy, no hips or bum and the medium petite skimmed over all my flaws and made me look more proportionate.  not sure why this is called halter though.  i am 5'3" 36dd, wide torso, size 28 jeans, 140#.</v>
      </c>
      <c r="F1090" s="8">
        <f>IFERROR(__xludf.DUMMYFUNCTION("""COMPUTED_VALUE"""),5.0)</f>
        <v>5</v>
      </c>
      <c r="G1090" s="8">
        <f>IFERROR(__xludf.DUMMYFUNCTION("""COMPUTED_VALUE"""),1.0)</f>
        <v>1</v>
      </c>
      <c r="H1090" s="8">
        <f>IFERROR(__xludf.DUMMYFUNCTION("""COMPUTED_VALUE"""),2.0)</f>
        <v>2</v>
      </c>
      <c r="I1090" s="8" t="str">
        <f>IFERROR(__xludf.DUMMYFUNCTION("""COMPUTED_VALUE"""),"General")</f>
        <v>General</v>
      </c>
      <c r="J1090" s="8" t="str">
        <f>IFERROR(__xludf.DUMMYFUNCTION("""COMPUTED_VALUE"""),"Dresses")</f>
        <v>Dresses</v>
      </c>
      <c r="K1090" s="8" t="str">
        <f>IFERROR(__xludf.DUMMYFUNCTION("""COMPUTED_VALUE"""),"Dresses")</f>
        <v>Dresses</v>
      </c>
    </row>
    <row r="1091">
      <c r="A1091" s="8">
        <f>IFERROR(__xludf.DUMMYFUNCTION("""COMPUTED_VALUE"""),1444.0)</f>
        <v>1444</v>
      </c>
      <c r="B1091" s="8">
        <f>IFERROR(__xludf.DUMMYFUNCTION("""COMPUTED_VALUE"""),1094.0)</f>
        <v>1094</v>
      </c>
      <c r="C1091" s="8">
        <f>IFERROR(__xludf.DUMMYFUNCTION("""COMPUTED_VALUE"""),36.0)</f>
        <v>36</v>
      </c>
      <c r="D1091" s="8" t="str">
        <f>IFERROR(__xludf.DUMMYFUNCTION("""COMPUTED_VALUE"""),"Beautiful color and drape")</f>
        <v>Beautiful color and drape</v>
      </c>
      <c r="E1091" s="8" t="str">
        <f>IFERROR(__xludf.DUMMYFUNCTION("""COMPUTED_VALUE"""),"Love the style of this dress (length, hem, waist details, material)! i think it looks best on curvy women due to the waist detail only going part way around. it doesn't give the entire waist definition, which is why it would look best on someone who has a"&amp;" naturally defined waist. this is a pretty unique dress, which is one of the reasons i liked it. i agree with one of the previous reviewers about it being hard to conceal your bra straps. unfortunately for me that is a deal breaker because i rea")</f>
        <v>Love the style of this dress (length, hem, waist details, material)! i think it looks best on curvy women due to the waist detail only going part way around. it doesn't give the entire waist definition, which is why it would look best on someone who has a naturally defined waist. this is a pretty unique dress, which is one of the reasons i liked it. i agree with one of the previous reviewers about it being hard to conceal your bra straps. unfortunately for me that is a deal breaker because i rea</v>
      </c>
      <c r="F1091" s="8">
        <f>IFERROR(__xludf.DUMMYFUNCTION("""COMPUTED_VALUE"""),4.0)</f>
        <v>4</v>
      </c>
      <c r="G1091" s="8">
        <f>IFERROR(__xludf.DUMMYFUNCTION("""COMPUTED_VALUE"""),1.0)</f>
        <v>1</v>
      </c>
      <c r="H1091" s="8">
        <f>IFERROR(__xludf.DUMMYFUNCTION("""COMPUTED_VALUE"""),3.0)</f>
        <v>3</v>
      </c>
      <c r="I1091" s="8" t="str">
        <f>IFERROR(__xludf.DUMMYFUNCTION("""COMPUTED_VALUE"""),"General")</f>
        <v>General</v>
      </c>
      <c r="J1091" s="8" t="str">
        <f>IFERROR(__xludf.DUMMYFUNCTION("""COMPUTED_VALUE"""),"Dresses")</f>
        <v>Dresses</v>
      </c>
      <c r="K1091" s="8" t="str">
        <f>IFERROR(__xludf.DUMMYFUNCTION("""COMPUTED_VALUE"""),"Dresses")</f>
        <v>Dresses</v>
      </c>
    </row>
    <row r="1092">
      <c r="A1092" s="8">
        <f>IFERROR(__xludf.DUMMYFUNCTION("""COMPUTED_VALUE"""),1445.0)</f>
        <v>1445</v>
      </c>
      <c r="B1092" s="8">
        <f>IFERROR(__xludf.DUMMYFUNCTION("""COMPUTED_VALUE"""),1087.0)</f>
        <v>1087</v>
      </c>
      <c r="C1092" s="8">
        <f>IFERROR(__xludf.DUMMYFUNCTION("""COMPUTED_VALUE"""),38.0)</f>
        <v>38</v>
      </c>
      <c r="D1092" s="8" t="str">
        <f>IFERROR(__xludf.DUMMYFUNCTION("""COMPUTED_VALUE"""),"Not a midi on me but still so cute")</f>
        <v>Not a midi on me but still so cute</v>
      </c>
      <c r="E1092" s="8" t="str">
        <f>IFERROR(__xludf.DUMMYFUNCTION("""COMPUTED_VALUE"""),"So i got this on sale and the only size they had was a xs petite. i didn't have my hopes very high but i thought i would give it a shot. the dress came today and it fit great. i am 5""6"" so the petite came just above my knees but the dress is still adora"&amp;"ble. the material and cut is great. this is not what i was looking for but it is a welcome addition.")</f>
        <v>So i got this on sale and the only size they had was a xs petite. i didn't have my hopes very high but i thought i would give it a shot. the dress came today and it fit great. i am 5"6" so the petite came just above my knees but the dress is still adorable. the material and cut is great. this is not what i was looking for but it is a welcome addition.</v>
      </c>
      <c r="F1092" s="8">
        <f>IFERROR(__xludf.DUMMYFUNCTION("""COMPUTED_VALUE"""),5.0)</f>
        <v>5</v>
      </c>
      <c r="G1092" s="8">
        <f>IFERROR(__xludf.DUMMYFUNCTION("""COMPUTED_VALUE"""),1.0)</f>
        <v>1</v>
      </c>
      <c r="H1092" s="8">
        <f>IFERROR(__xludf.DUMMYFUNCTION("""COMPUTED_VALUE"""),0.0)</f>
        <v>0</v>
      </c>
      <c r="I1092" s="8" t="str">
        <f>IFERROR(__xludf.DUMMYFUNCTION("""COMPUTED_VALUE"""),"General")</f>
        <v>General</v>
      </c>
      <c r="J1092" s="8" t="str">
        <f>IFERROR(__xludf.DUMMYFUNCTION("""COMPUTED_VALUE"""),"Dresses")</f>
        <v>Dresses</v>
      </c>
      <c r="K1092" s="8" t="str">
        <f>IFERROR(__xludf.DUMMYFUNCTION("""COMPUTED_VALUE"""),"Dresses")</f>
        <v>Dresses</v>
      </c>
    </row>
    <row r="1093">
      <c r="A1093" s="8">
        <f>IFERROR(__xludf.DUMMYFUNCTION("""COMPUTED_VALUE"""),1446.0)</f>
        <v>1446</v>
      </c>
      <c r="B1093" s="8">
        <f>IFERROR(__xludf.DUMMYFUNCTION("""COMPUTED_VALUE"""),1094.0)</f>
        <v>1094</v>
      </c>
      <c r="C1093" s="8">
        <f>IFERROR(__xludf.DUMMYFUNCTION("""COMPUTED_VALUE"""),59.0)</f>
        <v>59</v>
      </c>
      <c r="D1093" s="8"/>
      <c r="E1093" s="8" t="str">
        <f>IFERROR(__xludf.DUMMYFUNCTION("""COMPUTED_VALUE"""),"This dress is beautiful. it is longer than it looks on the model (i'm 5/5) but drapes beautifully. it is perfect for a wedding or a special event. i love it!")</f>
        <v>This dress is beautiful. it is longer than it looks on the model (i'm 5/5) but drapes beautifully. it is perfect for a wedding or a special event. i love it!</v>
      </c>
      <c r="F1093" s="8">
        <f>IFERROR(__xludf.DUMMYFUNCTION("""COMPUTED_VALUE"""),5.0)</f>
        <v>5</v>
      </c>
      <c r="G1093" s="8">
        <f>IFERROR(__xludf.DUMMYFUNCTION("""COMPUTED_VALUE"""),1.0)</f>
        <v>1</v>
      </c>
      <c r="H1093" s="8">
        <f>IFERROR(__xludf.DUMMYFUNCTION("""COMPUTED_VALUE"""),0.0)</f>
        <v>0</v>
      </c>
      <c r="I1093" s="8" t="str">
        <f>IFERROR(__xludf.DUMMYFUNCTION("""COMPUTED_VALUE"""),"General")</f>
        <v>General</v>
      </c>
      <c r="J1093" s="8" t="str">
        <f>IFERROR(__xludf.DUMMYFUNCTION("""COMPUTED_VALUE"""),"Dresses")</f>
        <v>Dresses</v>
      </c>
      <c r="K1093" s="8" t="str">
        <f>IFERROR(__xludf.DUMMYFUNCTION("""COMPUTED_VALUE"""),"Dresses")</f>
        <v>Dresses</v>
      </c>
    </row>
    <row r="1094">
      <c r="A1094" s="8">
        <f>IFERROR(__xludf.DUMMYFUNCTION("""COMPUTED_VALUE"""),1448.0)</f>
        <v>1448</v>
      </c>
      <c r="B1094" s="8">
        <f>IFERROR(__xludf.DUMMYFUNCTION("""COMPUTED_VALUE"""),1081.0)</f>
        <v>1081</v>
      </c>
      <c r="C1094" s="8">
        <f>IFERROR(__xludf.DUMMYFUNCTION("""COMPUTED_VALUE"""),48.0)</f>
        <v>48</v>
      </c>
      <c r="D1094" s="8" t="str">
        <f>IFERROR(__xludf.DUMMYFUNCTION("""COMPUTED_VALUE"""),"Perfect everyday dress")</f>
        <v>Perfect everyday dress</v>
      </c>
      <c r="E1094" s="8" t="str">
        <f>IFERROR(__xludf.DUMMYFUNCTION("""COMPUTED_VALUE"""),"This dress is super soft and really flattering. i'm 5'2"" and i tried a regular size m in the store and hated it on me, but decided to order a petite m and give it a try and i love it. it's one i've been wearing a lot with ankle boots and all sorts of jac"&amp;"kets. it's great for these fall days that are still warm-ish. would be really cute with tights.")</f>
        <v>This dress is super soft and really flattering. i'm 5'2" and i tried a regular size m in the store and hated it on me, but decided to order a petite m and give it a try and i love it. it's one i've been wearing a lot with ankle boots and all sorts of jackets. it's great for these fall days that are still warm-ish. would be really cute with tights.</v>
      </c>
      <c r="F1094" s="8">
        <f>IFERROR(__xludf.DUMMYFUNCTION("""COMPUTED_VALUE"""),5.0)</f>
        <v>5</v>
      </c>
      <c r="G1094" s="8">
        <f>IFERROR(__xludf.DUMMYFUNCTION("""COMPUTED_VALUE"""),1.0)</f>
        <v>1</v>
      </c>
      <c r="H1094" s="8">
        <f>IFERROR(__xludf.DUMMYFUNCTION("""COMPUTED_VALUE"""),0.0)</f>
        <v>0</v>
      </c>
      <c r="I1094" s="8" t="str">
        <f>IFERROR(__xludf.DUMMYFUNCTION("""COMPUTED_VALUE"""),"General")</f>
        <v>General</v>
      </c>
      <c r="J1094" s="8" t="str">
        <f>IFERROR(__xludf.DUMMYFUNCTION("""COMPUTED_VALUE"""),"Dresses")</f>
        <v>Dresses</v>
      </c>
      <c r="K1094" s="8" t="str">
        <f>IFERROR(__xludf.DUMMYFUNCTION("""COMPUTED_VALUE"""),"Dresses")</f>
        <v>Dresses</v>
      </c>
    </row>
    <row r="1095">
      <c r="A1095" s="8">
        <f>IFERROR(__xludf.DUMMYFUNCTION("""COMPUTED_VALUE"""),1449.0)</f>
        <v>1449</v>
      </c>
      <c r="B1095" s="8">
        <f>IFERROR(__xludf.DUMMYFUNCTION("""COMPUTED_VALUE"""),442.0)</f>
        <v>442</v>
      </c>
      <c r="C1095" s="8">
        <f>IFERROR(__xludf.DUMMYFUNCTION("""COMPUTED_VALUE"""),47.0)</f>
        <v>47</v>
      </c>
      <c r="D1095" s="8" t="str">
        <f>IFERROR(__xludf.DUMMYFUNCTION("""COMPUTED_VALUE"""),"Beautiful embroidery")</f>
        <v>Beautiful embroidery</v>
      </c>
      <c r="E1095" s="8" t="str">
        <f>IFERROR(__xludf.DUMMYFUNCTION("""COMPUTED_VALUE"""),"This cover up has great potential. i love the embroidery. the colors and design are great. however, it has a number of loose strings. it makes me wonder what might happen when i wash it. the fabric is on the thinner side, but it is not see through. the fa"&amp;"bric would be nice for a hot day by the pool. i caught it on sale, so i am keeping it.")</f>
        <v>This cover up has great potential. i love the embroidery. the colors and design are great. however, it has a number of loose strings. it makes me wonder what might happen when i wash it. the fabric is on the thinner side, but it is not see through. the fabric would be nice for a hot day by the pool. i caught it on sale, so i am keeping it.</v>
      </c>
      <c r="F1095" s="8">
        <f>IFERROR(__xludf.DUMMYFUNCTION("""COMPUTED_VALUE"""),4.0)</f>
        <v>4</v>
      </c>
      <c r="G1095" s="8">
        <f>IFERROR(__xludf.DUMMYFUNCTION("""COMPUTED_VALUE"""),1.0)</f>
        <v>1</v>
      </c>
      <c r="H1095" s="8">
        <f>IFERROR(__xludf.DUMMYFUNCTION("""COMPUTED_VALUE"""),0.0)</f>
        <v>0</v>
      </c>
      <c r="I1095" s="8" t="str">
        <f>IFERROR(__xludf.DUMMYFUNCTION("""COMPUTED_VALUE"""),"Initmates")</f>
        <v>Initmates</v>
      </c>
      <c r="J1095" s="8" t="str">
        <f>IFERROR(__xludf.DUMMYFUNCTION("""COMPUTED_VALUE"""),"Intimate")</f>
        <v>Intimate</v>
      </c>
      <c r="K1095" s="8" t="str">
        <f>IFERROR(__xludf.DUMMYFUNCTION("""COMPUTED_VALUE"""),"Swim")</f>
        <v>Swim</v>
      </c>
    </row>
    <row r="1096">
      <c r="A1096" s="8">
        <f>IFERROR(__xludf.DUMMYFUNCTION("""COMPUTED_VALUE"""),1453.0)</f>
        <v>1453</v>
      </c>
      <c r="B1096" s="8">
        <f>IFERROR(__xludf.DUMMYFUNCTION("""COMPUTED_VALUE"""),952.0)</f>
        <v>952</v>
      </c>
      <c r="C1096" s="8">
        <f>IFERROR(__xludf.DUMMYFUNCTION("""COMPUTED_VALUE"""),57.0)</f>
        <v>57</v>
      </c>
      <c r="D1096" s="8"/>
      <c r="E1096" s="8" t="str">
        <f>IFERROR(__xludf.DUMMYFUNCTION("""COMPUTED_VALUE"""),"Love the sweater. the knit has a rich look and the fit is perfect. i paired it with a printed pencil skirt for an eclectic look. strongly recommend to your wardrobe.")</f>
        <v>Love the sweater. the knit has a rich look and the fit is perfect. i paired it with a printed pencil skirt for an eclectic look. strongly recommend to your wardrobe.</v>
      </c>
      <c r="F1096" s="8">
        <f>IFERROR(__xludf.DUMMYFUNCTION("""COMPUTED_VALUE"""),5.0)</f>
        <v>5</v>
      </c>
      <c r="G1096" s="8">
        <f>IFERROR(__xludf.DUMMYFUNCTION("""COMPUTED_VALUE"""),1.0)</f>
        <v>1</v>
      </c>
      <c r="H1096" s="8">
        <f>IFERROR(__xludf.DUMMYFUNCTION("""COMPUTED_VALUE"""),0.0)</f>
        <v>0</v>
      </c>
      <c r="I1096" s="8" t="str">
        <f>IFERROR(__xludf.DUMMYFUNCTION("""COMPUTED_VALUE"""),"General")</f>
        <v>General</v>
      </c>
      <c r="J1096" s="8" t="str">
        <f>IFERROR(__xludf.DUMMYFUNCTION("""COMPUTED_VALUE"""),"Tops")</f>
        <v>Tops</v>
      </c>
      <c r="K1096" s="8" t="str">
        <f>IFERROR(__xludf.DUMMYFUNCTION("""COMPUTED_VALUE"""),"Sweaters")</f>
        <v>Sweaters</v>
      </c>
    </row>
    <row r="1097">
      <c r="A1097" s="8">
        <f>IFERROR(__xludf.DUMMYFUNCTION("""COMPUTED_VALUE"""),1454.0)</f>
        <v>1454</v>
      </c>
      <c r="B1097" s="8">
        <f>IFERROR(__xludf.DUMMYFUNCTION("""COMPUTED_VALUE"""),411.0)</f>
        <v>411</v>
      </c>
      <c r="C1097" s="8">
        <f>IFERROR(__xludf.DUMMYFUNCTION("""COMPUTED_VALUE"""),55.0)</f>
        <v>55</v>
      </c>
      <c r="D1097" s="8"/>
      <c r="E1097" s="8"/>
      <c r="F1097" s="8">
        <f>IFERROR(__xludf.DUMMYFUNCTION("""COMPUTED_VALUE"""),5.0)</f>
        <v>5</v>
      </c>
      <c r="G1097" s="8">
        <f>IFERROR(__xludf.DUMMYFUNCTION("""COMPUTED_VALUE"""),1.0)</f>
        <v>1</v>
      </c>
      <c r="H1097" s="8">
        <f>IFERROR(__xludf.DUMMYFUNCTION("""COMPUTED_VALUE"""),0.0)</f>
        <v>0</v>
      </c>
      <c r="I1097" s="8" t="str">
        <f>IFERROR(__xludf.DUMMYFUNCTION("""COMPUTED_VALUE"""),"Initmates")</f>
        <v>Initmates</v>
      </c>
      <c r="J1097" s="8" t="str">
        <f>IFERROR(__xludf.DUMMYFUNCTION("""COMPUTED_VALUE"""),"Intimate")</f>
        <v>Intimate</v>
      </c>
      <c r="K1097" s="8" t="str">
        <f>IFERROR(__xludf.DUMMYFUNCTION("""COMPUTED_VALUE"""),"Intimates")</f>
        <v>Intimates</v>
      </c>
    </row>
    <row r="1098">
      <c r="A1098" s="8">
        <f>IFERROR(__xludf.DUMMYFUNCTION("""COMPUTED_VALUE"""),1457.0)</f>
        <v>1457</v>
      </c>
      <c r="B1098" s="8">
        <f>IFERROR(__xludf.DUMMYFUNCTION("""COMPUTED_VALUE"""),411.0)</f>
        <v>411</v>
      </c>
      <c r="C1098" s="8">
        <f>IFERROR(__xludf.DUMMYFUNCTION("""COMPUTED_VALUE"""),37.0)</f>
        <v>37</v>
      </c>
      <c r="D1098" s="8" t="str">
        <f>IFERROR(__xludf.DUMMYFUNCTION("""COMPUTED_VALUE"""),"Best strapless ever")</f>
        <v>Best strapless ever</v>
      </c>
      <c r="E1098" s="8" t="str">
        <f>IFERROR(__xludf.DUMMYFUNCTION("""COMPUTED_VALUE"""),"Hi ladies,
does this bra take a contortionist to put it on the first time? yes. did my boyfriend laugh at me hysterically while i tried to get it over the girls? yes. however, i am a large chested girl 34d, i bought the large and this is honestly the abso"&amp;"lute best, most comfortable, amazing, non hurting/poking best strapless bra i have ever owned. i just bought three more, just in case the first two wear out. i love this, i love how far it comes down on the sides, i love that it doesn't slip do")</f>
        <v>Hi ladies,
does this bra take a contortionist to put it on the first time? yes. did my boyfriend laugh at me hysterically while i tried to get it over the girls? yes. however, i am a large chested girl 34d, i bought the large and this is honestly the absolute best, most comfortable, amazing, non hurting/poking best strapless bra i have ever owned. i just bought three more, just in case the first two wear out. i love this, i love how far it comes down on the sides, i love that it doesn't slip do</v>
      </c>
      <c r="F1098" s="8">
        <f>IFERROR(__xludf.DUMMYFUNCTION("""COMPUTED_VALUE"""),5.0)</f>
        <v>5</v>
      </c>
      <c r="G1098" s="8">
        <f>IFERROR(__xludf.DUMMYFUNCTION("""COMPUTED_VALUE"""),1.0)</f>
        <v>1</v>
      </c>
      <c r="H1098" s="8">
        <f>IFERROR(__xludf.DUMMYFUNCTION("""COMPUTED_VALUE"""),0.0)</f>
        <v>0</v>
      </c>
      <c r="I1098" s="8" t="str">
        <f>IFERROR(__xludf.DUMMYFUNCTION("""COMPUTED_VALUE"""),"Initmates")</f>
        <v>Initmates</v>
      </c>
      <c r="J1098" s="8" t="str">
        <f>IFERROR(__xludf.DUMMYFUNCTION("""COMPUTED_VALUE"""),"Intimate")</f>
        <v>Intimate</v>
      </c>
      <c r="K1098" s="8" t="str">
        <f>IFERROR(__xludf.DUMMYFUNCTION("""COMPUTED_VALUE"""),"Intimates")</f>
        <v>Intimates</v>
      </c>
    </row>
    <row r="1099">
      <c r="A1099" s="8">
        <f>IFERROR(__xludf.DUMMYFUNCTION("""COMPUTED_VALUE"""),1458.0)</f>
        <v>1458</v>
      </c>
      <c r="B1099" s="8">
        <f>IFERROR(__xludf.DUMMYFUNCTION("""COMPUTED_VALUE"""),952.0)</f>
        <v>952</v>
      </c>
      <c r="C1099" s="8">
        <f>IFERROR(__xludf.DUMMYFUNCTION("""COMPUTED_VALUE"""),35.0)</f>
        <v>35</v>
      </c>
      <c r="D1099" s="8" t="str">
        <f>IFERROR(__xludf.DUMMYFUNCTION("""COMPUTED_VALUE"""),"Perfect")</f>
        <v>Perfect</v>
      </c>
      <c r="E1099" s="8" t="str">
        <f>IFERROR(__xludf.DUMMYFUNCTION("""COMPUTED_VALUE"""),"I just got this in the mail &amp; had to immediately write a review. i love it!. i took a risk &amp; ordered the xxs, which i assume is a 00. it fits me perfectly so i would say it runs large. i'm a true dress size 2 but usually wear a 0 or xs in us sizing. the s"&amp;"houlder length from seam to seam is about 14 inches. i'm 32c-24-34. hope this helps!")</f>
        <v>I just got this in the mail &amp; had to immediately write a review. i love it!. i took a risk &amp; ordered the xxs, which i assume is a 00. it fits me perfectly so i would say it runs large. i'm a true dress size 2 but usually wear a 0 or xs in us sizing. the shoulder length from seam to seam is about 14 inches. i'm 32c-24-34. hope this helps!</v>
      </c>
      <c r="F1099" s="8">
        <f>IFERROR(__xludf.DUMMYFUNCTION("""COMPUTED_VALUE"""),5.0)</f>
        <v>5</v>
      </c>
      <c r="G1099" s="8">
        <f>IFERROR(__xludf.DUMMYFUNCTION("""COMPUTED_VALUE"""),1.0)</f>
        <v>1</v>
      </c>
      <c r="H1099" s="8">
        <f>IFERROR(__xludf.DUMMYFUNCTION("""COMPUTED_VALUE"""),0.0)</f>
        <v>0</v>
      </c>
      <c r="I1099" s="8" t="str">
        <f>IFERROR(__xludf.DUMMYFUNCTION("""COMPUTED_VALUE"""),"General")</f>
        <v>General</v>
      </c>
      <c r="J1099" s="8" t="str">
        <f>IFERROR(__xludf.DUMMYFUNCTION("""COMPUTED_VALUE"""),"Tops")</f>
        <v>Tops</v>
      </c>
      <c r="K1099" s="8" t="str">
        <f>IFERROR(__xludf.DUMMYFUNCTION("""COMPUTED_VALUE"""),"Sweaters")</f>
        <v>Sweaters</v>
      </c>
    </row>
    <row r="1100">
      <c r="A1100" s="8">
        <f>IFERROR(__xludf.DUMMYFUNCTION("""COMPUTED_VALUE"""),1459.0)</f>
        <v>1459</v>
      </c>
      <c r="B1100" s="8">
        <f>IFERROR(__xludf.DUMMYFUNCTION("""COMPUTED_VALUE"""),829.0)</f>
        <v>829</v>
      </c>
      <c r="C1100" s="8">
        <f>IFERROR(__xludf.DUMMYFUNCTION("""COMPUTED_VALUE"""),34.0)</f>
        <v>34</v>
      </c>
      <c r="D1100" s="8" t="str">
        <f>IFERROR(__xludf.DUMMYFUNCTION("""COMPUTED_VALUE"""),"Love it")</f>
        <v>Love it</v>
      </c>
      <c r="E1100" s="8" t="str">
        <f>IFERROR(__xludf.DUMMYFUNCTION("""COMPUTED_VALUE"""),"This shirt feels so nice, it's heavier weight and so soft.. i think it's lyocel... such a great drape to the shirt that is so flattering. i am 5'8'' 128lbs and 34c/d and purchased a size 4. found this item to be true to size, if not slightly loose, but i "&amp;"love the flow of it. highly recommend, the green is classic and timeless, very versatile.")</f>
        <v>This shirt feels so nice, it's heavier weight and so soft.. i think it's lyocel... such a great drape to the shirt that is so flattering. i am 5'8'' 128lbs and 34c/d and purchased a size 4. found this item to be true to size, if not slightly loose, but i love the flow of it. highly recommend, the green is classic and timeless, very versatile.</v>
      </c>
      <c r="F1100" s="8">
        <f>IFERROR(__xludf.DUMMYFUNCTION("""COMPUTED_VALUE"""),5.0)</f>
        <v>5</v>
      </c>
      <c r="G1100" s="8">
        <f>IFERROR(__xludf.DUMMYFUNCTION("""COMPUTED_VALUE"""),1.0)</f>
        <v>1</v>
      </c>
      <c r="H1100" s="8">
        <f>IFERROR(__xludf.DUMMYFUNCTION("""COMPUTED_VALUE"""),3.0)</f>
        <v>3</v>
      </c>
      <c r="I1100" s="8" t="str">
        <f>IFERROR(__xludf.DUMMYFUNCTION("""COMPUTED_VALUE"""),"General")</f>
        <v>General</v>
      </c>
      <c r="J1100" s="8" t="str">
        <f>IFERROR(__xludf.DUMMYFUNCTION("""COMPUTED_VALUE"""),"Tops")</f>
        <v>Tops</v>
      </c>
      <c r="K1100" s="8" t="str">
        <f>IFERROR(__xludf.DUMMYFUNCTION("""COMPUTED_VALUE"""),"Blouses")</f>
        <v>Blouses</v>
      </c>
    </row>
    <row r="1101">
      <c r="A1101" s="8">
        <f>IFERROR(__xludf.DUMMYFUNCTION("""COMPUTED_VALUE"""),1460.0)</f>
        <v>1460</v>
      </c>
      <c r="B1101" s="8">
        <f>IFERROR(__xludf.DUMMYFUNCTION("""COMPUTED_VALUE"""),829.0)</f>
        <v>829</v>
      </c>
      <c r="C1101" s="8">
        <f>IFERROR(__xludf.DUMMYFUNCTION("""COMPUTED_VALUE"""),34.0)</f>
        <v>34</v>
      </c>
      <c r="D1101" s="8" t="str">
        <f>IFERROR(__xludf.DUMMYFUNCTION("""COMPUTED_VALUE"""),"Great shirt")</f>
        <v>Great shirt</v>
      </c>
      <c r="E1101" s="8" t="str">
        <f>IFERROR(__xludf.DUMMYFUNCTION("""COMPUTED_VALUE"""),"Love it! the light blue is a gorgeous color. i thought this might be more chambray, but i'm happy it's not. it's also stitched at the top so no awkward accidental peep show or need for annoying tape.")</f>
        <v>Love it! the light blue is a gorgeous color. i thought this might be more chambray, but i'm happy it's not. it's also stitched at the top so no awkward accidental peep show or need for annoying tape.</v>
      </c>
      <c r="F1101" s="8">
        <f>IFERROR(__xludf.DUMMYFUNCTION("""COMPUTED_VALUE"""),5.0)</f>
        <v>5</v>
      </c>
      <c r="G1101" s="8">
        <f>IFERROR(__xludf.DUMMYFUNCTION("""COMPUTED_VALUE"""),1.0)</f>
        <v>1</v>
      </c>
      <c r="H1101" s="8">
        <f>IFERROR(__xludf.DUMMYFUNCTION("""COMPUTED_VALUE"""),3.0)</f>
        <v>3</v>
      </c>
      <c r="I1101" s="8" t="str">
        <f>IFERROR(__xludf.DUMMYFUNCTION("""COMPUTED_VALUE"""),"General")</f>
        <v>General</v>
      </c>
      <c r="J1101" s="8" t="str">
        <f>IFERROR(__xludf.DUMMYFUNCTION("""COMPUTED_VALUE"""),"Tops")</f>
        <v>Tops</v>
      </c>
      <c r="K1101" s="8" t="str">
        <f>IFERROR(__xludf.DUMMYFUNCTION("""COMPUTED_VALUE"""),"Blouses")</f>
        <v>Blouses</v>
      </c>
    </row>
    <row r="1102">
      <c r="A1102" s="8">
        <f>IFERROR(__xludf.DUMMYFUNCTION("""COMPUTED_VALUE"""),1461.0)</f>
        <v>1461</v>
      </c>
      <c r="B1102" s="8">
        <f>IFERROR(__xludf.DUMMYFUNCTION("""COMPUTED_VALUE"""),829.0)</f>
        <v>829</v>
      </c>
      <c r="C1102" s="8">
        <f>IFERROR(__xludf.DUMMYFUNCTION("""COMPUTED_VALUE"""),49.0)</f>
        <v>49</v>
      </c>
      <c r="D1102" s="8" t="str">
        <f>IFERROR(__xludf.DUMMYFUNCTION("""COMPUTED_VALUE"""),"Great purchase")</f>
        <v>Great purchase</v>
      </c>
      <c r="E1102" s="8" t="str">
        <f>IFERROR(__xludf.DUMMYFUNCTION("""COMPUTED_VALUE"""),"Love this top! i bought it last month in the olive green color and love it. great quality fabric, comfortable and can be dressed up or down.")</f>
        <v>Love this top! i bought it last month in the olive green color and love it. great quality fabric, comfortable and can be dressed up or down.</v>
      </c>
      <c r="F1102" s="8">
        <f>IFERROR(__xludf.DUMMYFUNCTION("""COMPUTED_VALUE"""),5.0)</f>
        <v>5</v>
      </c>
      <c r="G1102" s="8">
        <f>IFERROR(__xludf.DUMMYFUNCTION("""COMPUTED_VALUE"""),1.0)</f>
        <v>1</v>
      </c>
      <c r="H1102" s="8">
        <f>IFERROR(__xludf.DUMMYFUNCTION("""COMPUTED_VALUE"""),0.0)</f>
        <v>0</v>
      </c>
      <c r="I1102" s="8" t="str">
        <f>IFERROR(__xludf.DUMMYFUNCTION("""COMPUTED_VALUE"""),"General")</f>
        <v>General</v>
      </c>
      <c r="J1102" s="8" t="str">
        <f>IFERROR(__xludf.DUMMYFUNCTION("""COMPUTED_VALUE"""),"Tops")</f>
        <v>Tops</v>
      </c>
      <c r="K1102" s="8" t="str">
        <f>IFERROR(__xludf.DUMMYFUNCTION("""COMPUTED_VALUE"""),"Blouses")</f>
        <v>Blouses</v>
      </c>
    </row>
    <row r="1103">
      <c r="A1103" s="8">
        <f>IFERROR(__xludf.DUMMYFUNCTION("""COMPUTED_VALUE"""),1465.0)</f>
        <v>1465</v>
      </c>
      <c r="B1103" s="8">
        <f>IFERROR(__xludf.DUMMYFUNCTION("""COMPUTED_VALUE"""),839.0)</f>
        <v>839</v>
      </c>
      <c r="C1103" s="8">
        <f>IFERROR(__xludf.DUMMYFUNCTION("""COMPUTED_VALUE"""),23.0)</f>
        <v>23</v>
      </c>
      <c r="D1103" s="8" t="str">
        <f>IFERROR(__xludf.DUMMYFUNCTION("""COMPUTED_VALUE"""),"Very versatile")</f>
        <v>Very versatile</v>
      </c>
      <c r="E1103" s="8" t="str">
        <f>IFERROR(__xludf.DUMMYFUNCTION("""COMPUTED_VALUE"""),"I love this top, i dress it up when i need to be more professional and i dress it down with a pair of cutoffs when it's warm. it is delicate, however, so i try not to wash it too frequently. the front is a bit boxy, which the model demonstrates. the model"&amp;" really encompasses the crisp whiteness of the shirt, the flow of it and the length.")</f>
        <v>I love this top, i dress it up when i need to be more professional and i dress it down with a pair of cutoffs when it's warm. it is delicate, however, so i try not to wash it too frequently. the front is a bit boxy, which the model demonstrates. the model really encompasses the crisp whiteness of the shirt, the flow of it and the length.</v>
      </c>
      <c r="F1103" s="8">
        <f>IFERROR(__xludf.DUMMYFUNCTION("""COMPUTED_VALUE"""),5.0)</f>
        <v>5</v>
      </c>
      <c r="G1103" s="8">
        <f>IFERROR(__xludf.DUMMYFUNCTION("""COMPUTED_VALUE"""),1.0)</f>
        <v>1</v>
      </c>
      <c r="H1103" s="8">
        <f>IFERROR(__xludf.DUMMYFUNCTION("""COMPUTED_VALUE"""),0.0)</f>
        <v>0</v>
      </c>
      <c r="I1103" s="8" t="str">
        <f>IFERROR(__xludf.DUMMYFUNCTION("""COMPUTED_VALUE"""),"General")</f>
        <v>General</v>
      </c>
      <c r="J1103" s="8" t="str">
        <f>IFERROR(__xludf.DUMMYFUNCTION("""COMPUTED_VALUE"""),"Tops")</f>
        <v>Tops</v>
      </c>
      <c r="K1103" s="8" t="str">
        <f>IFERROR(__xludf.DUMMYFUNCTION("""COMPUTED_VALUE"""),"Blouses")</f>
        <v>Blouses</v>
      </c>
    </row>
    <row r="1104">
      <c r="A1104" s="8">
        <f>IFERROR(__xludf.DUMMYFUNCTION("""COMPUTED_VALUE"""),1466.0)</f>
        <v>1466</v>
      </c>
      <c r="B1104" s="8">
        <f>IFERROR(__xludf.DUMMYFUNCTION("""COMPUTED_VALUE"""),952.0)</f>
        <v>952</v>
      </c>
      <c r="C1104" s="8">
        <f>IFERROR(__xludf.DUMMYFUNCTION("""COMPUTED_VALUE"""),45.0)</f>
        <v>45</v>
      </c>
      <c r="D1104" s="8" t="str">
        <f>IFERROR(__xludf.DUMMYFUNCTION("""COMPUTED_VALUE"""),"Cute but itchy")</f>
        <v>Cute but itchy</v>
      </c>
      <c r="E1104" s="8" t="str">
        <f>IFERROR(__xludf.DUMMYFUNCTION("""COMPUTED_VALUE"""),"Great fit and design but the wool is too itchy and rough. will need a layer underneath")</f>
        <v>Great fit and design but the wool is too itchy and rough. will need a layer underneath</v>
      </c>
      <c r="F1104" s="8">
        <f>IFERROR(__xludf.DUMMYFUNCTION("""COMPUTED_VALUE"""),4.0)</f>
        <v>4</v>
      </c>
      <c r="G1104" s="8">
        <f>IFERROR(__xludf.DUMMYFUNCTION("""COMPUTED_VALUE"""),1.0)</f>
        <v>1</v>
      </c>
      <c r="H1104" s="8">
        <f>IFERROR(__xludf.DUMMYFUNCTION("""COMPUTED_VALUE"""),6.0)</f>
        <v>6</v>
      </c>
      <c r="I1104" s="8" t="str">
        <f>IFERROR(__xludf.DUMMYFUNCTION("""COMPUTED_VALUE"""),"General")</f>
        <v>General</v>
      </c>
      <c r="J1104" s="8" t="str">
        <f>IFERROR(__xludf.DUMMYFUNCTION("""COMPUTED_VALUE"""),"Tops")</f>
        <v>Tops</v>
      </c>
      <c r="K1104" s="8" t="str">
        <f>IFERROR(__xludf.DUMMYFUNCTION("""COMPUTED_VALUE"""),"Sweaters")</f>
        <v>Sweaters</v>
      </c>
    </row>
    <row r="1105">
      <c r="A1105" s="8">
        <f>IFERROR(__xludf.DUMMYFUNCTION("""COMPUTED_VALUE"""),1468.0)</f>
        <v>1468</v>
      </c>
      <c r="B1105" s="8">
        <f>IFERROR(__xludf.DUMMYFUNCTION("""COMPUTED_VALUE"""),411.0)</f>
        <v>411</v>
      </c>
      <c r="C1105" s="8">
        <f>IFERROR(__xludf.DUMMYFUNCTION("""COMPUTED_VALUE"""),41.0)</f>
        <v>41</v>
      </c>
      <c r="D1105" s="8" t="str">
        <f>IFERROR(__xludf.DUMMYFUNCTION("""COMPUTED_VALUE"""),"Comfortable strapless")</f>
        <v>Comfortable strapless</v>
      </c>
      <c r="E1105" s="8" t="str">
        <f>IFERROR(__xludf.DUMMYFUNCTION("""COMPUTED_VALUE"""),"While there us no clasp and this bra does require you to pull it over your head, i did not find it to be too difficult. i love that the bra stays in place and that i do not have to constantly pull it up throughout the day! it's quite comfortable too. i wi"&amp;"sh i had ordered the same bra with the straps too before they sold out of my size!")</f>
        <v>While there us no clasp and this bra does require you to pull it over your head, i did not find it to be too difficult. i love that the bra stays in place and that i do not have to constantly pull it up throughout the day! it's quite comfortable too. i wish i had ordered the same bra with the straps too before they sold out of my size!</v>
      </c>
      <c r="F1105" s="8">
        <f>IFERROR(__xludf.DUMMYFUNCTION("""COMPUTED_VALUE"""),5.0)</f>
        <v>5</v>
      </c>
      <c r="G1105" s="8">
        <f>IFERROR(__xludf.DUMMYFUNCTION("""COMPUTED_VALUE"""),1.0)</f>
        <v>1</v>
      </c>
      <c r="H1105" s="8">
        <f>IFERROR(__xludf.DUMMYFUNCTION("""COMPUTED_VALUE"""),2.0)</f>
        <v>2</v>
      </c>
      <c r="I1105" s="8" t="str">
        <f>IFERROR(__xludf.DUMMYFUNCTION("""COMPUTED_VALUE"""),"Initmates")</f>
        <v>Initmates</v>
      </c>
      <c r="J1105" s="8" t="str">
        <f>IFERROR(__xludf.DUMMYFUNCTION("""COMPUTED_VALUE"""),"Intimate")</f>
        <v>Intimate</v>
      </c>
      <c r="K1105" s="8" t="str">
        <f>IFERROR(__xludf.DUMMYFUNCTION("""COMPUTED_VALUE"""),"Intimates")</f>
        <v>Intimates</v>
      </c>
    </row>
    <row r="1106">
      <c r="A1106" s="8">
        <f>IFERROR(__xludf.DUMMYFUNCTION("""COMPUTED_VALUE"""),1469.0)</f>
        <v>1469</v>
      </c>
      <c r="B1106" s="8">
        <f>IFERROR(__xludf.DUMMYFUNCTION("""COMPUTED_VALUE"""),952.0)</f>
        <v>952</v>
      </c>
      <c r="C1106" s="8">
        <f>IFERROR(__xludf.DUMMYFUNCTION("""COMPUTED_VALUE"""),53.0)</f>
        <v>53</v>
      </c>
      <c r="D1106" s="8" t="str">
        <f>IFERROR(__xludf.DUMMYFUNCTION("""COMPUTED_VALUE"""),"My new favorite pullover")</f>
        <v>My new favorite pullover</v>
      </c>
      <c r="E1106" s="8" t="str">
        <f>IFERROR(__xludf.DUMMYFUNCTION("""COMPUTED_VALUE"""),"Slighty fitted, flattering, very soft and not itchy. the orange is a very nice color.")</f>
        <v>Slighty fitted, flattering, very soft and not itchy. the orange is a very nice color.</v>
      </c>
      <c r="F1106" s="8">
        <f>IFERROR(__xludf.DUMMYFUNCTION("""COMPUTED_VALUE"""),5.0)</f>
        <v>5</v>
      </c>
      <c r="G1106" s="8">
        <f>IFERROR(__xludf.DUMMYFUNCTION("""COMPUTED_VALUE"""),1.0)</f>
        <v>1</v>
      </c>
      <c r="H1106" s="8">
        <f>IFERROR(__xludf.DUMMYFUNCTION("""COMPUTED_VALUE"""),0.0)</f>
        <v>0</v>
      </c>
      <c r="I1106" s="8" t="str">
        <f>IFERROR(__xludf.DUMMYFUNCTION("""COMPUTED_VALUE"""),"General")</f>
        <v>General</v>
      </c>
      <c r="J1106" s="8" t="str">
        <f>IFERROR(__xludf.DUMMYFUNCTION("""COMPUTED_VALUE"""),"Tops")</f>
        <v>Tops</v>
      </c>
      <c r="K1106" s="8" t="str">
        <f>IFERROR(__xludf.DUMMYFUNCTION("""COMPUTED_VALUE"""),"Sweaters")</f>
        <v>Sweaters</v>
      </c>
    </row>
    <row r="1107">
      <c r="A1107" s="8">
        <f>IFERROR(__xludf.DUMMYFUNCTION("""COMPUTED_VALUE"""),1472.0)</f>
        <v>1472</v>
      </c>
      <c r="B1107" s="8">
        <f>IFERROR(__xludf.DUMMYFUNCTION("""COMPUTED_VALUE"""),829.0)</f>
        <v>829</v>
      </c>
      <c r="C1107" s="8">
        <f>IFERROR(__xludf.DUMMYFUNCTION("""COMPUTED_VALUE"""),33.0)</f>
        <v>33</v>
      </c>
      <c r="D1107" s="8" t="str">
        <f>IFERROR(__xludf.DUMMYFUNCTION("""COMPUTED_VALUE"""),"Great top to transition to fall!")</f>
        <v>Great top to transition to fall!</v>
      </c>
      <c r="E1107" s="8" t="str">
        <f>IFERROR(__xludf.DUMMYFUNCTION("""COMPUTED_VALUE"""),"I got tons of compliments when i wore this top out a couple weeks ago. it is a little bit shorter than i thought, and a little bit loose (not ""baggy"" but just kind of hangs). if you have a larger chest, this may not be super-flattering. the color is rea"&amp;"lly pretty and looked great with dark skinnies. i bought my normal size (after trying on a size down, which was just too short...and i'm 5'2)")</f>
        <v>I got tons of compliments when i wore this top out a couple weeks ago. it is a little bit shorter than i thought, and a little bit loose (not "baggy" but just kind of hangs). if you have a larger chest, this may not be super-flattering. the color is really pretty and looked great with dark skinnies. i bought my normal size (after trying on a size down, which was just too short...and i'm 5'2)</v>
      </c>
      <c r="F1107" s="8">
        <f>IFERROR(__xludf.DUMMYFUNCTION("""COMPUTED_VALUE"""),4.0)</f>
        <v>4</v>
      </c>
      <c r="G1107" s="8">
        <f>IFERROR(__xludf.DUMMYFUNCTION("""COMPUTED_VALUE"""),1.0)</f>
        <v>1</v>
      </c>
      <c r="H1107" s="8">
        <f>IFERROR(__xludf.DUMMYFUNCTION("""COMPUTED_VALUE"""),0.0)</f>
        <v>0</v>
      </c>
      <c r="I1107" s="8" t="str">
        <f>IFERROR(__xludf.DUMMYFUNCTION("""COMPUTED_VALUE"""),"General")</f>
        <v>General</v>
      </c>
      <c r="J1107" s="8" t="str">
        <f>IFERROR(__xludf.DUMMYFUNCTION("""COMPUTED_VALUE"""),"Tops")</f>
        <v>Tops</v>
      </c>
      <c r="K1107" s="8" t="str">
        <f>IFERROR(__xludf.DUMMYFUNCTION("""COMPUTED_VALUE"""),"Blouses")</f>
        <v>Blouses</v>
      </c>
    </row>
    <row r="1108">
      <c r="A1108" s="8">
        <f>IFERROR(__xludf.DUMMYFUNCTION("""COMPUTED_VALUE"""),1473.0)</f>
        <v>1473</v>
      </c>
      <c r="B1108" s="8">
        <f>IFERROR(__xludf.DUMMYFUNCTION("""COMPUTED_VALUE"""),829.0)</f>
        <v>829</v>
      </c>
      <c r="C1108" s="8">
        <f>IFERROR(__xludf.DUMMYFUNCTION("""COMPUTED_VALUE"""),28.0)</f>
        <v>28</v>
      </c>
      <c r="D1108" s="8" t="str">
        <f>IFERROR(__xludf.DUMMYFUNCTION("""COMPUTED_VALUE"""),"Nice shirt")</f>
        <v>Nice shirt</v>
      </c>
      <c r="E1108" s="8" t="str">
        <f>IFERROR(__xludf.DUMMYFUNCTION("""COMPUTED_VALUE"""),"I loved the color and the style of the sleeves.  it was a bit too short on me and i thought it made me look boxy so i didn't end up keeping it")</f>
        <v>I loved the color and the style of the sleeves.  it was a bit too short on me and i thought it made me look boxy so i didn't end up keeping it</v>
      </c>
      <c r="F1108" s="8">
        <f>IFERROR(__xludf.DUMMYFUNCTION("""COMPUTED_VALUE"""),4.0)</f>
        <v>4</v>
      </c>
      <c r="G1108" s="8">
        <f>IFERROR(__xludf.DUMMYFUNCTION("""COMPUTED_VALUE"""),1.0)</f>
        <v>1</v>
      </c>
      <c r="H1108" s="8">
        <f>IFERROR(__xludf.DUMMYFUNCTION("""COMPUTED_VALUE"""),0.0)</f>
        <v>0</v>
      </c>
      <c r="I1108" s="8" t="str">
        <f>IFERROR(__xludf.DUMMYFUNCTION("""COMPUTED_VALUE"""),"General")</f>
        <v>General</v>
      </c>
      <c r="J1108" s="8" t="str">
        <f>IFERROR(__xludf.DUMMYFUNCTION("""COMPUTED_VALUE"""),"Tops")</f>
        <v>Tops</v>
      </c>
      <c r="K1108" s="8" t="str">
        <f>IFERROR(__xludf.DUMMYFUNCTION("""COMPUTED_VALUE"""),"Blouses")</f>
        <v>Blouses</v>
      </c>
    </row>
    <row r="1109">
      <c r="A1109" s="8">
        <f>IFERROR(__xludf.DUMMYFUNCTION("""COMPUTED_VALUE"""),1475.0)</f>
        <v>1475</v>
      </c>
      <c r="B1109" s="8">
        <f>IFERROR(__xludf.DUMMYFUNCTION("""COMPUTED_VALUE"""),860.0)</f>
        <v>860</v>
      </c>
      <c r="C1109" s="8">
        <f>IFERROR(__xludf.DUMMYFUNCTION("""COMPUTED_VALUE"""),54.0)</f>
        <v>54</v>
      </c>
      <c r="D1109" s="8" t="str">
        <f>IFERROR(__xludf.DUMMYFUNCTION("""COMPUTED_VALUE"""),"Amazing product")</f>
        <v>Amazing product</v>
      </c>
      <c r="E1109" s="8" t="str">
        <f>IFERROR(__xludf.DUMMYFUNCTION("""COMPUTED_VALUE"""),"This product is comfortable and stylish. i love the design and the color print. i can dresss it up and dress it down. it goes with everything and also fits great.")</f>
        <v>This product is comfortable and stylish. i love the design and the color print. i can dresss it up and dress it down. it goes with everything and also fits great.</v>
      </c>
      <c r="F1109" s="8">
        <f>IFERROR(__xludf.DUMMYFUNCTION("""COMPUTED_VALUE"""),5.0)</f>
        <v>5</v>
      </c>
      <c r="G1109" s="8">
        <f>IFERROR(__xludf.DUMMYFUNCTION("""COMPUTED_VALUE"""),1.0)</f>
        <v>1</v>
      </c>
      <c r="H1109" s="8">
        <f>IFERROR(__xludf.DUMMYFUNCTION("""COMPUTED_VALUE"""),0.0)</f>
        <v>0</v>
      </c>
      <c r="I1109" s="8" t="str">
        <f>IFERROR(__xludf.DUMMYFUNCTION("""COMPUTED_VALUE"""),"General")</f>
        <v>General</v>
      </c>
      <c r="J1109" s="8" t="str">
        <f>IFERROR(__xludf.DUMMYFUNCTION("""COMPUTED_VALUE"""),"Tops")</f>
        <v>Tops</v>
      </c>
      <c r="K1109" s="8" t="str">
        <f>IFERROR(__xludf.DUMMYFUNCTION("""COMPUTED_VALUE"""),"Knits")</f>
        <v>Knits</v>
      </c>
    </row>
    <row r="1110">
      <c r="A1110" s="8">
        <f>IFERROR(__xludf.DUMMYFUNCTION("""COMPUTED_VALUE"""),1476.0)</f>
        <v>1476</v>
      </c>
      <c r="B1110" s="8">
        <f>IFERROR(__xludf.DUMMYFUNCTION("""COMPUTED_VALUE"""),1027.0)</f>
        <v>1027</v>
      </c>
      <c r="C1110" s="8">
        <f>IFERROR(__xludf.DUMMYFUNCTION("""COMPUTED_VALUE"""),39.0)</f>
        <v>39</v>
      </c>
      <c r="D1110" s="8" t="str">
        <f>IFERROR(__xludf.DUMMYFUNCTION("""COMPUTED_VALUE"""),"Best jeans!")</f>
        <v>Best jeans!</v>
      </c>
      <c r="E1110" s="8" t="str">
        <f>IFERROR(__xludf.DUMMYFUNCTION("""COMPUTED_VALUE"""),"I got these on sale a few months ago. they are the most comfortable jeans i've ever owned. i'm 5'4 and they are the perfect length for me but i like my jeans a little long.")</f>
        <v>I got these on sale a few months ago. they are the most comfortable jeans i've ever owned. i'm 5'4 and they are the perfect length for me but i like my jeans a little long.</v>
      </c>
      <c r="F1110" s="8">
        <f>IFERROR(__xludf.DUMMYFUNCTION("""COMPUTED_VALUE"""),5.0)</f>
        <v>5</v>
      </c>
      <c r="G1110" s="8">
        <f>IFERROR(__xludf.DUMMYFUNCTION("""COMPUTED_VALUE"""),1.0)</f>
        <v>1</v>
      </c>
      <c r="H1110" s="8">
        <f>IFERROR(__xludf.DUMMYFUNCTION("""COMPUTED_VALUE"""),0.0)</f>
        <v>0</v>
      </c>
      <c r="I1110" s="8" t="str">
        <f>IFERROR(__xludf.DUMMYFUNCTION("""COMPUTED_VALUE"""),"General")</f>
        <v>General</v>
      </c>
      <c r="J1110" s="8" t="str">
        <f>IFERROR(__xludf.DUMMYFUNCTION("""COMPUTED_VALUE"""),"Bottoms")</f>
        <v>Bottoms</v>
      </c>
      <c r="K1110" s="8" t="str">
        <f>IFERROR(__xludf.DUMMYFUNCTION("""COMPUTED_VALUE"""),"Jeans")</f>
        <v>Jeans</v>
      </c>
    </row>
    <row r="1111">
      <c r="A1111" s="8">
        <f>IFERROR(__xludf.DUMMYFUNCTION("""COMPUTED_VALUE"""),1477.0)</f>
        <v>1477</v>
      </c>
      <c r="B1111" s="8">
        <f>IFERROR(__xludf.DUMMYFUNCTION("""COMPUTED_VALUE"""),1098.0)</f>
        <v>1098</v>
      </c>
      <c r="C1111" s="8">
        <f>IFERROR(__xludf.DUMMYFUNCTION("""COMPUTED_VALUE"""),39.0)</f>
        <v>39</v>
      </c>
      <c r="D1111" s="8" t="str">
        <f>IFERROR(__xludf.DUMMYFUNCTION("""COMPUTED_VALUE"""),"Is this really black?")</f>
        <v>Is this really black?</v>
      </c>
      <c r="E1111" s="8" t="str">
        <f>IFERROR(__xludf.DUMMYFUNCTION("""COMPUTED_VALUE"""),"I had this dress in my basket for a long tiem waiting for free shipping. i liekd how it looked on the model. read the reviews, and wasn't sure, so waited... then my usual size sold out, so i decided ot try the smaller size (in petites, otherwsie i would h"&amp;"ave gotten it in the store :_)) i needed pettie and the smaller size is perfect! the color says black, but it looks more mifnight (aka blue), my friend even said (when i tried it on), you know i laways love anything blue... so don't expect dark")</f>
        <v>I had this dress in my basket for a long tiem waiting for free shipping. i liekd how it looked on the model. read the reviews, and wasn't sure, so waited... then my usual size sold out, so i decided ot try the smaller size (in petites, otherwsie i would have gotten it in the store :_)) i needed pettie and the smaller size is perfect! the color says black, but it looks more mifnight (aka blue), my friend even said (when i tried it on), you know i laways love anything blue... so don't expect dark</v>
      </c>
      <c r="F1111" s="8">
        <f>IFERROR(__xludf.DUMMYFUNCTION("""COMPUTED_VALUE"""),5.0)</f>
        <v>5</v>
      </c>
      <c r="G1111" s="8">
        <f>IFERROR(__xludf.DUMMYFUNCTION("""COMPUTED_VALUE"""),1.0)</f>
        <v>1</v>
      </c>
      <c r="H1111" s="8">
        <f>IFERROR(__xludf.DUMMYFUNCTION("""COMPUTED_VALUE"""),0.0)</f>
        <v>0</v>
      </c>
      <c r="I1111" s="8" t="str">
        <f>IFERROR(__xludf.DUMMYFUNCTION("""COMPUTED_VALUE"""),"General Petite")</f>
        <v>General Petite</v>
      </c>
      <c r="J1111" s="8" t="str">
        <f>IFERROR(__xludf.DUMMYFUNCTION("""COMPUTED_VALUE"""),"Dresses")</f>
        <v>Dresses</v>
      </c>
      <c r="K1111" s="8" t="str">
        <f>IFERROR(__xludf.DUMMYFUNCTION("""COMPUTED_VALUE"""),"Dresses")</f>
        <v>Dresses</v>
      </c>
    </row>
    <row r="1112">
      <c r="A1112" s="8">
        <f>IFERROR(__xludf.DUMMYFUNCTION("""COMPUTED_VALUE"""),1478.0)</f>
        <v>1478</v>
      </c>
      <c r="B1112" s="8">
        <f>IFERROR(__xludf.DUMMYFUNCTION("""COMPUTED_VALUE"""),829.0)</f>
        <v>829</v>
      </c>
      <c r="C1112" s="8">
        <f>IFERROR(__xludf.DUMMYFUNCTION("""COMPUTED_VALUE"""),36.0)</f>
        <v>36</v>
      </c>
      <c r="D1112" s="8" t="str">
        <f>IFERROR(__xludf.DUMMYFUNCTION("""COMPUTED_VALUE"""),"Great fall top")</f>
        <v>Great fall top</v>
      </c>
      <c r="E1112" s="8" t="str">
        <f>IFERROR(__xludf.DUMMYFUNCTION("""COMPUTED_VALUE"""),"Love this top for the fall. looks great with dark skinny jean and booties.")</f>
        <v>Love this top for the fall. looks great with dark skinny jean and booties.</v>
      </c>
      <c r="F1112" s="8">
        <f>IFERROR(__xludf.DUMMYFUNCTION("""COMPUTED_VALUE"""),5.0)</f>
        <v>5</v>
      </c>
      <c r="G1112" s="8">
        <f>IFERROR(__xludf.DUMMYFUNCTION("""COMPUTED_VALUE"""),1.0)</f>
        <v>1</v>
      </c>
      <c r="H1112" s="8">
        <f>IFERROR(__xludf.DUMMYFUNCTION("""COMPUTED_VALUE"""),0.0)</f>
        <v>0</v>
      </c>
      <c r="I1112" s="8" t="str">
        <f>IFERROR(__xludf.DUMMYFUNCTION("""COMPUTED_VALUE"""),"General")</f>
        <v>General</v>
      </c>
      <c r="J1112" s="8" t="str">
        <f>IFERROR(__xludf.DUMMYFUNCTION("""COMPUTED_VALUE"""),"Tops")</f>
        <v>Tops</v>
      </c>
      <c r="K1112" s="8" t="str">
        <f>IFERROR(__xludf.DUMMYFUNCTION("""COMPUTED_VALUE"""),"Blouses")</f>
        <v>Blouses</v>
      </c>
    </row>
    <row r="1113">
      <c r="A1113" s="8">
        <f>IFERROR(__xludf.DUMMYFUNCTION("""COMPUTED_VALUE"""),1479.0)</f>
        <v>1479</v>
      </c>
      <c r="B1113" s="8">
        <f>IFERROR(__xludf.DUMMYFUNCTION("""COMPUTED_VALUE"""),936.0)</f>
        <v>936</v>
      </c>
      <c r="C1113" s="8">
        <f>IFERROR(__xludf.DUMMYFUNCTION("""COMPUTED_VALUE"""),21.0)</f>
        <v>21</v>
      </c>
      <c r="D1113" s="8"/>
      <c r="E1113" s="8" t="str">
        <f>IFERROR(__xludf.DUMMYFUNCTION("""COMPUTED_VALUE"""),"Love this design it puts a twist on a turtle neck sweater. the only problem i had is that the tie kept coming undone but if you do a double knot the problem is solved! wish i would have bought all the other colors.")</f>
        <v>Love this design it puts a twist on a turtle neck sweater. the only problem i had is that the tie kept coming undone but if you do a double knot the problem is solved! wish i would have bought all the other colors.</v>
      </c>
      <c r="F1113" s="8">
        <f>IFERROR(__xludf.DUMMYFUNCTION("""COMPUTED_VALUE"""),5.0)</f>
        <v>5</v>
      </c>
      <c r="G1113" s="8">
        <f>IFERROR(__xludf.DUMMYFUNCTION("""COMPUTED_VALUE"""),1.0)</f>
        <v>1</v>
      </c>
      <c r="H1113" s="8">
        <f>IFERROR(__xludf.DUMMYFUNCTION("""COMPUTED_VALUE"""),0.0)</f>
        <v>0</v>
      </c>
      <c r="I1113" s="8" t="str">
        <f>IFERROR(__xludf.DUMMYFUNCTION("""COMPUTED_VALUE"""),"General")</f>
        <v>General</v>
      </c>
      <c r="J1113" s="8" t="str">
        <f>IFERROR(__xludf.DUMMYFUNCTION("""COMPUTED_VALUE"""),"Tops")</f>
        <v>Tops</v>
      </c>
      <c r="K1113" s="8" t="str">
        <f>IFERROR(__xludf.DUMMYFUNCTION("""COMPUTED_VALUE"""),"Sweaters")</f>
        <v>Sweaters</v>
      </c>
    </row>
    <row r="1114">
      <c r="A1114" s="8">
        <f>IFERROR(__xludf.DUMMYFUNCTION("""COMPUTED_VALUE"""),1480.0)</f>
        <v>1480</v>
      </c>
      <c r="B1114" s="8">
        <f>IFERROR(__xludf.DUMMYFUNCTION("""COMPUTED_VALUE"""),1066.0)</f>
        <v>1066</v>
      </c>
      <c r="C1114" s="8">
        <f>IFERROR(__xludf.DUMMYFUNCTION("""COMPUTED_VALUE"""),26.0)</f>
        <v>26</v>
      </c>
      <c r="D1114" s="8" t="str">
        <f>IFERROR(__xludf.DUMMYFUNCTION("""COMPUTED_VALUE"""),"Loved these!")</f>
        <v>Loved these!</v>
      </c>
      <c r="E1114" s="8" t="str">
        <f>IFERROR(__xludf.DUMMYFUNCTION("""COMPUTED_VALUE"""),"I tried these in store, didn't have much hope as flare usually looks terrible on me (small waist and athletic, fuller legs). but surprisingly these work great. they seem to very good quality and the flare is super cute and on trend. i do think they run a "&amp;"little small. i am almost always a 2/26, but i took these in a 4. they didn't have a 2 in store for me to compare but i think they would have been too tight. highly recommend!")</f>
        <v>I tried these in store, didn't have much hope as flare usually looks terrible on me (small waist and athletic, fuller legs). but surprisingly these work great. they seem to very good quality and the flare is super cute and on trend. i do think they run a little small. i am almost always a 2/26, but i took these in a 4. they didn't have a 2 in store for me to compare but i think they would have been too tight. highly recommend!</v>
      </c>
      <c r="F1114" s="8">
        <f>IFERROR(__xludf.DUMMYFUNCTION("""COMPUTED_VALUE"""),5.0)</f>
        <v>5</v>
      </c>
      <c r="G1114" s="8">
        <f>IFERROR(__xludf.DUMMYFUNCTION("""COMPUTED_VALUE"""),1.0)</f>
        <v>1</v>
      </c>
      <c r="H1114" s="8">
        <f>IFERROR(__xludf.DUMMYFUNCTION("""COMPUTED_VALUE"""),1.0)</f>
        <v>1</v>
      </c>
      <c r="I1114" s="8" t="str">
        <f>IFERROR(__xludf.DUMMYFUNCTION("""COMPUTED_VALUE"""),"General")</f>
        <v>General</v>
      </c>
      <c r="J1114" s="8" t="str">
        <f>IFERROR(__xludf.DUMMYFUNCTION("""COMPUTED_VALUE"""),"Bottoms")</f>
        <v>Bottoms</v>
      </c>
      <c r="K1114" s="8" t="str">
        <f>IFERROR(__xludf.DUMMYFUNCTION("""COMPUTED_VALUE"""),"Pants")</f>
        <v>Pants</v>
      </c>
    </row>
    <row r="1115">
      <c r="A1115" s="8">
        <f>IFERROR(__xludf.DUMMYFUNCTION("""COMPUTED_VALUE"""),1485.0)</f>
        <v>1485</v>
      </c>
      <c r="B1115" s="8">
        <f>IFERROR(__xludf.DUMMYFUNCTION("""COMPUTED_VALUE"""),1098.0)</f>
        <v>1098</v>
      </c>
      <c r="C1115" s="8">
        <f>IFERROR(__xludf.DUMMYFUNCTION("""COMPUTED_VALUE"""),35.0)</f>
        <v>35</v>
      </c>
      <c r="D1115" s="8"/>
      <c r="E1115" s="8"/>
      <c r="F1115" s="8">
        <f>IFERROR(__xludf.DUMMYFUNCTION("""COMPUTED_VALUE"""),5.0)</f>
        <v>5</v>
      </c>
      <c r="G1115" s="8">
        <f>IFERROR(__xludf.DUMMYFUNCTION("""COMPUTED_VALUE"""),1.0)</f>
        <v>1</v>
      </c>
      <c r="H1115" s="8">
        <f>IFERROR(__xludf.DUMMYFUNCTION("""COMPUTED_VALUE"""),0.0)</f>
        <v>0</v>
      </c>
      <c r="I1115" s="8" t="str">
        <f>IFERROR(__xludf.DUMMYFUNCTION("""COMPUTED_VALUE"""),"General Petite")</f>
        <v>General Petite</v>
      </c>
      <c r="J1115" s="8" t="str">
        <f>IFERROR(__xludf.DUMMYFUNCTION("""COMPUTED_VALUE"""),"Dresses")</f>
        <v>Dresses</v>
      </c>
      <c r="K1115" s="8" t="str">
        <f>IFERROR(__xludf.DUMMYFUNCTION("""COMPUTED_VALUE"""),"Dresses")</f>
        <v>Dresses</v>
      </c>
    </row>
    <row r="1116">
      <c r="A1116" s="8">
        <f>IFERROR(__xludf.DUMMYFUNCTION("""COMPUTED_VALUE"""),1486.0)</f>
        <v>1486</v>
      </c>
      <c r="B1116" s="8">
        <f>IFERROR(__xludf.DUMMYFUNCTION("""COMPUTED_VALUE"""),949.0)</f>
        <v>949</v>
      </c>
      <c r="C1116" s="8">
        <f>IFERROR(__xludf.DUMMYFUNCTION("""COMPUTED_VALUE"""),70.0)</f>
        <v>70</v>
      </c>
      <c r="D1116" s="8" t="str">
        <f>IFERROR(__xludf.DUMMYFUNCTION("""COMPUTED_VALUE"""),"Versatile jacket")</f>
        <v>Versatile jacket</v>
      </c>
      <c r="E1116" s="8" t="str">
        <f>IFERROR(__xludf.DUMMYFUNCTION("""COMPUTED_VALUE"""),"The sweater coat would be wonderful for cooler weather this fall. i ordered it in medium because the small sizes were sold out. sometimes a medium is the right size depending on the brand. i was disappointed that the coat was so large; i don't think it wi"&amp;"ll work for me even with layers underneath. it's a great design but i may have to return it.")</f>
        <v>The sweater coat would be wonderful for cooler weather this fall. i ordered it in medium because the small sizes were sold out. sometimes a medium is the right size depending on the brand. i was disappointed that the coat was so large; i don't think it will work for me even with layers underneath. it's a great design but i may have to return it.</v>
      </c>
      <c r="F1116" s="8">
        <f>IFERROR(__xludf.DUMMYFUNCTION("""COMPUTED_VALUE"""),4.0)</f>
        <v>4</v>
      </c>
      <c r="G1116" s="8">
        <f>IFERROR(__xludf.DUMMYFUNCTION("""COMPUTED_VALUE"""),1.0)</f>
        <v>1</v>
      </c>
      <c r="H1116" s="8">
        <f>IFERROR(__xludf.DUMMYFUNCTION("""COMPUTED_VALUE"""),1.0)</f>
        <v>1</v>
      </c>
      <c r="I1116" s="8" t="str">
        <f>IFERROR(__xludf.DUMMYFUNCTION("""COMPUTED_VALUE"""),"General Petite")</f>
        <v>General Petite</v>
      </c>
      <c r="J1116" s="8" t="str">
        <f>IFERROR(__xludf.DUMMYFUNCTION("""COMPUTED_VALUE"""),"Tops")</f>
        <v>Tops</v>
      </c>
      <c r="K1116" s="8" t="str">
        <f>IFERROR(__xludf.DUMMYFUNCTION("""COMPUTED_VALUE"""),"Sweaters")</f>
        <v>Sweaters</v>
      </c>
    </row>
    <row r="1117">
      <c r="A1117" s="8">
        <f>IFERROR(__xludf.DUMMYFUNCTION("""COMPUTED_VALUE"""),1487.0)</f>
        <v>1487</v>
      </c>
      <c r="B1117" s="8">
        <f>IFERROR(__xludf.DUMMYFUNCTION("""COMPUTED_VALUE"""),1066.0)</f>
        <v>1066</v>
      </c>
      <c r="C1117" s="8">
        <f>IFERROR(__xludf.DUMMYFUNCTION("""COMPUTED_VALUE"""),39.0)</f>
        <v>39</v>
      </c>
      <c r="D1117" s="8"/>
      <c r="E1117" s="8" t="str">
        <f>IFERROR(__xludf.DUMMYFUNCTION("""COMPUTED_VALUE"""),"Love these pants!!! retailer - please sell more colors and patterns of these! i have a hard time finding work pants that fit right, don't have to be hemmed (i'm 5'3"") and aren't boring. this is just enough pattern to be interesting, but still neutral eno"&amp;"ugh to pair with other things. i bought them full price and would happily do so again for another pattern!")</f>
        <v>Love these pants!!! retailer - please sell more colors and patterns of these! i have a hard time finding work pants that fit right, don't have to be hemmed (i'm 5'3") and aren't boring. this is just enough pattern to be interesting, but still neutral enough to pair with other things. i bought them full price and would happily do so again for another pattern!</v>
      </c>
      <c r="F1117" s="8">
        <f>IFERROR(__xludf.DUMMYFUNCTION("""COMPUTED_VALUE"""),5.0)</f>
        <v>5</v>
      </c>
      <c r="G1117" s="8">
        <f>IFERROR(__xludf.DUMMYFUNCTION("""COMPUTED_VALUE"""),1.0)</f>
        <v>1</v>
      </c>
      <c r="H1117" s="8">
        <f>IFERROR(__xludf.DUMMYFUNCTION("""COMPUTED_VALUE"""),0.0)</f>
        <v>0</v>
      </c>
      <c r="I1117" s="8" t="str">
        <f>IFERROR(__xludf.DUMMYFUNCTION("""COMPUTED_VALUE"""),"General")</f>
        <v>General</v>
      </c>
      <c r="J1117" s="8" t="str">
        <f>IFERROR(__xludf.DUMMYFUNCTION("""COMPUTED_VALUE"""),"Bottoms")</f>
        <v>Bottoms</v>
      </c>
      <c r="K1117" s="8" t="str">
        <f>IFERROR(__xludf.DUMMYFUNCTION("""COMPUTED_VALUE"""),"Pants")</f>
        <v>Pants</v>
      </c>
    </row>
    <row r="1118">
      <c r="A1118" s="8">
        <f>IFERROR(__xludf.DUMMYFUNCTION("""COMPUTED_VALUE"""),1489.0)</f>
        <v>1489</v>
      </c>
      <c r="B1118" s="8">
        <f>IFERROR(__xludf.DUMMYFUNCTION("""COMPUTED_VALUE"""),829.0)</f>
        <v>829</v>
      </c>
      <c r="C1118" s="8">
        <f>IFERROR(__xludf.DUMMYFUNCTION("""COMPUTED_VALUE"""),36.0)</f>
        <v>36</v>
      </c>
      <c r="D1118" s="8" t="str">
        <f>IFERROR(__xludf.DUMMYFUNCTION("""COMPUTED_VALUE"""),"Great top for everyday wear!")</f>
        <v>Great top for everyday wear!</v>
      </c>
      <c r="E1118" s="8" t="str">
        <f>IFERROR(__xludf.DUMMYFUNCTION("""COMPUTED_VALUE"""),"This is a very well made top. i love everything about this top! bought it in both colors. i think it's fancy enough to wear out at night or in the daytime with shorts and flip flops. i got it on sale but would have totally paid regular price for it!")</f>
        <v>This is a very well made top. i love everything about this top! bought it in both colors. i think it's fancy enough to wear out at night or in the daytime with shorts and flip flops. i got it on sale but would have totally paid regular price for it!</v>
      </c>
      <c r="F1118" s="8">
        <f>IFERROR(__xludf.DUMMYFUNCTION("""COMPUTED_VALUE"""),5.0)</f>
        <v>5</v>
      </c>
      <c r="G1118" s="8">
        <f>IFERROR(__xludf.DUMMYFUNCTION("""COMPUTED_VALUE"""),1.0)</f>
        <v>1</v>
      </c>
      <c r="H1118" s="8">
        <f>IFERROR(__xludf.DUMMYFUNCTION("""COMPUTED_VALUE"""),0.0)</f>
        <v>0</v>
      </c>
      <c r="I1118" s="8" t="str">
        <f>IFERROR(__xludf.DUMMYFUNCTION("""COMPUTED_VALUE"""),"General Petite")</f>
        <v>General Petite</v>
      </c>
      <c r="J1118" s="8" t="str">
        <f>IFERROR(__xludf.DUMMYFUNCTION("""COMPUTED_VALUE"""),"Tops")</f>
        <v>Tops</v>
      </c>
      <c r="K1118" s="8" t="str">
        <f>IFERROR(__xludf.DUMMYFUNCTION("""COMPUTED_VALUE"""),"Blouses")</f>
        <v>Blouses</v>
      </c>
    </row>
    <row r="1119">
      <c r="A1119" s="8">
        <f>IFERROR(__xludf.DUMMYFUNCTION("""COMPUTED_VALUE"""),1490.0)</f>
        <v>1490</v>
      </c>
      <c r="B1119" s="8">
        <f>IFERROR(__xludf.DUMMYFUNCTION("""COMPUTED_VALUE"""),936.0)</f>
        <v>936</v>
      </c>
      <c r="C1119" s="8">
        <f>IFERROR(__xludf.DUMMYFUNCTION("""COMPUTED_VALUE"""),26.0)</f>
        <v>26</v>
      </c>
      <c r="D1119" s="8" t="str">
        <f>IFERROR(__xludf.DUMMYFUNCTION("""COMPUTED_VALUE"""),"Classic with a twist")</f>
        <v>Classic with a twist</v>
      </c>
      <c r="E1119" s="8" t="str">
        <f>IFERROR(__xludf.DUMMYFUNCTION("""COMPUTED_VALUE"""),"I wish i hadn't waited so long to buy this! the smalls were sold out in grey by the time i finially did, but the medium ended up being totally fine. perfect for a warmer winter, it is pretty thin so i wouldn't trust it on it's own to keep you warm in cold"&amp;" weather, but easily could be layered! i love the fun aspect of the tie front for this sweater as the front tuck is becoming a little tired in my eyes. i love that you can make it shorter or longer or even tuck it in because the ties aren't sewn")</f>
        <v>I wish i hadn't waited so long to buy this! the smalls were sold out in grey by the time i finially did, but the medium ended up being totally fine. perfect for a warmer winter, it is pretty thin so i wouldn't trust it on it's own to keep you warm in cold weather, but easily could be layered! i love the fun aspect of the tie front for this sweater as the front tuck is becoming a little tired in my eyes. i love that you can make it shorter or longer or even tuck it in because the ties aren't sewn</v>
      </c>
      <c r="F1119" s="8">
        <f>IFERROR(__xludf.DUMMYFUNCTION("""COMPUTED_VALUE"""),5.0)</f>
        <v>5</v>
      </c>
      <c r="G1119" s="8">
        <f>IFERROR(__xludf.DUMMYFUNCTION("""COMPUTED_VALUE"""),1.0)</f>
        <v>1</v>
      </c>
      <c r="H1119" s="8">
        <f>IFERROR(__xludf.DUMMYFUNCTION("""COMPUTED_VALUE"""),1.0)</f>
        <v>1</v>
      </c>
      <c r="I1119" s="8" t="str">
        <f>IFERROR(__xludf.DUMMYFUNCTION("""COMPUTED_VALUE"""),"General")</f>
        <v>General</v>
      </c>
      <c r="J1119" s="8" t="str">
        <f>IFERROR(__xludf.DUMMYFUNCTION("""COMPUTED_VALUE"""),"Tops")</f>
        <v>Tops</v>
      </c>
      <c r="K1119" s="8" t="str">
        <f>IFERROR(__xludf.DUMMYFUNCTION("""COMPUTED_VALUE"""),"Sweaters")</f>
        <v>Sweaters</v>
      </c>
    </row>
    <row r="1120">
      <c r="A1120" s="8">
        <f>IFERROR(__xludf.DUMMYFUNCTION("""COMPUTED_VALUE"""),1491.0)</f>
        <v>1491</v>
      </c>
      <c r="B1120" s="8">
        <f>IFERROR(__xludf.DUMMYFUNCTION("""COMPUTED_VALUE"""),936.0)</f>
        <v>936</v>
      </c>
      <c r="C1120" s="8">
        <f>IFERROR(__xludf.DUMMYFUNCTION("""COMPUTED_VALUE"""),78.0)</f>
        <v>78</v>
      </c>
      <c r="D1120" s="8" t="str">
        <f>IFERROR(__xludf.DUMMYFUNCTION("""COMPUTED_VALUE"""),"Stylish, comfortable and affordable!!!!")</f>
        <v>Stylish, comfortable and affordable!!!!</v>
      </c>
      <c r="E1120" s="8" t="str">
        <f>IFERROR(__xludf.DUMMYFUNCTION("""COMPUTED_VALUE"""),"Love this sweater. i have it in cream and ordering navy. it is comfortable and looks great with pants or a skirt. i do not like my sweaters tight so i have a large and love the fit. i am 5' 4'' and weigh 135 and usually buy medium to large.")</f>
        <v>Love this sweater. i have it in cream and ordering navy. it is comfortable and looks great with pants or a skirt. i do not like my sweaters tight so i have a large and love the fit. i am 5' 4'' and weigh 135 and usually buy medium to large.</v>
      </c>
      <c r="F1120" s="8">
        <f>IFERROR(__xludf.DUMMYFUNCTION("""COMPUTED_VALUE"""),5.0)</f>
        <v>5</v>
      </c>
      <c r="G1120" s="8">
        <f>IFERROR(__xludf.DUMMYFUNCTION("""COMPUTED_VALUE"""),1.0)</f>
        <v>1</v>
      </c>
      <c r="H1120" s="8">
        <f>IFERROR(__xludf.DUMMYFUNCTION("""COMPUTED_VALUE"""),2.0)</f>
        <v>2</v>
      </c>
      <c r="I1120" s="8" t="str">
        <f>IFERROR(__xludf.DUMMYFUNCTION("""COMPUTED_VALUE"""),"General")</f>
        <v>General</v>
      </c>
      <c r="J1120" s="8" t="str">
        <f>IFERROR(__xludf.DUMMYFUNCTION("""COMPUTED_VALUE"""),"Tops")</f>
        <v>Tops</v>
      </c>
      <c r="K1120" s="8" t="str">
        <f>IFERROR(__xludf.DUMMYFUNCTION("""COMPUTED_VALUE"""),"Sweaters")</f>
        <v>Sweaters</v>
      </c>
    </row>
    <row r="1121">
      <c r="A1121" s="8">
        <f>IFERROR(__xludf.DUMMYFUNCTION("""COMPUTED_VALUE"""),1492.0)</f>
        <v>1492</v>
      </c>
      <c r="B1121" s="8">
        <f>IFERROR(__xludf.DUMMYFUNCTION("""COMPUTED_VALUE"""),860.0)</f>
        <v>860</v>
      </c>
      <c r="C1121" s="8">
        <f>IFERROR(__xludf.DUMMYFUNCTION("""COMPUTED_VALUE"""),39.0)</f>
        <v>39</v>
      </c>
      <c r="D1121" s="8" t="str">
        <f>IFERROR(__xludf.DUMMYFUNCTION("""COMPUTED_VALUE"""),"So cute!")</f>
        <v>So cute!</v>
      </c>
      <c r="E1121" s="8" t="str">
        <f>IFERROR(__xludf.DUMMYFUNCTION("""COMPUTED_VALUE"""),"I love this! seriously would buy again. i wish it was warmer out so i could wear it")</f>
        <v>I love this! seriously would buy again. i wish it was warmer out so i could wear it</v>
      </c>
      <c r="F1121" s="8">
        <f>IFERROR(__xludf.DUMMYFUNCTION("""COMPUTED_VALUE"""),5.0)</f>
        <v>5</v>
      </c>
      <c r="G1121" s="8">
        <f>IFERROR(__xludf.DUMMYFUNCTION("""COMPUTED_VALUE"""),1.0)</f>
        <v>1</v>
      </c>
      <c r="H1121" s="8">
        <f>IFERROR(__xludf.DUMMYFUNCTION("""COMPUTED_VALUE"""),0.0)</f>
        <v>0</v>
      </c>
      <c r="I1121" s="8" t="str">
        <f>IFERROR(__xludf.DUMMYFUNCTION("""COMPUTED_VALUE"""),"General")</f>
        <v>General</v>
      </c>
      <c r="J1121" s="8" t="str">
        <f>IFERROR(__xludf.DUMMYFUNCTION("""COMPUTED_VALUE"""),"Tops")</f>
        <v>Tops</v>
      </c>
      <c r="K1121" s="8" t="str">
        <f>IFERROR(__xludf.DUMMYFUNCTION("""COMPUTED_VALUE"""),"Knits")</f>
        <v>Knits</v>
      </c>
    </row>
    <row r="1122">
      <c r="A1122" s="8">
        <f>IFERROR(__xludf.DUMMYFUNCTION("""COMPUTED_VALUE"""),1494.0)</f>
        <v>1494</v>
      </c>
      <c r="B1122" s="8">
        <f>IFERROR(__xludf.DUMMYFUNCTION("""COMPUTED_VALUE"""),1066.0)</f>
        <v>1066</v>
      </c>
      <c r="C1122" s="8">
        <f>IFERROR(__xludf.DUMMYFUNCTION("""COMPUTED_VALUE"""),33.0)</f>
        <v>33</v>
      </c>
      <c r="D1122" s="8" t="str">
        <f>IFERROR(__xludf.DUMMYFUNCTION("""COMPUTED_VALUE"""),"Nice fit, nice quality")</f>
        <v>Nice fit, nice quality</v>
      </c>
      <c r="E1122" s="8" t="str">
        <f>IFERROR(__xludf.DUMMYFUNCTION("""COMPUTED_VALUE"""),"I have a small collection of retailer pants for work, and this pair fit neatly into a hole-- i don't have a fun, patterned pair. i am short (5'2"") and definitely needed a petite to get the crop to land in the right spot. my usual 0p fit perfectly up abov"&amp;"e. the flare seems a bit more pronounced on me than in the picture. the fabric is nice quality, smooth and medium weight with a bit of stretch, and i like the fact that these are machine washable. this gal has other things to do with her life besid")</f>
        <v>I have a small collection of retailer pants for work, and this pair fit neatly into a hole-- i don't have a fun, patterned pair. i am short (5'2") and definitely needed a petite to get the crop to land in the right spot. my usual 0p fit perfectly up above. the flare seems a bit more pronounced on me than in the picture. the fabric is nice quality, smooth and medium weight with a bit of stretch, and i like the fact that these are machine washable. this gal has other things to do with her life besid</v>
      </c>
      <c r="F1122" s="8">
        <f>IFERROR(__xludf.DUMMYFUNCTION("""COMPUTED_VALUE"""),5.0)</f>
        <v>5</v>
      </c>
      <c r="G1122" s="8">
        <f>IFERROR(__xludf.DUMMYFUNCTION("""COMPUTED_VALUE"""),1.0)</f>
        <v>1</v>
      </c>
      <c r="H1122" s="8">
        <f>IFERROR(__xludf.DUMMYFUNCTION("""COMPUTED_VALUE"""),5.0)</f>
        <v>5</v>
      </c>
      <c r="I1122" s="8" t="str">
        <f>IFERROR(__xludf.DUMMYFUNCTION("""COMPUTED_VALUE"""),"General")</f>
        <v>General</v>
      </c>
      <c r="J1122" s="8" t="str">
        <f>IFERROR(__xludf.DUMMYFUNCTION("""COMPUTED_VALUE"""),"Bottoms")</f>
        <v>Bottoms</v>
      </c>
      <c r="K1122" s="8" t="str">
        <f>IFERROR(__xludf.DUMMYFUNCTION("""COMPUTED_VALUE"""),"Pants")</f>
        <v>Pants</v>
      </c>
    </row>
    <row r="1123">
      <c r="A1123" s="8">
        <f>IFERROR(__xludf.DUMMYFUNCTION("""COMPUTED_VALUE"""),1497.0)</f>
        <v>1497</v>
      </c>
      <c r="B1123" s="8">
        <f>IFERROR(__xludf.DUMMYFUNCTION("""COMPUTED_VALUE"""),1066.0)</f>
        <v>1066</v>
      </c>
      <c r="C1123" s="8">
        <f>IFERROR(__xludf.DUMMYFUNCTION("""COMPUTED_VALUE"""),41.0)</f>
        <v>41</v>
      </c>
      <c r="D1123" s="8" t="str">
        <f>IFERROR(__xludf.DUMMYFUNCTION("""COMPUTED_VALUE"""),"Perfect work pants!")</f>
        <v>Perfect work pants!</v>
      </c>
      <c r="E1123" s="8" t="str">
        <f>IFERROR(__xludf.DUMMYFUNCTION("""COMPUTED_VALUE"""),"I love these pants so much i even paid full price for them.  i'm going to order them in navy too.  super cute fit.  cute with flats or heels.")</f>
        <v>I love these pants so much i even paid full price for them.  i'm going to order them in navy too.  super cute fit.  cute with flats or heels.</v>
      </c>
      <c r="F1123" s="8">
        <f>IFERROR(__xludf.DUMMYFUNCTION("""COMPUTED_VALUE"""),5.0)</f>
        <v>5</v>
      </c>
      <c r="G1123" s="8">
        <f>IFERROR(__xludf.DUMMYFUNCTION("""COMPUTED_VALUE"""),1.0)</f>
        <v>1</v>
      </c>
      <c r="H1123" s="8">
        <f>IFERROR(__xludf.DUMMYFUNCTION("""COMPUTED_VALUE"""),0.0)</f>
        <v>0</v>
      </c>
      <c r="I1123" s="8" t="str">
        <f>IFERROR(__xludf.DUMMYFUNCTION("""COMPUTED_VALUE"""),"General")</f>
        <v>General</v>
      </c>
      <c r="J1123" s="8" t="str">
        <f>IFERROR(__xludf.DUMMYFUNCTION("""COMPUTED_VALUE"""),"Bottoms")</f>
        <v>Bottoms</v>
      </c>
      <c r="K1123" s="8" t="str">
        <f>IFERROR(__xludf.DUMMYFUNCTION("""COMPUTED_VALUE"""),"Pants")</f>
        <v>Pants</v>
      </c>
    </row>
    <row r="1124">
      <c r="A1124" s="8">
        <f>IFERROR(__xludf.DUMMYFUNCTION("""COMPUTED_VALUE"""),1499.0)</f>
        <v>1499</v>
      </c>
      <c r="B1124" s="8">
        <f>IFERROR(__xludf.DUMMYFUNCTION("""COMPUTED_VALUE"""),829.0)</f>
        <v>829</v>
      </c>
      <c r="C1124" s="8">
        <f>IFERROR(__xludf.DUMMYFUNCTION("""COMPUTED_VALUE"""),44.0)</f>
        <v>44</v>
      </c>
      <c r="D1124" s="8" t="str">
        <f>IFERROR(__xludf.DUMMYFUNCTION("""COMPUTED_VALUE"""),"Subtle beauty")</f>
        <v>Subtle beauty</v>
      </c>
      <c r="E1124" s="8" t="str">
        <f>IFERROR(__xludf.DUMMYFUNCTION("""COMPUTED_VALUE"""),"I stumbled upon this by accident and i thought the turquoise color looks unique so i tried it on, and it was a great fit first time around. i dislike open shoulder blouses because most of them are too open but this one is very sutble which gives it a girl"&amp;" next door sexy look. the material is very soft, the pattern is subtle plaid, and the liner is a plus. size 2 regular fits me very comfortably (i'm 5'2"", 34b, 26 waist, 36 hips). i could size down more but i like the relaxed look like on the mod")</f>
        <v>I stumbled upon this by accident and i thought the turquoise color looks unique so i tried it on, and it was a great fit first time around. i dislike open shoulder blouses because most of them are too open but this one is very sutble which gives it a girl next door sexy look. the material is very soft, the pattern is subtle plaid, and the liner is a plus. size 2 regular fits me very comfortably (i'm 5'2", 34b, 26 waist, 36 hips). i could size down more but i like the relaxed look like on the mod</v>
      </c>
      <c r="F1124" s="8">
        <f>IFERROR(__xludf.DUMMYFUNCTION("""COMPUTED_VALUE"""),5.0)</f>
        <v>5</v>
      </c>
      <c r="G1124" s="8">
        <f>IFERROR(__xludf.DUMMYFUNCTION("""COMPUTED_VALUE"""),1.0)</f>
        <v>1</v>
      </c>
      <c r="H1124" s="8">
        <f>IFERROR(__xludf.DUMMYFUNCTION("""COMPUTED_VALUE"""),4.0)</f>
        <v>4</v>
      </c>
      <c r="I1124" s="8" t="str">
        <f>IFERROR(__xludf.DUMMYFUNCTION("""COMPUTED_VALUE"""),"General Petite")</f>
        <v>General Petite</v>
      </c>
      <c r="J1124" s="8" t="str">
        <f>IFERROR(__xludf.DUMMYFUNCTION("""COMPUTED_VALUE"""),"Tops")</f>
        <v>Tops</v>
      </c>
      <c r="K1124" s="8" t="str">
        <f>IFERROR(__xludf.DUMMYFUNCTION("""COMPUTED_VALUE"""),"Blouses")</f>
        <v>Blouses</v>
      </c>
    </row>
    <row r="1125">
      <c r="A1125" s="8">
        <f>IFERROR(__xludf.DUMMYFUNCTION("""COMPUTED_VALUE"""),1500.0)</f>
        <v>1500</v>
      </c>
      <c r="B1125" s="8">
        <f>IFERROR(__xludf.DUMMYFUNCTION("""COMPUTED_VALUE"""),1003.0)</f>
        <v>1003</v>
      </c>
      <c r="C1125" s="8">
        <f>IFERROR(__xludf.DUMMYFUNCTION("""COMPUTED_VALUE"""),38.0)</f>
        <v>38</v>
      </c>
      <c r="D1125" s="8" t="str">
        <f>IFERROR(__xludf.DUMMYFUNCTION("""COMPUTED_VALUE"""),"Small in the waist")</f>
        <v>Small in the waist</v>
      </c>
      <c r="E1125" s="8" t="str">
        <f>IFERROR(__xludf.DUMMYFUNCTION("""COMPUTED_VALUE"""),"Gorgeous colors on lovely silk skirt. longer on me than in photo, but i'm only 5'4"". i usually wear a size 12 or 32"" waist jeans, but i could not zip up the large. by several inches. i'm not sure if i can possibly cover the waist and still wear it that "&amp;"way. sad because i've had my eye on this for months:(")</f>
        <v>Gorgeous colors on lovely silk skirt. longer on me than in photo, but i'm only 5'4". i usually wear a size 12 or 32" waist jeans, but i could not zip up the large. by several inches. i'm not sure if i can possibly cover the waist and still wear it that way. sad because i've had my eye on this for months:(</v>
      </c>
      <c r="F1125" s="8">
        <f>IFERROR(__xludf.DUMMYFUNCTION("""COMPUTED_VALUE"""),5.0)</f>
        <v>5</v>
      </c>
      <c r="G1125" s="8">
        <f>IFERROR(__xludf.DUMMYFUNCTION("""COMPUTED_VALUE"""),1.0)</f>
        <v>1</v>
      </c>
      <c r="H1125" s="8">
        <f>IFERROR(__xludf.DUMMYFUNCTION("""COMPUTED_VALUE"""),0.0)</f>
        <v>0</v>
      </c>
      <c r="I1125" s="8" t="str">
        <f>IFERROR(__xludf.DUMMYFUNCTION("""COMPUTED_VALUE"""),"General")</f>
        <v>General</v>
      </c>
      <c r="J1125" s="8" t="str">
        <f>IFERROR(__xludf.DUMMYFUNCTION("""COMPUTED_VALUE"""),"Bottoms")</f>
        <v>Bottoms</v>
      </c>
      <c r="K1125" s="8" t="str">
        <f>IFERROR(__xludf.DUMMYFUNCTION("""COMPUTED_VALUE"""),"Skirts")</f>
        <v>Skirts</v>
      </c>
    </row>
    <row r="1126">
      <c r="A1126" s="8">
        <f>IFERROR(__xludf.DUMMYFUNCTION("""COMPUTED_VALUE"""),1501.0)</f>
        <v>1501</v>
      </c>
      <c r="B1126" s="8">
        <f>IFERROR(__xludf.DUMMYFUNCTION("""COMPUTED_VALUE"""),860.0)</f>
        <v>860</v>
      </c>
      <c r="C1126" s="8">
        <f>IFERROR(__xludf.DUMMYFUNCTION("""COMPUTED_VALUE"""),52.0)</f>
        <v>52</v>
      </c>
      <c r="D1126" s="8" t="str">
        <f>IFERROR(__xludf.DUMMYFUNCTION("""COMPUTED_VALUE"""),"~~so very retailer~~")</f>
        <v>~~so very retailer~~</v>
      </c>
      <c r="E1126" s="8" t="str">
        <f>IFERROR(__xludf.DUMMYFUNCTION("""COMPUTED_VALUE"""),"Absolutely beautiful - 
usually don't leave reviews here, but this top (material, beading, style) is so gorgeous i would be remiss if i didn't. i have a short torso, so the peplum hit me above the belly-button. it's very voluminous, but with the right pan"&amp;"ts and heels, it is a perfect outfit. as a full-time student, i'm apt to find retailer expensive - but this purchase was so very much worth it. in terms of sizing- i initially got the s to accommodate my bust (30f) but preferred the xs.")</f>
        <v>Absolutely beautiful - 
usually don't leave reviews here, but this top (material, beading, style) is so gorgeous i would be remiss if i didn't. i have a short torso, so the peplum hit me above the belly-button. it's very voluminous, but with the right pants and heels, it is a perfect outfit. as a full-time student, i'm apt to find retailer expensive - but this purchase was so very much worth it. in terms of sizing- i initially got the s to accommodate my bust (30f) but preferred the xs.</v>
      </c>
      <c r="F1126" s="8">
        <f>IFERROR(__xludf.DUMMYFUNCTION("""COMPUTED_VALUE"""),5.0)</f>
        <v>5</v>
      </c>
      <c r="G1126" s="8">
        <f>IFERROR(__xludf.DUMMYFUNCTION("""COMPUTED_VALUE"""),1.0)</f>
        <v>1</v>
      </c>
      <c r="H1126" s="8">
        <f>IFERROR(__xludf.DUMMYFUNCTION("""COMPUTED_VALUE"""),0.0)</f>
        <v>0</v>
      </c>
      <c r="I1126" s="8" t="str">
        <f>IFERROR(__xludf.DUMMYFUNCTION("""COMPUTED_VALUE"""),"General")</f>
        <v>General</v>
      </c>
      <c r="J1126" s="8" t="str">
        <f>IFERROR(__xludf.DUMMYFUNCTION("""COMPUTED_VALUE"""),"Tops")</f>
        <v>Tops</v>
      </c>
      <c r="K1126" s="8" t="str">
        <f>IFERROR(__xludf.DUMMYFUNCTION("""COMPUTED_VALUE"""),"Knits")</f>
        <v>Knits</v>
      </c>
    </row>
    <row r="1127">
      <c r="A1127" s="8">
        <f>IFERROR(__xludf.DUMMYFUNCTION("""COMPUTED_VALUE"""),1502.0)</f>
        <v>1502</v>
      </c>
      <c r="B1127" s="8">
        <f>IFERROR(__xludf.DUMMYFUNCTION("""COMPUTED_VALUE"""),1008.0)</f>
        <v>1008</v>
      </c>
      <c r="C1127" s="8">
        <f>IFERROR(__xludf.DUMMYFUNCTION("""COMPUTED_VALUE"""),60.0)</f>
        <v>60</v>
      </c>
      <c r="D1127" s="8" t="str">
        <f>IFERROR(__xludf.DUMMYFUNCTION("""COMPUTED_VALUE"""),"My new favorite skirt!")</f>
        <v>My new favorite skirt!</v>
      </c>
      <c r="E1127" s="8" t="str">
        <f>IFERROR(__xludf.DUMMYFUNCTION("""COMPUTED_VALUE"""),"Very cute! waist is a little big for me but overall a pretty good fit.")</f>
        <v>Very cute! waist is a little big for me but overall a pretty good fit.</v>
      </c>
      <c r="F1127" s="8">
        <f>IFERROR(__xludf.DUMMYFUNCTION("""COMPUTED_VALUE"""),5.0)</f>
        <v>5</v>
      </c>
      <c r="G1127" s="8">
        <f>IFERROR(__xludf.DUMMYFUNCTION("""COMPUTED_VALUE"""),1.0)</f>
        <v>1</v>
      </c>
      <c r="H1127" s="8">
        <f>IFERROR(__xludf.DUMMYFUNCTION("""COMPUTED_VALUE"""),0.0)</f>
        <v>0</v>
      </c>
      <c r="I1127" s="8" t="str">
        <f>IFERROR(__xludf.DUMMYFUNCTION("""COMPUTED_VALUE"""),"General")</f>
        <v>General</v>
      </c>
      <c r="J1127" s="8" t="str">
        <f>IFERROR(__xludf.DUMMYFUNCTION("""COMPUTED_VALUE"""),"Bottoms")</f>
        <v>Bottoms</v>
      </c>
      <c r="K1127" s="8" t="str">
        <f>IFERROR(__xludf.DUMMYFUNCTION("""COMPUTED_VALUE"""),"Skirts")</f>
        <v>Skirts</v>
      </c>
    </row>
    <row r="1128">
      <c r="A1128" s="8">
        <f>IFERROR(__xludf.DUMMYFUNCTION("""COMPUTED_VALUE"""),1504.0)</f>
        <v>1504</v>
      </c>
      <c r="B1128" s="8">
        <f>IFERROR(__xludf.DUMMYFUNCTION("""COMPUTED_VALUE"""),927.0)</f>
        <v>927</v>
      </c>
      <c r="C1128" s="8">
        <f>IFERROR(__xludf.DUMMYFUNCTION("""COMPUTED_VALUE"""),44.0)</f>
        <v>44</v>
      </c>
      <c r="D1128" s="8"/>
      <c r="E1128" s="8" t="str">
        <f>IFERROR(__xludf.DUMMYFUNCTION("""COMPUTED_VALUE"""),"Tried this on and loved it! chic, lightweight, warm, cute left as is and cuter belted. ended up letting a friend buy it since it was the last one but will be adding to my iso list for sure!")</f>
        <v>Tried this on and loved it! chic, lightweight, warm, cute left as is and cuter belted. ended up letting a friend buy it since it was the last one but will be adding to my iso list for sure!</v>
      </c>
      <c r="F1128" s="8">
        <f>IFERROR(__xludf.DUMMYFUNCTION("""COMPUTED_VALUE"""),5.0)</f>
        <v>5</v>
      </c>
      <c r="G1128" s="8">
        <f>IFERROR(__xludf.DUMMYFUNCTION("""COMPUTED_VALUE"""),1.0)</f>
        <v>1</v>
      </c>
      <c r="H1128" s="8">
        <f>IFERROR(__xludf.DUMMYFUNCTION("""COMPUTED_VALUE"""),0.0)</f>
        <v>0</v>
      </c>
      <c r="I1128" s="8" t="str">
        <f>IFERROR(__xludf.DUMMYFUNCTION("""COMPUTED_VALUE"""),"General")</f>
        <v>General</v>
      </c>
      <c r="J1128" s="8" t="str">
        <f>IFERROR(__xludf.DUMMYFUNCTION("""COMPUTED_VALUE"""),"Tops")</f>
        <v>Tops</v>
      </c>
      <c r="K1128" s="8" t="str">
        <f>IFERROR(__xludf.DUMMYFUNCTION("""COMPUTED_VALUE"""),"Sweaters")</f>
        <v>Sweaters</v>
      </c>
    </row>
    <row r="1129">
      <c r="A1129" s="8">
        <f>IFERROR(__xludf.DUMMYFUNCTION("""COMPUTED_VALUE"""),1506.0)</f>
        <v>1506</v>
      </c>
      <c r="B1129" s="8">
        <f>IFERROR(__xludf.DUMMYFUNCTION("""COMPUTED_VALUE"""),831.0)</f>
        <v>831</v>
      </c>
      <c r="C1129" s="8">
        <f>IFERROR(__xludf.DUMMYFUNCTION("""COMPUTED_VALUE"""),41.0)</f>
        <v>41</v>
      </c>
      <c r="D1129" s="8"/>
      <c r="E1129" s="8" t="str">
        <f>IFERROR(__xludf.DUMMYFUNCTION("""COMPUTED_VALUE"""),"I love this shirt! i was surprised by the other reviews. it's boxy, but not unflattering. i get so many compliments on this. a steal for the price.")</f>
        <v>I love this shirt! i was surprised by the other reviews. it's boxy, but not unflattering. i get so many compliments on this. a steal for the price.</v>
      </c>
      <c r="F1129" s="8">
        <f>IFERROR(__xludf.DUMMYFUNCTION("""COMPUTED_VALUE"""),5.0)</f>
        <v>5</v>
      </c>
      <c r="G1129" s="8">
        <f>IFERROR(__xludf.DUMMYFUNCTION("""COMPUTED_VALUE"""),1.0)</f>
        <v>1</v>
      </c>
      <c r="H1129" s="8">
        <f>IFERROR(__xludf.DUMMYFUNCTION("""COMPUTED_VALUE"""),0.0)</f>
        <v>0</v>
      </c>
      <c r="I1129" s="8" t="str">
        <f>IFERROR(__xludf.DUMMYFUNCTION("""COMPUTED_VALUE"""),"General Petite")</f>
        <v>General Petite</v>
      </c>
      <c r="J1129" s="8" t="str">
        <f>IFERROR(__xludf.DUMMYFUNCTION("""COMPUTED_VALUE"""),"Tops")</f>
        <v>Tops</v>
      </c>
      <c r="K1129" s="8" t="str">
        <f>IFERROR(__xludf.DUMMYFUNCTION("""COMPUTED_VALUE"""),"Blouses")</f>
        <v>Blouses</v>
      </c>
    </row>
    <row r="1130">
      <c r="A1130" s="8">
        <f>IFERROR(__xludf.DUMMYFUNCTION("""COMPUTED_VALUE"""),1507.0)</f>
        <v>1507</v>
      </c>
      <c r="B1130" s="8">
        <f>IFERROR(__xludf.DUMMYFUNCTION("""COMPUTED_VALUE"""),1020.0)</f>
        <v>1020</v>
      </c>
      <c r="C1130" s="8">
        <f>IFERROR(__xludf.DUMMYFUNCTION("""COMPUTED_VALUE"""),47.0)</f>
        <v>47</v>
      </c>
      <c r="D1130" s="8" t="str">
        <f>IFERROR(__xludf.DUMMYFUNCTION("""COMPUTED_VALUE"""),"Versatile, great fit, pockets!")</f>
        <v>Versatile, great fit, pockets!</v>
      </c>
      <c r="E1130" s="8" t="str">
        <f>IFERROR(__xludf.DUMMYFUNCTION("""COMPUTED_VALUE"""),"It's rare to find such a great skirt -- flattering, unique design, substantial (denim-like) fabric, something with pockets! this skirt has everything, including an adjustable buckled waist. i love the slight a-line shape, too. for me it fits true to size "&amp;"(the same size i wear in skirts from other brands). i love the colors -- ivory background, cobalt, periwinkle, orange, blush pink, yellow, black. it will be easy to pair with tees or button-down shirts and cute sandals.")</f>
        <v>It's rare to find such a great skirt -- flattering, unique design, substantial (denim-like) fabric, something with pockets! this skirt has everything, including an adjustable buckled waist. i love the slight a-line shape, too. for me it fits true to size (the same size i wear in skirts from other brands). i love the colors -- ivory background, cobalt, periwinkle, orange, blush pink, yellow, black. it will be easy to pair with tees or button-down shirts and cute sandals.</v>
      </c>
      <c r="F1130" s="8">
        <f>IFERROR(__xludf.DUMMYFUNCTION("""COMPUTED_VALUE"""),5.0)</f>
        <v>5</v>
      </c>
      <c r="G1130" s="8">
        <f>IFERROR(__xludf.DUMMYFUNCTION("""COMPUTED_VALUE"""),1.0)</f>
        <v>1</v>
      </c>
      <c r="H1130" s="8">
        <f>IFERROR(__xludf.DUMMYFUNCTION("""COMPUTED_VALUE"""),0.0)</f>
        <v>0</v>
      </c>
      <c r="I1130" s="8" t="str">
        <f>IFERROR(__xludf.DUMMYFUNCTION("""COMPUTED_VALUE"""),"General Petite")</f>
        <v>General Petite</v>
      </c>
      <c r="J1130" s="8" t="str">
        <f>IFERROR(__xludf.DUMMYFUNCTION("""COMPUTED_VALUE"""),"Bottoms")</f>
        <v>Bottoms</v>
      </c>
      <c r="K1130" s="8" t="str">
        <f>IFERROR(__xludf.DUMMYFUNCTION("""COMPUTED_VALUE"""),"Skirts")</f>
        <v>Skirts</v>
      </c>
    </row>
    <row r="1131">
      <c r="A1131" s="8">
        <f>IFERROR(__xludf.DUMMYFUNCTION("""COMPUTED_VALUE"""),1509.0)</f>
        <v>1509</v>
      </c>
      <c r="B1131" s="8">
        <f>IFERROR(__xludf.DUMMYFUNCTION("""COMPUTED_VALUE"""),1020.0)</f>
        <v>1020</v>
      </c>
      <c r="C1131" s="8">
        <f>IFERROR(__xludf.DUMMYFUNCTION("""COMPUTED_VALUE"""),38.0)</f>
        <v>38</v>
      </c>
      <c r="D1131" s="8" t="str">
        <f>IFERROR(__xludf.DUMMYFUNCTION("""COMPUTED_VALUE"""),"Great fit for curves")</f>
        <v>Great fit for curves</v>
      </c>
      <c r="E1131" s="8" t="str">
        <f>IFERROR(__xludf.DUMMYFUNCTION("""COMPUTED_VALUE"""),"This skirt fits my curves so well. the adjustable waist is so helpful for getting the perfect fit. it sits high on me, but i have a very long torso so that didn't bother me and actually made the length more flattering for my shorter legs. the colors are v"&amp;"ibrant and versatile.")</f>
        <v>This skirt fits my curves so well. the adjustable waist is so helpful for getting the perfect fit. it sits high on me, but i have a very long torso so that didn't bother me and actually made the length more flattering for my shorter legs. the colors are vibrant and versatile.</v>
      </c>
      <c r="F1131" s="8">
        <f>IFERROR(__xludf.DUMMYFUNCTION("""COMPUTED_VALUE"""),5.0)</f>
        <v>5</v>
      </c>
      <c r="G1131" s="8">
        <f>IFERROR(__xludf.DUMMYFUNCTION("""COMPUTED_VALUE"""),1.0)</f>
        <v>1</v>
      </c>
      <c r="H1131" s="8">
        <f>IFERROR(__xludf.DUMMYFUNCTION("""COMPUTED_VALUE"""),1.0)</f>
        <v>1</v>
      </c>
      <c r="I1131" s="8" t="str">
        <f>IFERROR(__xludf.DUMMYFUNCTION("""COMPUTED_VALUE"""),"General Petite")</f>
        <v>General Petite</v>
      </c>
      <c r="J1131" s="8" t="str">
        <f>IFERROR(__xludf.DUMMYFUNCTION("""COMPUTED_VALUE"""),"Bottoms")</f>
        <v>Bottoms</v>
      </c>
      <c r="K1131" s="8" t="str">
        <f>IFERROR(__xludf.DUMMYFUNCTION("""COMPUTED_VALUE"""),"Skirts")</f>
        <v>Skirts</v>
      </c>
    </row>
    <row r="1132">
      <c r="A1132" s="8">
        <f>IFERROR(__xludf.DUMMYFUNCTION("""COMPUTED_VALUE"""),1511.0)</f>
        <v>1511</v>
      </c>
      <c r="B1132" s="8">
        <f>IFERROR(__xludf.DUMMYFUNCTION("""COMPUTED_VALUE"""),1080.0)</f>
        <v>1080</v>
      </c>
      <c r="C1132" s="8">
        <f>IFERROR(__xludf.DUMMYFUNCTION("""COMPUTED_VALUE"""),39.0)</f>
        <v>39</v>
      </c>
      <c r="D1132" s="8" t="str">
        <f>IFERROR(__xludf.DUMMYFUNCTION("""COMPUTED_VALUE"""),"Red ""evanthe"" dress")</f>
        <v>Red "evanthe" dress</v>
      </c>
      <c r="E1132" s="8" t="str">
        <f>IFERROR(__xludf.DUMMYFUNCTION("""COMPUTED_VALUE"""),"Agreed with the previous reviewer, this is the same dress as the evanthe dress that came out this summer, but in a rich beautiful red/wine color. the color differences in the pattern are , however, more subtle than the summer version, remaining in one pal"&amp;"ette. yo u can't tell from the picture, but the back is longer than the front. the neckline is very flattering, i found this one a little more snug than the evanthe (around the rib cage), tried on 00p (size for evanthe) might be better as 0p in")</f>
        <v>Agreed with the previous reviewer, this is the same dress as the evanthe dress that came out this summer, but in a rich beautiful red/wine color. the color differences in the pattern are , however, more subtle than the summer version, remaining in one palette. yo u can't tell from the picture, but the back is longer than the front. the neckline is very flattering, i found this one a little more snug than the evanthe (around the rib cage), tried on 00p (size for evanthe) might be better as 0p in</v>
      </c>
      <c r="F1132" s="8">
        <f>IFERROR(__xludf.DUMMYFUNCTION("""COMPUTED_VALUE"""),4.0)</f>
        <v>4</v>
      </c>
      <c r="G1132" s="8">
        <f>IFERROR(__xludf.DUMMYFUNCTION("""COMPUTED_VALUE"""),1.0)</f>
        <v>1</v>
      </c>
      <c r="H1132" s="8">
        <f>IFERROR(__xludf.DUMMYFUNCTION("""COMPUTED_VALUE"""),1.0)</f>
        <v>1</v>
      </c>
      <c r="I1132" s="8" t="str">
        <f>IFERROR(__xludf.DUMMYFUNCTION("""COMPUTED_VALUE"""),"General")</f>
        <v>General</v>
      </c>
      <c r="J1132" s="8" t="str">
        <f>IFERROR(__xludf.DUMMYFUNCTION("""COMPUTED_VALUE"""),"Dresses")</f>
        <v>Dresses</v>
      </c>
      <c r="K1132" s="8" t="str">
        <f>IFERROR(__xludf.DUMMYFUNCTION("""COMPUTED_VALUE"""),"Dresses")</f>
        <v>Dresses</v>
      </c>
    </row>
    <row r="1133">
      <c r="A1133" s="8">
        <f>IFERROR(__xludf.DUMMYFUNCTION("""COMPUTED_VALUE"""),1513.0)</f>
        <v>1513</v>
      </c>
      <c r="B1133" s="8">
        <f>IFERROR(__xludf.DUMMYFUNCTION("""COMPUTED_VALUE"""),865.0)</f>
        <v>865</v>
      </c>
      <c r="C1133" s="8">
        <f>IFERROR(__xludf.DUMMYFUNCTION("""COMPUTED_VALUE"""),63.0)</f>
        <v>63</v>
      </c>
      <c r="D1133" s="8" t="str">
        <f>IFERROR(__xludf.DUMMYFUNCTION("""COMPUTED_VALUE"""),"Beautiful, flattering top")</f>
        <v>Beautiful, flattering top</v>
      </c>
      <c r="E1133" s="8" t="str">
        <f>IFERROR(__xludf.DUMMYFUNCTION("""COMPUTED_VALUE"""),"Ordered this top online, color is a little more gray than green but it is gorgeous, comfortable and flattering, so much so, i am ordering the navy too. great quality , fabulous with jeans .")</f>
        <v>Ordered this top online, color is a little more gray than green but it is gorgeous, comfortable and flattering, so much so, i am ordering the navy too. great quality , fabulous with jeans .</v>
      </c>
      <c r="F1133" s="8">
        <f>IFERROR(__xludf.DUMMYFUNCTION("""COMPUTED_VALUE"""),5.0)</f>
        <v>5</v>
      </c>
      <c r="G1133" s="8">
        <f>IFERROR(__xludf.DUMMYFUNCTION("""COMPUTED_VALUE"""),1.0)</f>
        <v>1</v>
      </c>
      <c r="H1133" s="8">
        <f>IFERROR(__xludf.DUMMYFUNCTION("""COMPUTED_VALUE"""),2.0)</f>
        <v>2</v>
      </c>
      <c r="I1133" s="8" t="str">
        <f>IFERROR(__xludf.DUMMYFUNCTION("""COMPUTED_VALUE"""),"General")</f>
        <v>General</v>
      </c>
      <c r="J1133" s="8" t="str">
        <f>IFERROR(__xludf.DUMMYFUNCTION("""COMPUTED_VALUE"""),"Tops")</f>
        <v>Tops</v>
      </c>
      <c r="K1133" s="8" t="str">
        <f>IFERROR(__xludf.DUMMYFUNCTION("""COMPUTED_VALUE"""),"Knits")</f>
        <v>Knits</v>
      </c>
    </row>
    <row r="1134">
      <c r="A1134" s="8">
        <f>IFERROR(__xludf.DUMMYFUNCTION("""COMPUTED_VALUE"""),1514.0)</f>
        <v>1514</v>
      </c>
      <c r="B1134" s="8">
        <f>IFERROR(__xludf.DUMMYFUNCTION("""COMPUTED_VALUE"""),850.0)</f>
        <v>850</v>
      </c>
      <c r="C1134" s="8">
        <f>IFERROR(__xludf.DUMMYFUNCTION("""COMPUTED_VALUE"""),33.0)</f>
        <v>33</v>
      </c>
      <c r="D1134" s="8" t="str">
        <f>IFERROR(__xludf.DUMMYFUNCTION("""COMPUTED_VALUE"""),"I wear my sunglasses")</f>
        <v>I wear my sunglasses</v>
      </c>
      <c r="E1134" s="8" t="str">
        <f>IFERROR(__xludf.DUMMYFUNCTION("""COMPUTED_VALUE"""),"I love this blouse! the colors of the little sunglasses are vibrant against the black background, the buttons on the front are also a coral/peach color and beautifully made. its thin enough to be worn in the summer or fall without making you sweat or free"&amp;"ze. i ordered a medium, which i usually wear in most retailer tops and it fits perfectly. i'm a 36b and can run from an 8 to a 10 in tops. i do recommend trying it on before purchasing if you can, especially for women with a larger bust. th")</f>
        <v>I love this blouse! the colors of the little sunglasses are vibrant against the black background, the buttons on the front are also a coral/peach color and beautifully made. its thin enough to be worn in the summer or fall without making you sweat or freeze. i ordered a medium, which i usually wear in most retailer tops and it fits perfectly. i'm a 36b and can run from an 8 to a 10 in tops. i do recommend trying it on before purchasing if you can, especially for women with a larger bust. th</v>
      </c>
      <c r="F1134" s="8">
        <f>IFERROR(__xludf.DUMMYFUNCTION("""COMPUTED_VALUE"""),5.0)</f>
        <v>5</v>
      </c>
      <c r="G1134" s="8">
        <f>IFERROR(__xludf.DUMMYFUNCTION("""COMPUTED_VALUE"""),1.0)</f>
        <v>1</v>
      </c>
      <c r="H1134" s="8">
        <f>IFERROR(__xludf.DUMMYFUNCTION("""COMPUTED_VALUE"""),0.0)</f>
        <v>0</v>
      </c>
      <c r="I1134" s="8" t="str">
        <f>IFERROR(__xludf.DUMMYFUNCTION("""COMPUTED_VALUE"""),"General")</f>
        <v>General</v>
      </c>
      <c r="J1134" s="8" t="str">
        <f>IFERROR(__xludf.DUMMYFUNCTION("""COMPUTED_VALUE"""),"Tops")</f>
        <v>Tops</v>
      </c>
      <c r="K1134" s="8" t="str">
        <f>IFERROR(__xludf.DUMMYFUNCTION("""COMPUTED_VALUE"""),"Blouses")</f>
        <v>Blouses</v>
      </c>
    </row>
    <row r="1135">
      <c r="A1135" s="8">
        <f>IFERROR(__xludf.DUMMYFUNCTION("""COMPUTED_VALUE"""),1516.0)</f>
        <v>1516</v>
      </c>
      <c r="B1135" s="8">
        <f>IFERROR(__xludf.DUMMYFUNCTION("""COMPUTED_VALUE"""),1080.0)</f>
        <v>1080</v>
      </c>
      <c r="C1135" s="8">
        <f>IFERROR(__xludf.DUMMYFUNCTION("""COMPUTED_VALUE"""),40.0)</f>
        <v>40</v>
      </c>
      <c r="D1135" s="8" t="str">
        <f>IFERROR(__xludf.DUMMYFUNCTION("""COMPUTED_VALUE"""),"Small-chested women need not apply")</f>
        <v>Small-chested women need not apply</v>
      </c>
      <c r="E1135" s="8" t="str">
        <f>IFERROR(__xludf.DUMMYFUNCTION("""COMPUTED_VALUE"""),"Girls, this dress is gorgeous.  but if you are an a/b cup, there is just too much fabric in the bust.  the entire dress is pleated from the shoulders down, so a curvier figure would be shown to great advantage in this beautiful number.  alas, i had to sen"&amp;"d it back and was very sad to do so.")</f>
        <v>Girls, this dress is gorgeous.  but if you are an a/b cup, there is just too much fabric in the bust.  the entire dress is pleated from the shoulders down, so a curvier figure would be shown to great advantage in this beautiful number.  alas, i had to send it back and was very sad to do so.</v>
      </c>
      <c r="F1135" s="8">
        <f>IFERROR(__xludf.DUMMYFUNCTION("""COMPUTED_VALUE"""),5.0)</f>
        <v>5</v>
      </c>
      <c r="G1135" s="8">
        <f>IFERROR(__xludf.DUMMYFUNCTION("""COMPUTED_VALUE"""),1.0)</f>
        <v>1</v>
      </c>
      <c r="H1135" s="8">
        <f>IFERROR(__xludf.DUMMYFUNCTION("""COMPUTED_VALUE"""),0.0)</f>
        <v>0</v>
      </c>
      <c r="I1135" s="8" t="str">
        <f>IFERROR(__xludf.DUMMYFUNCTION("""COMPUTED_VALUE"""),"General")</f>
        <v>General</v>
      </c>
      <c r="J1135" s="8" t="str">
        <f>IFERROR(__xludf.DUMMYFUNCTION("""COMPUTED_VALUE"""),"Dresses")</f>
        <v>Dresses</v>
      </c>
      <c r="K1135" s="8" t="str">
        <f>IFERROR(__xludf.DUMMYFUNCTION("""COMPUTED_VALUE"""),"Dresses")</f>
        <v>Dresses</v>
      </c>
    </row>
    <row r="1136">
      <c r="A1136" s="8">
        <f>IFERROR(__xludf.DUMMYFUNCTION("""COMPUTED_VALUE"""),1518.0)</f>
        <v>1518</v>
      </c>
      <c r="B1136" s="8">
        <f>IFERROR(__xludf.DUMMYFUNCTION("""COMPUTED_VALUE"""),1020.0)</f>
        <v>1020</v>
      </c>
      <c r="C1136" s="8">
        <f>IFERROR(__xludf.DUMMYFUNCTION("""COMPUTED_VALUE"""),37.0)</f>
        <v>37</v>
      </c>
      <c r="D1136" s="8" t="str">
        <f>IFERROR(__xludf.DUMMYFUNCTION("""COMPUTED_VALUE"""),"Pop of color")</f>
        <v>Pop of color</v>
      </c>
      <c r="E1136" s="8" t="str">
        <f>IFERROR(__xludf.DUMMYFUNCTION("""COMPUTED_VALUE"""),"This skirt is pleasantly more dynamic in person. the print and colors are really nice and more vibrant than the photos. the cut was spot on and the fabric seems heavy enough to hide imperfections (but not too heavy...) length as shown on model.")</f>
        <v>This skirt is pleasantly more dynamic in person. the print and colors are really nice and more vibrant than the photos. the cut was spot on and the fabric seems heavy enough to hide imperfections (but not too heavy...) length as shown on model.</v>
      </c>
      <c r="F1136" s="8">
        <f>IFERROR(__xludf.DUMMYFUNCTION("""COMPUTED_VALUE"""),5.0)</f>
        <v>5</v>
      </c>
      <c r="G1136" s="8">
        <f>IFERROR(__xludf.DUMMYFUNCTION("""COMPUTED_VALUE"""),1.0)</f>
        <v>1</v>
      </c>
      <c r="H1136" s="8">
        <f>IFERROR(__xludf.DUMMYFUNCTION("""COMPUTED_VALUE"""),8.0)</f>
        <v>8</v>
      </c>
      <c r="I1136" s="8" t="str">
        <f>IFERROR(__xludf.DUMMYFUNCTION("""COMPUTED_VALUE"""),"General Petite")</f>
        <v>General Petite</v>
      </c>
      <c r="J1136" s="8" t="str">
        <f>IFERROR(__xludf.DUMMYFUNCTION("""COMPUTED_VALUE"""),"Bottoms")</f>
        <v>Bottoms</v>
      </c>
      <c r="K1136" s="8" t="str">
        <f>IFERROR(__xludf.DUMMYFUNCTION("""COMPUTED_VALUE"""),"Skirts")</f>
        <v>Skirts</v>
      </c>
    </row>
    <row r="1137">
      <c r="A1137" s="8">
        <f>IFERROR(__xludf.DUMMYFUNCTION("""COMPUTED_VALUE"""),1519.0)</f>
        <v>1519</v>
      </c>
      <c r="B1137" s="8">
        <f>IFERROR(__xludf.DUMMYFUNCTION("""COMPUTED_VALUE"""),850.0)</f>
        <v>850</v>
      </c>
      <c r="C1137" s="8">
        <f>IFERROR(__xludf.DUMMYFUNCTION("""COMPUTED_VALUE"""),32.0)</f>
        <v>32</v>
      </c>
      <c r="D1137" s="8" t="str">
        <f>IFERROR(__xludf.DUMMYFUNCTION("""COMPUTED_VALUE"""),"Dress up or down")</f>
        <v>Dress up or down</v>
      </c>
      <c r="E1137" s="8" t="str">
        <f>IFERROR(__xludf.DUMMYFUNCTION("""COMPUTED_VALUE"""),"This top can be dressed up or down, very good quality fabric and colors shown as the photo (blue). i usually wear petite sizes but chose the regular version because i wanted to be able to tuck it in. i think it might be too short otherwise.")</f>
        <v>This top can be dressed up or down, very good quality fabric and colors shown as the photo (blue). i usually wear petite sizes but chose the regular version because i wanted to be able to tuck it in. i think it might be too short otherwise.</v>
      </c>
      <c r="F1137" s="8">
        <f>IFERROR(__xludf.DUMMYFUNCTION("""COMPUTED_VALUE"""),5.0)</f>
        <v>5</v>
      </c>
      <c r="G1137" s="8">
        <f>IFERROR(__xludf.DUMMYFUNCTION("""COMPUTED_VALUE"""),1.0)</f>
        <v>1</v>
      </c>
      <c r="H1137" s="8">
        <f>IFERROR(__xludf.DUMMYFUNCTION("""COMPUTED_VALUE"""),7.0)</f>
        <v>7</v>
      </c>
      <c r="I1137" s="8" t="str">
        <f>IFERROR(__xludf.DUMMYFUNCTION("""COMPUTED_VALUE"""),"General")</f>
        <v>General</v>
      </c>
      <c r="J1137" s="8" t="str">
        <f>IFERROR(__xludf.DUMMYFUNCTION("""COMPUTED_VALUE"""),"Tops")</f>
        <v>Tops</v>
      </c>
      <c r="K1137" s="8" t="str">
        <f>IFERROR(__xludf.DUMMYFUNCTION("""COMPUTED_VALUE"""),"Blouses")</f>
        <v>Blouses</v>
      </c>
    </row>
    <row r="1138">
      <c r="A1138" s="8">
        <f>IFERROR(__xludf.DUMMYFUNCTION("""COMPUTED_VALUE"""),1520.0)</f>
        <v>1520</v>
      </c>
      <c r="B1138" s="8">
        <f>IFERROR(__xludf.DUMMYFUNCTION("""COMPUTED_VALUE"""),947.0)</f>
        <v>947</v>
      </c>
      <c r="C1138" s="8">
        <f>IFERROR(__xludf.DUMMYFUNCTION("""COMPUTED_VALUE"""),57.0)</f>
        <v>57</v>
      </c>
      <c r="D1138" s="8" t="str">
        <f>IFERROR(__xludf.DUMMYFUNCTION("""COMPUTED_VALUE"""),"Awesomesauce!")</f>
        <v>Awesomesauce!</v>
      </c>
      <c r="E1138" s="8" t="str">
        <f>IFERROR(__xludf.DUMMYFUNCTION("""COMPUTED_VALUE"""),"Love the color (cedar). love the style. sleeves are long and wide but that is the style. biggest surprise is that this sweater is not cropped. the length given in the product info is very short. but when i received my normal size (l) the sweater comes to "&amp;"my hips. just right. the fibers are man-made (acrylic) so that makes this sweater not too warm and not itchy. the weave is close enough that i do not need to wear a cami underneath. when the weather gets colder i will add a nice cami under the s")</f>
        <v>Love the color (cedar). love the style. sleeves are long and wide but that is the style. biggest surprise is that this sweater is not cropped. the length given in the product info is very short. but when i received my normal size (l) the sweater comes to my hips. just right. the fibers are man-made (acrylic) so that makes this sweater not too warm and not itchy. the weave is close enough that i do not need to wear a cami underneath. when the weather gets colder i will add a nice cami under the s</v>
      </c>
      <c r="F1138" s="8">
        <f>IFERROR(__xludf.DUMMYFUNCTION("""COMPUTED_VALUE"""),5.0)</f>
        <v>5</v>
      </c>
      <c r="G1138" s="8">
        <f>IFERROR(__xludf.DUMMYFUNCTION("""COMPUTED_VALUE"""),1.0)</f>
        <v>1</v>
      </c>
      <c r="H1138" s="8">
        <f>IFERROR(__xludf.DUMMYFUNCTION("""COMPUTED_VALUE"""),8.0)</f>
        <v>8</v>
      </c>
      <c r="I1138" s="8" t="str">
        <f>IFERROR(__xludf.DUMMYFUNCTION("""COMPUTED_VALUE"""),"General")</f>
        <v>General</v>
      </c>
      <c r="J1138" s="8" t="str">
        <f>IFERROR(__xludf.DUMMYFUNCTION("""COMPUTED_VALUE"""),"Tops")</f>
        <v>Tops</v>
      </c>
      <c r="K1138" s="8" t="str">
        <f>IFERROR(__xludf.DUMMYFUNCTION("""COMPUTED_VALUE"""),"Sweaters")</f>
        <v>Sweaters</v>
      </c>
    </row>
    <row r="1139">
      <c r="A1139" s="8">
        <f>IFERROR(__xludf.DUMMYFUNCTION("""COMPUTED_VALUE"""),1521.0)</f>
        <v>1521</v>
      </c>
      <c r="B1139" s="8">
        <f>IFERROR(__xludf.DUMMYFUNCTION("""COMPUTED_VALUE"""),947.0)</f>
        <v>947</v>
      </c>
      <c r="C1139" s="8">
        <f>IFERROR(__xludf.DUMMYFUNCTION("""COMPUTED_VALUE"""),45.0)</f>
        <v>45</v>
      </c>
      <c r="D1139" s="8" t="str">
        <f>IFERROR(__xludf.DUMMYFUNCTION("""COMPUTED_VALUE"""),"Love this!!")</f>
        <v>Love this!!</v>
      </c>
      <c r="E1139" s="8" t="str">
        <f>IFERROR(__xludf.DUMMYFUNCTION("""COMPUTED_VALUE"""),"Love everything about it!! chunky, comfortable, lazy day or dress up with a cool necklace!")</f>
        <v>Love everything about it!! chunky, comfortable, lazy day or dress up with a cool necklace!</v>
      </c>
      <c r="F1139" s="8">
        <f>IFERROR(__xludf.DUMMYFUNCTION("""COMPUTED_VALUE"""),5.0)</f>
        <v>5</v>
      </c>
      <c r="G1139" s="8">
        <f>IFERROR(__xludf.DUMMYFUNCTION("""COMPUTED_VALUE"""),1.0)</f>
        <v>1</v>
      </c>
      <c r="H1139" s="8">
        <f>IFERROR(__xludf.DUMMYFUNCTION("""COMPUTED_VALUE"""),12.0)</f>
        <v>12</v>
      </c>
      <c r="I1139" s="8" t="str">
        <f>IFERROR(__xludf.DUMMYFUNCTION("""COMPUTED_VALUE"""),"General")</f>
        <v>General</v>
      </c>
      <c r="J1139" s="8" t="str">
        <f>IFERROR(__xludf.DUMMYFUNCTION("""COMPUTED_VALUE"""),"Tops")</f>
        <v>Tops</v>
      </c>
      <c r="K1139" s="8" t="str">
        <f>IFERROR(__xludf.DUMMYFUNCTION("""COMPUTED_VALUE"""),"Sweaters")</f>
        <v>Sweaters</v>
      </c>
    </row>
    <row r="1140">
      <c r="A1140" s="8">
        <f>IFERROR(__xludf.DUMMYFUNCTION("""COMPUTED_VALUE"""),1523.0)</f>
        <v>1523</v>
      </c>
      <c r="B1140" s="8">
        <f>IFERROR(__xludf.DUMMYFUNCTION("""COMPUTED_VALUE"""),850.0)</f>
        <v>850</v>
      </c>
      <c r="C1140" s="8">
        <f>IFERROR(__xludf.DUMMYFUNCTION("""COMPUTED_VALUE"""),69.0)</f>
        <v>69</v>
      </c>
      <c r="D1140" s="8" t="str">
        <f>IFERROR(__xludf.DUMMYFUNCTION("""COMPUTED_VALUE"""),"Great summer print")</f>
        <v>Great summer print</v>
      </c>
      <c r="E1140" s="8" t="str">
        <f>IFERROR(__xludf.DUMMYFUNCTION("""COMPUTED_VALUE"""),"Love, love this clever eyeglass print. i bought the black background with bright sunglass print - perfect for pairing with jeans, shorts or a slender skirt.")</f>
        <v>Love, love this clever eyeglass print. i bought the black background with bright sunglass print - perfect for pairing with jeans, shorts or a slender skirt.</v>
      </c>
      <c r="F1140" s="8">
        <f>IFERROR(__xludf.DUMMYFUNCTION("""COMPUTED_VALUE"""),5.0)</f>
        <v>5</v>
      </c>
      <c r="G1140" s="8">
        <f>IFERROR(__xludf.DUMMYFUNCTION("""COMPUTED_VALUE"""),1.0)</f>
        <v>1</v>
      </c>
      <c r="H1140" s="8">
        <f>IFERROR(__xludf.DUMMYFUNCTION("""COMPUTED_VALUE"""),6.0)</f>
        <v>6</v>
      </c>
      <c r="I1140" s="8" t="str">
        <f>IFERROR(__xludf.DUMMYFUNCTION("""COMPUTED_VALUE"""),"General")</f>
        <v>General</v>
      </c>
      <c r="J1140" s="8" t="str">
        <f>IFERROR(__xludf.DUMMYFUNCTION("""COMPUTED_VALUE"""),"Tops")</f>
        <v>Tops</v>
      </c>
      <c r="K1140" s="8" t="str">
        <f>IFERROR(__xludf.DUMMYFUNCTION("""COMPUTED_VALUE"""),"Blouses")</f>
        <v>Blouses</v>
      </c>
    </row>
    <row r="1141">
      <c r="A1141" s="8">
        <f>IFERROR(__xludf.DUMMYFUNCTION("""COMPUTED_VALUE"""),1524.0)</f>
        <v>1524</v>
      </c>
      <c r="B1141" s="8">
        <f>IFERROR(__xludf.DUMMYFUNCTION("""COMPUTED_VALUE"""),485.0)</f>
        <v>485</v>
      </c>
      <c r="C1141" s="8">
        <f>IFERROR(__xludf.DUMMYFUNCTION("""COMPUTED_VALUE"""),38.0)</f>
        <v>38</v>
      </c>
      <c r="D1141" s="8" t="str">
        <f>IFERROR(__xludf.DUMMYFUNCTION("""COMPUTED_VALUE"""),"Great skort")</f>
        <v>Great skort</v>
      </c>
      <c r="E1141" s="8" t="str">
        <f>IFERROR(__xludf.DUMMYFUNCTION("""COMPUTED_VALUE"""),"Exactly as pictured. great fit. love it.")</f>
        <v>Exactly as pictured. great fit. love it.</v>
      </c>
      <c r="F1141" s="8">
        <f>IFERROR(__xludf.DUMMYFUNCTION("""COMPUTED_VALUE"""),5.0)</f>
        <v>5</v>
      </c>
      <c r="G1141" s="8">
        <f>IFERROR(__xludf.DUMMYFUNCTION("""COMPUTED_VALUE"""),1.0)</f>
        <v>1</v>
      </c>
      <c r="H1141" s="8">
        <f>IFERROR(__xludf.DUMMYFUNCTION("""COMPUTED_VALUE"""),0.0)</f>
        <v>0</v>
      </c>
      <c r="I1141" s="8" t="str">
        <f>IFERROR(__xludf.DUMMYFUNCTION("""COMPUTED_VALUE"""),"General")</f>
        <v>General</v>
      </c>
      <c r="J1141" s="8" t="str">
        <f>IFERROR(__xludf.DUMMYFUNCTION("""COMPUTED_VALUE"""),"Bottoms")</f>
        <v>Bottoms</v>
      </c>
      <c r="K1141" s="8" t="str">
        <f>IFERROR(__xludf.DUMMYFUNCTION("""COMPUTED_VALUE"""),"Shorts")</f>
        <v>Shorts</v>
      </c>
    </row>
    <row r="1142">
      <c r="A1142" s="8">
        <f>IFERROR(__xludf.DUMMYFUNCTION("""COMPUTED_VALUE"""),1525.0)</f>
        <v>1525</v>
      </c>
      <c r="B1142" s="8">
        <f>IFERROR(__xludf.DUMMYFUNCTION("""COMPUTED_VALUE"""),947.0)</f>
        <v>947</v>
      </c>
      <c r="C1142" s="8">
        <f>IFERROR(__xludf.DUMMYFUNCTION("""COMPUTED_VALUE"""),79.0)</f>
        <v>79</v>
      </c>
      <c r="D1142" s="8" t="str">
        <f>IFERROR(__xludf.DUMMYFUNCTION("""COMPUTED_VALUE"""),"Sweater love!")</f>
        <v>Sweater love!</v>
      </c>
      <c r="E1142" s="8" t="str">
        <f>IFERROR(__xludf.DUMMYFUNCTION("""COMPUTED_VALUE"""),"Absolutely love everything about this sweater. i was hesitant to buy because it's so oversized and i was worried it would overwhelm my small frame. but the xs fits great, i love the large knit look and the bell sleeves. pairing with dark denim skinny jean"&amp;"s helped balance out the sweaters oversized shape. wore it work and then to a party and received compliments on it all day.")</f>
        <v>Absolutely love everything about this sweater. i was hesitant to buy because it's so oversized and i was worried it would overwhelm my small frame. but the xs fits great, i love the large knit look and the bell sleeves. pairing with dark denim skinny jeans helped balance out the sweaters oversized shape. wore it work and then to a party and received compliments on it all day.</v>
      </c>
      <c r="F1142" s="8">
        <f>IFERROR(__xludf.DUMMYFUNCTION("""COMPUTED_VALUE"""),5.0)</f>
        <v>5</v>
      </c>
      <c r="G1142" s="8">
        <f>IFERROR(__xludf.DUMMYFUNCTION("""COMPUTED_VALUE"""),1.0)</f>
        <v>1</v>
      </c>
      <c r="H1142" s="8">
        <f>IFERROR(__xludf.DUMMYFUNCTION("""COMPUTED_VALUE"""),1.0)</f>
        <v>1</v>
      </c>
      <c r="I1142" s="8" t="str">
        <f>IFERROR(__xludf.DUMMYFUNCTION("""COMPUTED_VALUE"""),"General")</f>
        <v>General</v>
      </c>
      <c r="J1142" s="8" t="str">
        <f>IFERROR(__xludf.DUMMYFUNCTION("""COMPUTED_VALUE"""),"Tops")</f>
        <v>Tops</v>
      </c>
      <c r="K1142" s="8" t="str">
        <f>IFERROR(__xludf.DUMMYFUNCTION("""COMPUTED_VALUE"""),"Sweaters")</f>
        <v>Sweaters</v>
      </c>
    </row>
    <row r="1143">
      <c r="A1143" s="8">
        <f>IFERROR(__xludf.DUMMYFUNCTION("""COMPUTED_VALUE"""),1526.0)</f>
        <v>1526</v>
      </c>
      <c r="B1143" s="8">
        <f>IFERROR(__xludf.DUMMYFUNCTION("""COMPUTED_VALUE"""),927.0)</f>
        <v>927</v>
      </c>
      <c r="C1143" s="8">
        <f>IFERROR(__xludf.DUMMYFUNCTION("""COMPUTED_VALUE"""),47.0)</f>
        <v>47</v>
      </c>
      <c r="D1143" s="8" t="str">
        <f>IFERROR(__xludf.DUMMYFUNCTION("""COMPUTED_VALUE"""),"So versitle")</f>
        <v>So versitle</v>
      </c>
      <c r="E1143" s="8" t="str">
        <f>IFERROR(__xludf.DUMMYFUNCTION("""COMPUTED_VALUE"""),"I wear this vest two ways - over a long sleeve shirt when it's warmer and layered over a shirt and cardigan when it's cooler. it's the perfect amount of warmth when i'm running errands and don't want to wear a heavy coat. love it and plan to wear it a lot"&amp;"!")</f>
        <v>I wear this vest two ways - over a long sleeve shirt when it's warmer and layered over a shirt and cardigan when it's cooler. it's the perfect amount of warmth when i'm running errands and don't want to wear a heavy coat. love it and plan to wear it a lot!</v>
      </c>
      <c r="F1143" s="8">
        <f>IFERROR(__xludf.DUMMYFUNCTION("""COMPUTED_VALUE"""),5.0)</f>
        <v>5</v>
      </c>
      <c r="G1143" s="8">
        <f>IFERROR(__xludf.DUMMYFUNCTION("""COMPUTED_VALUE"""),1.0)</f>
        <v>1</v>
      </c>
      <c r="H1143" s="8">
        <f>IFERROR(__xludf.DUMMYFUNCTION("""COMPUTED_VALUE"""),0.0)</f>
        <v>0</v>
      </c>
      <c r="I1143" s="8" t="str">
        <f>IFERROR(__xludf.DUMMYFUNCTION("""COMPUTED_VALUE"""),"General")</f>
        <v>General</v>
      </c>
      <c r="J1143" s="8" t="str">
        <f>IFERROR(__xludf.DUMMYFUNCTION("""COMPUTED_VALUE"""),"Tops")</f>
        <v>Tops</v>
      </c>
      <c r="K1143" s="8" t="str">
        <f>IFERROR(__xludf.DUMMYFUNCTION("""COMPUTED_VALUE"""),"Sweaters")</f>
        <v>Sweaters</v>
      </c>
    </row>
    <row r="1144">
      <c r="A1144" s="8">
        <f>IFERROR(__xludf.DUMMYFUNCTION("""COMPUTED_VALUE"""),1527.0)</f>
        <v>1527</v>
      </c>
      <c r="B1144" s="8">
        <f>IFERROR(__xludf.DUMMYFUNCTION("""COMPUTED_VALUE"""),927.0)</f>
        <v>927</v>
      </c>
      <c r="C1144" s="8">
        <f>IFERROR(__xludf.DUMMYFUNCTION("""COMPUTED_VALUE"""),56.0)</f>
        <v>56</v>
      </c>
      <c r="D1144" s="8" t="str">
        <f>IFERROR(__xludf.DUMMYFUNCTION("""COMPUTED_VALUE"""),"Gorgeous and flexible")</f>
        <v>Gorgeous and flexible</v>
      </c>
      <c r="E1144" s="8" t="str">
        <f>IFERROR(__xludf.DUMMYFUNCTION("""COMPUTED_VALUE"""),"The quality of this vest is outstanding, and the warmth is exceptional. i have worn it as a jacket on milder days, in work as a warmth layer and brought on vacation to act as both plus a bathrobe. it is a very stylist piece that can be worn open or belted"&amp;". it runs large by style, but i am 5'1"", 100 lbs and i can carry it off.")</f>
        <v>The quality of this vest is outstanding, and the warmth is exceptional. i have worn it as a jacket on milder days, in work as a warmth layer and brought on vacation to act as both plus a bathrobe. it is a very stylist piece that can be worn open or belted. it runs large by style, but i am 5'1", 100 lbs and i can carry it off.</v>
      </c>
      <c r="F1144" s="8">
        <f>IFERROR(__xludf.DUMMYFUNCTION("""COMPUTED_VALUE"""),5.0)</f>
        <v>5</v>
      </c>
      <c r="G1144" s="8">
        <f>IFERROR(__xludf.DUMMYFUNCTION("""COMPUTED_VALUE"""),1.0)</f>
        <v>1</v>
      </c>
      <c r="H1144" s="8">
        <f>IFERROR(__xludf.DUMMYFUNCTION("""COMPUTED_VALUE"""),2.0)</f>
        <v>2</v>
      </c>
      <c r="I1144" s="8" t="str">
        <f>IFERROR(__xludf.DUMMYFUNCTION("""COMPUTED_VALUE"""),"General")</f>
        <v>General</v>
      </c>
      <c r="J1144" s="8" t="str">
        <f>IFERROR(__xludf.DUMMYFUNCTION("""COMPUTED_VALUE"""),"Tops")</f>
        <v>Tops</v>
      </c>
      <c r="K1144" s="8" t="str">
        <f>IFERROR(__xludf.DUMMYFUNCTION("""COMPUTED_VALUE"""),"Sweaters")</f>
        <v>Sweaters</v>
      </c>
    </row>
    <row r="1145">
      <c r="A1145" s="8">
        <f>IFERROR(__xludf.DUMMYFUNCTION("""COMPUTED_VALUE"""),1529.0)</f>
        <v>1529</v>
      </c>
      <c r="B1145" s="8">
        <f>IFERROR(__xludf.DUMMYFUNCTION("""COMPUTED_VALUE"""),1020.0)</f>
        <v>1020</v>
      </c>
      <c r="C1145" s="8">
        <f>IFERROR(__xludf.DUMMYFUNCTION("""COMPUTED_VALUE"""),48.0)</f>
        <v>48</v>
      </c>
      <c r="D1145" s="8" t="str">
        <f>IFERROR(__xludf.DUMMYFUNCTION("""COMPUTED_VALUE"""),"Bright spring skirt")</f>
        <v>Bright spring skirt</v>
      </c>
      <c r="E1145" s="8" t="str">
        <f>IFERROR(__xludf.DUMMYFUNCTION("""COMPUTED_VALUE"""),"I love this skirt! it's a denim material, so it's structured, but not too heavy for warm weather. the colors are bright. it may run a bit big, but i didn't have trouble with my usual size. the pockets are actually usable. great for casual and easy to dres"&amp;"s up.")</f>
        <v>I love this skirt! it's a denim material, so it's structured, but not too heavy for warm weather. the colors are bright. it may run a bit big, but i didn't have trouble with my usual size. the pockets are actually usable. great for casual and easy to dress up.</v>
      </c>
      <c r="F1145" s="8">
        <f>IFERROR(__xludf.DUMMYFUNCTION("""COMPUTED_VALUE"""),5.0)</f>
        <v>5</v>
      </c>
      <c r="G1145" s="8">
        <f>IFERROR(__xludf.DUMMYFUNCTION("""COMPUTED_VALUE"""),1.0)</f>
        <v>1</v>
      </c>
      <c r="H1145" s="8">
        <f>IFERROR(__xludf.DUMMYFUNCTION("""COMPUTED_VALUE"""),0.0)</f>
        <v>0</v>
      </c>
      <c r="I1145" s="8" t="str">
        <f>IFERROR(__xludf.DUMMYFUNCTION("""COMPUTED_VALUE"""),"General Petite")</f>
        <v>General Petite</v>
      </c>
      <c r="J1145" s="8" t="str">
        <f>IFERROR(__xludf.DUMMYFUNCTION("""COMPUTED_VALUE"""),"Bottoms")</f>
        <v>Bottoms</v>
      </c>
      <c r="K1145" s="8" t="str">
        <f>IFERROR(__xludf.DUMMYFUNCTION("""COMPUTED_VALUE"""),"Skirts")</f>
        <v>Skirts</v>
      </c>
    </row>
    <row r="1146">
      <c r="A1146" s="8">
        <f>IFERROR(__xludf.DUMMYFUNCTION("""COMPUTED_VALUE"""),1530.0)</f>
        <v>1530</v>
      </c>
      <c r="B1146" s="8">
        <f>IFERROR(__xludf.DUMMYFUNCTION("""COMPUTED_VALUE"""),1020.0)</f>
        <v>1020</v>
      </c>
      <c r="C1146" s="8">
        <f>IFERROR(__xludf.DUMMYFUNCTION("""COMPUTED_VALUE"""),41.0)</f>
        <v>41</v>
      </c>
      <c r="D1146" s="8" t="str">
        <f>IFERROR(__xludf.DUMMYFUNCTION("""COMPUTED_VALUE"""),"Beautiful!")</f>
        <v>Beautiful!</v>
      </c>
      <c r="E1146" s="8" t="str">
        <f>IFERROR(__xludf.DUMMYFUNCTION("""COMPUTED_VALUE"""),"Love the print of this fabric &amp; the length. the buckles at the waist add a unique look so no belt necessary.")</f>
        <v>Love the print of this fabric &amp; the length. the buckles at the waist add a unique look so no belt necessary.</v>
      </c>
      <c r="F1146" s="8">
        <f>IFERROR(__xludf.DUMMYFUNCTION("""COMPUTED_VALUE"""),5.0)</f>
        <v>5</v>
      </c>
      <c r="G1146" s="8">
        <f>IFERROR(__xludf.DUMMYFUNCTION("""COMPUTED_VALUE"""),1.0)</f>
        <v>1</v>
      </c>
      <c r="H1146" s="8">
        <f>IFERROR(__xludf.DUMMYFUNCTION("""COMPUTED_VALUE"""),1.0)</f>
        <v>1</v>
      </c>
      <c r="I1146" s="8" t="str">
        <f>IFERROR(__xludf.DUMMYFUNCTION("""COMPUTED_VALUE"""),"General Petite")</f>
        <v>General Petite</v>
      </c>
      <c r="J1146" s="8" t="str">
        <f>IFERROR(__xludf.DUMMYFUNCTION("""COMPUTED_VALUE"""),"Bottoms")</f>
        <v>Bottoms</v>
      </c>
      <c r="K1146" s="8" t="str">
        <f>IFERROR(__xludf.DUMMYFUNCTION("""COMPUTED_VALUE"""),"Skirts")</f>
        <v>Skirts</v>
      </c>
    </row>
    <row r="1147">
      <c r="A1147" s="8">
        <f>IFERROR(__xludf.DUMMYFUNCTION("""COMPUTED_VALUE"""),1531.0)</f>
        <v>1531</v>
      </c>
      <c r="B1147" s="8">
        <f>IFERROR(__xludf.DUMMYFUNCTION("""COMPUTED_VALUE"""),927.0)</f>
        <v>927</v>
      </c>
      <c r="C1147" s="8">
        <f>IFERROR(__xludf.DUMMYFUNCTION("""COMPUTED_VALUE"""),68.0)</f>
        <v>68</v>
      </c>
      <c r="D1147" s="8" t="str">
        <f>IFERROR(__xludf.DUMMYFUNCTION("""COMPUTED_VALUE"""),"W i d e collar")</f>
        <v>W i d e collar</v>
      </c>
      <c r="E1147" s="8" t="str">
        <f>IFERROR(__xludf.DUMMYFUNCTION("""COMPUTED_VALUE"""),"I fell for the charcoal one and bought standard size m/l. on first wearing with slim jeans, booties and a long sleeved t, the body of the vest was fine. but with wavy shoulder-length hair, i found the large, wide collar overwhelming at the top. i tried fo"&amp;"lding the collar under, as in the photo of the gray one, but still too much. i altered it by paring it down by 7 inches at the back neck, and tapering down to meet the lapel at mid-chest. the fabric looks like boiled wool, but is actually a tigh")</f>
        <v>I fell for the charcoal one and bought standard size m/l. on first wearing with slim jeans, booties and a long sleeved t, the body of the vest was fine. but with wavy shoulder-length hair, i found the large, wide collar overwhelming at the top. i tried folding the collar under, as in the photo of the gray one, but still too much. i altered it by paring it down by 7 inches at the back neck, and tapering down to meet the lapel at mid-chest. the fabric looks like boiled wool, but is actually a tigh</v>
      </c>
      <c r="F1147" s="8">
        <f>IFERROR(__xludf.DUMMYFUNCTION("""COMPUTED_VALUE"""),4.0)</f>
        <v>4</v>
      </c>
      <c r="G1147" s="8">
        <f>IFERROR(__xludf.DUMMYFUNCTION("""COMPUTED_VALUE"""),1.0)</f>
        <v>1</v>
      </c>
      <c r="H1147" s="8">
        <f>IFERROR(__xludf.DUMMYFUNCTION("""COMPUTED_VALUE"""),2.0)</f>
        <v>2</v>
      </c>
      <c r="I1147" s="8" t="str">
        <f>IFERROR(__xludf.DUMMYFUNCTION("""COMPUTED_VALUE"""),"General")</f>
        <v>General</v>
      </c>
      <c r="J1147" s="8" t="str">
        <f>IFERROR(__xludf.DUMMYFUNCTION("""COMPUTED_VALUE"""),"Tops")</f>
        <v>Tops</v>
      </c>
      <c r="K1147" s="8" t="str">
        <f>IFERROR(__xludf.DUMMYFUNCTION("""COMPUTED_VALUE"""),"Sweaters")</f>
        <v>Sweaters</v>
      </c>
    </row>
    <row r="1148">
      <c r="A1148" s="8">
        <f>IFERROR(__xludf.DUMMYFUNCTION("""COMPUTED_VALUE"""),1532.0)</f>
        <v>1532</v>
      </c>
      <c r="B1148" s="8">
        <f>IFERROR(__xludf.DUMMYFUNCTION("""COMPUTED_VALUE"""),977.0)</f>
        <v>977</v>
      </c>
      <c r="C1148" s="8">
        <f>IFERROR(__xludf.DUMMYFUNCTION("""COMPUTED_VALUE"""),49.0)</f>
        <v>49</v>
      </c>
      <c r="D1148" s="8" t="str">
        <f>IFERROR(__xludf.DUMMYFUNCTION("""COMPUTED_VALUE"""),"Fun and uniquely dramatically elegant")</f>
        <v>Fun and uniquely dramatically elegant</v>
      </c>
      <c r="E1148" s="8" t="str">
        <f>IFERROR(__xludf.DUMMYFUNCTION("""COMPUTED_VALUE"""),"This jacket is my favorite purchase in a while! i used my last month 50th birthday discount on it!
it is of exceptional materials and quality construction. the juxtaposition of the stripes against the beautifully vibrant embroidery on back is stunning! it"&amp;" does run true to size as it is an oversized piece, which adds to its classy dramatic flare! my size medium came in the european size 38. for reference, i am an american size 8-10. 
it is comfortable to wear and can easily accomodate large ful")</f>
        <v>This jacket is my favorite purchase in a while! i used my last month 50th birthday discount on it!
it is of exceptional materials and quality construction. the juxtaposition of the stripes against the beautifully vibrant embroidery on back is stunning! it does run true to size as it is an oversized piece, which adds to its classy dramatic flare! my size medium came in the european size 38. for reference, i am an american size 8-10. 
it is comfortable to wear and can easily accomodate large ful</v>
      </c>
      <c r="F1148" s="8">
        <f>IFERROR(__xludf.DUMMYFUNCTION("""COMPUTED_VALUE"""),5.0)</f>
        <v>5</v>
      </c>
      <c r="G1148" s="8">
        <f>IFERROR(__xludf.DUMMYFUNCTION("""COMPUTED_VALUE"""),1.0)</f>
        <v>1</v>
      </c>
      <c r="H1148" s="8">
        <f>IFERROR(__xludf.DUMMYFUNCTION("""COMPUTED_VALUE"""),3.0)</f>
        <v>3</v>
      </c>
      <c r="I1148" s="8" t="str">
        <f>IFERROR(__xludf.DUMMYFUNCTION("""COMPUTED_VALUE"""),"General Petite")</f>
        <v>General Petite</v>
      </c>
      <c r="J1148" s="8" t="str">
        <f>IFERROR(__xludf.DUMMYFUNCTION("""COMPUTED_VALUE"""),"Jackets")</f>
        <v>Jackets</v>
      </c>
      <c r="K1148" s="8" t="str">
        <f>IFERROR(__xludf.DUMMYFUNCTION("""COMPUTED_VALUE"""),"Jackets")</f>
        <v>Jackets</v>
      </c>
    </row>
    <row r="1149">
      <c r="A1149" s="8">
        <f>IFERROR(__xludf.DUMMYFUNCTION("""COMPUTED_VALUE"""),1533.0)</f>
        <v>1533</v>
      </c>
      <c r="B1149" s="8">
        <f>IFERROR(__xludf.DUMMYFUNCTION("""COMPUTED_VALUE"""),1080.0)</f>
        <v>1080</v>
      </c>
      <c r="C1149" s="8">
        <f>IFERROR(__xludf.DUMMYFUNCTION("""COMPUTED_VALUE"""),30.0)</f>
        <v>30</v>
      </c>
      <c r="D1149" s="8" t="str">
        <f>IFERROR(__xludf.DUMMYFUNCTION("""COMPUTED_VALUE"""),"Pretty but not for me")</f>
        <v>Pretty but not for me</v>
      </c>
      <c r="E1149" s="8" t="str">
        <f>IFERROR(__xludf.DUMMYFUNCTION("""COMPUTED_VALUE"""),"I loved the colors and the feel of the fabric. it was a lovely dress but it fit weird on my 34 dd chest so back it goes. the zipper had one spot where it was tight, right at the widest part of my rib cage. it was fine every where else. too bad.")</f>
        <v>I loved the colors and the feel of the fabric. it was a lovely dress but it fit weird on my 34 dd chest so back it goes. the zipper had one spot where it was tight, right at the widest part of my rib cage. it was fine every where else. too bad.</v>
      </c>
      <c r="F1149" s="8">
        <f>IFERROR(__xludf.DUMMYFUNCTION("""COMPUTED_VALUE"""),4.0)</f>
        <v>4</v>
      </c>
      <c r="G1149" s="8">
        <f>IFERROR(__xludf.DUMMYFUNCTION("""COMPUTED_VALUE"""),1.0)</f>
        <v>1</v>
      </c>
      <c r="H1149" s="8">
        <f>IFERROR(__xludf.DUMMYFUNCTION("""COMPUTED_VALUE"""),2.0)</f>
        <v>2</v>
      </c>
      <c r="I1149" s="8" t="str">
        <f>IFERROR(__xludf.DUMMYFUNCTION("""COMPUTED_VALUE"""),"General")</f>
        <v>General</v>
      </c>
      <c r="J1149" s="8" t="str">
        <f>IFERROR(__xludf.DUMMYFUNCTION("""COMPUTED_VALUE"""),"Dresses")</f>
        <v>Dresses</v>
      </c>
      <c r="K1149" s="8" t="str">
        <f>IFERROR(__xludf.DUMMYFUNCTION("""COMPUTED_VALUE"""),"Dresses")</f>
        <v>Dresses</v>
      </c>
    </row>
    <row r="1150">
      <c r="A1150" s="8">
        <f>IFERROR(__xludf.DUMMYFUNCTION("""COMPUTED_VALUE"""),1534.0)</f>
        <v>1534</v>
      </c>
      <c r="B1150" s="8">
        <f>IFERROR(__xludf.DUMMYFUNCTION("""COMPUTED_VALUE"""),947.0)</f>
        <v>947</v>
      </c>
      <c r="C1150" s="8">
        <f>IFERROR(__xludf.DUMMYFUNCTION("""COMPUTED_VALUE"""),52.0)</f>
        <v>52</v>
      </c>
      <c r="D1150" s="8"/>
      <c r="E1150" s="8"/>
      <c r="F1150" s="8">
        <f>IFERROR(__xludf.DUMMYFUNCTION("""COMPUTED_VALUE"""),5.0)</f>
        <v>5</v>
      </c>
      <c r="G1150" s="8">
        <f>IFERROR(__xludf.DUMMYFUNCTION("""COMPUTED_VALUE"""),1.0)</f>
        <v>1</v>
      </c>
      <c r="H1150" s="8">
        <f>IFERROR(__xludf.DUMMYFUNCTION("""COMPUTED_VALUE"""),0.0)</f>
        <v>0</v>
      </c>
      <c r="I1150" s="8" t="str">
        <f>IFERROR(__xludf.DUMMYFUNCTION("""COMPUTED_VALUE"""),"General")</f>
        <v>General</v>
      </c>
      <c r="J1150" s="8" t="str">
        <f>IFERROR(__xludf.DUMMYFUNCTION("""COMPUTED_VALUE"""),"Tops")</f>
        <v>Tops</v>
      </c>
      <c r="K1150" s="8" t="str">
        <f>IFERROR(__xludf.DUMMYFUNCTION("""COMPUTED_VALUE"""),"Sweaters")</f>
        <v>Sweaters</v>
      </c>
    </row>
    <row r="1151">
      <c r="A1151" s="8">
        <f>IFERROR(__xludf.DUMMYFUNCTION("""COMPUTED_VALUE"""),1535.0)</f>
        <v>1535</v>
      </c>
      <c r="B1151" s="8">
        <f>IFERROR(__xludf.DUMMYFUNCTION("""COMPUTED_VALUE"""),831.0)</f>
        <v>831</v>
      </c>
      <c r="C1151" s="8">
        <f>IFERROR(__xludf.DUMMYFUNCTION("""COMPUTED_VALUE"""),42.0)</f>
        <v>42</v>
      </c>
      <c r="D1151" s="8" t="str">
        <f>IFERROR(__xludf.DUMMYFUNCTION("""COMPUTED_VALUE"""),"Very pretty")</f>
        <v>Very pretty</v>
      </c>
      <c r="E1151" s="8" t="str">
        <f>IFERROR(__xludf.DUMMYFUNCTION("""COMPUTED_VALUE"""),"I bought this blouse on sale in a medium because it was the last one left in the store. i usually wear a large, but surprisingly it fit. i'm a woman of color, and the off white and lace looks great with my complexion. i got many compliments on the blouse "&amp;"as i made my way to the register to check out. i can't wait to wear it this spring. i'll have to be careful when wearing this blouse because one good snag with a fingernail, or necklace and the lace will be torn. other than that, i'm very happy")</f>
        <v>I bought this blouse on sale in a medium because it was the last one left in the store. i usually wear a large, but surprisingly it fit. i'm a woman of color, and the off white and lace looks great with my complexion. i got many compliments on the blouse as i made my way to the register to check out. i can't wait to wear it this spring. i'll have to be careful when wearing this blouse because one good snag with a fingernail, or necklace and the lace will be torn. other than that, i'm very happy</v>
      </c>
      <c r="F1151" s="8">
        <f>IFERROR(__xludf.DUMMYFUNCTION("""COMPUTED_VALUE"""),4.0)</f>
        <v>4</v>
      </c>
      <c r="G1151" s="8">
        <f>IFERROR(__xludf.DUMMYFUNCTION("""COMPUTED_VALUE"""),1.0)</f>
        <v>1</v>
      </c>
      <c r="H1151" s="8">
        <f>IFERROR(__xludf.DUMMYFUNCTION("""COMPUTED_VALUE"""),0.0)</f>
        <v>0</v>
      </c>
      <c r="I1151" s="8" t="str">
        <f>IFERROR(__xludf.DUMMYFUNCTION("""COMPUTED_VALUE"""),"General Petite")</f>
        <v>General Petite</v>
      </c>
      <c r="J1151" s="8" t="str">
        <f>IFERROR(__xludf.DUMMYFUNCTION("""COMPUTED_VALUE"""),"Tops")</f>
        <v>Tops</v>
      </c>
      <c r="K1151" s="8" t="str">
        <f>IFERROR(__xludf.DUMMYFUNCTION("""COMPUTED_VALUE"""),"Blouses")</f>
        <v>Blouses</v>
      </c>
    </row>
    <row r="1152">
      <c r="A1152" s="8">
        <f>IFERROR(__xludf.DUMMYFUNCTION("""COMPUTED_VALUE"""),1537.0)</f>
        <v>1537</v>
      </c>
      <c r="B1152" s="8">
        <f>IFERROR(__xludf.DUMMYFUNCTION("""COMPUTED_VALUE"""),865.0)</f>
        <v>865</v>
      </c>
      <c r="C1152" s="8">
        <f>IFERROR(__xludf.DUMMYFUNCTION("""COMPUTED_VALUE"""),44.0)</f>
        <v>44</v>
      </c>
      <c r="D1152" s="8" t="str">
        <f>IFERROR(__xludf.DUMMYFUNCTION("""COMPUTED_VALUE"""),"Soft lace and beautiful color")</f>
        <v>Soft lace and beautiful color</v>
      </c>
      <c r="E1152" s="8" t="str">
        <f>IFERROR(__xludf.DUMMYFUNCTION("""COMPUTED_VALUE"""),"I strongly disagree with the previous reviewer. the shirt in our store was featured in all colors.  i chose the burnt orange color to try on and it is was incredibly soft!  i felt like i was wearing a t-shirt with an easy on and easy off feel. the flow of"&amp;" the shirt allows you to wear out or tuck in.  i paired with teal velvet crops and tucked the shirt in for more structure to the outfit. love!!!")</f>
        <v>I strongly disagree with the previous reviewer. the shirt in our store was featured in all colors.  i chose the burnt orange color to try on and it is was incredibly soft!  i felt like i was wearing a t-shirt with an easy on and easy off feel. the flow of the shirt allows you to wear out or tuck in.  i paired with teal velvet crops and tucked the shirt in for more structure to the outfit. love!!!</v>
      </c>
      <c r="F1152" s="8">
        <f>IFERROR(__xludf.DUMMYFUNCTION("""COMPUTED_VALUE"""),5.0)</f>
        <v>5</v>
      </c>
      <c r="G1152" s="8">
        <f>IFERROR(__xludf.DUMMYFUNCTION("""COMPUTED_VALUE"""),1.0)</f>
        <v>1</v>
      </c>
      <c r="H1152" s="8">
        <f>IFERROR(__xludf.DUMMYFUNCTION("""COMPUTED_VALUE"""),0.0)</f>
        <v>0</v>
      </c>
      <c r="I1152" s="8" t="str">
        <f>IFERROR(__xludf.DUMMYFUNCTION("""COMPUTED_VALUE"""),"General")</f>
        <v>General</v>
      </c>
      <c r="J1152" s="8" t="str">
        <f>IFERROR(__xludf.DUMMYFUNCTION("""COMPUTED_VALUE"""),"Tops")</f>
        <v>Tops</v>
      </c>
      <c r="K1152" s="8" t="str">
        <f>IFERROR(__xludf.DUMMYFUNCTION("""COMPUTED_VALUE"""),"Knits")</f>
        <v>Knits</v>
      </c>
    </row>
    <row r="1153">
      <c r="A1153" s="8">
        <f>IFERROR(__xludf.DUMMYFUNCTION("""COMPUTED_VALUE"""),1538.0)</f>
        <v>1538</v>
      </c>
      <c r="B1153" s="8">
        <f>IFERROR(__xludf.DUMMYFUNCTION("""COMPUTED_VALUE"""),947.0)</f>
        <v>947</v>
      </c>
      <c r="C1153" s="8">
        <f>IFERROR(__xludf.DUMMYFUNCTION("""COMPUTED_VALUE"""),52.0)</f>
        <v>52</v>
      </c>
      <c r="D1153" s="8"/>
      <c r="E1153" s="8" t="str">
        <f>IFERROR(__xludf.DUMMYFUNCTION("""COMPUTED_VALUE"""),"Love this sweater. fun for fall. soft fabric and runs true to size. will look great with jeans or dress pants.")</f>
        <v>Love this sweater. fun for fall. soft fabric and runs true to size. will look great with jeans or dress pants.</v>
      </c>
      <c r="F1153" s="8">
        <f>IFERROR(__xludf.DUMMYFUNCTION("""COMPUTED_VALUE"""),4.0)</f>
        <v>4</v>
      </c>
      <c r="G1153" s="8">
        <f>IFERROR(__xludf.DUMMYFUNCTION("""COMPUTED_VALUE"""),1.0)</f>
        <v>1</v>
      </c>
      <c r="H1153" s="8">
        <f>IFERROR(__xludf.DUMMYFUNCTION("""COMPUTED_VALUE"""),0.0)</f>
        <v>0</v>
      </c>
      <c r="I1153" s="8" t="str">
        <f>IFERROR(__xludf.DUMMYFUNCTION("""COMPUTED_VALUE"""),"General")</f>
        <v>General</v>
      </c>
      <c r="J1153" s="8" t="str">
        <f>IFERROR(__xludf.DUMMYFUNCTION("""COMPUTED_VALUE"""),"Tops")</f>
        <v>Tops</v>
      </c>
      <c r="K1153" s="8" t="str">
        <f>IFERROR(__xludf.DUMMYFUNCTION("""COMPUTED_VALUE"""),"Sweaters")</f>
        <v>Sweaters</v>
      </c>
    </row>
    <row r="1154">
      <c r="A1154" s="8">
        <f>IFERROR(__xludf.DUMMYFUNCTION("""COMPUTED_VALUE"""),1539.0)</f>
        <v>1539</v>
      </c>
      <c r="B1154" s="8">
        <f>IFERROR(__xludf.DUMMYFUNCTION("""COMPUTED_VALUE"""),947.0)</f>
        <v>947</v>
      </c>
      <c r="C1154" s="8">
        <f>IFERROR(__xludf.DUMMYFUNCTION("""COMPUTED_VALUE"""),38.0)</f>
        <v>38</v>
      </c>
      <c r="D1154" s="8" t="str">
        <f>IFERROR(__xludf.DUMMYFUNCTION("""COMPUTED_VALUE"""),"Great sweater!")</f>
        <v>Great sweater!</v>
      </c>
      <c r="E1154" s="8" t="str">
        <f>IFERROR(__xludf.DUMMYFUNCTION("""COMPUTED_VALUE"""),"The weave is very loose and chunky which i like but isn't so apparent in the picture. also the sleeves bell more than it looks like on the model. the color is a great caramel and it fit tts. i think it will be great on cooler days.")</f>
        <v>The weave is very loose and chunky which i like but isn't so apparent in the picture. also the sleeves bell more than it looks like on the model. the color is a great caramel and it fit tts. i think it will be great on cooler days.</v>
      </c>
      <c r="F1154" s="8">
        <f>IFERROR(__xludf.DUMMYFUNCTION("""COMPUTED_VALUE"""),4.0)</f>
        <v>4</v>
      </c>
      <c r="G1154" s="8">
        <f>IFERROR(__xludf.DUMMYFUNCTION("""COMPUTED_VALUE"""),1.0)</f>
        <v>1</v>
      </c>
      <c r="H1154" s="8">
        <f>IFERROR(__xludf.DUMMYFUNCTION("""COMPUTED_VALUE"""),3.0)</f>
        <v>3</v>
      </c>
      <c r="I1154" s="8" t="str">
        <f>IFERROR(__xludf.DUMMYFUNCTION("""COMPUTED_VALUE"""),"General")</f>
        <v>General</v>
      </c>
      <c r="J1154" s="8" t="str">
        <f>IFERROR(__xludf.DUMMYFUNCTION("""COMPUTED_VALUE"""),"Tops")</f>
        <v>Tops</v>
      </c>
      <c r="K1154" s="8" t="str">
        <f>IFERROR(__xludf.DUMMYFUNCTION("""COMPUTED_VALUE"""),"Sweaters")</f>
        <v>Sweaters</v>
      </c>
    </row>
    <row r="1155">
      <c r="A1155" s="8">
        <f>IFERROR(__xludf.DUMMYFUNCTION("""COMPUTED_VALUE"""),1540.0)</f>
        <v>1540</v>
      </c>
      <c r="B1155" s="8">
        <f>IFERROR(__xludf.DUMMYFUNCTION("""COMPUTED_VALUE"""),947.0)</f>
        <v>947</v>
      </c>
      <c r="C1155" s="8">
        <f>IFERROR(__xludf.DUMMYFUNCTION("""COMPUTED_VALUE"""),38.0)</f>
        <v>38</v>
      </c>
      <c r="D1155" s="8" t="str">
        <f>IFERROR(__xludf.DUMMYFUNCTION("""COMPUTED_VALUE"""),"Comfy and classic")</f>
        <v>Comfy and classic</v>
      </c>
      <c r="E1155" s="8" t="str">
        <f>IFERROR(__xludf.DUMMYFUNCTION("""COMPUTED_VALUE"""),"Love this sweater, do wish i sized up for a little longer length, but works great with high rise pants.  comfy and great color")</f>
        <v>Love this sweater, do wish i sized up for a little longer length, but works great with high rise pants.  comfy and great color</v>
      </c>
      <c r="F1155" s="8">
        <f>IFERROR(__xludf.DUMMYFUNCTION("""COMPUTED_VALUE"""),4.0)</f>
        <v>4</v>
      </c>
      <c r="G1155" s="8">
        <f>IFERROR(__xludf.DUMMYFUNCTION("""COMPUTED_VALUE"""),1.0)</f>
        <v>1</v>
      </c>
      <c r="H1155" s="8">
        <f>IFERROR(__xludf.DUMMYFUNCTION("""COMPUTED_VALUE"""),1.0)</f>
        <v>1</v>
      </c>
      <c r="I1155" s="8" t="str">
        <f>IFERROR(__xludf.DUMMYFUNCTION("""COMPUTED_VALUE"""),"General")</f>
        <v>General</v>
      </c>
      <c r="J1155" s="8" t="str">
        <f>IFERROR(__xludf.DUMMYFUNCTION("""COMPUTED_VALUE"""),"Tops")</f>
        <v>Tops</v>
      </c>
      <c r="K1155" s="8" t="str">
        <f>IFERROR(__xludf.DUMMYFUNCTION("""COMPUTED_VALUE"""),"Sweaters")</f>
        <v>Sweaters</v>
      </c>
    </row>
    <row r="1156">
      <c r="A1156" s="8">
        <f>IFERROR(__xludf.DUMMYFUNCTION("""COMPUTED_VALUE"""),1541.0)</f>
        <v>1541</v>
      </c>
      <c r="B1156" s="8">
        <f>IFERROR(__xludf.DUMMYFUNCTION("""COMPUTED_VALUE"""),424.0)</f>
        <v>424</v>
      </c>
      <c r="C1156" s="8">
        <f>IFERROR(__xludf.DUMMYFUNCTION("""COMPUTED_VALUE"""),29.0)</f>
        <v>29</v>
      </c>
      <c r="D1156" s="8"/>
      <c r="E1156" s="8" t="str">
        <f>IFERROR(__xludf.DUMMYFUNCTION("""COMPUTED_VALUE"""),"I felt inspired to write a review as soon as i put this on. the vest fits so well, and the thick fabric feels amazing. love the pockets! like the previous reviewer, i feel like i'll be able to wear this with workout clothes or with a dressier outfit. it h"&amp;"as an ever so slight racer back, so probably would look weird with sleeveless tops that come all the way to your shoulders, but i can already think about so many ways i want to wear it. the draping in the front also falls really nicely. great bu")</f>
        <v>I felt inspired to write a review as soon as i put this on. the vest fits so well, and the thick fabric feels amazing. love the pockets! like the previous reviewer, i feel like i'll be able to wear this with workout clothes or with a dressier outfit. it has an ever so slight racer back, so probably would look weird with sleeveless tops that come all the way to your shoulders, but i can already think about so many ways i want to wear it. the draping in the front also falls really nicely. great bu</v>
      </c>
      <c r="F1156" s="8">
        <f>IFERROR(__xludf.DUMMYFUNCTION("""COMPUTED_VALUE"""),5.0)</f>
        <v>5</v>
      </c>
      <c r="G1156" s="8">
        <f>IFERROR(__xludf.DUMMYFUNCTION("""COMPUTED_VALUE"""),1.0)</f>
        <v>1</v>
      </c>
      <c r="H1156" s="8">
        <f>IFERROR(__xludf.DUMMYFUNCTION("""COMPUTED_VALUE"""),1.0)</f>
        <v>1</v>
      </c>
      <c r="I1156" s="8" t="str">
        <f>IFERROR(__xludf.DUMMYFUNCTION("""COMPUTED_VALUE"""),"Initmates")</f>
        <v>Initmates</v>
      </c>
      <c r="J1156" s="8" t="str">
        <f>IFERROR(__xludf.DUMMYFUNCTION("""COMPUTED_VALUE"""),"Intimate")</f>
        <v>Intimate</v>
      </c>
      <c r="K1156" s="8" t="str">
        <f>IFERROR(__xludf.DUMMYFUNCTION("""COMPUTED_VALUE"""),"Lounge")</f>
        <v>Lounge</v>
      </c>
    </row>
    <row r="1157">
      <c r="A1157" s="8">
        <f>IFERROR(__xludf.DUMMYFUNCTION("""COMPUTED_VALUE"""),1542.0)</f>
        <v>1542</v>
      </c>
      <c r="B1157" s="8">
        <f>IFERROR(__xludf.DUMMYFUNCTION("""COMPUTED_VALUE"""),1020.0)</f>
        <v>1020</v>
      </c>
      <c r="C1157" s="8">
        <f>IFERROR(__xludf.DUMMYFUNCTION("""COMPUTED_VALUE"""),34.0)</f>
        <v>34</v>
      </c>
      <c r="D1157" s="8" t="str">
        <f>IFERROR(__xludf.DUMMYFUNCTION("""COMPUTED_VALUE"""),"Ideal fit and feel for gals with curves")</f>
        <v>Ideal fit and feel for gals with curves</v>
      </c>
      <c r="E1157" s="8" t="str">
        <f>IFERROR(__xludf.DUMMYFUNCTION("""COMPUTED_VALUE"""),"With my 5'9', hourglass frame, wider hips and having a baby, i wear normally sizes 10/12 (m/l) in most retailer skirts and dresses. however, with this, i was able to fit into an 8; it just sat higher up and was too form fitting for my liking. here are my "&amp;"thoughts:
_________
pros:
- lots of stretch and comfort.
- pockets! always a plus in my book :)
- will go with any top.
- nice length. fit me as in the model.
- very slimming.
- you could probably go down a size if you are slender with not wide hi")</f>
        <v>With my 5'9', hourglass frame, wider hips and having a baby, i wear normally sizes 10/12 (m/l) in most retailer skirts and dresses. however, with this, i was able to fit into an 8; it just sat higher up and was too form fitting for my liking. here are my thoughts:
_________
pros:
- lots of stretch and comfort.
- pockets! always a plus in my book :)
- will go with any top.
- nice length. fit me as in the model.
- very slimming.
- you could probably go down a size if you are slender with not wide hi</v>
      </c>
      <c r="F1157" s="8">
        <f>IFERROR(__xludf.DUMMYFUNCTION("""COMPUTED_VALUE"""),5.0)</f>
        <v>5</v>
      </c>
      <c r="G1157" s="8">
        <f>IFERROR(__xludf.DUMMYFUNCTION("""COMPUTED_VALUE"""),1.0)</f>
        <v>1</v>
      </c>
      <c r="H1157" s="8">
        <f>IFERROR(__xludf.DUMMYFUNCTION("""COMPUTED_VALUE"""),15.0)</f>
        <v>15</v>
      </c>
      <c r="I1157" s="8" t="str">
        <f>IFERROR(__xludf.DUMMYFUNCTION("""COMPUTED_VALUE"""),"General Petite")</f>
        <v>General Petite</v>
      </c>
      <c r="J1157" s="8" t="str">
        <f>IFERROR(__xludf.DUMMYFUNCTION("""COMPUTED_VALUE"""),"Bottoms")</f>
        <v>Bottoms</v>
      </c>
      <c r="K1157" s="8" t="str">
        <f>IFERROR(__xludf.DUMMYFUNCTION("""COMPUTED_VALUE"""),"Skirts")</f>
        <v>Skirts</v>
      </c>
    </row>
    <row r="1158">
      <c r="A1158" s="8">
        <f>IFERROR(__xludf.DUMMYFUNCTION("""COMPUTED_VALUE"""),1543.0)</f>
        <v>1543</v>
      </c>
      <c r="B1158" s="8">
        <f>IFERROR(__xludf.DUMMYFUNCTION("""COMPUTED_VALUE"""),1122.0)</f>
        <v>1122</v>
      </c>
      <c r="C1158" s="8">
        <f>IFERROR(__xludf.DUMMYFUNCTION("""COMPUTED_VALUE"""),62.0)</f>
        <v>62</v>
      </c>
      <c r="D1158" s="8" t="str">
        <f>IFERROR(__xludf.DUMMYFUNCTION("""COMPUTED_VALUE"""),"Madly in love!")</f>
        <v>Madly in love!</v>
      </c>
      <c r="E1158" s="8" t="str">
        <f>IFERROR(__xludf.DUMMYFUNCTION("""COMPUTED_VALUE"""),"This is a favulous cape...in fact i would buy another if there were other colors! it is oversized, playful, chic, dramatic and simply put a true statement piece. it will not be flattering to your figure...it is not suppose to...but it will show your true "&amp;"sense of style! wish it had pockets...i may add them for more play.")</f>
        <v>This is a favulous cape...in fact i would buy another if there were other colors! it is oversized, playful, chic, dramatic and simply put a true statement piece. it will not be flattering to your figure...it is not suppose to...but it will show your true sense of style! wish it had pockets...i may add them for more play.</v>
      </c>
      <c r="F1158" s="8">
        <f>IFERROR(__xludf.DUMMYFUNCTION("""COMPUTED_VALUE"""),5.0)</f>
        <v>5</v>
      </c>
      <c r="G1158" s="8">
        <f>IFERROR(__xludf.DUMMYFUNCTION("""COMPUTED_VALUE"""),1.0)</f>
        <v>1</v>
      </c>
      <c r="H1158" s="8">
        <f>IFERROR(__xludf.DUMMYFUNCTION("""COMPUTED_VALUE"""),2.0)</f>
        <v>2</v>
      </c>
      <c r="I1158" s="8" t="str">
        <f>IFERROR(__xludf.DUMMYFUNCTION("""COMPUTED_VALUE"""),"General")</f>
        <v>General</v>
      </c>
      <c r="J1158" s="8" t="str">
        <f>IFERROR(__xludf.DUMMYFUNCTION("""COMPUTED_VALUE"""),"Jackets")</f>
        <v>Jackets</v>
      </c>
      <c r="K1158" s="8" t="str">
        <f>IFERROR(__xludf.DUMMYFUNCTION("""COMPUTED_VALUE"""),"Outerwear")</f>
        <v>Outerwear</v>
      </c>
    </row>
    <row r="1159">
      <c r="A1159" s="8">
        <f>IFERROR(__xludf.DUMMYFUNCTION("""COMPUTED_VALUE"""),1544.0)</f>
        <v>1544</v>
      </c>
      <c r="B1159" s="8">
        <f>IFERROR(__xludf.DUMMYFUNCTION("""COMPUTED_VALUE"""),947.0)</f>
        <v>947</v>
      </c>
      <c r="C1159" s="8">
        <f>IFERROR(__xludf.DUMMYFUNCTION("""COMPUTED_VALUE"""),67.0)</f>
        <v>67</v>
      </c>
      <c r="D1159" s="8" t="str">
        <f>IFERROR(__xludf.DUMMYFUNCTION("""COMPUTED_VALUE"""),"Delaney pullover")</f>
        <v>Delaney pullover</v>
      </c>
      <c r="E1159" s="8" t="str">
        <f>IFERROR(__xludf.DUMMYFUNCTION("""COMPUTED_VALUE"""),"I saw this sweater online and had to try it. i went to my local retailer to try it on and i'm glad i did. i am usually a xs - s in tops and i thought this fit best in a medium. it's very chunky which is what i was looking for and so soft - not scratchy at"&amp;" all. it has wide bell sleeves, but that's very on trend right now. i am 5'4, 34b and it falls about an inch below the top of my jeans. it's not form fitting but so snugly. i plan on wearing it with dark denim skinnies, booties, and simple jewlery")</f>
        <v>I saw this sweater online and had to try it. i went to my local retailer to try it on and i'm glad i did. i am usually a xs - s in tops and i thought this fit best in a medium. it's very chunky which is what i was looking for and so soft - not scratchy at all. it has wide bell sleeves, but that's very on trend right now. i am 5'4, 34b and it falls about an inch below the top of my jeans. it's not form fitting but so snugly. i plan on wearing it with dark denim skinnies, booties, and simple jewlery</v>
      </c>
      <c r="F1159" s="8">
        <f>IFERROR(__xludf.DUMMYFUNCTION("""COMPUTED_VALUE"""),4.0)</f>
        <v>4</v>
      </c>
      <c r="G1159" s="8">
        <f>IFERROR(__xludf.DUMMYFUNCTION("""COMPUTED_VALUE"""),1.0)</f>
        <v>1</v>
      </c>
      <c r="H1159" s="8">
        <f>IFERROR(__xludf.DUMMYFUNCTION("""COMPUTED_VALUE"""),0.0)</f>
        <v>0</v>
      </c>
      <c r="I1159" s="8" t="str">
        <f>IFERROR(__xludf.DUMMYFUNCTION("""COMPUTED_VALUE"""),"General")</f>
        <v>General</v>
      </c>
      <c r="J1159" s="8" t="str">
        <f>IFERROR(__xludf.DUMMYFUNCTION("""COMPUTED_VALUE"""),"Tops")</f>
        <v>Tops</v>
      </c>
      <c r="K1159" s="8" t="str">
        <f>IFERROR(__xludf.DUMMYFUNCTION("""COMPUTED_VALUE"""),"Sweaters")</f>
        <v>Sweaters</v>
      </c>
    </row>
    <row r="1160">
      <c r="A1160" s="8">
        <f>IFERROR(__xludf.DUMMYFUNCTION("""COMPUTED_VALUE"""),1546.0)</f>
        <v>1546</v>
      </c>
      <c r="B1160" s="8">
        <f>IFERROR(__xludf.DUMMYFUNCTION("""COMPUTED_VALUE"""),850.0)</f>
        <v>850</v>
      </c>
      <c r="C1160" s="8">
        <f>IFERROR(__xludf.DUMMYFUNCTION("""COMPUTED_VALUE"""),67.0)</f>
        <v>67</v>
      </c>
      <c r="D1160" s="8" t="str">
        <f>IFERROR(__xludf.DUMMYFUNCTION("""COMPUTED_VALUE"""),"Best purchase anywhere lately!")</f>
        <v>Best purchase anywhere lately!</v>
      </c>
      <c r="E1160" s="8" t="str">
        <f>IFERROR(__xludf.DUMMYFUNCTION("""COMPUTED_VALUE"""),"These two blouses are probably my best purchases anywhere in some time. fit is perfect, quality is great and both will be worn many times this summer and into the fall. unique from the all other tops i have seen lately.")</f>
        <v>These two blouses are probably my best purchases anywhere in some time. fit is perfect, quality is great and both will be worn many times this summer and into the fall. unique from the all other tops i have seen lately.</v>
      </c>
      <c r="F1160" s="8">
        <f>IFERROR(__xludf.DUMMYFUNCTION("""COMPUTED_VALUE"""),5.0)</f>
        <v>5</v>
      </c>
      <c r="G1160" s="8">
        <f>IFERROR(__xludf.DUMMYFUNCTION("""COMPUTED_VALUE"""),1.0)</f>
        <v>1</v>
      </c>
      <c r="H1160" s="8">
        <f>IFERROR(__xludf.DUMMYFUNCTION("""COMPUTED_VALUE"""),4.0)</f>
        <v>4</v>
      </c>
      <c r="I1160" s="8" t="str">
        <f>IFERROR(__xludf.DUMMYFUNCTION("""COMPUTED_VALUE"""),"General")</f>
        <v>General</v>
      </c>
      <c r="J1160" s="8" t="str">
        <f>IFERROR(__xludf.DUMMYFUNCTION("""COMPUTED_VALUE"""),"Tops")</f>
        <v>Tops</v>
      </c>
      <c r="K1160" s="8" t="str">
        <f>IFERROR(__xludf.DUMMYFUNCTION("""COMPUTED_VALUE"""),"Blouses")</f>
        <v>Blouses</v>
      </c>
    </row>
    <row r="1161">
      <c r="A1161" s="8">
        <f>IFERROR(__xludf.DUMMYFUNCTION("""COMPUTED_VALUE"""),1547.0)</f>
        <v>1547</v>
      </c>
      <c r="B1161" s="8">
        <f>IFERROR(__xludf.DUMMYFUNCTION("""COMPUTED_VALUE"""),1020.0)</f>
        <v>1020</v>
      </c>
      <c r="C1161" s="8">
        <f>IFERROR(__xludf.DUMMYFUNCTION("""COMPUTED_VALUE"""),31.0)</f>
        <v>31</v>
      </c>
      <c r="D1161" s="8"/>
      <c r="E1161" s="8" t="str">
        <f>IFERROR(__xludf.DUMMYFUNCTION("""COMPUTED_VALUE"""),"This skirt is really cute and versatile, it can be dressed up or down. i paired it with a black chiffon top for a dressed up look and a denim button down for a casual look. the length is good, and the buckles allow it to be tightened, which is a plus if y"&amp;"ou have an athletic body.")</f>
        <v>This skirt is really cute and versatile, it can be dressed up or down. i paired it with a black chiffon top for a dressed up look and a denim button down for a casual look. the length is good, and the buckles allow it to be tightened, which is a plus if you have an athletic body.</v>
      </c>
      <c r="F1161" s="8">
        <f>IFERROR(__xludf.DUMMYFUNCTION("""COMPUTED_VALUE"""),5.0)</f>
        <v>5</v>
      </c>
      <c r="G1161" s="8">
        <f>IFERROR(__xludf.DUMMYFUNCTION("""COMPUTED_VALUE"""),1.0)</f>
        <v>1</v>
      </c>
      <c r="H1161" s="8">
        <f>IFERROR(__xludf.DUMMYFUNCTION("""COMPUTED_VALUE"""),0.0)</f>
        <v>0</v>
      </c>
      <c r="I1161" s="8" t="str">
        <f>IFERROR(__xludf.DUMMYFUNCTION("""COMPUTED_VALUE"""),"General Petite")</f>
        <v>General Petite</v>
      </c>
      <c r="J1161" s="8" t="str">
        <f>IFERROR(__xludf.DUMMYFUNCTION("""COMPUTED_VALUE"""),"Bottoms")</f>
        <v>Bottoms</v>
      </c>
      <c r="K1161" s="8" t="str">
        <f>IFERROR(__xludf.DUMMYFUNCTION("""COMPUTED_VALUE"""),"Skirts")</f>
        <v>Skirts</v>
      </c>
    </row>
    <row r="1162">
      <c r="A1162" s="8">
        <f>IFERROR(__xludf.DUMMYFUNCTION("""COMPUTED_VALUE"""),1548.0)</f>
        <v>1548</v>
      </c>
      <c r="B1162" s="8">
        <f>IFERROR(__xludf.DUMMYFUNCTION("""COMPUTED_VALUE"""),947.0)</f>
        <v>947</v>
      </c>
      <c r="C1162" s="8">
        <f>IFERROR(__xludf.DUMMYFUNCTION("""COMPUTED_VALUE"""),41.0)</f>
        <v>41</v>
      </c>
      <c r="D1162" s="8" t="str">
        <f>IFERROR(__xludf.DUMMYFUNCTION("""COMPUTED_VALUE"""),"Wish it loved me back!!!!")</f>
        <v>Wish it loved me back!!!!</v>
      </c>
      <c r="E1162" s="8" t="str">
        <f>IFERROR(__xludf.DUMMYFUNCTION("""COMPUTED_VALUE"""),"I adore this sweater. it is so soft and cozy. i ordered two because i really need some good winter sweaters that are forgiving on the pooch but not wool (darn allergies). so i ordered this in the white and black (camel is a bad color for me).
tried on th"&amp;"e first sweater when they arrived and it was so comfy i didn't want to take it off. then i looked in the mirror. i'm a tall gal, 5' 11"" with broad shoulders and i weigh about 165, and this sweater was so unflattering! it just made me look big")</f>
        <v>I adore this sweater. it is so soft and cozy. i ordered two because i really need some good winter sweaters that are forgiving on the pooch but not wool (darn allergies). so i ordered this in the white and black (camel is a bad color for me).
tried on the first sweater when they arrived and it was so comfy i didn't want to take it off. then i looked in the mirror. i'm a tall gal, 5' 11" with broad shoulders and i weigh about 165, and this sweater was so unflattering! it just made me look big</v>
      </c>
      <c r="F1162" s="8">
        <f>IFERROR(__xludf.DUMMYFUNCTION("""COMPUTED_VALUE"""),4.0)</f>
        <v>4</v>
      </c>
      <c r="G1162" s="8">
        <f>IFERROR(__xludf.DUMMYFUNCTION("""COMPUTED_VALUE"""),1.0)</f>
        <v>1</v>
      </c>
      <c r="H1162" s="8">
        <f>IFERROR(__xludf.DUMMYFUNCTION("""COMPUTED_VALUE"""),1.0)</f>
        <v>1</v>
      </c>
      <c r="I1162" s="8" t="str">
        <f>IFERROR(__xludf.DUMMYFUNCTION("""COMPUTED_VALUE"""),"General")</f>
        <v>General</v>
      </c>
      <c r="J1162" s="8" t="str">
        <f>IFERROR(__xludf.DUMMYFUNCTION("""COMPUTED_VALUE"""),"Tops")</f>
        <v>Tops</v>
      </c>
      <c r="K1162" s="8" t="str">
        <f>IFERROR(__xludf.DUMMYFUNCTION("""COMPUTED_VALUE"""),"Sweaters")</f>
        <v>Sweaters</v>
      </c>
    </row>
    <row r="1163">
      <c r="A1163" s="8">
        <f>IFERROR(__xludf.DUMMYFUNCTION("""COMPUTED_VALUE"""),1549.0)</f>
        <v>1549</v>
      </c>
      <c r="B1163" s="8">
        <f>IFERROR(__xludf.DUMMYFUNCTION("""COMPUTED_VALUE"""),1020.0)</f>
        <v>1020</v>
      </c>
      <c r="C1163" s="8">
        <f>IFERROR(__xludf.DUMMYFUNCTION("""COMPUTED_VALUE"""),61.0)</f>
        <v>61</v>
      </c>
      <c r="D1163" s="8" t="str">
        <f>IFERROR(__xludf.DUMMYFUNCTION("""COMPUTED_VALUE"""),"I love this skirt!")</f>
        <v>I love this skirt!</v>
      </c>
      <c r="E1163" s="8" t="str">
        <f>IFERROR(__xludf.DUMMYFUNCTION("""COMPUTED_VALUE"""),"I saw the skirt on a display today at my local store. i was attracted by the colors and the display itself. my thoughts, "" give it a chance"". i bought the size 10 without even trying it on, with the idea that the colors and style had so much potential, "&amp;"i am so pleased with this skirt! the fit is true, although if you like a higher ride on the waist, i would size down. the fabric has just the right amount of stretch to make it super comfortable. i had so many staple items in my wardrobe that i wi")</f>
        <v>I saw the skirt on a display today at my local store. i was attracted by the colors and the display itself. my thoughts, " give it a chance". i bought the size 10 without even trying it on, with the idea that the colors and style had so much potential, i am so pleased with this skirt! the fit is true, although if you like a higher ride on the waist, i would size down. the fabric has just the right amount of stretch to make it super comfortable. i had so many staple items in my wardrobe that i wi</v>
      </c>
      <c r="F1163" s="8">
        <f>IFERROR(__xludf.DUMMYFUNCTION("""COMPUTED_VALUE"""),5.0)</f>
        <v>5</v>
      </c>
      <c r="G1163" s="8">
        <f>IFERROR(__xludf.DUMMYFUNCTION("""COMPUTED_VALUE"""),1.0)</f>
        <v>1</v>
      </c>
      <c r="H1163" s="8">
        <f>IFERROR(__xludf.DUMMYFUNCTION("""COMPUTED_VALUE"""),1.0)</f>
        <v>1</v>
      </c>
      <c r="I1163" s="8" t="str">
        <f>IFERROR(__xludf.DUMMYFUNCTION("""COMPUTED_VALUE"""),"General Petite")</f>
        <v>General Petite</v>
      </c>
      <c r="J1163" s="8" t="str">
        <f>IFERROR(__xludf.DUMMYFUNCTION("""COMPUTED_VALUE"""),"Bottoms")</f>
        <v>Bottoms</v>
      </c>
      <c r="K1163" s="8" t="str">
        <f>IFERROR(__xludf.DUMMYFUNCTION("""COMPUTED_VALUE"""),"Skirts")</f>
        <v>Skirts</v>
      </c>
    </row>
    <row r="1164">
      <c r="A1164" s="8">
        <f>IFERROR(__xludf.DUMMYFUNCTION("""COMPUTED_VALUE"""),1550.0)</f>
        <v>1550</v>
      </c>
      <c r="B1164" s="8">
        <f>IFERROR(__xludf.DUMMYFUNCTION("""COMPUTED_VALUE"""),850.0)</f>
        <v>850</v>
      </c>
      <c r="C1164" s="8">
        <f>IFERROR(__xludf.DUMMYFUNCTION("""COMPUTED_VALUE"""),64.0)</f>
        <v>64</v>
      </c>
      <c r="D1164" s="8" t="str">
        <f>IFERROR(__xludf.DUMMYFUNCTION("""COMPUTED_VALUE"""),"Just as cute as expected")</f>
        <v>Just as cute as expected</v>
      </c>
      <c r="E1164" s="8" t="str">
        <f>IFERROR(__xludf.DUMMYFUNCTION("""COMPUTED_VALUE"""),"This shirt is exactly what i expected! it is just as cute as on the website and the fit was great! it's the perfect shirt for summer, loose fitting but in a flattering way. the design makes it very versatile since it can be matched with so many colors!
i"&amp;" highly recommend it!")</f>
        <v>This shirt is exactly what i expected! it is just as cute as on the website and the fit was great! it's the perfect shirt for summer, loose fitting but in a flattering way. the design makes it very versatile since it can be matched with so many colors!
i highly recommend it!</v>
      </c>
      <c r="F1164" s="8">
        <f>IFERROR(__xludf.DUMMYFUNCTION("""COMPUTED_VALUE"""),5.0)</f>
        <v>5</v>
      </c>
      <c r="G1164" s="8">
        <f>IFERROR(__xludf.DUMMYFUNCTION("""COMPUTED_VALUE"""),1.0)</f>
        <v>1</v>
      </c>
      <c r="H1164" s="8">
        <f>IFERROR(__xludf.DUMMYFUNCTION("""COMPUTED_VALUE"""),0.0)</f>
        <v>0</v>
      </c>
      <c r="I1164" s="8" t="str">
        <f>IFERROR(__xludf.DUMMYFUNCTION("""COMPUTED_VALUE"""),"General Petite")</f>
        <v>General Petite</v>
      </c>
      <c r="J1164" s="8" t="str">
        <f>IFERROR(__xludf.DUMMYFUNCTION("""COMPUTED_VALUE"""),"Tops")</f>
        <v>Tops</v>
      </c>
      <c r="K1164" s="8" t="str">
        <f>IFERROR(__xludf.DUMMYFUNCTION("""COMPUTED_VALUE"""),"Blouses")</f>
        <v>Blouses</v>
      </c>
    </row>
    <row r="1165">
      <c r="A1165" s="8">
        <f>IFERROR(__xludf.DUMMYFUNCTION("""COMPUTED_VALUE"""),1552.0)</f>
        <v>1552</v>
      </c>
      <c r="B1165" s="8">
        <f>IFERROR(__xludf.DUMMYFUNCTION("""COMPUTED_VALUE"""),947.0)</f>
        <v>947</v>
      </c>
      <c r="C1165" s="8">
        <f>IFERROR(__xludf.DUMMYFUNCTION("""COMPUTED_VALUE"""),47.0)</f>
        <v>47</v>
      </c>
      <c r="D1165" s="8" t="str">
        <f>IFERROR(__xludf.DUMMYFUNCTION("""COMPUTED_VALUE"""),"So flipping soft and pretty!")</f>
        <v>So flipping soft and pretty!</v>
      </c>
      <c r="E1165" s="8" t="str">
        <f>IFERROR(__xludf.DUMMYFUNCTION("""COMPUTED_VALUE"""),"This is really cute - it has a boxy look and bell-like sleeves. the knit is chunky and so very soft. i didn't want to take it off. i purchased an xs in black. it's gorgeous. my beige bra shows through so i will need to wear black or a camp underneath. it "&amp;"feels really heavy - in a good way - and it feels like it will be really warm. the black has a velvety look to it. i'm smitten. i should also mention that it did feel cropped to me - i know i read other reviews that said it wasn't cropped. i fee")</f>
        <v>This is really cute - it has a boxy look and bell-like sleeves. the knit is chunky and so very soft. i didn't want to take it off. i purchased an xs in black. it's gorgeous. my beige bra shows through so i will need to wear black or a camp underneath. it feels really heavy - in a good way - and it feels like it will be really warm. the black has a velvety look to it. i'm smitten. i should also mention that it did feel cropped to me - i know i read other reviews that said it wasn't cropped. i fee</v>
      </c>
      <c r="F1165" s="8">
        <f>IFERROR(__xludf.DUMMYFUNCTION("""COMPUTED_VALUE"""),4.0)</f>
        <v>4</v>
      </c>
      <c r="G1165" s="8">
        <f>IFERROR(__xludf.DUMMYFUNCTION("""COMPUTED_VALUE"""),1.0)</f>
        <v>1</v>
      </c>
      <c r="H1165" s="8">
        <f>IFERROR(__xludf.DUMMYFUNCTION("""COMPUTED_VALUE"""),1.0)</f>
        <v>1</v>
      </c>
      <c r="I1165" s="8" t="str">
        <f>IFERROR(__xludf.DUMMYFUNCTION("""COMPUTED_VALUE"""),"General")</f>
        <v>General</v>
      </c>
      <c r="J1165" s="8" t="str">
        <f>IFERROR(__xludf.DUMMYFUNCTION("""COMPUTED_VALUE"""),"Tops")</f>
        <v>Tops</v>
      </c>
      <c r="K1165" s="8" t="str">
        <f>IFERROR(__xludf.DUMMYFUNCTION("""COMPUTED_VALUE"""),"Sweaters")</f>
        <v>Sweaters</v>
      </c>
    </row>
    <row r="1166">
      <c r="A1166" s="8">
        <f>IFERROR(__xludf.DUMMYFUNCTION("""COMPUTED_VALUE"""),1554.0)</f>
        <v>1554</v>
      </c>
      <c r="B1166" s="8">
        <f>IFERROR(__xludf.DUMMYFUNCTION("""COMPUTED_VALUE"""),850.0)</f>
        <v>850</v>
      </c>
      <c r="C1166" s="8">
        <f>IFERROR(__xludf.DUMMYFUNCTION("""COMPUTED_VALUE"""),35.0)</f>
        <v>35</v>
      </c>
      <c r="D1166" s="8" t="str">
        <f>IFERROR(__xludf.DUMMYFUNCTION("""COMPUTED_VALUE"""),"So cute and unique!")</f>
        <v>So cute and unique!</v>
      </c>
      <c r="E1166" s="8" t="str">
        <f>IFERROR(__xludf.DUMMYFUNCTION("""COMPUTED_VALUE"""),"I saw the black in store and had to try on. it is very, very cute. i would say it fits a bit small. i tried my usual medium and while it fit, it was a little short. id take you could take your regular size or size up. i would not size down in this one. ad"&amp;"ding to my wish list and hoping it sticks around til sale time!")</f>
        <v>I saw the black in store and had to try on. it is very, very cute. i would say it fits a bit small. i tried my usual medium and while it fit, it was a little short. id take you could take your regular size or size up. i would not size down in this one. adding to my wish list and hoping it sticks around til sale time!</v>
      </c>
      <c r="F1166" s="8">
        <f>IFERROR(__xludf.DUMMYFUNCTION("""COMPUTED_VALUE"""),5.0)</f>
        <v>5</v>
      </c>
      <c r="G1166" s="8">
        <f>IFERROR(__xludf.DUMMYFUNCTION("""COMPUTED_VALUE"""),1.0)</f>
        <v>1</v>
      </c>
      <c r="H1166" s="8">
        <f>IFERROR(__xludf.DUMMYFUNCTION("""COMPUTED_VALUE"""),2.0)</f>
        <v>2</v>
      </c>
      <c r="I1166" s="8" t="str">
        <f>IFERROR(__xludf.DUMMYFUNCTION("""COMPUTED_VALUE"""),"General Petite")</f>
        <v>General Petite</v>
      </c>
      <c r="J1166" s="8" t="str">
        <f>IFERROR(__xludf.DUMMYFUNCTION("""COMPUTED_VALUE"""),"Tops")</f>
        <v>Tops</v>
      </c>
      <c r="K1166" s="8" t="str">
        <f>IFERROR(__xludf.DUMMYFUNCTION("""COMPUTED_VALUE"""),"Blouses")</f>
        <v>Blouses</v>
      </c>
    </row>
    <row r="1167">
      <c r="A1167" s="8">
        <f>IFERROR(__xludf.DUMMYFUNCTION("""COMPUTED_VALUE"""),1555.0)</f>
        <v>1555</v>
      </c>
      <c r="B1167" s="8">
        <f>IFERROR(__xludf.DUMMYFUNCTION("""COMPUTED_VALUE"""),1022.0)</f>
        <v>1022</v>
      </c>
      <c r="C1167" s="8">
        <f>IFERROR(__xludf.DUMMYFUNCTION("""COMPUTED_VALUE"""),26.0)</f>
        <v>26</v>
      </c>
      <c r="D1167" s="8" t="str">
        <f>IFERROR(__xludf.DUMMYFUNCTION("""COMPUTED_VALUE"""),"Dream pants do come true")</f>
        <v>Dream pants do come true</v>
      </c>
      <c r="E1167" s="8" t="str">
        <f>IFERROR(__xludf.DUMMYFUNCTION("""COMPUTED_VALUE"""),"Let it be known that i hate shopping for jeans. i recently had my go-to skinny jeans rip by my back pocket and new i needed to get something new &amp; better stat. i have a pair of black ag sateens that i got a few years ago, and i decided to try out this pai"&amp;"r. i got them in the mail yesterday, and i never want to part with them! they are perfection. they hit perfectly on my waist; they're incredibly comfortable and basically make you feel like you're wearing the jean equivalent to yoga pants. they")</f>
        <v>Let it be known that i hate shopping for jeans. i recently had my go-to skinny jeans rip by my back pocket and new i needed to get something new &amp; better stat. i have a pair of black ag sateens that i got a few years ago, and i decided to try out this pair. i got them in the mail yesterday, and i never want to part with them! they are perfection. they hit perfectly on my waist; they're incredibly comfortable and basically make you feel like you're wearing the jean equivalent to yoga pants. they</v>
      </c>
      <c r="F1167" s="8">
        <f>IFERROR(__xludf.DUMMYFUNCTION("""COMPUTED_VALUE"""),5.0)</f>
        <v>5</v>
      </c>
      <c r="G1167" s="8">
        <f>IFERROR(__xludf.DUMMYFUNCTION("""COMPUTED_VALUE"""),1.0)</f>
        <v>1</v>
      </c>
      <c r="H1167" s="8">
        <f>IFERROR(__xludf.DUMMYFUNCTION("""COMPUTED_VALUE"""),4.0)</f>
        <v>4</v>
      </c>
      <c r="I1167" s="8" t="str">
        <f>IFERROR(__xludf.DUMMYFUNCTION("""COMPUTED_VALUE"""),"General")</f>
        <v>General</v>
      </c>
      <c r="J1167" s="8" t="str">
        <f>IFERROR(__xludf.DUMMYFUNCTION("""COMPUTED_VALUE"""),"Bottoms")</f>
        <v>Bottoms</v>
      </c>
      <c r="K1167" s="8" t="str">
        <f>IFERROR(__xludf.DUMMYFUNCTION("""COMPUTED_VALUE"""),"Jeans")</f>
        <v>Jeans</v>
      </c>
    </row>
    <row r="1168">
      <c r="A1168" s="8">
        <f>IFERROR(__xludf.DUMMYFUNCTION("""COMPUTED_VALUE"""),1556.0)</f>
        <v>1556</v>
      </c>
      <c r="B1168" s="8">
        <f>IFERROR(__xludf.DUMMYFUNCTION("""COMPUTED_VALUE"""),862.0)</f>
        <v>862</v>
      </c>
      <c r="C1168" s="8">
        <f>IFERROR(__xludf.DUMMYFUNCTION("""COMPUTED_VALUE"""),35.0)</f>
        <v>35</v>
      </c>
      <c r="D1168" s="8" t="str">
        <f>IFERROR(__xludf.DUMMYFUNCTION("""COMPUTED_VALUE"""),"Nice")</f>
        <v>Nice</v>
      </c>
      <c r="E1168" s="8" t="str">
        <f>IFERROR(__xludf.DUMMYFUNCTION("""COMPUTED_VALUE"""),"Was scared at first to order this product, when i tried it on i was amazed on how good it looks. fits just like the model picture, and the material is awesome.")</f>
        <v>Was scared at first to order this product, when i tried it on i was amazed on how good it looks. fits just like the model picture, and the material is awesome.</v>
      </c>
      <c r="F1168" s="8">
        <f>IFERROR(__xludf.DUMMYFUNCTION("""COMPUTED_VALUE"""),5.0)</f>
        <v>5</v>
      </c>
      <c r="G1168" s="8">
        <f>IFERROR(__xludf.DUMMYFUNCTION("""COMPUTED_VALUE"""),1.0)</f>
        <v>1</v>
      </c>
      <c r="H1168" s="8">
        <f>IFERROR(__xludf.DUMMYFUNCTION("""COMPUTED_VALUE"""),0.0)</f>
        <v>0</v>
      </c>
      <c r="I1168" s="8" t="str">
        <f>IFERROR(__xludf.DUMMYFUNCTION("""COMPUTED_VALUE"""),"General")</f>
        <v>General</v>
      </c>
      <c r="J1168" s="8" t="str">
        <f>IFERROR(__xludf.DUMMYFUNCTION("""COMPUTED_VALUE"""),"Tops")</f>
        <v>Tops</v>
      </c>
      <c r="K1168" s="8" t="str">
        <f>IFERROR(__xludf.DUMMYFUNCTION("""COMPUTED_VALUE"""),"Knits")</f>
        <v>Knits</v>
      </c>
    </row>
    <row r="1169">
      <c r="A1169" s="8">
        <f>IFERROR(__xludf.DUMMYFUNCTION("""COMPUTED_VALUE"""),1557.0)</f>
        <v>1557</v>
      </c>
      <c r="B1169" s="8">
        <f>IFERROR(__xludf.DUMMYFUNCTION("""COMPUTED_VALUE"""),1078.0)</f>
        <v>1078</v>
      </c>
      <c r="C1169" s="8">
        <f>IFERROR(__xludf.DUMMYFUNCTION("""COMPUTED_VALUE"""),66.0)</f>
        <v>66</v>
      </c>
      <c r="D1169" s="8" t="str">
        <f>IFERROR(__xludf.DUMMYFUNCTION("""COMPUTED_VALUE"""),"Love it!")</f>
        <v>Love it!</v>
      </c>
      <c r="E1169" s="8" t="str">
        <f>IFERROR(__xludf.DUMMYFUNCTION("""COMPUTED_VALUE"""),"Great dress! wish it came it more colors, would like to buy another one. i am 5'5"",125, size small is perfect. unlike one of the previous reviewers, i do not think it is too clingy. maybe she needed to size up.very versital, cute with a jean jacket, or l"&amp;"ong lightweight scarf, booties, or sandals! .")</f>
        <v>Great dress! wish it came it more colors, would like to buy another one. i am 5'5",125, size small is perfect. unlike one of the previous reviewers, i do not think it is too clingy. maybe she needed to size up.very versital, cute with a jean jacket, or long lightweight scarf, booties, or sandals! .</v>
      </c>
      <c r="F1169" s="8">
        <f>IFERROR(__xludf.DUMMYFUNCTION("""COMPUTED_VALUE"""),5.0)</f>
        <v>5</v>
      </c>
      <c r="G1169" s="8">
        <f>IFERROR(__xludf.DUMMYFUNCTION("""COMPUTED_VALUE"""),1.0)</f>
        <v>1</v>
      </c>
      <c r="H1169" s="8">
        <f>IFERROR(__xludf.DUMMYFUNCTION("""COMPUTED_VALUE"""),2.0)</f>
        <v>2</v>
      </c>
      <c r="I1169" s="8" t="str">
        <f>IFERROR(__xludf.DUMMYFUNCTION("""COMPUTED_VALUE"""),"General")</f>
        <v>General</v>
      </c>
      <c r="J1169" s="8" t="str">
        <f>IFERROR(__xludf.DUMMYFUNCTION("""COMPUTED_VALUE"""),"Dresses")</f>
        <v>Dresses</v>
      </c>
      <c r="K1169" s="8" t="str">
        <f>IFERROR(__xludf.DUMMYFUNCTION("""COMPUTED_VALUE"""),"Dresses")</f>
        <v>Dresses</v>
      </c>
    </row>
    <row r="1170">
      <c r="A1170" s="8">
        <f>IFERROR(__xludf.DUMMYFUNCTION("""COMPUTED_VALUE"""),1558.0)</f>
        <v>1558</v>
      </c>
      <c r="B1170" s="8">
        <f>IFERROR(__xludf.DUMMYFUNCTION("""COMPUTED_VALUE"""),1078.0)</f>
        <v>1078</v>
      </c>
      <c r="C1170" s="8">
        <f>IFERROR(__xludf.DUMMYFUNCTION("""COMPUTED_VALUE"""),62.0)</f>
        <v>62</v>
      </c>
      <c r="D1170" s="8"/>
      <c r="E1170" s="8" t="str">
        <f>IFERROR(__xludf.DUMMYFUNCTION("""COMPUTED_VALUE"""),"This dress is perfect for spring and early summer. it has some weight to it and so it drapes beautifully. it is very well made and the fabric is good quality. the color is a medium color gray; much prettier than in the picture. i wear a small in most reta"&amp;"iler dresses and this fit perfectly in a small. it hugs in all the right places and skims from the hips just like in the picture.. the length was just as it looked on the model. i am 5' 5"".")</f>
        <v>This dress is perfect for spring and early summer. it has some weight to it and so it drapes beautifully. it is very well made and the fabric is good quality. the color is a medium color gray; much prettier than in the picture. i wear a small in most retailer dresses and this fit perfectly in a small. it hugs in all the right places and skims from the hips just like in the picture.. the length was just as it looked on the model. i am 5' 5".</v>
      </c>
      <c r="F1170" s="8">
        <f>IFERROR(__xludf.DUMMYFUNCTION("""COMPUTED_VALUE"""),5.0)</f>
        <v>5</v>
      </c>
      <c r="G1170" s="8">
        <f>IFERROR(__xludf.DUMMYFUNCTION("""COMPUTED_VALUE"""),1.0)</f>
        <v>1</v>
      </c>
      <c r="H1170" s="8">
        <f>IFERROR(__xludf.DUMMYFUNCTION("""COMPUTED_VALUE"""),7.0)</f>
        <v>7</v>
      </c>
      <c r="I1170" s="8" t="str">
        <f>IFERROR(__xludf.DUMMYFUNCTION("""COMPUTED_VALUE"""),"General")</f>
        <v>General</v>
      </c>
      <c r="J1170" s="8" t="str">
        <f>IFERROR(__xludf.DUMMYFUNCTION("""COMPUTED_VALUE"""),"Dresses")</f>
        <v>Dresses</v>
      </c>
      <c r="K1170" s="8" t="str">
        <f>IFERROR(__xludf.DUMMYFUNCTION("""COMPUTED_VALUE"""),"Dresses")</f>
        <v>Dresses</v>
      </c>
    </row>
    <row r="1171">
      <c r="A1171" s="8">
        <f>IFERROR(__xludf.DUMMYFUNCTION("""COMPUTED_VALUE"""),1559.0)</f>
        <v>1559</v>
      </c>
      <c r="B1171" s="8">
        <f>IFERROR(__xludf.DUMMYFUNCTION("""COMPUTED_VALUE"""),1077.0)</f>
        <v>1077</v>
      </c>
      <c r="C1171" s="8">
        <f>IFERROR(__xludf.DUMMYFUNCTION("""COMPUTED_VALUE"""),29.0)</f>
        <v>29</v>
      </c>
      <c r="D1171" s="8" t="str">
        <f>IFERROR(__xludf.DUMMYFUNCTION("""COMPUTED_VALUE"""),"Cute &amp; unique")</f>
        <v>Cute &amp; unique</v>
      </c>
      <c r="E1171" s="8" t="str">
        <f>IFERROR(__xludf.DUMMYFUNCTION("""COMPUTED_VALUE"""),"This is such a unique and fun dress. i'm so glad i found it and it fits perfectly!")</f>
        <v>This is such a unique and fun dress. i'm so glad i found it and it fits perfectly!</v>
      </c>
      <c r="F1171" s="8">
        <f>IFERROR(__xludf.DUMMYFUNCTION("""COMPUTED_VALUE"""),5.0)</f>
        <v>5</v>
      </c>
      <c r="G1171" s="8">
        <f>IFERROR(__xludf.DUMMYFUNCTION("""COMPUTED_VALUE"""),1.0)</f>
        <v>1</v>
      </c>
      <c r="H1171" s="8">
        <f>IFERROR(__xludf.DUMMYFUNCTION("""COMPUTED_VALUE"""),0.0)</f>
        <v>0</v>
      </c>
      <c r="I1171" s="8" t="str">
        <f>IFERROR(__xludf.DUMMYFUNCTION("""COMPUTED_VALUE"""),"General Petite")</f>
        <v>General Petite</v>
      </c>
      <c r="J1171" s="8" t="str">
        <f>IFERROR(__xludf.DUMMYFUNCTION("""COMPUTED_VALUE"""),"Dresses")</f>
        <v>Dresses</v>
      </c>
      <c r="K1171" s="8" t="str">
        <f>IFERROR(__xludf.DUMMYFUNCTION("""COMPUTED_VALUE"""),"Dresses")</f>
        <v>Dresses</v>
      </c>
    </row>
    <row r="1172">
      <c r="A1172" s="8">
        <f>IFERROR(__xludf.DUMMYFUNCTION("""COMPUTED_VALUE"""),1560.0)</f>
        <v>1560</v>
      </c>
      <c r="B1172" s="8">
        <f>IFERROR(__xludf.DUMMYFUNCTION("""COMPUTED_VALUE"""),1078.0)</f>
        <v>1078</v>
      </c>
      <c r="C1172" s="8">
        <f>IFERROR(__xludf.DUMMYFUNCTION("""COMPUTED_VALUE"""),33.0)</f>
        <v>33</v>
      </c>
      <c r="D1172" s="8" t="str">
        <f>IFERROR(__xludf.DUMMYFUNCTION("""COMPUTED_VALUE"""),"Lovely gem!!")</f>
        <v>Lovely gem!!</v>
      </c>
      <c r="E1172" s="8" t="str">
        <f>IFERROR(__xludf.DUMMYFUNCTION("""COMPUTED_VALUE"""),"I've passed this dress by a number of times online, but ordered it on a whim on the mothers day promo. based on the reviews, i ordered my regular size, medium. it fit perfectly. i do think the cut is on the trim side, but it isn't tight or fitted. i proba"&amp;"bly couldn't eat a big meal in this though as it would probably show in this dress. the fabric is buttery soft! the button placket down the front is very clean and lays flat. there are two side pleats that are a different fabric and are ever so")</f>
        <v>I've passed this dress by a number of times online, but ordered it on a whim on the mothers day promo. based on the reviews, i ordered my regular size, medium. it fit perfectly. i do think the cut is on the trim side, but it isn't tight or fitted. i probably couldn't eat a big meal in this though as it would probably show in this dress. the fabric is buttery soft! the button placket down the front is very clean and lays flat. there are two side pleats that are a different fabric and are ever so</v>
      </c>
      <c r="F1172" s="8">
        <f>IFERROR(__xludf.DUMMYFUNCTION("""COMPUTED_VALUE"""),5.0)</f>
        <v>5</v>
      </c>
      <c r="G1172" s="8">
        <f>IFERROR(__xludf.DUMMYFUNCTION("""COMPUTED_VALUE"""),1.0)</f>
        <v>1</v>
      </c>
      <c r="H1172" s="8">
        <f>IFERROR(__xludf.DUMMYFUNCTION("""COMPUTED_VALUE"""),2.0)</f>
        <v>2</v>
      </c>
      <c r="I1172" s="8" t="str">
        <f>IFERROR(__xludf.DUMMYFUNCTION("""COMPUTED_VALUE"""),"General")</f>
        <v>General</v>
      </c>
      <c r="J1172" s="8" t="str">
        <f>IFERROR(__xludf.DUMMYFUNCTION("""COMPUTED_VALUE"""),"Dresses")</f>
        <v>Dresses</v>
      </c>
      <c r="K1172" s="8" t="str">
        <f>IFERROR(__xludf.DUMMYFUNCTION("""COMPUTED_VALUE"""),"Dresses")</f>
        <v>Dresses</v>
      </c>
    </row>
    <row r="1173">
      <c r="A1173" s="8">
        <f>IFERROR(__xludf.DUMMYFUNCTION("""COMPUTED_VALUE"""),1561.0)</f>
        <v>1561</v>
      </c>
      <c r="B1173" s="8">
        <f>IFERROR(__xludf.DUMMYFUNCTION("""COMPUTED_VALUE"""),985.0)</f>
        <v>985</v>
      </c>
      <c r="C1173" s="8">
        <f>IFERROR(__xludf.DUMMYFUNCTION("""COMPUTED_VALUE"""),53.0)</f>
        <v>53</v>
      </c>
      <c r="D1173" s="8" t="str">
        <f>IFERROR(__xludf.DUMMYFUNCTION("""COMPUTED_VALUE"""),"Great twist on a cargo jacket")</f>
        <v>Great twist on a cargo jacket</v>
      </c>
      <c r="E1173" s="8" t="str">
        <f>IFERROR(__xludf.DUMMYFUNCTION("""COMPUTED_VALUE"""),"What a unique twist on the traditional cargo jacket! the swing styling on this jacket is so cute---not too full-, you still get a nice silhouette from the front, with the swing in the back this is a fresh take on this staple. it will be a ""go-to"" piece "&amp;"in my closet!! the quality of the material and tailoring on the jacket is wonderful!!! as other reviewers have commented, it does run large. i am exchanging it for a size down. i can't wait to get it in and wear it!")</f>
        <v>What a unique twist on the traditional cargo jacket! the swing styling on this jacket is so cute---not too full-, you still get a nice silhouette from the front, with the swing in the back this is a fresh take on this staple. it will be a "go-to" piece in my closet!! the quality of the material and tailoring on the jacket is wonderful!!! as other reviewers have commented, it does run large. i am exchanging it for a size down. i can't wait to get it in and wear it!</v>
      </c>
      <c r="F1173" s="8">
        <f>IFERROR(__xludf.DUMMYFUNCTION("""COMPUTED_VALUE"""),5.0)</f>
        <v>5</v>
      </c>
      <c r="G1173" s="8">
        <f>IFERROR(__xludf.DUMMYFUNCTION("""COMPUTED_VALUE"""),1.0)</f>
        <v>1</v>
      </c>
      <c r="H1173" s="8">
        <f>IFERROR(__xludf.DUMMYFUNCTION("""COMPUTED_VALUE"""),0.0)</f>
        <v>0</v>
      </c>
      <c r="I1173" s="8" t="str">
        <f>IFERROR(__xludf.DUMMYFUNCTION("""COMPUTED_VALUE"""),"General")</f>
        <v>General</v>
      </c>
      <c r="J1173" s="8" t="str">
        <f>IFERROR(__xludf.DUMMYFUNCTION("""COMPUTED_VALUE"""),"Jackets")</f>
        <v>Jackets</v>
      </c>
      <c r="K1173" s="8" t="str">
        <f>IFERROR(__xludf.DUMMYFUNCTION("""COMPUTED_VALUE"""),"Jackets")</f>
        <v>Jackets</v>
      </c>
    </row>
    <row r="1174">
      <c r="A1174" s="8">
        <f>IFERROR(__xludf.DUMMYFUNCTION("""COMPUTED_VALUE"""),1563.0)</f>
        <v>1563</v>
      </c>
      <c r="B1174" s="8">
        <f>IFERROR(__xludf.DUMMYFUNCTION("""COMPUTED_VALUE"""),996.0)</f>
        <v>996</v>
      </c>
      <c r="C1174" s="8">
        <f>IFERROR(__xludf.DUMMYFUNCTION("""COMPUTED_VALUE"""),39.0)</f>
        <v>39</v>
      </c>
      <c r="D1174" s="8" t="str">
        <f>IFERROR(__xludf.DUMMYFUNCTION("""COMPUTED_VALUE"""),"Dear eva")</f>
        <v>Dear eva</v>
      </c>
      <c r="E1174" s="8" t="str">
        <f>IFERROR(__xludf.DUMMYFUNCTION("""COMPUTED_VALUE"""),"You make classy stuff. this skirt is a nice take on a tweed skirt.
colors: can't tell from the picture, but there is red and pink thread as part of the tweed, very fun and happy, yet appropriate colors for fall and winter. the cut is very flattering, the "&amp;"scallop part is interesting though, it is sown at one part of the skirt, in the middle, not sure why. i ordered the 0p, and that fit me like a glove. (26.5 in waist, 35-36 in hips, 115 lbs).
length on the petite was above the knee, like show")</f>
        <v>You make classy stuff. this skirt is a nice take on a tweed skirt.
colors: can't tell from the picture, but there is red and pink thread as part of the tweed, very fun and happy, yet appropriate colors for fall and winter. the cut is very flattering, the scallop part is interesting though, it is sown at one part of the skirt, in the middle, not sure why. i ordered the 0p, and that fit me like a glove. (26.5 in waist, 35-36 in hips, 115 lbs).
length on the petite was above the knee, like show</v>
      </c>
      <c r="F1174" s="8">
        <f>IFERROR(__xludf.DUMMYFUNCTION("""COMPUTED_VALUE"""),5.0)</f>
        <v>5</v>
      </c>
      <c r="G1174" s="8">
        <f>IFERROR(__xludf.DUMMYFUNCTION("""COMPUTED_VALUE"""),1.0)</f>
        <v>1</v>
      </c>
      <c r="H1174" s="8">
        <f>IFERROR(__xludf.DUMMYFUNCTION("""COMPUTED_VALUE"""),1.0)</f>
        <v>1</v>
      </c>
      <c r="I1174" s="8" t="str">
        <f>IFERROR(__xludf.DUMMYFUNCTION("""COMPUTED_VALUE"""),"General Petite")</f>
        <v>General Petite</v>
      </c>
      <c r="J1174" s="8" t="str">
        <f>IFERROR(__xludf.DUMMYFUNCTION("""COMPUTED_VALUE"""),"Bottoms")</f>
        <v>Bottoms</v>
      </c>
      <c r="K1174" s="8" t="str">
        <f>IFERROR(__xludf.DUMMYFUNCTION("""COMPUTED_VALUE"""),"Skirts")</f>
        <v>Skirts</v>
      </c>
    </row>
    <row r="1175">
      <c r="A1175" s="8">
        <f>IFERROR(__xludf.DUMMYFUNCTION("""COMPUTED_VALUE"""),1565.0)</f>
        <v>1565</v>
      </c>
      <c r="B1175" s="8">
        <f>IFERROR(__xludf.DUMMYFUNCTION("""COMPUTED_VALUE"""),927.0)</f>
        <v>927</v>
      </c>
      <c r="C1175" s="8">
        <f>IFERROR(__xludf.DUMMYFUNCTION("""COMPUTED_VALUE"""),30.0)</f>
        <v>30</v>
      </c>
      <c r="D1175" s="8" t="str">
        <f>IFERROR(__xludf.DUMMYFUNCTION("""COMPUTED_VALUE"""),"Super cozy")</f>
        <v>Super cozy</v>
      </c>
      <c r="E1175" s="8" t="str">
        <f>IFERROR(__xludf.DUMMYFUNCTION("""COMPUTED_VALUE"""),"This is a steal at the sale price. medium is large on me and i'm generally a large at retailer. so soft.")</f>
        <v>This is a steal at the sale price. medium is large on me and i'm generally a large at retailer. so soft.</v>
      </c>
      <c r="F1175" s="8">
        <f>IFERROR(__xludf.DUMMYFUNCTION("""COMPUTED_VALUE"""),4.0)</f>
        <v>4</v>
      </c>
      <c r="G1175" s="8">
        <f>IFERROR(__xludf.DUMMYFUNCTION("""COMPUTED_VALUE"""),1.0)</f>
        <v>1</v>
      </c>
      <c r="H1175" s="8">
        <f>IFERROR(__xludf.DUMMYFUNCTION("""COMPUTED_VALUE"""),0.0)</f>
        <v>0</v>
      </c>
      <c r="I1175" s="8" t="str">
        <f>IFERROR(__xludf.DUMMYFUNCTION("""COMPUTED_VALUE"""),"General")</f>
        <v>General</v>
      </c>
      <c r="J1175" s="8" t="str">
        <f>IFERROR(__xludf.DUMMYFUNCTION("""COMPUTED_VALUE"""),"Tops")</f>
        <v>Tops</v>
      </c>
      <c r="K1175" s="8" t="str">
        <f>IFERROR(__xludf.DUMMYFUNCTION("""COMPUTED_VALUE"""),"Sweaters")</f>
        <v>Sweaters</v>
      </c>
    </row>
    <row r="1176">
      <c r="A1176" s="8">
        <f>IFERROR(__xludf.DUMMYFUNCTION("""COMPUTED_VALUE"""),1566.0)</f>
        <v>1566</v>
      </c>
      <c r="B1176" s="8">
        <f>IFERROR(__xludf.DUMMYFUNCTION("""COMPUTED_VALUE"""),1046.0)</f>
        <v>1046</v>
      </c>
      <c r="C1176" s="8">
        <f>IFERROR(__xludf.DUMMYFUNCTION("""COMPUTED_VALUE"""),49.0)</f>
        <v>49</v>
      </c>
      <c r="D1176" s="8" t="str">
        <f>IFERROR(__xludf.DUMMYFUNCTION("""COMPUTED_VALUE"""),"Attractive casual pants, nice texture and color")</f>
        <v>Attractive casual pants, nice texture and color</v>
      </c>
      <c r="E1176" s="8" t="str">
        <f>IFERROR(__xludf.DUMMYFUNCTION("""COMPUTED_VALUE"""),"I tried these on at the store and thought the color, texture and style was very nice, but i needed the petite length. so i came online but was disappointed to see that the style is sold out in petite! darn. the regular length hits me just above the ankle,"&amp;" so i suppose it is still do-able, but i hate to pay full price for something that doesn't fit quite right. maybe if it goes on sale i will consider it.")</f>
        <v>I tried these on at the store and thought the color, texture and style was very nice, but i needed the petite length. so i came online but was disappointed to see that the style is sold out in petite! darn. the regular length hits me just above the ankle, so i suppose it is still do-able, but i hate to pay full price for something that doesn't fit quite right. maybe if it goes on sale i will consider it.</v>
      </c>
      <c r="F1176" s="8">
        <f>IFERROR(__xludf.DUMMYFUNCTION("""COMPUTED_VALUE"""),5.0)</f>
        <v>5</v>
      </c>
      <c r="G1176" s="8">
        <f>IFERROR(__xludf.DUMMYFUNCTION("""COMPUTED_VALUE"""),1.0)</f>
        <v>1</v>
      </c>
      <c r="H1176" s="8">
        <f>IFERROR(__xludf.DUMMYFUNCTION("""COMPUTED_VALUE"""),0.0)</f>
        <v>0</v>
      </c>
      <c r="I1176" s="8" t="str">
        <f>IFERROR(__xludf.DUMMYFUNCTION("""COMPUTED_VALUE"""),"General Petite")</f>
        <v>General Petite</v>
      </c>
      <c r="J1176" s="8" t="str">
        <f>IFERROR(__xludf.DUMMYFUNCTION("""COMPUTED_VALUE"""),"Bottoms")</f>
        <v>Bottoms</v>
      </c>
      <c r="K1176" s="8" t="str">
        <f>IFERROR(__xludf.DUMMYFUNCTION("""COMPUTED_VALUE"""),"Pants")</f>
        <v>Pants</v>
      </c>
    </row>
    <row r="1177">
      <c r="A1177" s="8">
        <f>IFERROR(__xludf.DUMMYFUNCTION("""COMPUTED_VALUE"""),1567.0)</f>
        <v>1567</v>
      </c>
      <c r="B1177" s="8">
        <f>IFERROR(__xludf.DUMMYFUNCTION("""COMPUTED_VALUE"""),864.0)</f>
        <v>864</v>
      </c>
      <c r="C1177" s="8">
        <f>IFERROR(__xludf.DUMMYFUNCTION("""COMPUTED_VALUE"""),64.0)</f>
        <v>64</v>
      </c>
      <c r="D1177" s="8"/>
      <c r="E1177" s="8" t="str">
        <f>IFERROR(__xludf.DUMMYFUNCTION("""COMPUTED_VALUE"""),"Love the blue color. is a bit short, but fine with a tank underneath. i purchased the small, that's what i usually wear.")</f>
        <v>Love the blue color. is a bit short, but fine with a tank underneath. i purchased the small, that's what i usually wear.</v>
      </c>
      <c r="F1177" s="8">
        <f>IFERROR(__xludf.DUMMYFUNCTION("""COMPUTED_VALUE"""),5.0)</f>
        <v>5</v>
      </c>
      <c r="G1177" s="8">
        <f>IFERROR(__xludf.DUMMYFUNCTION("""COMPUTED_VALUE"""),1.0)</f>
        <v>1</v>
      </c>
      <c r="H1177" s="8">
        <f>IFERROR(__xludf.DUMMYFUNCTION("""COMPUTED_VALUE"""),2.0)</f>
        <v>2</v>
      </c>
      <c r="I1177" s="8" t="str">
        <f>IFERROR(__xludf.DUMMYFUNCTION("""COMPUTED_VALUE"""),"General")</f>
        <v>General</v>
      </c>
      <c r="J1177" s="8" t="str">
        <f>IFERROR(__xludf.DUMMYFUNCTION("""COMPUTED_VALUE"""),"Tops")</f>
        <v>Tops</v>
      </c>
      <c r="K1177" s="8" t="str">
        <f>IFERROR(__xludf.DUMMYFUNCTION("""COMPUTED_VALUE"""),"Knits")</f>
        <v>Knits</v>
      </c>
    </row>
    <row r="1178">
      <c r="A1178" s="8">
        <f>IFERROR(__xludf.DUMMYFUNCTION("""COMPUTED_VALUE"""),1568.0)</f>
        <v>1568</v>
      </c>
      <c r="B1178" s="8">
        <f>IFERROR(__xludf.DUMMYFUNCTION("""COMPUTED_VALUE"""),985.0)</f>
        <v>985</v>
      </c>
      <c r="C1178" s="8">
        <f>IFERROR(__xludf.DUMMYFUNCTION("""COMPUTED_VALUE"""),45.0)</f>
        <v>45</v>
      </c>
      <c r="D1178" s="8" t="str">
        <f>IFERROR(__xludf.DUMMYFUNCTION("""COMPUTED_VALUE"""),"My new fave!")</f>
        <v>My new fave!</v>
      </c>
      <c r="E1178" s="8" t="str">
        <f>IFERROR(__xludf.DUMMYFUNCTION("""COMPUTED_VALUE"""),"This jacket is perfect! the crop length is just right! not to short and the way it is cut longer in the back it really paints a beautiful silhouette on my larger frame. i'm a a 12 typically but broad in the shoulders and larger in the bust 36dd. this jack"&amp;"et is loose fitting and roomy. i could probably have gone with a large, but i'm really happy with the xl as i can layer underneath and it's just super roomy and comfy. the quality of this jacket is great. it will be a staple for years to come. i")</f>
        <v>This jacket is perfect! the crop length is just right! not to short and the way it is cut longer in the back it really paints a beautiful silhouette on my larger frame. i'm a a 12 typically but broad in the shoulders and larger in the bust 36dd. this jacket is loose fitting and roomy. i could probably have gone with a large, but i'm really happy with the xl as i can layer underneath and it's just super roomy and comfy. the quality of this jacket is great. it will be a staple for years to come. i</v>
      </c>
      <c r="F1178" s="8">
        <f>IFERROR(__xludf.DUMMYFUNCTION("""COMPUTED_VALUE"""),5.0)</f>
        <v>5</v>
      </c>
      <c r="G1178" s="8">
        <f>IFERROR(__xludf.DUMMYFUNCTION("""COMPUTED_VALUE"""),1.0)</f>
        <v>1</v>
      </c>
      <c r="H1178" s="8">
        <f>IFERROR(__xludf.DUMMYFUNCTION("""COMPUTED_VALUE"""),4.0)</f>
        <v>4</v>
      </c>
      <c r="I1178" s="8" t="str">
        <f>IFERROR(__xludf.DUMMYFUNCTION("""COMPUTED_VALUE"""),"General")</f>
        <v>General</v>
      </c>
      <c r="J1178" s="8" t="str">
        <f>IFERROR(__xludf.DUMMYFUNCTION("""COMPUTED_VALUE"""),"Jackets")</f>
        <v>Jackets</v>
      </c>
      <c r="K1178" s="8" t="str">
        <f>IFERROR(__xludf.DUMMYFUNCTION("""COMPUTED_VALUE"""),"Jackets")</f>
        <v>Jackets</v>
      </c>
    </row>
    <row r="1179">
      <c r="A1179" s="8">
        <f>IFERROR(__xludf.DUMMYFUNCTION("""COMPUTED_VALUE"""),1570.0)</f>
        <v>1570</v>
      </c>
      <c r="B1179" s="8">
        <f>IFERROR(__xludf.DUMMYFUNCTION("""COMPUTED_VALUE"""),862.0)</f>
        <v>862</v>
      </c>
      <c r="C1179" s="8">
        <f>IFERROR(__xludf.DUMMYFUNCTION("""COMPUTED_VALUE"""),32.0)</f>
        <v>32</v>
      </c>
      <c r="D1179" s="8" t="str">
        <f>IFERROR(__xludf.DUMMYFUNCTION("""COMPUTED_VALUE"""),"Sexy, simple top")</f>
        <v>Sexy, simple top</v>
      </c>
      <c r="E1179" s="8" t="str">
        <f>IFERROR(__xludf.DUMMYFUNCTION("""COMPUTED_VALUE"""),"I love this top. i got a medium in black on sale. i am 5'8'' and 135lbs. the medium fits great. the medium is slightly loose on me through the tummy, which is nice - in my experience, it is not too constraining, contrary to other reviews. however, i think"&amp;" it depends on your body shape; i am a coke-bottle. this will be a wardrobe staple for day to day and going out; note, it is too low-cut for work wear. very happy with my purchase.")</f>
        <v>I love this top. i got a medium in black on sale. i am 5'8'' and 135lbs. the medium fits great. the medium is slightly loose on me through the tummy, which is nice - in my experience, it is not too constraining, contrary to other reviews. however, i think it depends on your body shape; i am a coke-bottle. this will be a wardrobe staple for day to day and going out; note, it is too low-cut for work wear. very happy with my purchase.</v>
      </c>
      <c r="F1179" s="8">
        <f>IFERROR(__xludf.DUMMYFUNCTION("""COMPUTED_VALUE"""),5.0)</f>
        <v>5</v>
      </c>
      <c r="G1179" s="8">
        <f>IFERROR(__xludf.DUMMYFUNCTION("""COMPUTED_VALUE"""),1.0)</f>
        <v>1</v>
      </c>
      <c r="H1179" s="8">
        <f>IFERROR(__xludf.DUMMYFUNCTION("""COMPUTED_VALUE"""),0.0)</f>
        <v>0</v>
      </c>
      <c r="I1179" s="8" t="str">
        <f>IFERROR(__xludf.DUMMYFUNCTION("""COMPUTED_VALUE"""),"General")</f>
        <v>General</v>
      </c>
      <c r="J1179" s="8" t="str">
        <f>IFERROR(__xludf.DUMMYFUNCTION("""COMPUTED_VALUE"""),"Tops")</f>
        <v>Tops</v>
      </c>
      <c r="K1179" s="8" t="str">
        <f>IFERROR(__xludf.DUMMYFUNCTION("""COMPUTED_VALUE"""),"Knits")</f>
        <v>Knits</v>
      </c>
    </row>
    <row r="1180">
      <c r="A1180" s="8">
        <f>IFERROR(__xludf.DUMMYFUNCTION("""COMPUTED_VALUE"""),1571.0)</f>
        <v>1571</v>
      </c>
      <c r="B1180" s="8">
        <f>IFERROR(__xludf.DUMMYFUNCTION("""COMPUTED_VALUE"""),1046.0)</f>
        <v>1046</v>
      </c>
      <c r="C1180" s="8">
        <f>IFERROR(__xludf.DUMMYFUNCTION("""COMPUTED_VALUE"""),43.0)</f>
        <v>43</v>
      </c>
      <c r="D1180" s="8"/>
      <c r="E1180" s="8" t="str">
        <f>IFERROR(__xludf.DUMMYFUNCTION("""COMPUTED_VALUE"""),"These are some of my favorite new pants. i am never disappointed by the quality from this brand and they are super comfortable and adorable. a definite must have!")</f>
        <v>These are some of my favorite new pants. i am never disappointed by the quality from this brand and they are super comfortable and adorable. a definite must have!</v>
      </c>
      <c r="F1180" s="8">
        <f>IFERROR(__xludf.DUMMYFUNCTION("""COMPUTED_VALUE"""),5.0)</f>
        <v>5</v>
      </c>
      <c r="G1180" s="8">
        <f>IFERROR(__xludf.DUMMYFUNCTION("""COMPUTED_VALUE"""),1.0)</f>
        <v>1</v>
      </c>
      <c r="H1180" s="8">
        <f>IFERROR(__xludf.DUMMYFUNCTION("""COMPUTED_VALUE"""),2.0)</f>
        <v>2</v>
      </c>
      <c r="I1180" s="8" t="str">
        <f>IFERROR(__xludf.DUMMYFUNCTION("""COMPUTED_VALUE"""),"General Petite")</f>
        <v>General Petite</v>
      </c>
      <c r="J1180" s="8" t="str">
        <f>IFERROR(__xludf.DUMMYFUNCTION("""COMPUTED_VALUE"""),"Bottoms")</f>
        <v>Bottoms</v>
      </c>
      <c r="K1180" s="8" t="str">
        <f>IFERROR(__xludf.DUMMYFUNCTION("""COMPUTED_VALUE"""),"Pants")</f>
        <v>Pants</v>
      </c>
    </row>
    <row r="1181">
      <c r="A1181" s="8">
        <f>IFERROR(__xludf.DUMMYFUNCTION("""COMPUTED_VALUE"""),1573.0)</f>
        <v>1573</v>
      </c>
      <c r="B1181" s="8">
        <f>IFERROR(__xludf.DUMMYFUNCTION("""COMPUTED_VALUE"""),1072.0)</f>
        <v>1072</v>
      </c>
      <c r="C1181" s="8">
        <f>IFERROR(__xludf.DUMMYFUNCTION("""COMPUTED_VALUE"""),53.0)</f>
        <v>53</v>
      </c>
      <c r="D1181" s="8"/>
      <c r="E1181" s="8"/>
      <c r="F1181" s="8">
        <f>IFERROR(__xludf.DUMMYFUNCTION("""COMPUTED_VALUE"""),4.0)</f>
        <v>4</v>
      </c>
      <c r="G1181" s="8">
        <f>IFERROR(__xludf.DUMMYFUNCTION("""COMPUTED_VALUE"""),1.0)</f>
        <v>1</v>
      </c>
      <c r="H1181" s="8">
        <f>IFERROR(__xludf.DUMMYFUNCTION("""COMPUTED_VALUE"""),0.0)</f>
        <v>0</v>
      </c>
      <c r="I1181" s="8" t="str">
        <f>IFERROR(__xludf.DUMMYFUNCTION("""COMPUTED_VALUE"""),"General")</f>
        <v>General</v>
      </c>
      <c r="J1181" s="8" t="str">
        <f>IFERROR(__xludf.DUMMYFUNCTION("""COMPUTED_VALUE"""),"Dresses")</f>
        <v>Dresses</v>
      </c>
      <c r="K1181" s="8" t="str">
        <f>IFERROR(__xludf.DUMMYFUNCTION("""COMPUTED_VALUE"""),"Dresses")</f>
        <v>Dresses</v>
      </c>
    </row>
    <row r="1182">
      <c r="A1182" s="8">
        <f>IFERROR(__xludf.DUMMYFUNCTION("""COMPUTED_VALUE"""),1574.0)</f>
        <v>1574</v>
      </c>
      <c r="B1182" s="8">
        <f>IFERROR(__xludf.DUMMYFUNCTION("""COMPUTED_VALUE"""),1080.0)</f>
        <v>1080</v>
      </c>
      <c r="C1182" s="8">
        <f>IFERROR(__xludf.DUMMYFUNCTION("""COMPUTED_VALUE"""),41.0)</f>
        <v>41</v>
      </c>
      <c r="D1182" s="8" t="str">
        <f>IFERROR(__xludf.DUMMYFUNCTION("""COMPUTED_VALUE"""),"So flattering!")</f>
        <v>So flattering!</v>
      </c>
      <c r="E1182" s="8" t="str">
        <f>IFERROR(__xludf.DUMMYFUNCTION("""COMPUTED_VALUE"""),"I'm surprised by the negative reviews and i'm here to come to its defense! i love this dress! i'm solidly a 0 petite in tracy reese and this fit perfectly. the top isn't snug but it's not roomy enough to say it runs large. just perfectly comfortable. the "&amp;"belt was a little tricky because it has to thread through several loops, but it stays put nicely and fit perfectly without being too snug or uncomfortable. the fitted top with the belt offsets the fit and flare style of the skirt. lace is beauti")</f>
        <v>I'm surprised by the negative reviews and i'm here to come to its defense! i love this dress! i'm solidly a 0 petite in tracy reese and this fit perfectly. the top isn't snug but it's not roomy enough to say it runs large. just perfectly comfortable. the belt was a little tricky because it has to thread through several loops, but it stays put nicely and fit perfectly without being too snug or uncomfortable. the fitted top with the belt offsets the fit and flare style of the skirt. lace is beauti</v>
      </c>
      <c r="F1182" s="8">
        <f>IFERROR(__xludf.DUMMYFUNCTION("""COMPUTED_VALUE"""),5.0)</f>
        <v>5</v>
      </c>
      <c r="G1182" s="8">
        <f>IFERROR(__xludf.DUMMYFUNCTION("""COMPUTED_VALUE"""),1.0)</f>
        <v>1</v>
      </c>
      <c r="H1182" s="8">
        <f>IFERROR(__xludf.DUMMYFUNCTION("""COMPUTED_VALUE"""),0.0)</f>
        <v>0</v>
      </c>
      <c r="I1182" s="8" t="str">
        <f>IFERROR(__xludf.DUMMYFUNCTION("""COMPUTED_VALUE"""),"General")</f>
        <v>General</v>
      </c>
      <c r="J1182" s="8" t="str">
        <f>IFERROR(__xludf.DUMMYFUNCTION("""COMPUTED_VALUE"""),"Dresses")</f>
        <v>Dresses</v>
      </c>
      <c r="K1182" s="8" t="str">
        <f>IFERROR(__xludf.DUMMYFUNCTION("""COMPUTED_VALUE"""),"Dresses")</f>
        <v>Dresses</v>
      </c>
    </row>
    <row r="1183">
      <c r="A1183" s="8">
        <f>IFERROR(__xludf.DUMMYFUNCTION("""COMPUTED_VALUE"""),1575.0)</f>
        <v>1575</v>
      </c>
      <c r="B1183" s="8">
        <f>IFERROR(__xludf.DUMMYFUNCTION("""COMPUTED_VALUE"""),985.0)</f>
        <v>985</v>
      </c>
      <c r="C1183" s="8">
        <f>IFERROR(__xludf.DUMMYFUNCTION("""COMPUTED_VALUE"""),40.0)</f>
        <v>40</v>
      </c>
      <c r="D1183" s="8" t="str">
        <f>IFERROR(__xludf.DUMMYFUNCTION("""COMPUTED_VALUE"""),"Cute style but runs big!")</f>
        <v>Cute style but runs big!</v>
      </c>
      <c r="E1183" s="8" t="str">
        <f>IFERROR(__xludf.DUMMYFUNCTION("""COMPUTED_VALUE"""),"I have been on the hunt for a replacement cargo jacket for about a year now. i thought this one was going to be it!! ordered it right away. i got it in an xl as retailer coats always seem to run small on me (i am very busty so sometimes the more fitted st"&amp;"yles won't even close without a big gap). this is not the case with this jacket. it runs really big - it looks like it could be an xxxl...but the design is great with a zipper and button closures, pockets and cute back cut...the color is slightly")</f>
        <v>I have been on the hunt for a replacement cargo jacket for about a year now. i thought this one was going to be it!! ordered it right away. i got it in an xl as retailer coats always seem to run small on me (i am very busty so sometimes the more fitted styles won't even close without a big gap). this is not the case with this jacket. it runs really big - it looks like it could be an xxxl...but the design is great with a zipper and button closures, pockets and cute back cut...the color is slightly</v>
      </c>
      <c r="F1183" s="8">
        <f>IFERROR(__xludf.DUMMYFUNCTION("""COMPUTED_VALUE"""),4.0)</f>
        <v>4</v>
      </c>
      <c r="G1183" s="8">
        <f>IFERROR(__xludf.DUMMYFUNCTION("""COMPUTED_VALUE"""),1.0)</f>
        <v>1</v>
      </c>
      <c r="H1183" s="8">
        <f>IFERROR(__xludf.DUMMYFUNCTION("""COMPUTED_VALUE"""),2.0)</f>
        <v>2</v>
      </c>
      <c r="I1183" s="8" t="str">
        <f>IFERROR(__xludf.DUMMYFUNCTION("""COMPUTED_VALUE"""),"General")</f>
        <v>General</v>
      </c>
      <c r="J1183" s="8" t="str">
        <f>IFERROR(__xludf.DUMMYFUNCTION("""COMPUTED_VALUE"""),"Jackets")</f>
        <v>Jackets</v>
      </c>
      <c r="K1183" s="8" t="str">
        <f>IFERROR(__xludf.DUMMYFUNCTION("""COMPUTED_VALUE"""),"Jackets")</f>
        <v>Jackets</v>
      </c>
    </row>
    <row r="1184">
      <c r="A1184" s="8">
        <f>IFERROR(__xludf.DUMMYFUNCTION("""COMPUTED_VALUE"""),1577.0)</f>
        <v>1577</v>
      </c>
      <c r="B1184" s="8">
        <f>IFERROR(__xludf.DUMMYFUNCTION("""COMPUTED_VALUE"""),927.0)</f>
        <v>927</v>
      </c>
      <c r="C1184" s="8">
        <f>IFERROR(__xludf.DUMMYFUNCTION("""COMPUTED_VALUE"""),68.0)</f>
        <v>68</v>
      </c>
      <c r="D1184" s="8" t="str">
        <f>IFERROR(__xludf.DUMMYFUNCTION("""COMPUTED_VALUE"""),"A/c is running")</f>
        <v>A/c is running</v>
      </c>
      <c r="E1184" s="8" t="str">
        <f>IFERROR(__xludf.DUMMYFUNCTION("""COMPUTED_VALUE"""),"Received december 23 and 83 degrees in louisiana but weather can change from hot to cold in an hour. this sweater is so soft, so cozy, i'm ready to run the air conditioning! beautiful styling, well-made, and has a generous fit that you may or may not pref"&amp;"er. this will be one of my very favorite garments . luxurious, and i deserve it. i ordered a large, have long arms, and the sleeves do come over hand as shown in photo. it is very loose and flows over my jeans. i am an extremely difficult to ple")</f>
        <v>Received december 23 and 83 degrees in louisiana but weather can change from hot to cold in an hour. this sweater is so soft, so cozy, i'm ready to run the air conditioning! beautiful styling, well-made, and has a generous fit that you may or may not prefer. this will be one of my very favorite garments . luxurious, and i deserve it. i ordered a large, have long arms, and the sleeves do come over hand as shown in photo. it is very loose and flows over my jeans. i am an extremely difficult to ple</v>
      </c>
      <c r="F1184" s="8">
        <f>IFERROR(__xludf.DUMMYFUNCTION("""COMPUTED_VALUE"""),5.0)</f>
        <v>5</v>
      </c>
      <c r="G1184" s="8">
        <f>IFERROR(__xludf.DUMMYFUNCTION("""COMPUTED_VALUE"""),1.0)</f>
        <v>1</v>
      </c>
      <c r="H1184" s="8">
        <f>IFERROR(__xludf.DUMMYFUNCTION("""COMPUTED_VALUE"""),0.0)</f>
        <v>0</v>
      </c>
      <c r="I1184" s="8" t="str">
        <f>IFERROR(__xludf.DUMMYFUNCTION("""COMPUTED_VALUE"""),"General")</f>
        <v>General</v>
      </c>
      <c r="J1184" s="8" t="str">
        <f>IFERROR(__xludf.DUMMYFUNCTION("""COMPUTED_VALUE"""),"Tops")</f>
        <v>Tops</v>
      </c>
      <c r="K1184" s="8" t="str">
        <f>IFERROR(__xludf.DUMMYFUNCTION("""COMPUTED_VALUE"""),"Sweaters")</f>
        <v>Sweaters</v>
      </c>
    </row>
    <row r="1185">
      <c r="A1185" s="8">
        <f>IFERROR(__xludf.DUMMYFUNCTION("""COMPUTED_VALUE"""),1578.0)</f>
        <v>1578</v>
      </c>
      <c r="B1185" s="8">
        <f>IFERROR(__xludf.DUMMYFUNCTION("""COMPUTED_VALUE"""),1078.0)</f>
        <v>1078</v>
      </c>
      <c r="C1185" s="8">
        <f>IFERROR(__xludf.DUMMYFUNCTION("""COMPUTED_VALUE"""),65.0)</f>
        <v>65</v>
      </c>
      <c r="D1185" s="8"/>
      <c r="E1185" s="8" t="str">
        <f>IFERROR(__xludf.DUMMYFUNCTION("""COMPUTED_VALUE"""),"Absolutely love, love this dress. it is so comfortable and falls perfectly. the material is great and you can dress it up or wear it casually. if it had more colors, i would get it it in any color it came in!!")</f>
        <v>Absolutely love, love this dress. it is so comfortable and falls perfectly. the material is great and you can dress it up or wear it casually. if it had more colors, i would get it it in any color it came in!!</v>
      </c>
      <c r="F1185" s="8">
        <f>IFERROR(__xludf.DUMMYFUNCTION("""COMPUTED_VALUE"""),5.0)</f>
        <v>5</v>
      </c>
      <c r="G1185" s="8">
        <f>IFERROR(__xludf.DUMMYFUNCTION("""COMPUTED_VALUE"""),1.0)</f>
        <v>1</v>
      </c>
      <c r="H1185" s="8">
        <f>IFERROR(__xludf.DUMMYFUNCTION("""COMPUTED_VALUE"""),2.0)</f>
        <v>2</v>
      </c>
      <c r="I1185" s="8" t="str">
        <f>IFERROR(__xludf.DUMMYFUNCTION("""COMPUTED_VALUE"""),"General Petite")</f>
        <v>General Petite</v>
      </c>
      <c r="J1185" s="8" t="str">
        <f>IFERROR(__xludf.DUMMYFUNCTION("""COMPUTED_VALUE"""),"Dresses")</f>
        <v>Dresses</v>
      </c>
      <c r="K1185" s="8" t="str">
        <f>IFERROR(__xludf.DUMMYFUNCTION("""COMPUTED_VALUE"""),"Dresses")</f>
        <v>Dresses</v>
      </c>
    </row>
    <row r="1186">
      <c r="A1186" s="8">
        <f>IFERROR(__xludf.DUMMYFUNCTION("""COMPUTED_VALUE"""),1579.0)</f>
        <v>1579</v>
      </c>
      <c r="B1186" s="8">
        <f>IFERROR(__xludf.DUMMYFUNCTION("""COMPUTED_VALUE"""),1072.0)</f>
        <v>1072</v>
      </c>
      <c r="C1186" s="8">
        <f>IFERROR(__xludf.DUMMYFUNCTION("""COMPUTED_VALUE"""),39.0)</f>
        <v>39</v>
      </c>
      <c r="D1186" s="8" t="str">
        <f>IFERROR(__xludf.DUMMYFUNCTION("""COMPUTED_VALUE"""),"Runs really small")</f>
        <v>Runs really small</v>
      </c>
      <c r="E1186" s="8" t="str">
        <f>IFERROR(__xludf.DUMMYFUNCTION("""COMPUTED_VALUE"""),"This dress is very small in the bust and maxi length on short people (5'3"" 36dd). i can't wear a normal bra, i have to use adhesive pasties. the fabric is very smooth, thick and satin like, but fuzzes easily. mine came with minor thread pulls and one str"&amp;"ap was sewn on twisted. the pattern in real life is very pink as opposed to the model sample which has more blue landscape. i'd like to hem the dress but i would sacrifice pattern. still very pretty dress. be sure to size up one or two depending")</f>
        <v>This dress is very small in the bust and maxi length on short people (5'3" 36dd). i can't wear a normal bra, i have to use adhesive pasties. the fabric is very smooth, thick and satin like, but fuzzes easily. mine came with minor thread pulls and one strap was sewn on twisted. the pattern in real life is very pink as opposed to the model sample which has more blue landscape. i'd like to hem the dress but i would sacrifice pattern. still very pretty dress. be sure to size up one or two depending</v>
      </c>
      <c r="F1186" s="8">
        <f>IFERROR(__xludf.DUMMYFUNCTION("""COMPUTED_VALUE"""),4.0)</f>
        <v>4</v>
      </c>
      <c r="G1186" s="8">
        <f>IFERROR(__xludf.DUMMYFUNCTION("""COMPUTED_VALUE"""),1.0)</f>
        <v>1</v>
      </c>
      <c r="H1186" s="8">
        <f>IFERROR(__xludf.DUMMYFUNCTION("""COMPUTED_VALUE"""),0.0)</f>
        <v>0</v>
      </c>
      <c r="I1186" s="8" t="str">
        <f>IFERROR(__xludf.DUMMYFUNCTION("""COMPUTED_VALUE"""),"General")</f>
        <v>General</v>
      </c>
      <c r="J1186" s="8" t="str">
        <f>IFERROR(__xludf.DUMMYFUNCTION("""COMPUTED_VALUE"""),"Dresses")</f>
        <v>Dresses</v>
      </c>
      <c r="K1186" s="8" t="str">
        <f>IFERROR(__xludf.DUMMYFUNCTION("""COMPUTED_VALUE"""),"Dresses")</f>
        <v>Dresses</v>
      </c>
    </row>
    <row r="1187">
      <c r="A1187" s="8">
        <f>IFERROR(__xludf.DUMMYFUNCTION("""COMPUTED_VALUE"""),1580.0)</f>
        <v>1580</v>
      </c>
      <c r="B1187" s="8">
        <f>IFERROR(__xludf.DUMMYFUNCTION("""COMPUTED_VALUE"""),1078.0)</f>
        <v>1078</v>
      </c>
      <c r="C1187" s="8">
        <f>IFERROR(__xludf.DUMMYFUNCTION("""COMPUTED_VALUE"""),43.0)</f>
        <v>43</v>
      </c>
      <c r="D1187" s="8" t="str">
        <f>IFERROR(__xludf.DUMMYFUNCTION("""COMPUTED_VALUE"""),"Elegant comfort")</f>
        <v>Elegant comfort</v>
      </c>
      <c r="E1187" s="8" t="str">
        <f>IFERROR(__xludf.DUMMYFUNCTION("""COMPUTED_VALUE"""),"I bought this dress with my birthday gift and i do not regret it! it's so soft and feels like pure comfort but the details, little metal buttons down the front, the vent pleats on the side; make it feel special. i received many compliments and i would urg"&amp;"e you to get this one if you are seeking comfort. it was pretty true to size and because i'm an average height i wore a small block heel with it.")</f>
        <v>I bought this dress with my birthday gift and i do not regret it! it's so soft and feels like pure comfort but the details, little metal buttons down the front, the vent pleats on the side; make it feel special. i received many compliments and i would urge you to get this one if you are seeking comfort. it was pretty true to size and because i'm an average height i wore a small block heel with it.</v>
      </c>
      <c r="F1187" s="8">
        <f>IFERROR(__xludf.DUMMYFUNCTION("""COMPUTED_VALUE"""),5.0)</f>
        <v>5</v>
      </c>
      <c r="G1187" s="8">
        <f>IFERROR(__xludf.DUMMYFUNCTION("""COMPUTED_VALUE"""),1.0)</f>
        <v>1</v>
      </c>
      <c r="H1187" s="8">
        <f>IFERROR(__xludf.DUMMYFUNCTION("""COMPUTED_VALUE"""),14.0)</f>
        <v>14</v>
      </c>
      <c r="I1187" s="8" t="str">
        <f>IFERROR(__xludf.DUMMYFUNCTION("""COMPUTED_VALUE"""),"General Petite")</f>
        <v>General Petite</v>
      </c>
      <c r="J1187" s="8" t="str">
        <f>IFERROR(__xludf.DUMMYFUNCTION("""COMPUTED_VALUE"""),"Dresses")</f>
        <v>Dresses</v>
      </c>
      <c r="K1187" s="8" t="str">
        <f>IFERROR(__xludf.DUMMYFUNCTION("""COMPUTED_VALUE"""),"Dresses")</f>
        <v>Dresses</v>
      </c>
    </row>
    <row r="1188">
      <c r="A1188" s="8">
        <f>IFERROR(__xludf.DUMMYFUNCTION("""COMPUTED_VALUE"""),1581.0)</f>
        <v>1581</v>
      </c>
      <c r="B1188" s="8">
        <f>IFERROR(__xludf.DUMMYFUNCTION("""COMPUTED_VALUE"""),862.0)</f>
        <v>862</v>
      </c>
      <c r="C1188" s="8">
        <f>IFERROR(__xludf.DUMMYFUNCTION("""COMPUTED_VALUE"""),26.0)</f>
        <v>26</v>
      </c>
      <c r="D1188" s="8" t="str">
        <f>IFERROR(__xludf.DUMMYFUNCTION("""COMPUTED_VALUE"""),"Order up a size!")</f>
        <v>Order up a size!</v>
      </c>
      <c r="E1188" s="8" t="str">
        <f>IFERROR(__xludf.DUMMYFUNCTION("""COMPUTED_VALUE"""),"After reading the reviews about this top being really clingy, i decided to order up a size and purchased a medium. when i took it out of the box today and held it up it looked huge and i thought i had made a mistake. however when i tried it on it actually"&amp;" fit really well! i could see if i had ordered my usual small how it would have clinged to my body in a unflattering way. very happy with the top and thankful for the reviews.")</f>
        <v>After reading the reviews about this top being really clingy, i decided to order up a size and purchased a medium. when i took it out of the box today and held it up it looked huge and i thought i had made a mistake. however when i tried it on it actually fit really well! i could see if i had ordered my usual small how it would have clinged to my body in a unflattering way. very happy with the top and thankful for the reviews.</v>
      </c>
      <c r="F1188" s="8">
        <f>IFERROR(__xludf.DUMMYFUNCTION("""COMPUTED_VALUE"""),5.0)</f>
        <v>5</v>
      </c>
      <c r="G1188" s="8">
        <f>IFERROR(__xludf.DUMMYFUNCTION("""COMPUTED_VALUE"""),1.0)</f>
        <v>1</v>
      </c>
      <c r="H1188" s="8">
        <f>IFERROR(__xludf.DUMMYFUNCTION("""COMPUTED_VALUE"""),0.0)</f>
        <v>0</v>
      </c>
      <c r="I1188" s="8" t="str">
        <f>IFERROR(__xludf.DUMMYFUNCTION("""COMPUTED_VALUE"""),"General")</f>
        <v>General</v>
      </c>
      <c r="J1188" s="8" t="str">
        <f>IFERROR(__xludf.DUMMYFUNCTION("""COMPUTED_VALUE"""),"Tops")</f>
        <v>Tops</v>
      </c>
      <c r="K1188" s="8" t="str">
        <f>IFERROR(__xludf.DUMMYFUNCTION("""COMPUTED_VALUE"""),"Knits")</f>
        <v>Knits</v>
      </c>
    </row>
    <row r="1189">
      <c r="A1189" s="8">
        <f>IFERROR(__xludf.DUMMYFUNCTION("""COMPUTED_VALUE"""),1582.0)</f>
        <v>1582</v>
      </c>
      <c r="B1189" s="8">
        <f>IFERROR(__xludf.DUMMYFUNCTION("""COMPUTED_VALUE"""),1201.0)</f>
        <v>1201</v>
      </c>
      <c r="C1189" s="8">
        <f>IFERROR(__xludf.DUMMYFUNCTION("""COMPUTED_VALUE"""),35.0)</f>
        <v>35</v>
      </c>
      <c r="D1189" s="8"/>
      <c r="E1189" s="8"/>
      <c r="F1189" s="8">
        <f>IFERROR(__xludf.DUMMYFUNCTION("""COMPUTED_VALUE"""),5.0)</f>
        <v>5</v>
      </c>
      <c r="G1189" s="8">
        <f>IFERROR(__xludf.DUMMYFUNCTION("""COMPUTED_VALUE"""),1.0)</f>
        <v>1</v>
      </c>
      <c r="H1189" s="8">
        <f>IFERROR(__xludf.DUMMYFUNCTION("""COMPUTED_VALUE"""),0.0)</f>
        <v>0</v>
      </c>
      <c r="I1189" s="8" t="str">
        <f>IFERROR(__xludf.DUMMYFUNCTION("""COMPUTED_VALUE"""),"General")</f>
        <v>General</v>
      </c>
      <c r="J1189" s="8" t="str">
        <f>IFERROR(__xludf.DUMMYFUNCTION("""COMPUTED_VALUE"""),"Dresses")</f>
        <v>Dresses</v>
      </c>
      <c r="K1189" s="8" t="str">
        <f>IFERROR(__xludf.DUMMYFUNCTION("""COMPUTED_VALUE"""),"Dresses")</f>
        <v>Dresses</v>
      </c>
    </row>
    <row r="1190">
      <c r="A1190" s="8">
        <f>IFERROR(__xludf.DUMMYFUNCTION("""COMPUTED_VALUE"""),1583.0)</f>
        <v>1583</v>
      </c>
      <c r="B1190" s="8">
        <f>IFERROR(__xludf.DUMMYFUNCTION("""COMPUTED_VALUE"""),1046.0)</f>
        <v>1046</v>
      </c>
      <c r="C1190" s="8">
        <f>IFERROR(__xludf.DUMMYFUNCTION("""COMPUTED_VALUE"""),53.0)</f>
        <v>53</v>
      </c>
      <c r="D1190" s="8" t="str">
        <f>IFERROR(__xludf.DUMMYFUNCTION("""COMPUTED_VALUE"""),"Very cute")</f>
        <v>Very cute</v>
      </c>
      <c r="E1190" s="8" t="str">
        <f>IFERROR(__xludf.DUMMYFUNCTION("""COMPUTED_VALUE"""),"I'm 5'8, 130 and the small fit very nice. i ordered on line and on one of the legs the elastic closure at the bottom snapped. got a new pair at the store. you can dress these up or down. they are fun.")</f>
        <v>I'm 5'8, 130 and the small fit very nice. i ordered on line and on one of the legs the elastic closure at the bottom snapped. got a new pair at the store. you can dress these up or down. they are fun.</v>
      </c>
      <c r="F1190" s="8">
        <f>IFERROR(__xludf.DUMMYFUNCTION("""COMPUTED_VALUE"""),4.0)</f>
        <v>4</v>
      </c>
      <c r="G1190" s="8">
        <f>IFERROR(__xludf.DUMMYFUNCTION("""COMPUTED_VALUE"""),1.0)</f>
        <v>1</v>
      </c>
      <c r="H1190" s="8">
        <f>IFERROR(__xludf.DUMMYFUNCTION("""COMPUTED_VALUE"""),3.0)</f>
        <v>3</v>
      </c>
      <c r="I1190" s="8" t="str">
        <f>IFERROR(__xludf.DUMMYFUNCTION("""COMPUTED_VALUE"""),"General Petite")</f>
        <v>General Petite</v>
      </c>
      <c r="J1190" s="8" t="str">
        <f>IFERROR(__xludf.DUMMYFUNCTION("""COMPUTED_VALUE"""),"Bottoms")</f>
        <v>Bottoms</v>
      </c>
      <c r="K1190" s="8" t="str">
        <f>IFERROR(__xludf.DUMMYFUNCTION("""COMPUTED_VALUE"""),"Pants")</f>
        <v>Pants</v>
      </c>
    </row>
    <row r="1191">
      <c r="A1191" s="8">
        <f>IFERROR(__xludf.DUMMYFUNCTION("""COMPUTED_VALUE"""),1584.0)</f>
        <v>1584</v>
      </c>
      <c r="B1191" s="8">
        <f>IFERROR(__xludf.DUMMYFUNCTION("""COMPUTED_VALUE"""),942.0)</f>
        <v>942</v>
      </c>
      <c r="C1191" s="8">
        <f>IFERROR(__xludf.DUMMYFUNCTION("""COMPUTED_VALUE"""),22.0)</f>
        <v>22</v>
      </c>
      <c r="D1191" s="8" t="str">
        <f>IFERROR(__xludf.DUMMYFUNCTION("""COMPUTED_VALUE"""),"Sweater season")</f>
        <v>Sweater season</v>
      </c>
      <c r="E1191" s="8" t="str">
        <f>IFERROR(__xludf.DUMMYFUNCTION("""COMPUTED_VALUE"""),"Ive been on the hunt for big bulky sweaters because winter is coming and i live in the north, i saw this sweater and needed to give it a try. i got it i the mail and its truly gorgeous and extremely well made. this is the type of sweater to wear on a cold"&amp;" snowy day. it runs a little big but thats okay with me because its perfect to snuggle up in. i love this sweater but be aware it is thick and bulky so its not made to make you look like a twig. i like big sweaters and this design flows from sma")</f>
        <v>Ive been on the hunt for big bulky sweaters because winter is coming and i live in the north, i saw this sweater and needed to give it a try. i got it i the mail and its truly gorgeous and extremely well made. this is the type of sweater to wear on a cold snowy day. it runs a little big but thats okay with me because its perfect to snuggle up in. i love this sweater but be aware it is thick and bulky so its not made to make you look like a twig. i like big sweaters and this design flows from sma</v>
      </c>
      <c r="F1191" s="8">
        <f>IFERROR(__xludf.DUMMYFUNCTION("""COMPUTED_VALUE"""),4.0)</f>
        <v>4</v>
      </c>
      <c r="G1191" s="8">
        <f>IFERROR(__xludf.DUMMYFUNCTION("""COMPUTED_VALUE"""),1.0)</f>
        <v>1</v>
      </c>
      <c r="H1191" s="8">
        <f>IFERROR(__xludf.DUMMYFUNCTION("""COMPUTED_VALUE"""),2.0)</f>
        <v>2</v>
      </c>
      <c r="I1191" s="8" t="str">
        <f>IFERROR(__xludf.DUMMYFUNCTION("""COMPUTED_VALUE"""),"General")</f>
        <v>General</v>
      </c>
      <c r="J1191" s="8" t="str">
        <f>IFERROR(__xludf.DUMMYFUNCTION("""COMPUTED_VALUE"""),"Tops")</f>
        <v>Tops</v>
      </c>
      <c r="K1191" s="8" t="str">
        <f>IFERROR(__xludf.DUMMYFUNCTION("""COMPUTED_VALUE"""),"Sweaters")</f>
        <v>Sweaters</v>
      </c>
    </row>
    <row r="1192">
      <c r="A1192" s="8">
        <f>IFERROR(__xludf.DUMMYFUNCTION("""COMPUTED_VALUE"""),1585.0)</f>
        <v>1585</v>
      </c>
      <c r="B1192" s="8">
        <f>IFERROR(__xludf.DUMMYFUNCTION("""COMPUTED_VALUE"""),1059.0)</f>
        <v>1059</v>
      </c>
      <c r="C1192" s="8">
        <f>IFERROR(__xludf.DUMMYFUNCTION("""COMPUTED_VALUE"""),45.0)</f>
        <v>45</v>
      </c>
      <c r="D1192" s="8" t="str">
        <f>IFERROR(__xludf.DUMMYFUNCTION("""COMPUTED_VALUE"""),"Stylish and functional")</f>
        <v>Stylish and functional</v>
      </c>
      <c r="E1192" s="8" t="str">
        <f>IFERROR(__xludf.DUMMYFUNCTION("""COMPUTED_VALUE"""),"Great pair of pants to wear to work, and interview or out to lunch. i got so many compliments the first time i wore these. i'm 5'2"" i ordered the burgundy color in a size 0, regular which is what i normally wear and they fit fine. however they were just "&amp;"a tad big in the waist and a tad tight around my calves but other that they're a great pattern pant to have you wont be disappointed!")</f>
        <v>Great pair of pants to wear to work, and interview or out to lunch. i got so many compliments the first time i wore these. i'm 5'2" i ordered the burgundy color in a size 0, regular which is what i normally wear and they fit fine. however they were just a tad big in the waist and a tad tight around my calves but other that they're a great pattern pant to have you wont be disappointed!</v>
      </c>
      <c r="F1192" s="8">
        <f>IFERROR(__xludf.DUMMYFUNCTION("""COMPUTED_VALUE"""),5.0)</f>
        <v>5</v>
      </c>
      <c r="G1192" s="8">
        <f>IFERROR(__xludf.DUMMYFUNCTION("""COMPUTED_VALUE"""),1.0)</f>
        <v>1</v>
      </c>
      <c r="H1192" s="8">
        <f>IFERROR(__xludf.DUMMYFUNCTION("""COMPUTED_VALUE"""),0.0)</f>
        <v>0</v>
      </c>
      <c r="I1192" s="8" t="str">
        <f>IFERROR(__xludf.DUMMYFUNCTION("""COMPUTED_VALUE"""),"General")</f>
        <v>General</v>
      </c>
      <c r="J1192" s="8" t="str">
        <f>IFERROR(__xludf.DUMMYFUNCTION("""COMPUTED_VALUE"""),"Bottoms")</f>
        <v>Bottoms</v>
      </c>
      <c r="K1192" s="8" t="str">
        <f>IFERROR(__xludf.DUMMYFUNCTION("""COMPUTED_VALUE"""),"Pants")</f>
        <v>Pants</v>
      </c>
    </row>
    <row r="1193">
      <c r="A1193" s="8">
        <f>IFERROR(__xludf.DUMMYFUNCTION("""COMPUTED_VALUE"""),1587.0)</f>
        <v>1587</v>
      </c>
      <c r="B1193" s="8">
        <f>IFERROR(__xludf.DUMMYFUNCTION("""COMPUTED_VALUE"""),1094.0)</f>
        <v>1094</v>
      </c>
      <c r="C1193" s="8">
        <f>IFERROR(__xludf.DUMMYFUNCTION("""COMPUTED_VALUE"""),56.0)</f>
        <v>56</v>
      </c>
      <c r="D1193" s="8" t="str">
        <f>IFERROR(__xludf.DUMMYFUNCTION("""COMPUTED_VALUE"""),"Statement dress!")</f>
        <v>Statement dress!</v>
      </c>
      <c r="E1193" s="8" t="str">
        <f>IFERROR(__xludf.DUMMYFUNCTION("""COMPUTED_VALUE"""),"This dress did not impress me when i was browsing the website online. when i went to a store, though, the colors struck me as really vibrant and earthy, and i wanted to give it a chance. i tried it on and it fit like a glow! i am a 5'1'', 100 pounds, and "&amp;"got an xxs p which was a perfect fit. the length was great for me (petite size) and did not need altering. the online photo may not do justice to the little details on this dress. definitely a very high quality dress that i would categorize as a")</f>
        <v>This dress did not impress me when i was browsing the website online. when i went to a store, though, the colors struck me as really vibrant and earthy, and i wanted to give it a chance. i tried it on and it fit like a glow! i am a 5'1'', 100 pounds, and got an xxs p which was a perfect fit. the length was great for me (petite size) and did not need altering. the online photo may not do justice to the little details on this dress. definitely a very high quality dress that i would categorize as a</v>
      </c>
      <c r="F1193" s="8">
        <f>IFERROR(__xludf.DUMMYFUNCTION("""COMPUTED_VALUE"""),5.0)</f>
        <v>5</v>
      </c>
      <c r="G1193" s="8">
        <f>IFERROR(__xludf.DUMMYFUNCTION("""COMPUTED_VALUE"""),1.0)</f>
        <v>1</v>
      </c>
      <c r="H1193" s="8">
        <f>IFERROR(__xludf.DUMMYFUNCTION("""COMPUTED_VALUE"""),0.0)</f>
        <v>0</v>
      </c>
      <c r="I1193" s="8" t="str">
        <f>IFERROR(__xludf.DUMMYFUNCTION("""COMPUTED_VALUE"""),"General Petite")</f>
        <v>General Petite</v>
      </c>
      <c r="J1193" s="8" t="str">
        <f>IFERROR(__xludf.DUMMYFUNCTION("""COMPUTED_VALUE"""),"Dresses")</f>
        <v>Dresses</v>
      </c>
      <c r="K1193" s="8" t="str">
        <f>IFERROR(__xludf.DUMMYFUNCTION("""COMPUTED_VALUE"""),"Dresses")</f>
        <v>Dresses</v>
      </c>
    </row>
    <row r="1194">
      <c r="A1194" s="8">
        <f>IFERROR(__xludf.DUMMYFUNCTION("""COMPUTED_VALUE"""),1588.0)</f>
        <v>1588</v>
      </c>
      <c r="B1194" s="8">
        <f>IFERROR(__xludf.DUMMYFUNCTION("""COMPUTED_VALUE"""),833.0)</f>
        <v>833</v>
      </c>
      <c r="C1194" s="8">
        <f>IFERROR(__xludf.DUMMYFUNCTION("""COMPUTED_VALUE"""),71.0)</f>
        <v>71</v>
      </c>
      <c r="D1194" s="8" t="str">
        <f>IFERROR(__xludf.DUMMYFUNCTION("""COMPUTED_VALUE"""),"Easy breezy")</f>
        <v>Easy breezy</v>
      </c>
      <c r="E1194" s="8" t="str">
        <f>IFERROR(__xludf.DUMMYFUNCTION("""COMPUTED_VALUE"""),"Love this top. very easy to wear to lunch or site seeing. the fabric is soft and drapes nicely.")</f>
        <v>Love this top. very easy to wear to lunch or site seeing. the fabric is soft and drapes nicely.</v>
      </c>
      <c r="F1194" s="8">
        <f>IFERROR(__xludf.DUMMYFUNCTION("""COMPUTED_VALUE"""),5.0)</f>
        <v>5</v>
      </c>
      <c r="G1194" s="8">
        <f>IFERROR(__xludf.DUMMYFUNCTION("""COMPUTED_VALUE"""),1.0)</f>
        <v>1</v>
      </c>
      <c r="H1194" s="8">
        <f>IFERROR(__xludf.DUMMYFUNCTION("""COMPUTED_VALUE"""),2.0)</f>
        <v>2</v>
      </c>
      <c r="I1194" s="8" t="str">
        <f>IFERROR(__xludf.DUMMYFUNCTION("""COMPUTED_VALUE"""),"General")</f>
        <v>General</v>
      </c>
      <c r="J1194" s="8" t="str">
        <f>IFERROR(__xludf.DUMMYFUNCTION("""COMPUTED_VALUE"""),"Tops")</f>
        <v>Tops</v>
      </c>
      <c r="K1194" s="8" t="str">
        <f>IFERROR(__xludf.DUMMYFUNCTION("""COMPUTED_VALUE"""),"Blouses")</f>
        <v>Blouses</v>
      </c>
    </row>
    <row r="1195">
      <c r="A1195" s="8">
        <f>IFERROR(__xludf.DUMMYFUNCTION("""COMPUTED_VALUE"""),1589.0)</f>
        <v>1589</v>
      </c>
      <c r="B1195" s="8">
        <f>IFERROR(__xludf.DUMMYFUNCTION("""COMPUTED_VALUE"""),1051.0)</f>
        <v>1051</v>
      </c>
      <c r="C1195" s="8">
        <f>IFERROR(__xludf.DUMMYFUNCTION("""COMPUTED_VALUE"""),29.0)</f>
        <v>29</v>
      </c>
      <c r="D1195" s="8" t="str">
        <f>IFERROR(__xludf.DUMMYFUNCTION("""COMPUTED_VALUE"""),"Lovely, airy, but a tad big")</f>
        <v>Lovely, airy, but a tad big</v>
      </c>
      <c r="E1195" s="8" t="str">
        <f>IFERROR(__xludf.DUMMYFUNCTION("""COMPUTED_VALUE"""),"I just received this in the mail and really enjoy it! it's a nice color and very gauzy/ airy. the only think i didn't love is that it's a little bit in the chest area, which is rare considering i'm usually a m in that area.")</f>
        <v>I just received this in the mail and really enjoy it! it's a nice color and very gauzy/ airy. the only think i didn't love is that it's a little bit in the chest area, which is rare considering i'm usually a m in that area.</v>
      </c>
      <c r="F1195" s="8">
        <f>IFERROR(__xludf.DUMMYFUNCTION("""COMPUTED_VALUE"""),4.0)</f>
        <v>4</v>
      </c>
      <c r="G1195" s="8">
        <f>IFERROR(__xludf.DUMMYFUNCTION("""COMPUTED_VALUE"""),1.0)</f>
        <v>1</v>
      </c>
      <c r="H1195" s="8">
        <f>IFERROR(__xludf.DUMMYFUNCTION("""COMPUTED_VALUE"""),0.0)</f>
        <v>0</v>
      </c>
      <c r="I1195" s="8" t="str">
        <f>IFERROR(__xludf.DUMMYFUNCTION("""COMPUTED_VALUE"""),"General Petite")</f>
        <v>General Petite</v>
      </c>
      <c r="J1195" s="8" t="str">
        <f>IFERROR(__xludf.DUMMYFUNCTION("""COMPUTED_VALUE"""),"Bottoms")</f>
        <v>Bottoms</v>
      </c>
      <c r="K1195" s="8" t="str">
        <f>IFERROR(__xludf.DUMMYFUNCTION("""COMPUTED_VALUE"""),"Pants")</f>
        <v>Pants</v>
      </c>
    </row>
    <row r="1196">
      <c r="A1196" s="8">
        <f>IFERROR(__xludf.DUMMYFUNCTION("""COMPUTED_VALUE"""),1590.0)</f>
        <v>1590</v>
      </c>
      <c r="B1196" s="8">
        <f>IFERROR(__xludf.DUMMYFUNCTION("""COMPUTED_VALUE"""),833.0)</f>
        <v>833</v>
      </c>
      <c r="C1196" s="8">
        <f>IFERROR(__xludf.DUMMYFUNCTION("""COMPUTED_VALUE"""),48.0)</f>
        <v>48</v>
      </c>
      <c r="D1196" s="8" t="str">
        <f>IFERROR(__xludf.DUMMYFUNCTION("""COMPUTED_VALUE"""),"Super cute and flow, perfect for summer")</f>
        <v>Super cute and flow, perfect for summer</v>
      </c>
      <c r="E1196" s="8" t="str">
        <f>IFERROR(__xludf.DUMMYFUNCTION("""COMPUTED_VALUE"""),"I wanted this top ever since i saw it online, it is so me. it's a nice mix of feminine and masculine, you can pair it with a nice pair of jeans or even business pants to dress it up. this will make the perfect summer shirt and it hangs so nicely! i highly"&amp;" recommend this shirt, i would get it before its gone!")</f>
        <v>I wanted this top ever since i saw it online, it is so me. it's a nice mix of feminine and masculine, you can pair it with a nice pair of jeans or even business pants to dress it up. this will make the perfect summer shirt and it hangs so nicely! i highly recommend this shirt, i would get it before its gone!</v>
      </c>
      <c r="F1196" s="8">
        <f>IFERROR(__xludf.DUMMYFUNCTION("""COMPUTED_VALUE"""),5.0)</f>
        <v>5</v>
      </c>
      <c r="G1196" s="8">
        <f>IFERROR(__xludf.DUMMYFUNCTION("""COMPUTED_VALUE"""),1.0)</f>
        <v>1</v>
      </c>
      <c r="H1196" s="8">
        <f>IFERROR(__xludf.DUMMYFUNCTION("""COMPUTED_VALUE"""),3.0)</f>
        <v>3</v>
      </c>
      <c r="I1196" s="8" t="str">
        <f>IFERROR(__xludf.DUMMYFUNCTION("""COMPUTED_VALUE"""),"General")</f>
        <v>General</v>
      </c>
      <c r="J1196" s="8" t="str">
        <f>IFERROR(__xludf.DUMMYFUNCTION("""COMPUTED_VALUE"""),"Tops")</f>
        <v>Tops</v>
      </c>
      <c r="K1196" s="8" t="str">
        <f>IFERROR(__xludf.DUMMYFUNCTION("""COMPUTED_VALUE"""),"Blouses")</f>
        <v>Blouses</v>
      </c>
    </row>
    <row r="1197">
      <c r="A1197" s="8">
        <f>IFERROR(__xludf.DUMMYFUNCTION("""COMPUTED_VALUE"""),1591.0)</f>
        <v>1591</v>
      </c>
      <c r="B1197" s="8">
        <f>IFERROR(__xludf.DUMMYFUNCTION("""COMPUTED_VALUE"""),115.0)</f>
        <v>115</v>
      </c>
      <c r="C1197" s="8">
        <f>IFERROR(__xludf.DUMMYFUNCTION("""COMPUTED_VALUE"""),39.0)</f>
        <v>39</v>
      </c>
      <c r="D1197" s="8"/>
      <c r="E1197" s="8" t="str">
        <f>IFERROR(__xludf.DUMMYFUNCTION("""COMPUTED_VALUE"""),"The fabric is very soft and the fit is formed to the body. low cut, so may want to pair with a cami. great basic for work!")</f>
        <v>The fabric is very soft and the fit is formed to the body. low cut, so may want to pair with a cami. great basic for work!</v>
      </c>
      <c r="F1197" s="8">
        <f>IFERROR(__xludf.DUMMYFUNCTION("""COMPUTED_VALUE"""),4.0)</f>
        <v>4</v>
      </c>
      <c r="G1197" s="8">
        <f>IFERROR(__xludf.DUMMYFUNCTION("""COMPUTED_VALUE"""),1.0)</f>
        <v>1</v>
      </c>
      <c r="H1197" s="8">
        <f>IFERROR(__xludf.DUMMYFUNCTION("""COMPUTED_VALUE"""),0.0)</f>
        <v>0</v>
      </c>
      <c r="I1197" s="8" t="str">
        <f>IFERROR(__xludf.DUMMYFUNCTION("""COMPUTED_VALUE"""),"Initmates")</f>
        <v>Initmates</v>
      </c>
      <c r="J1197" s="8" t="str">
        <f>IFERROR(__xludf.DUMMYFUNCTION("""COMPUTED_VALUE"""),"Intimate")</f>
        <v>Intimate</v>
      </c>
      <c r="K1197" s="8" t="str">
        <f>IFERROR(__xludf.DUMMYFUNCTION("""COMPUTED_VALUE"""),"Sleep")</f>
        <v>Sleep</v>
      </c>
    </row>
    <row r="1198">
      <c r="A1198" s="8">
        <f>IFERROR(__xludf.DUMMYFUNCTION("""COMPUTED_VALUE"""),1592.0)</f>
        <v>1592</v>
      </c>
      <c r="B1198" s="8">
        <f>IFERROR(__xludf.DUMMYFUNCTION("""COMPUTED_VALUE"""),878.0)</f>
        <v>878</v>
      </c>
      <c r="C1198" s="8">
        <f>IFERROR(__xludf.DUMMYFUNCTION("""COMPUTED_VALUE"""),51.0)</f>
        <v>51</v>
      </c>
      <c r="D1198" s="8"/>
      <c r="E1198" s="8" t="str">
        <f>IFERROR(__xludf.DUMMYFUNCTION("""COMPUTED_VALUE"""),"I love sundry clothing. this lightweight fleece is the perfect weight. it keeps you warm enough when it's cold, but not hot when it is milder. it's super soft with nice embroidery. size 1 is a great fit for my 5'1"" frame. wear it to hang at home or to go"&amp;" out.")</f>
        <v>I love sundry clothing. this lightweight fleece is the perfect weight. it keeps you warm enough when it's cold, but not hot when it is milder. it's super soft with nice embroidery. size 1 is a great fit for my 5'1" frame. wear it to hang at home or to go out.</v>
      </c>
      <c r="F1198" s="8">
        <f>IFERROR(__xludf.DUMMYFUNCTION("""COMPUTED_VALUE"""),5.0)</f>
        <v>5</v>
      </c>
      <c r="G1198" s="8">
        <f>IFERROR(__xludf.DUMMYFUNCTION("""COMPUTED_VALUE"""),1.0)</f>
        <v>1</v>
      </c>
      <c r="H1198" s="8">
        <f>IFERROR(__xludf.DUMMYFUNCTION("""COMPUTED_VALUE"""),1.0)</f>
        <v>1</v>
      </c>
      <c r="I1198" s="8" t="str">
        <f>IFERROR(__xludf.DUMMYFUNCTION("""COMPUTED_VALUE"""),"General")</f>
        <v>General</v>
      </c>
      <c r="J1198" s="8" t="str">
        <f>IFERROR(__xludf.DUMMYFUNCTION("""COMPUTED_VALUE"""),"Tops")</f>
        <v>Tops</v>
      </c>
      <c r="K1198" s="8" t="str">
        <f>IFERROR(__xludf.DUMMYFUNCTION("""COMPUTED_VALUE"""),"Knits")</f>
        <v>Knits</v>
      </c>
    </row>
    <row r="1199">
      <c r="A1199" s="8">
        <f>IFERROR(__xludf.DUMMYFUNCTION("""COMPUTED_VALUE"""),1593.0)</f>
        <v>1593</v>
      </c>
      <c r="B1199" s="8">
        <f>IFERROR(__xludf.DUMMYFUNCTION("""COMPUTED_VALUE"""),1094.0)</f>
        <v>1094</v>
      </c>
      <c r="C1199" s="8">
        <f>IFERROR(__xludf.DUMMYFUNCTION("""COMPUTED_VALUE"""),59.0)</f>
        <v>59</v>
      </c>
      <c r="D1199" s="8" t="str">
        <f>IFERROR(__xludf.DUMMYFUNCTION("""COMPUTED_VALUE"""),"Gorgeous big floral")</f>
        <v>Gorgeous big floral</v>
      </c>
      <c r="E1199" s="8" t="str">
        <f>IFERROR(__xludf.DUMMYFUNCTION("""COMPUTED_VALUE"""),"This is a beautiful dress, considering it is made from polyester. that being said, the material has a nice finish and looks like it could be silk. it's a flattering cut (other than being a tad short-waisted) and hangs well. it was also a bit tight through"&amp;" the bust. unfortunately, if you are on the taller side, it tends to be high waisted and short in length.my daughter is 5'11"" and a size 10. the medium fit best, although because of the length, she is reluctantly returning it. sad, because it ha")</f>
        <v>This is a beautiful dress, considering it is made from polyester. that being said, the material has a nice finish and looks like it could be silk. it's a flattering cut (other than being a tad short-waisted) and hangs well. it was also a bit tight through the bust. unfortunately, if you are on the taller side, it tends to be high waisted and short in length.my daughter is 5'11" and a size 10. the medium fit best, although because of the length, she is reluctantly returning it. sad, because it ha</v>
      </c>
      <c r="F1199" s="8">
        <f>IFERROR(__xludf.DUMMYFUNCTION("""COMPUTED_VALUE"""),4.0)</f>
        <v>4</v>
      </c>
      <c r="G1199" s="8">
        <f>IFERROR(__xludf.DUMMYFUNCTION("""COMPUTED_VALUE"""),1.0)</f>
        <v>1</v>
      </c>
      <c r="H1199" s="8">
        <f>IFERROR(__xludf.DUMMYFUNCTION("""COMPUTED_VALUE"""),1.0)</f>
        <v>1</v>
      </c>
      <c r="I1199" s="8" t="str">
        <f>IFERROR(__xludf.DUMMYFUNCTION("""COMPUTED_VALUE"""),"General Petite")</f>
        <v>General Petite</v>
      </c>
      <c r="J1199" s="8" t="str">
        <f>IFERROR(__xludf.DUMMYFUNCTION("""COMPUTED_VALUE"""),"Dresses")</f>
        <v>Dresses</v>
      </c>
      <c r="K1199" s="8" t="str">
        <f>IFERROR(__xludf.DUMMYFUNCTION("""COMPUTED_VALUE"""),"Dresses")</f>
        <v>Dresses</v>
      </c>
    </row>
    <row r="1200">
      <c r="A1200" s="8">
        <f>IFERROR(__xludf.DUMMYFUNCTION("""COMPUTED_VALUE"""),1594.0)</f>
        <v>1594</v>
      </c>
      <c r="B1200" s="8">
        <f>IFERROR(__xludf.DUMMYFUNCTION("""COMPUTED_VALUE"""),942.0)</f>
        <v>942</v>
      </c>
      <c r="C1200" s="8">
        <f>IFERROR(__xludf.DUMMYFUNCTION("""COMPUTED_VALUE"""),52.0)</f>
        <v>52</v>
      </c>
      <c r="D1200" s="8" t="str">
        <f>IFERROR(__xludf.DUMMYFUNCTION("""COMPUTED_VALUE"""),"Cozy and warm")</f>
        <v>Cozy and warm</v>
      </c>
      <c r="E1200" s="8" t="str">
        <f>IFERROR(__xludf.DUMMYFUNCTION("""COMPUTED_VALUE"""),"This sweater is great for cold weather. it is very comfortable and soft. only down side is it is a little boxy.")</f>
        <v>This sweater is great for cold weather. it is very comfortable and soft. only down side is it is a little boxy.</v>
      </c>
      <c r="F1200" s="8">
        <f>IFERROR(__xludf.DUMMYFUNCTION("""COMPUTED_VALUE"""),4.0)</f>
        <v>4</v>
      </c>
      <c r="G1200" s="8">
        <f>IFERROR(__xludf.DUMMYFUNCTION("""COMPUTED_VALUE"""),1.0)</f>
        <v>1</v>
      </c>
      <c r="H1200" s="8">
        <f>IFERROR(__xludf.DUMMYFUNCTION("""COMPUTED_VALUE"""),4.0)</f>
        <v>4</v>
      </c>
      <c r="I1200" s="8" t="str">
        <f>IFERROR(__xludf.DUMMYFUNCTION("""COMPUTED_VALUE"""),"General")</f>
        <v>General</v>
      </c>
      <c r="J1200" s="8" t="str">
        <f>IFERROR(__xludf.DUMMYFUNCTION("""COMPUTED_VALUE"""),"Tops")</f>
        <v>Tops</v>
      </c>
      <c r="K1200" s="8" t="str">
        <f>IFERROR(__xludf.DUMMYFUNCTION("""COMPUTED_VALUE"""),"Sweaters")</f>
        <v>Sweaters</v>
      </c>
    </row>
    <row r="1201">
      <c r="A1201" s="8">
        <f>IFERROR(__xludf.DUMMYFUNCTION("""COMPUTED_VALUE"""),1596.0)</f>
        <v>1596</v>
      </c>
      <c r="B1201" s="8">
        <f>IFERROR(__xludf.DUMMYFUNCTION("""COMPUTED_VALUE"""),1059.0)</f>
        <v>1059</v>
      </c>
      <c r="C1201" s="8">
        <f>IFERROR(__xludf.DUMMYFUNCTION("""COMPUTED_VALUE"""),50.0)</f>
        <v>50</v>
      </c>
      <c r="D1201" s="8" t="str">
        <f>IFERROR(__xludf.DUMMYFUNCTION("""COMPUTED_VALUE"""),"I love them!")</f>
        <v>I love them!</v>
      </c>
      <c r="E1201" s="8" t="str">
        <f>IFERROR(__xludf.DUMMYFUNCTION("""COMPUTED_VALUE"""),"Love these pants. the design is totally different and that is what i love! i paired these with the velvet red shoes from this site - also on sale. for me these ran true to size.")</f>
        <v>Love these pants. the design is totally different and that is what i love! i paired these with the velvet red shoes from this site - also on sale. for me these ran true to size.</v>
      </c>
      <c r="F1201" s="8">
        <f>IFERROR(__xludf.DUMMYFUNCTION("""COMPUTED_VALUE"""),5.0)</f>
        <v>5</v>
      </c>
      <c r="G1201" s="8">
        <f>IFERROR(__xludf.DUMMYFUNCTION("""COMPUTED_VALUE"""),1.0)</f>
        <v>1</v>
      </c>
      <c r="H1201" s="8">
        <f>IFERROR(__xludf.DUMMYFUNCTION("""COMPUTED_VALUE"""),0.0)</f>
        <v>0</v>
      </c>
      <c r="I1201" s="8" t="str">
        <f>IFERROR(__xludf.DUMMYFUNCTION("""COMPUTED_VALUE"""),"General Petite")</f>
        <v>General Petite</v>
      </c>
      <c r="J1201" s="8" t="str">
        <f>IFERROR(__xludf.DUMMYFUNCTION("""COMPUTED_VALUE"""),"Bottoms")</f>
        <v>Bottoms</v>
      </c>
      <c r="K1201" s="8" t="str">
        <f>IFERROR(__xludf.DUMMYFUNCTION("""COMPUTED_VALUE"""),"Pants")</f>
        <v>Pants</v>
      </c>
    </row>
    <row r="1202">
      <c r="A1202" s="8">
        <f>IFERROR(__xludf.DUMMYFUNCTION("""COMPUTED_VALUE"""),1597.0)</f>
        <v>1597</v>
      </c>
      <c r="B1202" s="8">
        <f>IFERROR(__xludf.DUMMYFUNCTION("""COMPUTED_VALUE"""),1078.0)</f>
        <v>1078</v>
      </c>
      <c r="C1202" s="8">
        <f>IFERROR(__xludf.DUMMYFUNCTION("""COMPUTED_VALUE"""),39.0)</f>
        <v>39</v>
      </c>
      <c r="D1202" s="8" t="str">
        <f>IFERROR(__xludf.DUMMYFUNCTION("""COMPUTED_VALUE"""),"Cute and decent make!")</f>
        <v>Cute and decent make!</v>
      </c>
      <c r="E1202" s="8" t="str">
        <f>IFERROR(__xludf.DUMMYFUNCTION("""COMPUTED_VALUE"""),"Someone returned my size so i got to try it on in store. the cut is very flattering, the material is stretchy. the lace part is nicely made too. overall great piece. the petite waist did hit me a little higher than on model, i have a regular torso and sho"&amp;"rt legs (and overall usually need petite)")</f>
        <v>Someone returned my size so i got to try it on in store. the cut is very flattering, the material is stretchy. the lace part is nicely made too. overall great piece. the petite waist did hit me a little higher than on model, i have a regular torso and short legs (and overall usually need petite)</v>
      </c>
      <c r="F1202" s="8">
        <f>IFERROR(__xludf.DUMMYFUNCTION("""COMPUTED_VALUE"""),4.0)</f>
        <v>4</v>
      </c>
      <c r="G1202" s="8">
        <f>IFERROR(__xludf.DUMMYFUNCTION("""COMPUTED_VALUE"""),1.0)</f>
        <v>1</v>
      </c>
      <c r="H1202" s="8">
        <f>IFERROR(__xludf.DUMMYFUNCTION("""COMPUTED_VALUE"""),8.0)</f>
        <v>8</v>
      </c>
      <c r="I1202" s="8" t="str">
        <f>IFERROR(__xludf.DUMMYFUNCTION("""COMPUTED_VALUE"""),"General Petite")</f>
        <v>General Petite</v>
      </c>
      <c r="J1202" s="8" t="str">
        <f>IFERROR(__xludf.DUMMYFUNCTION("""COMPUTED_VALUE"""),"Dresses")</f>
        <v>Dresses</v>
      </c>
      <c r="K1202" s="8" t="str">
        <f>IFERROR(__xludf.DUMMYFUNCTION("""COMPUTED_VALUE"""),"Dresses")</f>
        <v>Dresses</v>
      </c>
    </row>
    <row r="1203">
      <c r="A1203" s="8">
        <f>IFERROR(__xludf.DUMMYFUNCTION("""COMPUTED_VALUE"""),1598.0)</f>
        <v>1598</v>
      </c>
      <c r="B1203" s="8">
        <f>IFERROR(__xludf.DUMMYFUNCTION("""COMPUTED_VALUE"""),833.0)</f>
        <v>833</v>
      </c>
      <c r="C1203" s="8">
        <f>IFERROR(__xludf.DUMMYFUNCTION("""COMPUTED_VALUE"""),46.0)</f>
        <v>46</v>
      </c>
      <c r="D1203" s="8" t="str">
        <f>IFERROR(__xludf.DUMMYFUNCTION("""COMPUTED_VALUE"""),"Pretty but sheer")</f>
        <v>Pretty but sheer</v>
      </c>
      <c r="E1203" s="8" t="str">
        <f>IFERROR(__xludf.DUMMYFUNCTION("""COMPUTED_VALUE"""),"If you care that it's sheer- be forewarned. i probably won't wear a cami under it, as it's not terrible, but worth noting. that said, its lightweight fabric will be perfect for summer and its design is gorgeous boho at its best. it's cut quite generously "&amp;"and i do wish i'd gone down a size.")</f>
        <v>If you care that it's sheer- be forewarned. i probably won't wear a cami under it, as it's not terrible, but worth noting. that said, its lightweight fabric will be perfect for summer and its design is gorgeous boho at its best. it's cut quite generously and i do wish i'd gone down a size.</v>
      </c>
      <c r="F1203" s="8">
        <f>IFERROR(__xludf.DUMMYFUNCTION("""COMPUTED_VALUE"""),5.0)</f>
        <v>5</v>
      </c>
      <c r="G1203" s="8">
        <f>IFERROR(__xludf.DUMMYFUNCTION("""COMPUTED_VALUE"""),1.0)</f>
        <v>1</v>
      </c>
      <c r="H1203" s="8">
        <f>IFERROR(__xludf.DUMMYFUNCTION("""COMPUTED_VALUE"""),2.0)</f>
        <v>2</v>
      </c>
      <c r="I1203" s="8" t="str">
        <f>IFERROR(__xludf.DUMMYFUNCTION("""COMPUTED_VALUE"""),"General")</f>
        <v>General</v>
      </c>
      <c r="J1203" s="8" t="str">
        <f>IFERROR(__xludf.DUMMYFUNCTION("""COMPUTED_VALUE"""),"Tops")</f>
        <v>Tops</v>
      </c>
      <c r="K1203" s="8" t="str">
        <f>IFERROR(__xludf.DUMMYFUNCTION("""COMPUTED_VALUE"""),"Blouses")</f>
        <v>Blouses</v>
      </c>
    </row>
    <row r="1204">
      <c r="A1204" s="8">
        <f>IFERROR(__xludf.DUMMYFUNCTION("""COMPUTED_VALUE"""),1601.0)</f>
        <v>1601</v>
      </c>
      <c r="B1204" s="8">
        <f>IFERROR(__xludf.DUMMYFUNCTION("""COMPUTED_VALUE"""),1059.0)</f>
        <v>1059</v>
      </c>
      <c r="C1204" s="8">
        <f>IFERROR(__xludf.DUMMYFUNCTION("""COMPUTED_VALUE"""),54.0)</f>
        <v>54</v>
      </c>
      <c r="D1204" s="8"/>
      <c r="E1204" s="8" t="str">
        <f>IFERROR(__xludf.DUMMYFUNCTION("""COMPUTED_VALUE"""),"I'm so glad the other reviewer also found these small. literally, the largest size i have ever bought. but the style is really cute, sort of dapper british boy...")</f>
        <v>I'm so glad the other reviewer also found these small. literally, the largest size i have ever bought. but the style is really cute, sort of dapper british boy...</v>
      </c>
      <c r="F1204" s="8">
        <f>IFERROR(__xludf.DUMMYFUNCTION("""COMPUTED_VALUE"""),4.0)</f>
        <v>4</v>
      </c>
      <c r="G1204" s="8">
        <f>IFERROR(__xludf.DUMMYFUNCTION("""COMPUTED_VALUE"""),1.0)</f>
        <v>1</v>
      </c>
      <c r="H1204" s="8">
        <f>IFERROR(__xludf.DUMMYFUNCTION("""COMPUTED_VALUE"""),9.0)</f>
        <v>9</v>
      </c>
      <c r="I1204" s="8" t="str">
        <f>IFERROR(__xludf.DUMMYFUNCTION("""COMPUTED_VALUE"""),"General Petite")</f>
        <v>General Petite</v>
      </c>
      <c r="J1204" s="8" t="str">
        <f>IFERROR(__xludf.DUMMYFUNCTION("""COMPUTED_VALUE"""),"Bottoms")</f>
        <v>Bottoms</v>
      </c>
      <c r="K1204" s="8" t="str">
        <f>IFERROR(__xludf.DUMMYFUNCTION("""COMPUTED_VALUE"""),"Pants")</f>
        <v>Pants</v>
      </c>
    </row>
    <row r="1205">
      <c r="A1205" s="8">
        <f>IFERROR(__xludf.DUMMYFUNCTION("""COMPUTED_VALUE"""),1603.0)</f>
        <v>1603</v>
      </c>
      <c r="B1205" s="8">
        <f>IFERROR(__xludf.DUMMYFUNCTION("""COMPUTED_VALUE"""),1051.0)</f>
        <v>1051</v>
      </c>
      <c r="C1205" s="8">
        <f>IFERROR(__xludf.DUMMYFUNCTION("""COMPUTED_VALUE"""),47.0)</f>
        <v>47</v>
      </c>
      <c r="D1205" s="8" t="str">
        <f>IFERROR(__xludf.DUMMYFUNCTION("""COMPUTED_VALUE"""),"Could live in this jumpsuit")</f>
        <v>Could live in this jumpsuit</v>
      </c>
      <c r="E1205" s="8" t="str">
        <f>IFERROR(__xludf.DUMMYFUNCTION("""COMPUTED_VALUE"""),"So comfortable, great fit, dress it up with wedges, down with flats,
extremely soft and flattering. i normally wear a xs/s and the small fit perfectly. i'm 5'6"" and the length is just slightly cropped.")</f>
        <v>So comfortable, great fit, dress it up with wedges, down with flats,
extremely soft and flattering. i normally wear a xs/s and the small fit perfectly. i'm 5'6" and the length is just slightly cropped.</v>
      </c>
      <c r="F1205" s="8">
        <f>IFERROR(__xludf.DUMMYFUNCTION("""COMPUTED_VALUE"""),5.0)</f>
        <v>5</v>
      </c>
      <c r="G1205" s="8">
        <f>IFERROR(__xludf.DUMMYFUNCTION("""COMPUTED_VALUE"""),1.0)</f>
        <v>1</v>
      </c>
      <c r="H1205" s="8">
        <f>IFERROR(__xludf.DUMMYFUNCTION("""COMPUTED_VALUE"""),0.0)</f>
        <v>0</v>
      </c>
      <c r="I1205" s="8" t="str">
        <f>IFERROR(__xludf.DUMMYFUNCTION("""COMPUTED_VALUE"""),"General Petite")</f>
        <v>General Petite</v>
      </c>
      <c r="J1205" s="8" t="str">
        <f>IFERROR(__xludf.DUMMYFUNCTION("""COMPUTED_VALUE"""),"Bottoms")</f>
        <v>Bottoms</v>
      </c>
      <c r="K1205" s="8" t="str">
        <f>IFERROR(__xludf.DUMMYFUNCTION("""COMPUTED_VALUE"""),"Pants")</f>
        <v>Pants</v>
      </c>
    </row>
    <row r="1206">
      <c r="A1206" s="8">
        <f>IFERROR(__xludf.DUMMYFUNCTION("""COMPUTED_VALUE"""),1604.0)</f>
        <v>1604</v>
      </c>
      <c r="B1206" s="8">
        <f>IFERROR(__xludf.DUMMYFUNCTION("""COMPUTED_VALUE"""),1059.0)</f>
        <v>1059</v>
      </c>
      <c r="C1206" s="8">
        <f>IFERROR(__xludf.DUMMYFUNCTION("""COMPUTED_VALUE"""),79.0)</f>
        <v>79</v>
      </c>
      <c r="D1206" s="8" t="str">
        <f>IFERROR(__xludf.DUMMYFUNCTION("""COMPUTED_VALUE"""),"Cute and funky work pants")</f>
        <v>Cute and funky work pants</v>
      </c>
      <c r="E1206" s="8" t="str">
        <f>IFERROR(__xludf.DUMMYFUNCTION("""COMPUTED_VALUE"""),"I just purchased these pants in red on sale. i am 5/5"", 143 pounds, and the 10 fit perfectly (i am either an 8 or a 10 in pants, depending upon brand). it is really hard for me to find pants that are cute, unique, work-appropriate, and flattering. these "&amp;"pants fit the bill in all aspects. i thought i would prefer the black, but am really glad i got the red.")</f>
        <v>I just purchased these pants in red on sale. i am 5/5", 143 pounds, and the 10 fit perfectly (i am either an 8 or a 10 in pants, depending upon brand). it is really hard for me to find pants that are cute, unique, work-appropriate, and flattering. these pants fit the bill in all aspects. i thought i would prefer the black, but am really glad i got the red.</v>
      </c>
      <c r="F1206" s="8">
        <f>IFERROR(__xludf.DUMMYFUNCTION("""COMPUTED_VALUE"""),5.0)</f>
        <v>5</v>
      </c>
      <c r="G1206" s="8">
        <f>IFERROR(__xludf.DUMMYFUNCTION("""COMPUTED_VALUE"""),1.0)</f>
        <v>1</v>
      </c>
      <c r="H1206" s="8">
        <f>IFERROR(__xludf.DUMMYFUNCTION("""COMPUTED_VALUE"""),1.0)</f>
        <v>1</v>
      </c>
      <c r="I1206" s="8" t="str">
        <f>IFERROR(__xludf.DUMMYFUNCTION("""COMPUTED_VALUE"""),"General Petite")</f>
        <v>General Petite</v>
      </c>
      <c r="J1206" s="8" t="str">
        <f>IFERROR(__xludf.DUMMYFUNCTION("""COMPUTED_VALUE"""),"Bottoms")</f>
        <v>Bottoms</v>
      </c>
      <c r="K1206" s="8" t="str">
        <f>IFERROR(__xludf.DUMMYFUNCTION("""COMPUTED_VALUE"""),"Pants")</f>
        <v>Pants</v>
      </c>
    </row>
    <row r="1207">
      <c r="A1207" s="8">
        <f>IFERROR(__xludf.DUMMYFUNCTION("""COMPUTED_VALUE"""),1605.0)</f>
        <v>1605</v>
      </c>
      <c r="B1207" s="8">
        <f>IFERROR(__xludf.DUMMYFUNCTION("""COMPUTED_VALUE"""),1078.0)</f>
        <v>1078</v>
      </c>
      <c r="C1207" s="8">
        <f>IFERROR(__xludf.DUMMYFUNCTION("""COMPUTED_VALUE"""),55.0)</f>
        <v>55</v>
      </c>
      <c r="D1207" s="8" t="str">
        <f>IFERROR(__xludf.DUMMYFUNCTION("""COMPUTED_VALUE"""),"Nice winter dress")</f>
        <v>Nice winter dress</v>
      </c>
      <c r="E1207" s="8" t="str">
        <f>IFERROR(__xludf.DUMMYFUNCTION("""COMPUTED_VALUE"""),"Great dress, fit perfectly warm for the winter, i live in florida it will be great if we get a winter next year. very comfortable and easy to wear.")</f>
        <v>Great dress, fit perfectly warm for the winter, i live in florida it will be great if we get a winter next year. very comfortable and easy to wear.</v>
      </c>
      <c r="F1207" s="8">
        <f>IFERROR(__xludf.DUMMYFUNCTION("""COMPUTED_VALUE"""),5.0)</f>
        <v>5</v>
      </c>
      <c r="G1207" s="8">
        <f>IFERROR(__xludf.DUMMYFUNCTION("""COMPUTED_VALUE"""),1.0)</f>
        <v>1</v>
      </c>
      <c r="H1207" s="8">
        <f>IFERROR(__xludf.DUMMYFUNCTION("""COMPUTED_VALUE"""),0.0)</f>
        <v>0</v>
      </c>
      <c r="I1207" s="8" t="str">
        <f>IFERROR(__xludf.DUMMYFUNCTION("""COMPUTED_VALUE"""),"General Petite")</f>
        <v>General Petite</v>
      </c>
      <c r="J1207" s="8" t="str">
        <f>IFERROR(__xludf.DUMMYFUNCTION("""COMPUTED_VALUE"""),"Dresses")</f>
        <v>Dresses</v>
      </c>
      <c r="K1207" s="8" t="str">
        <f>IFERROR(__xludf.DUMMYFUNCTION("""COMPUTED_VALUE"""),"Dresses")</f>
        <v>Dresses</v>
      </c>
    </row>
    <row r="1208">
      <c r="A1208" s="8">
        <f>IFERROR(__xludf.DUMMYFUNCTION("""COMPUTED_VALUE"""),1606.0)</f>
        <v>1606</v>
      </c>
      <c r="B1208" s="8">
        <f>IFERROR(__xludf.DUMMYFUNCTION("""COMPUTED_VALUE"""),1051.0)</f>
        <v>1051</v>
      </c>
      <c r="C1208" s="8">
        <f>IFERROR(__xludf.DUMMYFUNCTION("""COMPUTED_VALUE"""),58.0)</f>
        <v>58</v>
      </c>
      <c r="D1208" s="8" t="str">
        <f>IFERROR(__xludf.DUMMYFUNCTION("""COMPUTED_VALUE"""),"Great romper but not for all body types!!")</f>
        <v>Great romper but not for all body types!!</v>
      </c>
      <c r="E1208" s="8" t="str">
        <f>IFERROR(__xludf.DUMMYFUNCTION("""COMPUTED_VALUE"""),"Tried this romper on in store and wanted to love it but it just didn't fit me right. it'a great romper, cute design, super soft-light fabric and overall a great feel but it doesn't work to well for short girls with any types of hips. i have a very small w"&amp;"aist and larger bottom and this romper just was very unflattering. i couldn't get the tie waist to sit anywhere that felt like my natural waist, instead it kept giving me a kangaroo pouch and hung on my upper thighs. sizing up didn't help becaus")</f>
        <v>Tried this romper on in store and wanted to love it but it just didn't fit me right. it'a great romper, cute design, super soft-light fabric and overall a great feel but it doesn't work to well for short girls with any types of hips. i have a very small waist and larger bottom and this romper just was very unflattering. i couldn't get the tie waist to sit anywhere that felt like my natural waist, instead it kept giving me a kangaroo pouch and hung on my upper thighs. sizing up didn't help becaus</v>
      </c>
      <c r="F1208" s="8">
        <f>IFERROR(__xludf.DUMMYFUNCTION("""COMPUTED_VALUE"""),4.0)</f>
        <v>4</v>
      </c>
      <c r="G1208" s="8">
        <f>IFERROR(__xludf.DUMMYFUNCTION("""COMPUTED_VALUE"""),1.0)</f>
        <v>1</v>
      </c>
      <c r="H1208" s="8">
        <f>IFERROR(__xludf.DUMMYFUNCTION("""COMPUTED_VALUE"""),4.0)</f>
        <v>4</v>
      </c>
      <c r="I1208" s="8" t="str">
        <f>IFERROR(__xludf.DUMMYFUNCTION("""COMPUTED_VALUE"""),"General Petite")</f>
        <v>General Petite</v>
      </c>
      <c r="J1208" s="8" t="str">
        <f>IFERROR(__xludf.DUMMYFUNCTION("""COMPUTED_VALUE"""),"Bottoms")</f>
        <v>Bottoms</v>
      </c>
      <c r="K1208" s="8" t="str">
        <f>IFERROR(__xludf.DUMMYFUNCTION("""COMPUTED_VALUE"""),"Pants")</f>
        <v>Pants</v>
      </c>
    </row>
    <row r="1209">
      <c r="A1209" s="8">
        <f>IFERROR(__xludf.DUMMYFUNCTION("""COMPUTED_VALUE"""),1607.0)</f>
        <v>1607</v>
      </c>
      <c r="B1209" s="8">
        <f>IFERROR(__xludf.DUMMYFUNCTION("""COMPUTED_VALUE"""),833.0)</f>
        <v>833</v>
      </c>
      <c r="C1209" s="8">
        <f>IFERROR(__xludf.DUMMYFUNCTION("""COMPUTED_VALUE"""),66.0)</f>
        <v>66</v>
      </c>
      <c r="D1209" s="8"/>
      <c r="E1209" s="8" t="str">
        <f>IFERROR(__xludf.DUMMYFUNCTION("""COMPUTED_VALUE"""),"Being somewhat on the 'fluffy' side, the style is very flattering and forgiving and will be ideal for summer. i am between a size 14 and a 16 and the 14 fits perfectly. light and airy a very nice, simple embroidery in contrasting color. very chic in an ef"&amp;"fortless way. the armholes are just right--not too big! the color is definitely a creamy ivory. worth the cost because i don't think it will be available for too long.")</f>
        <v>Being somewhat on the 'fluffy' side, the style is very flattering and forgiving and will be ideal for summer. i am between a size 14 and a 16 and the 14 fits perfectly. light and airy a very nice, simple embroidery in contrasting color. very chic in an effortless way. the armholes are just right--not too big! the color is definitely a creamy ivory. worth the cost because i don't think it will be available for too long.</v>
      </c>
      <c r="F1209" s="8">
        <f>IFERROR(__xludf.DUMMYFUNCTION("""COMPUTED_VALUE"""),5.0)</f>
        <v>5</v>
      </c>
      <c r="G1209" s="8">
        <f>IFERROR(__xludf.DUMMYFUNCTION("""COMPUTED_VALUE"""),1.0)</f>
        <v>1</v>
      </c>
      <c r="H1209" s="8">
        <f>IFERROR(__xludf.DUMMYFUNCTION("""COMPUTED_VALUE"""),15.0)</f>
        <v>15</v>
      </c>
      <c r="I1209" s="8" t="str">
        <f>IFERROR(__xludf.DUMMYFUNCTION("""COMPUTED_VALUE"""),"General")</f>
        <v>General</v>
      </c>
      <c r="J1209" s="8" t="str">
        <f>IFERROR(__xludf.DUMMYFUNCTION("""COMPUTED_VALUE"""),"Tops")</f>
        <v>Tops</v>
      </c>
      <c r="K1209" s="8" t="str">
        <f>IFERROR(__xludf.DUMMYFUNCTION("""COMPUTED_VALUE"""),"Blouses")</f>
        <v>Blouses</v>
      </c>
    </row>
    <row r="1210">
      <c r="A1210" s="8">
        <f>IFERROR(__xludf.DUMMYFUNCTION("""COMPUTED_VALUE"""),1608.0)</f>
        <v>1608</v>
      </c>
      <c r="B1210" s="8">
        <f>IFERROR(__xludf.DUMMYFUNCTION("""COMPUTED_VALUE"""),1051.0)</f>
        <v>1051</v>
      </c>
      <c r="C1210" s="8">
        <f>IFERROR(__xludf.DUMMYFUNCTION("""COMPUTED_VALUE"""),53.0)</f>
        <v>53</v>
      </c>
      <c r="D1210" s="8" t="str">
        <f>IFERROR(__xludf.DUMMYFUNCTION("""COMPUTED_VALUE"""),"Material was light and comfortable")</f>
        <v>Material was light and comfortable</v>
      </c>
      <c r="E1210" s="8" t="str">
        <f>IFERROR(__xludf.DUMMYFUNCTION("""COMPUTED_VALUE"""),"I loved the jumpsuit but unfortunately had to return it due to running a little on the small size.")</f>
        <v>I loved the jumpsuit but unfortunately had to return it due to running a little on the small size.</v>
      </c>
      <c r="F1210" s="8">
        <f>IFERROR(__xludf.DUMMYFUNCTION("""COMPUTED_VALUE"""),5.0)</f>
        <v>5</v>
      </c>
      <c r="G1210" s="8">
        <f>IFERROR(__xludf.DUMMYFUNCTION("""COMPUTED_VALUE"""),1.0)</f>
        <v>1</v>
      </c>
      <c r="H1210" s="8">
        <f>IFERROR(__xludf.DUMMYFUNCTION("""COMPUTED_VALUE"""),1.0)</f>
        <v>1</v>
      </c>
      <c r="I1210" s="8" t="str">
        <f>IFERROR(__xludf.DUMMYFUNCTION("""COMPUTED_VALUE"""),"General Petite")</f>
        <v>General Petite</v>
      </c>
      <c r="J1210" s="8" t="str">
        <f>IFERROR(__xludf.DUMMYFUNCTION("""COMPUTED_VALUE"""),"Bottoms")</f>
        <v>Bottoms</v>
      </c>
      <c r="K1210" s="8" t="str">
        <f>IFERROR(__xludf.DUMMYFUNCTION("""COMPUTED_VALUE"""),"Pants")</f>
        <v>Pants</v>
      </c>
    </row>
    <row r="1211">
      <c r="A1211" s="8">
        <f>IFERROR(__xludf.DUMMYFUNCTION("""COMPUTED_VALUE"""),1609.0)</f>
        <v>1609</v>
      </c>
      <c r="B1211" s="8">
        <f>IFERROR(__xludf.DUMMYFUNCTION("""COMPUTED_VALUE"""),1059.0)</f>
        <v>1059</v>
      </c>
      <c r="C1211" s="8">
        <f>IFERROR(__xludf.DUMMYFUNCTION("""COMPUTED_VALUE"""),40.0)</f>
        <v>40</v>
      </c>
      <c r="D1211" s="8" t="str">
        <f>IFERROR(__xludf.DUMMYFUNCTION("""COMPUTED_VALUE"""),"Unique and well made")</f>
        <v>Unique and well made</v>
      </c>
      <c r="E1211" s="8" t="str">
        <f>IFERROR(__xludf.DUMMYFUNCTION("""COMPUTED_VALUE"""),"I love these pants! beautiful quality material, soft on the skin. fits well. definitely a tailored fit. true to size. unique design, and really fun!
i am 5 foot 5, and weigh 132 lbs. i am apple shaped, so i was worried these would be too tight around the "&amp;"hips, but they aren't .")</f>
        <v>I love these pants! beautiful quality material, soft on the skin. fits well. definitely a tailored fit. true to size. unique design, and really fun!
i am 5 foot 5, and weigh 132 lbs. i am apple shaped, so i was worried these would be too tight around the hips, but they aren't .</v>
      </c>
      <c r="F1211" s="8">
        <f>IFERROR(__xludf.DUMMYFUNCTION("""COMPUTED_VALUE"""),5.0)</f>
        <v>5</v>
      </c>
      <c r="G1211" s="8">
        <f>IFERROR(__xludf.DUMMYFUNCTION("""COMPUTED_VALUE"""),1.0)</f>
        <v>1</v>
      </c>
      <c r="H1211" s="8">
        <f>IFERROR(__xludf.DUMMYFUNCTION("""COMPUTED_VALUE"""),0.0)</f>
        <v>0</v>
      </c>
      <c r="I1211" s="8" t="str">
        <f>IFERROR(__xludf.DUMMYFUNCTION("""COMPUTED_VALUE"""),"General Petite")</f>
        <v>General Petite</v>
      </c>
      <c r="J1211" s="8" t="str">
        <f>IFERROR(__xludf.DUMMYFUNCTION("""COMPUTED_VALUE"""),"Bottoms")</f>
        <v>Bottoms</v>
      </c>
      <c r="K1211" s="8" t="str">
        <f>IFERROR(__xludf.DUMMYFUNCTION("""COMPUTED_VALUE"""),"Pants")</f>
        <v>Pants</v>
      </c>
    </row>
    <row r="1212">
      <c r="A1212" s="8">
        <f>IFERROR(__xludf.DUMMYFUNCTION("""COMPUTED_VALUE"""),1610.0)</f>
        <v>1610</v>
      </c>
      <c r="B1212" s="8">
        <f>IFERROR(__xludf.DUMMYFUNCTION("""COMPUTED_VALUE"""),1051.0)</f>
        <v>1051</v>
      </c>
      <c r="C1212" s="8">
        <f>IFERROR(__xludf.DUMMYFUNCTION("""COMPUTED_VALUE"""),30.0)</f>
        <v>30</v>
      </c>
      <c r="D1212" s="8" t="str">
        <f>IFERROR(__xludf.DUMMYFUNCTION("""COMPUTED_VALUE"""),"Not for me")</f>
        <v>Not for me</v>
      </c>
      <c r="E1212" s="8" t="str">
        <f>IFERROR(__xludf.DUMMYFUNCTION("""COMPUTED_VALUE"""),"I really liked this jumpsuit but it just wasn't perfect. the design at the top is a bit stiff compared to the rest of the jumpsuit. i felt the whole thing ran just slightly too large. it was nice - but not amazing.")</f>
        <v>I really liked this jumpsuit but it just wasn't perfect. the design at the top is a bit stiff compared to the rest of the jumpsuit. i felt the whole thing ran just slightly too large. it was nice - but not amazing.</v>
      </c>
      <c r="F1212" s="8">
        <f>IFERROR(__xludf.DUMMYFUNCTION("""COMPUTED_VALUE"""),4.0)</f>
        <v>4</v>
      </c>
      <c r="G1212" s="8">
        <f>IFERROR(__xludf.DUMMYFUNCTION("""COMPUTED_VALUE"""),1.0)</f>
        <v>1</v>
      </c>
      <c r="H1212" s="8">
        <f>IFERROR(__xludf.DUMMYFUNCTION("""COMPUTED_VALUE"""),0.0)</f>
        <v>0</v>
      </c>
      <c r="I1212" s="8" t="str">
        <f>IFERROR(__xludf.DUMMYFUNCTION("""COMPUTED_VALUE"""),"General Petite")</f>
        <v>General Petite</v>
      </c>
      <c r="J1212" s="8" t="str">
        <f>IFERROR(__xludf.DUMMYFUNCTION("""COMPUTED_VALUE"""),"Bottoms")</f>
        <v>Bottoms</v>
      </c>
      <c r="K1212" s="8" t="str">
        <f>IFERROR(__xludf.DUMMYFUNCTION("""COMPUTED_VALUE"""),"Pants")</f>
        <v>Pants</v>
      </c>
    </row>
    <row r="1213">
      <c r="A1213" s="8">
        <f>IFERROR(__xludf.DUMMYFUNCTION("""COMPUTED_VALUE"""),1611.0)</f>
        <v>1611</v>
      </c>
      <c r="B1213" s="8">
        <f>IFERROR(__xludf.DUMMYFUNCTION("""COMPUTED_VALUE"""),992.0)</f>
        <v>992</v>
      </c>
      <c r="C1213" s="8">
        <f>IFERROR(__xludf.DUMMYFUNCTION("""COMPUTED_VALUE"""),50.0)</f>
        <v>50</v>
      </c>
      <c r="D1213" s="8"/>
      <c r="E1213" s="8"/>
      <c r="F1213" s="8">
        <f>IFERROR(__xludf.DUMMYFUNCTION("""COMPUTED_VALUE"""),5.0)</f>
        <v>5</v>
      </c>
      <c r="G1213" s="8">
        <f>IFERROR(__xludf.DUMMYFUNCTION("""COMPUTED_VALUE"""),1.0)</f>
        <v>1</v>
      </c>
      <c r="H1213" s="8">
        <f>IFERROR(__xludf.DUMMYFUNCTION("""COMPUTED_VALUE"""),0.0)</f>
        <v>0</v>
      </c>
      <c r="I1213" s="8" t="str">
        <f>IFERROR(__xludf.DUMMYFUNCTION("""COMPUTED_VALUE"""),"General Petite")</f>
        <v>General Petite</v>
      </c>
      <c r="J1213" s="8" t="str">
        <f>IFERROR(__xludf.DUMMYFUNCTION("""COMPUTED_VALUE"""),"Bottoms")</f>
        <v>Bottoms</v>
      </c>
      <c r="K1213" s="8" t="str">
        <f>IFERROR(__xludf.DUMMYFUNCTION("""COMPUTED_VALUE"""),"Skirts")</f>
        <v>Skirts</v>
      </c>
    </row>
    <row r="1214">
      <c r="A1214" s="8">
        <f>IFERROR(__xludf.DUMMYFUNCTION("""COMPUTED_VALUE"""),1612.0)</f>
        <v>1612</v>
      </c>
      <c r="B1214" s="8">
        <f>IFERROR(__xludf.DUMMYFUNCTION("""COMPUTED_VALUE"""),1051.0)</f>
        <v>1051</v>
      </c>
      <c r="C1214" s="8">
        <f>IFERROR(__xludf.DUMMYFUNCTION("""COMPUTED_VALUE"""),33.0)</f>
        <v>33</v>
      </c>
      <c r="D1214" s="8" t="str">
        <f>IFERROR(__xludf.DUMMYFUNCTION("""COMPUTED_VALUE"""),"Embroidered gauze romper")</f>
        <v>Embroidered gauze romper</v>
      </c>
      <c r="E1214" s="8" t="str">
        <f>IFERROR(__xludf.DUMMYFUNCTION("""COMPUTED_VALUE"""),"I love this romper!  i am 5'2 and the medium fit great and wasn't long.  i'm short so i thought i would have to hem this!  it's comfortable and, although, i'm not a huge fan of gauze, the fit was perfect.  i had to
snatch it!")</f>
        <v>I love this romper!  i am 5'2 and the medium fit great and wasn't long.  i'm short so i thought i would have to hem this!  it's comfortable and, although, i'm not a huge fan of gauze, the fit was perfect.  i had to
snatch it!</v>
      </c>
      <c r="F1214" s="8">
        <f>IFERROR(__xludf.DUMMYFUNCTION("""COMPUTED_VALUE"""),5.0)</f>
        <v>5</v>
      </c>
      <c r="G1214" s="8">
        <f>IFERROR(__xludf.DUMMYFUNCTION("""COMPUTED_VALUE"""),1.0)</f>
        <v>1</v>
      </c>
      <c r="H1214" s="8">
        <f>IFERROR(__xludf.DUMMYFUNCTION("""COMPUTED_VALUE"""),20.0)</f>
        <v>20</v>
      </c>
      <c r="I1214" s="8" t="str">
        <f>IFERROR(__xludf.DUMMYFUNCTION("""COMPUTED_VALUE"""),"General Petite")</f>
        <v>General Petite</v>
      </c>
      <c r="J1214" s="8" t="str">
        <f>IFERROR(__xludf.DUMMYFUNCTION("""COMPUTED_VALUE"""),"Bottoms")</f>
        <v>Bottoms</v>
      </c>
      <c r="K1214" s="8" t="str">
        <f>IFERROR(__xludf.DUMMYFUNCTION("""COMPUTED_VALUE"""),"Pants")</f>
        <v>Pants</v>
      </c>
    </row>
    <row r="1215">
      <c r="A1215" s="8">
        <f>IFERROR(__xludf.DUMMYFUNCTION("""COMPUTED_VALUE"""),1613.0)</f>
        <v>1613</v>
      </c>
      <c r="B1215" s="8">
        <f>IFERROR(__xludf.DUMMYFUNCTION("""COMPUTED_VALUE"""),1053.0)</f>
        <v>1053</v>
      </c>
      <c r="C1215" s="8">
        <f>IFERROR(__xludf.DUMMYFUNCTION("""COMPUTED_VALUE"""),33.0)</f>
        <v>33</v>
      </c>
      <c r="D1215" s="8" t="str">
        <f>IFERROR(__xludf.DUMMYFUNCTION("""COMPUTED_VALUE"""),"Bridgette jogger")</f>
        <v>Bridgette jogger</v>
      </c>
      <c r="E1215" s="8" t="str">
        <f>IFERROR(__xludf.DUMMYFUNCTION("""COMPUTED_VALUE"""),"I&amp;#39;ve been looking for comfortable pants that i could wear to work and at home.  these fit the bill.  i bought these in the holly color for the fall and winter.  they are super soft and very comfortable.  i was worried that they would like dumpy, espec"&amp;"ially around the seat area, but they fit fine.")</f>
        <v>I&amp;#39;ve been looking for comfortable pants that i could wear to work and at home.  these fit the bill.  i bought these in the holly color for the fall and winter.  they are super soft and very comfortable.  i was worried that they would like dumpy, especially around the seat area, but they fit fine.</v>
      </c>
      <c r="F1215" s="8">
        <f>IFERROR(__xludf.DUMMYFUNCTION("""COMPUTED_VALUE"""),4.0)</f>
        <v>4</v>
      </c>
      <c r="G1215" s="8">
        <f>IFERROR(__xludf.DUMMYFUNCTION("""COMPUTED_VALUE"""),1.0)</f>
        <v>1</v>
      </c>
      <c r="H1215" s="8">
        <f>IFERROR(__xludf.DUMMYFUNCTION("""COMPUTED_VALUE"""),0.0)</f>
        <v>0</v>
      </c>
      <c r="I1215" s="8" t="str">
        <f>IFERROR(__xludf.DUMMYFUNCTION("""COMPUTED_VALUE"""),"General")</f>
        <v>General</v>
      </c>
      <c r="J1215" s="8" t="str">
        <f>IFERROR(__xludf.DUMMYFUNCTION("""COMPUTED_VALUE"""),"Bottoms")</f>
        <v>Bottoms</v>
      </c>
      <c r="K1215" s="8" t="str">
        <f>IFERROR(__xludf.DUMMYFUNCTION("""COMPUTED_VALUE"""),"Pants")</f>
        <v>Pants</v>
      </c>
    </row>
    <row r="1216">
      <c r="A1216" s="8">
        <f>IFERROR(__xludf.DUMMYFUNCTION("""COMPUTED_VALUE"""),1614.0)</f>
        <v>1614</v>
      </c>
      <c r="B1216" s="8">
        <f>IFERROR(__xludf.DUMMYFUNCTION("""COMPUTED_VALUE"""),1059.0)</f>
        <v>1059</v>
      </c>
      <c r="C1216" s="8">
        <f>IFERROR(__xludf.DUMMYFUNCTION("""COMPUTED_VALUE"""),43.0)</f>
        <v>43</v>
      </c>
      <c r="D1216" s="8" t="str">
        <f>IFERROR(__xludf.DUMMYFUNCTION("""COMPUTED_VALUE"""),"Perfect pants!!")</f>
        <v>Perfect pants!!</v>
      </c>
      <c r="E1216" s="8" t="str">
        <f>IFERROR(__xludf.DUMMYFUNCTION("""COMPUTED_VALUE"""),"However, i unfortunately followed others advice saying these run small. i had to return/ exchange to a 00p. in turn had to give up the sassy red and settle for black. although they are beautiful trousers in black as well...")</f>
        <v>However, i unfortunately followed others advice saying these run small. i had to return/ exchange to a 00p. in turn had to give up the sassy red and settle for black. although they are beautiful trousers in black as well...</v>
      </c>
      <c r="F1216" s="8">
        <f>IFERROR(__xludf.DUMMYFUNCTION("""COMPUTED_VALUE"""),5.0)</f>
        <v>5</v>
      </c>
      <c r="G1216" s="8">
        <f>IFERROR(__xludf.DUMMYFUNCTION("""COMPUTED_VALUE"""),1.0)</f>
        <v>1</v>
      </c>
      <c r="H1216" s="8">
        <f>IFERROR(__xludf.DUMMYFUNCTION("""COMPUTED_VALUE"""),0.0)</f>
        <v>0</v>
      </c>
      <c r="I1216" s="8" t="str">
        <f>IFERROR(__xludf.DUMMYFUNCTION("""COMPUTED_VALUE"""),"General")</f>
        <v>General</v>
      </c>
      <c r="J1216" s="8" t="str">
        <f>IFERROR(__xludf.DUMMYFUNCTION("""COMPUTED_VALUE"""),"Bottoms")</f>
        <v>Bottoms</v>
      </c>
      <c r="K1216" s="8" t="str">
        <f>IFERROR(__xludf.DUMMYFUNCTION("""COMPUTED_VALUE"""),"Pants")</f>
        <v>Pants</v>
      </c>
    </row>
    <row r="1217">
      <c r="A1217" s="8">
        <f>IFERROR(__xludf.DUMMYFUNCTION("""COMPUTED_VALUE"""),1615.0)</f>
        <v>1615</v>
      </c>
      <c r="B1217" s="8">
        <f>IFERROR(__xludf.DUMMYFUNCTION("""COMPUTED_VALUE"""),825.0)</f>
        <v>825</v>
      </c>
      <c r="C1217" s="8">
        <f>IFERROR(__xludf.DUMMYFUNCTION("""COMPUTED_VALUE"""),45.0)</f>
        <v>45</v>
      </c>
      <c r="D1217" s="8" t="str">
        <f>IFERROR(__xludf.DUMMYFUNCTION("""COMPUTED_VALUE"""),"Perfect")</f>
        <v>Perfect</v>
      </c>
      <c r="E1217" s="8" t="str">
        <f>IFERROR(__xludf.DUMMYFUNCTION("""COMPUTED_VALUE"""),"Received this shirt yesterday and loved it. doesn't look that great online in pics, but it is a unique and beautiful top. the material is a substantial woven cotton so it lays nicely and keeps its shape . i am 5'5 and 128lbs and a small bust size 34a , i "&amp;"usually wear small in shirts but since it is a longer length i didn't want it to tight around my butt.... i am curvy in that area size 6 pants....i ordered the medium and i am so glad i did .. it lifts just like on the model...the only downfall")</f>
        <v>Received this shirt yesterday and loved it. doesn't look that great online in pics, but it is a unique and beautiful top. the material is a substantial woven cotton so it lays nicely and keeps its shape . i am 5'5 and 128lbs and a small bust size 34a , i usually wear small in shirts but since it is a longer length i didn't want it to tight around my butt.... i am curvy in that area size 6 pants....i ordered the medium and i am so glad i did .. it lifts just like on the model...the only downfall</v>
      </c>
      <c r="F1217" s="8">
        <f>IFERROR(__xludf.DUMMYFUNCTION("""COMPUTED_VALUE"""),5.0)</f>
        <v>5</v>
      </c>
      <c r="G1217" s="8">
        <f>IFERROR(__xludf.DUMMYFUNCTION("""COMPUTED_VALUE"""),1.0)</f>
        <v>1</v>
      </c>
      <c r="H1217" s="8">
        <f>IFERROR(__xludf.DUMMYFUNCTION("""COMPUTED_VALUE"""),2.0)</f>
        <v>2</v>
      </c>
      <c r="I1217" s="8" t="str">
        <f>IFERROR(__xludf.DUMMYFUNCTION("""COMPUTED_VALUE"""),"General Petite")</f>
        <v>General Petite</v>
      </c>
      <c r="J1217" s="8" t="str">
        <f>IFERROR(__xludf.DUMMYFUNCTION("""COMPUTED_VALUE"""),"Tops")</f>
        <v>Tops</v>
      </c>
      <c r="K1217" s="8" t="str">
        <f>IFERROR(__xludf.DUMMYFUNCTION("""COMPUTED_VALUE"""),"Blouses")</f>
        <v>Blouses</v>
      </c>
    </row>
    <row r="1218">
      <c r="A1218" s="8">
        <f>IFERROR(__xludf.DUMMYFUNCTION("""COMPUTED_VALUE"""),1617.0)</f>
        <v>1617</v>
      </c>
      <c r="B1218" s="8">
        <f>IFERROR(__xludf.DUMMYFUNCTION("""COMPUTED_VALUE"""),1094.0)</f>
        <v>1094</v>
      </c>
      <c r="C1218" s="8">
        <f>IFERROR(__xludf.DUMMYFUNCTION("""COMPUTED_VALUE"""),27.0)</f>
        <v>27</v>
      </c>
      <c r="D1218" s="8" t="str">
        <f>IFERROR(__xludf.DUMMYFUNCTION("""COMPUTED_VALUE"""),"Favorite retailer purchase!")</f>
        <v>Favorite retailer purchase!</v>
      </c>
      <c r="E1218" s="8" t="str">
        <f>IFERROR(__xludf.DUMMYFUNCTION("""COMPUTED_VALUE"""),"This dress is absolutely amazing! i am an retailer addict, a good portion of my wardrobe is from retailer. that being said, this is one of my all time favorite purchases! this dress is a beautiful statement. i am tall and curvy and this dress fits like a "&amp;"glove but is very comfortable. the quality of the beading and the fabric is very good. i wore it on my hawaii vacation, and got numerous compliments! don't pass this one up! five stars!")</f>
        <v>This dress is absolutely amazing! i am an retailer addict, a good portion of my wardrobe is from retailer. that being said, this is one of my all time favorite purchases! this dress is a beautiful statement. i am tall and curvy and this dress fits like a glove but is very comfortable. the quality of the beading and the fabric is very good. i wore it on my hawaii vacation, and got numerous compliments! don't pass this one up! five stars!</v>
      </c>
      <c r="F1218" s="8">
        <f>IFERROR(__xludf.DUMMYFUNCTION("""COMPUTED_VALUE"""),5.0)</f>
        <v>5</v>
      </c>
      <c r="G1218" s="8">
        <f>IFERROR(__xludf.DUMMYFUNCTION("""COMPUTED_VALUE"""),1.0)</f>
        <v>1</v>
      </c>
      <c r="H1218" s="8">
        <f>IFERROR(__xludf.DUMMYFUNCTION("""COMPUTED_VALUE"""),0.0)</f>
        <v>0</v>
      </c>
      <c r="I1218" s="8" t="str">
        <f>IFERROR(__xludf.DUMMYFUNCTION("""COMPUTED_VALUE"""),"General Petite")</f>
        <v>General Petite</v>
      </c>
      <c r="J1218" s="8" t="str">
        <f>IFERROR(__xludf.DUMMYFUNCTION("""COMPUTED_VALUE"""),"Dresses")</f>
        <v>Dresses</v>
      </c>
      <c r="K1218" s="8" t="str">
        <f>IFERROR(__xludf.DUMMYFUNCTION("""COMPUTED_VALUE"""),"Dresses")</f>
        <v>Dresses</v>
      </c>
    </row>
    <row r="1219">
      <c r="A1219" s="8">
        <f>IFERROR(__xludf.DUMMYFUNCTION("""COMPUTED_VALUE"""),1619.0)</f>
        <v>1619</v>
      </c>
      <c r="B1219" s="8">
        <f>IFERROR(__xludf.DUMMYFUNCTION("""COMPUTED_VALUE"""),1078.0)</f>
        <v>1078</v>
      </c>
      <c r="C1219" s="8">
        <f>IFERROR(__xludf.DUMMYFUNCTION("""COMPUTED_VALUE"""),49.0)</f>
        <v>49</v>
      </c>
      <c r="D1219" s="8" t="str">
        <f>IFERROR(__xludf.DUMMYFUNCTION("""COMPUTED_VALUE"""),"Versatile comfortable dress")</f>
        <v>Versatile comfortable dress</v>
      </c>
      <c r="E1219" s="8" t="str">
        <f>IFERROR(__xludf.DUMMYFUNCTION("""COMPUTED_VALUE"""),"This dress is comfortable and versatile - one could wear it to the office or to a social event, day to night. i didn't find the sizing to run as large as some of the other reviewers did. i felt it was true to size. it is not lined so you would need a slip"&amp;" under it if you wear it with tights or nylons, otherwise the skirt will cling.")</f>
        <v>This dress is comfortable and versatile - one could wear it to the office or to a social event, day to night. i didn't find the sizing to run as large as some of the other reviewers did. i felt it was true to size. it is not lined so you would need a slip under it if you wear it with tights or nylons, otherwise the skirt will cling.</v>
      </c>
      <c r="F1219" s="8">
        <f>IFERROR(__xludf.DUMMYFUNCTION("""COMPUTED_VALUE"""),4.0)</f>
        <v>4</v>
      </c>
      <c r="G1219" s="8">
        <f>IFERROR(__xludf.DUMMYFUNCTION("""COMPUTED_VALUE"""),1.0)</f>
        <v>1</v>
      </c>
      <c r="H1219" s="8">
        <f>IFERROR(__xludf.DUMMYFUNCTION("""COMPUTED_VALUE"""),0.0)</f>
        <v>0</v>
      </c>
      <c r="I1219" s="8" t="str">
        <f>IFERROR(__xludf.DUMMYFUNCTION("""COMPUTED_VALUE"""),"General Petite")</f>
        <v>General Petite</v>
      </c>
      <c r="J1219" s="8" t="str">
        <f>IFERROR(__xludf.DUMMYFUNCTION("""COMPUTED_VALUE"""),"Dresses")</f>
        <v>Dresses</v>
      </c>
      <c r="K1219" s="8" t="str">
        <f>IFERROR(__xludf.DUMMYFUNCTION("""COMPUTED_VALUE"""),"Dresses")</f>
        <v>Dresses</v>
      </c>
    </row>
    <row r="1220">
      <c r="A1220" s="8">
        <f>IFERROR(__xludf.DUMMYFUNCTION("""COMPUTED_VALUE"""),1620.0)</f>
        <v>1620</v>
      </c>
      <c r="B1220" s="8">
        <f>IFERROR(__xludf.DUMMYFUNCTION("""COMPUTED_VALUE"""),992.0)</f>
        <v>992</v>
      </c>
      <c r="C1220" s="8">
        <f>IFERROR(__xludf.DUMMYFUNCTION("""COMPUTED_VALUE"""),66.0)</f>
        <v>66</v>
      </c>
      <c r="D1220" s="8" t="str">
        <f>IFERROR(__xludf.DUMMYFUNCTION("""COMPUTED_VALUE"""),"Sizing issue")</f>
        <v>Sizing issue</v>
      </c>
      <c r="E1220" s="8" t="str">
        <f>IFERROR(__xludf.DUMMYFUNCTION("""COMPUTED_VALUE"""),"Such a beautiful print. i sized up to a 14 because it looked like it has a high waist and it does. the waist comes almost to my bra line. unfortunately, there's a huge amount of fabric and it swallowed me. not slimming at all. i felt like i was wearing a "&amp;"curtain.  i loved the slits in the photo but due to the amount of fabric they weren't visible. i'm short and this literally pooled on the ground a few inches. if you're tall and thin, this is a beauty.")</f>
        <v>Such a beautiful print. i sized up to a 14 because it looked like it has a high waist and it does. the waist comes almost to my bra line. unfortunately, there's a huge amount of fabric and it swallowed me. not slimming at all. i felt like i was wearing a curtain.  i loved the slits in the photo but due to the amount of fabric they weren't visible. i'm short and this literally pooled on the ground a few inches. if you're tall and thin, this is a beauty.</v>
      </c>
      <c r="F1220" s="8">
        <f>IFERROR(__xludf.DUMMYFUNCTION("""COMPUTED_VALUE"""),4.0)</f>
        <v>4</v>
      </c>
      <c r="G1220" s="8">
        <f>IFERROR(__xludf.DUMMYFUNCTION("""COMPUTED_VALUE"""),1.0)</f>
        <v>1</v>
      </c>
      <c r="H1220" s="8">
        <f>IFERROR(__xludf.DUMMYFUNCTION("""COMPUTED_VALUE"""),0.0)</f>
        <v>0</v>
      </c>
      <c r="I1220" s="8" t="str">
        <f>IFERROR(__xludf.DUMMYFUNCTION("""COMPUTED_VALUE"""),"General Petite")</f>
        <v>General Petite</v>
      </c>
      <c r="J1220" s="8" t="str">
        <f>IFERROR(__xludf.DUMMYFUNCTION("""COMPUTED_VALUE"""),"Bottoms")</f>
        <v>Bottoms</v>
      </c>
      <c r="K1220" s="8" t="str">
        <f>IFERROR(__xludf.DUMMYFUNCTION("""COMPUTED_VALUE"""),"Skirts")</f>
        <v>Skirts</v>
      </c>
    </row>
    <row r="1221">
      <c r="A1221" s="8">
        <f>IFERROR(__xludf.DUMMYFUNCTION("""COMPUTED_VALUE"""),1622.0)</f>
        <v>1622</v>
      </c>
      <c r="B1221" s="8">
        <f>IFERROR(__xludf.DUMMYFUNCTION("""COMPUTED_VALUE"""),1059.0)</f>
        <v>1059</v>
      </c>
      <c r="C1221" s="8">
        <f>IFERROR(__xludf.DUMMYFUNCTION("""COMPUTED_VALUE"""),44.0)</f>
        <v>44</v>
      </c>
      <c r="D1221" s="8" t="str">
        <f>IFERROR(__xludf.DUMMYFUNCTION("""COMPUTED_VALUE"""),"Love these pants!")</f>
        <v>Love these pants!</v>
      </c>
      <c r="E1221" s="8" t="str">
        <f>IFERROR(__xludf.DUMMYFUNCTION("""COMPUTED_VALUE"""),"These pants are fantastic! the pattern alone is to die for, but they also have just the right amount of stretch for the perfect fit! i received so many compliments when i wore them i felt like a rock star!")</f>
        <v>These pants are fantastic! the pattern alone is to die for, but they also have just the right amount of stretch for the perfect fit! i received so many compliments when i wore them i felt like a rock star!</v>
      </c>
      <c r="F1221" s="8">
        <f>IFERROR(__xludf.DUMMYFUNCTION("""COMPUTED_VALUE"""),5.0)</f>
        <v>5</v>
      </c>
      <c r="G1221" s="8">
        <f>IFERROR(__xludf.DUMMYFUNCTION("""COMPUTED_VALUE"""),1.0)</f>
        <v>1</v>
      </c>
      <c r="H1221" s="8">
        <f>IFERROR(__xludf.DUMMYFUNCTION("""COMPUTED_VALUE"""),0.0)</f>
        <v>0</v>
      </c>
      <c r="I1221" s="8" t="str">
        <f>IFERROR(__xludf.DUMMYFUNCTION("""COMPUTED_VALUE"""),"General")</f>
        <v>General</v>
      </c>
      <c r="J1221" s="8" t="str">
        <f>IFERROR(__xludf.DUMMYFUNCTION("""COMPUTED_VALUE"""),"Bottoms")</f>
        <v>Bottoms</v>
      </c>
      <c r="K1221" s="8" t="str">
        <f>IFERROR(__xludf.DUMMYFUNCTION("""COMPUTED_VALUE"""),"Pants")</f>
        <v>Pants</v>
      </c>
    </row>
    <row r="1222">
      <c r="A1222" s="8">
        <f>IFERROR(__xludf.DUMMYFUNCTION("""COMPUTED_VALUE"""),1623.0)</f>
        <v>1623</v>
      </c>
      <c r="B1222" s="8">
        <f>IFERROR(__xludf.DUMMYFUNCTION("""COMPUTED_VALUE"""),1059.0)</f>
        <v>1059</v>
      </c>
      <c r="C1222" s="8">
        <f>IFERROR(__xludf.DUMMYFUNCTION("""COMPUTED_VALUE"""),26.0)</f>
        <v>26</v>
      </c>
      <c r="D1222" s="8" t="str">
        <f>IFERROR(__xludf.DUMMYFUNCTION("""COMPUTED_VALUE"""),"Runs small")</f>
        <v>Runs small</v>
      </c>
      <c r="E1222" s="8" t="str">
        <f>IFERROR(__xludf.DUMMYFUNCTION("""COMPUTED_VALUE"""),"Bought these in 2p and i'm normally 0p in most pants. for reference, i'm 5'1 and 107 lbs and the 2 fit perfect! got many compliments on these pants")</f>
        <v>Bought these in 2p and i'm normally 0p in most pants. for reference, i'm 5'1 and 107 lbs and the 2 fit perfect! got many compliments on these pants</v>
      </c>
      <c r="F1222" s="8">
        <f>IFERROR(__xludf.DUMMYFUNCTION("""COMPUTED_VALUE"""),5.0)</f>
        <v>5</v>
      </c>
      <c r="G1222" s="8">
        <f>IFERROR(__xludf.DUMMYFUNCTION("""COMPUTED_VALUE"""),1.0)</f>
        <v>1</v>
      </c>
      <c r="H1222" s="8">
        <f>IFERROR(__xludf.DUMMYFUNCTION("""COMPUTED_VALUE"""),0.0)</f>
        <v>0</v>
      </c>
      <c r="I1222" s="8" t="str">
        <f>IFERROR(__xludf.DUMMYFUNCTION("""COMPUTED_VALUE"""),"General")</f>
        <v>General</v>
      </c>
      <c r="J1222" s="8" t="str">
        <f>IFERROR(__xludf.DUMMYFUNCTION("""COMPUTED_VALUE"""),"Bottoms")</f>
        <v>Bottoms</v>
      </c>
      <c r="K1222" s="8" t="str">
        <f>IFERROR(__xludf.DUMMYFUNCTION("""COMPUTED_VALUE"""),"Pants")</f>
        <v>Pants</v>
      </c>
    </row>
    <row r="1223">
      <c r="A1223" s="8">
        <f>IFERROR(__xludf.DUMMYFUNCTION("""COMPUTED_VALUE"""),1624.0)</f>
        <v>1624</v>
      </c>
      <c r="B1223" s="8">
        <f>IFERROR(__xludf.DUMMYFUNCTION("""COMPUTED_VALUE"""),1059.0)</f>
        <v>1059</v>
      </c>
      <c r="C1223" s="8">
        <f>IFERROR(__xludf.DUMMYFUNCTION("""COMPUTED_VALUE"""),58.0)</f>
        <v>58</v>
      </c>
      <c r="D1223" s="8" t="str">
        <f>IFERROR(__xludf.DUMMYFUNCTION("""COMPUTED_VALUE"""),"Fun, true to size")</f>
        <v>Fun, true to size</v>
      </c>
      <c r="E1223" s="8" t="str">
        <f>IFERROR(__xludf.DUMMYFUNCTION("""COMPUTED_VALUE"""),"Unlike other reviewers, i found these pants to run true to size (in my case, my usual 6) or even a tad roomy. the red pattern is just festive enough for informal holiday parties. i appreciate the belt loops!")</f>
        <v>Unlike other reviewers, i found these pants to run true to size (in my case, my usual 6) or even a tad roomy. the red pattern is just festive enough for informal holiday parties. i appreciate the belt loops!</v>
      </c>
      <c r="F1223" s="8">
        <f>IFERROR(__xludf.DUMMYFUNCTION("""COMPUTED_VALUE"""),4.0)</f>
        <v>4</v>
      </c>
      <c r="G1223" s="8">
        <f>IFERROR(__xludf.DUMMYFUNCTION("""COMPUTED_VALUE"""),1.0)</f>
        <v>1</v>
      </c>
      <c r="H1223" s="8">
        <f>IFERROR(__xludf.DUMMYFUNCTION("""COMPUTED_VALUE"""),3.0)</f>
        <v>3</v>
      </c>
      <c r="I1223" s="8" t="str">
        <f>IFERROR(__xludf.DUMMYFUNCTION("""COMPUTED_VALUE"""),"General")</f>
        <v>General</v>
      </c>
      <c r="J1223" s="8" t="str">
        <f>IFERROR(__xludf.DUMMYFUNCTION("""COMPUTED_VALUE"""),"Bottoms")</f>
        <v>Bottoms</v>
      </c>
      <c r="K1223" s="8" t="str">
        <f>IFERROR(__xludf.DUMMYFUNCTION("""COMPUTED_VALUE"""),"Pants")</f>
        <v>Pants</v>
      </c>
    </row>
    <row r="1224">
      <c r="A1224" s="8">
        <f>IFERROR(__xludf.DUMMYFUNCTION("""COMPUTED_VALUE"""),1625.0)</f>
        <v>1625</v>
      </c>
      <c r="B1224" s="8">
        <f>IFERROR(__xludf.DUMMYFUNCTION("""COMPUTED_VALUE"""),1078.0)</f>
        <v>1078</v>
      </c>
      <c r="C1224" s="8">
        <f>IFERROR(__xludf.DUMMYFUNCTION("""COMPUTED_VALUE"""),44.0)</f>
        <v>44</v>
      </c>
      <c r="D1224" s="8" t="str">
        <f>IFERROR(__xludf.DUMMYFUNCTION("""COMPUTED_VALUE"""),"Beutiful dress")</f>
        <v>Beutiful dress</v>
      </c>
      <c r="E1224" s="8" t="str">
        <f>IFERROR(__xludf.DUMMYFUNCTION("""COMPUTED_VALUE"""),"Decent quality. i am 5'4"" 130 pounds. m is too big. runs slightly large.")</f>
        <v>Decent quality. i am 5'4" 130 pounds. m is too big. runs slightly large.</v>
      </c>
      <c r="F1224" s="8">
        <f>IFERROR(__xludf.DUMMYFUNCTION("""COMPUTED_VALUE"""),4.0)</f>
        <v>4</v>
      </c>
      <c r="G1224" s="8">
        <f>IFERROR(__xludf.DUMMYFUNCTION("""COMPUTED_VALUE"""),1.0)</f>
        <v>1</v>
      </c>
      <c r="H1224" s="8">
        <f>IFERROR(__xludf.DUMMYFUNCTION("""COMPUTED_VALUE"""),8.0)</f>
        <v>8</v>
      </c>
      <c r="I1224" s="8" t="str">
        <f>IFERROR(__xludf.DUMMYFUNCTION("""COMPUTED_VALUE"""),"General Petite")</f>
        <v>General Petite</v>
      </c>
      <c r="J1224" s="8" t="str">
        <f>IFERROR(__xludf.DUMMYFUNCTION("""COMPUTED_VALUE"""),"Dresses")</f>
        <v>Dresses</v>
      </c>
      <c r="K1224" s="8" t="str">
        <f>IFERROR(__xludf.DUMMYFUNCTION("""COMPUTED_VALUE"""),"Dresses")</f>
        <v>Dresses</v>
      </c>
    </row>
    <row r="1225">
      <c r="A1225" s="8">
        <f>IFERROR(__xludf.DUMMYFUNCTION("""COMPUTED_VALUE"""),1626.0)</f>
        <v>1626</v>
      </c>
      <c r="B1225" s="8">
        <f>IFERROR(__xludf.DUMMYFUNCTION("""COMPUTED_VALUE"""),1051.0)</f>
        <v>1051</v>
      </c>
      <c r="C1225" s="8">
        <f>IFERROR(__xludf.DUMMYFUNCTION("""COMPUTED_VALUE"""),37.0)</f>
        <v>37</v>
      </c>
      <c r="D1225" s="8" t="str">
        <f>IFERROR(__xludf.DUMMYFUNCTION("""COMPUTED_VALUE"""),"Comfy")</f>
        <v>Comfy</v>
      </c>
      <c r="E1225" s="8" t="str">
        <f>IFERROR(__xludf.DUMMYFUNCTION("""COMPUTED_VALUE"""),"Very comfy and flattering. cool on a hot day. slightly difficult to use the restroom, though.")</f>
        <v>Very comfy and flattering. cool on a hot day. slightly difficult to use the restroom, though.</v>
      </c>
      <c r="F1225" s="8">
        <f>IFERROR(__xludf.DUMMYFUNCTION("""COMPUTED_VALUE"""),4.0)</f>
        <v>4</v>
      </c>
      <c r="G1225" s="8">
        <f>IFERROR(__xludf.DUMMYFUNCTION("""COMPUTED_VALUE"""),1.0)</f>
        <v>1</v>
      </c>
      <c r="H1225" s="8">
        <f>IFERROR(__xludf.DUMMYFUNCTION("""COMPUTED_VALUE"""),2.0)</f>
        <v>2</v>
      </c>
      <c r="I1225" s="8" t="str">
        <f>IFERROR(__xludf.DUMMYFUNCTION("""COMPUTED_VALUE"""),"General Petite")</f>
        <v>General Petite</v>
      </c>
      <c r="J1225" s="8" t="str">
        <f>IFERROR(__xludf.DUMMYFUNCTION("""COMPUTED_VALUE"""),"Bottoms")</f>
        <v>Bottoms</v>
      </c>
      <c r="K1225" s="8" t="str">
        <f>IFERROR(__xludf.DUMMYFUNCTION("""COMPUTED_VALUE"""),"Pants")</f>
        <v>Pants</v>
      </c>
    </row>
    <row r="1226">
      <c r="A1226" s="8">
        <f>IFERROR(__xludf.DUMMYFUNCTION("""COMPUTED_VALUE"""),1627.0)</f>
        <v>1627</v>
      </c>
      <c r="B1226" s="8">
        <f>IFERROR(__xludf.DUMMYFUNCTION("""COMPUTED_VALUE"""),1059.0)</f>
        <v>1059</v>
      </c>
      <c r="C1226" s="8">
        <f>IFERROR(__xludf.DUMMYFUNCTION("""COMPUTED_VALUE"""),47.0)</f>
        <v>47</v>
      </c>
      <c r="D1226" s="8" t="str">
        <f>IFERROR(__xludf.DUMMYFUNCTION("""COMPUTED_VALUE"""),"Adorable")</f>
        <v>Adorable</v>
      </c>
      <c r="E1226" s="8" t="str">
        <f>IFERROR(__xludf.DUMMYFUNCTION("""COMPUTED_VALUE"""),"These pants are so fun. i love the pattern and color. can be dressed up or down. very flattering.
highly recommend trying them on, they were better than i expected them to be")</f>
        <v>These pants are so fun. i love the pattern and color. can be dressed up or down. very flattering.
highly recommend trying them on, they were better than i expected them to be</v>
      </c>
      <c r="F1226" s="8">
        <f>IFERROR(__xludf.DUMMYFUNCTION("""COMPUTED_VALUE"""),4.0)</f>
        <v>4</v>
      </c>
      <c r="G1226" s="8">
        <f>IFERROR(__xludf.DUMMYFUNCTION("""COMPUTED_VALUE"""),1.0)</f>
        <v>1</v>
      </c>
      <c r="H1226" s="8">
        <f>IFERROR(__xludf.DUMMYFUNCTION("""COMPUTED_VALUE"""),1.0)</f>
        <v>1</v>
      </c>
      <c r="I1226" s="8" t="str">
        <f>IFERROR(__xludf.DUMMYFUNCTION("""COMPUTED_VALUE"""),"General")</f>
        <v>General</v>
      </c>
      <c r="J1226" s="8" t="str">
        <f>IFERROR(__xludf.DUMMYFUNCTION("""COMPUTED_VALUE"""),"Bottoms")</f>
        <v>Bottoms</v>
      </c>
      <c r="K1226" s="8" t="str">
        <f>IFERROR(__xludf.DUMMYFUNCTION("""COMPUTED_VALUE"""),"Pants")</f>
        <v>Pants</v>
      </c>
    </row>
    <row r="1227">
      <c r="A1227" s="8">
        <f>IFERROR(__xludf.DUMMYFUNCTION("""COMPUTED_VALUE"""),1628.0)</f>
        <v>1628</v>
      </c>
      <c r="B1227" s="8">
        <f>IFERROR(__xludf.DUMMYFUNCTION("""COMPUTED_VALUE"""),1059.0)</f>
        <v>1059</v>
      </c>
      <c r="C1227" s="8">
        <f>IFERROR(__xludf.DUMMYFUNCTION("""COMPUTED_VALUE"""),32.0)</f>
        <v>32</v>
      </c>
      <c r="D1227" s="8" t="str">
        <f>IFERROR(__xludf.DUMMYFUNCTION("""COMPUTED_VALUE"""),"Great pattern")</f>
        <v>Great pattern</v>
      </c>
      <c r="E1227" s="8" t="str">
        <f>IFERROR(__xludf.DUMMYFUNCTION("""COMPUTED_VALUE"""),"I bought these on a whim, patterned bottoms aren't normally my thing. i was pleasantly surprised. they fit well, look great and i had lots of compliments.")</f>
        <v>I bought these on a whim, patterned bottoms aren't normally my thing. i was pleasantly surprised. they fit well, look great and i had lots of compliments.</v>
      </c>
      <c r="F1227" s="8">
        <f>IFERROR(__xludf.DUMMYFUNCTION("""COMPUTED_VALUE"""),4.0)</f>
        <v>4</v>
      </c>
      <c r="G1227" s="8">
        <f>IFERROR(__xludf.DUMMYFUNCTION("""COMPUTED_VALUE"""),1.0)</f>
        <v>1</v>
      </c>
      <c r="H1227" s="8">
        <f>IFERROR(__xludf.DUMMYFUNCTION("""COMPUTED_VALUE"""),0.0)</f>
        <v>0</v>
      </c>
      <c r="I1227" s="8" t="str">
        <f>IFERROR(__xludf.DUMMYFUNCTION("""COMPUTED_VALUE"""),"General")</f>
        <v>General</v>
      </c>
      <c r="J1227" s="8" t="str">
        <f>IFERROR(__xludf.DUMMYFUNCTION("""COMPUTED_VALUE"""),"Bottoms")</f>
        <v>Bottoms</v>
      </c>
      <c r="K1227" s="8" t="str">
        <f>IFERROR(__xludf.DUMMYFUNCTION("""COMPUTED_VALUE"""),"Pants")</f>
        <v>Pants</v>
      </c>
    </row>
    <row r="1228">
      <c r="A1228" s="8">
        <f>IFERROR(__xludf.DUMMYFUNCTION("""COMPUTED_VALUE"""),1629.0)</f>
        <v>1629</v>
      </c>
      <c r="B1228" s="8">
        <f>IFERROR(__xludf.DUMMYFUNCTION("""COMPUTED_VALUE"""),1051.0)</f>
        <v>1051</v>
      </c>
      <c r="C1228" s="8">
        <f>IFERROR(__xludf.DUMMYFUNCTION("""COMPUTED_VALUE"""),35.0)</f>
        <v>35</v>
      </c>
      <c r="D1228" s="8" t="str">
        <f>IFERROR(__xludf.DUMMYFUNCTION("""COMPUTED_VALUE"""),"Flowy &amp; fun")</f>
        <v>Flowy &amp; fun</v>
      </c>
      <c r="E1228" s="8" t="str">
        <f>IFERROR(__xludf.DUMMYFUNCTION("""COMPUTED_VALUE"""),"This jumpsuit is great. i recently had a baby and am still trying to get the last 10 lbs of baby weight off and this jumpsuit is very forgiving and super comfortable. i'm usually a medium &amp; i wasn't sure if i should size up. i ordered the medium and it wa"&amp;"s the right choice. great light material for summer and nice neckline.")</f>
        <v>This jumpsuit is great. i recently had a baby and am still trying to get the last 10 lbs of baby weight off and this jumpsuit is very forgiving and super comfortable. i'm usually a medium &amp; i wasn't sure if i should size up. i ordered the medium and it was the right choice. great light material for summer and nice neckline.</v>
      </c>
      <c r="F1228" s="8">
        <f>IFERROR(__xludf.DUMMYFUNCTION("""COMPUTED_VALUE"""),5.0)</f>
        <v>5</v>
      </c>
      <c r="G1228" s="8">
        <f>IFERROR(__xludf.DUMMYFUNCTION("""COMPUTED_VALUE"""),1.0)</f>
        <v>1</v>
      </c>
      <c r="H1228" s="8">
        <f>IFERROR(__xludf.DUMMYFUNCTION("""COMPUTED_VALUE"""),11.0)</f>
        <v>11</v>
      </c>
      <c r="I1228" s="8" t="str">
        <f>IFERROR(__xludf.DUMMYFUNCTION("""COMPUTED_VALUE"""),"General Petite")</f>
        <v>General Petite</v>
      </c>
      <c r="J1228" s="8" t="str">
        <f>IFERROR(__xludf.DUMMYFUNCTION("""COMPUTED_VALUE"""),"Bottoms")</f>
        <v>Bottoms</v>
      </c>
      <c r="K1228" s="8" t="str">
        <f>IFERROR(__xludf.DUMMYFUNCTION("""COMPUTED_VALUE"""),"Pants")</f>
        <v>Pants</v>
      </c>
    </row>
    <row r="1229">
      <c r="A1229" s="8">
        <f>IFERROR(__xludf.DUMMYFUNCTION("""COMPUTED_VALUE"""),1630.0)</f>
        <v>1630</v>
      </c>
      <c r="B1229" s="8">
        <f>IFERROR(__xludf.DUMMYFUNCTION("""COMPUTED_VALUE"""),833.0)</f>
        <v>833</v>
      </c>
      <c r="C1229" s="8">
        <f>IFERROR(__xludf.DUMMYFUNCTION("""COMPUTED_VALUE"""),56.0)</f>
        <v>56</v>
      </c>
      <c r="D1229" s="8" t="str">
        <f>IFERROR(__xludf.DUMMYFUNCTION("""COMPUTED_VALUE"""),"Super cute")</f>
        <v>Super cute</v>
      </c>
      <c r="E1229" s="8" t="str">
        <f>IFERROR(__xludf.DUMMYFUNCTION("""COMPUTED_VALUE"""),"I bought this today in a size 2. fits perfect. i am normally a 0 or 2 or xs. the top looks and fits exactly like the picture if you are small chested. because it is not long in the front. i think if you are larger chested the top will stick out too much a"&amp;"nd be too short in front. it is not super voluminous in front which is a good thing. it does have the volume in the back which gives it a cute shape. it is on the shorter side. very nice material and design as well as details. overall good pick.")</f>
        <v>I bought this today in a size 2. fits perfect. i am normally a 0 or 2 or xs. the top looks and fits exactly like the picture if you are small chested. because it is not long in the front. i think if you are larger chested the top will stick out too much and be too short in front. it is not super voluminous in front which is a good thing. it does have the volume in the back which gives it a cute shape. it is on the shorter side. very nice material and design as well as details. overall good pick.</v>
      </c>
      <c r="F1229" s="8">
        <f>IFERROR(__xludf.DUMMYFUNCTION("""COMPUTED_VALUE"""),5.0)</f>
        <v>5</v>
      </c>
      <c r="G1229" s="8">
        <f>IFERROR(__xludf.DUMMYFUNCTION("""COMPUTED_VALUE"""),1.0)</f>
        <v>1</v>
      </c>
      <c r="H1229" s="8">
        <f>IFERROR(__xludf.DUMMYFUNCTION("""COMPUTED_VALUE"""),7.0)</f>
        <v>7</v>
      </c>
      <c r="I1229" s="8" t="str">
        <f>IFERROR(__xludf.DUMMYFUNCTION("""COMPUTED_VALUE"""),"General")</f>
        <v>General</v>
      </c>
      <c r="J1229" s="8" t="str">
        <f>IFERROR(__xludf.DUMMYFUNCTION("""COMPUTED_VALUE"""),"Tops")</f>
        <v>Tops</v>
      </c>
      <c r="K1229" s="8" t="str">
        <f>IFERROR(__xludf.DUMMYFUNCTION("""COMPUTED_VALUE"""),"Blouses")</f>
        <v>Blouses</v>
      </c>
    </row>
    <row r="1230">
      <c r="A1230" s="8">
        <f>IFERROR(__xludf.DUMMYFUNCTION("""COMPUTED_VALUE"""),1631.0)</f>
        <v>1631</v>
      </c>
      <c r="B1230" s="8">
        <f>IFERROR(__xludf.DUMMYFUNCTION("""COMPUTED_VALUE"""),1094.0)</f>
        <v>1094</v>
      </c>
      <c r="C1230" s="8">
        <f>IFERROR(__xludf.DUMMYFUNCTION("""COMPUTED_VALUE"""),34.0)</f>
        <v>34</v>
      </c>
      <c r="D1230" s="8" t="str">
        <f>IFERROR(__xludf.DUMMYFUNCTION("""COMPUTED_VALUE"""),"Gorgeous!!!")</f>
        <v>Gorgeous!!!</v>
      </c>
      <c r="E1230" s="8" t="str">
        <f>IFERROR(__xludf.DUMMYFUNCTION("""COMPUTED_VALUE"""),"This dress is absolutely beautiful! it fits like a glove and the material is super soft. so in love with this! i'm 5'2'm and normally a xs/s. the xspwas a better fit in the waist and chest. the arm holes were a bit tighter on me. the sp was way too large.")</f>
        <v>This dress is absolutely beautiful! it fits like a glove and the material is super soft. so in love with this! i'm 5'2'm and normally a xs/s. the xspwas a better fit in the waist and chest. the arm holes were a bit tighter on me. the sp was way too large.</v>
      </c>
      <c r="F1230" s="8">
        <f>IFERROR(__xludf.DUMMYFUNCTION("""COMPUTED_VALUE"""),5.0)</f>
        <v>5</v>
      </c>
      <c r="G1230" s="8">
        <f>IFERROR(__xludf.DUMMYFUNCTION("""COMPUTED_VALUE"""),1.0)</f>
        <v>1</v>
      </c>
      <c r="H1230" s="8">
        <f>IFERROR(__xludf.DUMMYFUNCTION("""COMPUTED_VALUE"""),18.0)</f>
        <v>18</v>
      </c>
      <c r="I1230" s="8" t="str">
        <f>IFERROR(__xludf.DUMMYFUNCTION("""COMPUTED_VALUE"""),"General Petite")</f>
        <v>General Petite</v>
      </c>
      <c r="J1230" s="8" t="str">
        <f>IFERROR(__xludf.DUMMYFUNCTION("""COMPUTED_VALUE"""),"Dresses")</f>
        <v>Dresses</v>
      </c>
      <c r="K1230" s="8" t="str">
        <f>IFERROR(__xludf.DUMMYFUNCTION("""COMPUTED_VALUE"""),"Dresses")</f>
        <v>Dresses</v>
      </c>
    </row>
    <row r="1231">
      <c r="A1231" s="8">
        <f>IFERROR(__xludf.DUMMYFUNCTION("""COMPUTED_VALUE"""),1632.0)</f>
        <v>1632</v>
      </c>
      <c r="B1231" s="8">
        <f>IFERROR(__xludf.DUMMYFUNCTION("""COMPUTED_VALUE"""),992.0)</f>
        <v>992</v>
      </c>
      <c r="C1231" s="8">
        <f>IFERROR(__xludf.DUMMYFUNCTION("""COMPUTED_VALUE"""),34.0)</f>
        <v>34</v>
      </c>
      <c r="D1231" s="8" t="str">
        <f>IFERROR(__xludf.DUMMYFUNCTION("""COMPUTED_VALUE"""),"Runs small")</f>
        <v>Runs small</v>
      </c>
      <c r="E1231" s="8" t="str">
        <f>IFERROR(__xludf.DUMMYFUNCTION("""COMPUTED_VALUE"""),"Beautiful patterns and colors, but it sits very high and runs small. i'm normally a size 4 and got the small. zipped all the way, but on the snug side. the skirt sits so high that the fabric coming down was a bit awkward. such a shame because it really is"&amp;" beautiful and looks great on the model probably because she's wearing a belt to hide how high it rides and flares out.")</f>
        <v>Beautiful patterns and colors, but it sits very high and runs small. i'm normally a size 4 and got the small. zipped all the way, but on the snug side. the skirt sits so high that the fabric coming down was a bit awkward. such a shame because it really is beautiful and looks great on the model probably because she's wearing a belt to hide how high it rides and flares out.</v>
      </c>
      <c r="F1231" s="8">
        <f>IFERROR(__xludf.DUMMYFUNCTION("""COMPUTED_VALUE"""),4.0)</f>
        <v>4</v>
      </c>
      <c r="G1231" s="8">
        <f>IFERROR(__xludf.DUMMYFUNCTION("""COMPUTED_VALUE"""),1.0)</f>
        <v>1</v>
      </c>
      <c r="H1231" s="8">
        <f>IFERROR(__xludf.DUMMYFUNCTION("""COMPUTED_VALUE"""),0.0)</f>
        <v>0</v>
      </c>
      <c r="I1231" s="8" t="str">
        <f>IFERROR(__xludf.DUMMYFUNCTION("""COMPUTED_VALUE"""),"General Petite")</f>
        <v>General Petite</v>
      </c>
      <c r="J1231" s="8" t="str">
        <f>IFERROR(__xludf.DUMMYFUNCTION("""COMPUTED_VALUE"""),"Bottoms")</f>
        <v>Bottoms</v>
      </c>
      <c r="K1231" s="8" t="str">
        <f>IFERROR(__xludf.DUMMYFUNCTION("""COMPUTED_VALUE"""),"Skirts")</f>
        <v>Skirts</v>
      </c>
    </row>
    <row r="1232">
      <c r="A1232" s="8">
        <f>IFERROR(__xludf.DUMMYFUNCTION("""COMPUTED_VALUE"""),1633.0)</f>
        <v>1633</v>
      </c>
      <c r="B1232" s="8">
        <f>IFERROR(__xludf.DUMMYFUNCTION("""COMPUTED_VALUE"""),1094.0)</f>
        <v>1094</v>
      </c>
      <c r="C1232" s="8">
        <f>IFERROR(__xludf.DUMMYFUNCTION("""COMPUTED_VALUE"""),37.0)</f>
        <v>37</v>
      </c>
      <c r="D1232" s="8" t="str">
        <f>IFERROR(__xludf.DUMMYFUNCTION("""COMPUTED_VALUE"""),"Perfect for hourglass")</f>
        <v>Perfect for hourglass</v>
      </c>
      <c r="E1232" s="8" t="str">
        <f>IFERROR(__xludf.DUMMYFUNCTION("""COMPUTED_VALUE"""),"I tried on this dress in the store and absolutely fell in love! i'm a bigger gal who is busty and have wider hips. this dress made me look and feel slimmer, and is light to wear. the dress is a perfect length too. i'm 5'11 and this dress hits me right at "&amp;"the ankles. if your looking for a long dress to wear that can be either formal or casual, this one is perfect!")</f>
        <v>I tried on this dress in the store and absolutely fell in love! i'm a bigger gal who is busty and have wider hips. this dress made me look and feel slimmer, and is light to wear. the dress is a perfect length too. i'm 5'11 and this dress hits me right at the ankles. if your looking for a long dress to wear that can be either formal or casual, this one is perfect!</v>
      </c>
      <c r="F1232" s="8">
        <f>IFERROR(__xludf.DUMMYFUNCTION("""COMPUTED_VALUE"""),5.0)</f>
        <v>5</v>
      </c>
      <c r="G1232" s="8">
        <f>IFERROR(__xludf.DUMMYFUNCTION("""COMPUTED_VALUE"""),1.0)</f>
        <v>1</v>
      </c>
      <c r="H1232" s="8">
        <f>IFERROR(__xludf.DUMMYFUNCTION("""COMPUTED_VALUE"""),12.0)</f>
        <v>12</v>
      </c>
      <c r="I1232" s="8" t="str">
        <f>IFERROR(__xludf.DUMMYFUNCTION("""COMPUTED_VALUE"""),"General Petite")</f>
        <v>General Petite</v>
      </c>
      <c r="J1232" s="8" t="str">
        <f>IFERROR(__xludf.DUMMYFUNCTION("""COMPUTED_VALUE"""),"Dresses")</f>
        <v>Dresses</v>
      </c>
      <c r="K1232" s="8" t="str">
        <f>IFERROR(__xludf.DUMMYFUNCTION("""COMPUTED_VALUE"""),"Dresses")</f>
        <v>Dresses</v>
      </c>
    </row>
    <row r="1233">
      <c r="A1233" s="8">
        <f>IFERROR(__xludf.DUMMYFUNCTION("""COMPUTED_VALUE"""),1634.0)</f>
        <v>1634</v>
      </c>
      <c r="B1233" s="8">
        <f>IFERROR(__xludf.DUMMYFUNCTION("""COMPUTED_VALUE"""),1094.0)</f>
        <v>1094</v>
      </c>
      <c r="C1233" s="8">
        <f>IFERROR(__xludf.DUMMYFUNCTION("""COMPUTED_VALUE"""),34.0)</f>
        <v>34</v>
      </c>
      <c r="D1233" s="8" t="str">
        <f>IFERROR(__xludf.DUMMYFUNCTION("""COMPUTED_VALUE"""),"Absolutely beautiful and comfortable")</f>
        <v>Absolutely beautiful and comfortable</v>
      </c>
      <c r="E1233" s="8" t="str">
        <f>IFERROR(__xludf.DUMMYFUNCTION("""COMPUTED_VALUE"""),"I decided to try this on just for fun because the colors and design are absolutely gorgeous. here are my thoughts:
_________________
pros:
- the jeweled neckline is lovely! it really helps set the dress apart.
- pockets!!! such an elegant dress to have po"&amp;"ckets is a huge plus in my book. :)
- the length is ideal for taller folk.
- it swings beautifully on the body and flares out quite a bit on the bottom. if you're tall as i am, this won't be an issue.
- nicely conservative at the top.
cons:
- i")</f>
        <v>I decided to try this on just for fun because the colors and design are absolutely gorgeous. here are my thoughts:
_________________
pros:
- the jeweled neckline is lovely! it really helps set the dress apart.
- pockets!!! such an elegant dress to have pockets is a huge plus in my book. :)
- the length is ideal for taller folk.
- it swings beautifully on the body and flares out quite a bit on the bottom. if you're tall as i am, this won't be an issue.
- nicely conservative at the top.
cons:
- i</v>
      </c>
      <c r="F1233" s="8">
        <f>IFERROR(__xludf.DUMMYFUNCTION("""COMPUTED_VALUE"""),5.0)</f>
        <v>5</v>
      </c>
      <c r="G1233" s="8">
        <f>IFERROR(__xludf.DUMMYFUNCTION("""COMPUTED_VALUE"""),1.0)</f>
        <v>1</v>
      </c>
      <c r="H1233" s="8">
        <f>IFERROR(__xludf.DUMMYFUNCTION("""COMPUTED_VALUE"""),33.0)</f>
        <v>33</v>
      </c>
      <c r="I1233" s="8" t="str">
        <f>IFERROR(__xludf.DUMMYFUNCTION("""COMPUTED_VALUE"""),"General Petite")</f>
        <v>General Petite</v>
      </c>
      <c r="J1233" s="8" t="str">
        <f>IFERROR(__xludf.DUMMYFUNCTION("""COMPUTED_VALUE"""),"Dresses")</f>
        <v>Dresses</v>
      </c>
      <c r="K1233" s="8" t="str">
        <f>IFERROR(__xludf.DUMMYFUNCTION("""COMPUTED_VALUE"""),"Dresses")</f>
        <v>Dresses</v>
      </c>
    </row>
    <row r="1234">
      <c r="A1234" s="8">
        <f>IFERROR(__xludf.DUMMYFUNCTION("""COMPUTED_VALUE"""),1636.0)</f>
        <v>1636</v>
      </c>
      <c r="B1234" s="8">
        <f>IFERROR(__xludf.DUMMYFUNCTION("""COMPUTED_VALUE"""),878.0)</f>
        <v>878</v>
      </c>
      <c r="C1234" s="8">
        <f>IFERROR(__xludf.DUMMYFUNCTION("""COMPUTED_VALUE"""),35.0)</f>
        <v>35</v>
      </c>
      <c r="D1234" s="8" t="str">
        <f>IFERROR(__xludf.DUMMYFUNCTION("""COMPUTED_VALUE"""),"Cute!")</f>
        <v>Cute!</v>
      </c>
      <c r="E1234" s="8" t="str">
        <f>IFERROR(__xludf.DUMMYFUNCTION("""COMPUTED_VALUE"""),"Love sundry. great quality. if you want a looser more comfy fit size up!")</f>
        <v>Love sundry. great quality. if you want a looser more comfy fit size up!</v>
      </c>
      <c r="F1234" s="8">
        <f>IFERROR(__xludf.DUMMYFUNCTION("""COMPUTED_VALUE"""),4.0)</f>
        <v>4</v>
      </c>
      <c r="G1234" s="8">
        <f>IFERROR(__xludf.DUMMYFUNCTION("""COMPUTED_VALUE"""),1.0)</f>
        <v>1</v>
      </c>
      <c r="H1234" s="8">
        <f>IFERROR(__xludf.DUMMYFUNCTION("""COMPUTED_VALUE"""),0.0)</f>
        <v>0</v>
      </c>
      <c r="I1234" s="8" t="str">
        <f>IFERROR(__xludf.DUMMYFUNCTION("""COMPUTED_VALUE"""),"General")</f>
        <v>General</v>
      </c>
      <c r="J1234" s="8" t="str">
        <f>IFERROR(__xludf.DUMMYFUNCTION("""COMPUTED_VALUE"""),"Tops")</f>
        <v>Tops</v>
      </c>
      <c r="K1234" s="8" t="str">
        <f>IFERROR(__xludf.DUMMYFUNCTION("""COMPUTED_VALUE"""),"Knits")</f>
        <v>Knits</v>
      </c>
    </row>
    <row r="1235">
      <c r="A1235" s="8">
        <f>IFERROR(__xludf.DUMMYFUNCTION("""COMPUTED_VALUE"""),1637.0)</f>
        <v>1637</v>
      </c>
      <c r="B1235" s="8">
        <f>IFERROR(__xludf.DUMMYFUNCTION("""COMPUTED_VALUE"""),992.0)</f>
        <v>992</v>
      </c>
      <c r="C1235" s="8">
        <f>IFERROR(__xludf.DUMMYFUNCTION("""COMPUTED_VALUE"""),53.0)</f>
        <v>53</v>
      </c>
      <c r="D1235" s="8" t="str">
        <f>IFERROR(__xludf.DUMMYFUNCTION("""COMPUTED_VALUE"""),"Stunning skirt!")</f>
        <v>Stunning skirt!</v>
      </c>
      <c r="E1235" s="8" t="str">
        <f>IFERROR(__xludf.DUMMYFUNCTION("""COMPUTED_VALUE"""),"Beautiful colors")</f>
        <v>Beautiful colors</v>
      </c>
      <c r="F1235" s="8">
        <f>IFERROR(__xludf.DUMMYFUNCTION("""COMPUTED_VALUE"""),5.0)</f>
        <v>5</v>
      </c>
      <c r="G1235" s="8">
        <f>IFERROR(__xludf.DUMMYFUNCTION("""COMPUTED_VALUE"""),1.0)</f>
        <v>1</v>
      </c>
      <c r="H1235" s="8">
        <f>IFERROR(__xludf.DUMMYFUNCTION("""COMPUTED_VALUE"""),2.0)</f>
        <v>2</v>
      </c>
      <c r="I1235" s="8" t="str">
        <f>IFERROR(__xludf.DUMMYFUNCTION("""COMPUTED_VALUE"""),"General Petite")</f>
        <v>General Petite</v>
      </c>
      <c r="J1235" s="8" t="str">
        <f>IFERROR(__xludf.DUMMYFUNCTION("""COMPUTED_VALUE"""),"Bottoms")</f>
        <v>Bottoms</v>
      </c>
      <c r="K1235" s="8" t="str">
        <f>IFERROR(__xludf.DUMMYFUNCTION("""COMPUTED_VALUE"""),"Skirts")</f>
        <v>Skirts</v>
      </c>
    </row>
    <row r="1236">
      <c r="A1236" s="8">
        <f>IFERROR(__xludf.DUMMYFUNCTION("""COMPUTED_VALUE"""),1639.0)</f>
        <v>1639</v>
      </c>
      <c r="B1236" s="8">
        <f>IFERROR(__xludf.DUMMYFUNCTION("""COMPUTED_VALUE"""),833.0)</f>
        <v>833</v>
      </c>
      <c r="C1236" s="8">
        <f>IFERROR(__xludf.DUMMYFUNCTION("""COMPUTED_VALUE"""),38.0)</f>
        <v>38</v>
      </c>
      <c r="D1236" s="8" t="str">
        <f>IFERROR(__xludf.DUMMYFUNCTION("""COMPUTED_VALUE"""),"Great top")</f>
        <v>Great top</v>
      </c>
      <c r="E1236" s="8" t="str">
        <f>IFERROR(__xludf.DUMMYFUNCTION("""COMPUTED_VALUE"""),"This is one of my favorite tops i've ordered. flowing and relaxed with great details at the neck. i get compliments every time i wear it.")</f>
        <v>This is one of my favorite tops i've ordered. flowing and relaxed with great details at the neck. i get compliments every time i wear it.</v>
      </c>
      <c r="F1236" s="8">
        <f>IFERROR(__xludf.DUMMYFUNCTION("""COMPUTED_VALUE"""),5.0)</f>
        <v>5</v>
      </c>
      <c r="G1236" s="8">
        <f>IFERROR(__xludf.DUMMYFUNCTION("""COMPUTED_VALUE"""),1.0)</f>
        <v>1</v>
      </c>
      <c r="H1236" s="8">
        <f>IFERROR(__xludf.DUMMYFUNCTION("""COMPUTED_VALUE"""),0.0)</f>
        <v>0</v>
      </c>
      <c r="I1236" s="8" t="str">
        <f>IFERROR(__xludf.DUMMYFUNCTION("""COMPUTED_VALUE"""),"General")</f>
        <v>General</v>
      </c>
      <c r="J1236" s="8" t="str">
        <f>IFERROR(__xludf.DUMMYFUNCTION("""COMPUTED_VALUE"""),"Tops")</f>
        <v>Tops</v>
      </c>
      <c r="K1236" s="8" t="str">
        <f>IFERROR(__xludf.DUMMYFUNCTION("""COMPUTED_VALUE"""),"Blouses")</f>
        <v>Blouses</v>
      </c>
    </row>
    <row r="1237">
      <c r="A1237" s="8">
        <f>IFERROR(__xludf.DUMMYFUNCTION("""COMPUTED_VALUE"""),1641.0)</f>
        <v>1641</v>
      </c>
      <c r="B1237" s="8">
        <f>IFERROR(__xludf.DUMMYFUNCTION("""COMPUTED_VALUE"""),1094.0)</f>
        <v>1094</v>
      </c>
      <c r="C1237" s="8">
        <f>IFERROR(__xludf.DUMMYFUNCTION("""COMPUTED_VALUE"""),35.0)</f>
        <v>35</v>
      </c>
      <c r="D1237" s="8" t="str">
        <f>IFERROR(__xludf.DUMMYFUNCTION("""COMPUTED_VALUE"""),"Perfect")</f>
        <v>Perfect</v>
      </c>
      <c r="E1237" s="8" t="str">
        <f>IFERROR(__xludf.DUMMYFUNCTION("""COMPUTED_VALUE"""),"This dress is stunning! my sister-in-law was hoping to use it as a bridesmaid dress for her wedding and i ordered it for fitting purposes. it fit beautifully on my 5'10"" frame. unfortunately she decided against it due to availability and because of the l"&amp;"ength on the shorter bridesmaids. while it fell to a couple inches above my ankles, it made the shorter girls look shorter. i ended up returning it but am regretting not keeping it now!")</f>
        <v>This dress is stunning! my sister-in-law was hoping to use it as a bridesmaid dress for her wedding and i ordered it for fitting purposes. it fit beautifully on my 5'10" frame. unfortunately she decided against it due to availability and because of the length on the shorter bridesmaids. while it fell to a couple inches above my ankles, it made the shorter girls look shorter. i ended up returning it but am regretting not keeping it now!</v>
      </c>
      <c r="F1237" s="8">
        <f>IFERROR(__xludf.DUMMYFUNCTION("""COMPUTED_VALUE"""),5.0)</f>
        <v>5</v>
      </c>
      <c r="G1237" s="8">
        <f>IFERROR(__xludf.DUMMYFUNCTION("""COMPUTED_VALUE"""),1.0)</f>
        <v>1</v>
      </c>
      <c r="H1237" s="8">
        <f>IFERROR(__xludf.DUMMYFUNCTION("""COMPUTED_VALUE"""),0.0)</f>
        <v>0</v>
      </c>
      <c r="I1237" s="8" t="str">
        <f>IFERROR(__xludf.DUMMYFUNCTION("""COMPUTED_VALUE"""),"General")</f>
        <v>General</v>
      </c>
      <c r="J1237" s="8" t="str">
        <f>IFERROR(__xludf.DUMMYFUNCTION("""COMPUTED_VALUE"""),"Dresses")</f>
        <v>Dresses</v>
      </c>
      <c r="K1237" s="8" t="str">
        <f>IFERROR(__xludf.DUMMYFUNCTION("""COMPUTED_VALUE"""),"Dresses")</f>
        <v>Dresses</v>
      </c>
    </row>
    <row r="1238">
      <c r="A1238" s="8">
        <f>IFERROR(__xludf.DUMMYFUNCTION("""COMPUTED_VALUE"""),1642.0)</f>
        <v>1642</v>
      </c>
      <c r="B1238" s="8">
        <f>IFERROR(__xludf.DUMMYFUNCTION("""COMPUTED_VALUE"""),1059.0)</f>
        <v>1059</v>
      </c>
      <c r="C1238" s="8">
        <f>IFERROR(__xludf.DUMMYFUNCTION("""COMPUTED_VALUE"""),52.0)</f>
        <v>52</v>
      </c>
      <c r="D1238" s="8" t="str">
        <f>IFERROR(__xludf.DUMMYFUNCTION("""COMPUTED_VALUE"""),"Classic and timeless")</f>
        <v>Classic and timeless</v>
      </c>
      <c r="E1238" s="8" t="str">
        <f>IFERROR(__xludf.DUMMYFUNCTION("""COMPUTED_VALUE"""),"I was a little concerned ordering these online without seeing them in person but they do not disappoint! the fabric has a little texture to it that makes them look and feel like a high quality pant. the design is unique and provides visual appeal, and i s"&amp;"till feel like i can wear them in my office without looking out of place. i love the high waist on these!")</f>
        <v>I was a little concerned ordering these online without seeing them in person but they do not disappoint! the fabric has a little texture to it that makes them look and feel like a high quality pant. the design is unique and provides visual appeal, and i still feel like i can wear them in my office without looking out of place. i love the high waist on these!</v>
      </c>
      <c r="F1238" s="8">
        <f>IFERROR(__xludf.DUMMYFUNCTION("""COMPUTED_VALUE"""),5.0)</f>
        <v>5</v>
      </c>
      <c r="G1238" s="8">
        <f>IFERROR(__xludf.DUMMYFUNCTION("""COMPUTED_VALUE"""),1.0)</f>
        <v>1</v>
      </c>
      <c r="H1238" s="8">
        <f>IFERROR(__xludf.DUMMYFUNCTION("""COMPUTED_VALUE"""),2.0)</f>
        <v>2</v>
      </c>
      <c r="I1238" s="8" t="str">
        <f>IFERROR(__xludf.DUMMYFUNCTION("""COMPUTED_VALUE"""),"General")</f>
        <v>General</v>
      </c>
      <c r="J1238" s="8" t="str">
        <f>IFERROR(__xludf.DUMMYFUNCTION("""COMPUTED_VALUE"""),"Bottoms")</f>
        <v>Bottoms</v>
      </c>
      <c r="K1238" s="8" t="str">
        <f>IFERROR(__xludf.DUMMYFUNCTION("""COMPUTED_VALUE"""),"Pants")</f>
        <v>Pants</v>
      </c>
    </row>
    <row r="1239">
      <c r="A1239" s="8">
        <f>IFERROR(__xludf.DUMMYFUNCTION("""COMPUTED_VALUE"""),1643.0)</f>
        <v>1643</v>
      </c>
      <c r="B1239" s="8">
        <f>IFERROR(__xludf.DUMMYFUNCTION("""COMPUTED_VALUE"""),867.0)</f>
        <v>867</v>
      </c>
      <c r="C1239" s="8">
        <f>IFERROR(__xludf.DUMMYFUNCTION("""COMPUTED_VALUE"""),37.0)</f>
        <v>37</v>
      </c>
      <c r="D1239" s="8"/>
      <c r="E1239" s="8"/>
      <c r="F1239" s="8">
        <f>IFERROR(__xludf.DUMMYFUNCTION("""COMPUTED_VALUE"""),4.0)</f>
        <v>4</v>
      </c>
      <c r="G1239" s="8">
        <f>IFERROR(__xludf.DUMMYFUNCTION("""COMPUTED_VALUE"""),1.0)</f>
        <v>1</v>
      </c>
      <c r="H1239" s="8">
        <f>IFERROR(__xludf.DUMMYFUNCTION("""COMPUTED_VALUE"""),0.0)</f>
        <v>0</v>
      </c>
      <c r="I1239" s="8" t="str">
        <f>IFERROR(__xludf.DUMMYFUNCTION("""COMPUTED_VALUE"""),"General")</f>
        <v>General</v>
      </c>
      <c r="J1239" s="8" t="str">
        <f>IFERROR(__xludf.DUMMYFUNCTION("""COMPUTED_VALUE"""),"Tops")</f>
        <v>Tops</v>
      </c>
      <c r="K1239" s="8" t="str">
        <f>IFERROR(__xludf.DUMMYFUNCTION("""COMPUTED_VALUE"""),"Knits")</f>
        <v>Knits</v>
      </c>
    </row>
    <row r="1240">
      <c r="A1240" s="8">
        <f>IFERROR(__xludf.DUMMYFUNCTION("""COMPUTED_VALUE"""),1644.0)</f>
        <v>1644</v>
      </c>
      <c r="B1240" s="8">
        <f>IFERROR(__xludf.DUMMYFUNCTION("""COMPUTED_VALUE"""),1013.0)</f>
        <v>1013</v>
      </c>
      <c r="C1240" s="8">
        <f>IFERROR(__xludf.DUMMYFUNCTION("""COMPUTED_VALUE"""),45.0)</f>
        <v>45</v>
      </c>
      <c r="D1240" s="8" t="str">
        <f>IFERROR(__xludf.DUMMYFUNCTION("""COMPUTED_VALUE"""),"Great work skirt")</f>
        <v>Great work skirt</v>
      </c>
      <c r="E1240" s="8" t="str">
        <f>IFERROR(__xludf.DUMMYFUNCTION("""COMPUTED_VALUE"""),"This skirt is a nice medium weight and is lined. my normal size 4 fit perfect. i only wish it was available in petites. if you are petite, the skirt is ankle length. but this is a good skirt to wear to work.")</f>
        <v>This skirt is a nice medium weight and is lined. my normal size 4 fit perfect. i only wish it was available in petites. if you are petite, the skirt is ankle length. but this is a good skirt to wear to work.</v>
      </c>
      <c r="F1240" s="8">
        <f>IFERROR(__xludf.DUMMYFUNCTION("""COMPUTED_VALUE"""),5.0)</f>
        <v>5</v>
      </c>
      <c r="G1240" s="8">
        <f>IFERROR(__xludf.DUMMYFUNCTION("""COMPUTED_VALUE"""),1.0)</f>
        <v>1</v>
      </c>
      <c r="H1240" s="8">
        <f>IFERROR(__xludf.DUMMYFUNCTION("""COMPUTED_VALUE"""),2.0)</f>
        <v>2</v>
      </c>
      <c r="I1240" s="8" t="str">
        <f>IFERROR(__xludf.DUMMYFUNCTION("""COMPUTED_VALUE"""),"General")</f>
        <v>General</v>
      </c>
      <c r="J1240" s="8" t="str">
        <f>IFERROR(__xludf.DUMMYFUNCTION("""COMPUTED_VALUE"""),"Bottoms")</f>
        <v>Bottoms</v>
      </c>
      <c r="K1240" s="8" t="str">
        <f>IFERROR(__xludf.DUMMYFUNCTION("""COMPUTED_VALUE"""),"Skirts")</f>
        <v>Skirts</v>
      </c>
    </row>
    <row r="1241">
      <c r="A1241" s="8">
        <f>IFERROR(__xludf.DUMMYFUNCTION("""COMPUTED_VALUE"""),1647.0)</f>
        <v>1647</v>
      </c>
      <c r="B1241" s="8">
        <f>IFERROR(__xludf.DUMMYFUNCTION("""COMPUTED_VALUE"""),1059.0)</f>
        <v>1059</v>
      </c>
      <c r="C1241" s="8">
        <f>IFERROR(__xludf.DUMMYFUNCTION("""COMPUTED_VALUE"""),36.0)</f>
        <v>36</v>
      </c>
      <c r="D1241" s="8" t="str">
        <f>IFERROR(__xludf.DUMMYFUNCTION("""COMPUTED_VALUE"""),"Lovely")</f>
        <v>Lovely</v>
      </c>
      <c r="E1241" s="8" t="str">
        <f>IFERROR(__xludf.DUMMYFUNCTION("""COMPUTED_VALUE"""),"These trousers are wonderful. the fabric is comfortable and does have a little give to it.")</f>
        <v>These trousers are wonderful. the fabric is comfortable and does have a little give to it.</v>
      </c>
      <c r="F1241" s="8">
        <f>IFERROR(__xludf.DUMMYFUNCTION("""COMPUTED_VALUE"""),5.0)</f>
        <v>5</v>
      </c>
      <c r="G1241" s="8">
        <f>IFERROR(__xludf.DUMMYFUNCTION("""COMPUTED_VALUE"""),1.0)</f>
        <v>1</v>
      </c>
      <c r="H1241" s="8">
        <f>IFERROR(__xludf.DUMMYFUNCTION("""COMPUTED_VALUE"""),1.0)</f>
        <v>1</v>
      </c>
      <c r="I1241" s="8" t="str">
        <f>IFERROR(__xludf.DUMMYFUNCTION("""COMPUTED_VALUE"""),"General")</f>
        <v>General</v>
      </c>
      <c r="J1241" s="8" t="str">
        <f>IFERROR(__xludf.DUMMYFUNCTION("""COMPUTED_VALUE"""),"Bottoms")</f>
        <v>Bottoms</v>
      </c>
      <c r="K1241" s="8" t="str">
        <f>IFERROR(__xludf.DUMMYFUNCTION("""COMPUTED_VALUE"""),"Pants")</f>
        <v>Pants</v>
      </c>
    </row>
    <row r="1242">
      <c r="A1242" s="8">
        <f>IFERROR(__xludf.DUMMYFUNCTION("""COMPUTED_VALUE"""),1648.0)</f>
        <v>1648</v>
      </c>
      <c r="B1242" s="8">
        <f>IFERROR(__xludf.DUMMYFUNCTION("""COMPUTED_VALUE"""),835.0)</f>
        <v>835</v>
      </c>
      <c r="C1242" s="8">
        <f>IFERROR(__xludf.DUMMYFUNCTION("""COMPUTED_VALUE"""),39.0)</f>
        <v>39</v>
      </c>
      <c r="D1242" s="8" t="str">
        <f>IFERROR(__xludf.DUMMYFUNCTION("""COMPUTED_VALUE"""),"Why did i order this?")</f>
        <v>Why did i order this?</v>
      </c>
      <c r="E1242" s="8" t="str">
        <f>IFERROR(__xludf.DUMMYFUNCTION("""COMPUTED_VALUE"""),"I really wanted to not like the top for that price, but ti looks really good, the beading makes the shirt stunning... i ordered the 0p, not sure what size to get, and it is just fine. the length is almost too short, but isn't. the rest of the shirt fits n"&amp;"icely. the shoulder are wide, like poofing out a bit, perhaps that is hwy some people thought it looked large? the beading work is beautiful also a little sheer, but not crazy. debating whether to keep it but right now i love it. also, teh colla")</f>
        <v>I really wanted to not like the top for that price, but ti looks really good, the beading makes the shirt stunning... i ordered the 0p, not sure what size to get, and it is just fine. the length is almost too short, but isn't. the rest of the shirt fits nicely. the shoulder are wide, like poofing out a bit, perhaps that is hwy some people thought it looked large? the beading work is beautiful also a little sheer, but not crazy. debating whether to keep it but right now i love it. also, teh colla</v>
      </c>
      <c r="F1242" s="8">
        <f>IFERROR(__xludf.DUMMYFUNCTION("""COMPUTED_VALUE"""),5.0)</f>
        <v>5</v>
      </c>
      <c r="G1242" s="8">
        <f>IFERROR(__xludf.DUMMYFUNCTION("""COMPUTED_VALUE"""),1.0)</f>
        <v>1</v>
      </c>
      <c r="H1242" s="8">
        <f>IFERROR(__xludf.DUMMYFUNCTION("""COMPUTED_VALUE"""),2.0)</f>
        <v>2</v>
      </c>
      <c r="I1242" s="8" t="str">
        <f>IFERROR(__xludf.DUMMYFUNCTION("""COMPUTED_VALUE"""),"General Petite")</f>
        <v>General Petite</v>
      </c>
      <c r="J1242" s="8" t="str">
        <f>IFERROR(__xludf.DUMMYFUNCTION("""COMPUTED_VALUE"""),"Tops")</f>
        <v>Tops</v>
      </c>
      <c r="K1242" s="8" t="str">
        <f>IFERROR(__xludf.DUMMYFUNCTION("""COMPUTED_VALUE"""),"Blouses")</f>
        <v>Blouses</v>
      </c>
    </row>
    <row r="1243">
      <c r="A1243" s="8">
        <f>IFERROR(__xludf.DUMMYFUNCTION("""COMPUTED_VALUE"""),1649.0)</f>
        <v>1649</v>
      </c>
      <c r="B1243" s="8">
        <f>IFERROR(__xludf.DUMMYFUNCTION("""COMPUTED_VALUE"""),857.0)</f>
        <v>857</v>
      </c>
      <c r="C1243" s="8">
        <f>IFERROR(__xludf.DUMMYFUNCTION("""COMPUTED_VALUE"""),29.0)</f>
        <v>29</v>
      </c>
      <c r="D1243" s="8"/>
      <c r="E1243" s="8" t="str">
        <f>IFERROR(__xludf.DUMMYFUNCTION("""COMPUTED_VALUE"""),"Very pretty top, comfortable and soft but looks nice enough for work!")</f>
        <v>Very pretty top, comfortable and soft but looks nice enough for work!</v>
      </c>
      <c r="F1243" s="8">
        <f>IFERROR(__xludf.DUMMYFUNCTION("""COMPUTED_VALUE"""),5.0)</f>
        <v>5</v>
      </c>
      <c r="G1243" s="8">
        <f>IFERROR(__xludf.DUMMYFUNCTION("""COMPUTED_VALUE"""),1.0)</f>
        <v>1</v>
      </c>
      <c r="H1243" s="8">
        <f>IFERROR(__xludf.DUMMYFUNCTION("""COMPUTED_VALUE"""),0.0)</f>
        <v>0</v>
      </c>
      <c r="I1243" s="8" t="str">
        <f>IFERROR(__xludf.DUMMYFUNCTION("""COMPUTED_VALUE"""),"General Petite")</f>
        <v>General Petite</v>
      </c>
      <c r="J1243" s="8" t="str">
        <f>IFERROR(__xludf.DUMMYFUNCTION("""COMPUTED_VALUE"""),"Tops")</f>
        <v>Tops</v>
      </c>
      <c r="K1243" s="8" t="str">
        <f>IFERROR(__xludf.DUMMYFUNCTION("""COMPUTED_VALUE"""),"Knits")</f>
        <v>Knits</v>
      </c>
    </row>
    <row r="1244">
      <c r="A1244" s="8">
        <f>IFERROR(__xludf.DUMMYFUNCTION("""COMPUTED_VALUE"""),1650.0)</f>
        <v>1650</v>
      </c>
      <c r="B1244" s="8">
        <f>IFERROR(__xludf.DUMMYFUNCTION("""COMPUTED_VALUE"""),867.0)</f>
        <v>867</v>
      </c>
      <c r="C1244" s="8">
        <f>IFERROR(__xludf.DUMMYFUNCTION("""COMPUTED_VALUE"""),35.0)</f>
        <v>35</v>
      </c>
      <c r="D1244" s="8"/>
      <c r="E1244" s="8" t="str">
        <f>IFERROR(__xludf.DUMMYFUNCTION("""COMPUTED_VALUE"""),"Normally i am a size 10 or 12 but i sized down to a small. still very swingy and beautiful. i bought the pink and the taupe as well. the colors are beautiful and have great texture to hide stains!")</f>
        <v>Normally i am a size 10 or 12 but i sized down to a small. still very swingy and beautiful. i bought the pink and the taupe as well. the colors are beautiful and have great texture to hide stains!</v>
      </c>
      <c r="F1244" s="8">
        <f>IFERROR(__xludf.DUMMYFUNCTION("""COMPUTED_VALUE"""),5.0)</f>
        <v>5</v>
      </c>
      <c r="G1244" s="8">
        <f>IFERROR(__xludf.DUMMYFUNCTION("""COMPUTED_VALUE"""),1.0)</f>
        <v>1</v>
      </c>
      <c r="H1244" s="8">
        <f>IFERROR(__xludf.DUMMYFUNCTION("""COMPUTED_VALUE"""),1.0)</f>
        <v>1</v>
      </c>
      <c r="I1244" s="8" t="str">
        <f>IFERROR(__xludf.DUMMYFUNCTION("""COMPUTED_VALUE"""),"General")</f>
        <v>General</v>
      </c>
      <c r="J1244" s="8" t="str">
        <f>IFERROR(__xludf.DUMMYFUNCTION("""COMPUTED_VALUE"""),"Tops")</f>
        <v>Tops</v>
      </c>
      <c r="K1244" s="8" t="str">
        <f>IFERROR(__xludf.DUMMYFUNCTION("""COMPUTED_VALUE"""),"Knits")</f>
        <v>Knits</v>
      </c>
    </row>
    <row r="1245">
      <c r="A1245" s="8">
        <f>IFERROR(__xludf.DUMMYFUNCTION("""COMPUTED_VALUE"""),1651.0)</f>
        <v>1651</v>
      </c>
      <c r="B1245" s="8">
        <f>IFERROR(__xludf.DUMMYFUNCTION("""COMPUTED_VALUE"""),1104.0)</f>
        <v>1104</v>
      </c>
      <c r="C1245" s="8">
        <f>IFERROR(__xludf.DUMMYFUNCTION("""COMPUTED_VALUE"""),41.0)</f>
        <v>41</v>
      </c>
      <c r="D1245" s="8" t="str">
        <f>IFERROR(__xludf.DUMMYFUNCTION("""COMPUTED_VALUE"""),"Cute &amp; comfortable")</f>
        <v>Cute &amp; comfortable</v>
      </c>
      <c r="E1245" s="8" t="str">
        <f>IFERROR(__xludf.DUMMYFUNCTION("""COMPUTED_VALUE"""),"I was a little surprised when i received this dress, as it is little more than an a-line tube with elastic casing at the top and a cute knotted detail at the bust. i guess i expected the bust to be lined at least. it is unlined, and a relatively thin jers"&amp;"ey knit. it wasn't see through, for it is black, but i expected a heavier fabric. i would never have paid full price for this, but at the sale price it is very cute and comfortable. it is also flattering and the fit is true to size. the a-line t")</f>
        <v>I was a little surprised when i received this dress, as it is little more than an a-line tube with elastic casing at the top and a cute knotted detail at the bust. i guess i expected the bust to be lined at least. it is unlined, and a relatively thin jersey knit. it wasn't see through, for it is black, but i expected a heavier fabric. i would never have paid full price for this, but at the sale price it is very cute and comfortable. it is also flattering and the fit is true to size. the a-line t</v>
      </c>
      <c r="F1245" s="8">
        <f>IFERROR(__xludf.DUMMYFUNCTION("""COMPUTED_VALUE"""),4.0)</f>
        <v>4</v>
      </c>
      <c r="G1245" s="8">
        <f>IFERROR(__xludf.DUMMYFUNCTION("""COMPUTED_VALUE"""),1.0)</f>
        <v>1</v>
      </c>
      <c r="H1245" s="8">
        <f>IFERROR(__xludf.DUMMYFUNCTION("""COMPUTED_VALUE"""),0.0)</f>
        <v>0</v>
      </c>
      <c r="I1245" s="8" t="str">
        <f>IFERROR(__xludf.DUMMYFUNCTION("""COMPUTED_VALUE"""),"General Petite")</f>
        <v>General Petite</v>
      </c>
      <c r="J1245" s="8" t="str">
        <f>IFERROR(__xludf.DUMMYFUNCTION("""COMPUTED_VALUE"""),"Dresses")</f>
        <v>Dresses</v>
      </c>
      <c r="K1245" s="8" t="str">
        <f>IFERROR(__xludf.DUMMYFUNCTION("""COMPUTED_VALUE"""),"Dresses")</f>
        <v>Dresses</v>
      </c>
    </row>
    <row r="1246">
      <c r="A1246" s="8">
        <f>IFERROR(__xludf.DUMMYFUNCTION("""COMPUTED_VALUE"""),1652.0)</f>
        <v>1652</v>
      </c>
      <c r="B1246" s="8">
        <f>IFERROR(__xludf.DUMMYFUNCTION("""COMPUTED_VALUE"""),835.0)</f>
        <v>835</v>
      </c>
      <c r="C1246" s="8">
        <f>IFERROR(__xludf.DUMMYFUNCTION("""COMPUTED_VALUE"""),31.0)</f>
        <v>31</v>
      </c>
      <c r="D1246" s="8" t="str">
        <f>IFERROR(__xludf.DUMMYFUNCTION("""COMPUTED_VALUE"""),"Great shirt")</f>
        <v>Great shirt</v>
      </c>
      <c r="E1246" s="8" t="str">
        <f>IFERROR(__xludf.DUMMYFUNCTION("""COMPUTED_VALUE"""),"This shirt is so great. it's beautiful and functional. i received countless compliments the first time i wore it. i'm looking forward to wearing it again! worth the steep price, though it was hard to justify.")</f>
        <v>This shirt is so great. it's beautiful and functional. i received countless compliments the first time i wore it. i'm looking forward to wearing it again! worth the steep price, though it was hard to justify.</v>
      </c>
      <c r="F1246" s="8">
        <f>IFERROR(__xludf.DUMMYFUNCTION("""COMPUTED_VALUE"""),4.0)</f>
        <v>4</v>
      </c>
      <c r="G1246" s="8">
        <f>IFERROR(__xludf.DUMMYFUNCTION("""COMPUTED_VALUE"""),1.0)</f>
        <v>1</v>
      </c>
      <c r="H1246" s="8">
        <f>IFERROR(__xludf.DUMMYFUNCTION("""COMPUTED_VALUE"""),1.0)</f>
        <v>1</v>
      </c>
      <c r="I1246" s="8" t="str">
        <f>IFERROR(__xludf.DUMMYFUNCTION("""COMPUTED_VALUE"""),"General Petite")</f>
        <v>General Petite</v>
      </c>
      <c r="J1246" s="8" t="str">
        <f>IFERROR(__xludf.DUMMYFUNCTION("""COMPUTED_VALUE"""),"Tops")</f>
        <v>Tops</v>
      </c>
      <c r="K1246" s="8" t="str">
        <f>IFERROR(__xludf.DUMMYFUNCTION("""COMPUTED_VALUE"""),"Blouses")</f>
        <v>Blouses</v>
      </c>
    </row>
    <row r="1247">
      <c r="A1247" s="8">
        <f>IFERROR(__xludf.DUMMYFUNCTION("""COMPUTED_VALUE"""),1653.0)</f>
        <v>1653</v>
      </c>
      <c r="B1247" s="8">
        <f>IFERROR(__xludf.DUMMYFUNCTION("""COMPUTED_VALUE"""),835.0)</f>
        <v>835</v>
      </c>
      <c r="C1247" s="8">
        <f>IFERROR(__xludf.DUMMYFUNCTION("""COMPUTED_VALUE"""),46.0)</f>
        <v>46</v>
      </c>
      <c r="D1247" s="8" t="str">
        <f>IFERROR(__xludf.DUMMYFUNCTION("""COMPUTED_VALUE"""),"Cute blouse!")</f>
        <v>Cute blouse!</v>
      </c>
      <c r="E1247" s="8" t="str">
        <f>IFERROR(__xludf.DUMMYFUNCTION("""COMPUTED_VALUE"""),"Very pretty blouse. it does run quite large, i am usually an xs-s or 0-4 and purchased the 0. i could probably have gone to a 00. for reference i am 5'4"" 118 lbs 34b/c. it says that it is dry clean only, however i washed in in delicate cycle with cold wa"&amp;"ter and threw in the dryer for a little bit. it came out perfect! i was hoping to shrink it and it only shrunk a tiny bit. i was hoping for it to shrink more but it is fine. no need to even iron it! i was lucky enough to get it on sale, i don't t")</f>
        <v>Very pretty blouse. it does run quite large, i am usually an xs-s or 0-4 and purchased the 0. i could probably have gone to a 00. for reference i am 5'4" 118 lbs 34b/c. it says that it is dry clean only, however i washed in in delicate cycle with cold water and threw in the dryer for a little bit. it came out perfect! i was hoping to shrink it and it only shrunk a tiny bit. i was hoping for it to shrink more but it is fine. no need to even iron it! i was lucky enough to get it on sale, i don't t</v>
      </c>
      <c r="F1247" s="8">
        <f>IFERROR(__xludf.DUMMYFUNCTION("""COMPUTED_VALUE"""),4.0)</f>
        <v>4</v>
      </c>
      <c r="G1247" s="8">
        <f>IFERROR(__xludf.DUMMYFUNCTION("""COMPUTED_VALUE"""),1.0)</f>
        <v>1</v>
      </c>
      <c r="H1247" s="8">
        <f>IFERROR(__xludf.DUMMYFUNCTION("""COMPUTED_VALUE"""),7.0)</f>
        <v>7</v>
      </c>
      <c r="I1247" s="8" t="str">
        <f>IFERROR(__xludf.DUMMYFUNCTION("""COMPUTED_VALUE"""),"General Petite")</f>
        <v>General Petite</v>
      </c>
      <c r="J1247" s="8" t="str">
        <f>IFERROR(__xludf.DUMMYFUNCTION("""COMPUTED_VALUE"""),"Tops")</f>
        <v>Tops</v>
      </c>
      <c r="K1247" s="8" t="str">
        <f>IFERROR(__xludf.DUMMYFUNCTION("""COMPUTED_VALUE"""),"Blouses")</f>
        <v>Blouses</v>
      </c>
    </row>
    <row r="1248">
      <c r="A1248" s="8">
        <f>IFERROR(__xludf.DUMMYFUNCTION("""COMPUTED_VALUE"""),1656.0)</f>
        <v>1656</v>
      </c>
      <c r="B1248" s="8">
        <f>IFERROR(__xludf.DUMMYFUNCTION("""COMPUTED_VALUE"""),1020.0)</f>
        <v>1020</v>
      </c>
      <c r="C1248" s="8">
        <f>IFERROR(__xludf.DUMMYFUNCTION("""COMPUTED_VALUE"""),55.0)</f>
        <v>55</v>
      </c>
      <c r="D1248" s="8" t="str">
        <f>IFERROR(__xludf.DUMMYFUNCTION("""COMPUTED_VALUE"""),"Love the color and stretch")</f>
        <v>Love the color and stretch</v>
      </c>
      <c r="E1248" s="8" t="str">
        <f>IFERROR(__xludf.DUMMYFUNCTION("""COMPUTED_VALUE"""),"I am always looking for a nice denim skirt and this one is great the pale pink is perfect and the stretch is awesome. i wore wedges with it and a nice romantic top and it looked great. i originally got a 8 and a 10 and kept the 8 because of the stretch it"&amp;" fit perfectly. nice length and great quality")</f>
        <v>I am always looking for a nice denim skirt and this one is great the pale pink is perfect and the stretch is awesome. i wore wedges with it and a nice romantic top and it looked great. i originally got a 8 and a 10 and kept the 8 because of the stretch it fit perfectly. nice length and great quality</v>
      </c>
      <c r="F1248" s="8">
        <f>IFERROR(__xludf.DUMMYFUNCTION("""COMPUTED_VALUE"""),5.0)</f>
        <v>5</v>
      </c>
      <c r="G1248" s="8">
        <f>IFERROR(__xludf.DUMMYFUNCTION("""COMPUTED_VALUE"""),1.0)</f>
        <v>1</v>
      </c>
      <c r="H1248" s="8">
        <f>IFERROR(__xludf.DUMMYFUNCTION("""COMPUTED_VALUE"""),0.0)</f>
        <v>0</v>
      </c>
      <c r="I1248" s="8" t="str">
        <f>IFERROR(__xludf.DUMMYFUNCTION("""COMPUTED_VALUE"""),"General")</f>
        <v>General</v>
      </c>
      <c r="J1248" s="8" t="str">
        <f>IFERROR(__xludf.DUMMYFUNCTION("""COMPUTED_VALUE"""),"Bottoms")</f>
        <v>Bottoms</v>
      </c>
      <c r="K1248" s="8" t="str">
        <f>IFERROR(__xludf.DUMMYFUNCTION("""COMPUTED_VALUE"""),"Skirts")</f>
        <v>Skirts</v>
      </c>
    </row>
    <row r="1249">
      <c r="A1249" s="8">
        <f>IFERROR(__xludf.DUMMYFUNCTION("""COMPUTED_VALUE"""),1657.0)</f>
        <v>1657</v>
      </c>
      <c r="B1249" s="8">
        <f>IFERROR(__xludf.DUMMYFUNCTION("""COMPUTED_VALUE"""),867.0)</f>
        <v>867</v>
      </c>
      <c r="C1249" s="8">
        <f>IFERROR(__xludf.DUMMYFUNCTION("""COMPUTED_VALUE"""),26.0)</f>
        <v>26</v>
      </c>
      <c r="D1249" s="8" t="str">
        <f>IFERROR(__xludf.DUMMYFUNCTION("""COMPUTED_VALUE"""),"Color better in person")</f>
        <v>Color better in person</v>
      </c>
      <c r="E1249" s="8" t="str">
        <f>IFERROR(__xludf.DUMMYFUNCTION("""COMPUTED_VALUE"""),"I purchased this top in the taupe color, and it is much prettier in person than it photographs online. it runs about a half size too large, and sits slightly off the shoulders. fun casual top for the fall.")</f>
        <v>I purchased this top in the taupe color, and it is much prettier in person than it photographs online. it runs about a half size too large, and sits slightly off the shoulders. fun casual top for the fall.</v>
      </c>
      <c r="F1249" s="8">
        <f>IFERROR(__xludf.DUMMYFUNCTION("""COMPUTED_VALUE"""),4.0)</f>
        <v>4</v>
      </c>
      <c r="G1249" s="8">
        <f>IFERROR(__xludf.DUMMYFUNCTION("""COMPUTED_VALUE"""),1.0)</f>
        <v>1</v>
      </c>
      <c r="H1249" s="8">
        <f>IFERROR(__xludf.DUMMYFUNCTION("""COMPUTED_VALUE"""),0.0)</f>
        <v>0</v>
      </c>
      <c r="I1249" s="8" t="str">
        <f>IFERROR(__xludf.DUMMYFUNCTION("""COMPUTED_VALUE"""),"General")</f>
        <v>General</v>
      </c>
      <c r="J1249" s="8" t="str">
        <f>IFERROR(__xludf.DUMMYFUNCTION("""COMPUTED_VALUE"""),"Tops")</f>
        <v>Tops</v>
      </c>
      <c r="K1249" s="8" t="str">
        <f>IFERROR(__xludf.DUMMYFUNCTION("""COMPUTED_VALUE"""),"Knits")</f>
        <v>Knits</v>
      </c>
    </row>
    <row r="1250">
      <c r="A1250" s="8">
        <f>IFERROR(__xludf.DUMMYFUNCTION("""COMPUTED_VALUE"""),1659.0)</f>
        <v>1659</v>
      </c>
      <c r="B1250" s="8">
        <f>IFERROR(__xludf.DUMMYFUNCTION("""COMPUTED_VALUE"""),867.0)</f>
        <v>867</v>
      </c>
      <c r="C1250" s="8">
        <f>IFERROR(__xludf.DUMMYFUNCTION("""COMPUTED_VALUE"""),47.0)</f>
        <v>47</v>
      </c>
      <c r="D1250" s="8" t="str">
        <f>IFERROR(__xludf.DUMMYFUNCTION("""COMPUTED_VALUE"""),"Great top!")</f>
        <v>Great top!</v>
      </c>
      <c r="E1250" s="8" t="str">
        <f>IFERROR(__xludf.DUMMYFUNCTION("""COMPUTED_VALUE"""),"I got this top in an xs and the fit is great. the top is a little darker than pictured. it looks great with white, kaki and denim.")</f>
        <v>I got this top in an xs and the fit is great. the top is a little darker than pictured. it looks great with white, kaki and denim.</v>
      </c>
      <c r="F1250" s="8">
        <f>IFERROR(__xludf.DUMMYFUNCTION("""COMPUTED_VALUE"""),5.0)</f>
        <v>5</v>
      </c>
      <c r="G1250" s="8">
        <f>IFERROR(__xludf.DUMMYFUNCTION("""COMPUTED_VALUE"""),1.0)</f>
        <v>1</v>
      </c>
      <c r="H1250" s="8">
        <f>IFERROR(__xludf.DUMMYFUNCTION("""COMPUTED_VALUE"""),0.0)</f>
        <v>0</v>
      </c>
      <c r="I1250" s="8" t="str">
        <f>IFERROR(__xludf.DUMMYFUNCTION("""COMPUTED_VALUE"""),"General")</f>
        <v>General</v>
      </c>
      <c r="J1250" s="8" t="str">
        <f>IFERROR(__xludf.DUMMYFUNCTION("""COMPUTED_VALUE"""),"Tops")</f>
        <v>Tops</v>
      </c>
      <c r="K1250" s="8" t="str">
        <f>IFERROR(__xludf.DUMMYFUNCTION("""COMPUTED_VALUE"""),"Knits")</f>
        <v>Knits</v>
      </c>
    </row>
    <row r="1251">
      <c r="A1251" s="8">
        <f>IFERROR(__xludf.DUMMYFUNCTION("""COMPUTED_VALUE"""),1660.0)</f>
        <v>1660</v>
      </c>
      <c r="B1251" s="8">
        <f>IFERROR(__xludf.DUMMYFUNCTION("""COMPUTED_VALUE"""),1059.0)</f>
        <v>1059</v>
      </c>
      <c r="C1251" s="8">
        <f>IFERROR(__xludf.DUMMYFUNCTION("""COMPUTED_VALUE"""),32.0)</f>
        <v>32</v>
      </c>
      <c r="D1251" s="8"/>
      <c r="E1251" s="8"/>
      <c r="F1251" s="8">
        <f>IFERROR(__xludf.DUMMYFUNCTION("""COMPUTED_VALUE"""),4.0)</f>
        <v>4</v>
      </c>
      <c r="G1251" s="8">
        <f>IFERROR(__xludf.DUMMYFUNCTION("""COMPUTED_VALUE"""),1.0)</f>
        <v>1</v>
      </c>
      <c r="H1251" s="8">
        <f>IFERROR(__xludf.DUMMYFUNCTION("""COMPUTED_VALUE"""),0.0)</f>
        <v>0</v>
      </c>
      <c r="I1251" s="8" t="str">
        <f>IFERROR(__xludf.DUMMYFUNCTION("""COMPUTED_VALUE"""),"General")</f>
        <v>General</v>
      </c>
      <c r="J1251" s="8" t="str">
        <f>IFERROR(__xludf.DUMMYFUNCTION("""COMPUTED_VALUE"""),"Bottoms")</f>
        <v>Bottoms</v>
      </c>
      <c r="K1251" s="8" t="str">
        <f>IFERROR(__xludf.DUMMYFUNCTION("""COMPUTED_VALUE"""),"Pants")</f>
        <v>Pants</v>
      </c>
    </row>
    <row r="1252">
      <c r="A1252" s="8">
        <f>IFERROR(__xludf.DUMMYFUNCTION("""COMPUTED_VALUE"""),1662.0)</f>
        <v>1662</v>
      </c>
      <c r="B1252" s="8">
        <f>IFERROR(__xludf.DUMMYFUNCTION("""COMPUTED_VALUE"""),835.0)</f>
        <v>835</v>
      </c>
      <c r="C1252" s="8">
        <f>IFERROR(__xludf.DUMMYFUNCTION("""COMPUTED_VALUE"""),34.0)</f>
        <v>34</v>
      </c>
      <c r="D1252" s="8" t="str">
        <f>IFERROR(__xludf.DUMMYFUNCTION("""COMPUTED_VALUE"""),"Better in person")</f>
        <v>Better in person</v>
      </c>
      <c r="E1252" s="8" t="str">
        <f>IFERROR(__xludf.DUMMYFUNCTION("""COMPUTED_VALUE"""),"I was pleasantly surprised with the fit of this top! at 5' 6"", i'm rather busty, short waisted, and full-figured. i ordered my usual size 16, and the fit is a flattering, 'almost' empire silhouette. i was worried about the back being too long for my body"&amp;" shape, but it works great. the embroidery and construction make this a really special piece.")</f>
        <v>I was pleasantly surprised with the fit of this top! at 5' 6", i'm rather busty, short waisted, and full-figured. i ordered my usual size 16, and the fit is a flattering, 'almost' empire silhouette. i was worried about the back being too long for my body shape, but it works great. the embroidery and construction make this a really special piece.</v>
      </c>
      <c r="F1252" s="8">
        <f>IFERROR(__xludf.DUMMYFUNCTION("""COMPUTED_VALUE"""),5.0)</f>
        <v>5</v>
      </c>
      <c r="G1252" s="8">
        <f>IFERROR(__xludf.DUMMYFUNCTION("""COMPUTED_VALUE"""),1.0)</f>
        <v>1</v>
      </c>
      <c r="H1252" s="8">
        <f>IFERROR(__xludf.DUMMYFUNCTION("""COMPUTED_VALUE"""),3.0)</f>
        <v>3</v>
      </c>
      <c r="I1252" s="8" t="str">
        <f>IFERROR(__xludf.DUMMYFUNCTION("""COMPUTED_VALUE"""),"General Petite")</f>
        <v>General Petite</v>
      </c>
      <c r="J1252" s="8" t="str">
        <f>IFERROR(__xludf.DUMMYFUNCTION("""COMPUTED_VALUE"""),"Tops")</f>
        <v>Tops</v>
      </c>
      <c r="K1252" s="8" t="str">
        <f>IFERROR(__xludf.DUMMYFUNCTION("""COMPUTED_VALUE"""),"Blouses")</f>
        <v>Blouses</v>
      </c>
    </row>
    <row r="1253">
      <c r="A1253" s="8">
        <f>IFERROR(__xludf.DUMMYFUNCTION("""COMPUTED_VALUE"""),1664.0)</f>
        <v>1664</v>
      </c>
      <c r="B1253" s="8">
        <f>IFERROR(__xludf.DUMMYFUNCTION("""COMPUTED_VALUE"""),1020.0)</f>
        <v>1020</v>
      </c>
      <c r="C1253" s="8">
        <f>IFERROR(__xludf.DUMMYFUNCTION("""COMPUTED_VALUE"""),56.0)</f>
        <v>56</v>
      </c>
      <c r="D1253" s="8" t="str">
        <f>IFERROR(__xludf.DUMMYFUNCTION("""COMPUTED_VALUE"""),"Fits like a glove")</f>
        <v>Fits like a glove</v>
      </c>
      <c r="E1253" s="8" t="str">
        <f>IFERROR(__xludf.DUMMYFUNCTION("""COMPUTED_VALUE"""),"This skirt is a rare find. slimming, flowing, and best of all, it finally sits on my waist and not on my hips, while hugging the hips in all the right places for the streamlined and sexy look. the fabric is substantial, yet soft, so no weird sticking out "&amp;"sides. the color is delicious very pale-tea-rose, better in person that the picture here, and is fresh for summer. nice length for office. easy to pair with either fitting or loose top/s and jackets. i also got a distressed denim pilcro west to")</f>
        <v>This skirt is a rare find. slimming, flowing, and best of all, it finally sits on my waist and not on my hips, while hugging the hips in all the right places for the streamlined and sexy look. the fabric is substantial, yet soft, so no weird sticking out sides. the color is delicious very pale-tea-rose, better in person that the picture here, and is fresh for summer. nice length for office. easy to pair with either fitting or loose top/s and jackets. i also got a distressed denim pilcro west to</v>
      </c>
      <c r="F1253" s="8">
        <f>IFERROR(__xludf.DUMMYFUNCTION("""COMPUTED_VALUE"""),5.0)</f>
        <v>5</v>
      </c>
      <c r="G1253" s="8">
        <f>IFERROR(__xludf.DUMMYFUNCTION("""COMPUTED_VALUE"""),1.0)</f>
        <v>1</v>
      </c>
      <c r="H1253" s="8">
        <f>IFERROR(__xludf.DUMMYFUNCTION("""COMPUTED_VALUE"""),5.0)</f>
        <v>5</v>
      </c>
      <c r="I1253" s="8" t="str">
        <f>IFERROR(__xludf.DUMMYFUNCTION("""COMPUTED_VALUE"""),"General")</f>
        <v>General</v>
      </c>
      <c r="J1253" s="8" t="str">
        <f>IFERROR(__xludf.DUMMYFUNCTION("""COMPUTED_VALUE"""),"Bottoms")</f>
        <v>Bottoms</v>
      </c>
      <c r="K1253" s="8" t="str">
        <f>IFERROR(__xludf.DUMMYFUNCTION("""COMPUTED_VALUE"""),"Skirts")</f>
        <v>Skirts</v>
      </c>
    </row>
    <row r="1254">
      <c r="A1254" s="8">
        <f>IFERROR(__xludf.DUMMYFUNCTION("""COMPUTED_VALUE"""),1667.0)</f>
        <v>1667</v>
      </c>
      <c r="B1254" s="8">
        <f>IFERROR(__xludf.DUMMYFUNCTION("""COMPUTED_VALUE"""),867.0)</f>
        <v>867</v>
      </c>
      <c r="C1254" s="8">
        <f>IFERROR(__xludf.DUMMYFUNCTION("""COMPUTED_VALUE"""),70.0)</f>
        <v>70</v>
      </c>
      <c r="D1254" s="8" t="str">
        <f>IFERROR(__xludf.DUMMYFUNCTION("""COMPUTED_VALUE"""),"Fabulous top")</f>
        <v>Fabulous top</v>
      </c>
      <c r="E1254" s="8" t="str">
        <f>IFERROR(__xludf.DUMMYFUNCTION("""COMPUTED_VALUE"""),"Fabric is soft, body runs a bit big but falls nicely. length is great for leggings or skinny jeans. overall, wonderful tee shirt!")</f>
        <v>Fabric is soft, body runs a bit big but falls nicely. length is great for leggings or skinny jeans. overall, wonderful tee shirt!</v>
      </c>
      <c r="F1254" s="8">
        <f>IFERROR(__xludf.DUMMYFUNCTION("""COMPUTED_VALUE"""),5.0)</f>
        <v>5</v>
      </c>
      <c r="G1254" s="8">
        <f>IFERROR(__xludf.DUMMYFUNCTION("""COMPUTED_VALUE"""),1.0)</f>
        <v>1</v>
      </c>
      <c r="H1254" s="8">
        <f>IFERROR(__xludf.DUMMYFUNCTION("""COMPUTED_VALUE"""),0.0)</f>
        <v>0</v>
      </c>
      <c r="I1254" s="8" t="str">
        <f>IFERROR(__xludf.DUMMYFUNCTION("""COMPUTED_VALUE"""),"General")</f>
        <v>General</v>
      </c>
      <c r="J1254" s="8" t="str">
        <f>IFERROR(__xludf.DUMMYFUNCTION("""COMPUTED_VALUE"""),"Tops")</f>
        <v>Tops</v>
      </c>
      <c r="K1254" s="8" t="str">
        <f>IFERROR(__xludf.DUMMYFUNCTION("""COMPUTED_VALUE"""),"Knits")</f>
        <v>Knits</v>
      </c>
    </row>
    <row r="1255">
      <c r="A1255" s="8">
        <f>IFERROR(__xludf.DUMMYFUNCTION("""COMPUTED_VALUE"""),1668.0)</f>
        <v>1668</v>
      </c>
      <c r="B1255" s="8">
        <f>IFERROR(__xludf.DUMMYFUNCTION("""COMPUTED_VALUE"""),1020.0)</f>
        <v>1020</v>
      </c>
      <c r="C1255" s="8">
        <f>IFERROR(__xludf.DUMMYFUNCTION("""COMPUTED_VALUE"""),31.0)</f>
        <v>31</v>
      </c>
      <c r="D1255" s="8" t="str">
        <f>IFERROR(__xludf.DUMMYFUNCTION("""COMPUTED_VALUE"""),"Lovely")</f>
        <v>Lovely</v>
      </c>
      <c r="E1255" s="8" t="str">
        <f>IFERROR(__xludf.DUMMYFUNCTION("""COMPUTED_VALUE"""),"The skirt is a little longer than i expected, it hits me at my calf, i considered having it shorten knee length but believe that may takeaway some of the aesthetic so i'm going to wear it as it. the quality is quite nice and the color is lovely, very femi"&amp;"nine. nice skirt for a picnic")</f>
        <v>The skirt is a little longer than i expected, it hits me at my calf, i considered having it shorten knee length but believe that may takeaway some of the aesthetic so i'm going to wear it as it. the quality is quite nice and the color is lovely, very feminine. nice skirt for a picnic</v>
      </c>
      <c r="F1255" s="8">
        <f>IFERROR(__xludf.DUMMYFUNCTION("""COMPUTED_VALUE"""),5.0)</f>
        <v>5</v>
      </c>
      <c r="G1255" s="8">
        <f>IFERROR(__xludf.DUMMYFUNCTION("""COMPUTED_VALUE"""),1.0)</f>
        <v>1</v>
      </c>
      <c r="H1255" s="8">
        <f>IFERROR(__xludf.DUMMYFUNCTION("""COMPUTED_VALUE"""),6.0)</f>
        <v>6</v>
      </c>
      <c r="I1255" s="8" t="str">
        <f>IFERROR(__xludf.DUMMYFUNCTION("""COMPUTED_VALUE"""),"General")</f>
        <v>General</v>
      </c>
      <c r="J1255" s="8" t="str">
        <f>IFERROR(__xludf.DUMMYFUNCTION("""COMPUTED_VALUE"""),"Bottoms")</f>
        <v>Bottoms</v>
      </c>
      <c r="K1255" s="8" t="str">
        <f>IFERROR(__xludf.DUMMYFUNCTION("""COMPUTED_VALUE"""),"Skirts")</f>
        <v>Skirts</v>
      </c>
    </row>
    <row r="1256">
      <c r="A1256" s="8">
        <f>IFERROR(__xludf.DUMMYFUNCTION("""COMPUTED_VALUE"""),1669.0)</f>
        <v>1669</v>
      </c>
      <c r="B1256" s="8">
        <f>IFERROR(__xludf.DUMMYFUNCTION("""COMPUTED_VALUE"""),1059.0)</f>
        <v>1059</v>
      </c>
      <c r="C1256" s="8">
        <f>IFERROR(__xludf.DUMMYFUNCTION("""COMPUTED_VALUE"""),58.0)</f>
        <v>58</v>
      </c>
      <c r="D1256" s="8" t="str">
        <f>IFERROR(__xludf.DUMMYFUNCTION("""COMPUTED_VALUE"""),"Cute pants!")</f>
        <v>Cute pants!</v>
      </c>
      <c r="E1256" s="8" t="str">
        <f>IFERROR(__xludf.DUMMYFUNCTION("""COMPUTED_VALUE"""),"I tried these on in the store and didn't buy them with the other items in my 'yes' pile. i couldn't stop thinking about them and ended up ordering them. they are so cute. the fabric is a nice weight. they have little stretch.")</f>
        <v>I tried these on in the store and didn't buy them with the other items in my 'yes' pile. i couldn't stop thinking about them and ended up ordering them. they are so cute. the fabric is a nice weight. they have little stretch.</v>
      </c>
      <c r="F1256" s="8">
        <f>IFERROR(__xludf.DUMMYFUNCTION("""COMPUTED_VALUE"""),5.0)</f>
        <v>5</v>
      </c>
      <c r="G1256" s="8">
        <f>IFERROR(__xludf.DUMMYFUNCTION("""COMPUTED_VALUE"""),1.0)</f>
        <v>1</v>
      </c>
      <c r="H1256" s="8">
        <f>IFERROR(__xludf.DUMMYFUNCTION("""COMPUTED_VALUE"""),0.0)</f>
        <v>0</v>
      </c>
      <c r="I1256" s="8" t="str">
        <f>IFERROR(__xludf.DUMMYFUNCTION("""COMPUTED_VALUE"""),"General")</f>
        <v>General</v>
      </c>
      <c r="J1256" s="8" t="str">
        <f>IFERROR(__xludf.DUMMYFUNCTION("""COMPUTED_VALUE"""),"Bottoms")</f>
        <v>Bottoms</v>
      </c>
      <c r="K1256" s="8" t="str">
        <f>IFERROR(__xludf.DUMMYFUNCTION("""COMPUTED_VALUE"""),"Pants")</f>
        <v>Pants</v>
      </c>
    </row>
    <row r="1257">
      <c r="A1257" s="8">
        <f>IFERROR(__xludf.DUMMYFUNCTION("""COMPUTED_VALUE"""),1670.0)</f>
        <v>1670</v>
      </c>
      <c r="B1257" s="8">
        <f>IFERROR(__xludf.DUMMYFUNCTION("""COMPUTED_VALUE"""),835.0)</f>
        <v>835</v>
      </c>
      <c r="C1257" s="8">
        <f>IFERROR(__xludf.DUMMYFUNCTION("""COMPUTED_VALUE"""),63.0)</f>
        <v>63</v>
      </c>
      <c r="D1257" s="8" t="str">
        <f>IFERROR(__xludf.DUMMYFUNCTION("""COMPUTED_VALUE"""),"Love it but runs large!")</f>
        <v>Love it but runs large!</v>
      </c>
      <c r="E1257" s="8" t="str">
        <f>IFERROR(__xludf.DUMMYFUNCTION("""COMPUTED_VALUE"""),"I was glad that i was able to get this shirt which is really more of a spring/summer item, but i found it wide in the body and the shoulders.")</f>
        <v>I was glad that i was able to get this shirt which is really more of a spring/summer item, but i found it wide in the body and the shoulders.</v>
      </c>
      <c r="F1257" s="8">
        <f>IFERROR(__xludf.DUMMYFUNCTION("""COMPUTED_VALUE"""),5.0)</f>
        <v>5</v>
      </c>
      <c r="G1257" s="8">
        <f>IFERROR(__xludf.DUMMYFUNCTION("""COMPUTED_VALUE"""),1.0)</f>
        <v>1</v>
      </c>
      <c r="H1257" s="8">
        <f>IFERROR(__xludf.DUMMYFUNCTION("""COMPUTED_VALUE"""),2.0)</f>
        <v>2</v>
      </c>
      <c r="I1257" s="8" t="str">
        <f>IFERROR(__xludf.DUMMYFUNCTION("""COMPUTED_VALUE"""),"General Petite")</f>
        <v>General Petite</v>
      </c>
      <c r="J1257" s="8" t="str">
        <f>IFERROR(__xludf.DUMMYFUNCTION("""COMPUTED_VALUE"""),"Tops")</f>
        <v>Tops</v>
      </c>
      <c r="K1257" s="8" t="str">
        <f>IFERROR(__xludf.DUMMYFUNCTION("""COMPUTED_VALUE"""),"Blouses")</f>
        <v>Blouses</v>
      </c>
    </row>
    <row r="1258">
      <c r="A1258" s="8">
        <f>IFERROR(__xludf.DUMMYFUNCTION("""COMPUTED_VALUE"""),1671.0)</f>
        <v>1671</v>
      </c>
      <c r="B1258" s="8">
        <f>IFERROR(__xludf.DUMMYFUNCTION("""COMPUTED_VALUE"""),1059.0)</f>
        <v>1059</v>
      </c>
      <c r="C1258" s="8">
        <f>IFERROR(__xludf.DUMMYFUNCTION("""COMPUTED_VALUE"""),26.0)</f>
        <v>26</v>
      </c>
      <c r="D1258" s="8" t="str">
        <f>IFERROR(__xludf.DUMMYFUNCTION("""COMPUTED_VALUE"""),"Add to your collection")</f>
        <v>Add to your collection</v>
      </c>
      <c r="E1258" s="8" t="str">
        <f>IFERROR(__xludf.DUMMYFUNCTION("""COMPUTED_VALUE"""),"It's hard to go wrong with the charlie's, especially in this fabric, keep them coming!! i wrote a review on the brush strokes as well. they fit pretty true to size, i'd say try both your usual size and one size down as well, they stretch out a little, so "&amp;"if they feel a little tight keep that in mind. because of the texture of these pants you can wear so many more colors than just usual black and white trouser fabric. try wearing a burnt orange, green, or pink (the isabella sinclair grid wrap but")</f>
        <v>It's hard to go wrong with the charlie's, especially in this fabric, keep them coming!! i wrote a review on the brush strokes as well. they fit pretty true to size, i'd say try both your usual size and one size down as well, they stretch out a little, so if they feel a little tight keep that in mind. because of the texture of these pants you can wear so many more colors than just usual black and white trouser fabric. try wearing a burnt orange, green, or pink (the isabella sinclair grid wrap but</v>
      </c>
      <c r="F1258" s="8">
        <f>IFERROR(__xludf.DUMMYFUNCTION("""COMPUTED_VALUE"""),5.0)</f>
        <v>5</v>
      </c>
      <c r="G1258" s="8">
        <f>IFERROR(__xludf.DUMMYFUNCTION("""COMPUTED_VALUE"""),1.0)</f>
        <v>1</v>
      </c>
      <c r="H1258" s="8">
        <f>IFERROR(__xludf.DUMMYFUNCTION("""COMPUTED_VALUE"""),1.0)</f>
        <v>1</v>
      </c>
      <c r="I1258" s="8" t="str">
        <f>IFERROR(__xludf.DUMMYFUNCTION("""COMPUTED_VALUE"""),"General")</f>
        <v>General</v>
      </c>
      <c r="J1258" s="8" t="str">
        <f>IFERROR(__xludf.DUMMYFUNCTION("""COMPUTED_VALUE"""),"Bottoms")</f>
        <v>Bottoms</v>
      </c>
      <c r="K1258" s="8" t="str">
        <f>IFERROR(__xludf.DUMMYFUNCTION("""COMPUTED_VALUE"""),"Pants")</f>
        <v>Pants</v>
      </c>
    </row>
    <row r="1259">
      <c r="A1259" s="8">
        <f>IFERROR(__xludf.DUMMYFUNCTION("""COMPUTED_VALUE"""),1672.0)</f>
        <v>1672</v>
      </c>
      <c r="B1259" s="8">
        <f>IFERROR(__xludf.DUMMYFUNCTION("""COMPUTED_VALUE"""),1059.0)</f>
        <v>1059</v>
      </c>
      <c r="C1259" s="8">
        <f>IFERROR(__xludf.DUMMYFUNCTION("""COMPUTED_VALUE"""),51.0)</f>
        <v>51</v>
      </c>
      <c r="D1259" s="8" t="str">
        <f>IFERROR(__xludf.DUMMYFUNCTION("""COMPUTED_VALUE"""),"Another winner")</f>
        <v>Another winner</v>
      </c>
      <c r="E1259" s="8" t="str">
        <f>IFERROR(__xludf.DUMMYFUNCTION("""COMPUTED_VALUE"""),"Can't go wrong with these new charlie's by cartonnier. they fit amazingly. the fabric is a textured cotton but doesn't seem to wrinkle. just shook them out of the bag yesterday. the fabric description says cotton and spandex so they have some give (just a"&amp;" little) but are not going to stretch out after wearing for an hour. paired it with all sorts of different tops. side zip is slimming. lined pockets. substantial fabric. nothing bad to say. if you haven't tried a pair of charlies you should. you")</f>
        <v>Can't go wrong with these new charlie's by cartonnier. they fit amazingly. the fabric is a textured cotton but doesn't seem to wrinkle. just shook them out of the bag yesterday. the fabric description says cotton and spandex so they have some give (just a little) but are not going to stretch out after wearing for an hour. paired it with all sorts of different tops. side zip is slimming. lined pockets. substantial fabric. nothing bad to say. if you haven't tried a pair of charlies you should. you</v>
      </c>
      <c r="F1259" s="8">
        <f>IFERROR(__xludf.DUMMYFUNCTION("""COMPUTED_VALUE"""),5.0)</f>
        <v>5</v>
      </c>
      <c r="G1259" s="8">
        <f>IFERROR(__xludf.DUMMYFUNCTION("""COMPUTED_VALUE"""),1.0)</f>
        <v>1</v>
      </c>
      <c r="H1259" s="8">
        <f>IFERROR(__xludf.DUMMYFUNCTION("""COMPUTED_VALUE"""),5.0)</f>
        <v>5</v>
      </c>
      <c r="I1259" s="8" t="str">
        <f>IFERROR(__xludf.DUMMYFUNCTION("""COMPUTED_VALUE"""),"General")</f>
        <v>General</v>
      </c>
      <c r="J1259" s="8" t="str">
        <f>IFERROR(__xludf.DUMMYFUNCTION("""COMPUTED_VALUE"""),"Bottoms")</f>
        <v>Bottoms</v>
      </c>
      <c r="K1259" s="8" t="str">
        <f>IFERROR(__xludf.DUMMYFUNCTION("""COMPUTED_VALUE"""),"Pants")</f>
        <v>Pants</v>
      </c>
    </row>
    <row r="1260">
      <c r="A1260" s="8">
        <f>IFERROR(__xludf.DUMMYFUNCTION("""COMPUTED_VALUE"""),1673.0)</f>
        <v>1673</v>
      </c>
      <c r="B1260" s="8">
        <f>IFERROR(__xludf.DUMMYFUNCTION("""COMPUTED_VALUE"""),867.0)</f>
        <v>867</v>
      </c>
      <c r="C1260" s="8">
        <f>IFERROR(__xludf.DUMMYFUNCTION("""COMPUTED_VALUE"""),63.0)</f>
        <v>63</v>
      </c>
      <c r="D1260" s="8" t="str">
        <f>IFERROR(__xludf.DUMMYFUNCTION("""COMPUTED_VALUE"""),"Wear now along, wear later with a sweater")</f>
        <v>Wear now along, wear later with a sweater</v>
      </c>
      <c r="E1260" s="8" t="str">
        <f>IFERROR(__xludf.DUMMYFUNCTION("""COMPUTED_VALUE"""),"Ordered the pink in a small, but it ran big...the xs was perfect for my 5'6' medium frame. it is comfortable and the fabric has an interesting texture. looks great with chinos or jeans. might need to get the other color.")</f>
        <v>Ordered the pink in a small, but it ran big...the xs was perfect for my 5'6' medium frame. it is comfortable and the fabric has an interesting texture. looks great with chinos or jeans. might need to get the other color.</v>
      </c>
      <c r="F1260" s="8">
        <f>IFERROR(__xludf.DUMMYFUNCTION("""COMPUTED_VALUE"""),5.0)</f>
        <v>5</v>
      </c>
      <c r="G1260" s="8">
        <f>IFERROR(__xludf.DUMMYFUNCTION("""COMPUTED_VALUE"""),1.0)</f>
        <v>1</v>
      </c>
      <c r="H1260" s="8">
        <f>IFERROR(__xludf.DUMMYFUNCTION("""COMPUTED_VALUE"""),3.0)</f>
        <v>3</v>
      </c>
      <c r="I1260" s="8" t="str">
        <f>IFERROR(__xludf.DUMMYFUNCTION("""COMPUTED_VALUE"""),"General")</f>
        <v>General</v>
      </c>
      <c r="J1260" s="8" t="str">
        <f>IFERROR(__xludf.DUMMYFUNCTION("""COMPUTED_VALUE"""),"Tops")</f>
        <v>Tops</v>
      </c>
      <c r="K1260" s="8" t="str">
        <f>IFERROR(__xludf.DUMMYFUNCTION("""COMPUTED_VALUE"""),"Knits")</f>
        <v>Knits</v>
      </c>
    </row>
    <row r="1261">
      <c r="A1261" s="8">
        <f>IFERROR(__xludf.DUMMYFUNCTION("""COMPUTED_VALUE"""),1674.0)</f>
        <v>1674</v>
      </c>
      <c r="B1261" s="8">
        <f>IFERROR(__xludf.DUMMYFUNCTION("""COMPUTED_VALUE"""),835.0)</f>
        <v>835</v>
      </c>
      <c r="C1261" s="8">
        <f>IFERROR(__xludf.DUMMYFUNCTION("""COMPUTED_VALUE"""),33.0)</f>
        <v>33</v>
      </c>
      <c r="D1261" s="8" t="str">
        <f>IFERROR(__xludf.DUMMYFUNCTION("""COMPUTED_VALUE"""),"Just beautiful, but...")</f>
        <v>Just beautiful, but...</v>
      </c>
      <c r="E1261" s="8" t="str">
        <f>IFERROR(__xludf.DUMMYFUNCTION("""COMPUTED_VALUE"""),"When i first pulled this shirt from the box i thought it was a for sure winner. the beading was stunning, it was just so elegant and the details are perfection. ""till i tried it on and had some reservations. the sleeves (at the top) were very poofy and j"&amp;"ust would not lay in a flattering way unless they were rolled above my elbow to tighten them. and as a taller gal, i wish it were a tad longer (in the model shot, looks a bit short from the back view). i fear tucking it would loosen the bead work")</f>
        <v>When i first pulled this shirt from the box i thought it was a for sure winner. the beading was stunning, it was just so elegant and the details are perfection. "till i tried it on and had some reservations. the sleeves (at the top) were very poofy and just would not lay in a flattering way unless they were rolled above my elbow to tighten them. and as a taller gal, i wish it were a tad longer (in the model shot, looks a bit short from the back view). i fear tucking it would loosen the bead work</v>
      </c>
      <c r="F1261" s="8">
        <f>IFERROR(__xludf.DUMMYFUNCTION("""COMPUTED_VALUE"""),4.0)</f>
        <v>4</v>
      </c>
      <c r="G1261" s="8">
        <f>IFERROR(__xludf.DUMMYFUNCTION("""COMPUTED_VALUE"""),1.0)</f>
        <v>1</v>
      </c>
      <c r="H1261" s="8">
        <f>IFERROR(__xludf.DUMMYFUNCTION("""COMPUTED_VALUE"""),2.0)</f>
        <v>2</v>
      </c>
      <c r="I1261" s="8" t="str">
        <f>IFERROR(__xludf.DUMMYFUNCTION("""COMPUTED_VALUE"""),"General Petite")</f>
        <v>General Petite</v>
      </c>
      <c r="J1261" s="8" t="str">
        <f>IFERROR(__xludf.DUMMYFUNCTION("""COMPUTED_VALUE"""),"Tops")</f>
        <v>Tops</v>
      </c>
      <c r="K1261" s="8" t="str">
        <f>IFERROR(__xludf.DUMMYFUNCTION("""COMPUTED_VALUE"""),"Blouses")</f>
        <v>Blouses</v>
      </c>
    </row>
    <row r="1262">
      <c r="A1262" s="8">
        <f>IFERROR(__xludf.DUMMYFUNCTION("""COMPUTED_VALUE"""),1675.0)</f>
        <v>1675</v>
      </c>
      <c r="B1262" s="8">
        <f>IFERROR(__xludf.DUMMYFUNCTION("""COMPUTED_VALUE"""),835.0)</f>
        <v>835</v>
      </c>
      <c r="C1262" s="8">
        <f>IFERROR(__xludf.DUMMYFUNCTION("""COMPUTED_VALUE"""),36.0)</f>
        <v>36</v>
      </c>
      <c r="D1262" s="8"/>
      <c r="E1262" s="8" t="str">
        <f>IFERROR(__xludf.DUMMYFUNCTION("""COMPUTED_VALUE"""),"This is a really great top. it looks fantastic on. while it is a bigger fit, its so flattering. i get tons of compliments every time i wear it.")</f>
        <v>This is a really great top. it looks fantastic on. while it is a bigger fit, its so flattering. i get tons of compliments every time i wear it.</v>
      </c>
      <c r="F1262" s="8">
        <f>IFERROR(__xludf.DUMMYFUNCTION("""COMPUTED_VALUE"""),5.0)</f>
        <v>5</v>
      </c>
      <c r="G1262" s="8">
        <f>IFERROR(__xludf.DUMMYFUNCTION("""COMPUTED_VALUE"""),1.0)</f>
        <v>1</v>
      </c>
      <c r="H1262" s="8">
        <f>IFERROR(__xludf.DUMMYFUNCTION("""COMPUTED_VALUE"""),0.0)</f>
        <v>0</v>
      </c>
      <c r="I1262" s="8" t="str">
        <f>IFERROR(__xludf.DUMMYFUNCTION("""COMPUTED_VALUE"""),"General Petite")</f>
        <v>General Petite</v>
      </c>
      <c r="J1262" s="8" t="str">
        <f>IFERROR(__xludf.DUMMYFUNCTION("""COMPUTED_VALUE"""),"Tops")</f>
        <v>Tops</v>
      </c>
      <c r="K1262" s="8" t="str">
        <f>IFERROR(__xludf.DUMMYFUNCTION("""COMPUTED_VALUE"""),"Blouses")</f>
        <v>Blouses</v>
      </c>
    </row>
    <row r="1263">
      <c r="A1263" s="8">
        <f>IFERROR(__xludf.DUMMYFUNCTION("""COMPUTED_VALUE"""),1676.0)</f>
        <v>1676</v>
      </c>
      <c r="B1263" s="8">
        <f>IFERROR(__xludf.DUMMYFUNCTION("""COMPUTED_VALUE"""),835.0)</f>
        <v>835</v>
      </c>
      <c r="C1263" s="8">
        <f>IFERROR(__xludf.DUMMYFUNCTION("""COMPUTED_VALUE"""),54.0)</f>
        <v>54</v>
      </c>
      <c r="D1263" s="8"/>
      <c r="E1263" s="8" t="str">
        <f>IFERROR(__xludf.DUMMYFUNCTION("""COMPUTED_VALUE"""),"I ordered this shirt last week, it's beautiful!!!!! it's even prettier than the photo. i'm 5.3 120lbs ,i ordered the petite 6 and it fit perfectly!!!! i wish it came in more colors, i'd order another one in a minute!")</f>
        <v>I ordered this shirt last week, it's beautiful!!!!! it's even prettier than the photo. i'm 5.3 120lbs ,i ordered the petite 6 and it fit perfectly!!!! i wish it came in more colors, i'd order another one in a minute!</v>
      </c>
      <c r="F1263" s="8">
        <f>IFERROR(__xludf.DUMMYFUNCTION("""COMPUTED_VALUE"""),5.0)</f>
        <v>5</v>
      </c>
      <c r="G1263" s="8">
        <f>IFERROR(__xludf.DUMMYFUNCTION("""COMPUTED_VALUE"""),1.0)</f>
        <v>1</v>
      </c>
      <c r="H1263" s="8">
        <f>IFERROR(__xludf.DUMMYFUNCTION("""COMPUTED_VALUE"""),3.0)</f>
        <v>3</v>
      </c>
      <c r="I1263" s="8" t="str">
        <f>IFERROR(__xludf.DUMMYFUNCTION("""COMPUTED_VALUE"""),"General Petite")</f>
        <v>General Petite</v>
      </c>
      <c r="J1263" s="8" t="str">
        <f>IFERROR(__xludf.DUMMYFUNCTION("""COMPUTED_VALUE"""),"Tops")</f>
        <v>Tops</v>
      </c>
      <c r="K1263" s="8" t="str">
        <f>IFERROR(__xludf.DUMMYFUNCTION("""COMPUTED_VALUE"""),"Blouses")</f>
        <v>Blouses</v>
      </c>
    </row>
    <row r="1264">
      <c r="A1264" s="8">
        <f>IFERROR(__xludf.DUMMYFUNCTION("""COMPUTED_VALUE"""),1677.0)</f>
        <v>1677</v>
      </c>
      <c r="B1264" s="8">
        <f>IFERROR(__xludf.DUMMYFUNCTION("""COMPUTED_VALUE"""),1020.0)</f>
        <v>1020</v>
      </c>
      <c r="C1264" s="8">
        <f>IFERROR(__xludf.DUMMYFUNCTION("""COMPUTED_VALUE"""),26.0)</f>
        <v>26</v>
      </c>
      <c r="D1264" s="8" t="str">
        <f>IFERROR(__xludf.DUMMYFUNCTION("""COMPUTED_VALUE"""),"Stunning, just wasn't quite right for my needs")</f>
        <v>Stunning, just wasn't quite right for my needs</v>
      </c>
      <c r="E1264" s="8" t="str">
        <f>IFERROR(__xludf.DUMMYFUNCTION("""COMPUTED_VALUE"""),"So i actually loved this skirt (the tea rose color and coppery gold buttons were perfect together) and it's rare to find something that's simultaneously so form-fitting and comfortable.... but i hold a lot of my weight in my butt and thighs, and i just fe"&amp;"lt like it was a little too sexy for work (especially with that long slit - i might feel differently if it didn't have that slit, because then i could at least pair it with a cute oversized cardigan to tone things down a bit for the office). if")</f>
        <v>So i actually loved this skirt (the tea rose color and coppery gold buttons were perfect together) and it's rare to find something that's simultaneously so form-fitting and comfortable.... but i hold a lot of my weight in my butt and thighs, and i just felt like it was a little too sexy for work (especially with that long slit - i might feel differently if it didn't have that slit, because then i could at least pair it with a cute oversized cardigan to tone things down a bit for the office). if</v>
      </c>
      <c r="F1264" s="8">
        <f>IFERROR(__xludf.DUMMYFUNCTION("""COMPUTED_VALUE"""),5.0)</f>
        <v>5</v>
      </c>
      <c r="G1264" s="8">
        <f>IFERROR(__xludf.DUMMYFUNCTION("""COMPUTED_VALUE"""),1.0)</f>
        <v>1</v>
      </c>
      <c r="H1264" s="8">
        <f>IFERROR(__xludf.DUMMYFUNCTION("""COMPUTED_VALUE"""),0.0)</f>
        <v>0</v>
      </c>
      <c r="I1264" s="8" t="str">
        <f>IFERROR(__xludf.DUMMYFUNCTION("""COMPUTED_VALUE"""),"General")</f>
        <v>General</v>
      </c>
      <c r="J1264" s="8" t="str">
        <f>IFERROR(__xludf.DUMMYFUNCTION("""COMPUTED_VALUE"""),"Bottoms")</f>
        <v>Bottoms</v>
      </c>
      <c r="K1264" s="8" t="str">
        <f>IFERROR(__xludf.DUMMYFUNCTION("""COMPUTED_VALUE"""),"Skirts")</f>
        <v>Skirts</v>
      </c>
    </row>
    <row r="1265">
      <c r="A1265" s="8">
        <f>IFERROR(__xludf.DUMMYFUNCTION("""COMPUTED_VALUE"""),1679.0)</f>
        <v>1679</v>
      </c>
      <c r="B1265" s="8">
        <f>IFERROR(__xludf.DUMMYFUNCTION("""COMPUTED_VALUE"""),964.0)</f>
        <v>964</v>
      </c>
      <c r="C1265" s="8">
        <f>IFERROR(__xludf.DUMMYFUNCTION("""COMPUTED_VALUE"""),33.0)</f>
        <v>33</v>
      </c>
      <c r="D1265" s="8" t="str">
        <f>IFERROR(__xludf.DUMMYFUNCTION("""COMPUTED_VALUE"""),"Perfect")</f>
        <v>Perfect</v>
      </c>
      <c r="E1265" s="8" t="str">
        <f>IFERROR(__xludf.DUMMYFUNCTION("""COMPUTED_VALUE"""),"I love this vest. get compliments every time i wear it. it's stretchy too :). unfortunately i got ranch dressing on it and spot treated it with shout and now the spot is gone but the color faded there. so little tip don't spill on it lol. my fault though "&amp;"so still 5 stars!")</f>
        <v>I love this vest. get compliments every time i wear it. it's stretchy too :). unfortunately i got ranch dressing on it and spot treated it with shout and now the spot is gone but the color faded there. so little tip don't spill on it lol. my fault though so still 5 stars!</v>
      </c>
      <c r="F1265" s="8">
        <f>IFERROR(__xludf.DUMMYFUNCTION("""COMPUTED_VALUE"""),5.0)</f>
        <v>5</v>
      </c>
      <c r="G1265" s="8">
        <f>IFERROR(__xludf.DUMMYFUNCTION("""COMPUTED_VALUE"""),1.0)</f>
        <v>1</v>
      </c>
      <c r="H1265" s="8">
        <f>IFERROR(__xludf.DUMMYFUNCTION("""COMPUTED_VALUE"""),0.0)</f>
        <v>0</v>
      </c>
      <c r="I1265" s="8" t="str">
        <f>IFERROR(__xludf.DUMMYFUNCTION("""COMPUTED_VALUE"""),"General Petite")</f>
        <v>General Petite</v>
      </c>
      <c r="J1265" s="8" t="str">
        <f>IFERROR(__xludf.DUMMYFUNCTION("""COMPUTED_VALUE"""),"Jackets")</f>
        <v>Jackets</v>
      </c>
      <c r="K1265" s="8" t="str">
        <f>IFERROR(__xludf.DUMMYFUNCTION("""COMPUTED_VALUE"""),"Jackets")</f>
        <v>Jackets</v>
      </c>
    </row>
    <row r="1266">
      <c r="A1266" s="8">
        <f>IFERROR(__xludf.DUMMYFUNCTION("""COMPUTED_VALUE"""),1681.0)</f>
        <v>1681</v>
      </c>
      <c r="B1266" s="8">
        <f>IFERROR(__xludf.DUMMYFUNCTION("""COMPUTED_VALUE"""),860.0)</f>
        <v>860</v>
      </c>
      <c r="C1266" s="8">
        <f>IFERROR(__xludf.DUMMYFUNCTION("""COMPUTED_VALUE"""),26.0)</f>
        <v>26</v>
      </c>
      <c r="D1266" s="8" t="str">
        <f>IFERROR(__xludf.DUMMYFUNCTION("""COMPUTED_VALUE"""),"Beautiful fabric!")</f>
        <v>Beautiful fabric!</v>
      </c>
      <c r="E1266" s="8" t="str">
        <f>IFERROR(__xludf.DUMMYFUNCTION("""COMPUTED_VALUE"""),"This top is everything i wanted it to be. the fabric is beautiful, and the fit is flowy and comfortable. i would love to own a u-neckline version.")</f>
        <v>This top is everything i wanted it to be. the fabric is beautiful, and the fit is flowy and comfortable. i would love to own a u-neckline version.</v>
      </c>
      <c r="F1266" s="8">
        <f>IFERROR(__xludf.DUMMYFUNCTION("""COMPUTED_VALUE"""),5.0)</f>
        <v>5</v>
      </c>
      <c r="G1266" s="8">
        <f>IFERROR(__xludf.DUMMYFUNCTION("""COMPUTED_VALUE"""),1.0)</f>
        <v>1</v>
      </c>
      <c r="H1266" s="8">
        <f>IFERROR(__xludf.DUMMYFUNCTION("""COMPUTED_VALUE"""),0.0)</f>
        <v>0</v>
      </c>
      <c r="I1266" s="8" t="str">
        <f>IFERROR(__xludf.DUMMYFUNCTION("""COMPUTED_VALUE"""),"General Petite")</f>
        <v>General Petite</v>
      </c>
      <c r="J1266" s="8" t="str">
        <f>IFERROR(__xludf.DUMMYFUNCTION("""COMPUTED_VALUE"""),"Tops")</f>
        <v>Tops</v>
      </c>
      <c r="K1266" s="8" t="str">
        <f>IFERROR(__xludf.DUMMYFUNCTION("""COMPUTED_VALUE"""),"Knits")</f>
        <v>Knits</v>
      </c>
    </row>
    <row r="1267">
      <c r="A1267" s="8">
        <f>IFERROR(__xludf.DUMMYFUNCTION("""COMPUTED_VALUE"""),1682.0)</f>
        <v>1682</v>
      </c>
      <c r="B1267" s="8">
        <f>IFERROR(__xludf.DUMMYFUNCTION("""COMPUTED_VALUE"""),860.0)</f>
        <v>860</v>
      </c>
      <c r="C1267" s="8">
        <f>IFERROR(__xludf.DUMMYFUNCTION("""COMPUTED_VALUE"""),56.0)</f>
        <v>56</v>
      </c>
      <c r="D1267" s="8" t="str">
        <f>IFERROR(__xludf.DUMMYFUNCTION("""COMPUTED_VALUE"""),"Great summer t")</f>
        <v>Great summer t</v>
      </c>
      <c r="E1267" s="8" t="str">
        <f>IFERROR(__xludf.DUMMYFUNCTION("""COMPUTED_VALUE"""),"Great t. great lightweight, almost linen like fabric. a bit on the sheer side, but love the fit and the neckline!")</f>
        <v>Great t. great lightweight, almost linen like fabric. a bit on the sheer side, but love the fit and the neckline!</v>
      </c>
      <c r="F1267" s="8">
        <f>IFERROR(__xludf.DUMMYFUNCTION("""COMPUTED_VALUE"""),4.0)</f>
        <v>4</v>
      </c>
      <c r="G1267" s="8">
        <f>IFERROR(__xludf.DUMMYFUNCTION("""COMPUTED_VALUE"""),1.0)</f>
        <v>1</v>
      </c>
      <c r="H1267" s="8">
        <f>IFERROR(__xludf.DUMMYFUNCTION("""COMPUTED_VALUE"""),1.0)</f>
        <v>1</v>
      </c>
      <c r="I1267" s="8" t="str">
        <f>IFERROR(__xludf.DUMMYFUNCTION("""COMPUTED_VALUE"""),"General Petite")</f>
        <v>General Petite</v>
      </c>
      <c r="J1267" s="8" t="str">
        <f>IFERROR(__xludf.DUMMYFUNCTION("""COMPUTED_VALUE"""),"Tops")</f>
        <v>Tops</v>
      </c>
      <c r="K1267" s="8" t="str">
        <f>IFERROR(__xludf.DUMMYFUNCTION("""COMPUTED_VALUE"""),"Knits")</f>
        <v>Knits</v>
      </c>
    </row>
    <row r="1268">
      <c r="A1268" s="8">
        <f>IFERROR(__xludf.DUMMYFUNCTION("""COMPUTED_VALUE"""),1683.0)</f>
        <v>1683</v>
      </c>
      <c r="B1268" s="8">
        <f>IFERROR(__xludf.DUMMYFUNCTION("""COMPUTED_VALUE"""),899.0)</f>
        <v>899</v>
      </c>
      <c r="C1268" s="8">
        <f>IFERROR(__xludf.DUMMYFUNCTION("""COMPUTED_VALUE"""),63.0)</f>
        <v>63</v>
      </c>
      <c r="D1268" s="8" t="str">
        <f>IFERROR(__xludf.DUMMYFUNCTION("""COMPUTED_VALUE"""),"Nice styling!")</f>
        <v>Nice styling!</v>
      </c>
      <c r="E1268" s="8" t="str">
        <f>IFERROR(__xludf.DUMMYFUNCTION("""COMPUTED_VALUE"""),"I bought this for my mother and she really loves it. it is a bit on the large side for her but have decided to keep it. the quality seems very good and great styling for a washable item! i actually like it so much i may order one for myself!")</f>
        <v>I bought this for my mother and she really loves it. it is a bit on the large side for her but have decided to keep it. the quality seems very good and great styling for a washable item! i actually like it so much i may order one for myself!</v>
      </c>
      <c r="F1268" s="8">
        <f>IFERROR(__xludf.DUMMYFUNCTION("""COMPUTED_VALUE"""),4.0)</f>
        <v>4</v>
      </c>
      <c r="G1268" s="8">
        <f>IFERROR(__xludf.DUMMYFUNCTION("""COMPUTED_VALUE"""),1.0)</f>
        <v>1</v>
      </c>
      <c r="H1268" s="8">
        <f>IFERROR(__xludf.DUMMYFUNCTION("""COMPUTED_VALUE"""),2.0)</f>
        <v>2</v>
      </c>
      <c r="I1268" s="8" t="str">
        <f>IFERROR(__xludf.DUMMYFUNCTION("""COMPUTED_VALUE"""),"General Petite")</f>
        <v>General Petite</v>
      </c>
      <c r="J1268" s="8" t="str">
        <f>IFERROR(__xludf.DUMMYFUNCTION("""COMPUTED_VALUE"""),"Tops")</f>
        <v>Tops</v>
      </c>
      <c r="K1268" s="8" t="str">
        <f>IFERROR(__xludf.DUMMYFUNCTION("""COMPUTED_VALUE"""),"Fine gauge")</f>
        <v>Fine gauge</v>
      </c>
    </row>
    <row r="1269">
      <c r="A1269" s="8">
        <f>IFERROR(__xludf.DUMMYFUNCTION("""COMPUTED_VALUE"""),1684.0)</f>
        <v>1684</v>
      </c>
      <c r="B1269" s="8">
        <f>IFERROR(__xludf.DUMMYFUNCTION("""COMPUTED_VALUE"""),914.0)</f>
        <v>914</v>
      </c>
      <c r="C1269" s="8">
        <f>IFERROR(__xludf.DUMMYFUNCTION("""COMPUTED_VALUE"""),43.0)</f>
        <v>43</v>
      </c>
      <c r="D1269" s="8" t="str">
        <f>IFERROR(__xludf.DUMMYFUNCTION("""COMPUTED_VALUE"""),"Great staple with unique touches!")</f>
        <v>Great staple with unique touches!</v>
      </c>
      <c r="E1269" s="8" t="str">
        <f>IFERROR(__xludf.DUMMYFUNCTION("""COMPUTED_VALUE"""),"I order this sweater in black - size small - and i just love it. i'm a slender 5' 9"" 130 lbs and the small is perfect in for me. while it has the classic cardigan look and a slightly oversized ""boyfriend"" feel to it, the rounded front hem, hip pockets,"&amp;" and buttons that end slightly above the bottom hem (where the rounded hem begins) are unique touches i appreciate and love in retailer's clothing. the weight was slightly heavier than i expected and better quality, but it is perfect for my minneapol")</f>
        <v>I order this sweater in black - size small - and i just love it. i'm a slender 5' 9" 130 lbs and the small is perfect in for me. while it has the classic cardigan look and a slightly oversized "boyfriend" feel to it, the rounded front hem, hip pockets, and buttons that end slightly above the bottom hem (where the rounded hem begins) are unique touches i appreciate and love in retailer's clothing. the weight was slightly heavier than i expected and better quality, but it is perfect for my minneapol</v>
      </c>
      <c r="F1269" s="8">
        <f>IFERROR(__xludf.DUMMYFUNCTION("""COMPUTED_VALUE"""),5.0)</f>
        <v>5</v>
      </c>
      <c r="G1269" s="8">
        <f>IFERROR(__xludf.DUMMYFUNCTION("""COMPUTED_VALUE"""),1.0)</f>
        <v>1</v>
      </c>
      <c r="H1269" s="8">
        <f>IFERROR(__xludf.DUMMYFUNCTION("""COMPUTED_VALUE"""),0.0)</f>
        <v>0</v>
      </c>
      <c r="I1269" s="8" t="str">
        <f>IFERROR(__xludf.DUMMYFUNCTION("""COMPUTED_VALUE"""),"General")</f>
        <v>General</v>
      </c>
      <c r="J1269" s="8" t="str">
        <f>IFERROR(__xludf.DUMMYFUNCTION("""COMPUTED_VALUE"""),"Tops")</f>
        <v>Tops</v>
      </c>
      <c r="K1269" s="8" t="str">
        <f>IFERROR(__xludf.DUMMYFUNCTION("""COMPUTED_VALUE"""),"Fine gauge")</f>
        <v>Fine gauge</v>
      </c>
    </row>
    <row r="1270">
      <c r="A1270" s="8">
        <f>IFERROR(__xludf.DUMMYFUNCTION("""COMPUTED_VALUE"""),1685.0)</f>
        <v>1685</v>
      </c>
      <c r="B1270" s="8">
        <f>IFERROR(__xludf.DUMMYFUNCTION("""COMPUTED_VALUE"""),860.0)</f>
        <v>860</v>
      </c>
      <c r="C1270" s="8">
        <f>IFERROR(__xludf.DUMMYFUNCTION("""COMPUTED_VALUE"""),39.0)</f>
        <v>39</v>
      </c>
      <c r="D1270" s="8" t="str">
        <f>IFERROR(__xludf.DUMMYFUNCTION("""COMPUTED_VALUE"""),"Cute!")</f>
        <v>Cute!</v>
      </c>
      <c r="E1270" s="8" t="str">
        <f>IFERROR(__xludf.DUMMYFUNCTION("""COMPUTED_VALUE"""),"Flattering fit and neckline. too thin to wear without a cami or tank underneath (for me), but i was expecting that. great go-to tee.")</f>
        <v>Flattering fit and neckline. too thin to wear without a cami or tank underneath (for me), but i was expecting that. great go-to tee.</v>
      </c>
      <c r="F1270" s="8">
        <f>IFERROR(__xludf.DUMMYFUNCTION("""COMPUTED_VALUE"""),5.0)</f>
        <v>5</v>
      </c>
      <c r="G1270" s="8">
        <f>IFERROR(__xludf.DUMMYFUNCTION("""COMPUTED_VALUE"""),1.0)</f>
        <v>1</v>
      </c>
      <c r="H1270" s="8">
        <f>IFERROR(__xludf.DUMMYFUNCTION("""COMPUTED_VALUE"""),2.0)</f>
        <v>2</v>
      </c>
      <c r="I1270" s="8" t="str">
        <f>IFERROR(__xludf.DUMMYFUNCTION("""COMPUTED_VALUE"""),"General Petite")</f>
        <v>General Petite</v>
      </c>
      <c r="J1270" s="8" t="str">
        <f>IFERROR(__xludf.DUMMYFUNCTION("""COMPUTED_VALUE"""),"Tops")</f>
        <v>Tops</v>
      </c>
      <c r="K1270" s="8" t="str">
        <f>IFERROR(__xludf.DUMMYFUNCTION("""COMPUTED_VALUE"""),"Knits")</f>
        <v>Knits</v>
      </c>
    </row>
    <row r="1271">
      <c r="A1271" s="8">
        <f>IFERROR(__xludf.DUMMYFUNCTION("""COMPUTED_VALUE"""),1686.0)</f>
        <v>1686</v>
      </c>
      <c r="B1271" s="8">
        <f>IFERROR(__xludf.DUMMYFUNCTION("""COMPUTED_VALUE"""),225.0)</f>
        <v>225</v>
      </c>
      <c r="C1271" s="8">
        <f>IFERROR(__xludf.DUMMYFUNCTION("""COMPUTED_VALUE"""),32.0)</f>
        <v>32</v>
      </c>
      <c r="D1271" s="8" t="str">
        <f>IFERROR(__xludf.DUMMYFUNCTION("""COMPUTED_VALUE"""),"Quality and whimsy")</f>
        <v>Quality and whimsy</v>
      </c>
      <c r="E1271" s="8" t="str">
        <f>IFERROR(__xludf.DUMMYFUNCTION("""COMPUTED_VALUE"""),"I've been looking at these for some time and i finally pulled the trigger. i'm glad i did because these tights are such a fun accessory to add to my wardrobe. they add just enough whimsy to classic dresses and skirts. these are not your everyday thin stre"&amp;"tchy tights. they remind me of the tights i would wear in the winter as a little girl; they are really sweater tights. i think this aspect is great, but they do not have as much give as other tights. i am petite, about 5'3"" 112 lbs and the small")</f>
        <v>I've been looking at these for some time and i finally pulled the trigger. i'm glad i did because these tights are such a fun accessory to add to my wardrobe. they add just enough whimsy to classic dresses and skirts. these are not your everyday thin stretchy tights. they remind me of the tights i would wear in the winter as a little girl; they are really sweater tights. i think this aspect is great, but they do not have as much give as other tights. i am petite, about 5'3" 112 lbs and the small</v>
      </c>
      <c r="F1271" s="8">
        <f>IFERROR(__xludf.DUMMYFUNCTION("""COMPUTED_VALUE"""),5.0)</f>
        <v>5</v>
      </c>
      <c r="G1271" s="8">
        <f>IFERROR(__xludf.DUMMYFUNCTION("""COMPUTED_VALUE"""),1.0)</f>
        <v>1</v>
      </c>
      <c r="H1271" s="8">
        <f>IFERROR(__xludf.DUMMYFUNCTION("""COMPUTED_VALUE"""),1.0)</f>
        <v>1</v>
      </c>
      <c r="I1271" s="8" t="str">
        <f>IFERROR(__xludf.DUMMYFUNCTION("""COMPUTED_VALUE"""),"Initmates")</f>
        <v>Initmates</v>
      </c>
      <c r="J1271" s="8" t="str">
        <f>IFERROR(__xludf.DUMMYFUNCTION("""COMPUTED_VALUE"""),"Intimate")</f>
        <v>Intimate</v>
      </c>
      <c r="K1271" s="8" t="str">
        <f>IFERROR(__xludf.DUMMYFUNCTION("""COMPUTED_VALUE"""),"Legwear")</f>
        <v>Legwear</v>
      </c>
    </row>
    <row r="1272">
      <c r="A1272" s="8">
        <f>IFERROR(__xludf.DUMMYFUNCTION("""COMPUTED_VALUE"""),1688.0)</f>
        <v>1688</v>
      </c>
      <c r="B1272" s="8">
        <f>IFERROR(__xludf.DUMMYFUNCTION("""COMPUTED_VALUE"""),862.0)</f>
        <v>862</v>
      </c>
      <c r="C1272" s="8">
        <f>IFERROR(__xludf.DUMMYFUNCTION("""COMPUTED_VALUE"""),37.0)</f>
        <v>37</v>
      </c>
      <c r="D1272" s="8" t="str">
        <f>IFERROR(__xludf.DUMMYFUNCTION("""COMPUTED_VALUE"""),"Flattering and comfortable!")</f>
        <v>Flattering and comfortable!</v>
      </c>
      <c r="E1272" s="8" t="str">
        <f>IFERROR(__xludf.DUMMYFUNCTION("""COMPUTED_VALUE"""),"I love this top. i am always looking for tops that are comfortable and work as basics. the material is super soft and not too clingy. it feels like pajamas, but looks very polished. i am a little wide in the stomach and bust, but this didn't look boxy. i "&amp;"got these in all 3 colors.")</f>
        <v>I love this top. i am always looking for tops that are comfortable and work as basics. the material is super soft and not too clingy. it feels like pajamas, but looks very polished. i am a little wide in the stomach and bust, but this didn't look boxy. i got these in all 3 colors.</v>
      </c>
      <c r="F1272" s="8">
        <f>IFERROR(__xludf.DUMMYFUNCTION("""COMPUTED_VALUE"""),5.0)</f>
        <v>5</v>
      </c>
      <c r="G1272" s="8">
        <f>IFERROR(__xludf.DUMMYFUNCTION("""COMPUTED_VALUE"""),1.0)</f>
        <v>1</v>
      </c>
      <c r="H1272" s="8">
        <f>IFERROR(__xludf.DUMMYFUNCTION("""COMPUTED_VALUE"""),0.0)</f>
        <v>0</v>
      </c>
      <c r="I1272" s="8" t="str">
        <f>IFERROR(__xludf.DUMMYFUNCTION("""COMPUTED_VALUE"""),"General")</f>
        <v>General</v>
      </c>
      <c r="J1272" s="8" t="str">
        <f>IFERROR(__xludf.DUMMYFUNCTION("""COMPUTED_VALUE"""),"Tops")</f>
        <v>Tops</v>
      </c>
      <c r="K1272" s="8" t="str">
        <f>IFERROR(__xludf.DUMMYFUNCTION("""COMPUTED_VALUE"""),"Knits")</f>
        <v>Knits</v>
      </c>
    </row>
    <row r="1273">
      <c r="A1273" s="8">
        <f>IFERROR(__xludf.DUMMYFUNCTION("""COMPUTED_VALUE"""),1689.0)</f>
        <v>1689</v>
      </c>
      <c r="B1273" s="8">
        <f>IFERROR(__xludf.DUMMYFUNCTION("""COMPUTED_VALUE"""),970.0)</f>
        <v>970</v>
      </c>
      <c r="C1273" s="8">
        <f>IFERROR(__xludf.DUMMYFUNCTION("""COMPUTED_VALUE"""),42.0)</f>
        <v>42</v>
      </c>
      <c r="D1273" s="8" t="str">
        <f>IFERROR(__xludf.DUMMYFUNCTION("""COMPUTED_VALUE"""),"Audrey hepburn")</f>
        <v>Audrey hepburn</v>
      </c>
      <c r="E1273" s="8" t="str">
        <f>IFERROR(__xludf.DUMMYFUNCTION("""COMPUTED_VALUE"""),"This was what i was looking for ! the little stripes ,black and white color,the shape of the jacket and skirt together....well perfect. kind of. i purchased this entire ensemble. the skirt was going to be shortened because well i'm short. no problem ,this"&amp;" is a common occurrence for me. but the jacket would not work for me. the sleeves were way too tight for my muscular arms. there was no way the adorable shirt would fit in there. the shirt is adorable by the way. all of these pieces are made ver")</f>
        <v>This was what i was looking for ! the little stripes ,black and white color,the shape of the jacket and skirt together....well perfect. kind of. i purchased this entire ensemble. the skirt was going to be shortened because well i'm short. no problem ,this is a common occurrence for me. but the jacket would not work for me. the sleeves were way too tight for my muscular arms. there was no way the adorable shirt would fit in there. the shirt is adorable by the way. all of these pieces are made ver</v>
      </c>
      <c r="F1273" s="8">
        <f>IFERROR(__xludf.DUMMYFUNCTION("""COMPUTED_VALUE"""),4.0)</f>
        <v>4</v>
      </c>
      <c r="G1273" s="8">
        <f>IFERROR(__xludf.DUMMYFUNCTION("""COMPUTED_VALUE"""),1.0)</f>
        <v>1</v>
      </c>
      <c r="H1273" s="8">
        <f>IFERROR(__xludf.DUMMYFUNCTION("""COMPUTED_VALUE"""),0.0)</f>
        <v>0</v>
      </c>
      <c r="I1273" s="8" t="str">
        <f>IFERROR(__xludf.DUMMYFUNCTION("""COMPUTED_VALUE"""),"General Petite")</f>
        <v>General Petite</v>
      </c>
      <c r="J1273" s="8" t="str">
        <f>IFERROR(__xludf.DUMMYFUNCTION("""COMPUTED_VALUE"""),"Jackets")</f>
        <v>Jackets</v>
      </c>
      <c r="K1273" s="8" t="str">
        <f>IFERROR(__xludf.DUMMYFUNCTION("""COMPUTED_VALUE"""),"Jackets")</f>
        <v>Jackets</v>
      </c>
    </row>
    <row r="1274">
      <c r="A1274" s="8">
        <f>IFERROR(__xludf.DUMMYFUNCTION("""COMPUTED_VALUE"""),1691.0)</f>
        <v>1691</v>
      </c>
      <c r="B1274" s="8">
        <f>IFERROR(__xludf.DUMMYFUNCTION("""COMPUTED_VALUE"""),225.0)</f>
        <v>225</v>
      </c>
      <c r="C1274" s="8">
        <f>IFERROR(__xludf.DUMMYFUNCTION("""COMPUTED_VALUE"""),45.0)</f>
        <v>45</v>
      </c>
      <c r="D1274" s="8" t="str">
        <f>IFERROR(__xludf.DUMMYFUNCTION("""COMPUTED_VALUE"""),"Add a little fun!")</f>
        <v>Add a little fun!</v>
      </c>
      <c r="E1274" s="8" t="str">
        <f>IFERROR(__xludf.DUMMYFUNCTION("""COMPUTED_VALUE"""),"These tights are so cute and can add some fun to any outfit. i paired with a mustard mini, denim shirt and desert boots! they do run small. i am a size 4 and had to get the m/l")</f>
        <v>These tights are so cute and can add some fun to any outfit. i paired with a mustard mini, denim shirt and desert boots! they do run small. i am a size 4 and had to get the m/l</v>
      </c>
      <c r="F1274" s="8">
        <f>IFERROR(__xludf.DUMMYFUNCTION("""COMPUTED_VALUE"""),5.0)</f>
        <v>5</v>
      </c>
      <c r="G1274" s="8">
        <f>IFERROR(__xludf.DUMMYFUNCTION("""COMPUTED_VALUE"""),1.0)</f>
        <v>1</v>
      </c>
      <c r="H1274" s="8">
        <f>IFERROR(__xludf.DUMMYFUNCTION("""COMPUTED_VALUE"""),1.0)</f>
        <v>1</v>
      </c>
      <c r="I1274" s="8" t="str">
        <f>IFERROR(__xludf.DUMMYFUNCTION("""COMPUTED_VALUE"""),"Initmates")</f>
        <v>Initmates</v>
      </c>
      <c r="J1274" s="8" t="str">
        <f>IFERROR(__xludf.DUMMYFUNCTION("""COMPUTED_VALUE"""),"Intimate")</f>
        <v>Intimate</v>
      </c>
      <c r="K1274" s="8" t="str">
        <f>IFERROR(__xludf.DUMMYFUNCTION("""COMPUTED_VALUE"""),"Legwear")</f>
        <v>Legwear</v>
      </c>
    </row>
    <row r="1275">
      <c r="A1275" s="8">
        <f>IFERROR(__xludf.DUMMYFUNCTION("""COMPUTED_VALUE"""),1692.0)</f>
        <v>1692</v>
      </c>
      <c r="B1275" s="8">
        <f>IFERROR(__xludf.DUMMYFUNCTION("""COMPUTED_VALUE"""),899.0)</f>
        <v>899</v>
      </c>
      <c r="C1275" s="8">
        <f>IFERROR(__xludf.DUMMYFUNCTION("""COMPUTED_VALUE"""),63.0)</f>
        <v>63</v>
      </c>
      <c r="D1275" s="8" t="str">
        <f>IFERROR(__xludf.DUMMYFUNCTION("""COMPUTED_VALUE"""),"Great autumn sweater!")</f>
        <v>Great autumn sweater!</v>
      </c>
      <c r="E1275" s="8" t="str">
        <f>IFERROR(__xludf.DUMMYFUNCTION("""COMPUTED_VALUE"""),"I love retailer sweaters, in fact, i believe all my sweaters are from retailer! this cardigan is really nice and i'm so glad i bought it. it will work well with skirts, dresses, pants... it's well made and soft and comfy. highly recommended!")</f>
        <v>I love retailer sweaters, in fact, i believe all my sweaters are from retailer! this cardigan is really nice and i'm so glad i bought it. it will work well with skirts, dresses, pants... it's well made and soft and comfy. highly recommended!</v>
      </c>
      <c r="F1275" s="8">
        <f>IFERROR(__xludf.DUMMYFUNCTION("""COMPUTED_VALUE"""),5.0)</f>
        <v>5</v>
      </c>
      <c r="G1275" s="8">
        <f>IFERROR(__xludf.DUMMYFUNCTION("""COMPUTED_VALUE"""),1.0)</f>
        <v>1</v>
      </c>
      <c r="H1275" s="8">
        <f>IFERROR(__xludf.DUMMYFUNCTION("""COMPUTED_VALUE"""),4.0)</f>
        <v>4</v>
      </c>
      <c r="I1275" s="8" t="str">
        <f>IFERROR(__xludf.DUMMYFUNCTION("""COMPUTED_VALUE"""),"General Petite")</f>
        <v>General Petite</v>
      </c>
      <c r="J1275" s="8" t="str">
        <f>IFERROR(__xludf.DUMMYFUNCTION("""COMPUTED_VALUE"""),"Tops")</f>
        <v>Tops</v>
      </c>
      <c r="K1275" s="8" t="str">
        <f>IFERROR(__xludf.DUMMYFUNCTION("""COMPUTED_VALUE"""),"Fine gauge")</f>
        <v>Fine gauge</v>
      </c>
    </row>
    <row r="1276">
      <c r="A1276" s="8">
        <f>IFERROR(__xludf.DUMMYFUNCTION("""COMPUTED_VALUE"""),1696.0)</f>
        <v>1696</v>
      </c>
      <c r="B1276" s="8">
        <f>IFERROR(__xludf.DUMMYFUNCTION("""COMPUTED_VALUE"""),899.0)</f>
        <v>899</v>
      </c>
      <c r="C1276" s="8">
        <f>IFERROR(__xludf.DUMMYFUNCTION("""COMPUTED_VALUE"""),52.0)</f>
        <v>52</v>
      </c>
      <c r="D1276" s="8" t="str">
        <f>IFERROR(__xludf.DUMMYFUNCTION("""COMPUTED_VALUE"""),"Relaxed, flowing fit")</f>
        <v>Relaxed, flowing fit</v>
      </c>
      <c r="E1276" s="8" t="str">
        <f>IFERROR(__xludf.DUMMYFUNCTION("""COMPUTED_VALUE"""),"Order a size down. i ordered a small from catalog and returned it to the store for an xs.
run large in the chest and down. the fit is more flowing than form fitting. nice material, not itchy at all.")</f>
        <v>Order a size down. i ordered a small from catalog and returned it to the store for an xs.
run large in the chest and down. the fit is more flowing than form fitting. nice material, not itchy at all.</v>
      </c>
      <c r="F1276" s="8">
        <f>IFERROR(__xludf.DUMMYFUNCTION("""COMPUTED_VALUE"""),4.0)</f>
        <v>4</v>
      </c>
      <c r="G1276" s="8">
        <f>IFERROR(__xludf.DUMMYFUNCTION("""COMPUTED_VALUE"""),1.0)</f>
        <v>1</v>
      </c>
      <c r="H1276" s="8">
        <f>IFERROR(__xludf.DUMMYFUNCTION("""COMPUTED_VALUE"""),2.0)</f>
        <v>2</v>
      </c>
      <c r="I1276" s="8" t="str">
        <f>IFERROR(__xludf.DUMMYFUNCTION("""COMPUTED_VALUE"""),"General Petite")</f>
        <v>General Petite</v>
      </c>
      <c r="J1276" s="8" t="str">
        <f>IFERROR(__xludf.DUMMYFUNCTION("""COMPUTED_VALUE"""),"Tops")</f>
        <v>Tops</v>
      </c>
      <c r="K1276" s="8" t="str">
        <f>IFERROR(__xludf.DUMMYFUNCTION("""COMPUTED_VALUE"""),"Fine gauge")</f>
        <v>Fine gauge</v>
      </c>
    </row>
    <row r="1277">
      <c r="A1277" s="8">
        <f>IFERROR(__xludf.DUMMYFUNCTION("""COMPUTED_VALUE"""),1697.0)</f>
        <v>1697</v>
      </c>
      <c r="B1277" s="8">
        <f>IFERROR(__xludf.DUMMYFUNCTION("""COMPUTED_VALUE"""),862.0)</f>
        <v>862</v>
      </c>
      <c r="C1277" s="8">
        <f>IFERROR(__xludf.DUMMYFUNCTION("""COMPUTED_VALUE"""),53.0)</f>
        <v>53</v>
      </c>
      <c r="D1277" s="8" t="str">
        <f>IFERROR(__xludf.DUMMYFUNCTION("""COMPUTED_VALUE"""),"Great top!")</f>
        <v>Great top!</v>
      </c>
      <c r="E1277" s="8" t="str">
        <f>IFERROR(__xludf.DUMMYFUNCTION("""COMPUTED_VALUE"""),"This is a really nice top, especially for the price. i am 5'6"", 34dd, 140 lbs and normally wear a medium in dolan tops. in this top i purchased size small since the gathered front provides ample room for my bust. some reviewers have found this top to be "&amp;"on the ""boxy"" side. i can see that if you don't size down as i did. i found the medium to have too much fabric and look very baggy whereas the small was perfect. i do wish this top was a tad bit longer and less sheer, though. white tops should be")</f>
        <v>This is a really nice top, especially for the price. i am 5'6", 34dd, 140 lbs and normally wear a medium in dolan tops. in this top i purchased size small since the gathered front provides ample room for my bust. some reviewers have found this top to be on the "boxy" side. i can see that if you don't size down as i did. i found the medium to have too much fabric and look very baggy whereas the small was perfect. i do wish this top was a tad bit longer and less sheer, though. white tops should be</v>
      </c>
      <c r="F1277" s="8">
        <f>IFERROR(__xludf.DUMMYFUNCTION("""COMPUTED_VALUE"""),4.0)</f>
        <v>4</v>
      </c>
      <c r="G1277" s="8">
        <f>IFERROR(__xludf.DUMMYFUNCTION("""COMPUTED_VALUE"""),1.0)</f>
        <v>1</v>
      </c>
      <c r="H1277" s="8">
        <f>IFERROR(__xludf.DUMMYFUNCTION("""COMPUTED_VALUE"""),4.0)</f>
        <v>4</v>
      </c>
      <c r="I1277" s="8" t="str">
        <f>IFERROR(__xludf.DUMMYFUNCTION("""COMPUTED_VALUE"""),"General")</f>
        <v>General</v>
      </c>
      <c r="J1277" s="8" t="str">
        <f>IFERROR(__xludf.DUMMYFUNCTION("""COMPUTED_VALUE"""),"Tops")</f>
        <v>Tops</v>
      </c>
      <c r="K1277" s="8" t="str">
        <f>IFERROR(__xludf.DUMMYFUNCTION("""COMPUTED_VALUE"""),"Knits")</f>
        <v>Knits</v>
      </c>
    </row>
    <row r="1278">
      <c r="A1278" s="8">
        <f>IFERROR(__xludf.DUMMYFUNCTION("""COMPUTED_VALUE"""),1698.0)</f>
        <v>1698</v>
      </c>
      <c r="B1278" s="8">
        <f>IFERROR(__xludf.DUMMYFUNCTION("""COMPUTED_VALUE"""),899.0)</f>
        <v>899</v>
      </c>
      <c r="C1278" s="8">
        <f>IFERROR(__xludf.DUMMYFUNCTION("""COMPUTED_VALUE"""),47.0)</f>
        <v>47</v>
      </c>
      <c r="D1278" s="8" t="str">
        <f>IFERROR(__xludf.DUMMYFUNCTION("""COMPUTED_VALUE"""),"Cardigan love")</f>
        <v>Cardigan love</v>
      </c>
      <c r="E1278" s="8" t="str">
        <f>IFERROR(__xludf.DUMMYFUNCTION("""COMPUTED_VALUE"""),"This cardigan runs slightly large as it is boxy, which i love. the color is exactly as pictured and it is soooo soft! can't wait to wear it with a t-shirt and jeans!")</f>
        <v>This cardigan runs slightly large as it is boxy, which i love. the color is exactly as pictured and it is soooo soft! can't wait to wear it with a t-shirt and jeans!</v>
      </c>
      <c r="F1278" s="8">
        <f>IFERROR(__xludf.DUMMYFUNCTION("""COMPUTED_VALUE"""),5.0)</f>
        <v>5</v>
      </c>
      <c r="G1278" s="8">
        <f>IFERROR(__xludf.DUMMYFUNCTION("""COMPUTED_VALUE"""),1.0)</f>
        <v>1</v>
      </c>
      <c r="H1278" s="8">
        <f>IFERROR(__xludf.DUMMYFUNCTION("""COMPUTED_VALUE"""),6.0)</f>
        <v>6</v>
      </c>
      <c r="I1278" s="8" t="str">
        <f>IFERROR(__xludf.DUMMYFUNCTION("""COMPUTED_VALUE"""),"General Petite")</f>
        <v>General Petite</v>
      </c>
      <c r="J1278" s="8" t="str">
        <f>IFERROR(__xludf.DUMMYFUNCTION("""COMPUTED_VALUE"""),"Tops")</f>
        <v>Tops</v>
      </c>
      <c r="K1278" s="8" t="str">
        <f>IFERROR(__xludf.DUMMYFUNCTION("""COMPUTED_VALUE"""),"Fine gauge")</f>
        <v>Fine gauge</v>
      </c>
    </row>
    <row r="1279">
      <c r="A1279" s="8">
        <f>IFERROR(__xludf.DUMMYFUNCTION("""COMPUTED_VALUE"""),1699.0)</f>
        <v>1699</v>
      </c>
      <c r="B1279" s="8">
        <f>IFERROR(__xludf.DUMMYFUNCTION("""COMPUTED_VALUE"""),862.0)</f>
        <v>862</v>
      </c>
      <c r="C1279" s="8">
        <f>IFERROR(__xludf.DUMMYFUNCTION("""COMPUTED_VALUE"""),43.0)</f>
        <v>43</v>
      </c>
      <c r="D1279" s="8" t="str">
        <f>IFERROR(__xludf.DUMMYFUNCTION("""COMPUTED_VALUE"""),"Soft and relaxed fit")</f>
        <v>Soft and relaxed fit</v>
      </c>
      <c r="E1279" s="8" t="str">
        <f>IFERROR(__xludf.DUMMYFUNCTION("""COMPUTED_VALUE"""),"I bought this shirt in the rust color along with the blue/black sweater skirt after seeing it on display in the store. not sure i would have ever put those 2 together but i love the outfit. i'm not much of a shirt-tucker, either, but this shirt works eith"&amp;"er way. tucked in a skirt or more casual with jeans. my only criticism is the static cling in the front, as mentioned by another reviewer. i had thought of getting it in white, but if it's shear, then maybe not. haven't been wearing a tank under")</f>
        <v>I bought this shirt in the rust color along with the blue/black sweater skirt after seeing it on display in the store. not sure i would have ever put those 2 together but i love the outfit. i'm not much of a shirt-tucker, either, but this shirt works either way. tucked in a skirt or more casual with jeans. my only criticism is the static cling in the front, as mentioned by another reviewer. i had thought of getting it in white, but if it's shear, then maybe not. haven't been wearing a tank under</v>
      </c>
      <c r="F1279" s="8">
        <f>IFERROR(__xludf.DUMMYFUNCTION("""COMPUTED_VALUE"""),4.0)</f>
        <v>4</v>
      </c>
      <c r="G1279" s="8">
        <f>IFERROR(__xludf.DUMMYFUNCTION("""COMPUTED_VALUE"""),1.0)</f>
        <v>1</v>
      </c>
      <c r="H1279" s="8">
        <f>IFERROR(__xludf.DUMMYFUNCTION("""COMPUTED_VALUE"""),1.0)</f>
        <v>1</v>
      </c>
      <c r="I1279" s="8" t="str">
        <f>IFERROR(__xludf.DUMMYFUNCTION("""COMPUTED_VALUE"""),"General")</f>
        <v>General</v>
      </c>
      <c r="J1279" s="8" t="str">
        <f>IFERROR(__xludf.DUMMYFUNCTION("""COMPUTED_VALUE"""),"Tops")</f>
        <v>Tops</v>
      </c>
      <c r="K1279" s="8" t="str">
        <f>IFERROR(__xludf.DUMMYFUNCTION("""COMPUTED_VALUE"""),"Knits")</f>
        <v>Knits</v>
      </c>
    </row>
    <row r="1280">
      <c r="A1280" s="8">
        <f>IFERROR(__xludf.DUMMYFUNCTION("""COMPUTED_VALUE"""),1700.0)</f>
        <v>1700</v>
      </c>
      <c r="B1280" s="8">
        <f>IFERROR(__xludf.DUMMYFUNCTION("""COMPUTED_VALUE"""),860.0)</f>
        <v>860</v>
      </c>
      <c r="C1280" s="8">
        <f>IFERROR(__xludf.DUMMYFUNCTION("""COMPUTED_VALUE"""),37.0)</f>
        <v>37</v>
      </c>
      <c r="D1280" s="8" t="str">
        <f>IFERROR(__xludf.DUMMYFUNCTION("""COMPUTED_VALUE"""),"Pretty and nicely cut")</f>
        <v>Pretty and nicely cut</v>
      </c>
      <c r="E1280" s="8" t="str">
        <f>IFERROR(__xludf.DUMMYFUNCTION("""COMPUTED_VALUE"""),"The bright poppy red is gorgeous and the cut flattering and interesting. i'm usually between a m and l in tops but went with a s in this one because it looked too sloppy in my usual size. i'm a 32-34 d with arms that aren't tiny, and it's a bit tight acro"&amp;"ss the shoulders when i reach forward but not enough to be a problem. in the smaller size it skims my hips nicely but isn't as long as pictured on the model. i would suggest pear-shaped girls size down if in-between. it is sheer but not so much")</f>
        <v>The bright poppy red is gorgeous and the cut flattering and interesting. i'm usually between a m and l in tops but went with a s in this one because it looked too sloppy in my usual size. i'm a 32-34 d with arms that aren't tiny, and it's a bit tight across the shoulders when i reach forward but not enough to be a problem. in the smaller size it skims my hips nicely but isn't as long as pictured on the model. i would suggest pear-shaped girls size down if in-between. it is sheer but not so much</v>
      </c>
      <c r="F1280" s="8">
        <f>IFERROR(__xludf.DUMMYFUNCTION("""COMPUTED_VALUE"""),4.0)</f>
        <v>4</v>
      </c>
      <c r="G1280" s="8">
        <f>IFERROR(__xludf.DUMMYFUNCTION("""COMPUTED_VALUE"""),1.0)</f>
        <v>1</v>
      </c>
      <c r="H1280" s="8">
        <f>IFERROR(__xludf.DUMMYFUNCTION("""COMPUTED_VALUE"""),1.0)</f>
        <v>1</v>
      </c>
      <c r="I1280" s="8" t="str">
        <f>IFERROR(__xludf.DUMMYFUNCTION("""COMPUTED_VALUE"""),"General Petite")</f>
        <v>General Petite</v>
      </c>
      <c r="J1280" s="8" t="str">
        <f>IFERROR(__xludf.DUMMYFUNCTION("""COMPUTED_VALUE"""),"Tops")</f>
        <v>Tops</v>
      </c>
      <c r="K1280" s="8" t="str">
        <f>IFERROR(__xludf.DUMMYFUNCTION("""COMPUTED_VALUE"""),"Knits")</f>
        <v>Knits</v>
      </c>
    </row>
    <row r="1281">
      <c r="A1281" s="8">
        <f>IFERROR(__xludf.DUMMYFUNCTION("""COMPUTED_VALUE"""),1702.0)</f>
        <v>1702</v>
      </c>
      <c r="B1281" s="8">
        <f>IFERROR(__xludf.DUMMYFUNCTION("""COMPUTED_VALUE"""),860.0)</f>
        <v>860</v>
      </c>
      <c r="C1281" s="8">
        <f>IFERROR(__xludf.DUMMYFUNCTION("""COMPUTED_VALUE"""),33.0)</f>
        <v>33</v>
      </c>
      <c r="D1281" s="8" t="str">
        <f>IFERROR(__xludf.DUMMYFUNCTION("""COMPUTED_VALUE"""),"Flattering and easy")</f>
        <v>Flattering and easy</v>
      </c>
      <c r="E1281" s="8" t="str">
        <f>IFERROR(__xludf.DUMMYFUNCTION("""COMPUTED_VALUE"""),"I tried this top because i loved the not so simple, simpleness of it. however, it was a miss for me. loved the fit and style, which i'd say is pretty true to size, i just didn't love the color on me. i went for the orange one and the color was a bit too b"&amp;"right for my liking. cute top though! for reference i'm a usually small, i'm 5'4"" and a small fit perfectly.")</f>
        <v>I tried this top because i loved the not so simple, simpleness of it. however, it was a miss for me. loved the fit and style, which i'd say is pretty true to size, i just didn't love the color on me. i went for the orange one and the color was a bit too bright for my liking. cute top though! for reference i'm a usually small, i'm 5'4" and a small fit perfectly.</v>
      </c>
      <c r="F1281" s="8">
        <f>IFERROR(__xludf.DUMMYFUNCTION("""COMPUTED_VALUE"""),4.0)</f>
        <v>4</v>
      </c>
      <c r="G1281" s="8">
        <f>IFERROR(__xludf.DUMMYFUNCTION("""COMPUTED_VALUE"""),1.0)</f>
        <v>1</v>
      </c>
      <c r="H1281" s="8">
        <f>IFERROR(__xludf.DUMMYFUNCTION("""COMPUTED_VALUE"""),0.0)</f>
        <v>0</v>
      </c>
      <c r="I1281" s="8" t="str">
        <f>IFERROR(__xludf.DUMMYFUNCTION("""COMPUTED_VALUE"""),"General Petite")</f>
        <v>General Petite</v>
      </c>
      <c r="J1281" s="8" t="str">
        <f>IFERROR(__xludf.DUMMYFUNCTION("""COMPUTED_VALUE"""),"Tops")</f>
        <v>Tops</v>
      </c>
      <c r="K1281" s="8" t="str">
        <f>IFERROR(__xludf.DUMMYFUNCTION("""COMPUTED_VALUE"""),"Knits")</f>
        <v>Knits</v>
      </c>
    </row>
    <row r="1282">
      <c r="A1282" s="8">
        <f>IFERROR(__xludf.DUMMYFUNCTION("""COMPUTED_VALUE"""),1703.0)</f>
        <v>1703</v>
      </c>
      <c r="B1282" s="8">
        <f>IFERROR(__xludf.DUMMYFUNCTION("""COMPUTED_VALUE"""),860.0)</f>
        <v>860</v>
      </c>
      <c r="C1282" s="8">
        <f>IFERROR(__xludf.DUMMYFUNCTION("""COMPUTED_VALUE"""),42.0)</f>
        <v>42</v>
      </c>
      <c r="D1282" s="8"/>
      <c r="E1282" s="8"/>
      <c r="F1282" s="8">
        <f>IFERROR(__xludf.DUMMYFUNCTION("""COMPUTED_VALUE"""),5.0)</f>
        <v>5</v>
      </c>
      <c r="G1282" s="8">
        <f>IFERROR(__xludf.DUMMYFUNCTION("""COMPUTED_VALUE"""),1.0)</f>
        <v>1</v>
      </c>
      <c r="H1282" s="8">
        <f>IFERROR(__xludf.DUMMYFUNCTION("""COMPUTED_VALUE"""),0.0)</f>
        <v>0</v>
      </c>
      <c r="I1282" s="8" t="str">
        <f>IFERROR(__xludf.DUMMYFUNCTION("""COMPUTED_VALUE"""),"General Petite")</f>
        <v>General Petite</v>
      </c>
      <c r="J1282" s="8" t="str">
        <f>IFERROR(__xludf.DUMMYFUNCTION("""COMPUTED_VALUE"""),"Tops")</f>
        <v>Tops</v>
      </c>
      <c r="K1282" s="8" t="str">
        <f>IFERROR(__xludf.DUMMYFUNCTION("""COMPUTED_VALUE"""),"Knits")</f>
        <v>Knits</v>
      </c>
    </row>
    <row r="1283">
      <c r="A1283" s="8">
        <f>IFERROR(__xludf.DUMMYFUNCTION("""COMPUTED_VALUE"""),1704.0)</f>
        <v>1704</v>
      </c>
      <c r="B1283" s="8">
        <f>IFERROR(__xludf.DUMMYFUNCTION("""COMPUTED_VALUE"""),860.0)</f>
        <v>860</v>
      </c>
      <c r="C1283" s="8">
        <f>IFERROR(__xludf.DUMMYFUNCTION("""COMPUTED_VALUE"""),48.0)</f>
        <v>48</v>
      </c>
      <c r="D1283" s="8" t="str">
        <f>IFERROR(__xludf.DUMMYFUNCTION("""COMPUTED_VALUE"""),"Not a white tee")</f>
        <v>Not a white tee</v>
      </c>
      <c r="E1283" s="8" t="str">
        <f>IFERROR(__xludf.DUMMYFUNCTION("""COMPUTED_VALUE"""),"Ordered the ""white"" tee, but when it arrived today, i was surprised by how cream it looked.the cut is nice and as other reviewers mentioned, it is on the sheer side. still on the fence of whether or not i'll keep it.")</f>
        <v>Ordered the "white" tee, but when it arrived today, i was surprised by how cream it looked.the cut is nice and as other reviewers mentioned, it is on the sheer side. still on the fence of whether or not i'll keep it.</v>
      </c>
      <c r="F1283" s="8">
        <f>IFERROR(__xludf.DUMMYFUNCTION("""COMPUTED_VALUE"""),4.0)</f>
        <v>4</v>
      </c>
      <c r="G1283" s="8">
        <f>IFERROR(__xludf.DUMMYFUNCTION("""COMPUTED_VALUE"""),1.0)</f>
        <v>1</v>
      </c>
      <c r="H1283" s="8">
        <f>IFERROR(__xludf.DUMMYFUNCTION("""COMPUTED_VALUE"""),0.0)</f>
        <v>0</v>
      </c>
      <c r="I1283" s="8" t="str">
        <f>IFERROR(__xludf.DUMMYFUNCTION("""COMPUTED_VALUE"""),"General Petite")</f>
        <v>General Petite</v>
      </c>
      <c r="J1283" s="8" t="str">
        <f>IFERROR(__xludf.DUMMYFUNCTION("""COMPUTED_VALUE"""),"Tops")</f>
        <v>Tops</v>
      </c>
      <c r="K1283" s="8" t="str">
        <f>IFERROR(__xludf.DUMMYFUNCTION("""COMPUTED_VALUE"""),"Knits")</f>
        <v>Knits</v>
      </c>
    </row>
    <row r="1284">
      <c r="A1284" s="8">
        <f>IFERROR(__xludf.DUMMYFUNCTION("""COMPUTED_VALUE"""),1705.0)</f>
        <v>1705</v>
      </c>
      <c r="B1284" s="8">
        <f>IFERROR(__xludf.DUMMYFUNCTION("""COMPUTED_VALUE"""),862.0)</f>
        <v>862</v>
      </c>
      <c r="C1284" s="8">
        <f>IFERROR(__xludf.DUMMYFUNCTION("""COMPUTED_VALUE"""),58.0)</f>
        <v>58</v>
      </c>
      <c r="D1284" s="8" t="str">
        <f>IFERROR(__xludf.DUMMYFUNCTION("""COMPUTED_VALUE"""),"Generously sized")</f>
        <v>Generously sized</v>
      </c>
      <c r="E1284" s="8" t="str">
        <f>IFERROR(__xludf.DUMMYFUNCTION("""COMPUTED_VALUE"""),"I am short, on the heavy side. 5'1"" 156 lbs. i always wear large petite. this beautiful blouse swallows me. lots of fabric on the front side of the shirt, causing a boxy look. i could totally do a mp if not sp. i am going to try and exchange..
beautiful "&amp;"blouse, great quality, breathable fabric. colors are deep and rich. so comfy.. highly recommend.")</f>
        <v>I am short, on the heavy side. 5'1" 156 lbs. i always wear large petite. this beautiful blouse swallows me. lots of fabric on the front side of the shirt, causing a boxy look. i could totally do a mp if not sp. i am going to try and exchange..
beautiful blouse, great quality, breathable fabric. colors are deep and rich. so comfy.. highly recommend.</v>
      </c>
      <c r="F1284" s="8">
        <f>IFERROR(__xludf.DUMMYFUNCTION("""COMPUTED_VALUE"""),5.0)</f>
        <v>5</v>
      </c>
      <c r="G1284" s="8">
        <f>IFERROR(__xludf.DUMMYFUNCTION("""COMPUTED_VALUE"""),1.0)</f>
        <v>1</v>
      </c>
      <c r="H1284" s="8">
        <f>IFERROR(__xludf.DUMMYFUNCTION("""COMPUTED_VALUE"""),2.0)</f>
        <v>2</v>
      </c>
      <c r="I1284" s="8" t="str">
        <f>IFERROR(__xludf.DUMMYFUNCTION("""COMPUTED_VALUE"""),"General")</f>
        <v>General</v>
      </c>
      <c r="J1284" s="8" t="str">
        <f>IFERROR(__xludf.DUMMYFUNCTION("""COMPUTED_VALUE"""),"Tops")</f>
        <v>Tops</v>
      </c>
      <c r="K1284" s="8" t="str">
        <f>IFERROR(__xludf.DUMMYFUNCTION("""COMPUTED_VALUE"""),"Knits")</f>
        <v>Knits</v>
      </c>
    </row>
    <row r="1285">
      <c r="A1285" s="8">
        <f>IFERROR(__xludf.DUMMYFUNCTION("""COMPUTED_VALUE"""),1707.0)</f>
        <v>1707</v>
      </c>
      <c r="B1285" s="8">
        <f>IFERROR(__xludf.DUMMYFUNCTION("""COMPUTED_VALUE"""),862.0)</f>
        <v>862</v>
      </c>
      <c r="C1285" s="8">
        <f>IFERROR(__xludf.DUMMYFUNCTION("""COMPUTED_VALUE"""),36.0)</f>
        <v>36</v>
      </c>
      <c r="D1285" s="8"/>
      <c r="E1285" s="8" t="str">
        <f>IFERROR(__xludf.DUMMYFUNCTION("""COMPUTED_VALUE"""),"Adore the rust color in this top. very pretty rust color. would go with a lot of stuff. my only small pet peeve with the shirt is the opening under the hook and eye. i have been wearing a seamless tank underneath. but everything else about the blouse fits"&amp;" so perfect, drapes nicely that i think the opening is a minor thing that a tank top can fix. beautiful on. felt that it fit tts. i'm usually a 34b, got an xs in this top.")</f>
        <v>Adore the rust color in this top. very pretty rust color. would go with a lot of stuff. my only small pet peeve with the shirt is the opening under the hook and eye. i have been wearing a seamless tank underneath. but everything else about the blouse fits so perfect, drapes nicely that i think the opening is a minor thing that a tank top can fix. beautiful on. felt that it fit tts. i'm usually a 34b, got an xs in this top.</v>
      </c>
      <c r="F1285" s="8">
        <f>IFERROR(__xludf.DUMMYFUNCTION("""COMPUTED_VALUE"""),5.0)</f>
        <v>5</v>
      </c>
      <c r="G1285" s="8">
        <f>IFERROR(__xludf.DUMMYFUNCTION("""COMPUTED_VALUE"""),1.0)</f>
        <v>1</v>
      </c>
      <c r="H1285" s="8">
        <f>IFERROR(__xludf.DUMMYFUNCTION("""COMPUTED_VALUE"""),3.0)</f>
        <v>3</v>
      </c>
      <c r="I1285" s="8" t="str">
        <f>IFERROR(__xludf.DUMMYFUNCTION("""COMPUTED_VALUE"""),"General")</f>
        <v>General</v>
      </c>
      <c r="J1285" s="8" t="str">
        <f>IFERROR(__xludf.DUMMYFUNCTION("""COMPUTED_VALUE"""),"Tops")</f>
        <v>Tops</v>
      </c>
      <c r="K1285" s="8" t="str">
        <f>IFERROR(__xludf.DUMMYFUNCTION("""COMPUTED_VALUE"""),"Knits")</f>
        <v>Knits</v>
      </c>
    </row>
    <row r="1286">
      <c r="A1286" s="8">
        <f>IFERROR(__xludf.DUMMYFUNCTION("""COMPUTED_VALUE"""),1709.0)</f>
        <v>1709</v>
      </c>
      <c r="B1286" s="8">
        <f>IFERROR(__xludf.DUMMYFUNCTION("""COMPUTED_VALUE"""),899.0)</f>
        <v>899</v>
      </c>
      <c r="C1286" s="8">
        <f>IFERROR(__xludf.DUMMYFUNCTION("""COMPUTED_VALUE"""),53.0)</f>
        <v>53</v>
      </c>
      <c r="D1286" s="8" t="str">
        <f>IFERROR(__xludf.DUMMYFUNCTION("""COMPUTED_VALUE"""),"Capsule wardrobe staple")</f>
        <v>Capsule wardrobe staple</v>
      </c>
      <c r="E1286" s="8" t="str">
        <f>IFERROR(__xludf.DUMMYFUNCTION("""COMPUTED_VALUE"""),"I like to have a capsule wardrobe for all seasons so that when i travel, or just for everyday, i have a multitude of options with a few good quality pieces. i am not a fan of 'dry clean only' items, so anything that i can find that i can at least hand was"&amp;"h with good results and is within my color palette and sense of style is always a great find. this light weight cardi can work for multiple seasons easily, it is a tad boxy, but it actually works for me (5'4, 34c, 125 lbs) i can wear it with a c")</f>
        <v>I like to have a capsule wardrobe for all seasons so that when i travel, or just for everyday, i have a multitude of options with a few good quality pieces. i am not a fan of 'dry clean only' items, so anything that i can find that i can at least hand wash with good results and is within my color palette and sense of style is always a great find. this light weight cardi can work for multiple seasons easily, it is a tad boxy, but it actually works for me (5'4, 34c, 125 lbs) i can wear it with a c</v>
      </c>
      <c r="F1286" s="8">
        <f>IFERROR(__xludf.DUMMYFUNCTION("""COMPUTED_VALUE"""),5.0)</f>
        <v>5</v>
      </c>
      <c r="G1286" s="8">
        <f>IFERROR(__xludf.DUMMYFUNCTION("""COMPUTED_VALUE"""),1.0)</f>
        <v>1</v>
      </c>
      <c r="H1286" s="8">
        <f>IFERROR(__xludf.DUMMYFUNCTION("""COMPUTED_VALUE"""),1.0)</f>
        <v>1</v>
      </c>
      <c r="I1286" s="8" t="str">
        <f>IFERROR(__xludf.DUMMYFUNCTION("""COMPUTED_VALUE"""),"General Petite")</f>
        <v>General Petite</v>
      </c>
      <c r="J1286" s="8" t="str">
        <f>IFERROR(__xludf.DUMMYFUNCTION("""COMPUTED_VALUE"""),"Tops")</f>
        <v>Tops</v>
      </c>
      <c r="K1286" s="8" t="str">
        <f>IFERROR(__xludf.DUMMYFUNCTION("""COMPUTED_VALUE"""),"Fine gauge")</f>
        <v>Fine gauge</v>
      </c>
    </row>
    <row r="1287">
      <c r="A1287" s="8">
        <f>IFERROR(__xludf.DUMMYFUNCTION("""COMPUTED_VALUE"""),1710.0)</f>
        <v>1710</v>
      </c>
      <c r="B1287" s="8">
        <f>IFERROR(__xludf.DUMMYFUNCTION("""COMPUTED_VALUE"""),398.0)</f>
        <v>398</v>
      </c>
      <c r="C1287" s="8">
        <f>IFERROR(__xludf.DUMMYFUNCTION("""COMPUTED_VALUE"""),30.0)</f>
        <v>30</v>
      </c>
      <c r="D1287" s="8" t="str">
        <f>IFERROR(__xludf.DUMMYFUNCTION("""COMPUTED_VALUE"""),"Relaxed fit")</f>
        <v>Relaxed fit</v>
      </c>
      <c r="E1287" s="8" t="str">
        <f>IFERROR(__xludf.DUMMYFUNCTION("""COMPUTED_VALUE"""),"This sweater is far more slouchy and relaxed in fit than in it seems in the photograph. definitely size down. honestly, i kinda love it anyways! the inside is so very soft, and it's perfect for a sleek errand-running or hiking kind of day!")</f>
        <v>This sweater is far more slouchy and relaxed in fit than in it seems in the photograph. definitely size down. honestly, i kinda love it anyways! the inside is so very soft, and it's perfect for a sleek errand-running or hiking kind of day!</v>
      </c>
      <c r="F1287" s="8">
        <f>IFERROR(__xludf.DUMMYFUNCTION("""COMPUTED_VALUE"""),4.0)</f>
        <v>4</v>
      </c>
      <c r="G1287" s="8">
        <f>IFERROR(__xludf.DUMMYFUNCTION("""COMPUTED_VALUE"""),1.0)</f>
        <v>1</v>
      </c>
      <c r="H1287" s="8">
        <f>IFERROR(__xludf.DUMMYFUNCTION("""COMPUTED_VALUE"""),2.0)</f>
        <v>2</v>
      </c>
      <c r="I1287" s="8" t="str">
        <f>IFERROR(__xludf.DUMMYFUNCTION("""COMPUTED_VALUE"""),"Initmates")</f>
        <v>Initmates</v>
      </c>
      <c r="J1287" s="8" t="str">
        <f>IFERROR(__xludf.DUMMYFUNCTION("""COMPUTED_VALUE"""),"Intimate")</f>
        <v>Intimate</v>
      </c>
      <c r="K1287" s="8" t="str">
        <f>IFERROR(__xludf.DUMMYFUNCTION("""COMPUTED_VALUE"""),"Lounge")</f>
        <v>Lounge</v>
      </c>
    </row>
    <row r="1288">
      <c r="A1288" s="8">
        <f>IFERROR(__xludf.DUMMYFUNCTION("""COMPUTED_VALUE"""),1711.0)</f>
        <v>1711</v>
      </c>
      <c r="B1288" s="8">
        <f>IFERROR(__xludf.DUMMYFUNCTION("""COMPUTED_VALUE"""),970.0)</f>
        <v>970</v>
      </c>
      <c r="C1288" s="8">
        <f>IFERROR(__xludf.DUMMYFUNCTION("""COMPUTED_VALUE"""),37.0)</f>
        <v>37</v>
      </c>
      <c r="D1288" s="8" t="str">
        <f>IFERROR(__xludf.DUMMYFUNCTION("""COMPUTED_VALUE"""),"Soft and flattering")</f>
        <v>Soft and flattering</v>
      </c>
      <c r="E1288" s="8" t="str">
        <f>IFERROR(__xludf.DUMMYFUNCTION("""COMPUTED_VALUE"""),"This is a cute work jacket, as well as paired with jeans.  flattering. very soft.  only con is this is thick with a soft cotton lining, so not great for summer in az, but will get plenty of use this fall. typically 6-8 on the top, i went with medium.  not"&amp;" tight in the arms as other reviewer noted.")</f>
        <v>This is a cute work jacket, as well as paired with jeans.  flattering. very soft.  only con is this is thick with a soft cotton lining, so not great for summer in az, but will get plenty of use this fall. typically 6-8 on the top, i went with medium.  not tight in the arms as other reviewer noted.</v>
      </c>
      <c r="F1288" s="8">
        <f>IFERROR(__xludf.DUMMYFUNCTION("""COMPUTED_VALUE"""),5.0)</f>
        <v>5</v>
      </c>
      <c r="G1288" s="8">
        <f>IFERROR(__xludf.DUMMYFUNCTION("""COMPUTED_VALUE"""),1.0)</f>
        <v>1</v>
      </c>
      <c r="H1288" s="8">
        <f>IFERROR(__xludf.DUMMYFUNCTION("""COMPUTED_VALUE"""),1.0)</f>
        <v>1</v>
      </c>
      <c r="I1288" s="8" t="str">
        <f>IFERROR(__xludf.DUMMYFUNCTION("""COMPUTED_VALUE"""),"General")</f>
        <v>General</v>
      </c>
      <c r="J1288" s="8" t="str">
        <f>IFERROR(__xludf.DUMMYFUNCTION("""COMPUTED_VALUE"""),"Jackets")</f>
        <v>Jackets</v>
      </c>
      <c r="K1288" s="8" t="str">
        <f>IFERROR(__xludf.DUMMYFUNCTION("""COMPUTED_VALUE"""),"Jackets")</f>
        <v>Jackets</v>
      </c>
    </row>
    <row r="1289">
      <c r="A1289" s="8">
        <f>IFERROR(__xludf.DUMMYFUNCTION("""COMPUTED_VALUE"""),1712.0)</f>
        <v>1712</v>
      </c>
      <c r="B1289" s="8">
        <f>IFERROR(__xludf.DUMMYFUNCTION("""COMPUTED_VALUE"""),860.0)</f>
        <v>860</v>
      </c>
      <c r="C1289" s="8">
        <f>IFERROR(__xludf.DUMMYFUNCTION("""COMPUTED_VALUE"""),53.0)</f>
        <v>53</v>
      </c>
      <c r="D1289" s="8" t="str">
        <f>IFERROR(__xludf.DUMMYFUNCTION("""COMPUTED_VALUE"""),"Great all around top")</f>
        <v>Great all around top</v>
      </c>
      <c r="E1289" s="8" t="str">
        <f>IFERROR(__xludf.DUMMYFUNCTION("""COMPUTED_VALUE"""),"I have this top in orange and white. it is a great top to throw on with jeans. don't put it in the dryer, will shrink.")</f>
        <v>I have this top in orange and white. it is a great top to throw on with jeans. don't put it in the dryer, will shrink.</v>
      </c>
      <c r="F1289" s="8">
        <f>IFERROR(__xludf.DUMMYFUNCTION("""COMPUTED_VALUE"""),4.0)</f>
        <v>4</v>
      </c>
      <c r="G1289" s="8">
        <f>IFERROR(__xludf.DUMMYFUNCTION("""COMPUTED_VALUE"""),1.0)</f>
        <v>1</v>
      </c>
      <c r="H1289" s="8">
        <f>IFERROR(__xludf.DUMMYFUNCTION("""COMPUTED_VALUE"""),0.0)</f>
        <v>0</v>
      </c>
      <c r="I1289" s="8" t="str">
        <f>IFERROR(__xludf.DUMMYFUNCTION("""COMPUTED_VALUE"""),"General Petite")</f>
        <v>General Petite</v>
      </c>
      <c r="J1289" s="8" t="str">
        <f>IFERROR(__xludf.DUMMYFUNCTION("""COMPUTED_VALUE"""),"Tops")</f>
        <v>Tops</v>
      </c>
      <c r="K1289" s="8" t="str">
        <f>IFERROR(__xludf.DUMMYFUNCTION("""COMPUTED_VALUE"""),"Knits")</f>
        <v>Knits</v>
      </c>
    </row>
    <row r="1290">
      <c r="A1290" s="8">
        <f>IFERROR(__xludf.DUMMYFUNCTION("""COMPUTED_VALUE"""),1713.0)</f>
        <v>1713</v>
      </c>
      <c r="B1290" s="8">
        <f>IFERROR(__xludf.DUMMYFUNCTION("""COMPUTED_VALUE"""),964.0)</f>
        <v>964</v>
      </c>
      <c r="C1290" s="8">
        <f>IFERROR(__xludf.DUMMYFUNCTION("""COMPUTED_VALUE"""),71.0)</f>
        <v>71</v>
      </c>
      <c r="D1290" s="8" t="str">
        <f>IFERROR(__xludf.DUMMYFUNCTION("""COMPUTED_VALUE"""),"The best layering piece")</f>
        <v>The best layering piece</v>
      </c>
      <c r="E1290" s="8" t="str">
        <f>IFERROR(__xludf.DUMMYFUNCTION("""COMPUTED_VALUE"""),"This vest is perfect. it is a great layering piece to be worn with jeans, slacks or a skirt. it has a substantial weight without being restrictive. i made the purchase based on the other positive reviews and it was ""love at first sight.""")</f>
        <v>This vest is perfect. it is a great layering piece to be worn with jeans, slacks or a skirt. it has a substantial weight without being restrictive. i made the purchase based on the other positive reviews and it was "love at first sight."</v>
      </c>
      <c r="F1290" s="8">
        <f>IFERROR(__xludf.DUMMYFUNCTION("""COMPUTED_VALUE"""),5.0)</f>
        <v>5</v>
      </c>
      <c r="G1290" s="8">
        <f>IFERROR(__xludf.DUMMYFUNCTION("""COMPUTED_VALUE"""),1.0)</f>
        <v>1</v>
      </c>
      <c r="H1290" s="8">
        <f>IFERROR(__xludf.DUMMYFUNCTION("""COMPUTED_VALUE"""),6.0)</f>
        <v>6</v>
      </c>
      <c r="I1290" s="8" t="str">
        <f>IFERROR(__xludf.DUMMYFUNCTION("""COMPUTED_VALUE"""),"General Petite")</f>
        <v>General Petite</v>
      </c>
      <c r="J1290" s="8" t="str">
        <f>IFERROR(__xludf.DUMMYFUNCTION("""COMPUTED_VALUE"""),"Jackets")</f>
        <v>Jackets</v>
      </c>
      <c r="K1290" s="8" t="str">
        <f>IFERROR(__xludf.DUMMYFUNCTION("""COMPUTED_VALUE"""),"Jackets")</f>
        <v>Jackets</v>
      </c>
    </row>
    <row r="1291">
      <c r="A1291" s="8">
        <f>IFERROR(__xludf.DUMMYFUNCTION("""COMPUTED_VALUE"""),1714.0)</f>
        <v>1714</v>
      </c>
      <c r="B1291" s="8">
        <f>IFERROR(__xludf.DUMMYFUNCTION("""COMPUTED_VALUE"""),862.0)</f>
        <v>862</v>
      </c>
      <c r="C1291" s="8">
        <f>IFERROR(__xludf.DUMMYFUNCTION("""COMPUTED_VALUE"""),59.0)</f>
        <v>59</v>
      </c>
      <c r="D1291" s="8" t="str">
        <f>IFERROR(__xludf.DUMMYFUNCTION("""COMPUTED_VALUE"""),"Cute shirt")</f>
        <v>Cute shirt</v>
      </c>
      <c r="E1291" s="8" t="str">
        <f>IFERROR(__xludf.DUMMYFUNCTION("""COMPUTED_VALUE"""),"The material is more like a great tee for the sleeves and the back, so it is so comfortable. i agree with the previous review, i am not thrilled about the hook and eye, but it still looks cute with a tank under it. i bought it in black and i am ordering i"&amp;"t as well in white. it looks great with skinny jeans or pants.")</f>
        <v>The material is more like a great tee for the sleeves and the back, so it is so comfortable. i agree with the previous review, i am not thrilled about the hook and eye, but it still looks cute with a tank under it. i bought it in black and i am ordering it as well in white. it looks great with skinny jeans or pants.</v>
      </c>
      <c r="F1291" s="8">
        <f>IFERROR(__xludf.DUMMYFUNCTION("""COMPUTED_VALUE"""),5.0)</f>
        <v>5</v>
      </c>
      <c r="G1291" s="8">
        <f>IFERROR(__xludf.DUMMYFUNCTION("""COMPUTED_VALUE"""),1.0)</f>
        <v>1</v>
      </c>
      <c r="H1291" s="8">
        <f>IFERROR(__xludf.DUMMYFUNCTION("""COMPUTED_VALUE"""),0.0)</f>
        <v>0</v>
      </c>
      <c r="I1291" s="8" t="str">
        <f>IFERROR(__xludf.DUMMYFUNCTION("""COMPUTED_VALUE"""),"General")</f>
        <v>General</v>
      </c>
      <c r="J1291" s="8" t="str">
        <f>IFERROR(__xludf.DUMMYFUNCTION("""COMPUTED_VALUE"""),"Tops")</f>
        <v>Tops</v>
      </c>
      <c r="K1291" s="8" t="str">
        <f>IFERROR(__xludf.DUMMYFUNCTION("""COMPUTED_VALUE"""),"Knits")</f>
        <v>Knits</v>
      </c>
    </row>
    <row r="1292">
      <c r="A1292" s="8">
        <f>IFERROR(__xludf.DUMMYFUNCTION("""COMPUTED_VALUE"""),1715.0)</f>
        <v>1715</v>
      </c>
      <c r="B1292" s="8">
        <f>IFERROR(__xludf.DUMMYFUNCTION("""COMPUTED_VALUE"""),225.0)</f>
        <v>225</v>
      </c>
      <c r="C1292" s="8">
        <f>IFERROR(__xludf.DUMMYFUNCTION("""COMPUTED_VALUE"""),41.0)</f>
        <v>41</v>
      </c>
      <c r="D1292" s="8"/>
      <c r="E1292" s="8" t="str">
        <f>IFERROR(__xludf.DUMMYFUNCTION("""COMPUTED_VALUE"""),"Such cute tights! i saw them and had to have them. they are a thick knit - very good quality. the color is a dark navy and the little foxes and a nice pop of color. i get lots of compliments on them.")</f>
        <v>Such cute tights! i saw them and had to have them. they are a thick knit - very good quality. the color is a dark navy and the little foxes and a nice pop of color. i get lots of compliments on them.</v>
      </c>
      <c r="F1292" s="8">
        <f>IFERROR(__xludf.DUMMYFUNCTION("""COMPUTED_VALUE"""),5.0)</f>
        <v>5</v>
      </c>
      <c r="G1292" s="8">
        <f>IFERROR(__xludf.DUMMYFUNCTION("""COMPUTED_VALUE"""),1.0)</f>
        <v>1</v>
      </c>
      <c r="H1292" s="8">
        <f>IFERROR(__xludf.DUMMYFUNCTION("""COMPUTED_VALUE"""),1.0)</f>
        <v>1</v>
      </c>
      <c r="I1292" s="8" t="str">
        <f>IFERROR(__xludf.DUMMYFUNCTION("""COMPUTED_VALUE"""),"Initmates")</f>
        <v>Initmates</v>
      </c>
      <c r="J1292" s="8" t="str">
        <f>IFERROR(__xludf.DUMMYFUNCTION("""COMPUTED_VALUE"""),"Intimate")</f>
        <v>Intimate</v>
      </c>
      <c r="K1292" s="8" t="str">
        <f>IFERROR(__xludf.DUMMYFUNCTION("""COMPUTED_VALUE"""),"Legwear")</f>
        <v>Legwear</v>
      </c>
    </row>
    <row r="1293">
      <c r="A1293" s="8">
        <f>IFERROR(__xludf.DUMMYFUNCTION("""COMPUTED_VALUE"""),1716.0)</f>
        <v>1716</v>
      </c>
      <c r="B1293" s="8">
        <f>IFERROR(__xludf.DUMMYFUNCTION("""COMPUTED_VALUE"""),899.0)</f>
        <v>899</v>
      </c>
      <c r="C1293" s="8">
        <f>IFERROR(__xludf.DUMMYFUNCTION("""COMPUTED_VALUE"""),54.0)</f>
        <v>54</v>
      </c>
      <c r="D1293" s="8" t="str">
        <f>IFERROR(__xludf.DUMMYFUNCTION("""COMPUTED_VALUE"""),"Cute sweater, runs large")</f>
        <v>Cute sweater, runs large</v>
      </c>
      <c r="E1293" s="8" t="str">
        <f>IFERROR(__xludf.DUMMYFUNCTION("""COMPUTED_VALUE"""),"This is a very cute, casual sweater. i originally ordered a size medium but i had to send it back because it was way too large all over. i recently received the size small and i'm going to keep it. it is still a roomy fit but the overall design of the swe"&amp;"ater is a relaxed fit. the color combination and texture of this sweater is lovely.")</f>
        <v>This is a very cute, casual sweater. i originally ordered a size medium but i had to send it back because it was way too large all over. i recently received the size small and i'm going to keep it. it is still a roomy fit but the overall design of the sweater is a relaxed fit. the color combination and texture of this sweater is lovely.</v>
      </c>
      <c r="F1293" s="8">
        <f>IFERROR(__xludf.DUMMYFUNCTION("""COMPUTED_VALUE"""),4.0)</f>
        <v>4</v>
      </c>
      <c r="G1293" s="8">
        <f>IFERROR(__xludf.DUMMYFUNCTION("""COMPUTED_VALUE"""),1.0)</f>
        <v>1</v>
      </c>
      <c r="H1293" s="8">
        <f>IFERROR(__xludf.DUMMYFUNCTION("""COMPUTED_VALUE"""),0.0)</f>
        <v>0</v>
      </c>
      <c r="I1293" s="8" t="str">
        <f>IFERROR(__xludf.DUMMYFUNCTION("""COMPUTED_VALUE"""),"General Petite")</f>
        <v>General Petite</v>
      </c>
      <c r="J1293" s="8" t="str">
        <f>IFERROR(__xludf.DUMMYFUNCTION("""COMPUTED_VALUE"""),"Tops")</f>
        <v>Tops</v>
      </c>
      <c r="K1293" s="8" t="str">
        <f>IFERROR(__xludf.DUMMYFUNCTION("""COMPUTED_VALUE"""),"Fine gauge")</f>
        <v>Fine gauge</v>
      </c>
    </row>
    <row r="1294">
      <c r="A1294" s="8">
        <f>IFERROR(__xludf.DUMMYFUNCTION("""COMPUTED_VALUE"""),1717.0)</f>
        <v>1717</v>
      </c>
      <c r="B1294" s="8">
        <f>IFERROR(__xludf.DUMMYFUNCTION("""COMPUTED_VALUE"""),860.0)</f>
        <v>860</v>
      </c>
      <c r="C1294" s="8">
        <f>IFERROR(__xludf.DUMMYFUNCTION("""COMPUTED_VALUE"""),39.0)</f>
        <v>39</v>
      </c>
      <c r="D1294" s="8"/>
      <c r="E1294" s="8"/>
      <c r="F1294" s="8">
        <f>IFERROR(__xludf.DUMMYFUNCTION("""COMPUTED_VALUE"""),5.0)</f>
        <v>5</v>
      </c>
      <c r="G1294" s="8">
        <f>IFERROR(__xludf.DUMMYFUNCTION("""COMPUTED_VALUE"""),1.0)</f>
        <v>1</v>
      </c>
      <c r="H1294" s="8">
        <f>IFERROR(__xludf.DUMMYFUNCTION("""COMPUTED_VALUE"""),0.0)</f>
        <v>0</v>
      </c>
      <c r="I1294" s="8" t="str">
        <f>IFERROR(__xludf.DUMMYFUNCTION("""COMPUTED_VALUE"""),"General Petite")</f>
        <v>General Petite</v>
      </c>
      <c r="J1294" s="8" t="str">
        <f>IFERROR(__xludf.DUMMYFUNCTION("""COMPUTED_VALUE"""),"Tops")</f>
        <v>Tops</v>
      </c>
      <c r="K1294" s="8" t="str">
        <f>IFERROR(__xludf.DUMMYFUNCTION("""COMPUTED_VALUE"""),"Knits")</f>
        <v>Knits</v>
      </c>
    </row>
    <row r="1295">
      <c r="A1295" s="8">
        <f>IFERROR(__xludf.DUMMYFUNCTION("""COMPUTED_VALUE"""),1718.0)</f>
        <v>1718</v>
      </c>
      <c r="B1295" s="8">
        <f>IFERROR(__xludf.DUMMYFUNCTION("""COMPUTED_VALUE"""),964.0)</f>
        <v>964</v>
      </c>
      <c r="C1295" s="8">
        <f>IFERROR(__xludf.DUMMYFUNCTION("""COMPUTED_VALUE"""),36.0)</f>
        <v>36</v>
      </c>
      <c r="D1295" s="8" t="str">
        <f>IFERROR(__xludf.DUMMYFUNCTION("""COMPUTED_VALUE"""),"The alternative to the green cargo jacket")</f>
        <v>The alternative to the green cargo jacket</v>
      </c>
      <c r="E1295" s="8" t="str">
        <f>IFERROR(__xludf.DUMMYFUNCTION("""COMPUTED_VALUE"""),"I love layering this over basic tees (or graphic ones like the wild west tee) - it adds just the right amount of edge. currently building my pin collection to add on (vintage turquoise and rock music to be exact).")</f>
        <v>I love layering this over basic tees (or graphic ones like the wild west tee) - it adds just the right amount of edge. currently building my pin collection to add on (vintage turquoise and rock music to be exact).</v>
      </c>
      <c r="F1295" s="8">
        <f>IFERROR(__xludf.DUMMYFUNCTION("""COMPUTED_VALUE"""),5.0)</f>
        <v>5</v>
      </c>
      <c r="G1295" s="8">
        <f>IFERROR(__xludf.DUMMYFUNCTION("""COMPUTED_VALUE"""),1.0)</f>
        <v>1</v>
      </c>
      <c r="H1295" s="8">
        <f>IFERROR(__xludf.DUMMYFUNCTION("""COMPUTED_VALUE"""),0.0)</f>
        <v>0</v>
      </c>
      <c r="I1295" s="8" t="str">
        <f>IFERROR(__xludf.DUMMYFUNCTION("""COMPUTED_VALUE"""),"General Petite")</f>
        <v>General Petite</v>
      </c>
      <c r="J1295" s="8" t="str">
        <f>IFERROR(__xludf.DUMMYFUNCTION("""COMPUTED_VALUE"""),"Jackets")</f>
        <v>Jackets</v>
      </c>
      <c r="K1295" s="8" t="str">
        <f>IFERROR(__xludf.DUMMYFUNCTION("""COMPUTED_VALUE"""),"Jackets")</f>
        <v>Jackets</v>
      </c>
    </row>
    <row r="1296">
      <c r="A1296" s="8">
        <f>IFERROR(__xludf.DUMMYFUNCTION("""COMPUTED_VALUE"""),1719.0)</f>
        <v>1719</v>
      </c>
      <c r="B1296" s="8">
        <f>IFERROR(__xludf.DUMMYFUNCTION("""COMPUTED_VALUE"""),899.0)</f>
        <v>899</v>
      </c>
      <c r="C1296" s="8">
        <f>IFERROR(__xludf.DUMMYFUNCTION("""COMPUTED_VALUE"""),53.0)</f>
        <v>53</v>
      </c>
      <c r="D1296" s="8" t="str">
        <f>IFERROR(__xludf.DUMMYFUNCTION("""COMPUTED_VALUE"""),"Classic and trendy")</f>
        <v>Classic and trendy</v>
      </c>
      <c r="E1296" s="8" t="str">
        <f>IFERROR(__xludf.DUMMYFUNCTION("""COMPUTED_VALUE"""),"Classic and stylish. trendy with the blocking...rich colors, soft and comfy. i typically wear s and s was perfect. i love this sweater.")</f>
        <v>Classic and stylish. trendy with the blocking...rich colors, soft and comfy. i typically wear s and s was perfect. i love this sweater.</v>
      </c>
      <c r="F1296" s="8">
        <f>IFERROR(__xludf.DUMMYFUNCTION("""COMPUTED_VALUE"""),5.0)</f>
        <v>5</v>
      </c>
      <c r="G1296" s="8">
        <f>IFERROR(__xludf.DUMMYFUNCTION("""COMPUTED_VALUE"""),1.0)</f>
        <v>1</v>
      </c>
      <c r="H1296" s="8">
        <f>IFERROR(__xludf.DUMMYFUNCTION("""COMPUTED_VALUE"""),0.0)</f>
        <v>0</v>
      </c>
      <c r="I1296" s="8" t="str">
        <f>IFERROR(__xludf.DUMMYFUNCTION("""COMPUTED_VALUE"""),"General Petite")</f>
        <v>General Petite</v>
      </c>
      <c r="J1296" s="8" t="str">
        <f>IFERROR(__xludf.DUMMYFUNCTION("""COMPUTED_VALUE"""),"Tops")</f>
        <v>Tops</v>
      </c>
      <c r="K1296" s="8" t="str">
        <f>IFERROR(__xludf.DUMMYFUNCTION("""COMPUTED_VALUE"""),"Fine gauge")</f>
        <v>Fine gauge</v>
      </c>
    </row>
    <row r="1297">
      <c r="A1297" s="8">
        <f>IFERROR(__xludf.DUMMYFUNCTION("""COMPUTED_VALUE"""),1720.0)</f>
        <v>1720</v>
      </c>
      <c r="B1297" s="8">
        <f>IFERROR(__xludf.DUMMYFUNCTION("""COMPUTED_VALUE"""),862.0)</f>
        <v>862</v>
      </c>
      <c r="C1297" s="8">
        <f>IFERROR(__xludf.DUMMYFUNCTION("""COMPUTED_VALUE"""),37.0)</f>
        <v>37</v>
      </c>
      <c r="D1297" s="8"/>
      <c r="E1297" s="8"/>
      <c r="F1297" s="8">
        <f>IFERROR(__xludf.DUMMYFUNCTION("""COMPUTED_VALUE"""),5.0)</f>
        <v>5</v>
      </c>
      <c r="G1297" s="8">
        <f>IFERROR(__xludf.DUMMYFUNCTION("""COMPUTED_VALUE"""),1.0)</f>
        <v>1</v>
      </c>
      <c r="H1297" s="8">
        <f>IFERROR(__xludf.DUMMYFUNCTION("""COMPUTED_VALUE"""),0.0)</f>
        <v>0</v>
      </c>
      <c r="I1297" s="8" t="str">
        <f>IFERROR(__xludf.DUMMYFUNCTION("""COMPUTED_VALUE"""),"General")</f>
        <v>General</v>
      </c>
      <c r="J1297" s="8" t="str">
        <f>IFERROR(__xludf.DUMMYFUNCTION("""COMPUTED_VALUE"""),"Tops")</f>
        <v>Tops</v>
      </c>
      <c r="K1297" s="8" t="str">
        <f>IFERROR(__xludf.DUMMYFUNCTION("""COMPUTED_VALUE"""),"Knits")</f>
        <v>Knits</v>
      </c>
    </row>
    <row r="1298">
      <c r="A1298" s="8">
        <f>IFERROR(__xludf.DUMMYFUNCTION("""COMPUTED_VALUE"""),1721.0)</f>
        <v>1721</v>
      </c>
      <c r="B1298" s="8">
        <f>IFERROR(__xludf.DUMMYFUNCTION("""COMPUTED_VALUE"""),225.0)</f>
        <v>225</v>
      </c>
      <c r="C1298" s="8">
        <f>IFERROR(__xludf.DUMMYFUNCTION("""COMPUTED_VALUE"""),38.0)</f>
        <v>38</v>
      </c>
      <c r="D1298" s="8" t="str">
        <f>IFERROR(__xludf.DUMMYFUNCTION("""COMPUTED_VALUE"""),"Need petite sizing")</f>
        <v>Need petite sizing</v>
      </c>
      <c r="E1298" s="8" t="str">
        <f>IFERROR(__xludf.DUMMYFUNCTION("""COMPUTED_VALUE"""),"These tights are so cute, but the sizing leaves much to be desired. i guess they are true to size since they are labeled s/m.
i'm 5'0"" with shorter legs than torso, and i suppose i'm lucky that i have muscular (read: large) quads/thighs to suck up some "&amp;"of the fabric, otherwise these might have just bunched up at my ankles.
the other thing i don't love about them is the feel of the fabric - it's more sweater-like (and not a soft sweater) than stretchy. maybe that was the intent, but i find tigh")</f>
        <v>These tights are so cute, but the sizing leaves much to be desired. i guess they are true to size since they are labeled s/m.
i'm 5'0" with shorter legs than torso, and i suppose i'm lucky that i have muscular (read: large) quads/thighs to suck up some of the fabric, otherwise these might have just bunched up at my ankles.
the other thing i don't love about them is the feel of the fabric - it's more sweater-like (and not a soft sweater) than stretchy. maybe that was the intent, but i find tigh</v>
      </c>
      <c r="F1298" s="8">
        <f>IFERROR(__xludf.DUMMYFUNCTION("""COMPUTED_VALUE"""),4.0)</f>
        <v>4</v>
      </c>
      <c r="G1298" s="8">
        <f>IFERROR(__xludf.DUMMYFUNCTION("""COMPUTED_VALUE"""),1.0)</f>
        <v>1</v>
      </c>
      <c r="H1298" s="8">
        <f>IFERROR(__xludf.DUMMYFUNCTION("""COMPUTED_VALUE"""),0.0)</f>
        <v>0</v>
      </c>
      <c r="I1298" s="8" t="str">
        <f>IFERROR(__xludf.DUMMYFUNCTION("""COMPUTED_VALUE"""),"Initmates")</f>
        <v>Initmates</v>
      </c>
      <c r="J1298" s="8" t="str">
        <f>IFERROR(__xludf.DUMMYFUNCTION("""COMPUTED_VALUE"""),"Intimate")</f>
        <v>Intimate</v>
      </c>
      <c r="K1298" s="8" t="str">
        <f>IFERROR(__xludf.DUMMYFUNCTION("""COMPUTED_VALUE"""),"Legwear")</f>
        <v>Legwear</v>
      </c>
    </row>
    <row r="1299">
      <c r="A1299" s="8">
        <f>IFERROR(__xludf.DUMMYFUNCTION("""COMPUTED_VALUE"""),1723.0)</f>
        <v>1723</v>
      </c>
      <c r="B1299" s="8">
        <f>IFERROR(__xludf.DUMMYFUNCTION("""COMPUTED_VALUE"""),431.0)</f>
        <v>431</v>
      </c>
      <c r="C1299" s="8">
        <f>IFERROR(__xludf.DUMMYFUNCTION("""COMPUTED_VALUE"""),19.0)</f>
        <v>19</v>
      </c>
      <c r="D1299" s="8" t="str">
        <f>IFERROR(__xludf.DUMMYFUNCTION("""COMPUTED_VALUE"""),"Really cute")</f>
        <v>Really cute</v>
      </c>
      <c r="E1299" s="8" t="str">
        <f>IFERROR(__xludf.DUMMYFUNCTION("""COMPUTED_VALUE"""),"This bra is just as cute in person as it is in the pic! i can tell it's pretty well made and i love that it has a lot of little details like on the straps and the cute front-closure and lacy racerback. it also fits pretty true to size, which is a must for"&amp;" me because i often get bras that leave my boobs spilling out. however, this bra isn't the comfiest even though it looks like it would be pretty comfy in the picture.the style doesn't look too stiff or anything and the size i got isn't too tight")</f>
        <v>This bra is just as cute in person as it is in the pic! i can tell it's pretty well made and i love that it has a lot of little details like on the straps and the cute front-closure and lacy racerback. it also fits pretty true to size, which is a must for me because i often get bras that leave my boobs spilling out. however, this bra isn't the comfiest even though it looks like it would be pretty comfy in the picture.the style doesn't look too stiff or anything and the size i got isn't too tight</v>
      </c>
      <c r="F1299" s="8">
        <f>IFERROR(__xludf.DUMMYFUNCTION("""COMPUTED_VALUE"""),4.0)</f>
        <v>4</v>
      </c>
      <c r="G1299" s="8">
        <f>IFERROR(__xludf.DUMMYFUNCTION("""COMPUTED_VALUE"""),1.0)</f>
        <v>1</v>
      </c>
      <c r="H1299" s="8">
        <f>IFERROR(__xludf.DUMMYFUNCTION("""COMPUTED_VALUE"""),0.0)</f>
        <v>0</v>
      </c>
      <c r="I1299" s="8" t="str">
        <f>IFERROR(__xludf.DUMMYFUNCTION("""COMPUTED_VALUE"""),"Initmates")</f>
        <v>Initmates</v>
      </c>
      <c r="J1299" s="8" t="str">
        <f>IFERROR(__xludf.DUMMYFUNCTION("""COMPUTED_VALUE"""),"Intimate")</f>
        <v>Intimate</v>
      </c>
      <c r="K1299" s="8" t="str">
        <f>IFERROR(__xludf.DUMMYFUNCTION("""COMPUTED_VALUE"""),"Intimates")</f>
        <v>Intimates</v>
      </c>
    </row>
    <row r="1300">
      <c r="A1300" s="8">
        <f>IFERROR(__xludf.DUMMYFUNCTION("""COMPUTED_VALUE"""),1724.0)</f>
        <v>1724</v>
      </c>
      <c r="B1300" s="8">
        <f>IFERROR(__xludf.DUMMYFUNCTION("""COMPUTED_VALUE"""),862.0)</f>
        <v>862</v>
      </c>
      <c r="C1300" s="8">
        <f>IFERROR(__xludf.DUMMYFUNCTION("""COMPUTED_VALUE"""),35.0)</f>
        <v>35</v>
      </c>
      <c r="D1300" s="8" t="str">
        <f>IFERROR(__xludf.DUMMYFUNCTION("""COMPUTED_VALUE"""),"Love this top")</f>
        <v>Love this top</v>
      </c>
      <c r="E1300" s="8" t="str">
        <f>IFERROR(__xludf.DUMMYFUNCTION("""COMPUTED_VALUE"""),"I love this top!!! i just had a baby and it is difficult to balance classy with comfortable with out looking sloppy. this top is perfect. it may run a tiny bit big but for the most part it is true to size. great for busty girls (36dd).")</f>
        <v>I love this top!!! i just had a baby and it is difficult to balance classy with comfortable with out looking sloppy. this top is perfect. it may run a tiny bit big but for the most part it is true to size. great for busty girls (36dd).</v>
      </c>
      <c r="F1300" s="8">
        <f>IFERROR(__xludf.DUMMYFUNCTION("""COMPUTED_VALUE"""),5.0)</f>
        <v>5</v>
      </c>
      <c r="G1300" s="8">
        <f>IFERROR(__xludf.DUMMYFUNCTION("""COMPUTED_VALUE"""),1.0)</f>
        <v>1</v>
      </c>
      <c r="H1300" s="8">
        <f>IFERROR(__xludf.DUMMYFUNCTION("""COMPUTED_VALUE"""),0.0)</f>
        <v>0</v>
      </c>
      <c r="I1300" s="8" t="str">
        <f>IFERROR(__xludf.DUMMYFUNCTION("""COMPUTED_VALUE"""),"General")</f>
        <v>General</v>
      </c>
      <c r="J1300" s="8" t="str">
        <f>IFERROR(__xludf.DUMMYFUNCTION("""COMPUTED_VALUE"""),"Tops")</f>
        <v>Tops</v>
      </c>
      <c r="K1300" s="8" t="str">
        <f>IFERROR(__xludf.DUMMYFUNCTION("""COMPUTED_VALUE"""),"Knits")</f>
        <v>Knits</v>
      </c>
    </row>
    <row r="1301">
      <c r="A1301" s="8">
        <f>IFERROR(__xludf.DUMMYFUNCTION("""COMPUTED_VALUE"""),1725.0)</f>
        <v>1725</v>
      </c>
      <c r="B1301" s="8">
        <f>IFERROR(__xludf.DUMMYFUNCTION("""COMPUTED_VALUE"""),831.0)</f>
        <v>831</v>
      </c>
      <c r="C1301" s="8">
        <f>IFERROR(__xludf.DUMMYFUNCTION("""COMPUTED_VALUE"""),48.0)</f>
        <v>48</v>
      </c>
      <c r="D1301" s="8" t="str">
        <f>IFERROR(__xludf.DUMMYFUNCTION("""COMPUTED_VALUE"""),"Bright and airy!")</f>
        <v>Bright and airy!</v>
      </c>
      <c r="E1301" s="8" t="str">
        <f>IFERROR(__xludf.DUMMYFUNCTION("""COMPUTED_VALUE"""),"The color of this top is a bit more vibrant than online. material is light, but i can wear a beige bra underneath and not need a cami. fit was true to size for me and detail at the neckline is flattering. a keeper for me!")</f>
        <v>The color of this top is a bit more vibrant than online. material is light, but i can wear a beige bra underneath and not need a cami. fit was true to size for me and detail at the neckline is flattering. a keeper for me!</v>
      </c>
      <c r="F1301" s="8">
        <f>IFERROR(__xludf.DUMMYFUNCTION("""COMPUTED_VALUE"""),5.0)</f>
        <v>5</v>
      </c>
      <c r="G1301" s="8">
        <f>IFERROR(__xludf.DUMMYFUNCTION("""COMPUTED_VALUE"""),1.0)</f>
        <v>1</v>
      </c>
      <c r="H1301" s="8">
        <f>IFERROR(__xludf.DUMMYFUNCTION("""COMPUTED_VALUE"""),3.0)</f>
        <v>3</v>
      </c>
      <c r="I1301" s="8" t="str">
        <f>IFERROR(__xludf.DUMMYFUNCTION("""COMPUTED_VALUE"""),"General")</f>
        <v>General</v>
      </c>
      <c r="J1301" s="8" t="str">
        <f>IFERROR(__xludf.DUMMYFUNCTION("""COMPUTED_VALUE"""),"Tops")</f>
        <v>Tops</v>
      </c>
      <c r="K1301" s="8" t="str">
        <f>IFERROR(__xludf.DUMMYFUNCTION("""COMPUTED_VALUE"""),"Blouses")</f>
        <v>Blouses</v>
      </c>
    </row>
    <row r="1302">
      <c r="A1302" s="8">
        <f>IFERROR(__xludf.DUMMYFUNCTION("""COMPUTED_VALUE"""),1726.0)</f>
        <v>1726</v>
      </c>
      <c r="B1302" s="8">
        <f>IFERROR(__xludf.DUMMYFUNCTION("""COMPUTED_VALUE"""),899.0)</f>
        <v>899</v>
      </c>
      <c r="C1302" s="8">
        <f>IFERROR(__xludf.DUMMYFUNCTION("""COMPUTED_VALUE"""),65.0)</f>
        <v>65</v>
      </c>
      <c r="D1302" s="8" t="str">
        <f>IFERROR(__xludf.DUMMYFUNCTION("""COMPUTED_VALUE"""),"Cute little cardi")</f>
        <v>Cute little cardi</v>
      </c>
      <c r="E1302" s="8" t="str">
        <f>IFERROR(__xludf.DUMMYFUNCTION("""COMPUTED_VALUE"""),"I had to have this when i saw it in a store. i was drawn to the shape and the neutral colors. i wore it for the first time today with a black tank. on me it looks best unbuttoned. it looks good with pants. the small fit best although the arms are a little"&amp;" tight at the upper arms. i have muscles so i don't think i could wear it with any top with sleeves.")</f>
        <v>I had to have this when i saw it in a store. i was drawn to the shape and the neutral colors. i wore it for the first time today with a black tank. on me it looks best unbuttoned. it looks good with pants. the small fit best although the arms are a little tight at the upper arms. i have muscles so i don't think i could wear it with any top with sleeves.</v>
      </c>
      <c r="F1302" s="8">
        <f>IFERROR(__xludf.DUMMYFUNCTION("""COMPUTED_VALUE"""),5.0)</f>
        <v>5</v>
      </c>
      <c r="G1302" s="8">
        <f>IFERROR(__xludf.DUMMYFUNCTION("""COMPUTED_VALUE"""),1.0)</f>
        <v>1</v>
      </c>
      <c r="H1302" s="8">
        <f>IFERROR(__xludf.DUMMYFUNCTION("""COMPUTED_VALUE"""),0.0)</f>
        <v>0</v>
      </c>
      <c r="I1302" s="8" t="str">
        <f>IFERROR(__xludf.DUMMYFUNCTION("""COMPUTED_VALUE"""),"General Petite")</f>
        <v>General Petite</v>
      </c>
      <c r="J1302" s="8" t="str">
        <f>IFERROR(__xludf.DUMMYFUNCTION("""COMPUTED_VALUE"""),"Tops")</f>
        <v>Tops</v>
      </c>
      <c r="K1302" s="8" t="str">
        <f>IFERROR(__xludf.DUMMYFUNCTION("""COMPUTED_VALUE"""),"Fine gauge")</f>
        <v>Fine gauge</v>
      </c>
    </row>
    <row r="1303">
      <c r="A1303" s="8">
        <f>IFERROR(__xludf.DUMMYFUNCTION("""COMPUTED_VALUE"""),1727.0)</f>
        <v>1727</v>
      </c>
      <c r="B1303" s="8">
        <f>IFERROR(__xludf.DUMMYFUNCTION("""COMPUTED_VALUE"""),860.0)</f>
        <v>860</v>
      </c>
      <c r="C1303" s="8">
        <f>IFERROR(__xludf.DUMMYFUNCTION("""COMPUTED_VALUE"""),45.0)</f>
        <v>45</v>
      </c>
      <c r="D1303" s="8" t="str">
        <f>IFERROR(__xludf.DUMMYFUNCTION("""COMPUTED_VALUE"""),"Color")</f>
        <v>Color</v>
      </c>
      <c r="E1303" s="8" t="str">
        <f>IFERROR(__xludf.DUMMYFUNCTION("""COMPUTED_VALUE"""),"The color is as pictured, like a deep coral. very comfy and great drape.")</f>
        <v>The color is as pictured, like a deep coral. very comfy and great drape.</v>
      </c>
      <c r="F1303" s="8">
        <f>IFERROR(__xludf.DUMMYFUNCTION("""COMPUTED_VALUE"""),5.0)</f>
        <v>5</v>
      </c>
      <c r="G1303" s="8">
        <f>IFERROR(__xludf.DUMMYFUNCTION("""COMPUTED_VALUE"""),1.0)</f>
        <v>1</v>
      </c>
      <c r="H1303" s="8">
        <f>IFERROR(__xludf.DUMMYFUNCTION("""COMPUTED_VALUE"""),4.0)</f>
        <v>4</v>
      </c>
      <c r="I1303" s="8" t="str">
        <f>IFERROR(__xludf.DUMMYFUNCTION("""COMPUTED_VALUE"""),"General Petite")</f>
        <v>General Petite</v>
      </c>
      <c r="J1303" s="8" t="str">
        <f>IFERROR(__xludf.DUMMYFUNCTION("""COMPUTED_VALUE"""),"Tops")</f>
        <v>Tops</v>
      </c>
      <c r="K1303" s="8" t="str">
        <f>IFERROR(__xludf.DUMMYFUNCTION("""COMPUTED_VALUE"""),"Knits")</f>
        <v>Knits</v>
      </c>
    </row>
    <row r="1304">
      <c r="A1304" s="8">
        <f>IFERROR(__xludf.DUMMYFUNCTION("""COMPUTED_VALUE"""),1728.0)</f>
        <v>1728</v>
      </c>
      <c r="B1304" s="8">
        <f>IFERROR(__xludf.DUMMYFUNCTION("""COMPUTED_VALUE"""),225.0)</f>
        <v>225</v>
      </c>
      <c r="C1304" s="8">
        <f>IFERROR(__xludf.DUMMYFUNCTION("""COMPUTED_VALUE"""),58.0)</f>
        <v>58</v>
      </c>
      <c r="D1304" s="8" t="str">
        <f>IFERROR(__xludf.DUMMYFUNCTION("""COMPUTED_VALUE"""),"So fun!")</f>
        <v>So fun!</v>
      </c>
      <c r="E1304" s="8" t="str">
        <f>IFERROR(__xludf.DUMMYFUNCTION("""COMPUTED_VALUE"""),"These fox tights are so very cute and fun! how can you not smile when wearing these tights designed with the cutest foxes all over! they are warm too! these go great under dresses or tunics and i always get compliments when wearing them! they are a real a"&amp;"ttention getter!")</f>
        <v>These fox tights are so very cute and fun! how can you not smile when wearing these tights designed with the cutest foxes all over! they are warm too! these go great under dresses or tunics and i always get compliments when wearing them! they are a real attention getter!</v>
      </c>
      <c r="F1304" s="8">
        <f>IFERROR(__xludf.DUMMYFUNCTION("""COMPUTED_VALUE"""),5.0)</f>
        <v>5</v>
      </c>
      <c r="G1304" s="8">
        <f>IFERROR(__xludf.DUMMYFUNCTION("""COMPUTED_VALUE"""),1.0)</f>
        <v>1</v>
      </c>
      <c r="H1304" s="8">
        <f>IFERROR(__xludf.DUMMYFUNCTION("""COMPUTED_VALUE"""),0.0)</f>
        <v>0</v>
      </c>
      <c r="I1304" s="8" t="str">
        <f>IFERROR(__xludf.DUMMYFUNCTION("""COMPUTED_VALUE"""),"Initmates")</f>
        <v>Initmates</v>
      </c>
      <c r="J1304" s="8" t="str">
        <f>IFERROR(__xludf.DUMMYFUNCTION("""COMPUTED_VALUE"""),"Intimate")</f>
        <v>Intimate</v>
      </c>
      <c r="K1304" s="8" t="str">
        <f>IFERROR(__xludf.DUMMYFUNCTION("""COMPUTED_VALUE"""),"Legwear")</f>
        <v>Legwear</v>
      </c>
    </row>
    <row r="1305">
      <c r="A1305" s="8">
        <f>IFERROR(__xludf.DUMMYFUNCTION("""COMPUTED_VALUE"""),1729.0)</f>
        <v>1729</v>
      </c>
      <c r="B1305" s="8">
        <f>IFERROR(__xludf.DUMMYFUNCTION("""COMPUTED_VALUE"""),964.0)</f>
        <v>964</v>
      </c>
      <c r="C1305" s="8">
        <f>IFERROR(__xludf.DUMMYFUNCTION("""COMPUTED_VALUE"""),66.0)</f>
        <v>66</v>
      </c>
      <c r="D1305" s="8" t="str">
        <f>IFERROR(__xludf.DUMMYFUNCTION("""COMPUTED_VALUE"""),"Nice vest")</f>
        <v>Nice vest</v>
      </c>
      <c r="E1305" s="8" t="str">
        <f>IFERROR(__xludf.DUMMYFUNCTION("""COMPUTED_VALUE"""),"I really like this vest. personally, i think it is difficult to find vests that fit properly. this is a good one. fabric and color good. the photo is very representative of the color. no surprises there. arm holes are not too big which is often a problem."&amp;" the detail on the back gives it some added interest. the only thing i would mention that could be a negative is that it is short, especially in the back. again the picture is representative but do pay attention to the length and be certain that")</f>
        <v>I really like this vest. personally, i think it is difficult to find vests that fit properly. this is a good one. fabric and color good. the photo is very representative of the color. no surprises there. arm holes are not too big which is often a problem. the detail on the back gives it some added interest. the only thing i would mention that could be a negative is that it is short, especially in the back. again the picture is representative but do pay attention to the length and be certain that</v>
      </c>
      <c r="F1305" s="8">
        <f>IFERROR(__xludf.DUMMYFUNCTION("""COMPUTED_VALUE"""),5.0)</f>
        <v>5</v>
      </c>
      <c r="G1305" s="8">
        <f>IFERROR(__xludf.DUMMYFUNCTION("""COMPUTED_VALUE"""),1.0)</f>
        <v>1</v>
      </c>
      <c r="H1305" s="8">
        <f>IFERROR(__xludf.DUMMYFUNCTION("""COMPUTED_VALUE"""),4.0)</f>
        <v>4</v>
      </c>
      <c r="I1305" s="8" t="str">
        <f>IFERROR(__xludf.DUMMYFUNCTION("""COMPUTED_VALUE"""),"General Petite")</f>
        <v>General Petite</v>
      </c>
      <c r="J1305" s="8" t="str">
        <f>IFERROR(__xludf.DUMMYFUNCTION("""COMPUTED_VALUE"""),"Jackets")</f>
        <v>Jackets</v>
      </c>
      <c r="K1305" s="8" t="str">
        <f>IFERROR(__xludf.DUMMYFUNCTION("""COMPUTED_VALUE"""),"Jackets")</f>
        <v>Jackets</v>
      </c>
    </row>
    <row r="1306">
      <c r="A1306" s="8">
        <f>IFERROR(__xludf.DUMMYFUNCTION("""COMPUTED_VALUE"""),1730.0)</f>
        <v>1730</v>
      </c>
      <c r="B1306" s="8">
        <f>IFERROR(__xludf.DUMMYFUNCTION("""COMPUTED_VALUE"""),862.0)</f>
        <v>862</v>
      </c>
      <c r="C1306" s="8">
        <f>IFERROR(__xludf.DUMMYFUNCTION("""COMPUTED_VALUE"""),64.0)</f>
        <v>64</v>
      </c>
      <c r="D1306" s="8" t="str">
        <f>IFERROR(__xludf.DUMMYFUNCTION("""COMPUTED_VALUE"""),"Much cuter in person")</f>
        <v>Much cuter in person</v>
      </c>
      <c r="E1306" s="8" t="str">
        <f>IFERROR(__xludf.DUMMYFUNCTION("""COMPUTED_VALUE"""),"I didn't pay much attn to this online. i'm not much on front hook &amp; tie closures. well, saw today at the local store &amp; decided to try on both the s &amp; m. i am usually a s in tops, but the m was only a bit more roomy &amp; longer than the s, so i went with the "&amp;"size m. i thought the styling of it paired well w/ the pilcro cord skinnys i had on. looked much better than the pics online. i have other pilcro skinny cords &amp; jeans in vs colors so i think this top will work out well for me. love the 3/4 sleev")</f>
        <v>I didn't pay much attn to this online. i'm not much on front hook &amp; tie closures. well, saw today at the local store &amp; decided to try on both the s &amp; m. i am usually a s in tops, but the m was only a bit more roomy &amp; longer than the s, so i went with the size m. i thought the styling of it paired well w/ the pilcro cord skinnys i had on. looked much better than the pics online. i have other pilcro skinny cords &amp; jeans in vs colors so i think this top will work out well for me. love the 3/4 sleev</v>
      </c>
      <c r="F1306" s="8">
        <f>IFERROR(__xludf.DUMMYFUNCTION("""COMPUTED_VALUE"""),5.0)</f>
        <v>5</v>
      </c>
      <c r="G1306" s="8">
        <f>IFERROR(__xludf.DUMMYFUNCTION("""COMPUTED_VALUE"""),1.0)</f>
        <v>1</v>
      </c>
      <c r="H1306" s="8">
        <f>IFERROR(__xludf.DUMMYFUNCTION("""COMPUTED_VALUE"""),2.0)</f>
        <v>2</v>
      </c>
      <c r="I1306" s="8" t="str">
        <f>IFERROR(__xludf.DUMMYFUNCTION("""COMPUTED_VALUE"""),"General")</f>
        <v>General</v>
      </c>
      <c r="J1306" s="8" t="str">
        <f>IFERROR(__xludf.DUMMYFUNCTION("""COMPUTED_VALUE"""),"Tops")</f>
        <v>Tops</v>
      </c>
      <c r="K1306" s="8" t="str">
        <f>IFERROR(__xludf.DUMMYFUNCTION("""COMPUTED_VALUE"""),"Knits")</f>
        <v>Knits</v>
      </c>
    </row>
    <row r="1307">
      <c r="A1307" s="8">
        <f>IFERROR(__xludf.DUMMYFUNCTION("""COMPUTED_VALUE"""),1733.0)</f>
        <v>1733</v>
      </c>
      <c r="B1307" s="8">
        <f>IFERROR(__xludf.DUMMYFUNCTION("""COMPUTED_VALUE"""),899.0)</f>
        <v>899</v>
      </c>
      <c r="C1307" s="8">
        <f>IFERROR(__xludf.DUMMYFUNCTION("""COMPUTED_VALUE"""),28.0)</f>
        <v>28</v>
      </c>
      <c r="D1307" s="8" t="str">
        <f>IFERROR(__xludf.DUMMYFUNCTION("""COMPUTED_VALUE"""),"Soft and cute")</f>
        <v>Soft and cute</v>
      </c>
      <c r="E1307" s="8" t="str">
        <f>IFERROR(__xludf.DUMMYFUNCTION("""COMPUTED_VALUE"""),"Fell in love with this a soon as i saw it in store. it is soft and can eaisly be dressed up or down. wore it to work already and got so many compliments. 
unfortunately when i saw it in store they didn't have it in stock. the very helpful gentlemen at the"&amp;" irvine, ca location checked online but it was sold out in my size. so he checked the stores that carried it. i called one and the mailed it to me. customer service in store is great!")</f>
        <v>Fell in love with this a soon as i saw it in store. it is soft and can eaisly be dressed up or down. wore it to work already and got so many compliments. 
unfortunately when i saw it in store they didn't have it in stock. the very helpful gentlemen at the irvine, ca location checked online but it was sold out in my size. so he checked the stores that carried it. i called one and the mailed it to me. customer service in store is great!</v>
      </c>
      <c r="F1307" s="8">
        <f>IFERROR(__xludf.DUMMYFUNCTION("""COMPUTED_VALUE"""),5.0)</f>
        <v>5</v>
      </c>
      <c r="G1307" s="8">
        <f>IFERROR(__xludf.DUMMYFUNCTION("""COMPUTED_VALUE"""),1.0)</f>
        <v>1</v>
      </c>
      <c r="H1307" s="8">
        <f>IFERROR(__xludf.DUMMYFUNCTION("""COMPUTED_VALUE"""),0.0)</f>
        <v>0</v>
      </c>
      <c r="I1307" s="8" t="str">
        <f>IFERROR(__xludf.DUMMYFUNCTION("""COMPUTED_VALUE"""),"General Petite")</f>
        <v>General Petite</v>
      </c>
      <c r="J1307" s="8" t="str">
        <f>IFERROR(__xludf.DUMMYFUNCTION("""COMPUTED_VALUE"""),"Tops")</f>
        <v>Tops</v>
      </c>
      <c r="K1307" s="8" t="str">
        <f>IFERROR(__xludf.DUMMYFUNCTION("""COMPUTED_VALUE"""),"Fine gauge")</f>
        <v>Fine gauge</v>
      </c>
    </row>
    <row r="1308">
      <c r="A1308" s="8">
        <f>IFERROR(__xludf.DUMMYFUNCTION("""COMPUTED_VALUE"""),1734.0)</f>
        <v>1734</v>
      </c>
      <c r="B1308" s="8">
        <f>IFERROR(__xludf.DUMMYFUNCTION("""COMPUTED_VALUE"""),841.0)</f>
        <v>841</v>
      </c>
      <c r="C1308" s="8">
        <f>IFERROR(__xludf.DUMMYFUNCTION("""COMPUTED_VALUE"""),38.0)</f>
        <v>38</v>
      </c>
      <c r="D1308" s="8" t="str">
        <f>IFERROR(__xludf.DUMMYFUNCTION("""COMPUTED_VALUE"""),"Great top")</f>
        <v>Great top</v>
      </c>
      <c r="E1308" s="8" t="str">
        <f>IFERROR(__xludf.DUMMYFUNCTION("""COMPUTED_VALUE"""),"Lovely embroidery with a classic look, great addition to your wardrobe.")</f>
        <v>Lovely embroidery with a classic look, great addition to your wardrobe.</v>
      </c>
      <c r="F1308" s="8">
        <f>IFERROR(__xludf.DUMMYFUNCTION("""COMPUTED_VALUE"""),4.0)</f>
        <v>4</v>
      </c>
      <c r="G1308" s="8">
        <f>IFERROR(__xludf.DUMMYFUNCTION("""COMPUTED_VALUE"""),1.0)</f>
        <v>1</v>
      </c>
      <c r="H1308" s="8">
        <f>IFERROR(__xludf.DUMMYFUNCTION("""COMPUTED_VALUE"""),3.0)</f>
        <v>3</v>
      </c>
      <c r="I1308" s="8" t="str">
        <f>IFERROR(__xludf.DUMMYFUNCTION("""COMPUTED_VALUE"""),"General")</f>
        <v>General</v>
      </c>
      <c r="J1308" s="8" t="str">
        <f>IFERROR(__xludf.DUMMYFUNCTION("""COMPUTED_VALUE"""),"Tops")</f>
        <v>Tops</v>
      </c>
      <c r="K1308" s="8" t="str">
        <f>IFERROR(__xludf.DUMMYFUNCTION("""COMPUTED_VALUE"""),"Blouses")</f>
        <v>Blouses</v>
      </c>
    </row>
    <row r="1309">
      <c r="A1309" s="8">
        <f>IFERROR(__xludf.DUMMYFUNCTION("""COMPUTED_VALUE"""),1735.0)</f>
        <v>1735</v>
      </c>
      <c r="B1309" s="8">
        <f>IFERROR(__xludf.DUMMYFUNCTION("""COMPUTED_VALUE"""),830.0)</f>
        <v>830</v>
      </c>
      <c r="C1309" s="8">
        <f>IFERROR(__xludf.DUMMYFUNCTION("""COMPUTED_VALUE"""),46.0)</f>
        <v>46</v>
      </c>
      <c r="D1309" s="8" t="str">
        <f>IFERROR(__xludf.DUMMYFUNCTION("""COMPUTED_VALUE"""),"Lovely material")</f>
        <v>Lovely material</v>
      </c>
      <c r="E1309" s="8" t="str">
        <f>IFERROR(__xludf.DUMMYFUNCTION("""COMPUTED_VALUE"""),"At first, i thought this top was going to be stiff. i am pleasantly surprised by how soft and flowy this blouse is. it's lovely cream color with beautiful lace details. i appreciate the lining inside the bodice which means i can potentially go bra-less wh"&amp;"en it's hot! i'm 5'2'', 135lb and retailer size s usually gives me plenty of room because i have a small upper body. but i feel this top is slight short on me. that might be because i didn't wear it off-the-shoulder but had it hang from the top of")</f>
        <v>At first, i thought this top was going to be stiff. i am pleasantly surprised by how soft and flowy this blouse is. it's lovely cream color with beautiful lace details. i appreciate the lining inside the bodice which means i can potentially go bra-less when it's hot! i'm 5'2'', 135lb and retailer size s usually gives me plenty of room because i have a small upper body. but i feel this top is slight short on me. that might be because i didn't wear it off-the-shoulder but had it hang from the top of</v>
      </c>
      <c r="F1309" s="8">
        <f>IFERROR(__xludf.DUMMYFUNCTION("""COMPUTED_VALUE"""),5.0)</f>
        <v>5</v>
      </c>
      <c r="G1309" s="8">
        <f>IFERROR(__xludf.DUMMYFUNCTION("""COMPUTED_VALUE"""),1.0)</f>
        <v>1</v>
      </c>
      <c r="H1309" s="8">
        <f>IFERROR(__xludf.DUMMYFUNCTION("""COMPUTED_VALUE"""),12.0)</f>
        <v>12</v>
      </c>
      <c r="I1309" s="8" t="str">
        <f>IFERROR(__xludf.DUMMYFUNCTION("""COMPUTED_VALUE"""),"General Petite")</f>
        <v>General Petite</v>
      </c>
      <c r="J1309" s="8" t="str">
        <f>IFERROR(__xludf.DUMMYFUNCTION("""COMPUTED_VALUE"""),"Tops")</f>
        <v>Tops</v>
      </c>
      <c r="K1309" s="8" t="str">
        <f>IFERROR(__xludf.DUMMYFUNCTION("""COMPUTED_VALUE"""),"Blouses")</f>
        <v>Blouses</v>
      </c>
    </row>
    <row r="1310">
      <c r="A1310" s="8">
        <f>IFERROR(__xludf.DUMMYFUNCTION("""COMPUTED_VALUE"""),1736.0)</f>
        <v>1736</v>
      </c>
      <c r="B1310" s="8">
        <f>IFERROR(__xludf.DUMMYFUNCTION("""COMPUTED_VALUE"""),1081.0)</f>
        <v>1081</v>
      </c>
      <c r="C1310" s="8">
        <f>IFERROR(__xludf.DUMMYFUNCTION("""COMPUTED_VALUE"""),35.0)</f>
        <v>35</v>
      </c>
      <c r="D1310" s="8" t="str">
        <f>IFERROR(__xludf.DUMMYFUNCTION("""COMPUTED_VALUE"""),"Green not as pictured")</f>
        <v>Green not as pictured</v>
      </c>
      <c r="E1310" s="8" t="str">
        <f>IFERROR(__xludf.DUMMYFUNCTION("""COMPUTED_VALUE"""),"I honestly never even tried this on - i ordered it and when it arrived it was not the kelly green color pictured, it was more of a dark bland green color. love the brand and very soft but had to return.")</f>
        <v>I honestly never even tried this on - i ordered it and when it arrived it was not the kelly green color pictured, it was more of a dark bland green color. love the brand and very soft but had to return.</v>
      </c>
      <c r="F1310" s="8">
        <f>IFERROR(__xludf.DUMMYFUNCTION("""COMPUTED_VALUE"""),4.0)</f>
        <v>4</v>
      </c>
      <c r="G1310" s="8">
        <f>IFERROR(__xludf.DUMMYFUNCTION("""COMPUTED_VALUE"""),1.0)</f>
        <v>1</v>
      </c>
      <c r="H1310" s="8">
        <f>IFERROR(__xludf.DUMMYFUNCTION("""COMPUTED_VALUE"""),2.0)</f>
        <v>2</v>
      </c>
      <c r="I1310" s="8" t="str">
        <f>IFERROR(__xludf.DUMMYFUNCTION("""COMPUTED_VALUE"""),"General")</f>
        <v>General</v>
      </c>
      <c r="J1310" s="8" t="str">
        <f>IFERROR(__xludf.DUMMYFUNCTION("""COMPUTED_VALUE"""),"Dresses")</f>
        <v>Dresses</v>
      </c>
      <c r="K1310" s="8" t="str">
        <f>IFERROR(__xludf.DUMMYFUNCTION("""COMPUTED_VALUE"""),"Dresses")</f>
        <v>Dresses</v>
      </c>
    </row>
    <row r="1311">
      <c r="A1311" s="8">
        <f>IFERROR(__xludf.DUMMYFUNCTION("""COMPUTED_VALUE"""),1737.0)</f>
        <v>1737</v>
      </c>
      <c r="B1311" s="8">
        <f>IFERROR(__xludf.DUMMYFUNCTION("""COMPUTED_VALUE"""),1035.0)</f>
        <v>1035</v>
      </c>
      <c r="C1311" s="8">
        <f>IFERROR(__xludf.DUMMYFUNCTION("""COMPUTED_VALUE"""),59.0)</f>
        <v>59</v>
      </c>
      <c r="D1311" s="8"/>
      <c r="E1311" s="8" t="str">
        <f>IFERROR(__xludf.DUMMYFUNCTION("""COMPUTED_VALUE"""),"Perfect jean. these jeans are comfortable, the length is great, and the rise, at least for me, is spot on. my torso is fairly straight - not a lot of the hourglass thing going on - and somehow these jeans feel like they were made for me. thank you pilcro.")</f>
        <v>Perfect jean. these jeans are comfortable, the length is great, and the rise, at least for me, is spot on. my torso is fairly straight - not a lot of the hourglass thing going on - and somehow these jeans feel like they were made for me. thank you pilcro.</v>
      </c>
      <c r="F1311" s="8">
        <f>IFERROR(__xludf.DUMMYFUNCTION("""COMPUTED_VALUE"""),5.0)</f>
        <v>5</v>
      </c>
      <c r="G1311" s="8">
        <f>IFERROR(__xludf.DUMMYFUNCTION("""COMPUTED_VALUE"""),1.0)</f>
        <v>1</v>
      </c>
      <c r="H1311" s="8">
        <f>IFERROR(__xludf.DUMMYFUNCTION("""COMPUTED_VALUE"""),0.0)</f>
        <v>0</v>
      </c>
      <c r="I1311" s="8" t="str">
        <f>IFERROR(__xludf.DUMMYFUNCTION("""COMPUTED_VALUE"""),"General")</f>
        <v>General</v>
      </c>
      <c r="J1311" s="8" t="str">
        <f>IFERROR(__xludf.DUMMYFUNCTION("""COMPUTED_VALUE"""),"Bottoms")</f>
        <v>Bottoms</v>
      </c>
      <c r="K1311" s="8" t="str">
        <f>IFERROR(__xludf.DUMMYFUNCTION("""COMPUTED_VALUE"""),"Jeans")</f>
        <v>Jeans</v>
      </c>
    </row>
    <row r="1312">
      <c r="A1312" s="8">
        <f>IFERROR(__xludf.DUMMYFUNCTION("""COMPUTED_VALUE"""),1738.0)</f>
        <v>1738</v>
      </c>
      <c r="B1312" s="8">
        <f>IFERROR(__xludf.DUMMYFUNCTION("""COMPUTED_VALUE"""),984.0)</f>
        <v>984</v>
      </c>
      <c r="C1312" s="8">
        <f>IFERROR(__xludf.DUMMYFUNCTION("""COMPUTED_VALUE"""),55.0)</f>
        <v>55</v>
      </c>
      <c r="D1312" s="8" t="str">
        <f>IFERROR(__xludf.DUMMYFUNCTION("""COMPUTED_VALUE"""),"Love this jacket!")</f>
        <v>Love this jacket!</v>
      </c>
      <c r="E1312" s="8" t="str">
        <f>IFERROR(__xludf.DUMMYFUNCTION("""COMPUTED_VALUE"""),"This is going to be my go to all season. looks great with a sweater dress and boots also looks great with cords!")</f>
        <v>This is going to be my go to all season. looks great with a sweater dress and boots also looks great with cords!</v>
      </c>
      <c r="F1312" s="8">
        <f>IFERROR(__xludf.DUMMYFUNCTION("""COMPUTED_VALUE"""),5.0)</f>
        <v>5</v>
      </c>
      <c r="G1312" s="8">
        <f>IFERROR(__xludf.DUMMYFUNCTION("""COMPUTED_VALUE"""),1.0)</f>
        <v>1</v>
      </c>
      <c r="H1312" s="8">
        <f>IFERROR(__xludf.DUMMYFUNCTION("""COMPUTED_VALUE"""),0.0)</f>
        <v>0</v>
      </c>
      <c r="I1312" s="8" t="str">
        <f>IFERROR(__xludf.DUMMYFUNCTION("""COMPUTED_VALUE"""),"General Petite")</f>
        <v>General Petite</v>
      </c>
      <c r="J1312" s="8" t="str">
        <f>IFERROR(__xludf.DUMMYFUNCTION("""COMPUTED_VALUE"""),"Jackets")</f>
        <v>Jackets</v>
      </c>
      <c r="K1312" s="8" t="str">
        <f>IFERROR(__xludf.DUMMYFUNCTION("""COMPUTED_VALUE"""),"Jackets")</f>
        <v>Jackets</v>
      </c>
    </row>
    <row r="1313">
      <c r="A1313" s="8">
        <f>IFERROR(__xludf.DUMMYFUNCTION("""COMPUTED_VALUE"""),1740.0)</f>
        <v>1740</v>
      </c>
      <c r="B1313" s="8">
        <f>IFERROR(__xludf.DUMMYFUNCTION("""COMPUTED_VALUE"""),830.0)</f>
        <v>830</v>
      </c>
      <c r="C1313" s="8">
        <f>IFERROR(__xludf.DUMMYFUNCTION("""COMPUTED_VALUE"""),31.0)</f>
        <v>31</v>
      </c>
      <c r="D1313" s="8" t="str">
        <f>IFERROR(__xludf.DUMMYFUNCTION("""COMPUTED_VALUE"""),"Love it!")</f>
        <v>Love it!</v>
      </c>
      <c r="E1313" s="8" t="str">
        <f>IFERROR(__xludf.DUMMYFUNCTION("""COMPUTED_VALUE"""),"I love this and instantly felt sexier when i put it on, yet with the longer sleeves and looseness felt i could wear it casually. 
i will say that i have to often keep adjusting/pulling the top neckline down. it seems to want to revert to above-the-should"&amp;"ers position. 
the fabric and quality feels nice and it was a great purchase for me!")</f>
        <v>I love this and instantly felt sexier when i put it on, yet with the longer sleeves and looseness felt i could wear it casually. 
i will say that i have to often keep adjusting/pulling the top neckline down. it seems to want to revert to above-the-shoulders position. 
the fabric and quality feels nice and it was a great purchase for me!</v>
      </c>
      <c r="F1313" s="8">
        <f>IFERROR(__xludf.DUMMYFUNCTION("""COMPUTED_VALUE"""),5.0)</f>
        <v>5</v>
      </c>
      <c r="G1313" s="8">
        <f>IFERROR(__xludf.DUMMYFUNCTION("""COMPUTED_VALUE"""),1.0)</f>
        <v>1</v>
      </c>
      <c r="H1313" s="8">
        <f>IFERROR(__xludf.DUMMYFUNCTION("""COMPUTED_VALUE"""),0.0)</f>
        <v>0</v>
      </c>
      <c r="I1313" s="8" t="str">
        <f>IFERROR(__xludf.DUMMYFUNCTION("""COMPUTED_VALUE"""),"General Petite")</f>
        <v>General Petite</v>
      </c>
      <c r="J1313" s="8" t="str">
        <f>IFERROR(__xludf.DUMMYFUNCTION("""COMPUTED_VALUE"""),"Tops")</f>
        <v>Tops</v>
      </c>
      <c r="K1313" s="8" t="str">
        <f>IFERROR(__xludf.DUMMYFUNCTION("""COMPUTED_VALUE"""),"Blouses")</f>
        <v>Blouses</v>
      </c>
    </row>
    <row r="1314">
      <c r="A1314" s="8">
        <f>IFERROR(__xludf.DUMMYFUNCTION("""COMPUTED_VALUE"""),1741.0)</f>
        <v>1741</v>
      </c>
      <c r="B1314" s="8">
        <f>IFERROR(__xludf.DUMMYFUNCTION("""COMPUTED_VALUE"""),984.0)</f>
        <v>984</v>
      </c>
      <c r="C1314" s="8">
        <f>IFERROR(__xludf.DUMMYFUNCTION("""COMPUTED_VALUE"""),60.0)</f>
        <v>60</v>
      </c>
      <c r="D1314" s="8" t="str">
        <f>IFERROR(__xludf.DUMMYFUNCTION("""COMPUTED_VALUE"""),"Wow!")</f>
        <v>Wow!</v>
      </c>
      <c r="E1314" s="8" t="str">
        <f>IFERROR(__xludf.DUMMYFUNCTION("""COMPUTED_VALUE"""),"I just received my duster . i love it! the coat is as pictured. the fabric is medium weight denim with some stretch. it feels like a denim coat that you have worn for years. i'm 5'8"" and the duster hits mid-calf. i'm a curvy size 14-16 and the xl fits pe"&amp;"rfectly. the only issue that might arise is that the sleeves are long; they fit me perfectly but i have long arms. this will be my new go to coat for fall.")</f>
        <v>I just received my duster . i love it! the coat is as pictured. the fabric is medium weight denim with some stretch. it feels like a denim coat that you have worn for years. i'm 5'8" and the duster hits mid-calf. i'm a curvy size 14-16 and the xl fits perfectly. the only issue that might arise is that the sleeves are long; they fit me perfectly but i have long arms. this will be my new go to coat for fall.</v>
      </c>
      <c r="F1314" s="8">
        <f>IFERROR(__xludf.DUMMYFUNCTION("""COMPUTED_VALUE"""),5.0)</f>
        <v>5</v>
      </c>
      <c r="G1314" s="8">
        <f>IFERROR(__xludf.DUMMYFUNCTION("""COMPUTED_VALUE"""),1.0)</f>
        <v>1</v>
      </c>
      <c r="H1314" s="8">
        <f>IFERROR(__xludf.DUMMYFUNCTION("""COMPUTED_VALUE"""),12.0)</f>
        <v>12</v>
      </c>
      <c r="I1314" s="8" t="str">
        <f>IFERROR(__xludf.DUMMYFUNCTION("""COMPUTED_VALUE"""),"General Petite")</f>
        <v>General Petite</v>
      </c>
      <c r="J1314" s="8" t="str">
        <f>IFERROR(__xludf.DUMMYFUNCTION("""COMPUTED_VALUE"""),"Jackets")</f>
        <v>Jackets</v>
      </c>
      <c r="K1314" s="8" t="str">
        <f>IFERROR(__xludf.DUMMYFUNCTION("""COMPUTED_VALUE"""),"Jackets")</f>
        <v>Jackets</v>
      </c>
    </row>
    <row r="1315">
      <c r="A1315" s="8">
        <f>IFERROR(__xludf.DUMMYFUNCTION("""COMPUTED_VALUE"""),1742.0)</f>
        <v>1742</v>
      </c>
      <c r="B1315" s="8">
        <f>IFERROR(__xludf.DUMMYFUNCTION("""COMPUTED_VALUE"""),769.0)</f>
        <v>769</v>
      </c>
      <c r="C1315" s="8">
        <f>IFERROR(__xludf.DUMMYFUNCTION("""COMPUTED_VALUE"""),55.0)</f>
        <v>55</v>
      </c>
      <c r="D1315" s="8" t="str">
        <f>IFERROR(__xludf.DUMMYFUNCTION("""COMPUTED_VALUE"""),"Nice little top")</f>
        <v>Nice little top</v>
      </c>
      <c r="E1315" s="8" t="str">
        <f>IFERROR(__xludf.DUMMYFUNCTION("""COMPUTED_VALUE"""),"The design is graceful and both my kids said it was a keeper ""pretty,"" even the boy child.
somehow i feel it makes my tummy look bigger than it is, maybe with the belt on my jeans.")</f>
        <v>The design is graceful and both my kids said it was a keeper "pretty," even the boy child.
somehow i feel it makes my tummy look bigger than it is, maybe with the belt on my jeans.</v>
      </c>
      <c r="F1315" s="8">
        <f>IFERROR(__xludf.DUMMYFUNCTION("""COMPUTED_VALUE"""),4.0)</f>
        <v>4</v>
      </c>
      <c r="G1315" s="8">
        <f>IFERROR(__xludf.DUMMYFUNCTION("""COMPUTED_VALUE"""),1.0)</f>
        <v>1</v>
      </c>
      <c r="H1315" s="8">
        <f>IFERROR(__xludf.DUMMYFUNCTION("""COMPUTED_VALUE"""),2.0)</f>
        <v>2</v>
      </c>
      <c r="I1315" s="8" t="str">
        <f>IFERROR(__xludf.DUMMYFUNCTION("""COMPUTED_VALUE"""),"Initmates")</f>
        <v>Initmates</v>
      </c>
      <c r="J1315" s="8" t="str">
        <f>IFERROR(__xludf.DUMMYFUNCTION("""COMPUTED_VALUE"""),"Intimate")</f>
        <v>Intimate</v>
      </c>
      <c r="K1315" s="8" t="str">
        <f>IFERROR(__xludf.DUMMYFUNCTION("""COMPUTED_VALUE"""),"Lounge")</f>
        <v>Lounge</v>
      </c>
    </row>
    <row r="1316">
      <c r="A1316" s="8">
        <f>IFERROR(__xludf.DUMMYFUNCTION("""COMPUTED_VALUE"""),1743.0)</f>
        <v>1743</v>
      </c>
      <c r="B1316" s="8">
        <f>IFERROR(__xludf.DUMMYFUNCTION("""COMPUTED_VALUE"""),1025.0)</f>
        <v>1025</v>
      </c>
      <c r="C1316" s="8">
        <f>IFERROR(__xludf.DUMMYFUNCTION("""COMPUTED_VALUE"""),41.0)</f>
        <v>41</v>
      </c>
      <c r="D1316" s="8" t="str">
        <f>IFERROR(__xludf.DUMMYFUNCTION("""COMPUTED_VALUE"""),"My new favorite jeans")</f>
        <v>My new favorite jeans</v>
      </c>
      <c r="E1316" s="8" t="str">
        <f>IFERROR(__xludf.DUMMYFUNCTION("""COMPUTED_VALUE"""),"These jeans are an even dark color that can be dressed up. the material is soft and they fit perfect. they are mid rise which is a little different for me as i mostly where low rise. the only problem is that they are really long. i am 5'9"" and they are t"&amp;"oo long for me which never happens. so i need to get them hemmed and wont be wearing them for a few more weeks. i look forward to rocking them with a pair of booties or heels.")</f>
        <v>These jeans are an even dark color that can be dressed up. the material is soft and they fit perfect. they are mid rise which is a little different for me as i mostly where low rise. the only problem is that they are really long. i am 5'9" and they are too long for me which never happens. so i need to get them hemmed and wont be wearing them for a few more weeks. i look forward to rocking them with a pair of booties or heels.</v>
      </c>
      <c r="F1316" s="8">
        <f>IFERROR(__xludf.DUMMYFUNCTION("""COMPUTED_VALUE"""),4.0)</f>
        <v>4</v>
      </c>
      <c r="G1316" s="8">
        <f>IFERROR(__xludf.DUMMYFUNCTION("""COMPUTED_VALUE"""),1.0)</f>
        <v>1</v>
      </c>
      <c r="H1316" s="8">
        <f>IFERROR(__xludf.DUMMYFUNCTION("""COMPUTED_VALUE"""),2.0)</f>
        <v>2</v>
      </c>
      <c r="I1316" s="8" t="str">
        <f>IFERROR(__xludf.DUMMYFUNCTION("""COMPUTED_VALUE"""),"General")</f>
        <v>General</v>
      </c>
      <c r="J1316" s="8" t="str">
        <f>IFERROR(__xludf.DUMMYFUNCTION("""COMPUTED_VALUE"""),"Bottoms")</f>
        <v>Bottoms</v>
      </c>
      <c r="K1316" s="8" t="str">
        <f>IFERROR(__xludf.DUMMYFUNCTION("""COMPUTED_VALUE"""),"Jeans")</f>
        <v>Jeans</v>
      </c>
    </row>
    <row r="1317">
      <c r="A1317" s="8">
        <f>IFERROR(__xludf.DUMMYFUNCTION("""COMPUTED_VALUE"""),1745.0)</f>
        <v>1745</v>
      </c>
      <c r="B1317" s="8">
        <f>IFERROR(__xludf.DUMMYFUNCTION("""COMPUTED_VALUE"""),888.0)</f>
        <v>888</v>
      </c>
      <c r="C1317" s="8">
        <f>IFERROR(__xludf.DUMMYFUNCTION("""COMPUTED_VALUE"""),54.0)</f>
        <v>54</v>
      </c>
      <c r="D1317" s="8" t="str">
        <f>IFERROR(__xludf.DUMMYFUNCTION("""COMPUTED_VALUE"""),"Nice top")</f>
        <v>Nice top</v>
      </c>
      <c r="E1317" s="8" t="str">
        <f>IFERROR(__xludf.DUMMYFUNCTION("""COMPUTED_VALUE"""),"A cute top. slightly tight in the upper area. debated returning but decided to keep as the top is unique and i know that i will wear it frequently. aleardy thinking of way to wear all year around! runs small")</f>
        <v>A cute top. slightly tight in the upper area. debated returning but decided to keep as the top is unique and i know that i will wear it frequently. aleardy thinking of way to wear all year around! runs small</v>
      </c>
      <c r="F1317" s="8">
        <f>IFERROR(__xludf.DUMMYFUNCTION("""COMPUTED_VALUE"""),5.0)</f>
        <v>5</v>
      </c>
      <c r="G1317" s="8">
        <f>IFERROR(__xludf.DUMMYFUNCTION("""COMPUTED_VALUE"""),1.0)</f>
        <v>1</v>
      </c>
      <c r="H1317" s="8">
        <f>IFERROR(__xludf.DUMMYFUNCTION("""COMPUTED_VALUE"""),0.0)</f>
        <v>0</v>
      </c>
      <c r="I1317" s="8" t="str">
        <f>IFERROR(__xludf.DUMMYFUNCTION("""COMPUTED_VALUE"""),"General")</f>
        <v>General</v>
      </c>
      <c r="J1317" s="8" t="str">
        <f>IFERROR(__xludf.DUMMYFUNCTION("""COMPUTED_VALUE"""),"Tops")</f>
        <v>Tops</v>
      </c>
      <c r="K1317" s="8" t="str">
        <f>IFERROR(__xludf.DUMMYFUNCTION("""COMPUTED_VALUE"""),"Knits")</f>
        <v>Knits</v>
      </c>
    </row>
    <row r="1318">
      <c r="A1318" s="8">
        <f>IFERROR(__xludf.DUMMYFUNCTION("""COMPUTED_VALUE"""),1746.0)</f>
        <v>1746</v>
      </c>
      <c r="B1318" s="8">
        <f>IFERROR(__xludf.DUMMYFUNCTION("""COMPUTED_VALUE"""),1008.0)</f>
        <v>1008</v>
      </c>
      <c r="C1318" s="8">
        <f>IFERROR(__xludf.DUMMYFUNCTION("""COMPUTED_VALUE"""),51.0)</f>
        <v>51</v>
      </c>
      <c r="D1318" s="8" t="str">
        <f>IFERROR(__xludf.DUMMYFUNCTION("""COMPUTED_VALUE"""),"Comfy")</f>
        <v>Comfy</v>
      </c>
      <c r="E1318" s="8" t="str">
        <f>IFERROR(__xludf.DUMMYFUNCTION("""COMPUTED_VALUE"""),"Unlike the other reviews, i love this skirt. the lining is a nice stretchy material, as is the eyelet overlay, making it a really easy to wear, and comfortable skirt while still looking polished and professional.   
i bought it so that its slim fitting, m"&amp;"ore like a pencil skirt. 
i've only worn it to work dressed up, with boots, but suspect i'll get a lot of use in the summer with flip flops and a tee shirt. 
i highly recommend it, and think it's a great price. 
it is longer than on the mode")</f>
        <v>Unlike the other reviews, i love this skirt. the lining is a nice stretchy material, as is the eyelet overlay, making it a really easy to wear, and comfortable skirt while still looking polished and professional.   
i bought it so that its slim fitting, more like a pencil skirt. 
i've only worn it to work dressed up, with boots, but suspect i'll get a lot of use in the summer with flip flops and a tee shirt. 
i highly recommend it, and think it's a great price. 
it is longer than on the mode</v>
      </c>
      <c r="F1318" s="8">
        <f>IFERROR(__xludf.DUMMYFUNCTION("""COMPUTED_VALUE"""),5.0)</f>
        <v>5</v>
      </c>
      <c r="G1318" s="8">
        <f>IFERROR(__xludf.DUMMYFUNCTION("""COMPUTED_VALUE"""),1.0)</f>
        <v>1</v>
      </c>
      <c r="H1318" s="8">
        <f>IFERROR(__xludf.DUMMYFUNCTION("""COMPUTED_VALUE"""),5.0)</f>
        <v>5</v>
      </c>
      <c r="I1318" s="8" t="str">
        <f>IFERROR(__xludf.DUMMYFUNCTION("""COMPUTED_VALUE"""),"General Petite")</f>
        <v>General Petite</v>
      </c>
      <c r="J1318" s="8" t="str">
        <f>IFERROR(__xludf.DUMMYFUNCTION("""COMPUTED_VALUE"""),"Bottoms")</f>
        <v>Bottoms</v>
      </c>
      <c r="K1318" s="8" t="str">
        <f>IFERROR(__xludf.DUMMYFUNCTION("""COMPUTED_VALUE"""),"Skirts")</f>
        <v>Skirts</v>
      </c>
    </row>
    <row r="1319">
      <c r="A1319" s="8">
        <f>IFERROR(__xludf.DUMMYFUNCTION("""COMPUTED_VALUE"""),1747.0)</f>
        <v>1747</v>
      </c>
      <c r="B1319" s="8">
        <f>IFERROR(__xludf.DUMMYFUNCTION("""COMPUTED_VALUE"""),34.0)</f>
        <v>34</v>
      </c>
      <c r="C1319" s="8">
        <f>IFERROR(__xludf.DUMMYFUNCTION("""COMPUTED_VALUE"""),42.0)</f>
        <v>42</v>
      </c>
      <c r="D1319" s="8" t="str">
        <f>IFERROR(__xludf.DUMMYFUNCTION("""COMPUTED_VALUE"""),"The best boy short")</f>
        <v>The best boy short</v>
      </c>
      <c r="E1319" s="8" t="str">
        <f>IFERROR(__xludf.DUMMYFUNCTION("""COMPUTED_VALUE"""),"I love panties. i love the prettiest, softest, most adore-worthy panties i can find. these are my favorite boy shorts--i can always put them on and feel pretty. no weird tight spots and the lace has a perfect amount of stretch. im a mom and my body isn't "&amp;"perfect anymore, but these panties give me confidence, with perfect coverage. i choose them more often than any other in my lingerie drawer. my only warning: wash these pretties as delicates, or the lovely lace colors will fade.")</f>
        <v>I love panties. i love the prettiest, softest, most adore-worthy panties i can find. these are my favorite boy shorts--i can always put them on and feel pretty. no weird tight spots and the lace has a perfect amount of stretch. im a mom and my body isn't perfect anymore, but these panties give me confidence, with perfect coverage. i choose them more often than any other in my lingerie drawer. my only warning: wash these pretties as delicates, or the lovely lace colors will fade.</v>
      </c>
      <c r="F1319" s="8">
        <f>IFERROR(__xludf.DUMMYFUNCTION("""COMPUTED_VALUE"""),5.0)</f>
        <v>5</v>
      </c>
      <c r="G1319" s="8">
        <f>IFERROR(__xludf.DUMMYFUNCTION("""COMPUTED_VALUE"""),1.0)</f>
        <v>1</v>
      </c>
      <c r="H1319" s="8">
        <f>IFERROR(__xludf.DUMMYFUNCTION("""COMPUTED_VALUE"""),0.0)</f>
        <v>0</v>
      </c>
      <c r="I1319" s="8" t="str">
        <f>IFERROR(__xludf.DUMMYFUNCTION("""COMPUTED_VALUE"""),"Initmates")</f>
        <v>Initmates</v>
      </c>
      <c r="J1319" s="8" t="str">
        <f>IFERROR(__xludf.DUMMYFUNCTION("""COMPUTED_VALUE"""),"Intimate")</f>
        <v>Intimate</v>
      </c>
      <c r="K1319" s="8" t="str">
        <f>IFERROR(__xludf.DUMMYFUNCTION("""COMPUTED_VALUE"""),"Intimates")</f>
        <v>Intimates</v>
      </c>
    </row>
    <row r="1320">
      <c r="A1320" s="8">
        <f>IFERROR(__xludf.DUMMYFUNCTION("""COMPUTED_VALUE"""),1749.0)</f>
        <v>1749</v>
      </c>
      <c r="B1320" s="8">
        <f>IFERROR(__xludf.DUMMYFUNCTION("""COMPUTED_VALUE"""),1008.0)</f>
        <v>1008</v>
      </c>
      <c r="C1320" s="8">
        <f>IFERROR(__xludf.DUMMYFUNCTION("""COMPUTED_VALUE"""),35.0)</f>
        <v>35</v>
      </c>
      <c r="D1320" s="8" t="str">
        <f>IFERROR(__xludf.DUMMYFUNCTION("""COMPUTED_VALUE"""),"Good skirt")</f>
        <v>Good skirt</v>
      </c>
      <c r="E1320" s="8" t="str">
        <f>IFERROR(__xludf.DUMMYFUNCTION("""COMPUTED_VALUE"""),"I'm glad i got this skirt because it's prettier in person than in the picture. fiance loves it so that's a bonus. it's tts although it's longer than shown on the picture. very high quality and looks expensive. i'm very happy with this purchase.")</f>
        <v>I'm glad i got this skirt because it's prettier in person than in the picture. fiance loves it so that's a bonus. it's tts although it's longer than shown on the picture. very high quality and looks expensive. i'm very happy with this purchase.</v>
      </c>
      <c r="F1320" s="8">
        <f>IFERROR(__xludf.DUMMYFUNCTION("""COMPUTED_VALUE"""),5.0)</f>
        <v>5</v>
      </c>
      <c r="G1320" s="8">
        <f>IFERROR(__xludf.DUMMYFUNCTION("""COMPUTED_VALUE"""),1.0)</f>
        <v>1</v>
      </c>
      <c r="H1320" s="8">
        <f>IFERROR(__xludf.DUMMYFUNCTION("""COMPUTED_VALUE"""),1.0)</f>
        <v>1</v>
      </c>
      <c r="I1320" s="8" t="str">
        <f>IFERROR(__xludf.DUMMYFUNCTION("""COMPUTED_VALUE"""),"General Petite")</f>
        <v>General Petite</v>
      </c>
      <c r="J1320" s="8" t="str">
        <f>IFERROR(__xludf.DUMMYFUNCTION("""COMPUTED_VALUE"""),"Bottoms")</f>
        <v>Bottoms</v>
      </c>
      <c r="K1320" s="8" t="str">
        <f>IFERROR(__xludf.DUMMYFUNCTION("""COMPUTED_VALUE"""),"Skirts")</f>
        <v>Skirts</v>
      </c>
    </row>
    <row r="1321">
      <c r="A1321" s="8">
        <f>IFERROR(__xludf.DUMMYFUNCTION("""COMPUTED_VALUE"""),1750.0)</f>
        <v>1750</v>
      </c>
      <c r="B1321" s="8">
        <f>IFERROR(__xludf.DUMMYFUNCTION("""COMPUTED_VALUE"""),1081.0)</f>
        <v>1081</v>
      </c>
      <c r="C1321" s="8">
        <f>IFERROR(__xludf.DUMMYFUNCTION("""COMPUTED_VALUE"""),34.0)</f>
        <v>34</v>
      </c>
      <c r="D1321" s="8" t="str">
        <f>IFERROR(__xludf.DUMMYFUNCTION("""COMPUTED_VALUE"""),"Nice, but not for me")</f>
        <v>Nice, but not for me</v>
      </c>
      <c r="E1321" s="8" t="str">
        <f>IFERROR(__xludf.DUMMYFUNCTION("""COMPUTED_VALUE"""),"This is a very nice dress. the jersey is soft and high quality. the construction appears solid. the color is very pretty, and looks in real life just like it does on my computer. the cut and draping just don't work for me. there's just too much draping, t"&amp;"oo much fabric. it overwhelmed me and made me look bigger than i am. i have a feeling this would be much more flattering on a curvier figure than my own. this dress seemed to be trying to accentuate curves i don't really have (especially in the")</f>
        <v>This is a very nice dress. the jersey is soft and high quality. the construction appears solid. the color is very pretty, and looks in real life just like it does on my computer. the cut and draping just don't work for me. there's just too much draping, too much fabric. it overwhelmed me and made me look bigger than i am. i have a feeling this would be much more flattering on a curvier figure than my own. this dress seemed to be trying to accentuate curves i don't really have (especially in the</v>
      </c>
      <c r="F1321" s="8">
        <f>IFERROR(__xludf.DUMMYFUNCTION("""COMPUTED_VALUE"""),4.0)</f>
        <v>4</v>
      </c>
      <c r="G1321" s="8">
        <f>IFERROR(__xludf.DUMMYFUNCTION("""COMPUTED_VALUE"""),1.0)</f>
        <v>1</v>
      </c>
      <c r="H1321" s="8">
        <f>IFERROR(__xludf.DUMMYFUNCTION("""COMPUTED_VALUE"""),4.0)</f>
        <v>4</v>
      </c>
      <c r="I1321" s="8" t="str">
        <f>IFERROR(__xludf.DUMMYFUNCTION("""COMPUTED_VALUE"""),"General")</f>
        <v>General</v>
      </c>
      <c r="J1321" s="8" t="str">
        <f>IFERROR(__xludf.DUMMYFUNCTION("""COMPUTED_VALUE"""),"Dresses")</f>
        <v>Dresses</v>
      </c>
      <c r="K1321" s="8" t="str">
        <f>IFERROR(__xludf.DUMMYFUNCTION("""COMPUTED_VALUE"""),"Dresses")</f>
        <v>Dresses</v>
      </c>
    </row>
    <row r="1322">
      <c r="A1322" s="8">
        <f>IFERROR(__xludf.DUMMYFUNCTION("""COMPUTED_VALUE"""),1751.0)</f>
        <v>1751</v>
      </c>
      <c r="B1322" s="8">
        <f>IFERROR(__xludf.DUMMYFUNCTION("""COMPUTED_VALUE"""),1008.0)</f>
        <v>1008</v>
      </c>
      <c r="C1322" s="8">
        <f>IFERROR(__xludf.DUMMYFUNCTION("""COMPUTED_VALUE"""),27.0)</f>
        <v>27</v>
      </c>
      <c r="D1322" s="8" t="str">
        <f>IFERROR(__xludf.DUMMYFUNCTION("""COMPUTED_VALUE"""),"Cute and comfy")</f>
        <v>Cute and comfy</v>
      </c>
      <c r="E1322" s="8" t="str">
        <f>IFERROR(__xludf.DUMMYFUNCTION("""COMPUTED_VALUE"""),"I tried this on in-store and would have purchased if it have been a better price, it wasn't something i could justify spending $100 bucks on. it's cute and was surprisingly comfortable but again, not worth the asking price. i will buy when it goes on sale"&amp;".")</f>
        <v>I tried this on in-store and would have purchased if it have been a better price, it wasn't something i could justify spending $100 bucks on. it's cute and was surprisingly comfortable but again, not worth the asking price. i will buy when it goes on sale.</v>
      </c>
      <c r="F1322" s="8">
        <f>IFERROR(__xludf.DUMMYFUNCTION("""COMPUTED_VALUE"""),4.0)</f>
        <v>4</v>
      </c>
      <c r="G1322" s="8">
        <f>IFERROR(__xludf.DUMMYFUNCTION("""COMPUTED_VALUE"""),1.0)</f>
        <v>1</v>
      </c>
      <c r="H1322" s="8">
        <f>IFERROR(__xludf.DUMMYFUNCTION("""COMPUTED_VALUE"""),6.0)</f>
        <v>6</v>
      </c>
      <c r="I1322" s="8" t="str">
        <f>IFERROR(__xludf.DUMMYFUNCTION("""COMPUTED_VALUE"""),"General Petite")</f>
        <v>General Petite</v>
      </c>
      <c r="J1322" s="8" t="str">
        <f>IFERROR(__xludf.DUMMYFUNCTION("""COMPUTED_VALUE"""),"Bottoms")</f>
        <v>Bottoms</v>
      </c>
      <c r="K1322" s="8" t="str">
        <f>IFERROR(__xludf.DUMMYFUNCTION("""COMPUTED_VALUE"""),"Skirts")</f>
        <v>Skirts</v>
      </c>
    </row>
    <row r="1323">
      <c r="A1323" s="8">
        <f>IFERROR(__xludf.DUMMYFUNCTION("""COMPUTED_VALUE"""),1752.0)</f>
        <v>1752</v>
      </c>
      <c r="B1323" s="8">
        <f>IFERROR(__xludf.DUMMYFUNCTION("""COMPUTED_VALUE"""),984.0)</f>
        <v>984</v>
      </c>
      <c r="C1323" s="8">
        <f>IFERROR(__xludf.DUMMYFUNCTION("""COMPUTED_VALUE"""),56.0)</f>
        <v>56</v>
      </c>
      <c r="D1323" s="8" t="str">
        <f>IFERROR(__xludf.DUMMYFUNCTION("""COMPUTED_VALUE"""),"One of the best denim dusters!!")</f>
        <v>One of the best denim dusters!!</v>
      </c>
      <c r="E1323" s="8" t="str">
        <f>IFERROR(__xludf.DUMMYFUNCTION("""COMPUTED_VALUE"""),"I was out of town when my coat arrived, and was so excited to get home and try it on!!  i haven't worn it yet, but we've now got the weather for it...and i can't wait!  i'm 5'7"" and heavier than i'd like, but the xl fit perfectly!")</f>
        <v>I was out of town when my coat arrived, and was so excited to get home and try it on!!  i haven't worn it yet, but we've now got the weather for it...and i can't wait!  i'm 5'7" and heavier than i'd like, but the xl fit perfectly!</v>
      </c>
      <c r="F1323" s="8">
        <f>IFERROR(__xludf.DUMMYFUNCTION("""COMPUTED_VALUE"""),5.0)</f>
        <v>5</v>
      </c>
      <c r="G1323" s="8">
        <f>IFERROR(__xludf.DUMMYFUNCTION("""COMPUTED_VALUE"""),1.0)</f>
        <v>1</v>
      </c>
      <c r="H1323" s="8">
        <f>IFERROR(__xludf.DUMMYFUNCTION("""COMPUTED_VALUE"""),0.0)</f>
        <v>0</v>
      </c>
      <c r="I1323" s="8" t="str">
        <f>IFERROR(__xludf.DUMMYFUNCTION("""COMPUTED_VALUE"""),"General Petite")</f>
        <v>General Petite</v>
      </c>
      <c r="J1323" s="8" t="str">
        <f>IFERROR(__xludf.DUMMYFUNCTION("""COMPUTED_VALUE"""),"Jackets")</f>
        <v>Jackets</v>
      </c>
      <c r="K1323" s="8" t="str">
        <f>IFERROR(__xludf.DUMMYFUNCTION("""COMPUTED_VALUE"""),"Jackets")</f>
        <v>Jackets</v>
      </c>
    </row>
    <row r="1324">
      <c r="A1324" s="8">
        <f>IFERROR(__xludf.DUMMYFUNCTION("""COMPUTED_VALUE"""),1753.0)</f>
        <v>1753</v>
      </c>
      <c r="B1324" s="8">
        <f>IFERROR(__xludf.DUMMYFUNCTION("""COMPUTED_VALUE"""),888.0)</f>
        <v>888</v>
      </c>
      <c r="C1324" s="8">
        <f>IFERROR(__xludf.DUMMYFUNCTION("""COMPUTED_VALUE"""),26.0)</f>
        <v>26</v>
      </c>
      <c r="D1324" s="8" t="str">
        <f>IFERROR(__xludf.DUMMYFUNCTION("""COMPUTED_VALUE"""),"Good but runs very small")</f>
        <v>Good but runs very small</v>
      </c>
      <c r="E1324" s="8" t="str">
        <f>IFERROR(__xludf.DUMMYFUNCTION("""COMPUTED_VALUE"""),"Retailer sizes are all over the place. i fell in love with this top, and tried it a couple of times to see if it would work. unfortunately i have to send it back. the design and colors are very good. the side slits are very high, right up to the waist, bu"&amp;"t the top still looks good. unfortunately it is very small. it still fits because of the long side slits, and is not that tight at the top due to sleeveless, but the fit just wasn't as flattering. it does seem to run 1-2 sizes small, so i a")</f>
        <v>Retailer sizes are all over the place. i fell in love with this top, and tried it a couple of times to see if it would work. unfortunately i have to send it back. the design and colors are very good. the side slits are very high, right up to the waist, but the top still looks good. unfortunately it is very small. it still fits because of the long side slits, and is not that tight at the top due to sleeveless, but the fit just wasn't as flattering. it does seem to run 1-2 sizes small, so i a</v>
      </c>
      <c r="F1324" s="8">
        <f>IFERROR(__xludf.DUMMYFUNCTION("""COMPUTED_VALUE"""),4.0)</f>
        <v>4</v>
      </c>
      <c r="G1324" s="8">
        <f>IFERROR(__xludf.DUMMYFUNCTION("""COMPUTED_VALUE"""),1.0)</f>
        <v>1</v>
      </c>
      <c r="H1324" s="8">
        <f>IFERROR(__xludf.DUMMYFUNCTION("""COMPUTED_VALUE"""),1.0)</f>
        <v>1</v>
      </c>
      <c r="I1324" s="8" t="str">
        <f>IFERROR(__xludf.DUMMYFUNCTION("""COMPUTED_VALUE"""),"General")</f>
        <v>General</v>
      </c>
      <c r="J1324" s="8" t="str">
        <f>IFERROR(__xludf.DUMMYFUNCTION("""COMPUTED_VALUE"""),"Tops")</f>
        <v>Tops</v>
      </c>
      <c r="K1324" s="8" t="str">
        <f>IFERROR(__xludf.DUMMYFUNCTION("""COMPUTED_VALUE"""),"Knits")</f>
        <v>Knits</v>
      </c>
    </row>
    <row r="1325">
      <c r="A1325" s="8">
        <f>IFERROR(__xludf.DUMMYFUNCTION("""COMPUTED_VALUE"""),1754.0)</f>
        <v>1754</v>
      </c>
      <c r="B1325" s="8">
        <f>IFERROR(__xludf.DUMMYFUNCTION("""COMPUTED_VALUE"""),1008.0)</f>
        <v>1008</v>
      </c>
      <c r="C1325" s="8">
        <f>IFERROR(__xludf.DUMMYFUNCTION("""COMPUTED_VALUE"""),39.0)</f>
        <v>39</v>
      </c>
      <c r="D1325" s="8"/>
      <c r="E1325" s="8" t="str">
        <f>IFERROR(__xludf.DUMMYFUNCTION("""COMPUTED_VALUE"""),"Fits beautifully. perfect for spring and summer. the cut of this skirt gives your figure a wonderful shape. the quality of the material is excellent.  this item is perfect for to dress up for a date night or wear slightly more casually for a brunch.")</f>
        <v>Fits beautifully. perfect for spring and summer. the cut of this skirt gives your figure a wonderful shape. the quality of the material is excellent.  this item is perfect for to dress up for a date night or wear slightly more casually for a brunch.</v>
      </c>
      <c r="F1325" s="8">
        <f>IFERROR(__xludf.DUMMYFUNCTION("""COMPUTED_VALUE"""),5.0)</f>
        <v>5</v>
      </c>
      <c r="G1325" s="8">
        <f>IFERROR(__xludf.DUMMYFUNCTION("""COMPUTED_VALUE"""),1.0)</f>
        <v>1</v>
      </c>
      <c r="H1325" s="8">
        <f>IFERROR(__xludf.DUMMYFUNCTION("""COMPUTED_VALUE"""),1.0)</f>
        <v>1</v>
      </c>
      <c r="I1325" s="8" t="str">
        <f>IFERROR(__xludf.DUMMYFUNCTION("""COMPUTED_VALUE"""),"General Petite")</f>
        <v>General Petite</v>
      </c>
      <c r="J1325" s="8" t="str">
        <f>IFERROR(__xludf.DUMMYFUNCTION("""COMPUTED_VALUE"""),"Bottoms")</f>
        <v>Bottoms</v>
      </c>
      <c r="K1325" s="8" t="str">
        <f>IFERROR(__xludf.DUMMYFUNCTION("""COMPUTED_VALUE"""),"Skirts")</f>
        <v>Skirts</v>
      </c>
    </row>
    <row r="1326">
      <c r="A1326" s="8">
        <f>IFERROR(__xludf.DUMMYFUNCTION("""COMPUTED_VALUE"""),1756.0)</f>
        <v>1756</v>
      </c>
      <c r="B1326" s="8">
        <f>IFERROR(__xludf.DUMMYFUNCTION("""COMPUTED_VALUE"""),1095.0)</f>
        <v>1095</v>
      </c>
      <c r="C1326" s="8">
        <f>IFERROR(__xludf.DUMMYFUNCTION("""COMPUTED_VALUE"""),35.0)</f>
        <v>35</v>
      </c>
      <c r="D1326" s="8" t="str">
        <f>IFERROR(__xludf.DUMMYFUNCTION("""COMPUTED_VALUE"""),"Great fit, alluring")</f>
        <v>Great fit, alluring</v>
      </c>
      <c r="E1326" s="8" t="str">
        <f>IFERROR(__xludf.DUMMYFUNCTION("""COMPUTED_VALUE"""),"I love this dress so much. the fabric on top is not something i would have chosen-it is thick and almost an elastic kind of feel. but i have grown to appreciate that since this dress is not amenable to most bras. i think the fabric would be thick enough o"&amp;"n top to actually just do without one. otherwise you would have to go with a strapless-and the right kind of strapless, with this dress.
when they say it flares it really does-and much more than i was expecting. the bottom part of the skirt f")</f>
        <v>I love this dress so much. the fabric on top is not something i would have chosen-it is thick and almost an elastic kind of feel. but i have grown to appreciate that since this dress is not amenable to most bras. i think the fabric would be thick enough on top to actually just do without one. otherwise you would have to go with a strapless-and the right kind of strapless, with this dress.
when they say it flares it really does-and much more than i was expecting. the bottom part of the skirt f</v>
      </c>
      <c r="F1326" s="8">
        <f>IFERROR(__xludf.DUMMYFUNCTION("""COMPUTED_VALUE"""),5.0)</f>
        <v>5</v>
      </c>
      <c r="G1326" s="8">
        <f>IFERROR(__xludf.DUMMYFUNCTION("""COMPUTED_VALUE"""),1.0)</f>
        <v>1</v>
      </c>
      <c r="H1326" s="8">
        <f>IFERROR(__xludf.DUMMYFUNCTION("""COMPUTED_VALUE"""),2.0)</f>
        <v>2</v>
      </c>
      <c r="I1326" s="8" t="str">
        <f>IFERROR(__xludf.DUMMYFUNCTION("""COMPUTED_VALUE"""),"General Petite")</f>
        <v>General Petite</v>
      </c>
      <c r="J1326" s="8" t="str">
        <f>IFERROR(__xludf.DUMMYFUNCTION("""COMPUTED_VALUE"""),"Dresses")</f>
        <v>Dresses</v>
      </c>
      <c r="K1326" s="8" t="str">
        <f>IFERROR(__xludf.DUMMYFUNCTION("""COMPUTED_VALUE"""),"Dresses")</f>
        <v>Dresses</v>
      </c>
    </row>
    <row r="1327">
      <c r="A1327" s="8">
        <f>IFERROR(__xludf.DUMMYFUNCTION("""COMPUTED_VALUE"""),1757.0)</f>
        <v>1757</v>
      </c>
      <c r="B1327" s="8">
        <f>IFERROR(__xludf.DUMMYFUNCTION("""COMPUTED_VALUE"""),1008.0)</f>
        <v>1008</v>
      </c>
      <c r="C1327" s="8">
        <f>IFERROR(__xludf.DUMMYFUNCTION("""COMPUTED_VALUE"""),53.0)</f>
        <v>53</v>
      </c>
      <c r="D1327" s="8" t="str">
        <f>IFERROR(__xludf.DUMMYFUNCTION("""COMPUTED_VALUE"""),"Lovely pattern")</f>
        <v>Lovely pattern</v>
      </c>
      <c r="E1327" s="8" t="str">
        <f>IFERROR(__xludf.DUMMYFUNCTION("""COMPUTED_VALUE"""),"Timeless skirt. just don't like the placement of the slit, so maybe i'll sew it up.")</f>
        <v>Timeless skirt. just don't like the placement of the slit, so maybe i'll sew it up.</v>
      </c>
      <c r="F1327" s="8">
        <f>IFERROR(__xludf.DUMMYFUNCTION("""COMPUTED_VALUE"""),5.0)</f>
        <v>5</v>
      </c>
      <c r="G1327" s="8">
        <f>IFERROR(__xludf.DUMMYFUNCTION("""COMPUTED_VALUE"""),1.0)</f>
        <v>1</v>
      </c>
      <c r="H1327" s="8">
        <f>IFERROR(__xludf.DUMMYFUNCTION("""COMPUTED_VALUE"""),1.0)</f>
        <v>1</v>
      </c>
      <c r="I1327" s="8" t="str">
        <f>IFERROR(__xludf.DUMMYFUNCTION("""COMPUTED_VALUE"""),"General Petite")</f>
        <v>General Petite</v>
      </c>
      <c r="J1327" s="8" t="str">
        <f>IFERROR(__xludf.DUMMYFUNCTION("""COMPUTED_VALUE"""),"Bottoms")</f>
        <v>Bottoms</v>
      </c>
      <c r="K1327" s="8" t="str">
        <f>IFERROR(__xludf.DUMMYFUNCTION("""COMPUTED_VALUE"""),"Skirts")</f>
        <v>Skirts</v>
      </c>
    </row>
    <row r="1328">
      <c r="A1328" s="8">
        <f>IFERROR(__xludf.DUMMYFUNCTION("""COMPUTED_VALUE"""),1759.0)</f>
        <v>1759</v>
      </c>
      <c r="B1328" s="8">
        <f>IFERROR(__xludf.DUMMYFUNCTION("""COMPUTED_VALUE"""),1027.0)</f>
        <v>1027</v>
      </c>
      <c r="C1328" s="8">
        <f>IFERROR(__xludf.DUMMYFUNCTION("""COMPUTED_VALUE"""),59.0)</f>
        <v>59</v>
      </c>
      <c r="D1328" s="8" t="str">
        <f>IFERROR(__xludf.DUMMYFUNCTION("""COMPUTED_VALUE"""),"Runs large")</f>
        <v>Runs large</v>
      </c>
      <c r="E1328" s="8" t="str">
        <f>IFERROR(__xludf.DUMMYFUNCTION("""COMPUTED_VALUE"""),"Nice color and cut but runs very big so size down. will need to send back due to on line only. i am hoping one size smaller does the trick.")</f>
        <v>Nice color and cut but runs very big so size down. will need to send back due to on line only. i am hoping one size smaller does the trick.</v>
      </c>
      <c r="F1328" s="8">
        <f>IFERROR(__xludf.DUMMYFUNCTION("""COMPUTED_VALUE"""),5.0)</f>
        <v>5</v>
      </c>
      <c r="G1328" s="8">
        <f>IFERROR(__xludf.DUMMYFUNCTION("""COMPUTED_VALUE"""),1.0)</f>
        <v>1</v>
      </c>
      <c r="H1328" s="8">
        <f>IFERROR(__xludf.DUMMYFUNCTION("""COMPUTED_VALUE"""),2.0)</f>
        <v>2</v>
      </c>
      <c r="I1328" s="8" t="str">
        <f>IFERROR(__xludf.DUMMYFUNCTION("""COMPUTED_VALUE"""),"General")</f>
        <v>General</v>
      </c>
      <c r="J1328" s="8" t="str">
        <f>IFERROR(__xludf.DUMMYFUNCTION("""COMPUTED_VALUE"""),"Bottoms")</f>
        <v>Bottoms</v>
      </c>
      <c r="K1328" s="8" t="str">
        <f>IFERROR(__xludf.DUMMYFUNCTION("""COMPUTED_VALUE"""),"Jeans")</f>
        <v>Jeans</v>
      </c>
    </row>
    <row r="1329">
      <c r="A1329" s="8">
        <f>IFERROR(__xludf.DUMMYFUNCTION("""COMPUTED_VALUE"""),1762.0)</f>
        <v>1762</v>
      </c>
      <c r="B1329" s="8">
        <f>IFERROR(__xludf.DUMMYFUNCTION("""COMPUTED_VALUE"""),867.0)</f>
        <v>867</v>
      </c>
      <c r="C1329" s="8">
        <f>IFERROR(__xludf.DUMMYFUNCTION("""COMPUTED_VALUE"""),56.0)</f>
        <v>56</v>
      </c>
      <c r="D1329" s="8" t="str">
        <f>IFERROR(__xludf.DUMMYFUNCTION("""COMPUTED_VALUE"""),"Flattering top")</f>
        <v>Flattering top</v>
      </c>
      <c r="E1329" s="8" t="str">
        <f>IFERROR(__xludf.DUMMYFUNCTION("""COMPUTED_VALUE"""),"When i first tried this top on, i didn't like it because the chest just spilled open. i saw it on someone else and it was so flattering i gave it another try. i bought it in both the red and the black, and plan to put a stitch or safety pin through the to"&amp;"p to keep it closed. it is very slimming and hides tummy/muffin top issues. i plan to wear it with the stretchy knee length maeve pencil skirts all summer, along with shorts and pants. give this one a try!")</f>
        <v>When i first tried this top on, i didn't like it because the chest just spilled open. i saw it on someone else and it was so flattering i gave it another try. i bought it in both the red and the black, and plan to put a stitch or safety pin through the top to keep it closed. it is very slimming and hides tummy/muffin top issues. i plan to wear it with the stretchy knee length maeve pencil skirts all summer, along with shorts and pants. give this one a try!</v>
      </c>
      <c r="F1329" s="8">
        <f>IFERROR(__xludf.DUMMYFUNCTION("""COMPUTED_VALUE"""),5.0)</f>
        <v>5</v>
      </c>
      <c r="G1329" s="8">
        <f>IFERROR(__xludf.DUMMYFUNCTION("""COMPUTED_VALUE"""),1.0)</f>
        <v>1</v>
      </c>
      <c r="H1329" s="8">
        <f>IFERROR(__xludf.DUMMYFUNCTION("""COMPUTED_VALUE"""),5.0)</f>
        <v>5</v>
      </c>
      <c r="I1329" s="8" t="str">
        <f>IFERROR(__xludf.DUMMYFUNCTION("""COMPUTED_VALUE"""),"General")</f>
        <v>General</v>
      </c>
      <c r="J1329" s="8" t="str">
        <f>IFERROR(__xludf.DUMMYFUNCTION("""COMPUTED_VALUE"""),"Tops")</f>
        <v>Tops</v>
      </c>
      <c r="K1329" s="8" t="str">
        <f>IFERROR(__xludf.DUMMYFUNCTION("""COMPUTED_VALUE"""),"Knits")</f>
        <v>Knits</v>
      </c>
    </row>
    <row r="1330">
      <c r="A1330" s="8">
        <f>IFERROR(__xludf.DUMMYFUNCTION("""COMPUTED_VALUE"""),1763.0)</f>
        <v>1763</v>
      </c>
      <c r="B1330" s="8">
        <f>IFERROR(__xludf.DUMMYFUNCTION("""COMPUTED_VALUE"""),1008.0)</f>
        <v>1008</v>
      </c>
      <c r="C1330" s="8">
        <f>IFERROR(__xludf.DUMMYFUNCTION("""COMPUTED_VALUE"""),45.0)</f>
        <v>45</v>
      </c>
      <c r="D1330" s="8" t="str">
        <f>IFERROR(__xludf.DUMMYFUNCTION("""COMPUTED_VALUE"""),"Great work skirt")</f>
        <v>Great work skirt</v>
      </c>
      <c r="E1330" s="8" t="str">
        <f>IFERROR(__xludf.DUMMYFUNCTION("""COMPUTED_VALUE"""),"This skirt is great to wear to work. nice medium weight. being cotton, it doesn't get to hot. skirt is lined. nice flattering shape. my normal size 4 fit perfect. love the godets. comfortable. doesn't get all wrinkled from sitting. nice royal blue color.")</f>
        <v>This skirt is great to wear to work. nice medium weight. being cotton, it doesn't get to hot. skirt is lined. nice flattering shape. my normal size 4 fit perfect. love the godets. comfortable. doesn't get all wrinkled from sitting. nice royal blue color.</v>
      </c>
      <c r="F1330" s="8">
        <f>IFERROR(__xludf.DUMMYFUNCTION("""COMPUTED_VALUE"""),5.0)</f>
        <v>5</v>
      </c>
      <c r="G1330" s="8">
        <f>IFERROR(__xludf.DUMMYFUNCTION("""COMPUTED_VALUE"""),1.0)</f>
        <v>1</v>
      </c>
      <c r="H1330" s="8">
        <f>IFERROR(__xludf.DUMMYFUNCTION("""COMPUTED_VALUE"""),5.0)</f>
        <v>5</v>
      </c>
      <c r="I1330" s="8" t="str">
        <f>IFERROR(__xludf.DUMMYFUNCTION("""COMPUTED_VALUE"""),"General Petite")</f>
        <v>General Petite</v>
      </c>
      <c r="J1330" s="8" t="str">
        <f>IFERROR(__xludf.DUMMYFUNCTION("""COMPUTED_VALUE"""),"Bottoms")</f>
        <v>Bottoms</v>
      </c>
      <c r="K1330" s="8" t="str">
        <f>IFERROR(__xludf.DUMMYFUNCTION("""COMPUTED_VALUE"""),"Skirts")</f>
        <v>Skirts</v>
      </c>
    </row>
    <row r="1331">
      <c r="A1331" s="8">
        <f>IFERROR(__xludf.DUMMYFUNCTION("""COMPUTED_VALUE"""),1765.0)</f>
        <v>1765</v>
      </c>
      <c r="B1331" s="8">
        <f>IFERROR(__xludf.DUMMYFUNCTION("""COMPUTED_VALUE"""),1008.0)</f>
        <v>1008</v>
      </c>
      <c r="C1331" s="8">
        <f>IFERROR(__xludf.DUMMYFUNCTION("""COMPUTED_VALUE"""),36.0)</f>
        <v>36</v>
      </c>
      <c r="D1331" s="8" t="str">
        <f>IFERROR(__xludf.DUMMYFUNCTION("""COMPUTED_VALUE"""),"Beautiful skirt - get ready for compliments")</f>
        <v>Beautiful skirt - get ready for compliments</v>
      </c>
      <c r="E1331" s="8" t="str">
        <f>IFERROR(__xludf.DUMMYFUNCTION("""COMPUTED_VALUE"""),"I get so many compliments with this skirt! i love almost everything about it. i gave it 4 stars instead of 5 because i find the slit a little annoying. i think it's maybe a little too long (or short, i can't figure it out) but i couldn't pass up this skir"&amp;"t because the pattern is so pretty.
fits true to size, soft fabric, very cute.")</f>
        <v>I get so many compliments with this skirt! i love almost everything about it. i gave it 4 stars instead of 5 because i find the slit a little annoying. i think it's maybe a little too long (or short, i can't figure it out) but i couldn't pass up this skirt because the pattern is so pretty.
fits true to size, soft fabric, very cute.</v>
      </c>
      <c r="F1331" s="8">
        <f>IFERROR(__xludf.DUMMYFUNCTION("""COMPUTED_VALUE"""),4.0)</f>
        <v>4</v>
      </c>
      <c r="G1331" s="8">
        <f>IFERROR(__xludf.DUMMYFUNCTION("""COMPUTED_VALUE"""),1.0)</f>
        <v>1</v>
      </c>
      <c r="H1331" s="8">
        <f>IFERROR(__xludf.DUMMYFUNCTION("""COMPUTED_VALUE"""),1.0)</f>
        <v>1</v>
      </c>
      <c r="I1331" s="8" t="str">
        <f>IFERROR(__xludf.DUMMYFUNCTION("""COMPUTED_VALUE"""),"General Petite")</f>
        <v>General Petite</v>
      </c>
      <c r="J1331" s="8" t="str">
        <f>IFERROR(__xludf.DUMMYFUNCTION("""COMPUTED_VALUE"""),"Bottoms")</f>
        <v>Bottoms</v>
      </c>
      <c r="K1331" s="8" t="str">
        <f>IFERROR(__xludf.DUMMYFUNCTION("""COMPUTED_VALUE"""),"Skirts")</f>
        <v>Skirts</v>
      </c>
    </row>
    <row r="1332">
      <c r="A1332" s="8">
        <f>IFERROR(__xludf.DUMMYFUNCTION("""COMPUTED_VALUE"""),1766.0)</f>
        <v>1766</v>
      </c>
      <c r="B1332" s="8">
        <f>IFERROR(__xludf.DUMMYFUNCTION("""COMPUTED_VALUE"""),1095.0)</f>
        <v>1095</v>
      </c>
      <c r="C1332" s="8">
        <f>IFERROR(__xludf.DUMMYFUNCTION("""COMPUTED_VALUE"""),24.0)</f>
        <v>24</v>
      </c>
      <c r="D1332" s="8" t="str">
        <f>IFERROR(__xludf.DUMMYFUNCTION("""COMPUTED_VALUE"""),"Classic")</f>
        <v>Classic</v>
      </c>
      <c r="E1332" s="8" t="str">
        <f>IFERROR(__xludf.DUMMYFUNCTION("""COMPUTED_VALUE"""),"The dress was great! the zipper was just a little tough but over all a very classic, feminine piece.")</f>
        <v>The dress was great! the zipper was just a little tough but over all a very classic, feminine piece.</v>
      </c>
      <c r="F1332" s="8">
        <f>IFERROR(__xludf.DUMMYFUNCTION("""COMPUTED_VALUE"""),5.0)</f>
        <v>5</v>
      </c>
      <c r="G1332" s="8">
        <f>IFERROR(__xludf.DUMMYFUNCTION("""COMPUTED_VALUE"""),1.0)</f>
        <v>1</v>
      </c>
      <c r="H1332" s="8">
        <f>IFERROR(__xludf.DUMMYFUNCTION("""COMPUTED_VALUE"""),2.0)</f>
        <v>2</v>
      </c>
      <c r="I1332" s="8" t="str">
        <f>IFERROR(__xludf.DUMMYFUNCTION("""COMPUTED_VALUE"""),"General Petite")</f>
        <v>General Petite</v>
      </c>
      <c r="J1332" s="8" t="str">
        <f>IFERROR(__xludf.DUMMYFUNCTION("""COMPUTED_VALUE"""),"Dresses")</f>
        <v>Dresses</v>
      </c>
      <c r="K1332" s="8" t="str">
        <f>IFERROR(__xludf.DUMMYFUNCTION("""COMPUTED_VALUE"""),"Dresses")</f>
        <v>Dresses</v>
      </c>
    </row>
    <row r="1333">
      <c r="A1333" s="8">
        <f>IFERROR(__xludf.DUMMYFUNCTION("""COMPUTED_VALUE"""),1767.0)</f>
        <v>1767</v>
      </c>
      <c r="B1333" s="8">
        <f>IFERROR(__xludf.DUMMYFUNCTION("""COMPUTED_VALUE"""),825.0)</f>
        <v>825</v>
      </c>
      <c r="C1333" s="8">
        <f>IFERROR(__xludf.DUMMYFUNCTION("""COMPUTED_VALUE"""),39.0)</f>
        <v>39</v>
      </c>
      <c r="D1333" s="8" t="str">
        <f>IFERROR(__xludf.DUMMYFUNCTION("""COMPUTED_VALUE"""),"Surprisingly nice in person")</f>
        <v>Surprisingly nice in person</v>
      </c>
      <c r="E1333" s="8" t="str">
        <f>IFERROR(__xludf.DUMMYFUNCTION("""COMPUTED_VALUE"""),"/my friend and i both tried on this shirt just to see how it fit and because it was blue. we were surprised how pretty it si on. a little see-through though, but hte cut hits in the right places (i guess we are not too endowed). she ended up buying it so "&amp;"i passed but very feminie work piece.")</f>
        <v>/my friend and i both tried on this shirt just to see how it fit and because it was blue. we were surprised how pretty it si on. a little see-through though, but hte cut hits in the right places (i guess we are not too endowed). she ended up buying it so i passed but very feminie work piece.</v>
      </c>
      <c r="F1333" s="8">
        <f>IFERROR(__xludf.DUMMYFUNCTION("""COMPUTED_VALUE"""),4.0)</f>
        <v>4</v>
      </c>
      <c r="G1333" s="8">
        <f>IFERROR(__xludf.DUMMYFUNCTION("""COMPUTED_VALUE"""),1.0)</f>
        <v>1</v>
      </c>
      <c r="H1333" s="8">
        <f>IFERROR(__xludf.DUMMYFUNCTION("""COMPUTED_VALUE"""),0.0)</f>
        <v>0</v>
      </c>
      <c r="I1333" s="8" t="str">
        <f>IFERROR(__xludf.DUMMYFUNCTION("""COMPUTED_VALUE"""),"General Petite")</f>
        <v>General Petite</v>
      </c>
      <c r="J1333" s="8" t="str">
        <f>IFERROR(__xludf.DUMMYFUNCTION("""COMPUTED_VALUE"""),"Tops")</f>
        <v>Tops</v>
      </c>
      <c r="K1333" s="8" t="str">
        <f>IFERROR(__xludf.DUMMYFUNCTION("""COMPUTED_VALUE"""),"Blouses")</f>
        <v>Blouses</v>
      </c>
    </row>
    <row r="1334">
      <c r="A1334" s="8">
        <f>IFERROR(__xludf.DUMMYFUNCTION("""COMPUTED_VALUE"""),1768.0)</f>
        <v>1768</v>
      </c>
      <c r="B1334" s="8">
        <f>IFERROR(__xludf.DUMMYFUNCTION("""COMPUTED_VALUE"""),825.0)</f>
        <v>825</v>
      </c>
      <c r="C1334" s="8">
        <f>IFERROR(__xludf.DUMMYFUNCTION("""COMPUTED_VALUE"""),35.0)</f>
        <v>35</v>
      </c>
      <c r="D1334" s="8" t="str">
        <f>IFERROR(__xludf.DUMMYFUNCTION("""COMPUTED_VALUE"""),"Not for my body type")</f>
        <v>Not for my body type</v>
      </c>
      <c r="E1334" s="8" t="str">
        <f>IFERROR(__xludf.DUMMYFUNCTION("""COMPUTED_VALUE"""),"Love this button down, but i couldn't make it work. i'm 5'4"", 32b, and usually buy tops in a regular xs or s. i bought this top in a small and it was loose fitting which i liked, but too long for me causing the pleats to flare out more than i liked. the "&amp;"shirt is also pretty sheer, wear a skin colored bra unless you want it noticed. the material was soft and looked like good quality.")</f>
        <v>Love this button down, but i couldn't make it work. i'm 5'4", 32b, and usually buy tops in a regular xs or s. i bought this top in a small and it was loose fitting which i liked, but too long for me causing the pleats to flare out more than i liked. the shirt is also pretty sheer, wear a skin colored bra unless you want it noticed. the material was soft and looked like good quality.</v>
      </c>
      <c r="F1334" s="8">
        <f>IFERROR(__xludf.DUMMYFUNCTION("""COMPUTED_VALUE"""),4.0)</f>
        <v>4</v>
      </c>
      <c r="G1334" s="8">
        <f>IFERROR(__xludf.DUMMYFUNCTION("""COMPUTED_VALUE"""),1.0)</f>
        <v>1</v>
      </c>
      <c r="H1334" s="8">
        <f>IFERROR(__xludf.DUMMYFUNCTION("""COMPUTED_VALUE"""),0.0)</f>
        <v>0</v>
      </c>
      <c r="I1334" s="8" t="str">
        <f>IFERROR(__xludf.DUMMYFUNCTION("""COMPUTED_VALUE"""),"General Petite")</f>
        <v>General Petite</v>
      </c>
      <c r="J1334" s="8" t="str">
        <f>IFERROR(__xludf.DUMMYFUNCTION("""COMPUTED_VALUE"""),"Tops")</f>
        <v>Tops</v>
      </c>
      <c r="K1334" s="8" t="str">
        <f>IFERROR(__xludf.DUMMYFUNCTION("""COMPUTED_VALUE"""),"Blouses")</f>
        <v>Blouses</v>
      </c>
    </row>
    <row r="1335">
      <c r="A1335" s="8">
        <f>IFERROR(__xludf.DUMMYFUNCTION("""COMPUTED_VALUE"""),1771.0)</f>
        <v>1771</v>
      </c>
      <c r="B1335" s="8">
        <f>IFERROR(__xludf.DUMMYFUNCTION("""COMPUTED_VALUE"""),867.0)</f>
        <v>867</v>
      </c>
      <c r="C1335" s="8">
        <f>IFERROR(__xludf.DUMMYFUNCTION("""COMPUTED_VALUE"""),46.0)</f>
        <v>46</v>
      </c>
      <c r="D1335" s="8" t="str">
        <f>IFERROR(__xludf.DUMMYFUNCTION("""COMPUTED_VALUE"""),"Red in xl is pretty")</f>
        <v>Red in xl is pretty</v>
      </c>
      <c r="E1335" s="8" t="str">
        <f>IFERROR(__xludf.DUMMYFUNCTION("""COMPUTED_VALUE"""),"I ordered one of the xl in the red version. the fit is true to size. it matches the model's photos. the color is much prettier in person. it looks washed-out on my computer. but, in person, it's a nice light red. the quality of the material is okay. not a"&amp;"s good as with the floral version of this style (florascura tank). the layers are flattering for my pear-shape. it definitely needs a tank underneath though. not worth full-price in my opinion but worth getting on sale.")</f>
        <v>I ordered one of the xl in the red version. the fit is true to size. it matches the model's photos. the color is much prettier in person. it looks washed-out on my computer. but, in person, it's a nice light red. the quality of the material is okay. not as good as with the floral version of this style (florascura tank). the layers are flattering for my pear-shape. it definitely needs a tank underneath though. not worth full-price in my opinion but worth getting on sale.</v>
      </c>
      <c r="F1335" s="8">
        <f>IFERROR(__xludf.DUMMYFUNCTION("""COMPUTED_VALUE"""),4.0)</f>
        <v>4</v>
      </c>
      <c r="G1335" s="8">
        <f>IFERROR(__xludf.DUMMYFUNCTION("""COMPUTED_VALUE"""),1.0)</f>
        <v>1</v>
      </c>
      <c r="H1335" s="8">
        <f>IFERROR(__xludf.DUMMYFUNCTION("""COMPUTED_VALUE"""),0.0)</f>
        <v>0</v>
      </c>
      <c r="I1335" s="8" t="str">
        <f>IFERROR(__xludf.DUMMYFUNCTION("""COMPUTED_VALUE"""),"General")</f>
        <v>General</v>
      </c>
      <c r="J1335" s="8" t="str">
        <f>IFERROR(__xludf.DUMMYFUNCTION("""COMPUTED_VALUE"""),"Tops")</f>
        <v>Tops</v>
      </c>
      <c r="K1335" s="8" t="str">
        <f>IFERROR(__xludf.DUMMYFUNCTION("""COMPUTED_VALUE"""),"Knits")</f>
        <v>Knits</v>
      </c>
    </row>
    <row r="1336">
      <c r="A1336" s="8">
        <f>IFERROR(__xludf.DUMMYFUNCTION("""COMPUTED_VALUE"""),1772.0)</f>
        <v>1772</v>
      </c>
      <c r="B1336" s="8">
        <f>IFERROR(__xludf.DUMMYFUNCTION("""COMPUTED_VALUE"""),1095.0)</f>
        <v>1095</v>
      </c>
      <c r="C1336" s="8">
        <f>IFERROR(__xludf.DUMMYFUNCTION("""COMPUTED_VALUE"""),35.0)</f>
        <v>35</v>
      </c>
      <c r="D1336" s="8" t="str">
        <f>IFERROR(__xludf.DUMMYFUNCTION("""COMPUTED_VALUE"""),"Size up!")</f>
        <v>Size up!</v>
      </c>
      <c r="E1336" s="8" t="str">
        <f>IFERROR(__xludf.DUMMYFUNCTION("""COMPUTED_VALUE"""),"Adorable dress. could hardly get the zipper up in my very typical size 4. i will order a 6 and am hoping it will work out!")</f>
        <v>Adorable dress. could hardly get the zipper up in my very typical size 4. i will order a 6 and am hoping it will work out!</v>
      </c>
      <c r="F1336" s="8">
        <f>IFERROR(__xludf.DUMMYFUNCTION("""COMPUTED_VALUE"""),5.0)</f>
        <v>5</v>
      </c>
      <c r="G1336" s="8">
        <f>IFERROR(__xludf.DUMMYFUNCTION("""COMPUTED_VALUE"""),1.0)</f>
        <v>1</v>
      </c>
      <c r="H1336" s="8">
        <f>IFERROR(__xludf.DUMMYFUNCTION("""COMPUTED_VALUE"""),0.0)</f>
        <v>0</v>
      </c>
      <c r="I1336" s="8" t="str">
        <f>IFERROR(__xludf.DUMMYFUNCTION("""COMPUTED_VALUE"""),"General Petite")</f>
        <v>General Petite</v>
      </c>
      <c r="J1336" s="8" t="str">
        <f>IFERROR(__xludf.DUMMYFUNCTION("""COMPUTED_VALUE"""),"Dresses")</f>
        <v>Dresses</v>
      </c>
      <c r="K1336" s="8" t="str">
        <f>IFERROR(__xludf.DUMMYFUNCTION("""COMPUTED_VALUE"""),"Dresses")</f>
        <v>Dresses</v>
      </c>
    </row>
    <row r="1337">
      <c r="A1337" s="8">
        <f>IFERROR(__xludf.DUMMYFUNCTION("""COMPUTED_VALUE"""),1774.0)</f>
        <v>1774</v>
      </c>
      <c r="B1337" s="8">
        <f>IFERROR(__xludf.DUMMYFUNCTION("""COMPUTED_VALUE"""),1095.0)</f>
        <v>1095</v>
      </c>
      <c r="C1337" s="8">
        <f>IFERROR(__xludf.DUMMYFUNCTION("""COMPUTED_VALUE"""),70.0)</f>
        <v>70</v>
      </c>
      <c r="D1337" s="8" t="str">
        <f>IFERROR(__xludf.DUMMYFUNCTION("""COMPUTED_VALUE"""),"Unique dress")</f>
        <v>Unique dress</v>
      </c>
      <c r="E1337" s="8" t="str">
        <f>IFERROR(__xludf.DUMMYFUNCTION("""COMPUTED_VALUE"""),"I love the unique design of this dress.  it also has a nice thick material.  the top part runs small.  i'm normally between size 6 and 8.  i bought this dress in size 10 and the top part is still snug, whilst size 12 is too loose.  the bottom part has a n"&amp;"ice flowy material with pockets.  since the top part is snug, it will best not to wear a bra plus the thick material will provide a nice support.  the down side of this dress is that the straps are running long.  i have a short torso, so there's")</f>
        <v>I love the unique design of this dress.  it also has a nice thick material.  the top part runs small.  i'm normally between size 6 and 8.  i bought this dress in size 10 and the top part is still snug, whilst size 12 is too loose.  the bottom part has a nice flowy material with pockets.  since the top part is snug, it will best not to wear a bra plus the thick material will provide a nice support.  the down side of this dress is that the straps are running long.  i have a short torso, so there's</v>
      </c>
      <c r="F1337" s="8">
        <f>IFERROR(__xludf.DUMMYFUNCTION("""COMPUTED_VALUE"""),4.0)</f>
        <v>4</v>
      </c>
      <c r="G1337" s="8">
        <f>IFERROR(__xludf.DUMMYFUNCTION("""COMPUTED_VALUE"""),1.0)</f>
        <v>1</v>
      </c>
      <c r="H1337" s="8">
        <f>IFERROR(__xludf.DUMMYFUNCTION("""COMPUTED_VALUE"""),0.0)</f>
        <v>0</v>
      </c>
      <c r="I1337" s="8" t="str">
        <f>IFERROR(__xludf.DUMMYFUNCTION("""COMPUTED_VALUE"""),"General Petite")</f>
        <v>General Petite</v>
      </c>
      <c r="J1337" s="8" t="str">
        <f>IFERROR(__xludf.DUMMYFUNCTION("""COMPUTED_VALUE"""),"Dresses")</f>
        <v>Dresses</v>
      </c>
      <c r="K1337" s="8" t="str">
        <f>IFERROR(__xludf.DUMMYFUNCTION("""COMPUTED_VALUE"""),"Dresses")</f>
        <v>Dresses</v>
      </c>
    </row>
    <row r="1338">
      <c r="A1338" s="8">
        <f>IFERROR(__xludf.DUMMYFUNCTION("""COMPUTED_VALUE"""),1775.0)</f>
        <v>1775</v>
      </c>
      <c r="B1338" s="8">
        <f>IFERROR(__xludf.DUMMYFUNCTION("""COMPUTED_VALUE"""),867.0)</f>
        <v>867</v>
      </c>
      <c r="C1338" s="8">
        <f>IFERROR(__xludf.DUMMYFUNCTION("""COMPUTED_VALUE"""),53.0)</f>
        <v>53</v>
      </c>
      <c r="D1338" s="8" t="str">
        <f>IFERROR(__xludf.DUMMYFUNCTION("""COMPUTED_VALUE"""),"Great top!")</f>
        <v>Great top!</v>
      </c>
      <c r="E1338" s="8" t="str">
        <f>IFERROR(__xludf.DUMMYFUNCTION("""COMPUTED_VALUE"""),"This top isn't so much on the hanger but very cute once you try it. the neckline is really cut low so a pin or stitch is necessary. the length on the regular is perfect for my shorter body. if you have a long torso it might not work for you. love how the "&amp;"layers conceal but do not overwhelm your body.  i purchased my regular size medium in black. for reference: 5'6"", 145 lbs, 34dd.")</f>
        <v>This top isn't so much on the hanger but very cute once you try it. the neckline is really cut low so a pin or stitch is necessary. the length on the regular is perfect for my shorter body. if you have a long torso it might not work for you. love how the layers conceal but do not overwhelm your body.  i purchased my regular size medium in black. for reference: 5'6", 145 lbs, 34dd.</v>
      </c>
      <c r="F1338" s="8">
        <f>IFERROR(__xludf.DUMMYFUNCTION("""COMPUTED_VALUE"""),4.0)</f>
        <v>4</v>
      </c>
      <c r="G1338" s="8">
        <f>IFERROR(__xludf.DUMMYFUNCTION("""COMPUTED_VALUE"""),1.0)</f>
        <v>1</v>
      </c>
      <c r="H1338" s="8">
        <f>IFERROR(__xludf.DUMMYFUNCTION("""COMPUTED_VALUE"""),2.0)</f>
        <v>2</v>
      </c>
      <c r="I1338" s="8" t="str">
        <f>IFERROR(__xludf.DUMMYFUNCTION("""COMPUTED_VALUE"""),"General")</f>
        <v>General</v>
      </c>
      <c r="J1338" s="8" t="str">
        <f>IFERROR(__xludf.DUMMYFUNCTION("""COMPUTED_VALUE"""),"Tops")</f>
        <v>Tops</v>
      </c>
      <c r="K1338" s="8" t="str">
        <f>IFERROR(__xludf.DUMMYFUNCTION("""COMPUTED_VALUE"""),"Knits")</f>
        <v>Knits</v>
      </c>
    </row>
    <row r="1339">
      <c r="A1339" s="8">
        <f>IFERROR(__xludf.DUMMYFUNCTION("""COMPUTED_VALUE"""),1776.0)</f>
        <v>1776</v>
      </c>
      <c r="B1339" s="8">
        <f>IFERROR(__xludf.DUMMYFUNCTION("""COMPUTED_VALUE"""),1008.0)</f>
        <v>1008</v>
      </c>
      <c r="C1339" s="8">
        <f>IFERROR(__xludf.DUMMYFUNCTION("""COMPUTED_VALUE"""),35.0)</f>
        <v>35</v>
      </c>
      <c r="D1339" s="8"/>
      <c r="E1339" s="8" t="str">
        <f>IFERROR(__xludf.DUMMYFUNCTION("""COMPUTED_VALUE"""),"Love love love this skirt. i walked into retailer in august not looking to buy this skirt even though i saw it in the catalog and thought it was cute. once i tried it on i fell in love. i purchased both black and blue. super flattering and true to size. i"&amp;"ts a must have for sure.")</f>
        <v>Love love love this skirt. i walked into retailer in august not looking to buy this skirt even though i saw it in the catalog and thought it was cute. once i tried it on i fell in love. i purchased both black and blue. super flattering and true to size. its a must have for sure.</v>
      </c>
      <c r="F1339" s="8">
        <f>IFERROR(__xludf.DUMMYFUNCTION("""COMPUTED_VALUE"""),5.0)</f>
        <v>5</v>
      </c>
      <c r="G1339" s="8">
        <f>IFERROR(__xludf.DUMMYFUNCTION("""COMPUTED_VALUE"""),1.0)</f>
        <v>1</v>
      </c>
      <c r="H1339" s="8">
        <f>IFERROR(__xludf.DUMMYFUNCTION("""COMPUTED_VALUE"""),0.0)</f>
        <v>0</v>
      </c>
      <c r="I1339" s="8" t="str">
        <f>IFERROR(__xludf.DUMMYFUNCTION("""COMPUTED_VALUE"""),"General Petite")</f>
        <v>General Petite</v>
      </c>
      <c r="J1339" s="8" t="str">
        <f>IFERROR(__xludf.DUMMYFUNCTION("""COMPUTED_VALUE"""),"Bottoms")</f>
        <v>Bottoms</v>
      </c>
      <c r="K1339" s="8" t="str">
        <f>IFERROR(__xludf.DUMMYFUNCTION("""COMPUTED_VALUE"""),"Skirts")</f>
        <v>Skirts</v>
      </c>
    </row>
    <row r="1340">
      <c r="A1340" s="8">
        <f>IFERROR(__xludf.DUMMYFUNCTION("""COMPUTED_VALUE"""),1777.0)</f>
        <v>1777</v>
      </c>
      <c r="B1340" s="8">
        <f>IFERROR(__xludf.DUMMYFUNCTION("""COMPUTED_VALUE"""),1095.0)</f>
        <v>1095</v>
      </c>
      <c r="C1340" s="8">
        <f>IFERROR(__xludf.DUMMYFUNCTION("""COMPUTED_VALUE"""),24.0)</f>
        <v>24</v>
      </c>
      <c r="D1340" s="8"/>
      <c r="E1340" s="8" t="str">
        <f>IFERROR(__xludf.DUMMYFUNCTION("""COMPUTED_VALUE"""),"The design on this dress is so cute. it runs really small. i had to go up from my normal size 4 to a 6. i am not well endowed so the top was great on me. it's looks great on once k got a size that works.")</f>
        <v>The design on this dress is so cute. it runs really small. i had to go up from my normal size 4 to a 6. i am not well endowed so the top was great on me. it's looks great on once k got a size that works.</v>
      </c>
      <c r="F1340" s="8">
        <f>IFERROR(__xludf.DUMMYFUNCTION("""COMPUTED_VALUE"""),4.0)</f>
        <v>4</v>
      </c>
      <c r="G1340" s="8">
        <f>IFERROR(__xludf.DUMMYFUNCTION("""COMPUTED_VALUE"""),1.0)</f>
        <v>1</v>
      </c>
      <c r="H1340" s="8">
        <f>IFERROR(__xludf.DUMMYFUNCTION("""COMPUTED_VALUE"""),0.0)</f>
        <v>0</v>
      </c>
      <c r="I1340" s="8" t="str">
        <f>IFERROR(__xludf.DUMMYFUNCTION("""COMPUTED_VALUE"""),"General Petite")</f>
        <v>General Petite</v>
      </c>
      <c r="J1340" s="8" t="str">
        <f>IFERROR(__xludf.DUMMYFUNCTION("""COMPUTED_VALUE"""),"Dresses")</f>
        <v>Dresses</v>
      </c>
      <c r="K1340" s="8" t="str">
        <f>IFERROR(__xludf.DUMMYFUNCTION("""COMPUTED_VALUE"""),"Dresses")</f>
        <v>Dresses</v>
      </c>
    </row>
    <row r="1341">
      <c r="A1341" s="8">
        <f>IFERROR(__xludf.DUMMYFUNCTION("""COMPUTED_VALUE"""),1778.0)</f>
        <v>1778</v>
      </c>
      <c r="B1341" s="8">
        <f>IFERROR(__xludf.DUMMYFUNCTION("""COMPUTED_VALUE"""),1008.0)</f>
        <v>1008</v>
      </c>
      <c r="C1341" s="8">
        <f>IFERROR(__xludf.DUMMYFUNCTION("""COMPUTED_VALUE"""),30.0)</f>
        <v>30</v>
      </c>
      <c r="D1341" s="8" t="str">
        <f>IFERROR(__xludf.DUMMYFUNCTION("""COMPUTED_VALUE"""),"Love this skirt!!!")</f>
        <v>Love this skirt!!!</v>
      </c>
      <c r="E1341" s="8" t="str">
        <f>IFERROR(__xludf.DUMMYFUNCTION("""COMPUTED_VALUE"""),"This skirt is everything i love about retailer. the fit, style and quality are amazing. i feel like a am wearing a piece of art. it is so unique and fits perfectly. way to go retailer!!")</f>
        <v>This skirt is everything i love about retailer. the fit, style and quality are amazing. i feel like a am wearing a piece of art. it is so unique and fits perfectly. way to go retailer!!</v>
      </c>
      <c r="F1341" s="8">
        <f>IFERROR(__xludf.DUMMYFUNCTION("""COMPUTED_VALUE"""),5.0)</f>
        <v>5</v>
      </c>
      <c r="G1341" s="8">
        <f>IFERROR(__xludf.DUMMYFUNCTION("""COMPUTED_VALUE"""),1.0)</f>
        <v>1</v>
      </c>
      <c r="H1341" s="8">
        <f>IFERROR(__xludf.DUMMYFUNCTION("""COMPUTED_VALUE"""),0.0)</f>
        <v>0</v>
      </c>
      <c r="I1341" s="8" t="str">
        <f>IFERROR(__xludf.DUMMYFUNCTION("""COMPUTED_VALUE"""),"General Petite")</f>
        <v>General Petite</v>
      </c>
      <c r="J1341" s="8" t="str">
        <f>IFERROR(__xludf.DUMMYFUNCTION("""COMPUTED_VALUE"""),"Bottoms")</f>
        <v>Bottoms</v>
      </c>
      <c r="K1341" s="8" t="str">
        <f>IFERROR(__xludf.DUMMYFUNCTION("""COMPUTED_VALUE"""),"Skirts")</f>
        <v>Skirts</v>
      </c>
    </row>
    <row r="1342">
      <c r="A1342" s="8">
        <f>IFERROR(__xludf.DUMMYFUNCTION("""COMPUTED_VALUE"""),1779.0)</f>
        <v>1779</v>
      </c>
      <c r="B1342" s="8">
        <f>IFERROR(__xludf.DUMMYFUNCTION("""COMPUTED_VALUE"""),1008.0)</f>
        <v>1008</v>
      </c>
      <c r="C1342" s="8">
        <f>IFERROR(__xludf.DUMMYFUNCTION("""COMPUTED_VALUE"""),36.0)</f>
        <v>36</v>
      </c>
      <c r="D1342" s="8"/>
      <c r="E1342" s="8" t="str">
        <f>IFERROR(__xludf.DUMMYFUNCTION("""COMPUTED_VALUE"""),"Gorgeous skirt. runs a bit big.  well made. perfect for the office and super comfy.")</f>
        <v>Gorgeous skirt. runs a bit big.  well made. perfect for the office and super comfy.</v>
      </c>
      <c r="F1342" s="8">
        <f>IFERROR(__xludf.DUMMYFUNCTION("""COMPUTED_VALUE"""),5.0)</f>
        <v>5</v>
      </c>
      <c r="G1342" s="8">
        <f>IFERROR(__xludf.DUMMYFUNCTION("""COMPUTED_VALUE"""),1.0)</f>
        <v>1</v>
      </c>
      <c r="H1342" s="8">
        <f>IFERROR(__xludf.DUMMYFUNCTION("""COMPUTED_VALUE"""),2.0)</f>
        <v>2</v>
      </c>
      <c r="I1342" s="8" t="str">
        <f>IFERROR(__xludf.DUMMYFUNCTION("""COMPUTED_VALUE"""),"General Petite")</f>
        <v>General Petite</v>
      </c>
      <c r="J1342" s="8" t="str">
        <f>IFERROR(__xludf.DUMMYFUNCTION("""COMPUTED_VALUE"""),"Bottoms")</f>
        <v>Bottoms</v>
      </c>
      <c r="K1342" s="8" t="str">
        <f>IFERROR(__xludf.DUMMYFUNCTION("""COMPUTED_VALUE"""),"Skirts")</f>
        <v>Skirts</v>
      </c>
    </row>
    <row r="1343">
      <c r="A1343" s="8">
        <f>IFERROR(__xludf.DUMMYFUNCTION("""COMPUTED_VALUE"""),1781.0)</f>
        <v>1781</v>
      </c>
      <c r="B1343" s="8">
        <f>IFERROR(__xludf.DUMMYFUNCTION("""COMPUTED_VALUE"""),867.0)</f>
        <v>867</v>
      </c>
      <c r="C1343" s="8">
        <f>IFERROR(__xludf.DUMMYFUNCTION("""COMPUTED_VALUE"""),34.0)</f>
        <v>34</v>
      </c>
      <c r="D1343" s="8" t="str">
        <f>IFERROR(__xludf.DUMMYFUNCTION("""COMPUTED_VALUE"""),"Lovely top!")</f>
        <v>Lovely top!</v>
      </c>
      <c r="E1343" s="8" t="str">
        <f>IFERROR(__xludf.DUMMYFUNCTION("""COMPUTED_VALUE"""),"This is one of the best date night tops i've seen in a while. i'm 5'6, 120 lbs and the xs is perfect. the fit is spot on and the fabric feels nice. i will need a teeny tiny safety pin to keep the front closed, but i do that often so i don't see it as a de"&amp;"sign flaw.")</f>
        <v>This is one of the best date night tops i've seen in a while. i'm 5'6, 120 lbs and the xs is perfect. the fit is spot on and the fabric feels nice. i will need a teeny tiny safety pin to keep the front closed, but i do that often so i don't see it as a design flaw.</v>
      </c>
      <c r="F1343" s="8">
        <f>IFERROR(__xludf.DUMMYFUNCTION("""COMPUTED_VALUE"""),5.0)</f>
        <v>5</v>
      </c>
      <c r="G1343" s="8">
        <f>IFERROR(__xludf.DUMMYFUNCTION("""COMPUTED_VALUE"""),1.0)</f>
        <v>1</v>
      </c>
      <c r="H1343" s="8">
        <f>IFERROR(__xludf.DUMMYFUNCTION("""COMPUTED_VALUE"""),2.0)</f>
        <v>2</v>
      </c>
      <c r="I1343" s="8" t="str">
        <f>IFERROR(__xludf.DUMMYFUNCTION("""COMPUTED_VALUE"""),"General")</f>
        <v>General</v>
      </c>
      <c r="J1343" s="8" t="str">
        <f>IFERROR(__xludf.DUMMYFUNCTION("""COMPUTED_VALUE"""),"Tops")</f>
        <v>Tops</v>
      </c>
      <c r="K1343" s="8" t="str">
        <f>IFERROR(__xludf.DUMMYFUNCTION("""COMPUTED_VALUE"""),"Knits")</f>
        <v>Knits</v>
      </c>
    </row>
    <row r="1344">
      <c r="A1344" s="8">
        <f>IFERROR(__xludf.DUMMYFUNCTION("""COMPUTED_VALUE"""),1782.0)</f>
        <v>1782</v>
      </c>
      <c r="B1344" s="8">
        <f>IFERROR(__xludf.DUMMYFUNCTION("""COMPUTED_VALUE"""),1008.0)</f>
        <v>1008</v>
      </c>
      <c r="C1344" s="8">
        <f>IFERROR(__xludf.DUMMYFUNCTION("""COMPUTED_VALUE"""),41.0)</f>
        <v>41</v>
      </c>
      <c r="D1344" s="8" t="str">
        <f>IFERROR(__xludf.DUMMYFUNCTION("""COMPUTED_VALUE"""),"Perfect skirt")</f>
        <v>Perfect skirt</v>
      </c>
      <c r="E1344" s="8" t="str">
        <f>IFERROR(__xludf.DUMMYFUNCTION("""COMPUTED_VALUE"""),"Despite being a knit, this skirt holds its shape and is absolutely perfect. it goes with everything and is extremely comfortable.")</f>
        <v>Despite being a knit, this skirt holds its shape and is absolutely perfect. it goes with everything and is extremely comfortable.</v>
      </c>
      <c r="F1344" s="8">
        <f>IFERROR(__xludf.DUMMYFUNCTION("""COMPUTED_VALUE"""),5.0)</f>
        <v>5</v>
      </c>
      <c r="G1344" s="8">
        <f>IFERROR(__xludf.DUMMYFUNCTION("""COMPUTED_VALUE"""),1.0)</f>
        <v>1</v>
      </c>
      <c r="H1344" s="8">
        <f>IFERROR(__xludf.DUMMYFUNCTION("""COMPUTED_VALUE"""),0.0)</f>
        <v>0</v>
      </c>
      <c r="I1344" s="8" t="str">
        <f>IFERROR(__xludf.DUMMYFUNCTION("""COMPUTED_VALUE"""),"General Petite")</f>
        <v>General Petite</v>
      </c>
      <c r="J1344" s="8" t="str">
        <f>IFERROR(__xludf.DUMMYFUNCTION("""COMPUTED_VALUE"""),"Bottoms")</f>
        <v>Bottoms</v>
      </c>
      <c r="K1344" s="8" t="str">
        <f>IFERROR(__xludf.DUMMYFUNCTION("""COMPUTED_VALUE"""),"Skirts")</f>
        <v>Skirts</v>
      </c>
    </row>
    <row r="1345">
      <c r="A1345" s="8">
        <f>IFERROR(__xludf.DUMMYFUNCTION("""COMPUTED_VALUE"""),1783.0)</f>
        <v>1783</v>
      </c>
      <c r="B1345" s="8">
        <f>IFERROR(__xludf.DUMMYFUNCTION("""COMPUTED_VALUE"""),1095.0)</f>
        <v>1095</v>
      </c>
      <c r="C1345" s="8">
        <f>IFERROR(__xludf.DUMMYFUNCTION("""COMPUTED_VALUE"""),41.0)</f>
        <v>41</v>
      </c>
      <c r="D1345" s="8" t="str">
        <f>IFERROR(__xludf.DUMMYFUNCTION("""COMPUTED_VALUE"""),"Surprisingly flattering...plus pockets!!!")</f>
        <v>Surprisingly flattering...plus pockets!!!</v>
      </c>
      <c r="E1345" s="8" t="str">
        <f>IFERROR(__xludf.DUMMYFUNCTION("""COMPUTED_VALUE"""),"I tried this dress on in my local retailer and was pleasantly surprised. it fit!!!...and looked cute. as other reviewers have mentioned, it runs small, but it is super stretchy, especially in the top portion. with that said, it accommodated my bust! i hav"&amp;"e a 32g bust, and it possess a problem for me when i try to buy dresses. the top of this dress is pure elastic, so it works. the dress stretches on top, but comes back inward on the body?so i can show off my curves. i have no idea what bra i can w")</f>
        <v>I tried this dress on in my local retailer and was pleasantly surprised. it fit!!!...and looked cute. as other reviewers have mentioned, it runs small, but it is super stretchy, especially in the top portion. with that said, it accommodated my bust! i have a 32g bust, and it possess a problem for me when i try to buy dresses. the top of this dress is pure elastic, so it works. the dress stretches on top, but comes back inward on the body?so i can show off my curves. i have no idea what bra i can w</v>
      </c>
      <c r="F1345" s="8">
        <f>IFERROR(__xludf.DUMMYFUNCTION("""COMPUTED_VALUE"""),4.0)</f>
        <v>4</v>
      </c>
      <c r="G1345" s="8">
        <f>IFERROR(__xludf.DUMMYFUNCTION("""COMPUTED_VALUE"""),1.0)</f>
        <v>1</v>
      </c>
      <c r="H1345" s="8">
        <f>IFERROR(__xludf.DUMMYFUNCTION("""COMPUTED_VALUE"""),0.0)</f>
        <v>0</v>
      </c>
      <c r="I1345" s="8" t="str">
        <f>IFERROR(__xludf.DUMMYFUNCTION("""COMPUTED_VALUE"""),"General Petite")</f>
        <v>General Petite</v>
      </c>
      <c r="J1345" s="8" t="str">
        <f>IFERROR(__xludf.DUMMYFUNCTION("""COMPUTED_VALUE"""),"Dresses")</f>
        <v>Dresses</v>
      </c>
      <c r="K1345" s="8" t="str">
        <f>IFERROR(__xludf.DUMMYFUNCTION("""COMPUTED_VALUE"""),"Dresses")</f>
        <v>Dresses</v>
      </c>
    </row>
    <row r="1346">
      <c r="A1346" s="8">
        <f>IFERROR(__xludf.DUMMYFUNCTION("""COMPUTED_VALUE"""),1784.0)</f>
        <v>1784</v>
      </c>
      <c r="B1346" s="8">
        <f>IFERROR(__xludf.DUMMYFUNCTION("""COMPUTED_VALUE"""),825.0)</f>
        <v>825</v>
      </c>
      <c r="C1346" s="8">
        <f>IFERROR(__xludf.DUMMYFUNCTION("""COMPUTED_VALUE"""),37.0)</f>
        <v>37</v>
      </c>
      <c r="D1346" s="8"/>
      <c r="E1346" s="8" t="str">
        <f>IFERROR(__xludf.DUMMYFUNCTION("""COMPUTED_VALUE"""),"Unexpected delight! great top that can be dressed up or down. the only con is a little small through the bust.")</f>
        <v>Unexpected delight! great top that can be dressed up or down. the only con is a little small through the bust.</v>
      </c>
      <c r="F1346" s="8">
        <f>IFERROR(__xludf.DUMMYFUNCTION("""COMPUTED_VALUE"""),4.0)</f>
        <v>4</v>
      </c>
      <c r="G1346" s="8">
        <f>IFERROR(__xludf.DUMMYFUNCTION("""COMPUTED_VALUE"""),1.0)</f>
        <v>1</v>
      </c>
      <c r="H1346" s="8">
        <f>IFERROR(__xludf.DUMMYFUNCTION("""COMPUTED_VALUE"""),0.0)</f>
        <v>0</v>
      </c>
      <c r="I1346" s="8" t="str">
        <f>IFERROR(__xludf.DUMMYFUNCTION("""COMPUTED_VALUE"""),"General Petite")</f>
        <v>General Petite</v>
      </c>
      <c r="J1346" s="8" t="str">
        <f>IFERROR(__xludf.DUMMYFUNCTION("""COMPUTED_VALUE"""),"Tops")</f>
        <v>Tops</v>
      </c>
      <c r="K1346" s="8" t="str">
        <f>IFERROR(__xludf.DUMMYFUNCTION("""COMPUTED_VALUE"""),"Blouses")</f>
        <v>Blouses</v>
      </c>
    </row>
    <row r="1347">
      <c r="A1347" s="8">
        <f>IFERROR(__xludf.DUMMYFUNCTION("""COMPUTED_VALUE"""),1785.0)</f>
        <v>1785</v>
      </c>
      <c r="B1347" s="8">
        <f>IFERROR(__xludf.DUMMYFUNCTION("""COMPUTED_VALUE"""),825.0)</f>
        <v>825</v>
      </c>
      <c r="C1347" s="8">
        <f>IFERROR(__xludf.DUMMYFUNCTION("""COMPUTED_VALUE"""),43.0)</f>
        <v>43</v>
      </c>
      <c r="D1347" s="8" t="str">
        <f>IFERROR(__xludf.DUMMYFUNCTION("""COMPUTED_VALUE"""),"Very flattering fit")</f>
        <v>Very flattering fit</v>
      </c>
      <c r="E1347" s="8" t="str">
        <f>IFERROR(__xludf.DUMMYFUNCTION("""COMPUTED_VALUE"""),"Love this shirt, very flattering fit on my pear shape. also accommodates my larger 32dd bust without straining on the buttons. ever so slightly sheer fabric, but no cami needed if wearing a nude bra.")</f>
        <v>Love this shirt, very flattering fit on my pear shape. also accommodates my larger 32dd bust without straining on the buttons. ever so slightly sheer fabric, but no cami needed if wearing a nude bra.</v>
      </c>
      <c r="F1347" s="8">
        <f>IFERROR(__xludf.DUMMYFUNCTION("""COMPUTED_VALUE"""),5.0)</f>
        <v>5</v>
      </c>
      <c r="G1347" s="8">
        <f>IFERROR(__xludf.DUMMYFUNCTION("""COMPUTED_VALUE"""),1.0)</f>
        <v>1</v>
      </c>
      <c r="H1347" s="8">
        <f>IFERROR(__xludf.DUMMYFUNCTION("""COMPUTED_VALUE"""),0.0)</f>
        <v>0</v>
      </c>
      <c r="I1347" s="8" t="str">
        <f>IFERROR(__xludf.DUMMYFUNCTION("""COMPUTED_VALUE"""),"General Petite")</f>
        <v>General Petite</v>
      </c>
      <c r="J1347" s="8" t="str">
        <f>IFERROR(__xludf.DUMMYFUNCTION("""COMPUTED_VALUE"""),"Tops")</f>
        <v>Tops</v>
      </c>
      <c r="K1347" s="8" t="str">
        <f>IFERROR(__xludf.DUMMYFUNCTION("""COMPUTED_VALUE"""),"Blouses")</f>
        <v>Blouses</v>
      </c>
    </row>
    <row r="1348">
      <c r="A1348" s="8">
        <f>IFERROR(__xludf.DUMMYFUNCTION("""COMPUTED_VALUE"""),1787.0)</f>
        <v>1787</v>
      </c>
      <c r="B1348" s="8">
        <f>IFERROR(__xludf.DUMMYFUNCTION("""COMPUTED_VALUE"""),867.0)</f>
        <v>867</v>
      </c>
      <c r="C1348" s="8">
        <f>IFERROR(__xludf.DUMMYFUNCTION("""COMPUTED_VALUE"""),32.0)</f>
        <v>32</v>
      </c>
      <c r="D1348" s="8" t="str">
        <f>IFERROR(__xludf.DUMMYFUNCTION("""COMPUTED_VALUE"""),"Beautiful drape, very deep v")</f>
        <v>Beautiful drape, very deep v</v>
      </c>
      <c r="E1348" s="8" t="str">
        <f>IFERROR(__xludf.DUMMYFUNCTION("""COMPUTED_VALUE"""),"I bought this yesterday and love it. it drapes beautifully. it's a little fancy but versatile enough that you could wear it for semi-casual occasions. the first tier hits at the natural waist, while the second tier hits at about hip height. this is very f"&amp;"lattering for the waist, while still being drape-y and a bit loose. i thought this fit a little bigger than to size. i am currently postpartum boobed so i am 5'4"", 135 lbs and 34dd and the s fit great. (i am currently a s in other retailer tops).")</f>
        <v>I bought this yesterday and love it. it drapes beautifully. it's a little fancy but versatile enough that you could wear it for semi-casual occasions. the first tier hits at the natural waist, while the second tier hits at about hip height. this is very flattering for the waist, while still being drape-y and a bit loose. i thought this fit a little bigger than to size. i am currently postpartum boobed so i am 5'4", 135 lbs and 34dd and the s fit great. (i am currently a s in other retailer tops).</v>
      </c>
      <c r="F1348" s="8">
        <f>IFERROR(__xludf.DUMMYFUNCTION("""COMPUTED_VALUE"""),5.0)</f>
        <v>5</v>
      </c>
      <c r="G1348" s="8">
        <f>IFERROR(__xludf.DUMMYFUNCTION("""COMPUTED_VALUE"""),1.0)</f>
        <v>1</v>
      </c>
      <c r="H1348" s="8">
        <f>IFERROR(__xludf.DUMMYFUNCTION("""COMPUTED_VALUE"""),2.0)</f>
        <v>2</v>
      </c>
      <c r="I1348" s="8" t="str">
        <f>IFERROR(__xludf.DUMMYFUNCTION("""COMPUTED_VALUE"""),"General")</f>
        <v>General</v>
      </c>
      <c r="J1348" s="8" t="str">
        <f>IFERROR(__xludf.DUMMYFUNCTION("""COMPUTED_VALUE"""),"Tops")</f>
        <v>Tops</v>
      </c>
      <c r="K1348" s="8" t="str">
        <f>IFERROR(__xludf.DUMMYFUNCTION("""COMPUTED_VALUE"""),"Knits")</f>
        <v>Knits</v>
      </c>
    </row>
    <row r="1349">
      <c r="A1349" s="8">
        <f>IFERROR(__xludf.DUMMYFUNCTION("""COMPUTED_VALUE"""),1788.0)</f>
        <v>1788</v>
      </c>
      <c r="B1349" s="8">
        <f>IFERROR(__xludf.DUMMYFUNCTION("""COMPUTED_VALUE"""),825.0)</f>
        <v>825</v>
      </c>
      <c r="C1349" s="8">
        <f>IFERROR(__xludf.DUMMYFUNCTION("""COMPUTED_VALUE"""),22.0)</f>
        <v>22</v>
      </c>
      <c r="D1349" s="8" t="str">
        <f>IFERROR(__xludf.DUMMYFUNCTION("""COMPUTED_VALUE"""),"Unique spin to classic button down")</f>
        <v>Unique spin to classic button down</v>
      </c>
      <c r="E1349" s="8" t="str">
        <f>IFERROR(__xludf.DUMMYFUNCTION("""COMPUTED_VALUE"""),"I have been wanting to incorporate button down blouses into my wardrobe for months but hadn't found any that caught my eye. leave it to retailer to supply the best alternative to a classic look. i love everything from the bottom flare to the way it cinche"&amp;"s my waist. i would say this is perfectly appropriate for a business setting while still giving you individual style.")</f>
        <v>I have been wanting to incorporate button down blouses into my wardrobe for months but hadn't found any that caught my eye. leave it to retailer to supply the best alternative to a classic look. i love everything from the bottom flare to the way it cinches my waist. i would say this is perfectly appropriate for a business setting while still giving you individual style.</v>
      </c>
      <c r="F1349" s="8">
        <f>IFERROR(__xludf.DUMMYFUNCTION("""COMPUTED_VALUE"""),5.0)</f>
        <v>5</v>
      </c>
      <c r="G1349" s="8">
        <f>IFERROR(__xludf.DUMMYFUNCTION("""COMPUTED_VALUE"""),1.0)</f>
        <v>1</v>
      </c>
      <c r="H1349" s="8">
        <f>IFERROR(__xludf.DUMMYFUNCTION("""COMPUTED_VALUE"""),0.0)</f>
        <v>0</v>
      </c>
      <c r="I1349" s="8" t="str">
        <f>IFERROR(__xludf.DUMMYFUNCTION("""COMPUTED_VALUE"""),"General Petite")</f>
        <v>General Petite</v>
      </c>
      <c r="J1349" s="8" t="str">
        <f>IFERROR(__xludf.DUMMYFUNCTION("""COMPUTED_VALUE"""),"Tops")</f>
        <v>Tops</v>
      </c>
      <c r="K1349" s="8" t="str">
        <f>IFERROR(__xludf.DUMMYFUNCTION("""COMPUTED_VALUE"""),"Blouses")</f>
        <v>Blouses</v>
      </c>
    </row>
    <row r="1350">
      <c r="A1350" s="8">
        <f>IFERROR(__xludf.DUMMYFUNCTION("""COMPUTED_VALUE"""),1790.0)</f>
        <v>1790</v>
      </c>
      <c r="B1350" s="8">
        <f>IFERROR(__xludf.DUMMYFUNCTION("""COMPUTED_VALUE"""),1095.0)</f>
        <v>1095</v>
      </c>
      <c r="C1350" s="8">
        <f>IFERROR(__xludf.DUMMYFUNCTION("""COMPUTED_VALUE"""),26.0)</f>
        <v>26</v>
      </c>
      <c r="D1350" s="8" t="str">
        <f>IFERROR(__xludf.DUMMYFUNCTION("""COMPUTED_VALUE"""),"Flattering")</f>
        <v>Flattering</v>
      </c>
      <c r="E1350" s="8" t="str">
        <f>IFERROR(__xludf.DUMMYFUNCTION("""COMPUTED_VALUE"""),"Super flattering! my mom and i both bought this, and we have very different body types. (we both had to size up a bit, as i have a large chest, and she has a large ribcage.) i got a size 10 (i'm normally a size 8), and she got a 12. it was much easier to "&amp;"zip up without bras on, and it seems to have been designed to not need a bra. my mom is pretty short (5""2'), so she's going to get her straps shortened. for reference, i'm about 5'9"". hope this helps!")</f>
        <v>Super flattering! my mom and i both bought this, and we have very different body types. (we both had to size up a bit, as i have a large chest, and she has a large ribcage.) i got a size 10 (i'm normally a size 8), and she got a 12. it was much easier to zip up without bras on, and it seems to have been designed to not need a bra. my mom is pretty short (5"2'), so she's going to get her straps shortened. for reference, i'm about 5'9". hope this helps!</v>
      </c>
      <c r="F1350" s="8">
        <f>IFERROR(__xludf.DUMMYFUNCTION("""COMPUTED_VALUE"""),5.0)</f>
        <v>5</v>
      </c>
      <c r="G1350" s="8">
        <f>IFERROR(__xludf.DUMMYFUNCTION("""COMPUTED_VALUE"""),1.0)</f>
        <v>1</v>
      </c>
      <c r="H1350" s="8">
        <f>IFERROR(__xludf.DUMMYFUNCTION("""COMPUTED_VALUE"""),7.0)</f>
        <v>7</v>
      </c>
      <c r="I1350" s="8" t="str">
        <f>IFERROR(__xludf.DUMMYFUNCTION("""COMPUTED_VALUE"""),"General Petite")</f>
        <v>General Petite</v>
      </c>
      <c r="J1350" s="8" t="str">
        <f>IFERROR(__xludf.DUMMYFUNCTION("""COMPUTED_VALUE"""),"Dresses")</f>
        <v>Dresses</v>
      </c>
      <c r="K1350" s="8" t="str">
        <f>IFERROR(__xludf.DUMMYFUNCTION("""COMPUTED_VALUE"""),"Dresses")</f>
        <v>Dresses</v>
      </c>
    </row>
    <row r="1351">
      <c r="A1351" s="8">
        <f>IFERROR(__xludf.DUMMYFUNCTION("""COMPUTED_VALUE"""),1791.0)</f>
        <v>1791</v>
      </c>
      <c r="B1351" s="8">
        <f>IFERROR(__xludf.DUMMYFUNCTION("""COMPUTED_VALUE"""),825.0)</f>
        <v>825</v>
      </c>
      <c r="C1351" s="8">
        <f>IFERROR(__xludf.DUMMYFUNCTION("""COMPUTED_VALUE"""),43.0)</f>
        <v>43</v>
      </c>
      <c r="D1351" s="8" t="str">
        <f>IFERROR(__xludf.DUMMYFUNCTION("""COMPUTED_VALUE"""),"Fun &amp; flirty take on preppy look")</f>
        <v>Fun &amp; flirty take on preppy look</v>
      </c>
      <c r="E1351" s="8" t="str">
        <f>IFERROR(__xludf.DUMMYFUNCTION("""COMPUTED_VALUE"""),"I bought the grey and white plaid shirt in a large. i'm 165, 36d and the top closes without gaping - even when i push my shoulders back. it's kind of sheer, so will wear a cami underneath. the waist nips in right where it should - giving a trim silhouette"&amp;". adorable and fun top, without being cutesy. love tylho tops!")</f>
        <v>I bought the grey and white plaid shirt in a large. i'm 165, 36d and the top closes without gaping - even when i push my shoulders back. it's kind of sheer, so will wear a cami underneath. the waist nips in right where it should - giving a trim silhouette. adorable and fun top, without being cutesy. love tylho tops!</v>
      </c>
      <c r="F1351" s="8">
        <f>IFERROR(__xludf.DUMMYFUNCTION("""COMPUTED_VALUE"""),5.0)</f>
        <v>5</v>
      </c>
      <c r="G1351" s="8">
        <f>IFERROR(__xludf.DUMMYFUNCTION("""COMPUTED_VALUE"""),1.0)</f>
        <v>1</v>
      </c>
      <c r="H1351" s="8">
        <f>IFERROR(__xludf.DUMMYFUNCTION("""COMPUTED_VALUE"""),1.0)</f>
        <v>1</v>
      </c>
      <c r="I1351" s="8" t="str">
        <f>IFERROR(__xludf.DUMMYFUNCTION("""COMPUTED_VALUE"""),"General Petite")</f>
        <v>General Petite</v>
      </c>
      <c r="J1351" s="8" t="str">
        <f>IFERROR(__xludf.DUMMYFUNCTION("""COMPUTED_VALUE"""),"Tops")</f>
        <v>Tops</v>
      </c>
      <c r="K1351" s="8" t="str">
        <f>IFERROR(__xludf.DUMMYFUNCTION("""COMPUTED_VALUE"""),"Blouses")</f>
        <v>Blouses</v>
      </c>
    </row>
    <row r="1352">
      <c r="A1352" s="8">
        <f>IFERROR(__xludf.DUMMYFUNCTION("""COMPUTED_VALUE"""),1792.0)</f>
        <v>1792</v>
      </c>
      <c r="B1352" s="8">
        <f>IFERROR(__xludf.DUMMYFUNCTION("""COMPUTED_VALUE"""),1095.0)</f>
        <v>1095</v>
      </c>
      <c r="C1352" s="8">
        <f>IFERROR(__xludf.DUMMYFUNCTION("""COMPUTED_VALUE"""),66.0)</f>
        <v>66</v>
      </c>
      <c r="D1352" s="8"/>
      <c r="E1352" s="8" t="str">
        <f>IFERROR(__xludf.DUMMYFUNCTION("""COMPUTED_VALUE"""),"Super cute and flattering!")</f>
        <v>Super cute and flattering!</v>
      </c>
      <c r="F1352" s="8">
        <f>IFERROR(__xludf.DUMMYFUNCTION("""COMPUTED_VALUE"""),4.0)</f>
        <v>4</v>
      </c>
      <c r="G1352" s="8">
        <f>IFERROR(__xludf.DUMMYFUNCTION("""COMPUTED_VALUE"""),1.0)</f>
        <v>1</v>
      </c>
      <c r="H1352" s="8">
        <f>IFERROR(__xludf.DUMMYFUNCTION("""COMPUTED_VALUE"""),10.0)</f>
        <v>10</v>
      </c>
      <c r="I1352" s="8" t="str">
        <f>IFERROR(__xludf.DUMMYFUNCTION("""COMPUTED_VALUE"""),"General Petite")</f>
        <v>General Petite</v>
      </c>
      <c r="J1352" s="8" t="str">
        <f>IFERROR(__xludf.DUMMYFUNCTION("""COMPUTED_VALUE"""),"Dresses")</f>
        <v>Dresses</v>
      </c>
      <c r="K1352" s="8" t="str">
        <f>IFERROR(__xludf.DUMMYFUNCTION("""COMPUTED_VALUE"""),"Dresses")</f>
        <v>Dresses</v>
      </c>
    </row>
    <row r="1353">
      <c r="A1353" s="8">
        <f>IFERROR(__xludf.DUMMYFUNCTION("""COMPUTED_VALUE"""),1793.0)</f>
        <v>1793</v>
      </c>
      <c r="B1353" s="8">
        <f>IFERROR(__xludf.DUMMYFUNCTION("""COMPUTED_VALUE"""),867.0)</f>
        <v>867</v>
      </c>
      <c r="C1353" s="8">
        <f>IFERROR(__xludf.DUMMYFUNCTION("""COMPUTED_VALUE"""),39.0)</f>
        <v>39</v>
      </c>
      <c r="D1353" s="8" t="str">
        <f>IFERROR(__xludf.DUMMYFUNCTION("""COMPUTED_VALUE"""),"Pretty spring/summer top")</f>
        <v>Pretty spring/summer top</v>
      </c>
      <c r="E1353" s="8" t="str">
        <f>IFERROR(__xludf.DUMMYFUNCTION("""COMPUTED_VALUE"""),"First, i love this top overall. it is simple and classic and has a flattering, forgiving cut. i agree there is a major design flaw as other reviewers have mentioned. the v-neck is so deep and falls so low you need to wear a camisole underneath. instead i "&amp;"chose to take a stitch at the neckline to keep it together where i wanted it, and that worked beautifully. i think the top should have included either a small button or snap to hold the neckline up properly or should have been stitched together")</f>
        <v>First, i love this top overall. it is simple and classic and has a flattering, forgiving cut. i agree there is a major design flaw as other reviewers have mentioned. the v-neck is so deep and falls so low you need to wear a camisole underneath. instead i chose to take a stitch at the neckline to keep it together where i wanted it, and that worked beautifully. i think the top should have included either a small button or snap to hold the neckline up properly or should have been stitched together</v>
      </c>
      <c r="F1353" s="8">
        <f>IFERROR(__xludf.DUMMYFUNCTION("""COMPUTED_VALUE"""),4.0)</f>
        <v>4</v>
      </c>
      <c r="G1353" s="8">
        <f>IFERROR(__xludf.DUMMYFUNCTION("""COMPUTED_VALUE"""),1.0)</f>
        <v>1</v>
      </c>
      <c r="H1353" s="8">
        <f>IFERROR(__xludf.DUMMYFUNCTION("""COMPUTED_VALUE"""),7.0)</f>
        <v>7</v>
      </c>
      <c r="I1353" s="8" t="str">
        <f>IFERROR(__xludf.DUMMYFUNCTION("""COMPUTED_VALUE"""),"General")</f>
        <v>General</v>
      </c>
      <c r="J1353" s="8" t="str">
        <f>IFERROR(__xludf.DUMMYFUNCTION("""COMPUTED_VALUE"""),"Tops")</f>
        <v>Tops</v>
      </c>
      <c r="K1353" s="8" t="str">
        <f>IFERROR(__xludf.DUMMYFUNCTION("""COMPUTED_VALUE"""),"Knits")</f>
        <v>Knits</v>
      </c>
    </row>
    <row r="1354">
      <c r="A1354" s="8">
        <f>IFERROR(__xludf.DUMMYFUNCTION("""COMPUTED_VALUE"""),1794.0)</f>
        <v>1794</v>
      </c>
      <c r="B1354" s="8">
        <f>IFERROR(__xludf.DUMMYFUNCTION("""COMPUTED_VALUE"""),825.0)</f>
        <v>825</v>
      </c>
      <c r="C1354" s="8">
        <f>IFERROR(__xludf.DUMMYFUNCTION("""COMPUTED_VALUE"""),37.0)</f>
        <v>37</v>
      </c>
      <c r="D1354" s="8" t="str">
        <f>IFERROR(__xludf.DUMMYFUNCTION("""COMPUTED_VALUE"""),"Perfect fit for broad shoulders")</f>
        <v>Perfect fit for broad shoulders</v>
      </c>
      <c r="E1354" s="8" t="str">
        <f>IFERROR(__xludf.DUMMYFUNCTION("""COMPUTED_VALUE"""),"Based on previous reviews i ordered this shirt in both a small and medium. i have fairly broad shoulders, and thought i might not fit my usual small (if it helps for reference, i am 5'6"", 123 lbs, and wear a 32c bra). i first tried on the small and didn'"&amp;"t even bother opening the medium. i have a hard time finding blouses that fit in the torso without pulling at the bust (i think this is more related to my wide shoulders as opposed to actual bra size). with this blouse the buttons don't pull at a")</f>
        <v>Based on previous reviews i ordered this shirt in both a small and medium. i have fairly broad shoulders, and thought i might not fit my usual small (if it helps for reference, i am 5'6", 123 lbs, and wear a 32c bra). i first tried on the small and didn't even bother opening the medium. i have a hard time finding blouses that fit in the torso without pulling at the bust (i think this is more related to my wide shoulders as opposed to actual bra size). with this blouse the buttons don't pull at a</v>
      </c>
      <c r="F1354" s="8">
        <f>IFERROR(__xludf.DUMMYFUNCTION("""COMPUTED_VALUE"""),5.0)</f>
        <v>5</v>
      </c>
      <c r="G1354" s="8">
        <f>IFERROR(__xludf.DUMMYFUNCTION("""COMPUTED_VALUE"""),1.0)</f>
        <v>1</v>
      </c>
      <c r="H1354" s="8">
        <f>IFERROR(__xludf.DUMMYFUNCTION("""COMPUTED_VALUE"""),0.0)</f>
        <v>0</v>
      </c>
      <c r="I1354" s="8" t="str">
        <f>IFERROR(__xludf.DUMMYFUNCTION("""COMPUTED_VALUE"""),"General Petite")</f>
        <v>General Petite</v>
      </c>
      <c r="J1354" s="8" t="str">
        <f>IFERROR(__xludf.DUMMYFUNCTION("""COMPUTED_VALUE"""),"Tops")</f>
        <v>Tops</v>
      </c>
      <c r="K1354" s="8" t="str">
        <f>IFERROR(__xludf.DUMMYFUNCTION("""COMPUTED_VALUE"""),"Blouses")</f>
        <v>Blouses</v>
      </c>
    </row>
    <row r="1355">
      <c r="A1355" s="8">
        <f>IFERROR(__xludf.DUMMYFUNCTION("""COMPUTED_VALUE"""),1795.0)</f>
        <v>1795</v>
      </c>
      <c r="B1355" s="8">
        <f>IFERROR(__xludf.DUMMYFUNCTION("""COMPUTED_VALUE"""),825.0)</f>
        <v>825</v>
      </c>
      <c r="C1355" s="8">
        <f>IFERROR(__xludf.DUMMYFUNCTION("""COMPUTED_VALUE"""),56.0)</f>
        <v>56</v>
      </c>
      <c r="D1355" s="8" t="str">
        <f>IFERROR(__xludf.DUMMYFUNCTION("""COMPUTED_VALUE"""),"Absolute steal at sale price")</f>
        <v>Absolute steal at sale price</v>
      </c>
      <c r="E1355" s="8" t="str">
        <f>IFERROR(__xludf.DUMMYFUNCTION("""COMPUTED_VALUE"""),"This top is adorable, especially the grey check. timeless staple, with a modern &amp; cute update. i agree with 2nd reviewer; i don't think this blouse pulls or is tight in the chest. i'm also a 34d, i got a small, it fits perfectly &amp; i wear it all the time -"&amp;" i think it's great for every season. very flattering, the peplum hits at just the right spot and defines the waist. i get compliments all the time. i pair it with cropped sweaters when it's cold. the grey does seem a bit higher quality; the blu")</f>
        <v>This top is adorable, especially the grey check. timeless staple, with a modern &amp; cute update. i agree with 2nd reviewer; i don't think this blouse pulls or is tight in the chest. i'm also a 34d, i got a small, it fits perfectly &amp; i wear it all the time - i think it's great for every season. very flattering, the peplum hits at just the right spot and defines the waist. i get compliments all the time. i pair it with cropped sweaters when it's cold. the grey does seem a bit higher quality; the blu</v>
      </c>
      <c r="F1355" s="8">
        <f>IFERROR(__xludf.DUMMYFUNCTION("""COMPUTED_VALUE"""),5.0)</f>
        <v>5</v>
      </c>
      <c r="G1355" s="8">
        <f>IFERROR(__xludf.DUMMYFUNCTION("""COMPUTED_VALUE"""),1.0)</f>
        <v>1</v>
      </c>
      <c r="H1355" s="8">
        <f>IFERROR(__xludf.DUMMYFUNCTION("""COMPUTED_VALUE"""),0.0)</f>
        <v>0</v>
      </c>
      <c r="I1355" s="8" t="str">
        <f>IFERROR(__xludf.DUMMYFUNCTION("""COMPUTED_VALUE"""),"General Petite")</f>
        <v>General Petite</v>
      </c>
      <c r="J1355" s="8" t="str">
        <f>IFERROR(__xludf.DUMMYFUNCTION("""COMPUTED_VALUE"""),"Tops")</f>
        <v>Tops</v>
      </c>
      <c r="K1355" s="8" t="str">
        <f>IFERROR(__xludf.DUMMYFUNCTION("""COMPUTED_VALUE"""),"Blouses")</f>
        <v>Blouses</v>
      </c>
    </row>
    <row r="1356">
      <c r="A1356" s="8">
        <f>IFERROR(__xludf.DUMMYFUNCTION("""COMPUTED_VALUE"""),1796.0)</f>
        <v>1796</v>
      </c>
      <c r="B1356" s="8">
        <f>IFERROR(__xludf.DUMMYFUNCTION("""COMPUTED_VALUE"""),1008.0)</f>
        <v>1008</v>
      </c>
      <c r="C1356" s="8">
        <f>IFERROR(__xludf.DUMMYFUNCTION("""COMPUTED_VALUE"""),37.0)</f>
        <v>37</v>
      </c>
      <c r="D1356" s="8"/>
      <c r="E1356" s="8" t="str">
        <f>IFERROR(__xludf.DUMMYFUNCTION("""COMPUTED_VALUE"""),"Buy this skit- it's everything that retailer used to be. great pice, work appopriate, and it fits great.")</f>
        <v>Buy this skit- it's everything that retailer used to be. great pice, work appopriate, and it fits great.</v>
      </c>
      <c r="F1356" s="8">
        <f>IFERROR(__xludf.DUMMYFUNCTION("""COMPUTED_VALUE"""),5.0)</f>
        <v>5</v>
      </c>
      <c r="G1356" s="8">
        <f>IFERROR(__xludf.DUMMYFUNCTION("""COMPUTED_VALUE"""),1.0)</f>
        <v>1</v>
      </c>
      <c r="H1356" s="8">
        <f>IFERROR(__xludf.DUMMYFUNCTION("""COMPUTED_VALUE"""),0.0)</f>
        <v>0</v>
      </c>
      <c r="I1356" s="8" t="str">
        <f>IFERROR(__xludf.DUMMYFUNCTION("""COMPUTED_VALUE"""),"General Petite")</f>
        <v>General Petite</v>
      </c>
      <c r="J1356" s="8" t="str">
        <f>IFERROR(__xludf.DUMMYFUNCTION("""COMPUTED_VALUE"""),"Bottoms")</f>
        <v>Bottoms</v>
      </c>
      <c r="K1356" s="8" t="str">
        <f>IFERROR(__xludf.DUMMYFUNCTION("""COMPUTED_VALUE"""),"Skirts")</f>
        <v>Skirts</v>
      </c>
    </row>
    <row r="1357">
      <c r="A1357" s="8">
        <f>IFERROR(__xludf.DUMMYFUNCTION("""COMPUTED_VALUE"""),1797.0)</f>
        <v>1797</v>
      </c>
      <c r="B1357" s="8">
        <f>IFERROR(__xludf.DUMMYFUNCTION("""COMPUTED_VALUE"""),867.0)</f>
        <v>867</v>
      </c>
      <c r="C1357" s="8">
        <f>IFERROR(__xludf.DUMMYFUNCTION("""COMPUTED_VALUE"""),29.0)</f>
        <v>29</v>
      </c>
      <c r="D1357" s="8" t="str">
        <f>IFERROR(__xludf.DUMMYFUNCTION("""COMPUTED_VALUE"""),"Beautiful top!")</f>
        <v>Beautiful top!</v>
      </c>
      <c r="E1357" s="8" t="str">
        <f>IFERROR(__xludf.DUMMYFUNCTION("""COMPUTED_VALUE"""),"Wow im really glad i didn't listen to the negative reviews! in ordered this top in the black and red and i have to say this is one of my favorite tops! the neck line i agree does need to be secured. i wish they would have added a snap. it's fine though as"&amp;" i don't mind sewing it closed. this top is worth it! i'm 5'2 108 lbs and small chested. so for slim girls i think this is perfect!")</f>
        <v>Wow im really glad i didn't listen to the negative reviews! in ordered this top in the black and red and i have to say this is one of my favorite tops! the neck line i agree does need to be secured. i wish they would have added a snap. it's fine though as i don't mind sewing it closed. this top is worth it! i'm 5'2 108 lbs and small chested. so for slim girls i think this is perfect!</v>
      </c>
      <c r="F1357" s="8">
        <f>IFERROR(__xludf.DUMMYFUNCTION("""COMPUTED_VALUE"""),5.0)</f>
        <v>5</v>
      </c>
      <c r="G1357" s="8">
        <f>IFERROR(__xludf.DUMMYFUNCTION("""COMPUTED_VALUE"""),1.0)</f>
        <v>1</v>
      </c>
      <c r="H1357" s="8">
        <f>IFERROR(__xludf.DUMMYFUNCTION("""COMPUTED_VALUE"""),1.0)</f>
        <v>1</v>
      </c>
      <c r="I1357" s="8" t="str">
        <f>IFERROR(__xludf.DUMMYFUNCTION("""COMPUTED_VALUE"""),"General")</f>
        <v>General</v>
      </c>
      <c r="J1357" s="8" t="str">
        <f>IFERROR(__xludf.DUMMYFUNCTION("""COMPUTED_VALUE"""),"Tops")</f>
        <v>Tops</v>
      </c>
      <c r="K1357" s="8" t="str">
        <f>IFERROR(__xludf.DUMMYFUNCTION("""COMPUTED_VALUE"""),"Knits")</f>
        <v>Knits</v>
      </c>
    </row>
    <row r="1358">
      <c r="A1358" s="8">
        <f>IFERROR(__xludf.DUMMYFUNCTION("""COMPUTED_VALUE"""),1798.0)</f>
        <v>1798</v>
      </c>
      <c r="B1358" s="8">
        <f>IFERROR(__xludf.DUMMYFUNCTION("""COMPUTED_VALUE"""),825.0)</f>
        <v>825</v>
      </c>
      <c r="C1358" s="8">
        <f>IFERROR(__xludf.DUMMYFUNCTION("""COMPUTED_VALUE"""),62.0)</f>
        <v>62</v>
      </c>
      <c r="D1358" s="8" t="str">
        <f>IFERROR(__xludf.DUMMYFUNCTION("""COMPUTED_VALUE"""),"Great basic")</f>
        <v>Great basic</v>
      </c>
      <c r="E1358" s="8" t="str">
        <f>IFERROR(__xludf.DUMMYFUNCTION("""COMPUTED_VALUE"""),"I really like this shirt. the material was a little heavier cotton than i expected in looking at the picture which is good otherwise it could look like you slept in the shirt. it is something that is going to wrinkle when you wear it so if that is bothers"&amp;"ome then pass on this shirt. it's a bit longer which i also like because it will work by itself or under a jacket or sweater.")</f>
        <v>I really like this shirt. the material was a little heavier cotton than i expected in looking at the picture which is good otherwise it could look like you slept in the shirt. it is something that is going to wrinkle when you wear it so if that is bothersome then pass on this shirt. it's a bit longer which i also like because it will work by itself or under a jacket or sweater.</v>
      </c>
      <c r="F1358" s="8">
        <f>IFERROR(__xludf.DUMMYFUNCTION("""COMPUTED_VALUE"""),4.0)</f>
        <v>4</v>
      </c>
      <c r="G1358" s="8">
        <f>IFERROR(__xludf.DUMMYFUNCTION("""COMPUTED_VALUE"""),1.0)</f>
        <v>1</v>
      </c>
      <c r="H1358" s="8">
        <f>IFERROR(__xludf.DUMMYFUNCTION("""COMPUTED_VALUE"""),1.0)</f>
        <v>1</v>
      </c>
      <c r="I1358" s="8" t="str">
        <f>IFERROR(__xludf.DUMMYFUNCTION("""COMPUTED_VALUE"""),"General Petite")</f>
        <v>General Petite</v>
      </c>
      <c r="J1358" s="8" t="str">
        <f>IFERROR(__xludf.DUMMYFUNCTION("""COMPUTED_VALUE"""),"Tops")</f>
        <v>Tops</v>
      </c>
      <c r="K1358" s="8" t="str">
        <f>IFERROR(__xludf.DUMMYFUNCTION("""COMPUTED_VALUE"""),"Blouses")</f>
        <v>Blouses</v>
      </c>
    </row>
    <row r="1359">
      <c r="A1359" s="8">
        <f>IFERROR(__xludf.DUMMYFUNCTION("""COMPUTED_VALUE"""),1799.0)</f>
        <v>1799</v>
      </c>
      <c r="B1359" s="8">
        <f>IFERROR(__xludf.DUMMYFUNCTION("""COMPUTED_VALUE"""),1008.0)</f>
        <v>1008</v>
      </c>
      <c r="C1359" s="8">
        <f>IFERROR(__xludf.DUMMYFUNCTION("""COMPUTED_VALUE"""),66.0)</f>
        <v>66</v>
      </c>
      <c r="D1359" s="8" t="str">
        <f>IFERROR(__xludf.DUMMYFUNCTION("""COMPUTED_VALUE"""),"Colorful &amp; lovely")</f>
        <v>Colorful &amp; lovely</v>
      </c>
      <c r="E1359" s="8" t="str">
        <f>IFERROR(__xludf.DUMMYFUNCTION("""COMPUTED_VALUE"""),"I found this skirt to run tts - i am a size 16 and the bought the xl. it is so soft and comfortable and the colors are so much prettier in person. i paired it with a black turtle neck and black dolce vita booties that i snagged on sale at my local retaile"&amp;"r. happy girl!")</f>
        <v>I found this skirt to run tts - i am a size 16 and the bought the xl. it is so soft and comfortable and the colors are so much prettier in person. i paired it with a black turtle neck and black dolce vita booties that i snagged on sale at my local retailer. happy girl!</v>
      </c>
      <c r="F1359" s="8">
        <f>IFERROR(__xludf.DUMMYFUNCTION("""COMPUTED_VALUE"""),5.0)</f>
        <v>5</v>
      </c>
      <c r="G1359" s="8">
        <f>IFERROR(__xludf.DUMMYFUNCTION("""COMPUTED_VALUE"""),1.0)</f>
        <v>1</v>
      </c>
      <c r="H1359" s="8">
        <f>IFERROR(__xludf.DUMMYFUNCTION("""COMPUTED_VALUE"""),0.0)</f>
        <v>0</v>
      </c>
      <c r="I1359" s="8" t="str">
        <f>IFERROR(__xludf.DUMMYFUNCTION("""COMPUTED_VALUE"""),"General Petite")</f>
        <v>General Petite</v>
      </c>
      <c r="J1359" s="8" t="str">
        <f>IFERROR(__xludf.DUMMYFUNCTION("""COMPUTED_VALUE"""),"Bottoms")</f>
        <v>Bottoms</v>
      </c>
      <c r="K1359" s="8" t="str">
        <f>IFERROR(__xludf.DUMMYFUNCTION("""COMPUTED_VALUE"""),"Skirts")</f>
        <v>Skirts</v>
      </c>
    </row>
    <row r="1360">
      <c r="A1360" s="8">
        <f>IFERROR(__xludf.DUMMYFUNCTION("""COMPUTED_VALUE"""),1800.0)</f>
        <v>1800</v>
      </c>
      <c r="B1360" s="8">
        <f>IFERROR(__xludf.DUMMYFUNCTION("""COMPUTED_VALUE"""),921.0)</f>
        <v>921</v>
      </c>
      <c r="C1360" s="8">
        <f>IFERROR(__xludf.DUMMYFUNCTION("""COMPUTED_VALUE"""),32.0)</f>
        <v>32</v>
      </c>
      <c r="D1360" s="8" t="str">
        <f>IFERROR(__xludf.DUMMYFUNCTION("""COMPUTED_VALUE"""),"Beautiful sweater")</f>
        <v>Beautiful sweater</v>
      </c>
      <c r="E1360" s="8" t="str">
        <f>IFERROR(__xludf.DUMMYFUNCTION("""COMPUTED_VALUE"""),"This sweater is comfortable yet still work appropriate. the ruffled shoulders adds a feminine touch.")</f>
        <v>This sweater is comfortable yet still work appropriate. the ruffled shoulders adds a feminine touch.</v>
      </c>
      <c r="F1360" s="8">
        <f>IFERROR(__xludf.DUMMYFUNCTION("""COMPUTED_VALUE"""),5.0)</f>
        <v>5</v>
      </c>
      <c r="G1360" s="8">
        <f>IFERROR(__xludf.DUMMYFUNCTION("""COMPUTED_VALUE"""),1.0)</f>
        <v>1</v>
      </c>
      <c r="H1360" s="8">
        <f>IFERROR(__xludf.DUMMYFUNCTION("""COMPUTED_VALUE"""),0.0)</f>
        <v>0</v>
      </c>
      <c r="I1360" s="8" t="str">
        <f>IFERROR(__xludf.DUMMYFUNCTION("""COMPUTED_VALUE"""),"General")</f>
        <v>General</v>
      </c>
      <c r="J1360" s="8" t="str">
        <f>IFERROR(__xludf.DUMMYFUNCTION("""COMPUTED_VALUE"""),"Tops")</f>
        <v>Tops</v>
      </c>
      <c r="K1360" s="8" t="str">
        <f>IFERROR(__xludf.DUMMYFUNCTION("""COMPUTED_VALUE"""),"Sweaters")</f>
        <v>Sweaters</v>
      </c>
    </row>
    <row r="1361">
      <c r="A1361" s="8">
        <f>IFERROR(__xludf.DUMMYFUNCTION("""COMPUTED_VALUE"""),1801.0)</f>
        <v>1801</v>
      </c>
      <c r="B1361" s="8">
        <f>IFERROR(__xludf.DUMMYFUNCTION("""COMPUTED_VALUE"""),1095.0)</f>
        <v>1095</v>
      </c>
      <c r="C1361" s="8">
        <f>IFERROR(__xludf.DUMMYFUNCTION("""COMPUTED_VALUE"""),23.0)</f>
        <v>23</v>
      </c>
      <c r="D1361" s="8" t="str">
        <f>IFERROR(__xludf.DUMMYFUNCTION("""COMPUTED_VALUE"""),"Great idea, okay execution")</f>
        <v>Great idea, okay execution</v>
      </c>
      <c r="E1361" s="8" t="str">
        <f>IFERROR(__xludf.DUMMYFUNCTION("""COMPUTED_VALUE"""),"I have a shorter torso and so i usually love dresses that hit right at my waist- so this dress seemed perfect! 
i ordered a size 2 petite, which fit very well. the regular two (in picture) was not as well made. the straps didn't fit as well. they were les"&amp;"s of an ""x"" and way more fabric. petite fit great. i think this dress is really fun but not very mature. i returned it because it didn't feel adult enough for the event.")</f>
        <v>I have a shorter torso and so i usually love dresses that hit right at my waist- so this dress seemed perfect! 
i ordered a size 2 petite, which fit very well. the regular two (in picture) was not as well made. the straps didn't fit as well. they were less of an "x" and way more fabric. petite fit great. i think this dress is really fun but not very mature. i returned it because it didn't feel adult enough for the event.</v>
      </c>
      <c r="F1361" s="8">
        <f>IFERROR(__xludf.DUMMYFUNCTION("""COMPUTED_VALUE"""),4.0)</f>
        <v>4</v>
      </c>
      <c r="G1361" s="8">
        <f>IFERROR(__xludf.DUMMYFUNCTION("""COMPUTED_VALUE"""),1.0)</f>
        <v>1</v>
      </c>
      <c r="H1361" s="8">
        <f>IFERROR(__xludf.DUMMYFUNCTION("""COMPUTED_VALUE"""),8.0)</f>
        <v>8</v>
      </c>
      <c r="I1361" s="8" t="str">
        <f>IFERROR(__xludf.DUMMYFUNCTION("""COMPUTED_VALUE"""),"General Petite")</f>
        <v>General Petite</v>
      </c>
      <c r="J1361" s="8" t="str">
        <f>IFERROR(__xludf.DUMMYFUNCTION("""COMPUTED_VALUE"""),"Dresses")</f>
        <v>Dresses</v>
      </c>
      <c r="K1361" s="8" t="str">
        <f>IFERROR(__xludf.DUMMYFUNCTION("""COMPUTED_VALUE"""),"Dresses")</f>
        <v>Dresses</v>
      </c>
    </row>
    <row r="1362">
      <c r="A1362" s="8">
        <f>IFERROR(__xludf.DUMMYFUNCTION("""COMPUTED_VALUE"""),1802.0)</f>
        <v>1802</v>
      </c>
      <c r="B1362" s="8">
        <f>IFERROR(__xludf.DUMMYFUNCTION("""COMPUTED_VALUE"""),867.0)</f>
        <v>867</v>
      </c>
      <c r="C1362" s="8">
        <f>IFERROR(__xludf.DUMMYFUNCTION("""COMPUTED_VALUE"""),43.0)</f>
        <v>43</v>
      </c>
      <c r="D1362" s="8" t="str">
        <f>IFERROR(__xludf.DUMMYFUNCTION("""COMPUTED_VALUE"""),"Great buy on sale")</f>
        <v>Great buy on sale</v>
      </c>
      <c r="E1362" s="8" t="str">
        <f>IFERROR(__xludf.DUMMYFUNCTION("""COMPUTED_VALUE"""),"Just picked this up in black in the store. on the hanger it looks like just another v-neck tank, but it is quite flattering on. however, the v-neck is quite exaggerated and loose, i will be pinning it so it doesn't sag open. :)")</f>
        <v>Just picked this up in black in the store. on the hanger it looks like just another v-neck tank, but it is quite flattering on. however, the v-neck is quite exaggerated and loose, i will be pinning it so it doesn't sag open. :)</v>
      </c>
      <c r="F1362" s="8">
        <f>IFERROR(__xludf.DUMMYFUNCTION("""COMPUTED_VALUE"""),4.0)</f>
        <v>4</v>
      </c>
      <c r="G1362" s="8">
        <f>IFERROR(__xludf.DUMMYFUNCTION("""COMPUTED_VALUE"""),1.0)</f>
        <v>1</v>
      </c>
      <c r="H1362" s="8">
        <f>IFERROR(__xludf.DUMMYFUNCTION("""COMPUTED_VALUE"""),1.0)</f>
        <v>1</v>
      </c>
      <c r="I1362" s="8" t="str">
        <f>IFERROR(__xludf.DUMMYFUNCTION("""COMPUTED_VALUE"""),"General")</f>
        <v>General</v>
      </c>
      <c r="J1362" s="8" t="str">
        <f>IFERROR(__xludf.DUMMYFUNCTION("""COMPUTED_VALUE"""),"Tops")</f>
        <v>Tops</v>
      </c>
      <c r="K1362" s="8" t="str">
        <f>IFERROR(__xludf.DUMMYFUNCTION("""COMPUTED_VALUE"""),"Knits")</f>
        <v>Knits</v>
      </c>
    </row>
    <row r="1363">
      <c r="A1363" s="8">
        <f>IFERROR(__xludf.DUMMYFUNCTION("""COMPUTED_VALUE"""),1803.0)</f>
        <v>1803</v>
      </c>
      <c r="B1363" s="8">
        <f>IFERROR(__xludf.DUMMYFUNCTION("""COMPUTED_VALUE"""),1030.0)</f>
        <v>1030</v>
      </c>
      <c r="C1363" s="8">
        <f>IFERROR(__xludf.DUMMYFUNCTION("""COMPUTED_VALUE"""),41.0)</f>
        <v>41</v>
      </c>
      <c r="D1363" s="8" t="str">
        <f>IFERROR(__xludf.DUMMYFUNCTION("""COMPUTED_VALUE"""),"Just like the photo!!")</f>
        <v>Just like the photo!!</v>
      </c>
      <c r="E1363" s="8" t="str">
        <f>IFERROR(__xludf.DUMMYFUNCTION("""COMPUTED_VALUE"""),"I love jeans!!! especially this pair. perfect fit, hugs in all the right places. perfect length! worn it 3x already! and it gets better every time you wear it. goes great with a cute too!")</f>
        <v>I love jeans!!! especially this pair. perfect fit, hugs in all the right places. perfect length! worn it 3x already! and it gets better every time you wear it. goes great with a cute too!</v>
      </c>
      <c r="F1363" s="8">
        <f>IFERROR(__xludf.DUMMYFUNCTION("""COMPUTED_VALUE"""),5.0)</f>
        <v>5</v>
      </c>
      <c r="G1363" s="8">
        <f>IFERROR(__xludf.DUMMYFUNCTION("""COMPUTED_VALUE"""),1.0)</f>
        <v>1</v>
      </c>
      <c r="H1363" s="8">
        <f>IFERROR(__xludf.DUMMYFUNCTION("""COMPUTED_VALUE"""),1.0)</f>
        <v>1</v>
      </c>
      <c r="I1363" s="8" t="str">
        <f>IFERROR(__xludf.DUMMYFUNCTION("""COMPUTED_VALUE"""),"General")</f>
        <v>General</v>
      </c>
      <c r="J1363" s="8" t="str">
        <f>IFERROR(__xludf.DUMMYFUNCTION("""COMPUTED_VALUE"""),"Bottoms")</f>
        <v>Bottoms</v>
      </c>
      <c r="K1363" s="8" t="str">
        <f>IFERROR(__xludf.DUMMYFUNCTION("""COMPUTED_VALUE"""),"Jeans")</f>
        <v>Jeans</v>
      </c>
    </row>
    <row r="1364">
      <c r="A1364" s="8">
        <f>IFERROR(__xludf.DUMMYFUNCTION("""COMPUTED_VALUE"""),1804.0)</f>
        <v>1804</v>
      </c>
      <c r="B1364" s="8">
        <f>IFERROR(__xludf.DUMMYFUNCTION("""COMPUTED_VALUE"""),1095.0)</f>
        <v>1095</v>
      </c>
      <c r="C1364" s="8">
        <f>IFERROR(__xludf.DUMMYFUNCTION("""COMPUTED_VALUE"""),27.0)</f>
        <v>27</v>
      </c>
      <c r="D1364" s="8"/>
      <c r="E1364" s="8" t="str">
        <f>IFERROR(__xludf.DUMMYFUNCTION("""COMPUTED_VALUE"""),"This dress is made of a very thick material both on the top and bottom, making it very flattering. lots of compliments!")</f>
        <v>This dress is made of a very thick material both on the top and bottom, making it very flattering. lots of compliments!</v>
      </c>
      <c r="F1364" s="8">
        <f>IFERROR(__xludf.DUMMYFUNCTION("""COMPUTED_VALUE"""),5.0)</f>
        <v>5</v>
      </c>
      <c r="G1364" s="8">
        <f>IFERROR(__xludf.DUMMYFUNCTION("""COMPUTED_VALUE"""),1.0)</f>
        <v>1</v>
      </c>
      <c r="H1364" s="8">
        <f>IFERROR(__xludf.DUMMYFUNCTION("""COMPUTED_VALUE"""),2.0)</f>
        <v>2</v>
      </c>
      <c r="I1364" s="8" t="str">
        <f>IFERROR(__xludf.DUMMYFUNCTION("""COMPUTED_VALUE"""),"General Petite")</f>
        <v>General Petite</v>
      </c>
      <c r="J1364" s="8" t="str">
        <f>IFERROR(__xludf.DUMMYFUNCTION("""COMPUTED_VALUE"""),"Dresses")</f>
        <v>Dresses</v>
      </c>
      <c r="K1364" s="8" t="str">
        <f>IFERROR(__xludf.DUMMYFUNCTION("""COMPUTED_VALUE"""),"Dresses")</f>
        <v>Dresses</v>
      </c>
    </row>
    <row r="1365">
      <c r="A1365" s="8">
        <f>IFERROR(__xludf.DUMMYFUNCTION("""COMPUTED_VALUE"""),1805.0)</f>
        <v>1805</v>
      </c>
      <c r="B1365" s="8">
        <f>IFERROR(__xludf.DUMMYFUNCTION("""COMPUTED_VALUE"""),867.0)</f>
        <v>867</v>
      </c>
      <c r="C1365" s="8">
        <f>IFERROR(__xludf.DUMMYFUNCTION("""COMPUTED_VALUE"""),43.0)</f>
        <v>43</v>
      </c>
      <c r="D1365" s="8" t="str">
        <f>IFERROR(__xludf.DUMMYFUNCTION("""COMPUTED_VALUE"""),"Cute summer top")</f>
        <v>Cute summer top</v>
      </c>
      <c r="E1365" s="8" t="str">
        <f>IFERROR(__xludf.DUMMYFUNCTION("""COMPUTED_VALUE"""),"This is a nice lightweight summer top to wear with a pair of shorts. it is low cut though - lower than i expected so i wear a tank underneath it. the layers are flattering.")</f>
        <v>This is a nice lightweight summer top to wear with a pair of shorts. it is low cut though - lower than i expected so i wear a tank underneath it. the layers are flattering.</v>
      </c>
      <c r="F1365" s="8">
        <f>IFERROR(__xludf.DUMMYFUNCTION("""COMPUTED_VALUE"""),4.0)</f>
        <v>4</v>
      </c>
      <c r="G1365" s="8">
        <f>IFERROR(__xludf.DUMMYFUNCTION("""COMPUTED_VALUE"""),1.0)</f>
        <v>1</v>
      </c>
      <c r="H1365" s="8">
        <f>IFERROR(__xludf.DUMMYFUNCTION("""COMPUTED_VALUE"""),0.0)</f>
        <v>0</v>
      </c>
      <c r="I1365" s="8" t="str">
        <f>IFERROR(__xludf.DUMMYFUNCTION("""COMPUTED_VALUE"""),"General")</f>
        <v>General</v>
      </c>
      <c r="J1365" s="8" t="str">
        <f>IFERROR(__xludf.DUMMYFUNCTION("""COMPUTED_VALUE"""),"Tops")</f>
        <v>Tops</v>
      </c>
      <c r="K1365" s="8" t="str">
        <f>IFERROR(__xludf.DUMMYFUNCTION("""COMPUTED_VALUE"""),"Knits")</f>
        <v>Knits</v>
      </c>
    </row>
    <row r="1366">
      <c r="A1366" s="8">
        <f>IFERROR(__xludf.DUMMYFUNCTION("""COMPUTED_VALUE"""),1808.0)</f>
        <v>1808</v>
      </c>
      <c r="B1366" s="8">
        <f>IFERROR(__xludf.DUMMYFUNCTION("""COMPUTED_VALUE"""),822.0)</f>
        <v>822</v>
      </c>
      <c r="C1366" s="8">
        <f>IFERROR(__xludf.DUMMYFUNCTION("""COMPUTED_VALUE"""),25.0)</f>
        <v>25</v>
      </c>
      <c r="D1366" s="8" t="str">
        <f>IFERROR(__xludf.DUMMYFUNCTION("""COMPUTED_VALUE"""),"So different in a good way!")</f>
        <v>So different in a good way!</v>
      </c>
      <c r="E1366" s="8" t="str">
        <f>IFERROR(__xludf.DUMMYFUNCTION("""COMPUTED_VALUE"""),"This blouse is pretty sheer, but perfect for a summer day. good coverage in the front and under arms on the sides for limited bra exposure, and a very cute opening in on the lower back.")</f>
        <v>This blouse is pretty sheer, but perfect for a summer day. good coverage in the front and under arms on the sides for limited bra exposure, and a very cute opening in on the lower back.</v>
      </c>
      <c r="F1366" s="8">
        <f>IFERROR(__xludf.DUMMYFUNCTION("""COMPUTED_VALUE"""),4.0)</f>
        <v>4</v>
      </c>
      <c r="G1366" s="8">
        <f>IFERROR(__xludf.DUMMYFUNCTION("""COMPUTED_VALUE"""),1.0)</f>
        <v>1</v>
      </c>
      <c r="H1366" s="8">
        <f>IFERROR(__xludf.DUMMYFUNCTION("""COMPUTED_VALUE"""),1.0)</f>
        <v>1</v>
      </c>
      <c r="I1366" s="8" t="str">
        <f>IFERROR(__xludf.DUMMYFUNCTION("""COMPUTED_VALUE"""),"General")</f>
        <v>General</v>
      </c>
      <c r="J1366" s="8" t="str">
        <f>IFERROR(__xludf.DUMMYFUNCTION("""COMPUTED_VALUE"""),"Tops")</f>
        <v>Tops</v>
      </c>
      <c r="K1366" s="8" t="str">
        <f>IFERROR(__xludf.DUMMYFUNCTION("""COMPUTED_VALUE"""),"Blouses")</f>
        <v>Blouses</v>
      </c>
    </row>
    <row r="1367">
      <c r="A1367" s="8">
        <f>IFERROR(__xludf.DUMMYFUNCTION("""COMPUTED_VALUE"""),1810.0)</f>
        <v>1810</v>
      </c>
      <c r="B1367" s="8">
        <f>IFERROR(__xludf.DUMMYFUNCTION("""COMPUTED_VALUE"""),1094.0)</f>
        <v>1094</v>
      </c>
      <c r="C1367" s="8">
        <f>IFERROR(__xludf.DUMMYFUNCTION("""COMPUTED_VALUE"""),23.0)</f>
        <v>23</v>
      </c>
      <c r="D1367" s="8"/>
      <c r="E1367" s="8" t="str">
        <f>IFERROR(__xludf.DUMMYFUNCTION("""COMPUTED_VALUE"""),"I love this dress! perfect for both work and play and can be worn in all seasons thanks to the sleeves.")</f>
        <v>I love this dress! perfect for both work and play and can be worn in all seasons thanks to the sleeves.</v>
      </c>
      <c r="F1367" s="8">
        <f>IFERROR(__xludf.DUMMYFUNCTION("""COMPUTED_VALUE"""),5.0)</f>
        <v>5</v>
      </c>
      <c r="G1367" s="8">
        <f>IFERROR(__xludf.DUMMYFUNCTION("""COMPUTED_VALUE"""),1.0)</f>
        <v>1</v>
      </c>
      <c r="H1367" s="8">
        <f>IFERROR(__xludf.DUMMYFUNCTION("""COMPUTED_VALUE"""),0.0)</f>
        <v>0</v>
      </c>
      <c r="I1367" s="8" t="str">
        <f>IFERROR(__xludf.DUMMYFUNCTION("""COMPUTED_VALUE"""),"General")</f>
        <v>General</v>
      </c>
      <c r="J1367" s="8" t="str">
        <f>IFERROR(__xludf.DUMMYFUNCTION("""COMPUTED_VALUE"""),"Dresses")</f>
        <v>Dresses</v>
      </c>
      <c r="K1367" s="8" t="str">
        <f>IFERROR(__xludf.DUMMYFUNCTION("""COMPUTED_VALUE"""),"Dresses")</f>
        <v>Dresses</v>
      </c>
    </row>
    <row r="1368">
      <c r="A1368" s="8">
        <f>IFERROR(__xludf.DUMMYFUNCTION("""COMPUTED_VALUE"""),1811.0)</f>
        <v>1811</v>
      </c>
      <c r="B1368" s="8">
        <f>IFERROR(__xludf.DUMMYFUNCTION("""COMPUTED_VALUE"""),994.0)</f>
        <v>994</v>
      </c>
      <c r="C1368" s="8">
        <f>IFERROR(__xludf.DUMMYFUNCTION("""COMPUTED_VALUE"""),35.0)</f>
        <v>35</v>
      </c>
      <c r="D1368" s="8" t="str">
        <f>IFERROR(__xludf.DUMMYFUNCTION("""COMPUTED_VALUE"""),"Feminine, romantic skirt")</f>
        <v>Feminine, romantic skirt</v>
      </c>
      <c r="E1368" s="8" t="str">
        <f>IFERROR(__xludf.DUMMYFUNCTION("""COMPUTED_VALUE"""),"This skirt caught my eye immediately. i love the beautiful patterns and colors. i'm currently pairing it with a charcoal grey top, which works well. the only slight concern is the material is a little poofy. i still love it, and definitely recommend this "&amp;"standout piece.")</f>
        <v>This skirt caught my eye immediately. i love the beautiful patterns and colors. i'm currently pairing it with a charcoal grey top, which works well. the only slight concern is the material is a little poofy. i still love it, and definitely recommend this standout piece.</v>
      </c>
      <c r="F1368" s="8">
        <f>IFERROR(__xludf.DUMMYFUNCTION("""COMPUTED_VALUE"""),5.0)</f>
        <v>5</v>
      </c>
      <c r="G1368" s="8">
        <f>IFERROR(__xludf.DUMMYFUNCTION("""COMPUTED_VALUE"""),1.0)</f>
        <v>1</v>
      </c>
      <c r="H1368" s="8">
        <f>IFERROR(__xludf.DUMMYFUNCTION("""COMPUTED_VALUE"""),2.0)</f>
        <v>2</v>
      </c>
      <c r="I1368" s="8" t="str">
        <f>IFERROR(__xludf.DUMMYFUNCTION("""COMPUTED_VALUE"""),"General Petite")</f>
        <v>General Petite</v>
      </c>
      <c r="J1368" s="8" t="str">
        <f>IFERROR(__xludf.DUMMYFUNCTION("""COMPUTED_VALUE"""),"Bottoms")</f>
        <v>Bottoms</v>
      </c>
      <c r="K1368" s="8" t="str">
        <f>IFERROR(__xludf.DUMMYFUNCTION("""COMPUTED_VALUE"""),"Skirts")</f>
        <v>Skirts</v>
      </c>
    </row>
    <row r="1369">
      <c r="A1369" s="8">
        <f>IFERROR(__xludf.DUMMYFUNCTION("""COMPUTED_VALUE"""),1812.0)</f>
        <v>1812</v>
      </c>
      <c r="B1369" s="8">
        <f>IFERROR(__xludf.DUMMYFUNCTION("""COMPUTED_VALUE"""),868.0)</f>
        <v>868</v>
      </c>
      <c r="C1369" s="8">
        <f>IFERROR(__xludf.DUMMYFUNCTION("""COMPUTED_VALUE"""),38.0)</f>
        <v>38</v>
      </c>
      <c r="D1369" s="8" t="str">
        <f>IFERROR(__xludf.DUMMYFUNCTION("""COMPUTED_VALUE"""),"Great top!")</f>
        <v>Great top!</v>
      </c>
      <c r="E1369" s="8" t="str">
        <f>IFERROR(__xludf.DUMMYFUNCTION("""COMPUTED_VALUE"""),"I was surprised and impressed by how well made this top is. it looks and feels expensive and of good quality. it is a very flattering fit for someone like me who is small on top and wider at the hips area. i look forward to wearing this top all through th"&amp;"e fall/winter/holiday seasons!")</f>
        <v>I was surprised and impressed by how well made this top is. it looks and feels expensive and of good quality. it is a very flattering fit for someone like me who is small on top and wider at the hips area. i look forward to wearing this top all through the fall/winter/holiday seasons!</v>
      </c>
      <c r="F1369" s="8">
        <f>IFERROR(__xludf.DUMMYFUNCTION("""COMPUTED_VALUE"""),5.0)</f>
        <v>5</v>
      </c>
      <c r="G1369" s="8">
        <f>IFERROR(__xludf.DUMMYFUNCTION("""COMPUTED_VALUE"""),1.0)</f>
        <v>1</v>
      </c>
      <c r="H1369" s="8">
        <f>IFERROR(__xludf.DUMMYFUNCTION("""COMPUTED_VALUE"""),0.0)</f>
        <v>0</v>
      </c>
      <c r="I1369" s="8" t="str">
        <f>IFERROR(__xludf.DUMMYFUNCTION("""COMPUTED_VALUE"""),"General")</f>
        <v>General</v>
      </c>
      <c r="J1369" s="8" t="str">
        <f>IFERROR(__xludf.DUMMYFUNCTION("""COMPUTED_VALUE"""),"Tops")</f>
        <v>Tops</v>
      </c>
      <c r="K1369" s="8" t="str">
        <f>IFERROR(__xludf.DUMMYFUNCTION("""COMPUTED_VALUE"""),"Knits")</f>
        <v>Knits</v>
      </c>
    </row>
    <row r="1370">
      <c r="A1370" s="8">
        <f>IFERROR(__xludf.DUMMYFUNCTION("""COMPUTED_VALUE"""),1813.0)</f>
        <v>1813</v>
      </c>
      <c r="B1370" s="8">
        <f>IFERROR(__xludf.DUMMYFUNCTION("""COMPUTED_VALUE"""),481.0)</f>
        <v>481</v>
      </c>
      <c r="C1370" s="8">
        <f>IFERROR(__xludf.DUMMYFUNCTION("""COMPUTED_VALUE"""),53.0)</f>
        <v>53</v>
      </c>
      <c r="D1370" s="8" t="str">
        <f>IFERROR(__xludf.DUMMYFUNCTION("""COMPUTED_VALUE"""),"Too shortwaisted")</f>
        <v>Too shortwaisted</v>
      </c>
      <c r="E1370" s="8" t="str">
        <f>IFERROR(__xludf.DUMMYFUNCTION("""COMPUTED_VALUE"""),"So cute and so adorable but too short for my body in size small. i'm going to try a size medium.
fabric is a nice weight cotton. lining is good, sleeves are a not too tight.")</f>
        <v>So cute and so adorable but too short for my body in size small. i'm going to try a size medium.
fabric is a nice weight cotton. lining is good, sleeves are a not too tight.</v>
      </c>
      <c r="F1370" s="8">
        <f>IFERROR(__xludf.DUMMYFUNCTION("""COMPUTED_VALUE"""),4.0)</f>
        <v>4</v>
      </c>
      <c r="G1370" s="8">
        <f>IFERROR(__xludf.DUMMYFUNCTION("""COMPUTED_VALUE"""),1.0)</f>
        <v>1</v>
      </c>
      <c r="H1370" s="8">
        <f>IFERROR(__xludf.DUMMYFUNCTION("""COMPUTED_VALUE"""),3.0)</f>
        <v>3</v>
      </c>
      <c r="I1370" s="8" t="str">
        <f>IFERROR(__xludf.DUMMYFUNCTION("""COMPUTED_VALUE"""),"General Petite")</f>
        <v>General Petite</v>
      </c>
      <c r="J1370" s="8" t="str">
        <f>IFERROR(__xludf.DUMMYFUNCTION("""COMPUTED_VALUE"""),"Bottoms")</f>
        <v>Bottoms</v>
      </c>
      <c r="K1370" s="8" t="str">
        <f>IFERROR(__xludf.DUMMYFUNCTION("""COMPUTED_VALUE"""),"Pants")</f>
        <v>Pants</v>
      </c>
    </row>
    <row r="1371">
      <c r="A1371" s="8">
        <f>IFERROR(__xludf.DUMMYFUNCTION("""COMPUTED_VALUE"""),1815.0)</f>
        <v>1815</v>
      </c>
      <c r="B1371" s="8">
        <f>IFERROR(__xludf.DUMMYFUNCTION("""COMPUTED_VALUE"""),1080.0)</f>
        <v>1080</v>
      </c>
      <c r="C1371" s="8">
        <f>IFERROR(__xludf.DUMMYFUNCTION("""COMPUTED_VALUE"""),57.0)</f>
        <v>57</v>
      </c>
      <c r="D1371" s="8" t="str">
        <f>IFERROR(__xludf.DUMMYFUNCTION("""COMPUTED_VALUE"""),"Perfect!")</f>
        <v>Perfect!</v>
      </c>
      <c r="E1371" s="8" t="str">
        <f>IFERROR(__xludf.DUMMYFUNCTION("""COMPUTED_VALUE"""),"Beautiful, flattering dress. love that you can where a bra without having to be concerned about straps showing. very happy with purchase. highly recommend.")</f>
        <v>Beautiful, flattering dress. love that you can where a bra without having to be concerned about straps showing. very happy with purchase. highly recommend.</v>
      </c>
      <c r="F1371" s="8">
        <f>IFERROR(__xludf.DUMMYFUNCTION("""COMPUTED_VALUE"""),5.0)</f>
        <v>5</v>
      </c>
      <c r="G1371" s="8">
        <f>IFERROR(__xludf.DUMMYFUNCTION("""COMPUTED_VALUE"""),1.0)</f>
        <v>1</v>
      </c>
      <c r="H1371" s="8">
        <f>IFERROR(__xludf.DUMMYFUNCTION("""COMPUTED_VALUE"""),0.0)</f>
        <v>0</v>
      </c>
      <c r="I1371" s="8" t="str">
        <f>IFERROR(__xludf.DUMMYFUNCTION("""COMPUTED_VALUE"""),"General")</f>
        <v>General</v>
      </c>
      <c r="J1371" s="8" t="str">
        <f>IFERROR(__xludf.DUMMYFUNCTION("""COMPUTED_VALUE"""),"Dresses")</f>
        <v>Dresses</v>
      </c>
      <c r="K1371" s="8" t="str">
        <f>IFERROR(__xludf.DUMMYFUNCTION("""COMPUTED_VALUE"""),"Dresses")</f>
        <v>Dresses</v>
      </c>
    </row>
    <row r="1372">
      <c r="A1372" s="8">
        <f>IFERROR(__xludf.DUMMYFUNCTION("""COMPUTED_VALUE"""),1816.0)</f>
        <v>1816</v>
      </c>
      <c r="B1372" s="8">
        <f>IFERROR(__xludf.DUMMYFUNCTION("""COMPUTED_VALUE"""),1080.0)</f>
        <v>1080</v>
      </c>
      <c r="C1372" s="8">
        <f>IFERROR(__xludf.DUMMYFUNCTION("""COMPUTED_VALUE"""),37.0)</f>
        <v>37</v>
      </c>
      <c r="D1372" s="8"/>
      <c r="E1372" s="8" t="str">
        <f>IFERROR(__xludf.DUMMYFUNCTION("""COMPUTED_VALUE"""),"I'm so excited about this dress! it's perfect for the summer. the material is so soft and lightweight, with a great lining. i ordered a small petite and it fits great! the ruching in the front isn't overdone, so you don't have to worry about adding bulk i"&amp;"n the midsection. no problem with my bra (32dd) showing in the back either.")</f>
        <v>I'm so excited about this dress! it's perfect for the summer. the material is so soft and lightweight, with a great lining. i ordered a small petite and it fits great! the ruching in the front isn't overdone, so you don't have to worry about adding bulk in the midsection. no problem with my bra (32dd) showing in the back either.</v>
      </c>
      <c r="F1372" s="8">
        <f>IFERROR(__xludf.DUMMYFUNCTION("""COMPUTED_VALUE"""),4.0)</f>
        <v>4</v>
      </c>
      <c r="G1372" s="8">
        <f>IFERROR(__xludf.DUMMYFUNCTION("""COMPUTED_VALUE"""),1.0)</f>
        <v>1</v>
      </c>
      <c r="H1372" s="8">
        <f>IFERROR(__xludf.DUMMYFUNCTION("""COMPUTED_VALUE"""),3.0)</f>
        <v>3</v>
      </c>
      <c r="I1372" s="8" t="str">
        <f>IFERROR(__xludf.DUMMYFUNCTION("""COMPUTED_VALUE"""),"General")</f>
        <v>General</v>
      </c>
      <c r="J1372" s="8" t="str">
        <f>IFERROR(__xludf.DUMMYFUNCTION("""COMPUTED_VALUE"""),"Dresses")</f>
        <v>Dresses</v>
      </c>
      <c r="K1372" s="8" t="str">
        <f>IFERROR(__xludf.DUMMYFUNCTION("""COMPUTED_VALUE"""),"Dresses")</f>
        <v>Dresses</v>
      </c>
    </row>
    <row r="1373">
      <c r="A1373" s="8">
        <f>IFERROR(__xludf.DUMMYFUNCTION("""COMPUTED_VALUE"""),1817.0)</f>
        <v>1817</v>
      </c>
      <c r="B1373" s="8">
        <f>IFERROR(__xludf.DUMMYFUNCTION("""COMPUTED_VALUE"""),994.0)</f>
        <v>994</v>
      </c>
      <c r="C1373" s="8">
        <f>IFERROR(__xludf.DUMMYFUNCTION("""COMPUTED_VALUE"""),35.0)</f>
        <v>35</v>
      </c>
      <c r="D1373" s="8"/>
      <c r="E1373" s="8"/>
      <c r="F1373" s="8">
        <f>IFERROR(__xludf.DUMMYFUNCTION("""COMPUTED_VALUE"""),5.0)</f>
        <v>5</v>
      </c>
      <c r="G1373" s="8">
        <f>IFERROR(__xludf.DUMMYFUNCTION("""COMPUTED_VALUE"""),1.0)</f>
        <v>1</v>
      </c>
      <c r="H1373" s="8">
        <f>IFERROR(__xludf.DUMMYFUNCTION("""COMPUTED_VALUE"""),0.0)</f>
        <v>0</v>
      </c>
      <c r="I1373" s="8" t="str">
        <f>IFERROR(__xludf.DUMMYFUNCTION("""COMPUTED_VALUE"""),"General Petite")</f>
        <v>General Petite</v>
      </c>
      <c r="J1373" s="8" t="str">
        <f>IFERROR(__xludf.DUMMYFUNCTION("""COMPUTED_VALUE"""),"Bottoms")</f>
        <v>Bottoms</v>
      </c>
      <c r="K1373" s="8" t="str">
        <f>IFERROR(__xludf.DUMMYFUNCTION("""COMPUTED_VALUE"""),"Skirts")</f>
        <v>Skirts</v>
      </c>
    </row>
    <row r="1374">
      <c r="A1374" s="8">
        <f>IFERROR(__xludf.DUMMYFUNCTION("""COMPUTED_VALUE"""),1823.0)</f>
        <v>1823</v>
      </c>
      <c r="B1374" s="8">
        <f>IFERROR(__xludf.DUMMYFUNCTION("""COMPUTED_VALUE"""),1026.0)</f>
        <v>1026</v>
      </c>
      <c r="C1374" s="8">
        <f>IFERROR(__xludf.DUMMYFUNCTION("""COMPUTED_VALUE"""),55.0)</f>
        <v>55</v>
      </c>
      <c r="D1374" s="8" t="str">
        <f>IFERROR(__xludf.DUMMYFUNCTION("""COMPUTED_VALUE"""),"Love them!")</f>
        <v>Love them!</v>
      </c>
      <c r="E1374" s="8" t="str">
        <f>IFERROR(__xludf.DUMMYFUNCTION("""COMPUTED_VALUE"""),"These are the most comfortable pants i own. i bought them in the gold, green, and gray (which really does look more like a grayish purple). the gold is my favorite - it goes with so many things! i was just checking to see if there were any other colors - "&amp;"would love them in black and a burgundy. i'm about 125 lbs,, 5 foot 7, and the 28 is a perfect fit. the saleswoman warned that they would stretch out, but i haven't found that to be a real problem.")</f>
        <v>These are the most comfortable pants i own. i bought them in the gold, green, and gray (which really does look more like a grayish purple). the gold is my favorite - it goes with so many things! i was just checking to see if there were any other colors - would love them in black and a burgundy. i'm about 125 lbs,, 5 foot 7, and the 28 is a perfect fit. the saleswoman warned that they would stretch out, but i haven't found that to be a real problem.</v>
      </c>
      <c r="F1374" s="8">
        <f>IFERROR(__xludf.DUMMYFUNCTION("""COMPUTED_VALUE"""),5.0)</f>
        <v>5</v>
      </c>
      <c r="G1374" s="8">
        <f>IFERROR(__xludf.DUMMYFUNCTION("""COMPUTED_VALUE"""),1.0)</f>
        <v>1</v>
      </c>
      <c r="H1374" s="8">
        <f>IFERROR(__xludf.DUMMYFUNCTION("""COMPUTED_VALUE"""),0.0)</f>
        <v>0</v>
      </c>
      <c r="I1374" s="8" t="str">
        <f>IFERROR(__xludf.DUMMYFUNCTION("""COMPUTED_VALUE"""),"General Petite")</f>
        <v>General Petite</v>
      </c>
      <c r="J1374" s="8" t="str">
        <f>IFERROR(__xludf.DUMMYFUNCTION("""COMPUTED_VALUE"""),"Bottoms")</f>
        <v>Bottoms</v>
      </c>
      <c r="K1374" s="8" t="str">
        <f>IFERROR(__xludf.DUMMYFUNCTION("""COMPUTED_VALUE"""),"Jeans")</f>
        <v>Jeans</v>
      </c>
    </row>
    <row r="1375">
      <c r="A1375" s="8">
        <f>IFERROR(__xludf.DUMMYFUNCTION("""COMPUTED_VALUE"""),1825.0)</f>
        <v>1825</v>
      </c>
      <c r="B1375" s="8">
        <f>IFERROR(__xludf.DUMMYFUNCTION("""COMPUTED_VALUE"""),1054.0)</f>
        <v>1054</v>
      </c>
      <c r="C1375" s="8">
        <f>IFERROR(__xludf.DUMMYFUNCTION("""COMPUTED_VALUE"""),24.0)</f>
        <v>24</v>
      </c>
      <c r="D1375" s="8"/>
      <c r="E1375" s="8" t="str">
        <f>IFERROR(__xludf.DUMMYFUNCTION("""COMPUTED_VALUE"""),"Love these pants! super comfortable, but feel high quality. i am usually a size 2 and the xs fits perfectly.")</f>
        <v>Love these pants! super comfortable, but feel high quality. i am usually a size 2 and the xs fits perfectly.</v>
      </c>
      <c r="F1375" s="8">
        <f>IFERROR(__xludf.DUMMYFUNCTION("""COMPUTED_VALUE"""),5.0)</f>
        <v>5</v>
      </c>
      <c r="G1375" s="8">
        <f>IFERROR(__xludf.DUMMYFUNCTION("""COMPUTED_VALUE"""),1.0)</f>
        <v>1</v>
      </c>
      <c r="H1375" s="8">
        <f>IFERROR(__xludf.DUMMYFUNCTION("""COMPUTED_VALUE"""),0.0)</f>
        <v>0</v>
      </c>
      <c r="I1375" s="8" t="str">
        <f>IFERROR(__xludf.DUMMYFUNCTION("""COMPUTED_VALUE"""),"General")</f>
        <v>General</v>
      </c>
      <c r="J1375" s="8" t="str">
        <f>IFERROR(__xludf.DUMMYFUNCTION("""COMPUTED_VALUE"""),"Bottoms")</f>
        <v>Bottoms</v>
      </c>
      <c r="K1375" s="8" t="str">
        <f>IFERROR(__xludf.DUMMYFUNCTION("""COMPUTED_VALUE"""),"Pants")</f>
        <v>Pants</v>
      </c>
    </row>
    <row r="1376">
      <c r="A1376" s="8">
        <f>IFERROR(__xludf.DUMMYFUNCTION("""COMPUTED_VALUE"""),1826.0)</f>
        <v>1826</v>
      </c>
      <c r="B1376" s="8">
        <f>IFERROR(__xludf.DUMMYFUNCTION("""COMPUTED_VALUE"""),1080.0)</f>
        <v>1080</v>
      </c>
      <c r="C1376" s="8">
        <f>IFERROR(__xludf.DUMMYFUNCTION("""COMPUTED_VALUE"""),27.0)</f>
        <v>27</v>
      </c>
      <c r="D1376" s="8" t="str">
        <f>IFERROR(__xludf.DUMMYFUNCTION("""COMPUTED_VALUE"""),"Lining makes all the difference")</f>
        <v>Lining makes all the difference</v>
      </c>
      <c r="E1376" s="8" t="str">
        <f>IFERROR(__xludf.DUMMYFUNCTION("""COMPUTED_VALUE"""),"130 lb, 5'5, 32dd. ordered xs. this dress is a bit outside my normal retailer style, but i love tracy reese designs and it had good reviews so i decided to give it a try. i could not be more pleased with this decision. as some of the other reviewers have "&amp;"said, the dress is very well made. the lining in particular is excellent- it is a soft mesh that prevents the dress from clinging, without adding bulk in the hot summer weather. i typically wear more structured dresses, but the lining on this dres")</f>
        <v>130 lb, 5'5, 32dd. ordered xs. this dress is a bit outside my normal retailer style, but i love tracy reese designs and it had good reviews so i decided to give it a try. i could not be more pleased with this decision. as some of the other reviewers have said, the dress is very well made. the lining in particular is excellent- it is a soft mesh that prevents the dress from clinging, without adding bulk in the hot summer weather. i typically wear more structured dresses, but the lining on this dres</v>
      </c>
      <c r="F1376" s="8">
        <f>IFERROR(__xludf.DUMMYFUNCTION("""COMPUTED_VALUE"""),5.0)</f>
        <v>5</v>
      </c>
      <c r="G1376" s="8">
        <f>IFERROR(__xludf.DUMMYFUNCTION("""COMPUTED_VALUE"""),1.0)</f>
        <v>1</v>
      </c>
      <c r="H1376" s="8">
        <f>IFERROR(__xludf.DUMMYFUNCTION("""COMPUTED_VALUE"""),3.0)</f>
        <v>3</v>
      </c>
      <c r="I1376" s="8" t="str">
        <f>IFERROR(__xludf.DUMMYFUNCTION("""COMPUTED_VALUE"""),"General")</f>
        <v>General</v>
      </c>
      <c r="J1376" s="8" t="str">
        <f>IFERROR(__xludf.DUMMYFUNCTION("""COMPUTED_VALUE"""),"Dresses")</f>
        <v>Dresses</v>
      </c>
      <c r="K1376" s="8" t="str">
        <f>IFERROR(__xludf.DUMMYFUNCTION("""COMPUTED_VALUE"""),"Dresses")</f>
        <v>Dresses</v>
      </c>
    </row>
    <row r="1377">
      <c r="A1377" s="8">
        <f>IFERROR(__xludf.DUMMYFUNCTION("""COMPUTED_VALUE"""),1827.0)</f>
        <v>1827</v>
      </c>
      <c r="B1377" s="8">
        <f>IFERROR(__xludf.DUMMYFUNCTION("""COMPUTED_VALUE"""),994.0)</f>
        <v>994</v>
      </c>
      <c r="C1377" s="8">
        <f>IFERROR(__xludf.DUMMYFUNCTION("""COMPUTED_VALUE"""),24.0)</f>
        <v>24</v>
      </c>
      <c r="D1377" s="8" t="str">
        <f>IFERROR(__xludf.DUMMYFUNCTION("""COMPUTED_VALUE"""),"Great material and design!")</f>
        <v>Great material and design!</v>
      </c>
      <c r="E1377" s="8" t="str">
        <f>IFERROR(__xludf.DUMMYFUNCTION("""COMPUTED_VALUE"""),"As most other reviewers stated, the skirt does run a bit large and long. however, it is nothing a tailor can't fix! i plan on getting it taken in to fit higher up on my waist to make it both smaller and hit closer to below my knees rather than mid-calf. t"&amp;"he elegance of the skirt can be dressed up or down depending on what top/shoes you pair it with. it feels well made and the coloring is much better in person than in the picture!")</f>
        <v>As most other reviewers stated, the skirt does run a bit large and long. however, it is nothing a tailor can't fix! i plan on getting it taken in to fit higher up on my waist to make it both smaller and hit closer to below my knees rather than mid-calf. the elegance of the skirt can be dressed up or down depending on what top/shoes you pair it with. it feels well made and the coloring is much better in person than in the picture!</v>
      </c>
      <c r="F1377" s="8">
        <f>IFERROR(__xludf.DUMMYFUNCTION("""COMPUTED_VALUE"""),5.0)</f>
        <v>5</v>
      </c>
      <c r="G1377" s="8">
        <f>IFERROR(__xludf.DUMMYFUNCTION("""COMPUTED_VALUE"""),1.0)</f>
        <v>1</v>
      </c>
      <c r="H1377" s="8">
        <f>IFERROR(__xludf.DUMMYFUNCTION("""COMPUTED_VALUE"""),0.0)</f>
        <v>0</v>
      </c>
      <c r="I1377" s="8" t="str">
        <f>IFERROR(__xludf.DUMMYFUNCTION("""COMPUTED_VALUE"""),"General Petite")</f>
        <v>General Petite</v>
      </c>
      <c r="J1377" s="8" t="str">
        <f>IFERROR(__xludf.DUMMYFUNCTION("""COMPUTED_VALUE"""),"Bottoms")</f>
        <v>Bottoms</v>
      </c>
      <c r="K1377" s="8" t="str">
        <f>IFERROR(__xludf.DUMMYFUNCTION("""COMPUTED_VALUE"""),"Skirts")</f>
        <v>Skirts</v>
      </c>
    </row>
    <row r="1378">
      <c r="A1378" s="8">
        <f>IFERROR(__xludf.DUMMYFUNCTION("""COMPUTED_VALUE"""),1829.0)</f>
        <v>1829</v>
      </c>
      <c r="B1378" s="8">
        <f>IFERROR(__xludf.DUMMYFUNCTION("""COMPUTED_VALUE"""),1080.0)</f>
        <v>1080</v>
      </c>
      <c r="C1378" s="8">
        <f>IFERROR(__xludf.DUMMYFUNCTION("""COMPUTED_VALUE"""),40.0)</f>
        <v>40</v>
      </c>
      <c r="D1378" s="8" t="str">
        <f>IFERROR(__xludf.DUMMYFUNCTION("""COMPUTED_VALUE"""),"The maxi dress i've been looking for")</f>
        <v>The maxi dress i've been looking for</v>
      </c>
      <c r="E1378" s="8" t="str">
        <f>IFERROR(__xludf.DUMMYFUNCTION("""COMPUTED_VALUE"""),"The first reviewer summed up many of my thoughts exactly. i don't like to go without a bra and this dress with its slightly wider, almost cap-sleeve straps solves my problem perfectly. i love this neckline and wish i'd see it in more maxi dresses! the cro"&amp;"ssover and cutouts in the back mimic the lines of a traditional indian sari blouse and skirt, again without sacrificing bra coverage. just a beautiful and inspired design - definitely a standout in the sea of summer maxi dresses i've seen. i lov")</f>
        <v>The first reviewer summed up many of my thoughts exactly. i don't like to go without a bra and this dress with its slightly wider, almost cap-sleeve straps solves my problem perfectly. i love this neckline and wish i'd see it in more maxi dresses! the crossover and cutouts in the back mimic the lines of a traditional indian sari blouse and skirt, again without sacrificing bra coverage. just a beautiful and inspired design - definitely a standout in the sea of summer maxi dresses i've seen. i lov</v>
      </c>
      <c r="F1378" s="8">
        <f>IFERROR(__xludf.DUMMYFUNCTION("""COMPUTED_VALUE"""),4.0)</f>
        <v>4</v>
      </c>
      <c r="G1378" s="8">
        <f>IFERROR(__xludf.DUMMYFUNCTION("""COMPUTED_VALUE"""),1.0)</f>
        <v>1</v>
      </c>
      <c r="H1378" s="8">
        <f>IFERROR(__xludf.DUMMYFUNCTION("""COMPUTED_VALUE"""),17.0)</f>
        <v>17</v>
      </c>
      <c r="I1378" s="8" t="str">
        <f>IFERROR(__xludf.DUMMYFUNCTION("""COMPUTED_VALUE"""),"General")</f>
        <v>General</v>
      </c>
      <c r="J1378" s="8" t="str">
        <f>IFERROR(__xludf.DUMMYFUNCTION("""COMPUTED_VALUE"""),"Dresses")</f>
        <v>Dresses</v>
      </c>
      <c r="K1378" s="8" t="str">
        <f>IFERROR(__xludf.DUMMYFUNCTION("""COMPUTED_VALUE"""),"Dresses")</f>
        <v>Dresses</v>
      </c>
    </row>
    <row r="1379">
      <c r="A1379" s="8">
        <f>IFERROR(__xludf.DUMMYFUNCTION("""COMPUTED_VALUE"""),1830.0)</f>
        <v>1830</v>
      </c>
      <c r="B1379" s="8">
        <f>IFERROR(__xludf.DUMMYFUNCTION("""COMPUTED_VALUE"""),1094.0)</f>
        <v>1094</v>
      </c>
      <c r="C1379" s="8">
        <f>IFERROR(__xludf.DUMMYFUNCTION("""COMPUTED_VALUE"""),47.0)</f>
        <v>47</v>
      </c>
      <c r="D1379" s="8" t="str">
        <f>IFERROR(__xludf.DUMMYFUNCTION("""COMPUTED_VALUE"""),"Gorgeus dress")</f>
        <v>Gorgeus dress</v>
      </c>
      <c r="E1379" s="8" t="str">
        <f>IFERROR(__xludf.DUMMYFUNCTION("""COMPUTED_VALUE"""),"I love the bohemian look and fell in love when i saw this dress when i saw it online. it's pricey but i am holding on to it because it's really beautiful. i got a medium. i'm 5'2"", medium built. it's just perfect. i'm tempted to get the petite but with p"&amp;"etite, the top gets to be too short so i think i'll stick with regular size. my family loved it! the quality and detail in the dress is just gorgeous! you can easily dress this up or down.")</f>
        <v>I love the bohemian look and fell in love when i saw this dress when i saw it online. it's pricey but i am holding on to it because it's really beautiful. i got a medium. i'm 5'2", medium built. it's just perfect. i'm tempted to get the petite but with petite, the top gets to be too short so i think i'll stick with regular size. my family loved it! the quality and detail in the dress is just gorgeous! you can easily dress this up or down.</v>
      </c>
      <c r="F1379" s="8">
        <f>IFERROR(__xludf.DUMMYFUNCTION("""COMPUTED_VALUE"""),5.0)</f>
        <v>5</v>
      </c>
      <c r="G1379" s="8">
        <f>IFERROR(__xludf.DUMMYFUNCTION("""COMPUTED_VALUE"""),1.0)</f>
        <v>1</v>
      </c>
      <c r="H1379" s="8">
        <f>IFERROR(__xludf.DUMMYFUNCTION("""COMPUTED_VALUE"""),0.0)</f>
        <v>0</v>
      </c>
      <c r="I1379" s="8" t="str">
        <f>IFERROR(__xludf.DUMMYFUNCTION("""COMPUTED_VALUE"""),"General")</f>
        <v>General</v>
      </c>
      <c r="J1379" s="8" t="str">
        <f>IFERROR(__xludf.DUMMYFUNCTION("""COMPUTED_VALUE"""),"Dresses")</f>
        <v>Dresses</v>
      </c>
      <c r="K1379" s="8" t="str">
        <f>IFERROR(__xludf.DUMMYFUNCTION("""COMPUTED_VALUE"""),"Dresses")</f>
        <v>Dresses</v>
      </c>
    </row>
    <row r="1380">
      <c r="A1380" s="8">
        <f>IFERROR(__xludf.DUMMYFUNCTION("""COMPUTED_VALUE"""),1832.0)</f>
        <v>1832</v>
      </c>
      <c r="B1380" s="8">
        <f>IFERROR(__xludf.DUMMYFUNCTION("""COMPUTED_VALUE"""),1080.0)</f>
        <v>1080</v>
      </c>
      <c r="C1380" s="8">
        <f>IFERROR(__xludf.DUMMYFUNCTION("""COMPUTED_VALUE"""),37.0)</f>
        <v>37</v>
      </c>
      <c r="D1380" s="8"/>
      <c r="E1380" s="8" t="str">
        <f>IFERROR(__xludf.DUMMYFUNCTION("""COMPUTED_VALUE"""),"This dress is extremely comfortable and easy to wear with a bra. the back is great and the length is perfect for me. it's flattering, but the pattern (being light in color across the middle) isn't particularly flattering on your waist. that being said tho"&amp;"ugh, the gathering in front is great for hiding bumps and whatnot (after 3 kids that's important to me). lightweight and great for summer. 5'8"", 135lbs and the size s fit perfectly.")</f>
        <v>This dress is extremely comfortable and easy to wear with a bra. the back is great and the length is perfect for me. it's flattering, but the pattern (being light in color across the middle) isn't particularly flattering on your waist. that being said though, the gathering in front is great for hiding bumps and whatnot (after 3 kids that's important to me). lightweight and great for summer. 5'8", 135lbs and the size s fit perfectly.</v>
      </c>
      <c r="F1380" s="8">
        <f>IFERROR(__xludf.DUMMYFUNCTION("""COMPUTED_VALUE"""),4.0)</f>
        <v>4</v>
      </c>
      <c r="G1380" s="8">
        <f>IFERROR(__xludf.DUMMYFUNCTION("""COMPUTED_VALUE"""),1.0)</f>
        <v>1</v>
      </c>
      <c r="H1380" s="8">
        <f>IFERROR(__xludf.DUMMYFUNCTION("""COMPUTED_VALUE"""),10.0)</f>
        <v>10</v>
      </c>
      <c r="I1380" s="8" t="str">
        <f>IFERROR(__xludf.DUMMYFUNCTION("""COMPUTED_VALUE"""),"General")</f>
        <v>General</v>
      </c>
      <c r="J1380" s="8" t="str">
        <f>IFERROR(__xludf.DUMMYFUNCTION("""COMPUTED_VALUE"""),"Dresses")</f>
        <v>Dresses</v>
      </c>
      <c r="K1380" s="8" t="str">
        <f>IFERROR(__xludf.DUMMYFUNCTION("""COMPUTED_VALUE"""),"Dresses")</f>
        <v>Dresses</v>
      </c>
    </row>
    <row r="1381">
      <c r="A1381" s="8">
        <f>IFERROR(__xludf.DUMMYFUNCTION("""COMPUTED_VALUE"""),1833.0)</f>
        <v>1833</v>
      </c>
      <c r="B1381" s="8">
        <f>IFERROR(__xludf.DUMMYFUNCTION("""COMPUTED_VALUE"""),903.0)</f>
        <v>903</v>
      </c>
      <c r="C1381" s="8">
        <f>IFERROR(__xludf.DUMMYFUNCTION("""COMPUTED_VALUE"""),35.0)</f>
        <v>35</v>
      </c>
      <c r="D1381" s="8" t="str">
        <f>IFERROR(__xludf.DUMMYFUNCTION("""COMPUTED_VALUE"""),"Lovely!")</f>
        <v>Lovely!</v>
      </c>
      <c r="E1381" s="8" t="str">
        <f>IFERROR(__xludf.DUMMYFUNCTION("""COMPUTED_VALUE"""),"I love this top! fits true to size. tunic length, thin comfy fabric, adorable subtle print. the perfect top!")</f>
        <v>I love this top! fits true to size. tunic length, thin comfy fabric, adorable subtle print. the perfect top!</v>
      </c>
      <c r="F1381" s="8">
        <f>IFERROR(__xludf.DUMMYFUNCTION("""COMPUTED_VALUE"""),5.0)</f>
        <v>5</v>
      </c>
      <c r="G1381" s="8">
        <f>IFERROR(__xludf.DUMMYFUNCTION("""COMPUTED_VALUE"""),1.0)</f>
        <v>1</v>
      </c>
      <c r="H1381" s="8">
        <f>IFERROR(__xludf.DUMMYFUNCTION("""COMPUTED_VALUE"""),0.0)</f>
        <v>0</v>
      </c>
      <c r="I1381" s="8" t="str">
        <f>IFERROR(__xludf.DUMMYFUNCTION("""COMPUTED_VALUE"""),"General")</f>
        <v>General</v>
      </c>
      <c r="J1381" s="8" t="str">
        <f>IFERROR(__xludf.DUMMYFUNCTION("""COMPUTED_VALUE"""),"Tops")</f>
        <v>Tops</v>
      </c>
      <c r="K1381" s="8" t="str">
        <f>IFERROR(__xludf.DUMMYFUNCTION("""COMPUTED_VALUE"""),"Fine gauge")</f>
        <v>Fine gauge</v>
      </c>
    </row>
    <row r="1382">
      <c r="A1382" s="8">
        <f>IFERROR(__xludf.DUMMYFUNCTION("""COMPUTED_VALUE"""),1834.0)</f>
        <v>1834</v>
      </c>
      <c r="B1382" s="8">
        <f>IFERROR(__xludf.DUMMYFUNCTION("""COMPUTED_VALUE"""),1026.0)</f>
        <v>1026</v>
      </c>
      <c r="C1382" s="8">
        <f>IFERROR(__xludf.DUMMYFUNCTION("""COMPUTED_VALUE"""),33.0)</f>
        <v>33</v>
      </c>
      <c r="D1382" s="8" t="str">
        <f>IFERROR(__xludf.DUMMYFUNCTION("""COMPUTED_VALUE"""),"5-star fantastic!")</f>
        <v>5-star fantastic!</v>
      </c>
      <c r="E1382" s="8" t="str">
        <f>IFERROR(__xludf.DUMMYFUNCTION("""COMPUTED_VALUE"""),"This is my first ever review! these pants are 5-star fantastic. ordering additional colors because i love these so much and am finding i want to wear them every day. i initially ordered the bronze color which is superb, just beautiful. i was worried it mi"&amp;"ght be too bright to wear to work, or be a different hue in real life, but they look just like the picture. to my happy surprise they dress up easily. it's a really rich color that i have been able to pull off at work with long sweaters and boot")</f>
        <v>This is my first ever review! these pants are 5-star fantastic. ordering additional colors because i love these so much and am finding i want to wear them every day. i initially ordered the bronze color which is superb, just beautiful. i was worried it might be too bright to wear to work, or be a different hue in real life, but they look just like the picture. to my happy surprise they dress up easily. it's a really rich color that i have been able to pull off at work with long sweaters and boot</v>
      </c>
      <c r="F1382" s="8">
        <f>IFERROR(__xludf.DUMMYFUNCTION("""COMPUTED_VALUE"""),5.0)</f>
        <v>5</v>
      </c>
      <c r="G1382" s="8">
        <f>IFERROR(__xludf.DUMMYFUNCTION("""COMPUTED_VALUE"""),1.0)</f>
        <v>1</v>
      </c>
      <c r="H1382" s="8">
        <f>IFERROR(__xludf.DUMMYFUNCTION("""COMPUTED_VALUE"""),0.0)</f>
        <v>0</v>
      </c>
      <c r="I1382" s="8" t="str">
        <f>IFERROR(__xludf.DUMMYFUNCTION("""COMPUTED_VALUE"""),"General Petite")</f>
        <v>General Petite</v>
      </c>
      <c r="J1382" s="8" t="str">
        <f>IFERROR(__xludf.DUMMYFUNCTION("""COMPUTED_VALUE"""),"Bottoms")</f>
        <v>Bottoms</v>
      </c>
      <c r="K1382" s="8" t="str">
        <f>IFERROR(__xludf.DUMMYFUNCTION("""COMPUTED_VALUE"""),"Jeans")</f>
        <v>Jeans</v>
      </c>
    </row>
    <row r="1383">
      <c r="A1383" s="8">
        <f>IFERROR(__xludf.DUMMYFUNCTION("""COMPUTED_VALUE"""),1835.0)</f>
        <v>1835</v>
      </c>
      <c r="B1383" s="8">
        <f>IFERROR(__xludf.DUMMYFUNCTION("""COMPUTED_VALUE"""),994.0)</f>
        <v>994</v>
      </c>
      <c r="C1383" s="8">
        <f>IFERROR(__xludf.DUMMYFUNCTION("""COMPUTED_VALUE"""),57.0)</f>
        <v>57</v>
      </c>
      <c r="D1383" s="8"/>
      <c r="E1383" s="8"/>
      <c r="F1383" s="8">
        <f>IFERROR(__xludf.DUMMYFUNCTION("""COMPUTED_VALUE"""),5.0)</f>
        <v>5</v>
      </c>
      <c r="G1383" s="8">
        <f>IFERROR(__xludf.DUMMYFUNCTION("""COMPUTED_VALUE"""),1.0)</f>
        <v>1</v>
      </c>
      <c r="H1383" s="8">
        <f>IFERROR(__xludf.DUMMYFUNCTION("""COMPUTED_VALUE"""),0.0)</f>
        <v>0</v>
      </c>
      <c r="I1383" s="8" t="str">
        <f>IFERROR(__xludf.DUMMYFUNCTION("""COMPUTED_VALUE"""),"General Petite")</f>
        <v>General Petite</v>
      </c>
      <c r="J1383" s="8" t="str">
        <f>IFERROR(__xludf.DUMMYFUNCTION("""COMPUTED_VALUE"""),"Bottoms")</f>
        <v>Bottoms</v>
      </c>
      <c r="K1383" s="8" t="str">
        <f>IFERROR(__xludf.DUMMYFUNCTION("""COMPUTED_VALUE"""),"Skirts")</f>
        <v>Skirts</v>
      </c>
    </row>
    <row r="1384">
      <c r="A1384" s="8">
        <f>IFERROR(__xludf.DUMMYFUNCTION("""COMPUTED_VALUE"""),1836.0)</f>
        <v>1836</v>
      </c>
      <c r="B1384" s="8">
        <f>IFERROR(__xludf.DUMMYFUNCTION("""COMPUTED_VALUE"""),1094.0)</f>
        <v>1094</v>
      </c>
      <c r="C1384" s="8">
        <f>IFERROR(__xludf.DUMMYFUNCTION("""COMPUTED_VALUE"""),43.0)</f>
        <v>43</v>
      </c>
      <c r="D1384" s="8"/>
      <c r="E1384" s="8" t="str">
        <f>IFERROR(__xludf.DUMMYFUNCTION("""COMPUTED_VALUE"""),"I feel like an indian goddess in this dress! lots of swing to it!")</f>
        <v>I feel like an indian goddess in this dress! lots of swing to it!</v>
      </c>
      <c r="F1384" s="8">
        <f>IFERROR(__xludf.DUMMYFUNCTION("""COMPUTED_VALUE"""),5.0)</f>
        <v>5</v>
      </c>
      <c r="G1384" s="8">
        <f>IFERROR(__xludf.DUMMYFUNCTION("""COMPUTED_VALUE"""),1.0)</f>
        <v>1</v>
      </c>
      <c r="H1384" s="8">
        <f>IFERROR(__xludf.DUMMYFUNCTION("""COMPUTED_VALUE"""),0.0)</f>
        <v>0</v>
      </c>
      <c r="I1384" s="8" t="str">
        <f>IFERROR(__xludf.DUMMYFUNCTION("""COMPUTED_VALUE"""),"General")</f>
        <v>General</v>
      </c>
      <c r="J1384" s="8" t="str">
        <f>IFERROR(__xludf.DUMMYFUNCTION("""COMPUTED_VALUE"""),"Dresses")</f>
        <v>Dresses</v>
      </c>
      <c r="K1384" s="8" t="str">
        <f>IFERROR(__xludf.DUMMYFUNCTION("""COMPUTED_VALUE"""),"Dresses")</f>
        <v>Dresses</v>
      </c>
    </row>
    <row r="1385">
      <c r="A1385" s="8">
        <f>IFERROR(__xludf.DUMMYFUNCTION("""COMPUTED_VALUE"""),1838.0)</f>
        <v>1838</v>
      </c>
      <c r="B1385" s="8">
        <f>IFERROR(__xludf.DUMMYFUNCTION("""COMPUTED_VALUE"""),481.0)</f>
        <v>481</v>
      </c>
      <c r="C1385" s="8">
        <f>IFERROR(__xludf.DUMMYFUNCTION("""COMPUTED_VALUE"""),33.0)</f>
        <v>33</v>
      </c>
      <c r="D1385" s="8"/>
      <c r="E1385" s="8" t="str">
        <f>IFERROR(__xludf.DUMMYFUNCTION("""COMPUTED_VALUE"""),"This romper originally caught my eye in the beginning of the summer with the sweet back bow detail. i had originally planned to purchase for a trip to paris in june, but waited until the last minute and my size wasn't immediately available at my local sto"&amp;"re. i had honestly forgotten about the romper until i noticed it recently in the sale section ... at that price i couldn't pass it up. again it wasn't available in my size at the store location, but they were able to ship it w/in a few days. i p")</f>
        <v>This romper originally caught my eye in the beginning of the summer with the sweet back bow detail. i had originally planned to purchase for a trip to paris in june, but waited until the last minute and my size wasn't immediately available at my local store. i had honestly forgotten about the romper until i noticed it recently in the sale section ... at that price i couldn't pass it up. again it wasn't available in my size at the store location, but they were able to ship it w/in a few days. i p</v>
      </c>
      <c r="F1385" s="8">
        <f>IFERROR(__xludf.DUMMYFUNCTION("""COMPUTED_VALUE"""),5.0)</f>
        <v>5</v>
      </c>
      <c r="G1385" s="8">
        <f>IFERROR(__xludf.DUMMYFUNCTION("""COMPUTED_VALUE"""),1.0)</f>
        <v>1</v>
      </c>
      <c r="H1385" s="8">
        <f>IFERROR(__xludf.DUMMYFUNCTION("""COMPUTED_VALUE"""),0.0)</f>
        <v>0</v>
      </c>
      <c r="I1385" s="8" t="str">
        <f>IFERROR(__xludf.DUMMYFUNCTION("""COMPUTED_VALUE"""),"General Petite")</f>
        <v>General Petite</v>
      </c>
      <c r="J1385" s="8" t="str">
        <f>IFERROR(__xludf.DUMMYFUNCTION("""COMPUTED_VALUE"""),"Bottoms")</f>
        <v>Bottoms</v>
      </c>
      <c r="K1385" s="8" t="str">
        <f>IFERROR(__xludf.DUMMYFUNCTION("""COMPUTED_VALUE"""),"Pants")</f>
        <v>Pants</v>
      </c>
    </row>
    <row r="1386">
      <c r="A1386" s="8">
        <f>IFERROR(__xludf.DUMMYFUNCTION("""COMPUTED_VALUE"""),1839.0)</f>
        <v>1839</v>
      </c>
      <c r="B1386" s="8">
        <f>IFERROR(__xludf.DUMMYFUNCTION("""COMPUTED_VALUE"""),868.0)</f>
        <v>868</v>
      </c>
      <c r="C1386" s="8">
        <f>IFERROR(__xludf.DUMMYFUNCTION("""COMPUTED_VALUE"""),48.0)</f>
        <v>48</v>
      </c>
      <c r="D1386" s="8" t="str">
        <f>IFERROR(__xludf.DUMMYFUNCTION("""COMPUTED_VALUE"""),"Beautiful unique top")</f>
        <v>Beautiful unique top</v>
      </c>
      <c r="E1386" s="8" t="str">
        <f>IFERROR(__xludf.DUMMYFUNCTION("""COMPUTED_VALUE"""),"Love the unique details and neutral color scheme. top is boxy but i liked the way it looked on my 5'2"" 115 lb. frame. it's comfortable and well made. thicker material.  seems to be holding up fine after one washing.  looks great with skinny jeans.  highl"&amp;"y recommend!")</f>
        <v>Love the unique details and neutral color scheme. top is boxy but i liked the way it looked on my 5'2" 115 lb. frame. it's comfortable and well made. thicker material.  seems to be holding up fine after one washing.  looks great with skinny jeans.  highly recommend!</v>
      </c>
      <c r="F1386" s="8">
        <f>IFERROR(__xludf.DUMMYFUNCTION("""COMPUTED_VALUE"""),5.0)</f>
        <v>5</v>
      </c>
      <c r="G1386" s="8">
        <f>IFERROR(__xludf.DUMMYFUNCTION("""COMPUTED_VALUE"""),1.0)</f>
        <v>1</v>
      </c>
      <c r="H1386" s="8">
        <f>IFERROR(__xludf.DUMMYFUNCTION("""COMPUTED_VALUE"""),0.0)</f>
        <v>0</v>
      </c>
      <c r="I1386" s="8" t="str">
        <f>IFERROR(__xludf.DUMMYFUNCTION("""COMPUTED_VALUE"""),"General")</f>
        <v>General</v>
      </c>
      <c r="J1386" s="8" t="str">
        <f>IFERROR(__xludf.DUMMYFUNCTION("""COMPUTED_VALUE"""),"Tops")</f>
        <v>Tops</v>
      </c>
      <c r="K1386" s="8" t="str">
        <f>IFERROR(__xludf.DUMMYFUNCTION("""COMPUTED_VALUE"""),"Knits")</f>
        <v>Knits</v>
      </c>
    </row>
    <row r="1387">
      <c r="A1387" s="8">
        <f>IFERROR(__xludf.DUMMYFUNCTION("""COMPUTED_VALUE"""),1840.0)</f>
        <v>1840</v>
      </c>
      <c r="B1387" s="8">
        <f>IFERROR(__xludf.DUMMYFUNCTION("""COMPUTED_VALUE"""),994.0)</f>
        <v>994</v>
      </c>
      <c r="C1387" s="8">
        <f>IFERROR(__xludf.DUMMYFUNCTION("""COMPUTED_VALUE"""),33.0)</f>
        <v>33</v>
      </c>
      <c r="D1387" s="8" t="str">
        <f>IFERROR(__xludf.DUMMYFUNCTION("""COMPUTED_VALUE"""),"Lovely skirt, runs a bit large.")</f>
        <v>Lovely skirt, runs a bit large.</v>
      </c>
      <c r="E1387" s="8" t="str">
        <f>IFERROR(__xludf.DUMMYFUNCTION("""COMPUTED_VALUE"""),"Lovely assemblage of prints, looks great in motion. but the waistband runs a touch large. if you're between sizes, maybe size down.")</f>
        <v>Lovely assemblage of prints, looks great in motion. but the waistband runs a touch large. if you're between sizes, maybe size down.</v>
      </c>
      <c r="F1387" s="8">
        <f>IFERROR(__xludf.DUMMYFUNCTION("""COMPUTED_VALUE"""),4.0)</f>
        <v>4</v>
      </c>
      <c r="G1387" s="8">
        <f>IFERROR(__xludf.DUMMYFUNCTION("""COMPUTED_VALUE"""),1.0)</f>
        <v>1</v>
      </c>
      <c r="H1387" s="8">
        <f>IFERROR(__xludf.DUMMYFUNCTION("""COMPUTED_VALUE"""),0.0)</f>
        <v>0</v>
      </c>
      <c r="I1387" s="8" t="str">
        <f>IFERROR(__xludf.DUMMYFUNCTION("""COMPUTED_VALUE"""),"General Petite")</f>
        <v>General Petite</v>
      </c>
      <c r="J1387" s="8" t="str">
        <f>IFERROR(__xludf.DUMMYFUNCTION("""COMPUTED_VALUE"""),"Bottoms")</f>
        <v>Bottoms</v>
      </c>
      <c r="K1387" s="8" t="str">
        <f>IFERROR(__xludf.DUMMYFUNCTION("""COMPUTED_VALUE"""),"Skirts")</f>
        <v>Skirts</v>
      </c>
    </row>
    <row r="1388">
      <c r="A1388" s="8">
        <f>IFERROR(__xludf.DUMMYFUNCTION("""COMPUTED_VALUE"""),1841.0)</f>
        <v>1841</v>
      </c>
      <c r="B1388" s="8">
        <f>IFERROR(__xludf.DUMMYFUNCTION("""COMPUTED_VALUE"""),1094.0)</f>
        <v>1094</v>
      </c>
      <c r="C1388" s="8">
        <f>IFERROR(__xludf.DUMMYFUNCTION("""COMPUTED_VALUE"""),58.0)</f>
        <v>58</v>
      </c>
      <c r="D1388" s="8" t="str">
        <f>IFERROR(__xludf.DUMMYFUNCTION("""COMPUTED_VALUE"""),"Love this dress")</f>
        <v>Love this dress</v>
      </c>
      <c r="E1388" s="8" t="str">
        <f>IFERROR(__xludf.DUMMYFUNCTION("""COMPUTED_VALUE"""),"The little details are just beautiful. the embroidery and tassels are so cute. loose fitting just floats over the body. feels very light.")</f>
        <v>The little details are just beautiful. the embroidery and tassels are so cute. loose fitting just floats over the body. feels very light.</v>
      </c>
      <c r="F1388" s="8">
        <f>IFERROR(__xludf.DUMMYFUNCTION("""COMPUTED_VALUE"""),5.0)</f>
        <v>5</v>
      </c>
      <c r="G1388" s="8">
        <f>IFERROR(__xludf.DUMMYFUNCTION("""COMPUTED_VALUE"""),1.0)</f>
        <v>1</v>
      </c>
      <c r="H1388" s="8">
        <f>IFERROR(__xludf.DUMMYFUNCTION("""COMPUTED_VALUE"""),3.0)</f>
        <v>3</v>
      </c>
      <c r="I1388" s="8" t="str">
        <f>IFERROR(__xludf.DUMMYFUNCTION("""COMPUTED_VALUE"""),"General")</f>
        <v>General</v>
      </c>
      <c r="J1388" s="8" t="str">
        <f>IFERROR(__xludf.DUMMYFUNCTION("""COMPUTED_VALUE"""),"Dresses")</f>
        <v>Dresses</v>
      </c>
      <c r="K1388" s="8" t="str">
        <f>IFERROR(__xludf.DUMMYFUNCTION("""COMPUTED_VALUE"""),"Dresses")</f>
        <v>Dresses</v>
      </c>
    </row>
    <row r="1389">
      <c r="A1389" s="8">
        <f>IFERROR(__xludf.DUMMYFUNCTION("""COMPUTED_VALUE"""),1842.0)</f>
        <v>1842</v>
      </c>
      <c r="B1389" s="8">
        <f>IFERROR(__xludf.DUMMYFUNCTION("""COMPUTED_VALUE"""),868.0)</f>
        <v>868</v>
      </c>
      <c r="C1389" s="8">
        <f>IFERROR(__xludf.DUMMYFUNCTION("""COMPUTED_VALUE"""),49.0)</f>
        <v>49</v>
      </c>
      <c r="D1389" s="8" t="str">
        <f>IFERROR(__xludf.DUMMYFUNCTION("""COMPUTED_VALUE"""),"Love this top")</f>
        <v>Love this top</v>
      </c>
      <c r="E1389" s="8" t="str">
        <f>IFERROR(__xludf.DUMMYFUNCTION("""COMPUTED_VALUE"""),"I really loved this top the minute i put it on. read the other reviews but it really worked for me. i am 5'3"", 36dd, athletic build and the m fit perfectly with a nice roomy fit. top will be perfect for my upcoming trip to tahoe. plan to wear with light "&amp;"denim, dark denim, and black cropped denim bottoms. even looks great with a culottes or denim skirt. the weight is really nice and it washed nicely. i washed on delicate, and laid flat to dry. a little pressing and good as new. it has a nice boze")</f>
        <v>I really loved this top the minute i put it on. read the other reviews but it really worked for me. i am 5'3", 36dd, athletic build and the m fit perfectly with a nice roomy fit. top will be perfect for my upcoming trip to tahoe. plan to wear with light denim, dark denim, and black cropped denim bottoms. even looks great with a culottes or denim skirt. the weight is really nice and it washed nicely. i washed on delicate, and laid flat to dry. a little pressing and good as new. it has a nice boze</v>
      </c>
      <c r="F1389" s="8">
        <f>IFERROR(__xludf.DUMMYFUNCTION("""COMPUTED_VALUE"""),5.0)</f>
        <v>5</v>
      </c>
      <c r="G1389" s="8">
        <f>IFERROR(__xludf.DUMMYFUNCTION("""COMPUTED_VALUE"""),1.0)</f>
        <v>1</v>
      </c>
      <c r="H1389" s="8">
        <f>IFERROR(__xludf.DUMMYFUNCTION("""COMPUTED_VALUE"""),6.0)</f>
        <v>6</v>
      </c>
      <c r="I1389" s="8" t="str">
        <f>IFERROR(__xludf.DUMMYFUNCTION("""COMPUTED_VALUE"""),"General")</f>
        <v>General</v>
      </c>
      <c r="J1389" s="8" t="str">
        <f>IFERROR(__xludf.DUMMYFUNCTION("""COMPUTED_VALUE"""),"Tops")</f>
        <v>Tops</v>
      </c>
      <c r="K1389" s="8" t="str">
        <f>IFERROR(__xludf.DUMMYFUNCTION("""COMPUTED_VALUE"""),"Knits")</f>
        <v>Knits</v>
      </c>
    </row>
    <row r="1390">
      <c r="A1390" s="8">
        <f>IFERROR(__xludf.DUMMYFUNCTION("""COMPUTED_VALUE"""),1843.0)</f>
        <v>1843</v>
      </c>
      <c r="B1390" s="8">
        <f>IFERROR(__xludf.DUMMYFUNCTION("""COMPUTED_VALUE"""),1026.0)</f>
        <v>1026</v>
      </c>
      <c r="C1390" s="8">
        <f>IFERROR(__xludf.DUMMYFUNCTION("""COMPUTED_VALUE"""),35.0)</f>
        <v>35</v>
      </c>
      <c r="D1390" s="8" t="str">
        <f>IFERROR(__xludf.DUMMYFUNCTION("""COMPUTED_VALUE"""),"Sizing is all over the map!")</f>
        <v>Sizing is all over the map!</v>
      </c>
      <c r="E1390" s="8" t="str">
        <f>IFERROR(__xludf.DUMMYFUNCTION("""COMPUTED_VALUE"""),"If you happen to get a size that fits you, you will love these leggings. they are true to size when the quality control works. i got 2 pair, both in size 28 - one fits perfectly and the other fits like my mothers high waisted jeans! the material is very s"&amp;"oft and comfortable. also, not sure who named these colors, but the grey is really light purple and the dark grey is dark purple.")</f>
        <v>If you happen to get a size that fits you, you will love these leggings. they are true to size when the quality control works. i got 2 pair, both in size 28 - one fits perfectly and the other fits like my mothers high waisted jeans! the material is very soft and comfortable. also, not sure who named these colors, but the grey is really light purple and the dark grey is dark purple.</v>
      </c>
      <c r="F1390" s="8">
        <f>IFERROR(__xludf.DUMMYFUNCTION("""COMPUTED_VALUE"""),4.0)</f>
        <v>4</v>
      </c>
      <c r="G1390" s="8">
        <f>IFERROR(__xludf.DUMMYFUNCTION("""COMPUTED_VALUE"""),1.0)</f>
        <v>1</v>
      </c>
      <c r="H1390" s="8">
        <f>IFERROR(__xludf.DUMMYFUNCTION("""COMPUTED_VALUE"""),0.0)</f>
        <v>0</v>
      </c>
      <c r="I1390" s="8" t="str">
        <f>IFERROR(__xludf.DUMMYFUNCTION("""COMPUTED_VALUE"""),"General Petite")</f>
        <v>General Petite</v>
      </c>
      <c r="J1390" s="8" t="str">
        <f>IFERROR(__xludf.DUMMYFUNCTION("""COMPUTED_VALUE"""),"Bottoms")</f>
        <v>Bottoms</v>
      </c>
      <c r="K1390" s="8" t="str">
        <f>IFERROR(__xludf.DUMMYFUNCTION("""COMPUTED_VALUE"""),"Jeans")</f>
        <v>Jeans</v>
      </c>
    </row>
    <row r="1391">
      <c r="A1391" s="8">
        <f>IFERROR(__xludf.DUMMYFUNCTION("""COMPUTED_VALUE"""),1844.0)</f>
        <v>1844</v>
      </c>
      <c r="B1391" s="8">
        <f>IFERROR(__xludf.DUMMYFUNCTION("""COMPUTED_VALUE"""),1080.0)</f>
        <v>1080</v>
      </c>
      <c r="C1391" s="8">
        <f>IFERROR(__xludf.DUMMYFUNCTION("""COMPUTED_VALUE"""),32.0)</f>
        <v>32</v>
      </c>
      <c r="D1391" s="8" t="str">
        <f>IFERROR(__xludf.DUMMYFUNCTION("""COMPUTED_VALUE"""),"Gorgeous maxi dress")</f>
        <v>Gorgeous maxi dress</v>
      </c>
      <c r="E1391" s="8" t="str">
        <f>IFERROR(__xludf.DUMMYFUNCTION("""COMPUTED_VALUE"""),"Flattering dress that looks great on. the back cut out shows some skin while still covering up a bra. the petite size fits true to size")</f>
        <v>Flattering dress that looks great on. the back cut out shows some skin while still covering up a bra. the petite size fits true to size</v>
      </c>
      <c r="F1391" s="8">
        <f>IFERROR(__xludf.DUMMYFUNCTION("""COMPUTED_VALUE"""),5.0)</f>
        <v>5</v>
      </c>
      <c r="G1391" s="8">
        <f>IFERROR(__xludf.DUMMYFUNCTION("""COMPUTED_VALUE"""),1.0)</f>
        <v>1</v>
      </c>
      <c r="H1391" s="8">
        <f>IFERROR(__xludf.DUMMYFUNCTION("""COMPUTED_VALUE"""),1.0)</f>
        <v>1</v>
      </c>
      <c r="I1391" s="8" t="str">
        <f>IFERROR(__xludf.DUMMYFUNCTION("""COMPUTED_VALUE"""),"General")</f>
        <v>General</v>
      </c>
      <c r="J1391" s="8" t="str">
        <f>IFERROR(__xludf.DUMMYFUNCTION("""COMPUTED_VALUE"""),"Dresses")</f>
        <v>Dresses</v>
      </c>
      <c r="K1391" s="8" t="str">
        <f>IFERROR(__xludf.DUMMYFUNCTION("""COMPUTED_VALUE"""),"Dresses")</f>
        <v>Dresses</v>
      </c>
    </row>
    <row r="1392">
      <c r="A1392" s="8">
        <f>IFERROR(__xludf.DUMMYFUNCTION("""COMPUTED_VALUE"""),1845.0)</f>
        <v>1845</v>
      </c>
      <c r="B1392" s="8">
        <f>IFERROR(__xludf.DUMMYFUNCTION("""COMPUTED_VALUE"""),1026.0)</f>
        <v>1026</v>
      </c>
      <c r="C1392" s="8">
        <f>IFERROR(__xludf.DUMMYFUNCTION("""COMPUTED_VALUE"""),34.0)</f>
        <v>34</v>
      </c>
      <c r="D1392" s="8" t="str">
        <f>IFERROR(__xludf.DUMMYFUNCTION("""COMPUTED_VALUE"""),"Cute leggings for cooler days, but be aware of fit")</f>
        <v>Cute leggings for cooler days, but be aware of fit</v>
      </c>
      <c r="E1392" s="8" t="str">
        <f>IFERROR(__xludf.DUMMYFUNCTION("""COMPUTED_VALUE"""),"I've been wanting to add some cords to my wardrobe and had to give these a try. i ordered the blue color on-line in size 31. i'm somewhat in-between size 30 and 31 in jeans right now, so i thought i'd be on the safe side and go up. i ended up keeping thes"&amp;"e and i'm happy with my purchase, although i do feel like the cut of the leggings is a bit off for me. i am a proportional hour-glass shape and i found these leggings to be quite snug in the thigh, while being oversized in the waist.
in the end,")</f>
        <v>I've been wanting to add some cords to my wardrobe and had to give these a try. i ordered the blue color on-line in size 31. i'm somewhat in-between size 30 and 31 in jeans right now, so i thought i'd be on the safe side and go up. i ended up keeping these and i'm happy with my purchase, although i do feel like the cut of the leggings is a bit off for me. i am a proportional hour-glass shape and i found these leggings to be quite snug in the thigh, while being oversized in the waist.
in the end,</v>
      </c>
      <c r="F1392" s="8">
        <f>IFERROR(__xludf.DUMMYFUNCTION("""COMPUTED_VALUE"""),4.0)</f>
        <v>4</v>
      </c>
      <c r="G1392" s="8">
        <f>IFERROR(__xludf.DUMMYFUNCTION("""COMPUTED_VALUE"""),1.0)</f>
        <v>1</v>
      </c>
      <c r="H1392" s="8">
        <f>IFERROR(__xludf.DUMMYFUNCTION("""COMPUTED_VALUE"""),2.0)</f>
        <v>2</v>
      </c>
      <c r="I1392" s="8" t="str">
        <f>IFERROR(__xludf.DUMMYFUNCTION("""COMPUTED_VALUE"""),"General Petite")</f>
        <v>General Petite</v>
      </c>
      <c r="J1392" s="8" t="str">
        <f>IFERROR(__xludf.DUMMYFUNCTION("""COMPUTED_VALUE"""),"Bottoms")</f>
        <v>Bottoms</v>
      </c>
      <c r="K1392" s="8" t="str">
        <f>IFERROR(__xludf.DUMMYFUNCTION("""COMPUTED_VALUE"""),"Jeans")</f>
        <v>Jeans</v>
      </c>
    </row>
    <row r="1393">
      <c r="A1393" s="8">
        <f>IFERROR(__xludf.DUMMYFUNCTION("""COMPUTED_VALUE"""),1846.0)</f>
        <v>1846</v>
      </c>
      <c r="B1393" s="8">
        <f>IFERROR(__xludf.DUMMYFUNCTION("""COMPUTED_VALUE"""),1026.0)</f>
        <v>1026</v>
      </c>
      <c r="C1393" s="8">
        <f>IFERROR(__xludf.DUMMYFUNCTION("""COMPUTED_VALUE"""),36.0)</f>
        <v>36</v>
      </c>
      <c r="D1393" s="8"/>
      <c r="E1393" s="8" t="str">
        <f>IFERROR(__xludf.DUMMYFUNCTION("""COMPUTED_VALUE"""),"I really wanted the dark grey, but it has been sold out in my size for many months. i finally ended up with the navy. i think they are much cuter in person, the color nicer also. i think the cuffs have been folded under in some of the pictures of the mode"&amp;"ls making the shape look just a tad odd. i got my usual size, and the fit was perfect. they stretch just enough. i would get the second pair in a heartbeat.")</f>
        <v>I really wanted the dark grey, but it has been sold out in my size for many months. i finally ended up with the navy. i think they are much cuter in person, the color nicer also. i think the cuffs have been folded under in some of the pictures of the models making the shape look just a tad odd. i got my usual size, and the fit was perfect. they stretch just enough. i would get the second pair in a heartbeat.</v>
      </c>
      <c r="F1393" s="8">
        <f>IFERROR(__xludf.DUMMYFUNCTION("""COMPUTED_VALUE"""),5.0)</f>
        <v>5</v>
      </c>
      <c r="G1393" s="8">
        <f>IFERROR(__xludf.DUMMYFUNCTION("""COMPUTED_VALUE"""),1.0)</f>
        <v>1</v>
      </c>
      <c r="H1393" s="8">
        <f>IFERROR(__xludf.DUMMYFUNCTION("""COMPUTED_VALUE"""),0.0)</f>
        <v>0</v>
      </c>
      <c r="I1393" s="8" t="str">
        <f>IFERROR(__xludf.DUMMYFUNCTION("""COMPUTED_VALUE"""),"General Petite")</f>
        <v>General Petite</v>
      </c>
      <c r="J1393" s="8" t="str">
        <f>IFERROR(__xludf.DUMMYFUNCTION("""COMPUTED_VALUE"""),"Bottoms")</f>
        <v>Bottoms</v>
      </c>
      <c r="K1393" s="8" t="str">
        <f>IFERROR(__xludf.DUMMYFUNCTION("""COMPUTED_VALUE"""),"Jeans")</f>
        <v>Jeans</v>
      </c>
    </row>
    <row r="1394">
      <c r="A1394" s="8">
        <f>IFERROR(__xludf.DUMMYFUNCTION("""COMPUTED_VALUE"""),1848.0)</f>
        <v>1848</v>
      </c>
      <c r="B1394" s="8">
        <f>IFERROR(__xludf.DUMMYFUNCTION("""COMPUTED_VALUE"""),1080.0)</f>
        <v>1080</v>
      </c>
      <c r="C1394" s="8">
        <f>IFERROR(__xludf.DUMMYFUNCTION("""COMPUTED_VALUE"""),39.0)</f>
        <v>39</v>
      </c>
      <c r="D1394" s="8"/>
      <c r="E1394" s="8" t="str">
        <f>IFERROR(__xludf.DUMMYFUNCTION("""COMPUTED_VALUE"""),"I ordered a petite small. i'm 5'3, 135 lbs and 34b and the length was perfect and the fit was great. like the previous reviews. love you can wear a bra with it.")</f>
        <v>I ordered a petite small. i'm 5'3, 135 lbs and 34b and the length was perfect and the fit was great. like the previous reviews. love you can wear a bra with it.</v>
      </c>
      <c r="F1394" s="8">
        <f>IFERROR(__xludf.DUMMYFUNCTION("""COMPUTED_VALUE"""),5.0)</f>
        <v>5</v>
      </c>
      <c r="G1394" s="8">
        <f>IFERROR(__xludf.DUMMYFUNCTION("""COMPUTED_VALUE"""),1.0)</f>
        <v>1</v>
      </c>
      <c r="H1394" s="8">
        <f>IFERROR(__xludf.DUMMYFUNCTION("""COMPUTED_VALUE"""),2.0)</f>
        <v>2</v>
      </c>
      <c r="I1394" s="8" t="str">
        <f>IFERROR(__xludf.DUMMYFUNCTION("""COMPUTED_VALUE"""),"General")</f>
        <v>General</v>
      </c>
      <c r="J1394" s="8" t="str">
        <f>IFERROR(__xludf.DUMMYFUNCTION("""COMPUTED_VALUE"""),"Dresses")</f>
        <v>Dresses</v>
      </c>
      <c r="K1394" s="8" t="str">
        <f>IFERROR(__xludf.DUMMYFUNCTION("""COMPUTED_VALUE"""),"Dresses")</f>
        <v>Dresses</v>
      </c>
    </row>
    <row r="1395">
      <c r="A1395" s="8">
        <f>IFERROR(__xludf.DUMMYFUNCTION("""COMPUTED_VALUE"""),1849.0)</f>
        <v>1849</v>
      </c>
      <c r="B1395" s="8">
        <f>IFERROR(__xludf.DUMMYFUNCTION("""COMPUTED_VALUE"""),1080.0)</f>
        <v>1080</v>
      </c>
      <c r="C1395" s="8">
        <f>IFERROR(__xludf.DUMMYFUNCTION("""COMPUTED_VALUE"""),28.0)</f>
        <v>28</v>
      </c>
      <c r="D1395" s="8" t="str">
        <f>IFERROR(__xludf.DUMMYFUNCTION("""COMPUTED_VALUE"""),"This dress is perfect!")</f>
        <v>This dress is perfect!</v>
      </c>
      <c r="E1395" s="8" t="str">
        <f>IFERROR(__xludf.DUMMYFUNCTION("""COMPUTED_VALUE"""),"I love this dress so much! i got petite and the length was perfect. it was so soft and so pretty. perfect for a wedding.")</f>
        <v>I love this dress so much! i got petite and the length was perfect. it was so soft and so pretty. perfect for a wedding.</v>
      </c>
      <c r="F1395" s="8">
        <f>IFERROR(__xludf.DUMMYFUNCTION("""COMPUTED_VALUE"""),5.0)</f>
        <v>5</v>
      </c>
      <c r="G1395" s="8">
        <f>IFERROR(__xludf.DUMMYFUNCTION("""COMPUTED_VALUE"""),1.0)</f>
        <v>1</v>
      </c>
      <c r="H1395" s="8">
        <f>IFERROR(__xludf.DUMMYFUNCTION("""COMPUTED_VALUE"""),0.0)</f>
        <v>0</v>
      </c>
      <c r="I1395" s="8" t="str">
        <f>IFERROR(__xludf.DUMMYFUNCTION("""COMPUTED_VALUE"""),"General")</f>
        <v>General</v>
      </c>
      <c r="J1395" s="8" t="str">
        <f>IFERROR(__xludf.DUMMYFUNCTION("""COMPUTED_VALUE"""),"Dresses")</f>
        <v>Dresses</v>
      </c>
      <c r="K1395" s="8" t="str">
        <f>IFERROR(__xludf.DUMMYFUNCTION("""COMPUTED_VALUE"""),"Dresses")</f>
        <v>Dresses</v>
      </c>
    </row>
    <row r="1396">
      <c r="A1396" s="8">
        <f>IFERROR(__xludf.DUMMYFUNCTION("""COMPUTED_VALUE"""),1850.0)</f>
        <v>1850</v>
      </c>
      <c r="B1396" s="8">
        <f>IFERROR(__xludf.DUMMYFUNCTION("""COMPUTED_VALUE"""),1080.0)</f>
        <v>1080</v>
      </c>
      <c r="C1396" s="8">
        <f>IFERROR(__xludf.DUMMYFUNCTION("""COMPUTED_VALUE"""),31.0)</f>
        <v>31</v>
      </c>
      <c r="D1396" s="8" t="str">
        <f>IFERROR(__xludf.DUMMYFUNCTION("""COMPUTED_VALUE"""),"I adore this dress.")</f>
        <v>I adore this dress.</v>
      </c>
      <c r="E1396" s="8" t="str">
        <f>IFERROR(__xludf.DUMMYFUNCTION("""COMPUTED_VALUE"""),"Soft, comfy, flattering, just a beautiful dress. it works for any occasion. i can't express how much i love it!")</f>
        <v>Soft, comfy, flattering, just a beautiful dress. it works for any occasion. i can't express how much i love it!</v>
      </c>
      <c r="F1396" s="8">
        <f>IFERROR(__xludf.DUMMYFUNCTION("""COMPUTED_VALUE"""),5.0)</f>
        <v>5</v>
      </c>
      <c r="G1396" s="8">
        <f>IFERROR(__xludf.DUMMYFUNCTION("""COMPUTED_VALUE"""),1.0)</f>
        <v>1</v>
      </c>
      <c r="H1396" s="8">
        <f>IFERROR(__xludf.DUMMYFUNCTION("""COMPUTED_VALUE"""),0.0)</f>
        <v>0</v>
      </c>
      <c r="I1396" s="8" t="str">
        <f>IFERROR(__xludf.DUMMYFUNCTION("""COMPUTED_VALUE"""),"General")</f>
        <v>General</v>
      </c>
      <c r="J1396" s="8" t="str">
        <f>IFERROR(__xludf.DUMMYFUNCTION("""COMPUTED_VALUE"""),"Dresses")</f>
        <v>Dresses</v>
      </c>
      <c r="K1396" s="8" t="str">
        <f>IFERROR(__xludf.DUMMYFUNCTION("""COMPUTED_VALUE"""),"Dresses")</f>
        <v>Dresses</v>
      </c>
    </row>
    <row r="1397">
      <c r="A1397" s="8">
        <f>IFERROR(__xludf.DUMMYFUNCTION("""COMPUTED_VALUE"""),1851.0)</f>
        <v>1851</v>
      </c>
      <c r="B1397" s="8">
        <f>IFERROR(__xludf.DUMMYFUNCTION("""COMPUTED_VALUE"""),868.0)</f>
        <v>868</v>
      </c>
      <c r="C1397" s="8">
        <f>IFERROR(__xludf.DUMMYFUNCTION("""COMPUTED_VALUE"""),63.0)</f>
        <v>63</v>
      </c>
      <c r="D1397" s="8"/>
      <c r="E1397" s="8" t="str">
        <f>IFERROR(__xludf.DUMMYFUNCTION("""COMPUTED_VALUE"""),"I'm a 32ddd and this top fit perfect. i wore it with boyfriend jeans and flats. the material is nice and perfect for fall")</f>
        <v>I'm a 32ddd and this top fit perfect. i wore it with boyfriend jeans and flats. the material is nice and perfect for fall</v>
      </c>
      <c r="F1397" s="8">
        <f>IFERROR(__xludf.DUMMYFUNCTION("""COMPUTED_VALUE"""),4.0)</f>
        <v>4</v>
      </c>
      <c r="G1397" s="8">
        <f>IFERROR(__xludf.DUMMYFUNCTION("""COMPUTED_VALUE"""),1.0)</f>
        <v>1</v>
      </c>
      <c r="H1397" s="8">
        <f>IFERROR(__xludf.DUMMYFUNCTION("""COMPUTED_VALUE"""),0.0)</f>
        <v>0</v>
      </c>
      <c r="I1397" s="8" t="str">
        <f>IFERROR(__xludf.DUMMYFUNCTION("""COMPUTED_VALUE"""),"General")</f>
        <v>General</v>
      </c>
      <c r="J1397" s="8" t="str">
        <f>IFERROR(__xludf.DUMMYFUNCTION("""COMPUTED_VALUE"""),"Tops")</f>
        <v>Tops</v>
      </c>
      <c r="K1397" s="8" t="str">
        <f>IFERROR(__xludf.DUMMYFUNCTION("""COMPUTED_VALUE"""),"Knits")</f>
        <v>Knits</v>
      </c>
    </row>
    <row r="1398">
      <c r="A1398" s="8">
        <f>IFERROR(__xludf.DUMMYFUNCTION("""COMPUTED_VALUE"""),1852.0)</f>
        <v>1852</v>
      </c>
      <c r="B1398" s="8">
        <f>IFERROR(__xludf.DUMMYFUNCTION("""COMPUTED_VALUE"""),481.0)</f>
        <v>481</v>
      </c>
      <c r="C1398" s="8">
        <f>IFERROR(__xludf.DUMMYFUNCTION("""COMPUTED_VALUE"""),41.0)</f>
        <v>41</v>
      </c>
      <c r="D1398" s="8" t="str">
        <f>IFERROR(__xludf.DUMMYFUNCTION("""COMPUTED_VALUE"""),"Super adorable!")</f>
        <v>Super adorable!</v>
      </c>
      <c r="E1398" s="8" t="str">
        <f>IFERROR(__xludf.DUMMYFUNCTION("""COMPUTED_VALUE"""),"The romper is well made and just plain cute. i bought it the second i saw it and don't regret my impulse buy one bit. 135 5'5"" and the small fit perfectly.")</f>
        <v>The romper is well made and just plain cute. i bought it the second i saw it and don't regret my impulse buy one bit. 135 5'5" and the small fit perfectly.</v>
      </c>
      <c r="F1398" s="8">
        <f>IFERROR(__xludf.DUMMYFUNCTION("""COMPUTED_VALUE"""),5.0)</f>
        <v>5</v>
      </c>
      <c r="G1398" s="8">
        <f>IFERROR(__xludf.DUMMYFUNCTION("""COMPUTED_VALUE"""),1.0)</f>
        <v>1</v>
      </c>
      <c r="H1398" s="8">
        <f>IFERROR(__xludf.DUMMYFUNCTION("""COMPUTED_VALUE"""),9.0)</f>
        <v>9</v>
      </c>
      <c r="I1398" s="8" t="str">
        <f>IFERROR(__xludf.DUMMYFUNCTION("""COMPUTED_VALUE"""),"General Petite")</f>
        <v>General Petite</v>
      </c>
      <c r="J1398" s="8" t="str">
        <f>IFERROR(__xludf.DUMMYFUNCTION("""COMPUTED_VALUE"""),"Bottoms")</f>
        <v>Bottoms</v>
      </c>
      <c r="K1398" s="8" t="str">
        <f>IFERROR(__xludf.DUMMYFUNCTION("""COMPUTED_VALUE"""),"Pants")</f>
        <v>Pants</v>
      </c>
    </row>
    <row r="1399">
      <c r="A1399" s="8">
        <f>IFERROR(__xludf.DUMMYFUNCTION("""COMPUTED_VALUE"""),1853.0)</f>
        <v>1853</v>
      </c>
      <c r="B1399" s="8">
        <f>IFERROR(__xludf.DUMMYFUNCTION("""COMPUTED_VALUE"""),1080.0)</f>
        <v>1080</v>
      </c>
      <c r="C1399" s="8">
        <f>IFERROR(__xludf.DUMMYFUNCTION("""COMPUTED_VALUE"""),41.0)</f>
        <v>41</v>
      </c>
      <c r="D1399" s="8" t="str">
        <f>IFERROR(__xludf.DUMMYFUNCTION("""COMPUTED_VALUE"""),"Love it!")</f>
        <v>Love it!</v>
      </c>
      <c r="E1399" s="8" t="str">
        <f>IFERROR(__xludf.DUMMYFUNCTION("""COMPUTED_VALUE"""),"I have been searching for great bra friendly maxis and the design and colors of this one are exactly what i was looking for. i love how the front and back dip down and the open back with crossover detail is really sleek looking.  overall, it's tts, but th"&amp;"e chest is a little low cut, so some will want to size up for extra coverage.  the fabric is a silky jersey made of mostly rayon (95%) and spandex (5%) with a mesh nylon/spandex lining from the top through where the cream color ends at the botto")</f>
        <v>I have been searching for great bra friendly maxis and the design and colors of this one are exactly what i was looking for. i love how the front and back dip down and the open back with crossover detail is really sleek looking.  overall, it's tts, but the chest is a little low cut, so some will want to size up for extra coverage.  the fabric is a silky jersey made of mostly rayon (95%) and spandex (5%) with a mesh nylon/spandex lining from the top through where the cream color ends at the botto</v>
      </c>
      <c r="F1399" s="8">
        <f>IFERROR(__xludf.DUMMYFUNCTION("""COMPUTED_VALUE"""),4.0)</f>
        <v>4</v>
      </c>
      <c r="G1399" s="8">
        <f>IFERROR(__xludf.DUMMYFUNCTION("""COMPUTED_VALUE"""),1.0)</f>
        <v>1</v>
      </c>
      <c r="H1399" s="8">
        <f>IFERROR(__xludf.DUMMYFUNCTION("""COMPUTED_VALUE"""),47.0)</f>
        <v>47</v>
      </c>
      <c r="I1399" s="8" t="str">
        <f>IFERROR(__xludf.DUMMYFUNCTION("""COMPUTED_VALUE"""),"General")</f>
        <v>General</v>
      </c>
      <c r="J1399" s="8" t="str">
        <f>IFERROR(__xludf.DUMMYFUNCTION("""COMPUTED_VALUE"""),"Dresses")</f>
        <v>Dresses</v>
      </c>
      <c r="K1399" s="8" t="str">
        <f>IFERROR(__xludf.DUMMYFUNCTION("""COMPUTED_VALUE"""),"Dresses")</f>
        <v>Dresses</v>
      </c>
    </row>
    <row r="1400">
      <c r="A1400" s="8">
        <f>IFERROR(__xludf.DUMMYFUNCTION("""COMPUTED_VALUE"""),1855.0)</f>
        <v>1855</v>
      </c>
      <c r="B1400" s="8">
        <f>IFERROR(__xludf.DUMMYFUNCTION("""COMPUTED_VALUE"""),1080.0)</f>
        <v>1080</v>
      </c>
      <c r="C1400" s="8">
        <f>IFERROR(__xludf.DUMMYFUNCTION("""COMPUTED_VALUE"""),43.0)</f>
        <v>43</v>
      </c>
      <c r="D1400" s="8" t="str">
        <f>IFERROR(__xludf.DUMMYFUNCTION("""COMPUTED_VALUE"""),"Dreamy bohemian maxi")</f>
        <v>Dreamy bohemian maxi</v>
      </c>
      <c r="E1400" s="8" t="str">
        <f>IFERROR(__xludf.DUMMYFUNCTION("""COMPUTED_VALUE"""),"I'd give this dress 6 stars if i could, it's possibly the best dress i've bought at retailer in 12 years of shopping there.  the fit is fantastic with the ruching around the waist adding camouflage  for anyone with a bit of a tummy. the cross back stamps "&amp;"hide a bra effortlessly (even those wide supportive bra straps that larger cupped women need to wear), the mature rial is soft and silky to the touch, the fit is true to size, the pattern is bohemian and elegant -- not hippy dippy at all. i'm 5'6""")</f>
        <v>I'd give this dress 6 stars if i could, it's possibly the best dress i've bought at retailer in 12 years of shopping there.  the fit is fantastic with the ruching around the waist adding camouflage  for anyone with a bit of a tummy. the cross back stamps hide a bra effortlessly (even those wide supportive bra straps that larger cupped women need to wear), the mature rial is soft and silky to the touch, the fit is true to size, the pattern is bohemian and elegant -- not hippy dippy at all. i'm 5'6"</v>
      </c>
      <c r="F1400" s="8">
        <f>IFERROR(__xludf.DUMMYFUNCTION("""COMPUTED_VALUE"""),5.0)</f>
        <v>5</v>
      </c>
      <c r="G1400" s="8">
        <f>IFERROR(__xludf.DUMMYFUNCTION("""COMPUTED_VALUE"""),1.0)</f>
        <v>1</v>
      </c>
      <c r="H1400" s="8">
        <f>IFERROR(__xludf.DUMMYFUNCTION("""COMPUTED_VALUE"""),2.0)</f>
        <v>2</v>
      </c>
      <c r="I1400" s="8" t="str">
        <f>IFERROR(__xludf.DUMMYFUNCTION("""COMPUTED_VALUE"""),"General")</f>
        <v>General</v>
      </c>
      <c r="J1400" s="8" t="str">
        <f>IFERROR(__xludf.DUMMYFUNCTION("""COMPUTED_VALUE"""),"Dresses")</f>
        <v>Dresses</v>
      </c>
      <c r="K1400" s="8" t="str">
        <f>IFERROR(__xludf.DUMMYFUNCTION("""COMPUTED_VALUE"""),"Dresses")</f>
        <v>Dresses</v>
      </c>
    </row>
    <row r="1401">
      <c r="A1401" s="8">
        <f>IFERROR(__xludf.DUMMYFUNCTION("""COMPUTED_VALUE"""),1859.0)</f>
        <v>1859</v>
      </c>
      <c r="B1401" s="8">
        <f>IFERROR(__xludf.DUMMYFUNCTION("""COMPUTED_VALUE"""),857.0)</f>
        <v>857</v>
      </c>
      <c r="C1401" s="8">
        <f>IFERROR(__xludf.DUMMYFUNCTION("""COMPUTED_VALUE"""),34.0)</f>
        <v>34</v>
      </c>
      <c r="D1401" s="8" t="str">
        <f>IFERROR(__xludf.DUMMYFUNCTION("""COMPUTED_VALUE"""),"Great casual top")</f>
        <v>Great casual top</v>
      </c>
      <c r="E1401" s="8" t="str">
        <f>IFERROR(__xludf.DUMMYFUNCTION("""COMPUTED_VALUE"""),"This might be one of my new go to tops. looks cute with jeans and a sweater or alone. the arms are snug but not uncomfortable and i think it adds to the shirt.")</f>
        <v>This might be one of my new go to tops. looks cute with jeans and a sweater or alone. the arms are snug but not uncomfortable and i think it adds to the shirt.</v>
      </c>
      <c r="F1401" s="8">
        <f>IFERROR(__xludf.DUMMYFUNCTION("""COMPUTED_VALUE"""),4.0)</f>
        <v>4</v>
      </c>
      <c r="G1401" s="8">
        <f>IFERROR(__xludf.DUMMYFUNCTION("""COMPUTED_VALUE"""),1.0)</f>
        <v>1</v>
      </c>
      <c r="H1401" s="8">
        <f>IFERROR(__xludf.DUMMYFUNCTION("""COMPUTED_VALUE"""),0.0)</f>
        <v>0</v>
      </c>
      <c r="I1401" s="8" t="str">
        <f>IFERROR(__xludf.DUMMYFUNCTION("""COMPUTED_VALUE"""),"General")</f>
        <v>General</v>
      </c>
      <c r="J1401" s="8" t="str">
        <f>IFERROR(__xludf.DUMMYFUNCTION("""COMPUTED_VALUE"""),"Tops")</f>
        <v>Tops</v>
      </c>
      <c r="K1401" s="8" t="str">
        <f>IFERROR(__xludf.DUMMYFUNCTION("""COMPUTED_VALUE"""),"Knits")</f>
        <v>Knits</v>
      </c>
    </row>
    <row r="1402">
      <c r="A1402" s="8">
        <f>IFERROR(__xludf.DUMMYFUNCTION("""COMPUTED_VALUE"""),1860.0)</f>
        <v>1860</v>
      </c>
      <c r="B1402" s="8">
        <f>IFERROR(__xludf.DUMMYFUNCTION("""COMPUTED_VALUE"""),1094.0)</f>
        <v>1094</v>
      </c>
      <c r="C1402" s="8">
        <f>IFERROR(__xludf.DUMMYFUNCTION("""COMPUTED_VALUE"""),58.0)</f>
        <v>58</v>
      </c>
      <c r="D1402" s="8" t="str">
        <f>IFERROR(__xludf.DUMMYFUNCTION("""COMPUTED_VALUE"""),"Great autumn dress")</f>
        <v>Great autumn dress</v>
      </c>
      <c r="E1402" s="8" t="str">
        <f>IFERROR(__xludf.DUMMYFUNCTION("""COMPUTED_VALUE"""),"I needed a dress to go to a reunion party(not hs) and this fit the bill perfectly. it fits perfectly and its short but not too short. it is a great work dress or change your accessories and its  perfect for out to dinner.")</f>
        <v>I needed a dress to go to a reunion party(not hs) and this fit the bill perfectly. it fits perfectly and its short but not too short. it is a great work dress or change your accessories and its  perfect for out to dinner.</v>
      </c>
      <c r="F1402" s="8">
        <f>IFERROR(__xludf.DUMMYFUNCTION("""COMPUTED_VALUE"""),5.0)</f>
        <v>5</v>
      </c>
      <c r="G1402" s="8">
        <f>IFERROR(__xludf.DUMMYFUNCTION("""COMPUTED_VALUE"""),1.0)</f>
        <v>1</v>
      </c>
      <c r="H1402" s="8">
        <f>IFERROR(__xludf.DUMMYFUNCTION("""COMPUTED_VALUE"""),0.0)</f>
        <v>0</v>
      </c>
      <c r="I1402" s="8" t="str">
        <f>IFERROR(__xludf.DUMMYFUNCTION("""COMPUTED_VALUE"""),"General")</f>
        <v>General</v>
      </c>
      <c r="J1402" s="8" t="str">
        <f>IFERROR(__xludf.DUMMYFUNCTION("""COMPUTED_VALUE"""),"Dresses")</f>
        <v>Dresses</v>
      </c>
      <c r="K1402" s="8" t="str">
        <f>IFERROR(__xludf.DUMMYFUNCTION("""COMPUTED_VALUE"""),"Dresses")</f>
        <v>Dresses</v>
      </c>
    </row>
    <row r="1403">
      <c r="A1403" s="8">
        <f>IFERROR(__xludf.DUMMYFUNCTION("""COMPUTED_VALUE"""),1861.0)</f>
        <v>1861</v>
      </c>
      <c r="B1403" s="8">
        <f>IFERROR(__xludf.DUMMYFUNCTION("""COMPUTED_VALUE"""),1026.0)</f>
        <v>1026</v>
      </c>
      <c r="C1403" s="8">
        <f>IFERROR(__xludf.DUMMYFUNCTION("""COMPUTED_VALUE"""),35.0)</f>
        <v>35</v>
      </c>
      <c r="D1403" s="8" t="str">
        <f>IFERROR(__xludf.DUMMYFUNCTION("""COMPUTED_VALUE"""),"Great legging cord!!")</f>
        <v>Great legging cord!!</v>
      </c>
      <c r="E1403" s="8" t="str">
        <f>IFERROR(__xludf.DUMMYFUNCTION("""COMPUTED_VALUE"""),"These are really great legging style cords. you can wear them without worrying about covering your bum in my opinion! they are not too bulky at all which you might expect in a corduroy pant. they are a tad loose in the waist area unfortunately but fit me "&amp;"well in the thighs, so i don't think sizing down would work for me. i bought the bronze, and it's a very versatile color! darker than the picture, but still a good color. i feel it will be perfect for fall and spring especially. i'll wear it all")</f>
        <v>These are really great legging style cords. you can wear them without worrying about covering your bum in my opinion! they are not too bulky at all which you might expect in a corduroy pant. they are a tad loose in the waist area unfortunately but fit me well in the thighs, so i don't think sizing down would work for me. i bought the bronze, and it's a very versatile color! darker than the picture, but still a good color. i feel it will be perfect for fall and spring especially. i'll wear it all</v>
      </c>
      <c r="F1403" s="8">
        <f>IFERROR(__xludf.DUMMYFUNCTION("""COMPUTED_VALUE"""),4.0)</f>
        <v>4</v>
      </c>
      <c r="G1403" s="8">
        <f>IFERROR(__xludf.DUMMYFUNCTION("""COMPUTED_VALUE"""),1.0)</f>
        <v>1</v>
      </c>
      <c r="H1403" s="8">
        <f>IFERROR(__xludf.DUMMYFUNCTION("""COMPUTED_VALUE"""),0.0)</f>
        <v>0</v>
      </c>
      <c r="I1403" s="8" t="str">
        <f>IFERROR(__xludf.DUMMYFUNCTION("""COMPUTED_VALUE"""),"General Petite")</f>
        <v>General Petite</v>
      </c>
      <c r="J1403" s="8" t="str">
        <f>IFERROR(__xludf.DUMMYFUNCTION("""COMPUTED_VALUE"""),"Bottoms")</f>
        <v>Bottoms</v>
      </c>
      <c r="K1403" s="8" t="str">
        <f>IFERROR(__xludf.DUMMYFUNCTION("""COMPUTED_VALUE"""),"Jeans")</f>
        <v>Jeans</v>
      </c>
    </row>
    <row r="1404">
      <c r="A1404" s="8">
        <f>IFERROR(__xludf.DUMMYFUNCTION("""COMPUTED_VALUE"""),1862.0)</f>
        <v>1862</v>
      </c>
      <c r="B1404" s="8">
        <f>IFERROR(__xludf.DUMMYFUNCTION("""COMPUTED_VALUE"""),1026.0)</f>
        <v>1026</v>
      </c>
      <c r="C1404" s="8">
        <f>IFERROR(__xludf.DUMMYFUNCTION("""COMPUTED_VALUE"""),34.0)</f>
        <v>34</v>
      </c>
      <c r="D1404" s="8" t="str">
        <f>IFERROR(__xludf.DUMMYFUNCTION("""COMPUTED_VALUE"""),"Nice fitting cords-bronze")</f>
        <v>Nice fitting cords-bronze</v>
      </c>
      <c r="E1404" s="8" t="str">
        <f>IFERROR(__xludf.DUMMYFUNCTION("""COMPUTED_VALUE"""),"These cords are soft, comfy and my normal size 32 for tts. the length was fine for my 5'9 height. i really like the bronze color, it is almost a yellow.")</f>
        <v>These cords are soft, comfy and my normal size 32 for tts. the length was fine for my 5'9 height. i really like the bronze color, it is almost a yellow.</v>
      </c>
      <c r="F1404" s="8">
        <f>IFERROR(__xludf.DUMMYFUNCTION("""COMPUTED_VALUE"""),5.0)</f>
        <v>5</v>
      </c>
      <c r="G1404" s="8">
        <f>IFERROR(__xludf.DUMMYFUNCTION("""COMPUTED_VALUE"""),1.0)</f>
        <v>1</v>
      </c>
      <c r="H1404" s="8">
        <f>IFERROR(__xludf.DUMMYFUNCTION("""COMPUTED_VALUE"""),0.0)</f>
        <v>0</v>
      </c>
      <c r="I1404" s="8" t="str">
        <f>IFERROR(__xludf.DUMMYFUNCTION("""COMPUTED_VALUE"""),"General Petite")</f>
        <v>General Petite</v>
      </c>
      <c r="J1404" s="8" t="str">
        <f>IFERROR(__xludf.DUMMYFUNCTION("""COMPUTED_VALUE"""),"Bottoms")</f>
        <v>Bottoms</v>
      </c>
      <c r="K1404" s="8" t="str">
        <f>IFERROR(__xludf.DUMMYFUNCTION("""COMPUTED_VALUE"""),"Jeans")</f>
        <v>Jeans</v>
      </c>
    </row>
    <row r="1405">
      <c r="A1405" s="8">
        <f>IFERROR(__xludf.DUMMYFUNCTION("""COMPUTED_VALUE"""),1863.0)</f>
        <v>1863</v>
      </c>
      <c r="B1405" s="8">
        <f>IFERROR(__xludf.DUMMYFUNCTION("""COMPUTED_VALUE"""),903.0)</f>
        <v>903</v>
      </c>
      <c r="C1405" s="8">
        <f>IFERROR(__xludf.DUMMYFUNCTION("""COMPUTED_VALUE"""),36.0)</f>
        <v>36</v>
      </c>
      <c r="D1405" s="8" t="str">
        <f>IFERROR(__xludf.DUMMYFUNCTION("""COMPUTED_VALUE"""),"Beautiful design")</f>
        <v>Beautiful design</v>
      </c>
      <c r="E1405" s="8" t="str">
        <f>IFERROR(__xludf.DUMMYFUNCTION("""COMPUTED_VALUE"""),"I really like this pullover. the design is beautiful, and i love the asymmetrical hem. my own complaint is that the fit is a bit boxy on me because i'm large-chested. it's more drapey than tailored. but it's not overwhelming and doesn't cancel out how muc"&amp;"h i like it overall.")</f>
        <v>I really like this pullover. the design is beautiful, and i love the asymmetrical hem. my own complaint is that the fit is a bit boxy on me because i'm large-chested. it's more drapey than tailored. but it's not overwhelming and doesn't cancel out how much i like it overall.</v>
      </c>
      <c r="F1405" s="8">
        <f>IFERROR(__xludf.DUMMYFUNCTION("""COMPUTED_VALUE"""),4.0)</f>
        <v>4</v>
      </c>
      <c r="G1405" s="8">
        <f>IFERROR(__xludf.DUMMYFUNCTION("""COMPUTED_VALUE"""),1.0)</f>
        <v>1</v>
      </c>
      <c r="H1405" s="8">
        <f>IFERROR(__xludf.DUMMYFUNCTION("""COMPUTED_VALUE"""),0.0)</f>
        <v>0</v>
      </c>
      <c r="I1405" s="8" t="str">
        <f>IFERROR(__xludf.DUMMYFUNCTION("""COMPUTED_VALUE"""),"General")</f>
        <v>General</v>
      </c>
      <c r="J1405" s="8" t="str">
        <f>IFERROR(__xludf.DUMMYFUNCTION("""COMPUTED_VALUE"""),"Tops")</f>
        <v>Tops</v>
      </c>
      <c r="K1405" s="8" t="str">
        <f>IFERROR(__xludf.DUMMYFUNCTION("""COMPUTED_VALUE"""),"Fine gauge")</f>
        <v>Fine gauge</v>
      </c>
    </row>
    <row r="1406">
      <c r="A1406" s="8">
        <f>IFERROR(__xludf.DUMMYFUNCTION("""COMPUTED_VALUE"""),1864.0)</f>
        <v>1864</v>
      </c>
      <c r="B1406" s="8">
        <f>IFERROR(__xludf.DUMMYFUNCTION("""COMPUTED_VALUE"""),1054.0)</f>
        <v>1054</v>
      </c>
      <c r="C1406" s="8">
        <f>IFERROR(__xludf.DUMMYFUNCTION("""COMPUTED_VALUE"""),35.0)</f>
        <v>35</v>
      </c>
      <c r="D1406" s="8" t="str">
        <f>IFERROR(__xludf.DUMMYFUNCTION("""COMPUTED_VALUE"""),"Beautiful fabric")</f>
        <v>Beautiful fabric</v>
      </c>
      <c r="E1406" s="8" t="str">
        <f>IFERROR(__xludf.DUMMYFUNCTION("""COMPUTED_VALUE"""),"The flow and feel of the material is really nice, however, i think it runs large. i ordered a small, and i have exchanged it for an xs, which i am hoping fits a bit better. i wanted the pants to be a bit more fitted around the hips and flow from there.")</f>
        <v>The flow and feel of the material is really nice, however, i think it runs large. i ordered a small, and i have exchanged it for an xs, which i am hoping fits a bit better. i wanted the pants to be a bit more fitted around the hips and flow from there.</v>
      </c>
      <c r="F1406" s="8">
        <f>IFERROR(__xludf.DUMMYFUNCTION("""COMPUTED_VALUE"""),4.0)</f>
        <v>4</v>
      </c>
      <c r="G1406" s="8">
        <f>IFERROR(__xludf.DUMMYFUNCTION("""COMPUTED_VALUE"""),1.0)</f>
        <v>1</v>
      </c>
      <c r="H1406" s="8">
        <f>IFERROR(__xludf.DUMMYFUNCTION("""COMPUTED_VALUE"""),0.0)</f>
        <v>0</v>
      </c>
      <c r="I1406" s="8" t="str">
        <f>IFERROR(__xludf.DUMMYFUNCTION("""COMPUTED_VALUE"""),"General")</f>
        <v>General</v>
      </c>
      <c r="J1406" s="8" t="str">
        <f>IFERROR(__xludf.DUMMYFUNCTION("""COMPUTED_VALUE"""),"Bottoms")</f>
        <v>Bottoms</v>
      </c>
      <c r="K1406" s="8" t="str">
        <f>IFERROR(__xludf.DUMMYFUNCTION("""COMPUTED_VALUE"""),"Pants")</f>
        <v>Pants</v>
      </c>
    </row>
    <row r="1407">
      <c r="A1407" s="8">
        <f>IFERROR(__xludf.DUMMYFUNCTION("""COMPUTED_VALUE"""),1865.0)</f>
        <v>1865</v>
      </c>
      <c r="B1407" s="8">
        <f>IFERROR(__xludf.DUMMYFUNCTION("""COMPUTED_VALUE"""),1094.0)</f>
        <v>1094</v>
      </c>
      <c r="C1407" s="8">
        <f>IFERROR(__xludf.DUMMYFUNCTION("""COMPUTED_VALUE"""),39.0)</f>
        <v>39</v>
      </c>
      <c r="D1407" s="8" t="str">
        <f>IFERROR(__xludf.DUMMYFUNCTION("""COMPUTED_VALUE"""),"Bohoranna rhapsody")</f>
        <v>Bohoranna rhapsody</v>
      </c>
      <c r="E1407" s="8" t="str">
        <f>IFERROR(__xludf.DUMMYFUNCTION("""COMPUTED_VALUE"""),"This cute dress is swingy and chock full of fun little details.  love the embroidery, colors, crochet lace, tassels, wide sleeves.  don't like that it's all polyester and some embroidery is unraveling so i don't know what to do about that.  size down if y"&amp;"our petite or slender.  i'm a med-large (135# 36c 38-27-35) and medium fit great at the bodice/shoulders.  hem hits my knees in regular size.")</f>
        <v>This cute dress is swingy and chock full of fun little details.  love the embroidery, colors, crochet lace, tassels, wide sleeves.  don't like that it's all polyester and some embroidery is unraveling so i don't know what to do about that.  size down if your petite or slender.  i'm a med-large (135# 36c 38-27-35) and medium fit great at the bodice/shoulders.  hem hits my knees in regular size.</v>
      </c>
      <c r="F1407" s="8">
        <f>IFERROR(__xludf.DUMMYFUNCTION("""COMPUTED_VALUE"""),4.0)</f>
        <v>4</v>
      </c>
      <c r="G1407" s="8">
        <f>IFERROR(__xludf.DUMMYFUNCTION("""COMPUTED_VALUE"""),1.0)</f>
        <v>1</v>
      </c>
      <c r="H1407" s="8">
        <f>IFERROR(__xludf.DUMMYFUNCTION("""COMPUTED_VALUE"""),0.0)</f>
        <v>0</v>
      </c>
      <c r="I1407" s="8" t="str">
        <f>IFERROR(__xludf.DUMMYFUNCTION("""COMPUTED_VALUE"""),"General")</f>
        <v>General</v>
      </c>
      <c r="J1407" s="8" t="str">
        <f>IFERROR(__xludf.DUMMYFUNCTION("""COMPUTED_VALUE"""),"Dresses")</f>
        <v>Dresses</v>
      </c>
      <c r="K1407" s="8" t="str">
        <f>IFERROR(__xludf.DUMMYFUNCTION("""COMPUTED_VALUE"""),"Dresses")</f>
        <v>Dresses</v>
      </c>
    </row>
    <row r="1408">
      <c r="A1408" s="8">
        <f>IFERROR(__xludf.DUMMYFUNCTION("""COMPUTED_VALUE"""),1866.0)</f>
        <v>1866</v>
      </c>
      <c r="B1408" s="8">
        <f>IFERROR(__xludf.DUMMYFUNCTION("""COMPUTED_VALUE"""),1080.0)</f>
        <v>1080</v>
      </c>
      <c r="C1408" s="8">
        <f>IFERROR(__xludf.DUMMYFUNCTION("""COMPUTED_VALUE"""),39.0)</f>
        <v>39</v>
      </c>
      <c r="D1408" s="8" t="str">
        <f>IFERROR(__xludf.DUMMYFUNCTION("""COMPUTED_VALUE"""),"Another tracy reese winner")</f>
        <v>Another tracy reese winner</v>
      </c>
      <c r="E1408" s="8" t="str">
        <f>IFERROR(__xludf.DUMMYFUNCTION("""COMPUTED_VALUE"""),"I can't get enough of maxi dresses and i can't resist tracy reese. this stunning dress caught my eye immediately, but i was worried that the back cut out at the waist would make my backside look flatter. i'm so glad i took the plunge to buy before it sold"&amp;" out. this dress fits perfectly, it's flattering to my figure, the print is beautiful, the fabric and drape do not cling to my figure flaws and i'm just so happy! for sizing reference here are my stats: 5'3"" 140# 36dd and i purchased the medium")</f>
        <v>I can't get enough of maxi dresses and i can't resist tracy reese. this stunning dress caught my eye immediately, but i was worried that the back cut out at the waist would make my backside look flatter. i'm so glad i took the plunge to buy before it sold out. this dress fits perfectly, it's flattering to my figure, the print is beautiful, the fabric and drape do not cling to my figure flaws and i'm just so happy! for sizing reference here are my stats: 5'3" 140# 36dd and i purchased the medium</v>
      </c>
      <c r="F1408" s="8">
        <f>IFERROR(__xludf.DUMMYFUNCTION("""COMPUTED_VALUE"""),5.0)</f>
        <v>5</v>
      </c>
      <c r="G1408" s="8">
        <f>IFERROR(__xludf.DUMMYFUNCTION("""COMPUTED_VALUE"""),1.0)</f>
        <v>1</v>
      </c>
      <c r="H1408" s="8">
        <f>IFERROR(__xludf.DUMMYFUNCTION("""COMPUTED_VALUE"""),6.0)</f>
        <v>6</v>
      </c>
      <c r="I1408" s="8" t="str">
        <f>IFERROR(__xludf.DUMMYFUNCTION("""COMPUTED_VALUE"""),"General")</f>
        <v>General</v>
      </c>
      <c r="J1408" s="8" t="str">
        <f>IFERROR(__xludf.DUMMYFUNCTION("""COMPUTED_VALUE"""),"Dresses")</f>
        <v>Dresses</v>
      </c>
      <c r="K1408" s="8" t="str">
        <f>IFERROR(__xludf.DUMMYFUNCTION("""COMPUTED_VALUE"""),"Dresses")</f>
        <v>Dresses</v>
      </c>
    </row>
    <row r="1409">
      <c r="A1409" s="8">
        <f>IFERROR(__xludf.DUMMYFUNCTION("""COMPUTED_VALUE"""),1867.0)</f>
        <v>1867</v>
      </c>
      <c r="B1409" s="8">
        <f>IFERROR(__xludf.DUMMYFUNCTION("""COMPUTED_VALUE"""),1080.0)</f>
        <v>1080</v>
      </c>
      <c r="C1409" s="8">
        <f>IFERROR(__xludf.DUMMYFUNCTION("""COMPUTED_VALUE"""),33.0)</f>
        <v>33</v>
      </c>
      <c r="D1409" s="8" t="str">
        <f>IFERROR(__xludf.DUMMYFUNCTION("""COMPUTED_VALUE"""),"Great dress")</f>
        <v>Great dress</v>
      </c>
      <c r="E1409" s="8" t="str">
        <f>IFERROR(__xludf.DUMMYFUNCTION("""COMPUTED_VALUE"""),"True to size. length is perfect for 5'8""-5'9"". soft fabric. not too low cut in the front, but not all covered up either. ruching is subtle and does not add bulk. skirt portion skims curves, neither clinging to them nor poufing out from them. strap desig"&amp;"n is perfect, covers bra while revealing a touch of skin. comfortable and effortless to wear, very very pretty.")</f>
        <v>True to size. length is perfect for 5'8"-5'9". soft fabric. not too low cut in the front, but not all covered up either. ruching is subtle and does not add bulk. skirt portion skims curves, neither clinging to them nor poufing out from them. strap design is perfect, covers bra while revealing a touch of skin. comfortable and effortless to wear, very very pretty.</v>
      </c>
      <c r="F1409" s="8">
        <f>IFERROR(__xludf.DUMMYFUNCTION("""COMPUTED_VALUE"""),5.0)</f>
        <v>5</v>
      </c>
      <c r="G1409" s="8">
        <f>IFERROR(__xludf.DUMMYFUNCTION("""COMPUTED_VALUE"""),1.0)</f>
        <v>1</v>
      </c>
      <c r="H1409" s="8">
        <f>IFERROR(__xludf.DUMMYFUNCTION("""COMPUTED_VALUE"""),2.0)</f>
        <v>2</v>
      </c>
      <c r="I1409" s="8" t="str">
        <f>IFERROR(__xludf.DUMMYFUNCTION("""COMPUTED_VALUE"""),"General")</f>
        <v>General</v>
      </c>
      <c r="J1409" s="8" t="str">
        <f>IFERROR(__xludf.DUMMYFUNCTION("""COMPUTED_VALUE"""),"Dresses")</f>
        <v>Dresses</v>
      </c>
      <c r="K1409" s="8" t="str">
        <f>IFERROR(__xludf.DUMMYFUNCTION("""COMPUTED_VALUE"""),"Dresses")</f>
        <v>Dresses</v>
      </c>
    </row>
    <row r="1410">
      <c r="A1410" s="8">
        <f>IFERROR(__xludf.DUMMYFUNCTION("""COMPUTED_VALUE"""),1868.0)</f>
        <v>1868</v>
      </c>
      <c r="B1410" s="8">
        <f>IFERROR(__xludf.DUMMYFUNCTION("""COMPUTED_VALUE"""),1094.0)</f>
        <v>1094</v>
      </c>
      <c r="C1410" s="8">
        <f>IFERROR(__xludf.DUMMYFUNCTION("""COMPUTED_VALUE"""),50.0)</f>
        <v>50</v>
      </c>
      <c r="D1410" s="8" t="str">
        <f>IFERROR(__xludf.DUMMYFUNCTION("""COMPUTED_VALUE"""),"Beautiful dress")</f>
        <v>Beautiful dress</v>
      </c>
      <c r="E1410" s="8" t="str">
        <f>IFERROR(__xludf.DUMMYFUNCTION("""COMPUTED_VALUE"""),"This dress is so pretty. i loved the details on it. the material was ok. would have prefered a softer material so the bottom part of the dress would have been more flattering. unfortunately, it did not fit me right. i'm 5-2"",34c, 28, 37 and the 4p fit ok"&amp;". it hit just above my knees so the length was fine. what i did not like was that it was a little too loose around my waist making me look pregnant so unfortunately i had to send it back. i'm so sad cause this is a really pretty dress. you can dr")</f>
        <v>This dress is so pretty. i loved the details on it. the material was ok. would have prefered a softer material so the bottom part of the dress would have been more flattering. unfortunately, it did not fit me right. i'm 5-2",34c, 28, 37 and the 4p fit ok. it hit just above my knees so the length was fine. what i did not like was that it was a little too loose around my waist making me look pregnant so unfortunately i had to send it back. i'm so sad cause this is a really pretty dress. you can dr</v>
      </c>
      <c r="F1410" s="8">
        <f>IFERROR(__xludf.DUMMYFUNCTION("""COMPUTED_VALUE"""),5.0)</f>
        <v>5</v>
      </c>
      <c r="G1410" s="8">
        <f>IFERROR(__xludf.DUMMYFUNCTION("""COMPUTED_VALUE"""),1.0)</f>
        <v>1</v>
      </c>
      <c r="H1410" s="8">
        <f>IFERROR(__xludf.DUMMYFUNCTION("""COMPUTED_VALUE"""),0.0)</f>
        <v>0</v>
      </c>
      <c r="I1410" s="8" t="str">
        <f>IFERROR(__xludf.DUMMYFUNCTION("""COMPUTED_VALUE"""),"General")</f>
        <v>General</v>
      </c>
      <c r="J1410" s="8" t="str">
        <f>IFERROR(__xludf.DUMMYFUNCTION("""COMPUTED_VALUE"""),"Dresses")</f>
        <v>Dresses</v>
      </c>
      <c r="K1410" s="8" t="str">
        <f>IFERROR(__xludf.DUMMYFUNCTION("""COMPUTED_VALUE"""),"Dresses")</f>
        <v>Dresses</v>
      </c>
    </row>
    <row r="1411">
      <c r="A1411" s="8">
        <f>IFERROR(__xludf.DUMMYFUNCTION("""COMPUTED_VALUE"""),1870.0)</f>
        <v>1870</v>
      </c>
      <c r="B1411" s="8">
        <f>IFERROR(__xludf.DUMMYFUNCTION("""COMPUTED_VALUE"""),1080.0)</f>
        <v>1080</v>
      </c>
      <c r="C1411" s="8">
        <f>IFERROR(__xludf.DUMMYFUNCTION("""COMPUTED_VALUE"""),33.0)</f>
        <v>33</v>
      </c>
      <c r="D1411" s="8" t="str">
        <f>IFERROR(__xludf.DUMMYFUNCTION("""COMPUTED_VALUE"""),"Gorgeous!")</f>
        <v>Gorgeous!</v>
      </c>
      <c r="E1411" s="8" t="str">
        <f>IFERROR(__xludf.DUMMYFUNCTION("""COMPUTED_VALUE"""),"I feel like an indian princess in this dress! it isn't very forgiving, make sure you don't mind showing some skin - but there's some subtle rouching right at the spot where most of us wish we could hide at all times. great colors; boyfriend loves it.")</f>
        <v>I feel like an indian princess in this dress! it isn't very forgiving, make sure you don't mind showing some skin - but there's some subtle rouching right at the spot where most of us wish we could hide at all times. great colors; boyfriend loves it.</v>
      </c>
      <c r="F1411" s="8">
        <f>IFERROR(__xludf.DUMMYFUNCTION("""COMPUTED_VALUE"""),5.0)</f>
        <v>5</v>
      </c>
      <c r="G1411" s="8">
        <f>IFERROR(__xludf.DUMMYFUNCTION("""COMPUTED_VALUE"""),1.0)</f>
        <v>1</v>
      </c>
      <c r="H1411" s="8">
        <f>IFERROR(__xludf.DUMMYFUNCTION("""COMPUTED_VALUE"""),0.0)</f>
        <v>0</v>
      </c>
      <c r="I1411" s="8" t="str">
        <f>IFERROR(__xludf.DUMMYFUNCTION("""COMPUTED_VALUE"""),"General")</f>
        <v>General</v>
      </c>
      <c r="J1411" s="8" t="str">
        <f>IFERROR(__xludf.DUMMYFUNCTION("""COMPUTED_VALUE"""),"Dresses")</f>
        <v>Dresses</v>
      </c>
      <c r="K1411" s="8" t="str">
        <f>IFERROR(__xludf.DUMMYFUNCTION("""COMPUTED_VALUE"""),"Dresses")</f>
        <v>Dresses</v>
      </c>
    </row>
    <row r="1412">
      <c r="A1412" s="8">
        <f>IFERROR(__xludf.DUMMYFUNCTION("""COMPUTED_VALUE"""),1871.0)</f>
        <v>1871</v>
      </c>
      <c r="B1412" s="8">
        <f>IFERROR(__xludf.DUMMYFUNCTION("""COMPUTED_VALUE"""),1094.0)</f>
        <v>1094</v>
      </c>
      <c r="C1412" s="8">
        <f>IFERROR(__xludf.DUMMYFUNCTION("""COMPUTED_VALUE"""),39.0)</f>
        <v>39</v>
      </c>
      <c r="D1412" s="8" t="str">
        <f>IFERROR(__xludf.DUMMYFUNCTION("""COMPUTED_VALUE"""),"Exquisite")</f>
        <v>Exquisite</v>
      </c>
      <c r="E1412" s="8" t="str">
        <f>IFERROR(__xludf.DUMMYFUNCTION("""COMPUTED_VALUE"""),"Absolutely love this dress. i saw it online and didn't give it much thought and then saw it in the store and it was amazing. the photos really do not do it justice. the embroarding detail at the bottom is beyond beautiful in person. i agree that if you do"&amp;"n't want skin showing you will need a black bra or black cami to over the delegate lace down the front and back of the dress. got this for fall/winter in fl and cannot wait to wear it, perfect holiday party dress!")</f>
        <v>Absolutely love this dress. i saw it online and didn't give it much thought and then saw it in the store and it was amazing. the photos really do not do it justice. the embroarding detail at the bottom is beyond beautiful in person. i agree that if you don't want skin showing you will need a black bra or black cami to over the delegate lace down the front and back of the dress. got this for fall/winter in fl and cannot wait to wear it, perfect holiday party dress!</v>
      </c>
      <c r="F1412" s="8">
        <f>IFERROR(__xludf.DUMMYFUNCTION("""COMPUTED_VALUE"""),5.0)</f>
        <v>5</v>
      </c>
      <c r="G1412" s="8">
        <f>IFERROR(__xludf.DUMMYFUNCTION("""COMPUTED_VALUE"""),1.0)</f>
        <v>1</v>
      </c>
      <c r="H1412" s="8">
        <f>IFERROR(__xludf.DUMMYFUNCTION("""COMPUTED_VALUE"""),0.0)</f>
        <v>0</v>
      </c>
      <c r="I1412" s="8" t="str">
        <f>IFERROR(__xludf.DUMMYFUNCTION("""COMPUTED_VALUE"""),"General")</f>
        <v>General</v>
      </c>
      <c r="J1412" s="8" t="str">
        <f>IFERROR(__xludf.DUMMYFUNCTION("""COMPUTED_VALUE"""),"Dresses")</f>
        <v>Dresses</v>
      </c>
      <c r="K1412" s="8" t="str">
        <f>IFERROR(__xludf.DUMMYFUNCTION("""COMPUTED_VALUE"""),"Dresses")</f>
        <v>Dresses</v>
      </c>
    </row>
    <row r="1413">
      <c r="A1413" s="8">
        <f>IFERROR(__xludf.DUMMYFUNCTION("""COMPUTED_VALUE"""),1872.0)</f>
        <v>1872</v>
      </c>
      <c r="B1413" s="8">
        <f>IFERROR(__xludf.DUMMYFUNCTION("""COMPUTED_VALUE"""),1094.0)</f>
        <v>1094</v>
      </c>
      <c r="C1413" s="8">
        <f>IFERROR(__xludf.DUMMYFUNCTION("""COMPUTED_VALUE"""),65.0)</f>
        <v>65</v>
      </c>
      <c r="D1413" s="8" t="str">
        <f>IFERROR(__xludf.DUMMYFUNCTION("""COMPUTED_VALUE"""),"Ingenious mix of line and detail: ranna gill!")</f>
        <v>Ingenious mix of line and detail: ranna gill!</v>
      </c>
      <c r="E1413" s="8" t="str">
        <f>IFERROR(__xludf.DUMMYFUNCTION("""COMPUTED_VALUE"""),"This dress is my personal introduction to talented indian designer, ranna gill. i just love this gorgeous, free- spirited dress! i bought the regular medium for my 5'1"", 34f, size 8 figure. it works very well. i will want to wear a black cami, as i'm not"&amp;" comfortable with some cleavage showing (maybe 3/4"") and the open lines of lacy, small holes down the front and back. you might not mind showing more skin though and not need a cami. the top is not very see-through, and the skirt is lined. the re")</f>
        <v>This dress is my personal introduction to talented indian designer, ranna gill. i just love this gorgeous, free- spirited dress! i bought the regular medium for my 5'1", 34f, size 8 figure. it works very well. i will want to wear a black cami, as i'm not comfortable with some cleavage showing (maybe 3/4") and the open lines of lacy, small holes down the front and back. you might not mind showing more skin though and not need a cami. the top is not very see-through, and the skirt is lined. the re</v>
      </c>
      <c r="F1413" s="8">
        <f>IFERROR(__xludf.DUMMYFUNCTION("""COMPUTED_VALUE"""),5.0)</f>
        <v>5</v>
      </c>
      <c r="G1413" s="8">
        <f>IFERROR(__xludf.DUMMYFUNCTION("""COMPUTED_VALUE"""),1.0)</f>
        <v>1</v>
      </c>
      <c r="H1413" s="8">
        <f>IFERROR(__xludf.DUMMYFUNCTION("""COMPUTED_VALUE"""),9.0)</f>
        <v>9</v>
      </c>
      <c r="I1413" s="8" t="str">
        <f>IFERROR(__xludf.DUMMYFUNCTION("""COMPUTED_VALUE"""),"General")</f>
        <v>General</v>
      </c>
      <c r="J1413" s="8" t="str">
        <f>IFERROR(__xludf.DUMMYFUNCTION("""COMPUTED_VALUE"""),"Dresses")</f>
        <v>Dresses</v>
      </c>
      <c r="K1413" s="8" t="str">
        <f>IFERROR(__xludf.DUMMYFUNCTION("""COMPUTED_VALUE"""),"Dresses")</f>
        <v>Dresses</v>
      </c>
    </row>
    <row r="1414">
      <c r="A1414" s="8">
        <f>IFERROR(__xludf.DUMMYFUNCTION("""COMPUTED_VALUE"""),1874.0)</f>
        <v>1874</v>
      </c>
      <c r="B1414" s="8">
        <f>IFERROR(__xludf.DUMMYFUNCTION("""COMPUTED_VALUE"""),1080.0)</f>
        <v>1080</v>
      </c>
      <c r="C1414" s="8">
        <f>IFERROR(__xludf.DUMMYFUNCTION("""COMPUTED_VALUE"""),44.0)</f>
        <v>44</v>
      </c>
      <c r="D1414" s="8" t="str">
        <f>IFERROR(__xludf.DUMMYFUNCTION("""COMPUTED_VALUE"""),"Great dress, even better in person!")</f>
        <v>Great dress, even better in person!</v>
      </c>
      <c r="E1414" s="8" t="str">
        <f>IFERROR(__xludf.DUMMYFUNCTION("""COMPUTED_VALUE"""),"This dress is great, and looks even prettier in person, the colors are more vibrant. the ruching is very forgiving for the belly and the length is perfect. most maxi's are too long on me, but i ordered a ps and it fit perfect. my only complaint is that it"&amp;" is very low cut, which i was unaware of standing up, but when i sat down at a dinner party, well, let's just say i gave everyone a show :(. recommend wearing a cami or something underneath.")</f>
        <v>This dress is great, and looks even prettier in person, the colors are more vibrant. the ruching is very forgiving for the belly and the length is perfect. most maxi's are too long on me, but i ordered a ps and it fit perfect. my only complaint is that it is very low cut, which i was unaware of standing up, but when i sat down at a dinner party, well, let's just say i gave everyone a show :(. recommend wearing a cami or something underneath.</v>
      </c>
      <c r="F1414" s="8">
        <f>IFERROR(__xludf.DUMMYFUNCTION("""COMPUTED_VALUE"""),5.0)</f>
        <v>5</v>
      </c>
      <c r="G1414" s="8">
        <f>IFERROR(__xludf.DUMMYFUNCTION("""COMPUTED_VALUE"""),1.0)</f>
        <v>1</v>
      </c>
      <c r="H1414" s="8">
        <f>IFERROR(__xludf.DUMMYFUNCTION("""COMPUTED_VALUE"""),2.0)</f>
        <v>2</v>
      </c>
      <c r="I1414" s="8" t="str">
        <f>IFERROR(__xludf.DUMMYFUNCTION("""COMPUTED_VALUE"""),"General")</f>
        <v>General</v>
      </c>
      <c r="J1414" s="8" t="str">
        <f>IFERROR(__xludf.DUMMYFUNCTION("""COMPUTED_VALUE"""),"Dresses")</f>
        <v>Dresses</v>
      </c>
      <c r="K1414" s="8" t="str">
        <f>IFERROR(__xludf.DUMMYFUNCTION("""COMPUTED_VALUE"""),"Dresses")</f>
        <v>Dresses</v>
      </c>
    </row>
    <row r="1415">
      <c r="A1415" s="8">
        <f>IFERROR(__xludf.DUMMYFUNCTION("""COMPUTED_VALUE"""),1875.0)</f>
        <v>1875</v>
      </c>
      <c r="B1415" s="8">
        <f>IFERROR(__xludf.DUMMYFUNCTION("""COMPUTED_VALUE"""),857.0)</f>
        <v>857</v>
      </c>
      <c r="C1415" s="8">
        <f>IFERROR(__xludf.DUMMYFUNCTION("""COMPUTED_VALUE"""),38.0)</f>
        <v>38</v>
      </c>
      <c r="D1415" s="8" t="str">
        <f>IFERROR(__xludf.DUMMYFUNCTION("""COMPUTED_VALUE"""),"Flows nicely")</f>
        <v>Flows nicely</v>
      </c>
      <c r="E1415" s="8" t="str">
        <f>IFERROR(__xludf.DUMMYFUNCTION("""COMPUTED_VALUE"""),"I love this shirt. i'm 5' 4"", 110lbs, just had 3rd baby so not into tight fighting clothes at the moment. love the loose yet flattering fit of this shirt. the sleeves are not too tight on me and i love the length.")</f>
        <v>I love this shirt. i'm 5' 4", 110lbs, just had 3rd baby so not into tight fighting clothes at the moment. love the loose yet flattering fit of this shirt. the sleeves are not too tight on me and i love the length.</v>
      </c>
      <c r="F1415" s="8">
        <f>IFERROR(__xludf.DUMMYFUNCTION("""COMPUTED_VALUE"""),5.0)</f>
        <v>5</v>
      </c>
      <c r="G1415" s="8">
        <f>IFERROR(__xludf.DUMMYFUNCTION("""COMPUTED_VALUE"""),1.0)</f>
        <v>1</v>
      </c>
      <c r="H1415" s="8">
        <f>IFERROR(__xludf.DUMMYFUNCTION("""COMPUTED_VALUE"""),1.0)</f>
        <v>1</v>
      </c>
      <c r="I1415" s="8" t="str">
        <f>IFERROR(__xludf.DUMMYFUNCTION("""COMPUTED_VALUE"""),"General")</f>
        <v>General</v>
      </c>
      <c r="J1415" s="8" t="str">
        <f>IFERROR(__xludf.DUMMYFUNCTION("""COMPUTED_VALUE"""),"Tops")</f>
        <v>Tops</v>
      </c>
      <c r="K1415" s="8" t="str">
        <f>IFERROR(__xludf.DUMMYFUNCTION("""COMPUTED_VALUE"""),"Knits")</f>
        <v>Knits</v>
      </c>
    </row>
    <row r="1416">
      <c r="A1416" s="8">
        <f>IFERROR(__xludf.DUMMYFUNCTION("""COMPUTED_VALUE"""),1877.0)</f>
        <v>1877</v>
      </c>
      <c r="B1416" s="8">
        <f>IFERROR(__xludf.DUMMYFUNCTION("""COMPUTED_VALUE"""),1080.0)</f>
        <v>1080</v>
      </c>
      <c r="C1416" s="8">
        <f>IFERROR(__xludf.DUMMYFUNCTION("""COMPUTED_VALUE"""),39.0)</f>
        <v>39</v>
      </c>
      <c r="D1416" s="8" t="str">
        <f>IFERROR(__xludf.DUMMYFUNCTION("""COMPUTED_VALUE"""),"In love with this dress!!!!")</f>
        <v>In love with this dress!!!!</v>
      </c>
      <c r="E1416" s="8" t="str">
        <f>IFERROR(__xludf.DUMMYFUNCTION("""COMPUTED_VALUE"""),"This dress is so pretty- the colors are vibrant, beautiful pattern, the ruched part in the center hides the tummy!!! the neck line was too low for me, so had to wear a red cami underneath which hid the skin showing parts in the back around the waist. so i"&amp;"nstead of skin color, it was now red- even more prettier! no body could tell!! got so many compliments!!!")</f>
        <v>This dress is so pretty- the colors are vibrant, beautiful pattern, the ruched part in the center hides the tummy!!! the neck line was too low for me, so had to wear a red cami underneath which hid the skin showing parts in the back around the waist. so instead of skin color, it was now red- even more prettier! no body could tell!! got so many compliments!!!</v>
      </c>
      <c r="F1416" s="8">
        <f>IFERROR(__xludf.DUMMYFUNCTION("""COMPUTED_VALUE"""),5.0)</f>
        <v>5</v>
      </c>
      <c r="G1416" s="8">
        <f>IFERROR(__xludf.DUMMYFUNCTION("""COMPUTED_VALUE"""),1.0)</f>
        <v>1</v>
      </c>
      <c r="H1416" s="8">
        <f>IFERROR(__xludf.DUMMYFUNCTION("""COMPUTED_VALUE"""),1.0)</f>
        <v>1</v>
      </c>
      <c r="I1416" s="8" t="str">
        <f>IFERROR(__xludf.DUMMYFUNCTION("""COMPUTED_VALUE"""),"General")</f>
        <v>General</v>
      </c>
      <c r="J1416" s="8" t="str">
        <f>IFERROR(__xludf.DUMMYFUNCTION("""COMPUTED_VALUE"""),"Dresses")</f>
        <v>Dresses</v>
      </c>
      <c r="K1416" s="8" t="str">
        <f>IFERROR(__xludf.DUMMYFUNCTION("""COMPUTED_VALUE"""),"Dresses")</f>
        <v>Dresses</v>
      </c>
    </row>
    <row r="1417">
      <c r="A1417" s="8">
        <f>IFERROR(__xludf.DUMMYFUNCTION("""COMPUTED_VALUE"""),1878.0)</f>
        <v>1878</v>
      </c>
      <c r="B1417" s="8">
        <f>IFERROR(__xludf.DUMMYFUNCTION("""COMPUTED_VALUE"""),860.0)</f>
        <v>860</v>
      </c>
      <c r="C1417" s="8">
        <f>IFERROR(__xludf.DUMMYFUNCTION("""COMPUTED_VALUE"""),36.0)</f>
        <v>36</v>
      </c>
      <c r="D1417" s="8" t="str">
        <f>IFERROR(__xludf.DUMMYFUNCTION("""COMPUTED_VALUE"""),"Nice knit button up")</f>
        <v>Nice knit button up</v>
      </c>
      <c r="E1417" s="8" t="str">
        <f>IFERROR(__xludf.DUMMYFUNCTION("""COMPUTED_VALUE"""),"I was pleasantly surprised when this arrived. it hangs in a flattering way and the red has a nice soft hue. i couldn't believe what a great deal i got while on sale.")</f>
        <v>I was pleasantly surprised when this arrived. it hangs in a flattering way and the red has a nice soft hue. i couldn't believe what a great deal i got while on sale.</v>
      </c>
      <c r="F1417" s="8">
        <f>IFERROR(__xludf.DUMMYFUNCTION("""COMPUTED_VALUE"""),5.0)</f>
        <v>5</v>
      </c>
      <c r="G1417" s="8">
        <f>IFERROR(__xludf.DUMMYFUNCTION("""COMPUTED_VALUE"""),1.0)</f>
        <v>1</v>
      </c>
      <c r="H1417" s="8">
        <f>IFERROR(__xludf.DUMMYFUNCTION("""COMPUTED_VALUE"""),0.0)</f>
        <v>0</v>
      </c>
      <c r="I1417" s="8" t="str">
        <f>IFERROR(__xludf.DUMMYFUNCTION("""COMPUTED_VALUE"""),"General")</f>
        <v>General</v>
      </c>
      <c r="J1417" s="8" t="str">
        <f>IFERROR(__xludf.DUMMYFUNCTION("""COMPUTED_VALUE"""),"Tops")</f>
        <v>Tops</v>
      </c>
      <c r="K1417" s="8" t="str">
        <f>IFERROR(__xludf.DUMMYFUNCTION("""COMPUTED_VALUE"""),"Knits")</f>
        <v>Knits</v>
      </c>
    </row>
    <row r="1418">
      <c r="A1418" s="8">
        <f>IFERROR(__xludf.DUMMYFUNCTION("""COMPUTED_VALUE"""),1879.0)</f>
        <v>1879</v>
      </c>
      <c r="B1418" s="8">
        <f>IFERROR(__xludf.DUMMYFUNCTION("""COMPUTED_VALUE"""),1059.0)</f>
        <v>1059</v>
      </c>
      <c r="C1418" s="8">
        <f>IFERROR(__xludf.DUMMYFUNCTION("""COMPUTED_VALUE"""),67.0)</f>
        <v>67</v>
      </c>
      <c r="D1418" s="8" t="str">
        <f>IFERROR(__xludf.DUMMYFUNCTION("""COMPUTED_VALUE"""),"Funky fun")</f>
        <v>Funky fun</v>
      </c>
      <c r="E1418" s="8" t="str">
        <f>IFERROR(__xludf.DUMMYFUNCTION("""COMPUTED_VALUE"""),"These crops are very well proportioned and fun. the graphic pattern is spot on trend and the unusual silhouette can spice up your pants options.
i am a fan of cartonnier and these particular pants were surprisingly generously cut in comparison to most of"&amp;" the styles i have. i usually need to order cropped pants in tall, but these worked with the regular inseam.")</f>
        <v>These crops are very well proportioned and fun. the graphic pattern is spot on trend and the unusual silhouette can spice up your pants options.
i am a fan of cartonnier and these particular pants were surprisingly generously cut in comparison to most of the styles i have. i usually need to order cropped pants in tall, but these worked with the regular inseam.</v>
      </c>
      <c r="F1418" s="8">
        <f>IFERROR(__xludf.DUMMYFUNCTION("""COMPUTED_VALUE"""),5.0)</f>
        <v>5</v>
      </c>
      <c r="G1418" s="8">
        <f>IFERROR(__xludf.DUMMYFUNCTION("""COMPUTED_VALUE"""),1.0)</f>
        <v>1</v>
      </c>
      <c r="H1418" s="8">
        <f>IFERROR(__xludf.DUMMYFUNCTION("""COMPUTED_VALUE"""),13.0)</f>
        <v>13</v>
      </c>
      <c r="I1418" s="8" t="str">
        <f>IFERROR(__xludf.DUMMYFUNCTION("""COMPUTED_VALUE"""),"General Petite")</f>
        <v>General Petite</v>
      </c>
      <c r="J1418" s="8" t="str">
        <f>IFERROR(__xludf.DUMMYFUNCTION("""COMPUTED_VALUE"""),"Bottoms")</f>
        <v>Bottoms</v>
      </c>
      <c r="K1418" s="8" t="str">
        <f>IFERROR(__xludf.DUMMYFUNCTION("""COMPUTED_VALUE"""),"Pants")</f>
        <v>Pants</v>
      </c>
    </row>
    <row r="1419">
      <c r="A1419" s="8">
        <f>IFERROR(__xludf.DUMMYFUNCTION("""COMPUTED_VALUE"""),1880.0)</f>
        <v>1880</v>
      </c>
      <c r="B1419" s="8">
        <f>IFERROR(__xludf.DUMMYFUNCTION("""COMPUTED_VALUE"""),1066.0)</f>
        <v>1066</v>
      </c>
      <c r="C1419" s="8">
        <f>IFERROR(__xludf.DUMMYFUNCTION("""COMPUTED_VALUE"""),51.0)</f>
        <v>51</v>
      </c>
      <c r="D1419" s="8" t="str">
        <f>IFERROR(__xludf.DUMMYFUNCTION("""COMPUTED_VALUE"""),"Perfect summer pants!")</f>
        <v>Perfect summer pants!</v>
      </c>
      <c r="E1419" s="8" t="str">
        <f>IFERROR(__xludf.DUMMYFUNCTION("""COMPUTED_VALUE"""),"The linen- cotton blend breathes so well for a hot summer day! the design on the waistline is super cute and yes they are a little long in the leg but that can be a plus+ for vertically challenged girls like me. wedges and platforms are perfect to show of"&amp;"f the soft drape of the pant legs. now that they're on sale, i'm snatching up other colors, like white and light khaki- already have the seersucker blue pair!")</f>
        <v>The linen- cotton blend breathes so well for a hot summer day! the design on the waistline is super cute and yes they are a little long in the leg but that can be a plus+ for vertically challenged girls like me. wedges and platforms are perfect to show off the soft drape of the pant legs. now that they're on sale, i'm snatching up other colors, like white and light khaki- already have the seersucker blue pair!</v>
      </c>
      <c r="F1419" s="8">
        <f>IFERROR(__xludf.DUMMYFUNCTION("""COMPUTED_VALUE"""),5.0)</f>
        <v>5</v>
      </c>
      <c r="G1419" s="8">
        <f>IFERROR(__xludf.DUMMYFUNCTION("""COMPUTED_VALUE"""),1.0)</f>
        <v>1</v>
      </c>
      <c r="H1419" s="8">
        <f>IFERROR(__xludf.DUMMYFUNCTION("""COMPUTED_VALUE"""),0.0)</f>
        <v>0</v>
      </c>
      <c r="I1419" s="8" t="str">
        <f>IFERROR(__xludf.DUMMYFUNCTION("""COMPUTED_VALUE"""),"General Petite")</f>
        <v>General Petite</v>
      </c>
      <c r="J1419" s="8" t="str">
        <f>IFERROR(__xludf.DUMMYFUNCTION("""COMPUTED_VALUE"""),"Bottoms")</f>
        <v>Bottoms</v>
      </c>
      <c r="K1419" s="8" t="str">
        <f>IFERROR(__xludf.DUMMYFUNCTION("""COMPUTED_VALUE"""),"Pants")</f>
        <v>Pants</v>
      </c>
    </row>
    <row r="1420">
      <c r="A1420" s="8">
        <f>IFERROR(__xludf.DUMMYFUNCTION("""COMPUTED_VALUE"""),1881.0)</f>
        <v>1881</v>
      </c>
      <c r="B1420" s="8">
        <f>IFERROR(__xludf.DUMMYFUNCTION("""COMPUTED_VALUE"""),1094.0)</f>
        <v>1094</v>
      </c>
      <c r="C1420" s="8">
        <f>IFERROR(__xludf.DUMMYFUNCTION("""COMPUTED_VALUE"""),26.0)</f>
        <v>26</v>
      </c>
      <c r="D1420" s="8" t="str">
        <f>IFERROR(__xludf.DUMMYFUNCTION("""COMPUTED_VALUE"""),"Belle of the ball")</f>
        <v>Belle of the ball</v>
      </c>
      <c r="E1420" s="8" t="str">
        <f>IFERROR(__xludf.DUMMYFUNCTION("""COMPUTED_VALUE"""),"I wore this dress to a party once and haven't been able to find an outfit that can top it!")</f>
        <v>I wore this dress to a party once and haven't been able to find an outfit that can top it!</v>
      </c>
      <c r="F1420" s="8">
        <f>IFERROR(__xludf.DUMMYFUNCTION("""COMPUTED_VALUE"""),5.0)</f>
        <v>5</v>
      </c>
      <c r="G1420" s="8">
        <f>IFERROR(__xludf.DUMMYFUNCTION("""COMPUTED_VALUE"""),1.0)</f>
        <v>1</v>
      </c>
      <c r="H1420" s="8">
        <f>IFERROR(__xludf.DUMMYFUNCTION("""COMPUTED_VALUE"""),0.0)</f>
        <v>0</v>
      </c>
      <c r="I1420" s="8" t="str">
        <f>IFERROR(__xludf.DUMMYFUNCTION("""COMPUTED_VALUE"""),"General")</f>
        <v>General</v>
      </c>
      <c r="J1420" s="8" t="str">
        <f>IFERROR(__xludf.DUMMYFUNCTION("""COMPUTED_VALUE"""),"Dresses")</f>
        <v>Dresses</v>
      </c>
      <c r="K1420" s="8" t="str">
        <f>IFERROR(__xludf.DUMMYFUNCTION("""COMPUTED_VALUE"""),"Dresses")</f>
        <v>Dresses</v>
      </c>
    </row>
    <row r="1421">
      <c r="A1421" s="8">
        <f>IFERROR(__xludf.DUMMYFUNCTION("""COMPUTED_VALUE"""),1883.0)</f>
        <v>1883</v>
      </c>
      <c r="B1421" s="8">
        <f>IFERROR(__xludf.DUMMYFUNCTION("""COMPUTED_VALUE"""),1066.0)</f>
        <v>1066</v>
      </c>
      <c r="C1421" s="8">
        <f>IFERROR(__xludf.DUMMYFUNCTION("""COMPUTED_VALUE"""),44.0)</f>
        <v>44</v>
      </c>
      <c r="D1421" s="8"/>
      <c r="E1421" s="8" t="str">
        <f>IFERROR(__xludf.DUMMYFUNCTION("""COMPUTED_VALUE"""),"I love these pants! comfortable, light and can be dressed up for work and down for the weekend. the color is a little more saturated in person, but can't really complain about that too much!")</f>
        <v>I love these pants! comfortable, light and can be dressed up for work and down for the weekend. the color is a little more saturated in person, but can't really complain about that too much!</v>
      </c>
      <c r="F1421" s="8">
        <f>IFERROR(__xludf.DUMMYFUNCTION("""COMPUTED_VALUE"""),5.0)</f>
        <v>5</v>
      </c>
      <c r="G1421" s="8">
        <f>IFERROR(__xludf.DUMMYFUNCTION("""COMPUTED_VALUE"""),1.0)</f>
        <v>1</v>
      </c>
      <c r="H1421" s="8">
        <f>IFERROR(__xludf.DUMMYFUNCTION("""COMPUTED_VALUE"""),2.0)</f>
        <v>2</v>
      </c>
      <c r="I1421" s="8" t="str">
        <f>IFERROR(__xludf.DUMMYFUNCTION("""COMPUTED_VALUE"""),"General Petite")</f>
        <v>General Petite</v>
      </c>
      <c r="J1421" s="8" t="str">
        <f>IFERROR(__xludf.DUMMYFUNCTION("""COMPUTED_VALUE"""),"Bottoms")</f>
        <v>Bottoms</v>
      </c>
      <c r="K1421" s="8" t="str">
        <f>IFERROR(__xludf.DUMMYFUNCTION("""COMPUTED_VALUE"""),"Pants")</f>
        <v>Pants</v>
      </c>
    </row>
    <row r="1422">
      <c r="A1422" s="8">
        <f>IFERROR(__xludf.DUMMYFUNCTION("""COMPUTED_VALUE"""),1884.0)</f>
        <v>1884</v>
      </c>
      <c r="B1422" s="8">
        <f>IFERROR(__xludf.DUMMYFUNCTION("""COMPUTED_VALUE"""),828.0)</f>
        <v>828</v>
      </c>
      <c r="C1422" s="8">
        <f>IFERROR(__xludf.DUMMYFUNCTION("""COMPUTED_VALUE"""),56.0)</f>
        <v>56</v>
      </c>
      <c r="D1422" s="8" t="str">
        <f>IFERROR(__xludf.DUMMYFUNCTION("""COMPUTED_VALUE"""),"Runs small")</f>
        <v>Runs small</v>
      </c>
      <c r="E1422" s="8" t="str">
        <f>IFERROR(__xludf.DUMMYFUNCTION("""COMPUTED_VALUE"""),"I loved this top, however had to return as it does run small. by the time it arrived they were sold out in the larger size. like the quality of cloth and stone, however their products do run a size small.")</f>
        <v>I loved this top, however had to return as it does run small. by the time it arrived they were sold out in the larger size. like the quality of cloth and stone, however their products do run a size small.</v>
      </c>
      <c r="F1422" s="8">
        <f>IFERROR(__xludf.DUMMYFUNCTION("""COMPUTED_VALUE"""),4.0)</f>
        <v>4</v>
      </c>
      <c r="G1422" s="8">
        <f>IFERROR(__xludf.DUMMYFUNCTION("""COMPUTED_VALUE"""),1.0)</f>
        <v>1</v>
      </c>
      <c r="H1422" s="8">
        <f>IFERROR(__xludf.DUMMYFUNCTION("""COMPUTED_VALUE"""),0.0)</f>
        <v>0</v>
      </c>
      <c r="I1422" s="8" t="str">
        <f>IFERROR(__xludf.DUMMYFUNCTION("""COMPUTED_VALUE"""),"General")</f>
        <v>General</v>
      </c>
      <c r="J1422" s="8" t="str">
        <f>IFERROR(__xludf.DUMMYFUNCTION("""COMPUTED_VALUE"""),"Tops")</f>
        <v>Tops</v>
      </c>
      <c r="K1422" s="8" t="str">
        <f>IFERROR(__xludf.DUMMYFUNCTION("""COMPUTED_VALUE"""),"Blouses")</f>
        <v>Blouses</v>
      </c>
    </row>
    <row r="1423">
      <c r="A1423" s="8">
        <f>IFERROR(__xludf.DUMMYFUNCTION("""COMPUTED_VALUE"""),1885.0)</f>
        <v>1885</v>
      </c>
      <c r="B1423" s="8">
        <f>IFERROR(__xludf.DUMMYFUNCTION("""COMPUTED_VALUE"""),1035.0)</f>
        <v>1035</v>
      </c>
      <c r="C1423" s="8">
        <f>IFERROR(__xludf.DUMMYFUNCTION("""COMPUTED_VALUE"""),41.0)</f>
        <v>41</v>
      </c>
      <c r="D1423" s="8" t="str">
        <f>IFERROR(__xludf.DUMMYFUNCTION("""COMPUTED_VALUE"""),"Just a perfect pair!")</f>
        <v>Just a perfect pair!</v>
      </c>
      <c r="E1423" s="8" t="str">
        <f>IFERROR(__xludf.DUMMYFUNCTION("""COMPUTED_VALUE"""),"As a lazy one, i have to confess i barely leave any reviews even though i rely on the reviews from others to make my online order decision. yes! i owe a big ""thank you"" to anyone who wrote a helpful and honest reviews here :) and thank you!! now it is m"&amp;"y time to pay back to the community. this pair of jeans are just perfect - perfect design, perfect fit and perfect material, soft, cozy and hip with a good spirit.. i don't want to take it off once i put on! i am 108 pounds and 5' 3"" ordered size")</f>
        <v>As a lazy one, i have to confess i barely leave any reviews even though i rely on the reviews from others to make my online order decision. yes! i owe a big "thank you" to anyone who wrote a helpful and honest reviews here :) and thank you!! now it is my time to pay back to the community. this pair of jeans are just perfect - perfect design, perfect fit and perfect material, soft, cozy and hip with a good spirit.. i don't want to take it off once i put on! i am 108 pounds and 5' 3" ordered size</v>
      </c>
      <c r="F1423" s="8">
        <f>IFERROR(__xludf.DUMMYFUNCTION("""COMPUTED_VALUE"""),5.0)</f>
        <v>5</v>
      </c>
      <c r="G1423" s="8">
        <f>IFERROR(__xludf.DUMMYFUNCTION("""COMPUTED_VALUE"""),1.0)</f>
        <v>1</v>
      </c>
      <c r="H1423" s="8">
        <f>IFERROR(__xludf.DUMMYFUNCTION("""COMPUTED_VALUE"""),4.0)</f>
        <v>4</v>
      </c>
      <c r="I1423" s="8" t="str">
        <f>IFERROR(__xludf.DUMMYFUNCTION("""COMPUTED_VALUE"""),"General")</f>
        <v>General</v>
      </c>
      <c r="J1423" s="8" t="str">
        <f>IFERROR(__xludf.DUMMYFUNCTION("""COMPUTED_VALUE"""),"Bottoms")</f>
        <v>Bottoms</v>
      </c>
      <c r="K1423" s="8" t="str">
        <f>IFERROR(__xludf.DUMMYFUNCTION("""COMPUTED_VALUE"""),"Jeans")</f>
        <v>Jeans</v>
      </c>
    </row>
    <row r="1424">
      <c r="A1424" s="8">
        <f>IFERROR(__xludf.DUMMYFUNCTION("""COMPUTED_VALUE"""),1887.0)</f>
        <v>1887</v>
      </c>
      <c r="B1424" s="8">
        <f>IFERROR(__xludf.DUMMYFUNCTION("""COMPUTED_VALUE"""),1059.0)</f>
        <v>1059</v>
      </c>
      <c r="C1424" s="8">
        <f>IFERROR(__xludf.DUMMYFUNCTION("""COMPUTED_VALUE"""),39.0)</f>
        <v>39</v>
      </c>
      <c r="D1424" s="8" t="str">
        <f>IFERROR(__xludf.DUMMYFUNCTION("""COMPUTED_VALUE"""),"Great day/night pants")</f>
        <v>Great day/night pants</v>
      </c>
      <c r="E1424" s="8" t="str">
        <f>IFERROR(__xludf.DUMMYFUNCTION("""COMPUTED_VALUE"""),"Adorable and amazing quality. true to size. i ordered a 6 and fit perfect.")</f>
        <v>Adorable and amazing quality. true to size. i ordered a 6 and fit perfect.</v>
      </c>
      <c r="F1424" s="8">
        <f>IFERROR(__xludf.DUMMYFUNCTION("""COMPUTED_VALUE"""),5.0)</f>
        <v>5</v>
      </c>
      <c r="G1424" s="8">
        <f>IFERROR(__xludf.DUMMYFUNCTION("""COMPUTED_VALUE"""),1.0)</f>
        <v>1</v>
      </c>
      <c r="H1424" s="8">
        <f>IFERROR(__xludf.DUMMYFUNCTION("""COMPUTED_VALUE"""),0.0)</f>
        <v>0</v>
      </c>
      <c r="I1424" s="8" t="str">
        <f>IFERROR(__xludf.DUMMYFUNCTION("""COMPUTED_VALUE"""),"General Petite")</f>
        <v>General Petite</v>
      </c>
      <c r="J1424" s="8" t="str">
        <f>IFERROR(__xludf.DUMMYFUNCTION("""COMPUTED_VALUE"""),"Bottoms")</f>
        <v>Bottoms</v>
      </c>
      <c r="K1424" s="8" t="str">
        <f>IFERROR(__xludf.DUMMYFUNCTION("""COMPUTED_VALUE"""),"Pants")</f>
        <v>Pants</v>
      </c>
    </row>
    <row r="1425">
      <c r="A1425" s="8">
        <f>IFERROR(__xludf.DUMMYFUNCTION("""COMPUTED_VALUE"""),1888.0)</f>
        <v>1888</v>
      </c>
      <c r="B1425" s="8">
        <f>IFERROR(__xludf.DUMMYFUNCTION("""COMPUTED_VALUE"""),1066.0)</f>
        <v>1066</v>
      </c>
      <c r="C1425" s="8">
        <f>IFERROR(__xludf.DUMMYFUNCTION("""COMPUTED_VALUE"""),38.0)</f>
        <v>38</v>
      </c>
      <c r="D1425" s="8" t="str">
        <f>IFERROR(__xludf.DUMMYFUNCTION("""COMPUTED_VALUE"""),"Great for spring")</f>
        <v>Great for spring</v>
      </c>
      <c r="E1425" s="8" t="str">
        <f>IFERROR(__xludf.DUMMYFUNCTION("""COMPUTED_VALUE"""),"Love these pants. super light and great color. they are a bit long though")</f>
        <v>Love these pants. super light and great color. they are a bit long though</v>
      </c>
      <c r="F1425" s="8">
        <f>IFERROR(__xludf.DUMMYFUNCTION("""COMPUTED_VALUE"""),4.0)</f>
        <v>4</v>
      </c>
      <c r="G1425" s="8">
        <f>IFERROR(__xludf.DUMMYFUNCTION("""COMPUTED_VALUE"""),1.0)</f>
        <v>1</v>
      </c>
      <c r="H1425" s="8">
        <f>IFERROR(__xludf.DUMMYFUNCTION("""COMPUTED_VALUE"""),0.0)</f>
        <v>0</v>
      </c>
      <c r="I1425" s="8" t="str">
        <f>IFERROR(__xludf.DUMMYFUNCTION("""COMPUTED_VALUE"""),"General Petite")</f>
        <v>General Petite</v>
      </c>
      <c r="J1425" s="8" t="str">
        <f>IFERROR(__xludf.DUMMYFUNCTION("""COMPUTED_VALUE"""),"Bottoms")</f>
        <v>Bottoms</v>
      </c>
      <c r="K1425" s="8" t="str">
        <f>IFERROR(__xludf.DUMMYFUNCTION("""COMPUTED_VALUE"""),"Pants")</f>
        <v>Pants</v>
      </c>
    </row>
    <row r="1426">
      <c r="A1426" s="8">
        <f>IFERROR(__xludf.DUMMYFUNCTION("""COMPUTED_VALUE"""),1889.0)</f>
        <v>1889</v>
      </c>
      <c r="B1426" s="8">
        <f>IFERROR(__xludf.DUMMYFUNCTION("""COMPUTED_VALUE"""),860.0)</f>
        <v>860</v>
      </c>
      <c r="C1426" s="8">
        <f>IFERROR(__xludf.DUMMYFUNCTION("""COMPUTED_VALUE"""),41.0)</f>
        <v>41</v>
      </c>
      <c r="D1426" s="8"/>
      <c r="E1426" s="8" t="str">
        <f>IFERROR(__xludf.DUMMYFUNCTION("""COMPUTED_VALUE"""),"Very nice top. flattering and goes with everything. i bought the medium in the green but would have needed the large in the white as the white was a little see through and showed more of my flaws. i agree with the other reviewer in that this top has good "&amp;"button placement.")</f>
        <v>Very nice top. flattering and goes with everything. i bought the medium in the green but would have needed the large in the white as the white was a little see through and showed more of my flaws. i agree with the other reviewer in that this top has good button placement.</v>
      </c>
      <c r="F1426" s="8">
        <f>IFERROR(__xludf.DUMMYFUNCTION("""COMPUTED_VALUE"""),5.0)</f>
        <v>5</v>
      </c>
      <c r="G1426" s="8">
        <f>IFERROR(__xludf.DUMMYFUNCTION("""COMPUTED_VALUE"""),1.0)</f>
        <v>1</v>
      </c>
      <c r="H1426" s="8">
        <f>IFERROR(__xludf.DUMMYFUNCTION("""COMPUTED_VALUE"""),16.0)</f>
        <v>16</v>
      </c>
      <c r="I1426" s="8" t="str">
        <f>IFERROR(__xludf.DUMMYFUNCTION("""COMPUTED_VALUE"""),"General")</f>
        <v>General</v>
      </c>
      <c r="J1426" s="8" t="str">
        <f>IFERROR(__xludf.DUMMYFUNCTION("""COMPUTED_VALUE"""),"Tops")</f>
        <v>Tops</v>
      </c>
      <c r="K1426" s="8" t="str">
        <f>IFERROR(__xludf.DUMMYFUNCTION("""COMPUTED_VALUE"""),"Knits")</f>
        <v>Knits</v>
      </c>
    </row>
    <row r="1427">
      <c r="A1427" s="8">
        <f>IFERROR(__xludf.DUMMYFUNCTION("""COMPUTED_VALUE"""),1892.0)</f>
        <v>1892</v>
      </c>
      <c r="B1427" s="8">
        <f>IFERROR(__xludf.DUMMYFUNCTION("""COMPUTED_VALUE"""),828.0)</f>
        <v>828</v>
      </c>
      <c r="C1427" s="8">
        <f>IFERROR(__xludf.DUMMYFUNCTION("""COMPUTED_VALUE"""),33.0)</f>
        <v>33</v>
      </c>
      <c r="D1427" s="8" t="str">
        <f>IFERROR(__xludf.DUMMYFUNCTION("""COMPUTED_VALUE"""),"Surprised this shirt is still available !")</f>
        <v>Surprised this shirt is still available !</v>
      </c>
      <c r="E1427" s="8" t="str">
        <f>IFERROR(__xludf.DUMMYFUNCTION("""COMPUTED_VALUE"""),"This shirt has such a fun twist on an otherwise basic jean shirt! i bought this shirt on a whim despite having a closet full of denim shirts... and i'm glad i did! the fabric is the same cloth")</f>
        <v>This shirt has such a fun twist on an otherwise basic jean shirt! i bought this shirt on a whim despite having a closet full of denim shirts... and i'm glad i did! the fabric is the same cloth</v>
      </c>
      <c r="F1427" s="8">
        <f>IFERROR(__xludf.DUMMYFUNCTION("""COMPUTED_VALUE"""),5.0)</f>
        <v>5</v>
      </c>
      <c r="G1427" s="8">
        <f>IFERROR(__xludf.DUMMYFUNCTION("""COMPUTED_VALUE"""),1.0)</f>
        <v>1</v>
      </c>
      <c r="H1427" s="8">
        <f>IFERROR(__xludf.DUMMYFUNCTION("""COMPUTED_VALUE"""),0.0)</f>
        <v>0</v>
      </c>
      <c r="I1427" s="8" t="str">
        <f>IFERROR(__xludf.DUMMYFUNCTION("""COMPUTED_VALUE"""),"General")</f>
        <v>General</v>
      </c>
      <c r="J1427" s="8" t="str">
        <f>IFERROR(__xludf.DUMMYFUNCTION("""COMPUTED_VALUE"""),"Tops")</f>
        <v>Tops</v>
      </c>
      <c r="K1427" s="8" t="str">
        <f>IFERROR(__xludf.DUMMYFUNCTION("""COMPUTED_VALUE"""),"Blouses")</f>
        <v>Blouses</v>
      </c>
    </row>
    <row r="1428">
      <c r="A1428" s="8">
        <f>IFERROR(__xludf.DUMMYFUNCTION("""COMPUTED_VALUE"""),1894.0)</f>
        <v>1894</v>
      </c>
      <c r="B1428" s="8">
        <f>IFERROR(__xludf.DUMMYFUNCTION("""COMPUTED_VALUE"""),860.0)</f>
        <v>860</v>
      </c>
      <c r="C1428" s="8">
        <f>IFERROR(__xludf.DUMMYFUNCTION("""COMPUTED_VALUE"""),53.0)</f>
        <v>53</v>
      </c>
      <c r="D1428" s="8" t="str">
        <f>IFERROR(__xludf.DUMMYFUNCTION("""COMPUTED_VALUE"""),"Great shirt")</f>
        <v>Great shirt</v>
      </c>
      <c r="E1428" s="8" t="str">
        <f>IFERROR(__xludf.DUMMYFUNCTION("""COMPUTED_VALUE"""),"I first bought the red &amp; green at the store. when they went on sale bought the blue &amp; ivory. love, love ,love these shirts! they go great with a skirt or jeans. so happy i got them. the fabric is stretchy, but still fits very nicely. what a great buy, hop"&amp;"e to see more of this style again.")</f>
        <v>I first bought the red &amp; green at the store. when they went on sale bought the blue &amp; ivory. love, love ,love these shirts! they go great with a skirt or jeans. so happy i got them. the fabric is stretchy, but still fits very nicely. what a great buy, hope to see more of this style again.</v>
      </c>
      <c r="F1428" s="8">
        <f>IFERROR(__xludf.DUMMYFUNCTION("""COMPUTED_VALUE"""),5.0)</f>
        <v>5</v>
      </c>
      <c r="G1428" s="8">
        <f>IFERROR(__xludf.DUMMYFUNCTION("""COMPUTED_VALUE"""),1.0)</f>
        <v>1</v>
      </c>
      <c r="H1428" s="8">
        <f>IFERROR(__xludf.DUMMYFUNCTION("""COMPUTED_VALUE"""),2.0)</f>
        <v>2</v>
      </c>
      <c r="I1428" s="8" t="str">
        <f>IFERROR(__xludf.DUMMYFUNCTION("""COMPUTED_VALUE"""),"General")</f>
        <v>General</v>
      </c>
      <c r="J1428" s="8" t="str">
        <f>IFERROR(__xludf.DUMMYFUNCTION("""COMPUTED_VALUE"""),"Tops")</f>
        <v>Tops</v>
      </c>
      <c r="K1428" s="8" t="str">
        <f>IFERROR(__xludf.DUMMYFUNCTION("""COMPUTED_VALUE"""),"Knits")</f>
        <v>Knits</v>
      </c>
    </row>
    <row r="1429">
      <c r="A1429" s="8">
        <f>IFERROR(__xludf.DUMMYFUNCTION("""COMPUTED_VALUE"""),1895.0)</f>
        <v>1895</v>
      </c>
      <c r="B1429" s="8">
        <f>IFERROR(__xludf.DUMMYFUNCTION("""COMPUTED_VALUE"""),1035.0)</f>
        <v>1035</v>
      </c>
      <c r="C1429" s="8">
        <f>IFERROR(__xludf.DUMMYFUNCTION("""COMPUTED_VALUE"""),39.0)</f>
        <v>39</v>
      </c>
      <c r="D1429" s="8" t="str">
        <f>IFERROR(__xludf.DUMMYFUNCTION("""COMPUTED_VALUE"""),"Ok, but didn't love the length (on me)")</f>
        <v>Ok, but didn't love the length (on me)</v>
      </c>
      <c r="E1429" s="8" t="str">
        <f>IFERROR(__xludf.DUMMYFUNCTION("""COMPUTED_VALUE"""),"These jeans are well-made, the cut is decently flattering, but on more muscular thighs, it would look nicer if the cuff was a bit higher. the petite on me was just below the ankle, so it just looks like i folded my jeans because they were too long. if you"&amp;" are taller or have longer legs (mine are short on my short height), then i think these would be great. i dind't find them particularly small, but htey were snug (muscular thighs). overall, ok but returning them. (25 p ordered, 115 lbs, 26.5 in")</f>
        <v>These jeans are well-made, the cut is decently flattering, but on more muscular thighs, it would look nicer if the cuff was a bit higher. the petite on me was just below the ankle, so it just looks like i folded my jeans because they were too long. if you are taller or have longer legs (mine are short on my short height), then i think these would be great. i dind't find them particularly small, but htey were snug (muscular thighs). overall, ok but returning them. (25 p ordered, 115 lbs, 26.5 in</v>
      </c>
      <c r="F1429" s="8">
        <f>IFERROR(__xludf.DUMMYFUNCTION("""COMPUTED_VALUE"""),4.0)</f>
        <v>4</v>
      </c>
      <c r="G1429" s="8">
        <f>IFERROR(__xludf.DUMMYFUNCTION("""COMPUTED_VALUE"""),1.0)</f>
        <v>1</v>
      </c>
      <c r="H1429" s="8">
        <f>IFERROR(__xludf.DUMMYFUNCTION("""COMPUTED_VALUE"""),2.0)</f>
        <v>2</v>
      </c>
      <c r="I1429" s="8" t="str">
        <f>IFERROR(__xludf.DUMMYFUNCTION("""COMPUTED_VALUE"""),"General")</f>
        <v>General</v>
      </c>
      <c r="J1429" s="8" t="str">
        <f>IFERROR(__xludf.DUMMYFUNCTION("""COMPUTED_VALUE"""),"Bottoms")</f>
        <v>Bottoms</v>
      </c>
      <c r="K1429" s="8" t="str">
        <f>IFERROR(__xludf.DUMMYFUNCTION("""COMPUTED_VALUE"""),"Jeans")</f>
        <v>Jeans</v>
      </c>
    </row>
    <row r="1430">
      <c r="A1430" s="8">
        <f>IFERROR(__xludf.DUMMYFUNCTION("""COMPUTED_VALUE"""),1896.0)</f>
        <v>1896</v>
      </c>
      <c r="B1430" s="8">
        <f>IFERROR(__xludf.DUMMYFUNCTION("""COMPUTED_VALUE"""),1066.0)</f>
        <v>1066</v>
      </c>
      <c r="C1430" s="8">
        <f>IFERROR(__xludf.DUMMYFUNCTION("""COMPUTED_VALUE"""),39.0)</f>
        <v>39</v>
      </c>
      <c r="D1430" s="8" t="str">
        <f>IFERROR(__xludf.DUMMYFUNCTION("""COMPUTED_VALUE"""),"Nice but stil la tad long in eptite")</f>
        <v>Nice but stil la tad long in eptite</v>
      </c>
      <c r="E1430" s="8" t="str">
        <f>IFERROR(__xludf.DUMMYFUNCTION("""COMPUTED_VALUE"""),"Iordered hte petite after trying the rregualr size in the store, and i will have to wear heels with the pants... or get them hemmed... the color choices are all great, i wanted navy, but i have a pair of grey ones that look similar, so i deciced on the ne"&amp;"tural if my size is stil lavaialble in yellow at sale time, i will be grabbing those as well.
i went with 25, my typical size lately (115 lbs)")</f>
        <v>Iordered hte petite after trying the rregualr size in the store, and i will have to wear heels with the pants... or get them hemmed... the color choices are all great, i wanted navy, but i have a pair of grey ones that look similar, so i deciced on the netural if my size is stil lavaialble in yellow at sale time, i will be grabbing those as well.
i went with 25, my typical size lately (115 lbs)</v>
      </c>
      <c r="F1430" s="8">
        <f>IFERROR(__xludf.DUMMYFUNCTION("""COMPUTED_VALUE"""),5.0)</f>
        <v>5</v>
      </c>
      <c r="G1430" s="8">
        <f>IFERROR(__xludf.DUMMYFUNCTION("""COMPUTED_VALUE"""),1.0)</f>
        <v>1</v>
      </c>
      <c r="H1430" s="8">
        <f>IFERROR(__xludf.DUMMYFUNCTION("""COMPUTED_VALUE"""),13.0)</f>
        <v>13</v>
      </c>
      <c r="I1430" s="8" t="str">
        <f>IFERROR(__xludf.DUMMYFUNCTION("""COMPUTED_VALUE"""),"General Petite")</f>
        <v>General Petite</v>
      </c>
      <c r="J1430" s="8" t="str">
        <f>IFERROR(__xludf.DUMMYFUNCTION("""COMPUTED_VALUE"""),"Bottoms")</f>
        <v>Bottoms</v>
      </c>
      <c r="K1430" s="8" t="str">
        <f>IFERROR(__xludf.DUMMYFUNCTION("""COMPUTED_VALUE"""),"Pants")</f>
        <v>Pants</v>
      </c>
    </row>
    <row r="1431">
      <c r="A1431" s="8">
        <f>IFERROR(__xludf.DUMMYFUNCTION("""COMPUTED_VALUE"""),1898.0)</f>
        <v>1898</v>
      </c>
      <c r="B1431" s="8">
        <f>IFERROR(__xludf.DUMMYFUNCTION("""COMPUTED_VALUE"""),1035.0)</f>
        <v>1035</v>
      </c>
      <c r="C1431" s="8">
        <f>IFERROR(__xludf.DUMMYFUNCTION("""COMPUTED_VALUE"""),38.0)</f>
        <v>38</v>
      </c>
      <c r="D1431" s="8" t="str">
        <f>IFERROR(__xludf.DUMMYFUNCTION("""COMPUTED_VALUE"""),"Great fit")</f>
        <v>Great fit</v>
      </c>
      <c r="E1431" s="8" t="str">
        <f>IFERROR(__xludf.DUMMYFUNCTION("""COMPUTED_VALUE"""),"I love love love the fit in the corduroy, so thought about grabbing these jeans as well. they fit much pretty well, just the color wasn't quite right. i'm really picky about the blueness of my jeans, and these don't quite match the coloring in the photo. "&amp;"still debating whether to keep them. love the cuff styling and straight leg fit!")</f>
        <v>I love love love the fit in the corduroy, so thought about grabbing these jeans as well. they fit much pretty well, just the color wasn't quite right. i'm really picky about the blueness of my jeans, and these don't quite match the coloring in the photo. still debating whether to keep them. love the cuff styling and straight leg fit!</v>
      </c>
      <c r="F1431" s="8">
        <f>IFERROR(__xludf.DUMMYFUNCTION("""COMPUTED_VALUE"""),4.0)</f>
        <v>4</v>
      </c>
      <c r="G1431" s="8">
        <f>IFERROR(__xludf.DUMMYFUNCTION("""COMPUTED_VALUE"""),1.0)</f>
        <v>1</v>
      </c>
      <c r="H1431" s="8">
        <f>IFERROR(__xludf.DUMMYFUNCTION("""COMPUTED_VALUE"""),1.0)</f>
        <v>1</v>
      </c>
      <c r="I1431" s="8" t="str">
        <f>IFERROR(__xludf.DUMMYFUNCTION("""COMPUTED_VALUE"""),"General")</f>
        <v>General</v>
      </c>
      <c r="J1431" s="8" t="str">
        <f>IFERROR(__xludf.DUMMYFUNCTION("""COMPUTED_VALUE"""),"Bottoms")</f>
        <v>Bottoms</v>
      </c>
      <c r="K1431" s="8" t="str">
        <f>IFERROR(__xludf.DUMMYFUNCTION("""COMPUTED_VALUE"""),"Jeans")</f>
        <v>Jeans</v>
      </c>
    </row>
    <row r="1432">
      <c r="A1432" s="8">
        <f>IFERROR(__xludf.DUMMYFUNCTION("""COMPUTED_VALUE"""),1899.0)</f>
        <v>1899</v>
      </c>
      <c r="B1432" s="8">
        <f>IFERROR(__xludf.DUMMYFUNCTION("""COMPUTED_VALUE"""),860.0)</f>
        <v>860</v>
      </c>
      <c r="C1432" s="8">
        <f>IFERROR(__xludf.DUMMYFUNCTION("""COMPUTED_VALUE"""),25.0)</f>
        <v>25</v>
      </c>
      <c r="D1432" s="8"/>
      <c r="E1432" s="8" t="str">
        <f>IFERROR(__xludf.DUMMYFUNCTION("""COMPUTED_VALUE"""),"I love this shirt, it's easy to belt. i just wish it was tighter.")</f>
        <v>I love this shirt, it's easy to belt. i just wish it was tighter.</v>
      </c>
      <c r="F1432" s="8">
        <f>IFERROR(__xludf.DUMMYFUNCTION("""COMPUTED_VALUE"""),5.0)</f>
        <v>5</v>
      </c>
      <c r="G1432" s="8">
        <f>IFERROR(__xludf.DUMMYFUNCTION("""COMPUTED_VALUE"""),1.0)</f>
        <v>1</v>
      </c>
      <c r="H1432" s="8">
        <f>IFERROR(__xludf.DUMMYFUNCTION("""COMPUTED_VALUE"""),0.0)</f>
        <v>0</v>
      </c>
      <c r="I1432" s="8" t="str">
        <f>IFERROR(__xludf.DUMMYFUNCTION("""COMPUTED_VALUE"""),"General")</f>
        <v>General</v>
      </c>
      <c r="J1432" s="8" t="str">
        <f>IFERROR(__xludf.DUMMYFUNCTION("""COMPUTED_VALUE"""),"Tops")</f>
        <v>Tops</v>
      </c>
      <c r="K1432" s="8" t="str">
        <f>IFERROR(__xludf.DUMMYFUNCTION("""COMPUTED_VALUE"""),"Knits")</f>
        <v>Knits</v>
      </c>
    </row>
    <row r="1433">
      <c r="A1433" s="8">
        <f>IFERROR(__xludf.DUMMYFUNCTION("""COMPUTED_VALUE"""),1900.0)</f>
        <v>1900</v>
      </c>
      <c r="B1433" s="8">
        <f>IFERROR(__xludf.DUMMYFUNCTION("""COMPUTED_VALUE"""),1066.0)</f>
        <v>1066</v>
      </c>
      <c r="C1433" s="8">
        <f>IFERROR(__xludf.DUMMYFUNCTION("""COMPUTED_VALUE"""),56.0)</f>
        <v>56</v>
      </c>
      <c r="D1433" s="8" t="str">
        <f>IFERROR(__xludf.DUMMYFUNCTION("""COMPUTED_VALUE"""),"The perfect pant for warmer weather")</f>
        <v>The perfect pant for warmer weather</v>
      </c>
      <c r="E1433" s="8" t="str">
        <f>IFERROR(__xludf.DUMMYFUNCTION("""COMPUTED_VALUE"""),"Finding pants off the rack that fit me is always a challenge - i'm petite (5' 1'), a bit curvy and short-waisted, so many of today's low-rise styles just do not work for me. however, these pants are a better cut and come pretty close to a perfect fit - co"&amp;"mfortable and flattering, too. i've actually had pretty good luck with pilcro pants. i always have some gapping in the waist, but it's not much of an issue with these. more than likely whatever top i wear will hide that part. i was advised by th")</f>
        <v>Finding pants off the rack that fit me is always a challenge - i'm petite (5' 1'), a bit curvy and short-waisted, so many of today's low-rise styles just do not work for me. however, these pants are a better cut and come pretty close to a perfect fit - comfortable and flattering, too. i've actually had pretty good luck with pilcro pants. i always have some gapping in the waist, but it's not much of an issue with these. more than likely whatever top i wear will hide that part. i was advised by th</v>
      </c>
      <c r="F1433" s="8">
        <f>IFERROR(__xludf.DUMMYFUNCTION("""COMPUTED_VALUE"""),5.0)</f>
        <v>5</v>
      </c>
      <c r="G1433" s="8">
        <f>IFERROR(__xludf.DUMMYFUNCTION("""COMPUTED_VALUE"""),1.0)</f>
        <v>1</v>
      </c>
      <c r="H1433" s="8">
        <f>IFERROR(__xludf.DUMMYFUNCTION("""COMPUTED_VALUE"""),4.0)</f>
        <v>4</v>
      </c>
      <c r="I1433" s="8" t="str">
        <f>IFERROR(__xludf.DUMMYFUNCTION("""COMPUTED_VALUE"""),"General Petite")</f>
        <v>General Petite</v>
      </c>
      <c r="J1433" s="8" t="str">
        <f>IFERROR(__xludf.DUMMYFUNCTION("""COMPUTED_VALUE"""),"Bottoms")</f>
        <v>Bottoms</v>
      </c>
      <c r="K1433" s="8" t="str">
        <f>IFERROR(__xludf.DUMMYFUNCTION("""COMPUTED_VALUE"""),"Pants")</f>
        <v>Pants</v>
      </c>
    </row>
    <row r="1434">
      <c r="A1434" s="8">
        <f>IFERROR(__xludf.DUMMYFUNCTION("""COMPUTED_VALUE"""),1901.0)</f>
        <v>1901</v>
      </c>
      <c r="B1434" s="8">
        <f>IFERROR(__xludf.DUMMYFUNCTION("""COMPUTED_VALUE"""),1066.0)</f>
        <v>1066</v>
      </c>
      <c r="C1434" s="8">
        <f>IFERROR(__xludf.DUMMYFUNCTION("""COMPUTED_VALUE"""),41.0)</f>
        <v>41</v>
      </c>
      <c r="D1434" s="8" t="str">
        <f>IFERROR(__xludf.DUMMYFUNCTION("""COMPUTED_VALUE"""),"Great pants!")</f>
        <v>Great pants!</v>
      </c>
      <c r="E1434" s="8" t="str">
        <f>IFERROR(__xludf.DUMMYFUNCTION("""COMPUTED_VALUE"""),"I absolutely love these pants! i have been searching for a pair of linen pants for quite a few years but have never really found a pair that looked good on me until now. i have usually found linen pants to lack shape and end up making me look frumpy but i"&amp;" really love the fabric. well, these pants actually have some structure to them and are still super comfy and soft. i bought the neutral color which is acutually a very fine tan and white pinstripe which makes the pants a bit more classy. i love")</f>
        <v>I absolutely love these pants! i have been searching for a pair of linen pants for quite a few years but have never really found a pair that looked good on me until now. i have usually found linen pants to lack shape and end up making me look frumpy but i really love the fabric. well, these pants actually have some structure to them and are still super comfy and soft. i bought the neutral color which is acutually a very fine tan and white pinstripe which makes the pants a bit more classy. i love</v>
      </c>
      <c r="F1434" s="8">
        <f>IFERROR(__xludf.DUMMYFUNCTION("""COMPUTED_VALUE"""),5.0)</f>
        <v>5</v>
      </c>
      <c r="G1434" s="8">
        <f>IFERROR(__xludf.DUMMYFUNCTION("""COMPUTED_VALUE"""),1.0)</f>
        <v>1</v>
      </c>
      <c r="H1434" s="8">
        <f>IFERROR(__xludf.DUMMYFUNCTION("""COMPUTED_VALUE"""),2.0)</f>
        <v>2</v>
      </c>
      <c r="I1434" s="8" t="str">
        <f>IFERROR(__xludf.DUMMYFUNCTION("""COMPUTED_VALUE"""),"General Petite")</f>
        <v>General Petite</v>
      </c>
      <c r="J1434" s="8" t="str">
        <f>IFERROR(__xludf.DUMMYFUNCTION("""COMPUTED_VALUE"""),"Bottoms")</f>
        <v>Bottoms</v>
      </c>
      <c r="K1434" s="8" t="str">
        <f>IFERROR(__xludf.DUMMYFUNCTION("""COMPUTED_VALUE"""),"Pants")</f>
        <v>Pants</v>
      </c>
    </row>
    <row r="1435">
      <c r="A1435" s="8">
        <f>IFERROR(__xludf.DUMMYFUNCTION("""COMPUTED_VALUE"""),1902.0)</f>
        <v>1902</v>
      </c>
      <c r="B1435" s="8">
        <f>IFERROR(__xludf.DUMMYFUNCTION("""COMPUTED_VALUE"""),1066.0)</f>
        <v>1066</v>
      </c>
      <c r="C1435" s="8">
        <f>IFERROR(__xludf.DUMMYFUNCTION("""COMPUTED_VALUE"""),52.0)</f>
        <v>52</v>
      </c>
      <c r="D1435" s="8" t="str">
        <f>IFERROR(__xludf.DUMMYFUNCTION("""COMPUTED_VALUE"""),"Love these pants!")</f>
        <v>Love these pants!</v>
      </c>
      <c r="E1435" s="8" t="str">
        <f>IFERROR(__xludf.DUMMYFUNCTION("""COMPUTED_VALUE"""),"These are the most comfortable, happening pants i have ever owned! they are extremely flattering and slimming at the waist. i am a size 4 and bought the 4, and they fit perfectly. they are a bit long, but after washing and drying on low, mine shrunk enoug"&amp;"h that i can wear them with flats or flip flops, and not just heels. my 2 teenage daughters have complimented me on them saying how ""modern"" they look. i bought them in navy and just ordered the grey yesterday. i might go into my local store and")</f>
        <v>These are the most comfortable, happening pants i have ever owned! they are extremely flattering and slimming at the waist. i am a size 4 and bought the 4, and they fit perfectly. they are a bit long, but after washing and drying on low, mine shrunk enough that i can wear them with flats or flip flops, and not just heels. my 2 teenage daughters have complimented me on them saying how "modern" they look. i bought them in navy and just ordered the grey yesterday. i might go into my local store and</v>
      </c>
      <c r="F1435" s="8">
        <f>IFERROR(__xludf.DUMMYFUNCTION("""COMPUTED_VALUE"""),5.0)</f>
        <v>5</v>
      </c>
      <c r="G1435" s="8">
        <f>IFERROR(__xludf.DUMMYFUNCTION("""COMPUTED_VALUE"""),1.0)</f>
        <v>1</v>
      </c>
      <c r="H1435" s="8">
        <f>IFERROR(__xludf.DUMMYFUNCTION("""COMPUTED_VALUE"""),1.0)</f>
        <v>1</v>
      </c>
      <c r="I1435" s="8" t="str">
        <f>IFERROR(__xludf.DUMMYFUNCTION("""COMPUTED_VALUE"""),"General Petite")</f>
        <v>General Petite</v>
      </c>
      <c r="J1435" s="8" t="str">
        <f>IFERROR(__xludf.DUMMYFUNCTION("""COMPUTED_VALUE"""),"Bottoms")</f>
        <v>Bottoms</v>
      </c>
      <c r="K1435" s="8" t="str">
        <f>IFERROR(__xludf.DUMMYFUNCTION("""COMPUTED_VALUE"""),"Pants")</f>
        <v>Pants</v>
      </c>
    </row>
    <row r="1436">
      <c r="A1436" s="8">
        <f>IFERROR(__xludf.DUMMYFUNCTION("""COMPUTED_VALUE"""),1903.0)</f>
        <v>1903</v>
      </c>
      <c r="B1436" s="8">
        <f>IFERROR(__xludf.DUMMYFUNCTION("""COMPUTED_VALUE"""),1036.0)</f>
        <v>1036</v>
      </c>
      <c r="C1436" s="8">
        <f>IFERROR(__xludf.DUMMYFUNCTION("""COMPUTED_VALUE"""),56.0)</f>
        <v>56</v>
      </c>
      <c r="D1436" s="8" t="str">
        <f>IFERROR(__xludf.DUMMYFUNCTION("""COMPUTED_VALUE"""),"Great jean")</f>
        <v>Great jean</v>
      </c>
      <c r="E1436" s="8" t="str">
        <f>IFERROR(__xludf.DUMMYFUNCTION("""COMPUTED_VALUE"""),"I love these jeans, well,i have not worn them out yet so not sure if they will stretch, but just in terms of fit and cut, i really like them. i normally wear ch or ag in 25 or 26. i got these in 25 and they fit perfectly. i love the stretch, great color, "&amp;"not too thin, very comfie. i was worried about too much flare, but not a problem. they are very long, but i am only 5""2 and i will be hemming them about 8 inches .")</f>
        <v>I love these jeans, well,i have not worn them out yet so not sure if they will stretch, but just in terms of fit and cut, i really like them. i normally wear ch or ag in 25 or 26. i got these in 25 and they fit perfectly. i love the stretch, great color, not too thin, very comfie. i was worried about too much flare, but not a problem. they are very long, but i am only 5"2 and i will be hemming them about 8 inches .</v>
      </c>
      <c r="F1436" s="8">
        <f>IFERROR(__xludf.DUMMYFUNCTION("""COMPUTED_VALUE"""),5.0)</f>
        <v>5</v>
      </c>
      <c r="G1436" s="8">
        <f>IFERROR(__xludf.DUMMYFUNCTION("""COMPUTED_VALUE"""),1.0)</f>
        <v>1</v>
      </c>
      <c r="H1436" s="8">
        <f>IFERROR(__xludf.DUMMYFUNCTION("""COMPUTED_VALUE"""),0.0)</f>
        <v>0</v>
      </c>
      <c r="I1436" s="8" t="str">
        <f>IFERROR(__xludf.DUMMYFUNCTION("""COMPUTED_VALUE"""),"General")</f>
        <v>General</v>
      </c>
      <c r="J1436" s="8" t="str">
        <f>IFERROR(__xludf.DUMMYFUNCTION("""COMPUTED_VALUE"""),"Bottoms")</f>
        <v>Bottoms</v>
      </c>
      <c r="K1436" s="8" t="str">
        <f>IFERROR(__xludf.DUMMYFUNCTION("""COMPUTED_VALUE"""),"Jeans")</f>
        <v>Jeans</v>
      </c>
    </row>
    <row r="1437">
      <c r="A1437" s="8">
        <f>IFERROR(__xludf.DUMMYFUNCTION("""COMPUTED_VALUE"""),1904.0)</f>
        <v>1904</v>
      </c>
      <c r="B1437" s="8">
        <f>IFERROR(__xludf.DUMMYFUNCTION("""COMPUTED_VALUE"""),1078.0)</f>
        <v>1078</v>
      </c>
      <c r="C1437" s="8">
        <f>IFERROR(__xludf.DUMMYFUNCTION("""COMPUTED_VALUE"""),46.0)</f>
        <v>46</v>
      </c>
      <c r="D1437" s="8" t="str">
        <f>IFERROR(__xludf.DUMMYFUNCTION("""COMPUTED_VALUE"""),"Truly beautiful dress")</f>
        <v>Truly beautiful dress</v>
      </c>
      <c r="E1437" s="8" t="str">
        <f>IFERROR(__xludf.DUMMYFUNCTION("""COMPUTED_VALUE"""),"I'm an avid retailer shopper.
i bought this dress for my niece, her style tends to run 
bohemian/gothic.
the style, fabric and overall design/quality of this dress, is something i felt she would like (even though the color is not black).
she loves it - pe"&amp;"rfect fit. she accessorized it with her usual biker/moto jacket,boots, etc.
but it looks awesome on her!")</f>
        <v>I'm an avid retailer shopper.
i bought this dress for my niece, her style tends to run 
bohemian/gothic.
the style, fabric and overall design/quality of this dress, is something i felt she would like (even though the color is not black).
she loves it - perfect fit. she accessorized it with her usual biker/moto jacket,boots, etc.
but it looks awesome on her!</v>
      </c>
      <c r="F1437" s="8">
        <f>IFERROR(__xludf.DUMMYFUNCTION("""COMPUTED_VALUE"""),5.0)</f>
        <v>5</v>
      </c>
      <c r="G1437" s="8">
        <f>IFERROR(__xludf.DUMMYFUNCTION("""COMPUTED_VALUE"""),1.0)</f>
        <v>1</v>
      </c>
      <c r="H1437" s="8">
        <f>IFERROR(__xludf.DUMMYFUNCTION("""COMPUTED_VALUE"""),0.0)</f>
        <v>0</v>
      </c>
      <c r="I1437" s="8" t="str">
        <f>IFERROR(__xludf.DUMMYFUNCTION("""COMPUTED_VALUE"""),"General")</f>
        <v>General</v>
      </c>
      <c r="J1437" s="8" t="str">
        <f>IFERROR(__xludf.DUMMYFUNCTION("""COMPUTED_VALUE"""),"Dresses")</f>
        <v>Dresses</v>
      </c>
      <c r="K1437" s="8" t="str">
        <f>IFERROR(__xludf.DUMMYFUNCTION("""COMPUTED_VALUE"""),"Dresses")</f>
        <v>Dresses</v>
      </c>
    </row>
    <row r="1438">
      <c r="A1438" s="8">
        <f>IFERROR(__xludf.DUMMYFUNCTION("""COMPUTED_VALUE"""),1905.0)</f>
        <v>1905</v>
      </c>
      <c r="B1438" s="8">
        <f>IFERROR(__xludf.DUMMYFUNCTION("""COMPUTED_VALUE"""),1094.0)</f>
        <v>1094</v>
      </c>
      <c r="C1438" s="8">
        <f>IFERROR(__xludf.DUMMYFUNCTION("""COMPUTED_VALUE"""),26.0)</f>
        <v>26</v>
      </c>
      <c r="D1438" s="8"/>
      <c r="E1438" s="8" t="str">
        <f>IFERROR(__xludf.DUMMYFUNCTION("""COMPUTED_VALUE"""),"This dress is absolutely beautiful. i was hesitant to purchase it due to the price, but i just couldn't resist. it's so flowy and comfortable. it's quite long on me; i'm 5'5 and have to wear heels so that it doesn't drag, but could easily be fixed with al"&amp;"erations. i wore this to a wedding and received so many compliments.")</f>
        <v>This dress is absolutely beautiful. i was hesitant to purchase it due to the price, but i just couldn't resist. it's so flowy and comfortable. it's quite long on me; i'm 5'5 and have to wear heels so that it doesn't drag, but could easily be fixed with alerations. i wore this to a wedding and received so many compliments.</v>
      </c>
      <c r="F1438" s="8">
        <f>IFERROR(__xludf.DUMMYFUNCTION("""COMPUTED_VALUE"""),5.0)</f>
        <v>5</v>
      </c>
      <c r="G1438" s="8">
        <f>IFERROR(__xludf.DUMMYFUNCTION("""COMPUTED_VALUE"""),1.0)</f>
        <v>1</v>
      </c>
      <c r="H1438" s="8">
        <f>IFERROR(__xludf.DUMMYFUNCTION("""COMPUTED_VALUE"""),0.0)</f>
        <v>0</v>
      </c>
      <c r="I1438" s="8" t="str">
        <f>IFERROR(__xludf.DUMMYFUNCTION("""COMPUTED_VALUE"""),"General")</f>
        <v>General</v>
      </c>
      <c r="J1438" s="8" t="str">
        <f>IFERROR(__xludf.DUMMYFUNCTION("""COMPUTED_VALUE"""),"Dresses")</f>
        <v>Dresses</v>
      </c>
      <c r="K1438" s="8" t="str">
        <f>IFERROR(__xludf.DUMMYFUNCTION("""COMPUTED_VALUE"""),"Dresses")</f>
        <v>Dresses</v>
      </c>
    </row>
    <row r="1439">
      <c r="A1439" s="8">
        <f>IFERROR(__xludf.DUMMYFUNCTION("""COMPUTED_VALUE"""),1907.0)</f>
        <v>1907</v>
      </c>
      <c r="B1439" s="8">
        <f>IFERROR(__xludf.DUMMYFUNCTION("""COMPUTED_VALUE"""),1059.0)</f>
        <v>1059</v>
      </c>
      <c r="C1439" s="8">
        <f>IFERROR(__xludf.DUMMYFUNCTION("""COMPUTED_VALUE"""),54.0)</f>
        <v>54</v>
      </c>
      <c r="D1439" s="8" t="str">
        <f>IFERROR(__xludf.DUMMYFUNCTION("""COMPUTED_VALUE"""),"Off the grid")</f>
        <v>Off the grid</v>
      </c>
      <c r="E1439" s="8" t="str">
        <f>IFERROR(__xludf.DUMMYFUNCTION("""COMPUTED_VALUE"""),"Kicky looking pants, that i got at a bargain basement steal. i'd be kicking myself if i didn't buy them. can't wait to wear them once it warms up. they'll look great with a lightweight, boxy sweater and flats. i tried on the 4 and the 2 and the 2 is perfe"&amp;"ct. the fabric has a nice, fluid feel to it. i always swore to my husband i'd never wear plaids, but i guess i lied.")</f>
        <v>Kicky looking pants, that i got at a bargain basement steal. i'd be kicking myself if i didn't buy them. can't wait to wear them once it warms up. they'll look great with a lightweight, boxy sweater and flats. i tried on the 4 and the 2 and the 2 is perfect. the fabric has a nice, fluid feel to it. i always swore to my husband i'd never wear plaids, but i guess i lied.</v>
      </c>
      <c r="F1439" s="8">
        <f>IFERROR(__xludf.DUMMYFUNCTION("""COMPUTED_VALUE"""),5.0)</f>
        <v>5</v>
      </c>
      <c r="G1439" s="8">
        <f>IFERROR(__xludf.DUMMYFUNCTION("""COMPUTED_VALUE"""),1.0)</f>
        <v>1</v>
      </c>
      <c r="H1439" s="8">
        <f>IFERROR(__xludf.DUMMYFUNCTION("""COMPUTED_VALUE"""),0.0)</f>
        <v>0</v>
      </c>
      <c r="I1439" s="8" t="str">
        <f>IFERROR(__xludf.DUMMYFUNCTION("""COMPUTED_VALUE"""),"General Petite")</f>
        <v>General Petite</v>
      </c>
      <c r="J1439" s="8" t="str">
        <f>IFERROR(__xludf.DUMMYFUNCTION("""COMPUTED_VALUE"""),"Bottoms")</f>
        <v>Bottoms</v>
      </c>
      <c r="K1439" s="8" t="str">
        <f>IFERROR(__xludf.DUMMYFUNCTION("""COMPUTED_VALUE"""),"Pants")</f>
        <v>Pants</v>
      </c>
    </row>
    <row r="1440">
      <c r="A1440" s="8">
        <f>IFERROR(__xludf.DUMMYFUNCTION("""COMPUTED_VALUE"""),1908.0)</f>
        <v>1908</v>
      </c>
      <c r="B1440" s="8">
        <f>IFERROR(__xludf.DUMMYFUNCTION("""COMPUTED_VALUE"""),860.0)</f>
        <v>860</v>
      </c>
      <c r="C1440" s="8">
        <f>IFERROR(__xludf.DUMMYFUNCTION("""COMPUTED_VALUE"""),41.0)</f>
        <v>41</v>
      </c>
      <c r="D1440" s="8" t="str">
        <f>IFERROR(__xludf.DUMMYFUNCTION("""COMPUTED_VALUE"""),"Like, don't love")</f>
        <v>Like, don't love</v>
      </c>
      <c r="E1440" s="8" t="str">
        <f>IFERROR(__xludf.DUMMYFUNCTION("""COMPUTED_VALUE"""),"I'm keeping this blouse anyway. i purchased the olive and it's such a great color. i live in a warm climate and really don't need long sleeves, but since the color is so great and pairs well with a lot, i will keep it.")</f>
        <v>I'm keeping this blouse anyway. i purchased the olive and it's such a great color. i live in a warm climate and really don't need long sleeves, but since the color is so great and pairs well with a lot, i will keep it.</v>
      </c>
      <c r="F1440" s="8">
        <f>IFERROR(__xludf.DUMMYFUNCTION("""COMPUTED_VALUE"""),4.0)</f>
        <v>4</v>
      </c>
      <c r="G1440" s="8">
        <f>IFERROR(__xludf.DUMMYFUNCTION("""COMPUTED_VALUE"""),1.0)</f>
        <v>1</v>
      </c>
      <c r="H1440" s="8">
        <f>IFERROR(__xludf.DUMMYFUNCTION("""COMPUTED_VALUE"""),2.0)</f>
        <v>2</v>
      </c>
      <c r="I1440" s="8" t="str">
        <f>IFERROR(__xludf.DUMMYFUNCTION("""COMPUTED_VALUE"""),"General")</f>
        <v>General</v>
      </c>
      <c r="J1440" s="8" t="str">
        <f>IFERROR(__xludf.DUMMYFUNCTION("""COMPUTED_VALUE"""),"Tops")</f>
        <v>Tops</v>
      </c>
      <c r="K1440" s="8" t="str">
        <f>IFERROR(__xludf.DUMMYFUNCTION("""COMPUTED_VALUE"""),"Knits")</f>
        <v>Knits</v>
      </c>
    </row>
    <row r="1441">
      <c r="A1441" s="8">
        <f>IFERROR(__xludf.DUMMYFUNCTION("""COMPUTED_VALUE"""),1909.0)</f>
        <v>1909</v>
      </c>
      <c r="B1441" s="8">
        <f>IFERROR(__xludf.DUMMYFUNCTION("""COMPUTED_VALUE"""),1066.0)</f>
        <v>1066</v>
      </c>
      <c r="C1441" s="8">
        <f>IFERROR(__xludf.DUMMYFUNCTION("""COMPUTED_VALUE"""),56.0)</f>
        <v>56</v>
      </c>
      <c r="D1441" s="8" t="str">
        <f>IFERROR(__xludf.DUMMYFUNCTION("""COMPUTED_VALUE"""),"My favorite spring pants")</f>
        <v>My favorite spring pants</v>
      </c>
      <c r="E1441" s="8" t="str">
        <f>IFERROR(__xludf.DUMMYFUNCTION("""COMPUTED_VALUE"""),"I absolutely love these pants. i got the yellow and it is a beautiful, soft color. the fabric is soft and flowing. i am 5'1"", 102 lb and the 0 petite fit perfectly. some stated they are too long even in petite but i disagree. the patch pockets are darlin"&amp;"g. don't hesitate to try these pants out!")</f>
        <v>I absolutely love these pants. i got the yellow and it is a beautiful, soft color. the fabric is soft and flowing. i am 5'1", 102 lb and the 0 petite fit perfectly. some stated they are too long even in petite but i disagree. the patch pockets are darling. don't hesitate to try these pants out!</v>
      </c>
      <c r="F1441" s="8">
        <f>IFERROR(__xludf.DUMMYFUNCTION("""COMPUTED_VALUE"""),5.0)</f>
        <v>5</v>
      </c>
      <c r="G1441" s="8">
        <f>IFERROR(__xludf.DUMMYFUNCTION("""COMPUTED_VALUE"""),1.0)</f>
        <v>1</v>
      </c>
      <c r="H1441" s="8">
        <f>IFERROR(__xludf.DUMMYFUNCTION("""COMPUTED_VALUE"""),3.0)</f>
        <v>3</v>
      </c>
      <c r="I1441" s="8" t="str">
        <f>IFERROR(__xludf.DUMMYFUNCTION("""COMPUTED_VALUE"""),"General Petite")</f>
        <v>General Petite</v>
      </c>
      <c r="J1441" s="8" t="str">
        <f>IFERROR(__xludf.DUMMYFUNCTION("""COMPUTED_VALUE"""),"Bottoms")</f>
        <v>Bottoms</v>
      </c>
      <c r="K1441" s="8" t="str">
        <f>IFERROR(__xludf.DUMMYFUNCTION("""COMPUTED_VALUE"""),"Pants")</f>
        <v>Pants</v>
      </c>
    </row>
    <row r="1442">
      <c r="A1442" s="8">
        <f>IFERROR(__xludf.DUMMYFUNCTION("""COMPUTED_VALUE"""),1911.0)</f>
        <v>1911</v>
      </c>
      <c r="B1442" s="8">
        <f>IFERROR(__xludf.DUMMYFUNCTION("""COMPUTED_VALUE"""),206.0)</f>
        <v>206</v>
      </c>
      <c r="C1442" s="8">
        <f>IFERROR(__xludf.DUMMYFUNCTION("""COMPUTED_VALUE"""),39.0)</f>
        <v>39</v>
      </c>
      <c r="D1442" s="8" t="str">
        <f>IFERROR(__xludf.DUMMYFUNCTION("""COMPUTED_VALUE"""),"Can't resist hot air balloons!")</f>
        <v>Can't resist hot air balloons!</v>
      </c>
      <c r="E1442" s="8" t="str">
        <f>IFERROR(__xludf.DUMMYFUNCTION("""COMPUTED_VALUE"""),"I am powerless to resist hot air balloons and had to get these the moment they popped up! the pjs are charming and comfortable. the material feels very satiny. it's hard to tell, but there are small white dots in the midst of the champagne colored backgro"&amp;"und. true to size.")</f>
        <v>I am powerless to resist hot air balloons and had to get these the moment they popped up! the pjs are charming and comfortable. the material feels very satiny. it's hard to tell, but there are small white dots in the midst of the champagne colored background. true to size.</v>
      </c>
      <c r="F1442" s="8">
        <f>IFERROR(__xludf.DUMMYFUNCTION("""COMPUTED_VALUE"""),5.0)</f>
        <v>5</v>
      </c>
      <c r="G1442" s="8">
        <f>IFERROR(__xludf.DUMMYFUNCTION("""COMPUTED_VALUE"""),1.0)</f>
        <v>1</v>
      </c>
      <c r="H1442" s="8">
        <f>IFERROR(__xludf.DUMMYFUNCTION("""COMPUTED_VALUE"""),2.0)</f>
        <v>2</v>
      </c>
      <c r="I1442" s="8" t="str">
        <f>IFERROR(__xludf.DUMMYFUNCTION("""COMPUTED_VALUE"""),"Initmates")</f>
        <v>Initmates</v>
      </c>
      <c r="J1442" s="8" t="str">
        <f>IFERROR(__xludf.DUMMYFUNCTION("""COMPUTED_VALUE"""),"Intimate")</f>
        <v>Intimate</v>
      </c>
      <c r="K1442" s="8" t="str">
        <f>IFERROR(__xludf.DUMMYFUNCTION("""COMPUTED_VALUE"""),"Sleep")</f>
        <v>Sleep</v>
      </c>
    </row>
    <row r="1443">
      <c r="A1443" s="8">
        <f>IFERROR(__xludf.DUMMYFUNCTION("""COMPUTED_VALUE"""),1912.0)</f>
        <v>1912</v>
      </c>
      <c r="B1443" s="8">
        <f>IFERROR(__xludf.DUMMYFUNCTION("""COMPUTED_VALUE"""),1066.0)</f>
        <v>1066</v>
      </c>
      <c r="C1443" s="8">
        <f>IFERROR(__xludf.DUMMYFUNCTION("""COMPUTED_VALUE"""),49.0)</f>
        <v>49</v>
      </c>
      <c r="D1443" s="8" t="str">
        <f>IFERROR(__xludf.DUMMYFUNCTION("""COMPUTED_VALUE"""),"Dreamy pants")</f>
        <v>Dreamy pants</v>
      </c>
      <c r="E1443" s="8" t="str">
        <f>IFERROR(__xludf.DUMMYFUNCTION("""COMPUTED_VALUE"""),"These pants are exactly what i expected. true to size and color were perfect! they feel so good to wear and love the detail in the sewing. perfect office attire or night out for dinner. just add a fancier blouse. ta da :)
would highly recommend them.")</f>
        <v>These pants are exactly what i expected. true to size and color were perfect! they feel so good to wear and love the detail in the sewing. perfect office attire or night out for dinner. just add a fancier blouse. ta da :)
would highly recommend them.</v>
      </c>
      <c r="F1443" s="8">
        <f>IFERROR(__xludf.DUMMYFUNCTION("""COMPUTED_VALUE"""),5.0)</f>
        <v>5</v>
      </c>
      <c r="G1443" s="8">
        <f>IFERROR(__xludf.DUMMYFUNCTION("""COMPUTED_VALUE"""),1.0)</f>
        <v>1</v>
      </c>
      <c r="H1443" s="8">
        <f>IFERROR(__xludf.DUMMYFUNCTION("""COMPUTED_VALUE"""),2.0)</f>
        <v>2</v>
      </c>
      <c r="I1443" s="8" t="str">
        <f>IFERROR(__xludf.DUMMYFUNCTION("""COMPUTED_VALUE"""),"General Petite")</f>
        <v>General Petite</v>
      </c>
      <c r="J1443" s="8" t="str">
        <f>IFERROR(__xludf.DUMMYFUNCTION("""COMPUTED_VALUE"""),"Bottoms")</f>
        <v>Bottoms</v>
      </c>
      <c r="K1443" s="8" t="str">
        <f>IFERROR(__xludf.DUMMYFUNCTION("""COMPUTED_VALUE"""),"Pants")</f>
        <v>Pants</v>
      </c>
    </row>
    <row r="1444">
      <c r="A1444" s="8">
        <f>IFERROR(__xludf.DUMMYFUNCTION("""COMPUTED_VALUE"""),1913.0)</f>
        <v>1913</v>
      </c>
      <c r="B1444" s="8">
        <f>IFERROR(__xludf.DUMMYFUNCTION("""COMPUTED_VALUE"""),1059.0)</f>
        <v>1059</v>
      </c>
      <c r="C1444" s="8">
        <f>IFERROR(__xludf.DUMMYFUNCTION("""COMPUTED_VALUE"""),57.0)</f>
        <v>57</v>
      </c>
      <c r="D1444" s="8" t="str">
        <f>IFERROR(__xludf.DUMMYFUNCTION("""COMPUTED_VALUE"""),"Perfect summer crop")</f>
        <v>Perfect summer crop</v>
      </c>
      <c r="E1444" s="8" t="str">
        <f>IFERROR(__xludf.DUMMYFUNCTION("""COMPUTED_VALUE"""),"I will be living in these this summer! i couldn't find them in my local store, so i was pleasantly surprised when i received my grey pair from my online order. the fabric feels so comfortable with just the right amount of stretch and the cut is very compl"&amp;"imentary to those of us with athletic thighs. i was so pleased that i bought a black pair and discovered they look adorable with my tall boots and a black boxy sweater. they've already become my ""go to"" pants. everyone should have a fun pair of")</f>
        <v>I will be living in these this summer! i couldn't find them in my local store, so i was pleasantly surprised when i received my grey pair from my online order. the fabric feels so comfortable with just the right amount of stretch and the cut is very complimentary to those of us with athletic thighs. i was so pleased that i bought a black pair and discovered they look adorable with my tall boots and a black boxy sweater. they've already become my "go to" pants. everyone should have a fun pair of</v>
      </c>
      <c r="F1444" s="8">
        <f>IFERROR(__xludf.DUMMYFUNCTION("""COMPUTED_VALUE"""),5.0)</f>
        <v>5</v>
      </c>
      <c r="G1444" s="8">
        <f>IFERROR(__xludf.DUMMYFUNCTION("""COMPUTED_VALUE"""),1.0)</f>
        <v>1</v>
      </c>
      <c r="H1444" s="8">
        <f>IFERROR(__xludf.DUMMYFUNCTION("""COMPUTED_VALUE"""),0.0)</f>
        <v>0</v>
      </c>
      <c r="I1444" s="8" t="str">
        <f>IFERROR(__xludf.DUMMYFUNCTION("""COMPUTED_VALUE"""),"General Petite")</f>
        <v>General Petite</v>
      </c>
      <c r="J1444" s="8" t="str">
        <f>IFERROR(__xludf.DUMMYFUNCTION("""COMPUTED_VALUE"""),"Bottoms")</f>
        <v>Bottoms</v>
      </c>
      <c r="K1444" s="8" t="str">
        <f>IFERROR(__xludf.DUMMYFUNCTION("""COMPUTED_VALUE"""),"Pants")</f>
        <v>Pants</v>
      </c>
    </row>
    <row r="1445">
      <c r="A1445" s="8">
        <f>IFERROR(__xludf.DUMMYFUNCTION("""COMPUTED_VALUE"""),1914.0)</f>
        <v>1914</v>
      </c>
      <c r="B1445" s="8">
        <f>IFERROR(__xludf.DUMMYFUNCTION("""COMPUTED_VALUE"""),1066.0)</f>
        <v>1066</v>
      </c>
      <c r="C1445" s="8">
        <f>IFERROR(__xludf.DUMMYFUNCTION("""COMPUTED_VALUE"""),57.0)</f>
        <v>57</v>
      </c>
      <c r="D1445" s="8" t="str">
        <f>IFERROR(__xludf.DUMMYFUNCTION("""COMPUTED_VALUE"""),"Nice summer pants.")</f>
        <v>Nice summer pants.</v>
      </c>
      <c r="E1445" s="8" t="str">
        <f>IFERROR(__xludf.DUMMYFUNCTION("""COMPUTED_VALUE"""),"1. i'm 5'5"" tall, 143 lbs, and 38-32-40 and my normal size 10s fit me perfectly.")</f>
        <v>1. i'm 5'5" tall, 143 lbs, and 38-32-40 and my normal size 10s fit me perfectly.</v>
      </c>
      <c r="F1445" s="8">
        <f>IFERROR(__xludf.DUMMYFUNCTION("""COMPUTED_VALUE"""),5.0)</f>
        <v>5</v>
      </c>
      <c r="G1445" s="8">
        <f>IFERROR(__xludf.DUMMYFUNCTION("""COMPUTED_VALUE"""),1.0)</f>
        <v>1</v>
      </c>
      <c r="H1445" s="8">
        <f>IFERROR(__xludf.DUMMYFUNCTION("""COMPUTED_VALUE"""),5.0)</f>
        <v>5</v>
      </c>
      <c r="I1445" s="8" t="str">
        <f>IFERROR(__xludf.DUMMYFUNCTION("""COMPUTED_VALUE"""),"General Petite")</f>
        <v>General Petite</v>
      </c>
      <c r="J1445" s="8" t="str">
        <f>IFERROR(__xludf.DUMMYFUNCTION("""COMPUTED_VALUE"""),"Bottoms")</f>
        <v>Bottoms</v>
      </c>
      <c r="K1445" s="8" t="str">
        <f>IFERROR(__xludf.DUMMYFUNCTION("""COMPUTED_VALUE"""),"Pants")</f>
        <v>Pants</v>
      </c>
    </row>
    <row r="1446">
      <c r="A1446" s="8">
        <f>IFERROR(__xludf.DUMMYFUNCTION("""COMPUTED_VALUE"""),1915.0)</f>
        <v>1915</v>
      </c>
      <c r="B1446" s="8">
        <f>IFERROR(__xludf.DUMMYFUNCTION("""COMPUTED_VALUE"""),1082.0)</f>
        <v>1082</v>
      </c>
      <c r="C1446" s="8">
        <f>IFERROR(__xludf.DUMMYFUNCTION("""COMPUTED_VALUE"""),35.0)</f>
        <v>35</v>
      </c>
      <c r="D1446" s="8"/>
      <c r="E1446" s="8" t="str">
        <f>IFERROR(__xludf.DUMMYFUNCTION("""COMPUTED_VALUE"""),"Gorgeous dress. perfect for something special. paired with black heels. runs a touch large. i normally wear a small (5'6 and 140 pounds) but i'm expecting so i sized up to a medium and it's very roomy. the sleeves do cap out a little too much but it's jus"&amp;"t so pretty i don't care! def a keeper.")</f>
        <v>Gorgeous dress. perfect for something special. paired with black heels. runs a touch large. i normally wear a small (5'6 and 140 pounds) but i'm expecting so i sized up to a medium and it's very roomy. the sleeves do cap out a little too much but it's just so pretty i don't care! def a keeper.</v>
      </c>
      <c r="F1446" s="8">
        <f>IFERROR(__xludf.DUMMYFUNCTION("""COMPUTED_VALUE"""),5.0)</f>
        <v>5</v>
      </c>
      <c r="G1446" s="8">
        <f>IFERROR(__xludf.DUMMYFUNCTION("""COMPUTED_VALUE"""),1.0)</f>
        <v>1</v>
      </c>
      <c r="H1446" s="8">
        <f>IFERROR(__xludf.DUMMYFUNCTION("""COMPUTED_VALUE"""),1.0)</f>
        <v>1</v>
      </c>
      <c r="I1446" s="8" t="str">
        <f>IFERROR(__xludf.DUMMYFUNCTION("""COMPUTED_VALUE"""),"General Petite")</f>
        <v>General Petite</v>
      </c>
      <c r="J1446" s="8" t="str">
        <f>IFERROR(__xludf.DUMMYFUNCTION("""COMPUTED_VALUE"""),"Dresses")</f>
        <v>Dresses</v>
      </c>
      <c r="K1446" s="8" t="str">
        <f>IFERROR(__xludf.DUMMYFUNCTION("""COMPUTED_VALUE"""),"Dresses")</f>
        <v>Dresses</v>
      </c>
    </row>
    <row r="1447">
      <c r="A1447" s="8">
        <f>IFERROR(__xludf.DUMMYFUNCTION("""COMPUTED_VALUE"""),1916.0)</f>
        <v>1916</v>
      </c>
      <c r="B1447" s="8">
        <f>IFERROR(__xludf.DUMMYFUNCTION("""COMPUTED_VALUE"""),1035.0)</f>
        <v>1035</v>
      </c>
      <c r="C1447" s="8">
        <f>IFERROR(__xludf.DUMMYFUNCTION("""COMPUTED_VALUE"""),32.0)</f>
        <v>32</v>
      </c>
      <c r="D1447" s="8" t="str">
        <f>IFERROR(__xludf.DUMMYFUNCTION("""COMPUTED_VALUE"""),"Awesome versatile jeans")</f>
        <v>Awesome versatile jeans</v>
      </c>
      <c r="E1447" s="8" t="str">
        <f>IFERROR(__xludf.DUMMYFUNCTION("""COMPUTED_VALUE"""),"The perfect jeans for daytime and bending down with the kids or dressing up later for night. i love that the cuff isn't sewn, so you can choose to roll them down too. with just the right amount of stretch, they are extremely flattering. they are definitel"&amp;"y my new favorite pair this season!")</f>
        <v>The perfect jeans for daytime and bending down with the kids or dressing up later for night. i love that the cuff isn't sewn, so you can choose to roll them down too. with just the right amount of stretch, they are extremely flattering. they are definitely my new favorite pair this season!</v>
      </c>
      <c r="F1447" s="8">
        <f>IFERROR(__xludf.DUMMYFUNCTION("""COMPUTED_VALUE"""),5.0)</f>
        <v>5</v>
      </c>
      <c r="G1447" s="8">
        <f>IFERROR(__xludf.DUMMYFUNCTION("""COMPUTED_VALUE"""),1.0)</f>
        <v>1</v>
      </c>
      <c r="H1447" s="8">
        <f>IFERROR(__xludf.DUMMYFUNCTION("""COMPUTED_VALUE"""),1.0)</f>
        <v>1</v>
      </c>
      <c r="I1447" s="8" t="str">
        <f>IFERROR(__xludf.DUMMYFUNCTION("""COMPUTED_VALUE"""),"General Petite")</f>
        <v>General Petite</v>
      </c>
      <c r="J1447" s="8" t="str">
        <f>IFERROR(__xludf.DUMMYFUNCTION("""COMPUTED_VALUE"""),"Bottoms")</f>
        <v>Bottoms</v>
      </c>
      <c r="K1447" s="8" t="str">
        <f>IFERROR(__xludf.DUMMYFUNCTION("""COMPUTED_VALUE"""),"Jeans")</f>
        <v>Jeans</v>
      </c>
    </row>
    <row r="1448">
      <c r="A1448" s="8">
        <f>IFERROR(__xludf.DUMMYFUNCTION("""COMPUTED_VALUE"""),1917.0)</f>
        <v>1917</v>
      </c>
      <c r="B1448" s="8">
        <f>IFERROR(__xludf.DUMMYFUNCTION("""COMPUTED_VALUE"""),1066.0)</f>
        <v>1066</v>
      </c>
      <c r="C1448" s="8">
        <f>IFERROR(__xludf.DUMMYFUNCTION("""COMPUTED_VALUE"""),72.0)</f>
        <v>72</v>
      </c>
      <c r="D1448" s="8" t="str">
        <f>IFERROR(__xludf.DUMMYFUNCTION("""COMPUTED_VALUE"""),"Love! but more tall options, please!")</f>
        <v>Love! but more tall options, please!</v>
      </c>
      <c r="E1448" s="8" t="str">
        <f>IFERROR(__xludf.DUMMYFUNCTION("""COMPUTED_VALUE"""),"These pants are so great. i am 5'10 and the talls are actually a hair too long. but no complaints! just wish they made every color available in tall. i had been waiting for new colors to get a second pair and was disappointed they are only offered in regu"&amp;"lar length. but overall these pants are super comfortable and great for work. as far as sizing goes, i wear a 29 in the pilcro cord leggings and wear a 12 in these.")</f>
        <v>These pants are so great. i am 5'10 and the talls are actually a hair too long. but no complaints! just wish they made every color available in tall. i had been waiting for new colors to get a second pair and was disappointed they are only offered in regular length. but overall these pants are super comfortable and great for work. as far as sizing goes, i wear a 29 in the pilcro cord leggings and wear a 12 in these.</v>
      </c>
      <c r="F1448" s="8">
        <f>IFERROR(__xludf.DUMMYFUNCTION("""COMPUTED_VALUE"""),5.0)</f>
        <v>5</v>
      </c>
      <c r="G1448" s="8">
        <f>IFERROR(__xludf.DUMMYFUNCTION("""COMPUTED_VALUE"""),1.0)</f>
        <v>1</v>
      </c>
      <c r="H1448" s="8">
        <f>IFERROR(__xludf.DUMMYFUNCTION("""COMPUTED_VALUE"""),11.0)</f>
        <v>11</v>
      </c>
      <c r="I1448" s="8" t="str">
        <f>IFERROR(__xludf.DUMMYFUNCTION("""COMPUTED_VALUE"""),"General Petite")</f>
        <v>General Petite</v>
      </c>
      <c r="J1448" s="8" t="str">
        <f>IFERROR(__xludf.DUMMYFUNCTION("""COMPUTED_VALUE"""),"Bottoms")</f>
        <v>Bottoms</v>
      </c>
      <c r="K1448" s="8" t="str">
        <f>IFERROR(__xludf.DUMMYFUNCTION("""COMPUTED_VALUE"""),"Pants")</f>
        <v>Pants</v>
      </c>
    </row>
    <row r="1449">
      <c r="A1449" s="8">
        <f>IFERROR(__xludf.DUMMYFUNCTION("""COMPUTED_VALUE"""),1918.0)</f>
        <v>1918</v>
      </c>
      <c r="B1449" s="8">
        <f>IFERROR(__xludf.DUMMYFUNCTION("""COMPUTED_VALUE"""),1066.0)</f>
        <v>1066</v>
      </c>
      <c r="C1449" s="8">
        <f>IFERROR(__xludf.DUMMYFUNCTION("""COMPUTED_VALUE"""),36.0)</f>
        <v>36</v>
      </c>
      <c r="D1449" s="8" t="str">
        <f>IFERROR(__xludf.DUMMYFUNCTION("""COMPUTED_VALUE"""),"Great pants, a tad long in petite")</f>
        <v>Great pants, a tad long in petite</v>
      </c>
      <c r="E1449" s="8" t="str">
        <f>IFERROR(__xludf.DUMMYFUNCTION("""COMPUTED_VALUE"""),"I love these pants and have two colors from last season. they are well-made and versatile. however, given the amount they stretch and the summer season for sandals, 30.5 is a tad long for petite. i'll have them hemmed an inch to keep them from dragging on"&amp;" the floor. also, i wish the coral and green came in petite.")</f>
        <v>I love these pants and have two colors from last season. they are well-made and versatile. however, given the amount they stretch and the summer season for sandals, 30.5 is a tad long for petite. i'll have them hemmed an inch to keep them from dragging on the floor. also, i wish the coral and green came in petite.</v>
      </c>
      <c r="F1449" s="8">
        <f>IFERROR(__xludf.DUMMYFUNCTION("""COMPUTED_VALUE"""),4.0)</f>
        <v>4</v>
      </c>
      <c r="G1449" s="8">
        <f>IFERROR(__xludf.DUMMYFUNCTION("""COMPUTED_VALUE"""),1.0)</f>
        <v>1</v>
      </c>
      <c r="H1449" s="8">
        <f>IFERROR(__xludf.DUMMYFUNCTION("""COMPUTED_VALUE"""),1.0)</f>
        <v>1</v>
      </c>
      <c r="I1449" s="8" t="str">
        <f>IFERROR(__xludf.DUMMYFUNCTION("""COMPUTED_VALUE"""),"General Petite")</f>
        <v>General Petite</v>
      </c>
      <c r="J1449" s="8" t="str">
        <f>IFERROR(__xludf.DUMMYFUNCTION("""COMPUTED_VALUE"""),"Bottoms")</f>
        <v>Bottoms</v>
      </c>
      <c r="K1449" s="8" t="str">
        <f>IFERROR(__xludf.DUMMYFUNCTION("""COMPUTED_VALUE"""),"Pants")</f>
        <v>Pants</v>
      </c>
    </row>
    <row r="1450">
      <c r="A1450" s="8">
        <f>IFERROR(__xludf.DUMMYFUNCTION("""COMPUTED_VALUE"""),1919.0)</f>
        <v>1919</v>
      </c>
      <c r="B1450" s="8">
        <f>IFERROR(__xludf.DUMMYFUNCTION("""COMPUTED_VALUE"""),1035.0)</f>
        <v>1035</v>
      </c>
      <c r="C1450" s="8">
        <f>IFERROR(__xludf.DUMMYFUNCTION("""COMPUTED_VALUE"""),41.0)</f>
        <v>41</v>
      </c>
      <c r="D1450" s="8" t="str">
        <f>IFERROR(__xludf.DUMMYFUNCTION("""COMPUTED_VALUE"""),"Comfy and flattering")</f>
        <v>Comfy and flattering</v>
      </c>
      <c r="E1450" s="8" t="str">
        <f>IFERROR(__xludf.DUMMYFUNCTION("""COMPUTED_VALUE"""),"Love all pilcro, this is no exception. very flattering. slim fit but not skin tight. comfy!")</f>
        <v>Love all pilcro, this is no exception. very flattering. slim fit but not skin tight. comfy!</v>
      </c>
      <c r="F1450" s="8">
        <f>IFERROR(__xludf.DUMMYFUNCTION("""COMPUTED_VALUE"""),5.0)</f>
        <v>5</v>
      </c>
      <c r="G1450" s="8">
        <f>IFERROR(__xludf.DUMMYFUNCTION("""COMPUTED_VALUE"""),1.0)</f>
        <v>1</v>
      </c>
      <c r="H1450" s="8">
        <f>IFERROR(__xludf.DUMMYFUNCTION("""COMPUTED_VALUE"""),1.0)</f>
        <v>1</v>
      </c>
      <c r="I1450" s="8" t="str">
        <f>IFERROR(__xludf.DUMMYFUNCTION("""COMPUTED_VALUE"""),"General Petite")</f>
        <v>General Petite</v>
      </c>
      <c r="J1450" s="8" t="str">
        <f>IFERROR(__xludf.DUMMYFUNCTION("""COMPUTED_VALUE"""),"Bottoms")</f>
        <v>Bottoms</v>
      </c>
      <c r="K1450" s="8" t="str">
        <f>IFERROR(__xludf.DUMMYFUNCTION("""COMPUTED_VALUE"""),"Jeans")</f>
        <v>Jeans</v>
      </c>
    </row>
    <row r="1451">
      <c r="A1451" s="8">
        <f>IFERROR(__xludf.DUMMYFUNCTION("""COMPUTED_VALUE"""),1920.0)</f>
        <v>1920</v>
      </c>
      <c r="B1451" s="8">
        <f>IFERROR(__xludf.DUMMYFUNCTION("""COMPUTED_VALUE"""),828.0)</f>
        <v>828</v>
      </c>
      <c r="C1451" s="8">
        <f>IFERROR(__xludf.DUMMYFUNCTION("""COMPUTED_VALUE"""),25.0)</f>
        <v>25</v>
      </c>
      <c r="D1451" s="8" t="str">
        <f>IFERROR(__xludf.DUMMYFUNCTION("""COMPUTED_VALUE"""),"Great shirt, excellent details")</f>
        <v>Great shirt, excellent details</v>
      </c>
      <c r="E1451" s="8" t="str">
        <f>IFERROR(__xludf.DUMMYFUNCTION("""COMPUTED_VALUE"""),"I am so glad i waited for this to go on sale! this shirt is incredibly soft, with great detail on the fading. i ordered a medium (5'10"", 160 lbs) and it fits perfectly.")</f>
        <v>I am so glad i waited for this to go on sale! this shirt is incredibly soft, with great detail on the fading. i ordered a medium (5'10", 160 lbs) and it fits perfectly.</v>
      </c>
      <c r="F1451" s="8">
        <f>IFERROR(__xludf.DUMMYFUNCTION("""COMPUTED_VALUE"""),5.0)</f>
        <v>5</v>
      </c>
      <c r="G1451" s="8">
        <f>IFERROR(__xludf.DUMMYFUNCTION("""COMPUTED_VALUE"""),1.0)</f>
        <v>1</v>
      </c>
      <c r="H1451" s="8">
        <f>IFERROR(__xludf.DUMMYFUNCTION("""COMPUTED_VALUE"""),0.0)</f>
        <v>0</v>
      </c>
      <c r="I1451" s="8" t="str">
        <f>IFERROR(__xludf.DUMMYFUNCTION("""COMPUTED_VALUE"""),"General")</f>
        <v>General</v>
      </c>
      <c r="J1451" s="8" t="str">
        <f>IFERROR(__xludf.DUMMYFUNCTION("""COMPUTED_VALUE"""),"Tops")</f>
        <v>Tops</v>
      </c>
      <c r="K1451" s="8" t="str">
        <f>IFERROR(__xludf.DUMMYFUNCTION("""COMPUTED_VALUE"""),"Blouses")</f>
        <v>Blouses</v>
      </c>
    </row>
    <row r="1452">
      <c r="A1452" s="8">
        <f>IFERROR(__xludf.DUMMYFUNCTION("""COMPUTED_VALUE"""),1921.0)</f>
        <v>1921</v>
      </c>
      <c r="B1452" s="8">
        <f>IFERROR(__xludf.DUMMYFUNCTION("""COMPUTED_VALUE"""),1066.0)</f>
        <v>1066</v>
      </c>
      <c r="C1452" s="8">
        <f>IFERROR(__xludf.DUMMYFUNCTION("""COMPUTED_VALUE"""),60.0)</f>
        <v>60</v>
      </c>
      <c r="D1452" s="8"/>
      <c r="E1452" s="8" t="str">
        <f>IFERROR(__xludf.DUMMYFUNCTION("""COMPUTED_VALUE"""),"Nice length in tall.  order up one size: cut slim in body.  fabric lightweight bordering on flimsy.")</f>
        <v>Nice length in tall.  order up one size: cut slim in body.  fabric lightweight bordering on flimsy.</v>
      </c>
      <c r="F1452" s="8">
        <f>IFERROR(__xludf.DUMMYFUNCTION("""COMPUTED_VALUE"""),4.0)</f>
        <v>4</v>
      </c>
      <c r="G1452" s="8">
        <f>IFERROR(__xludf.DUMMYFUNCTION("""COMPUTED_VALUE"""),1.0)</f>
        <v>1</v>
      </c>
      <c r="H1452" s="8">
        <f>IFERROR(__xludf.DUMMYFUNCTION("""COMPUTED_VALUE"""),8.0)</f>
        <v>8</v>
      </c>
      <c r="I1452" s="8" t="str">
        <f>IFERROR(__xludf.DUMMYFUNCTION("""COMPUTED_VALUE"""),"General Petite")</f>
        <v>General Petite</v>
      </c>
      <c r="J1452" s="8" t="str">
        <f>IFERROR(__xludf.DUMMYFUNCTION("""COMPUTED_VALUE"""),"Bottoms")</f>
        <v>Bottoms</v>
      </c>
      <c r="K1452" s="8" t="str">
        <f>IFERROR(__xludf.DUMMYFUNCTION("""COMPUTED_VALUE"""),"Pants")</f>
        <v>Pants</v>
      </c>
    </row>
    <row r="1453">
      <c r="A1453" s="8">
        <f>IFERROR(__xludf.DUMMYFUNCTION("""COMPUTED_VALUE"""),1922.0)</f>
        <v>1922</v>
      </c>
      <c r="B1453" s="8">
        <f>IFERROR(__xludf.DUMMYFUNCTION("""COMPUTED_VALUE"""),1066.0)</f>
        <v>1066</v>
      </c>
      <c r="C1453" s="8">
        <f>IFERROR(__xludf.DUMMYFUNCTION("""COMPUTED_VALUE"""),49.0)</f>
        <v>49</v>
      </c>
      <c r="D1453" s="8" t="str">
        <f>IFERROR(__xludf.DUMMYFUNCTION("""COMPUTED_VALUE"""),"Cute pants")</f>
        <v>Cute pants</v>
      </c>
      <c r="E1453" s="8" t="str">
        <f>IFERROR(__xludf.DUMMYFUNCTION("""COMPUTED_VALUE"""),"The retailer store had mostly white left of these pilcro linen pants so i tried them on. the main reason i did not leave the store with them is because i could see the washing tag inside the pants as clear as day. the white pants were just too see-through"&amp;" and i was really looking for some casual items to wear to the office. if it was at least lined, these pants would have come home with me. otherwise, i think the fit was tts.")</f>
        <v>The retailer store had mostly white left of these pilcro linen pants so i tried them on. the main reason i did not leave the store with them is because i could see the washing tag inside the pants as clear as day. the white pants were just too see-through and i was really looking for some casual items to wear to the office. if it was at least lined, these pants would have come home with me. otherwise, i think the fit was tts.</v>
      </c>
      <c r="F1453" s="8">
        <f>IFERROR(__xludf.DUMMYFUNCTION("""COMPUTED_VALUE"""),4.0)</f>
        <v>4</v>
      </c>
      <c r="G1453" s="8">
        <f>IFERROR(__xludf.DUMMYFUNCTION("""COMPUTED_VALUE"""),1.0)</f>
        <v>1</v>
      </c>
      <c r="H1453" s="8">
        <f>IFERROR(__xludf.DUMMYFUNCTION("""COMPUTED_VALUE"""),0.0)</f>
        <v>0</v>
      </c>
      <c r="I1453" s="8" t="str">
        <f>IFERROR(__xludf.DUMMYFUNCTION("""COMPUTED_VALUE"""),"General Petite")</f>
        <v>General Petite</v>
      </c>
      <c r="J1453" s="8" t="str">
        <f>IFERROR(__xludf.DUMMYFUNCTION("""COMPUTED_VALUE"""),"Bottoms")</f>
        <v>Bottoms</v>
      </c>
      <c r="K1453" s="8" t="str">
        <f>IFERROR(__xludf.DUMMYFUNCTION("""COMPUTED_VALUE"""),"Pants")</f>
        <v>Pants</v>
      </c>
    </row>
    <row r="1454">
      <c r="A1454" s="8">
        <f>IFERROR(__xludf.DUMMYFUNCTION("""COMPUTED_VALUE"""),1923.0)</f>
        <v>1923</v>
      </c>
      <c r="B1454" s="8">
        <f>IFERROR(__xludf.DUMMYFUNCTION("""COMPUTED_VALUE"""),828.0)</f>
        <v>828</v>
      </c>
      <c r="C1454" s="8">
        <f>IFERROR(__xludf.DUMMYFUNCTION("""COMPUTED_VALUE"""),45.0)</f>
        <v>45</v>
      </c>
      <c r="D1454" s="8" t="str">
        <f>IFERROR(__xludf.DUMMYFUNCTION("""COMPUTED_VALUE"""),"Great take on a classic!")</f>
        <v>Great take on a classic!</v>
      </c>
      <c r="E1454" s="8" t="str">
        <f>IFERROR(__xludf.DUMMYFUNCTION("""COMPUTED_VALUE"""),"I had been looking for a chambray shirt, but am not a fan of the typical button-down style. this shirt is very versatile, but is far more interesting with the lace up neckline. i received multiple compliments the first time i wore it. the material is incr"&amp;"edibly soft, but i haven't laundered it yet, so i am not sure how it will holdup.")</f>
        <v>I had been looking for a chambray shirt, but am not a fan of the typical button-down style. this shirt is very versatile, but is far more interesting with the lace up neckline. i received multiple compliments the first time i wore it. the material is incredibly soft, but i haven't laundered it yet, so i am not sure how it will holdup.</v>
      </c>
      <c r="F1454" s="8">
        <f>IFERROR(__xludf.DUMMYFUNCTION("""COMPUTED_VALUE"""),5.0)</f>
        <v>5</v>
      </c>
      <c r="G1454" s="8">
        <f>IFERROR(__xludf.DUMMYFUNCTION("""COMPUTED_VALUE"""),1.0)</f>
        <v>1</v>
      </c>
      <c r="H1454" s="8">
        <f>IFERROR(__xludf.DUMMYFUNCTION("""COMPUTED_VALUE"""),0.0)</f>
        <v>0</v>
      </c>
      <c r="I1454" s="8" t="str">
        <f>IFERROR(__xludf.DUMMYFUNCTION("""COMPUTED_VALUE"""),"General")</f>
        <v>General</v>
      </c>
      <c r="J1454" s="8" t="str">
        <f>IFERROR(__xludf.DUMMYFUNCTION("""COMPUTED_VALUE"""),"Tops")</f>
        <v>Tops</v>
      </c>
      <c r="K1454" s="8" t="str">
        <f>IFERROR(__xludf.DUMMYFUNCTION("""COMPUTED_VALUE"""),"Blouses")</f>
        <v>Blouses</v>
      </c>
    </row>
    <row r="1455">
      <c r="A1455" s="8">
        <f>IFERROR(__xludf.DUMMYFUNCTION("""COMPUTED_VALUE"""),1924.0)</f>
        <v>1924</v>
      </c>
      <c r="B1455" s="8">
        <f>IFERROR(__xludf.DUMMYFUNCTION("""COMPUTED_VALUE"""),1059.0)</f>
        <v>1059</v>
      </c>
      <c r="C1455" s="8">
        <f>IFERROR(__xludf.DUMMYFUNCTION("""COMPUTED_VALUE"""),68.0)</f>
        <v>68</v>
      </c>
      <c r="D1455" s="8" t="str">
        <f>IFERROR(__xludf.DUMMYFUNCTION("""COMPUTED_VALUE"""),"Very cute, very, very cute")</f>
        <v>Very cute, very, very cute</v>
      </c>
      <c r="E1455" s="8" t="str">
        <f>IFERROR(__xludf.DUMMYFUNCTION("""COMPUTED_VALUE"""),"These pants are flattering and comfortable, plus they are cute, cute, cute. i'm a little too conservative to wear them with a striped top, but with a solid black or ivory/off white top they are perfect. can be work appropriate with a blazer or twin set or"&amp;" ""girlfriends'"" lunch appropriate with a tee or turtleneck. highly recommend")</f>
        <v>These pants are flattering and comfortable, plus they are cute, cute, cute. i'm a little too conservative to wear them with a striped top, but with a solid black or ivory/off white top they are perfect. can be work appropriate with a blazer or twin set or "girlfriends'" lunch appropriate with a tee or turtleneck. highly recommend</v>
      </c>
      <c r="F1455" s="8">
        <f>IFERROR(__xludf.DUMMYFUNCTION("""COMPUTED_VALUE"""),5.0)</f>
        <v>5</v>
      </c>
      <c r="G1455" s="8">
        <f>IFERROR(__xludf.DUMMYFUNCTION("""COMPUTED_VALUE"""),1.0)</f>
        <v>1</v>
      </c>
      <c r="H1455" s="8">
        <f>IFERROR(__xludf.DUMMYFUNCTION("""COMPUTED_VALUE"""),2.0)</f>
        <v>2</v>
      </c>
      <c r="I1455" s="8" t="str">
        <f>IFERROR(__xludf.DUMMYFUNCTION("""COMPUTED_VALUE"""),"General Petite")</f>
        <v>General Petite</v>
      </c>
      <c r="J1455" s="8" t="str">
        <f>IFERROR(__xludf.DUMMYFUNCTION("""COMPUTED_VALUE"""),"Bottoms")</f>
        <v>Bottoms</v>
      </c>
      <c r="K1455" s="8" t="str">
        <f>IFERROR(__xludf.DUMMYFUNCTION("""COMPUTED_VALUE"""),"Pants")</f>
        <v>Pants</v>
      </c>
    </row>
    <row r="1456">
      <c r="A1456" s="8">
        <f>IFERROR(__xludf.DUMMYFUNCTION("""COMPUTED_VALUE"""),1925.0)</f>
        <v>1925</v>
      </c>
      <c r="B1456" s="8">
        <f>IFERROR(__xludf.DUMMYFUNCTION("""COMPUTED_VALUE"""),1078.0)</f>
        <v>1078</v>
      </c>
      <c r="C1456" s="8">
        <f>IFERROR(__xludf.DUMMYFUNCTION("""COMPUTED_VALUE"""),28.0)</f>
        <v>28</v>
      </c>
      <c r="D1456" s="8" t="str">
        <f>IFERROR(__xludf.DUMMYFUNCTION("""COMPUTED_VALUE"""),"Gorgeous detailing")</f>
        <v>Gorgeous detailing</v>
      </c>
      <c r="E1456" s="8" t="str">
        <f>IFERROR(__xludf.DUMMYFUNCTION("""COMPUTED_VALUE"""),"I never write reviews but this dress is so fantastic i felt compelled to write one. it has unbelievably gorgeous detailing, from delicate beading and sequins on the bodice to the three layers of the skirt: slip, floral pattern, pleats. i literally feel li"&amp;"ke a princess/ greek muse in this dress. can't recommend it enough. true to size; i'm 5'7"" and 133 lb and got a size 4.")</f>
        <v>I never write reviews but this dress is so fantastic i felt compelled to write one. it has unbelievably gorgeous detailing, from delicate beading and sequins on the bodice to the three layers of the skirt: slip, floral pattern, pleats. i literally feel like a princess/ greek muse in this dress. can't recommend it enough. true to size; i'm 5'7" and 133 lb and got a size 4.</v>
      </c>
      <c r="F1456" s="8">
        <f>IFERROR(__xludf.DUMMYFUNCTION("""COMPUTED_VALUE"""),5.0)</f>
        <v>5</v>
      </c>
      <c r="G1456" s="8">
        <f>IFERROR(__xludf.DUMMYFUNCTION("""COMPUTED_VALUE"""),1.0)</f>
        <v>1</v>
      </c>
      <c r="H1456" s="8">
        <f>IFERROR(__xludf.DUMMYFUNCTION("""COMPUTED_VALUE"""),3.0)</f>
        <v>3</v>
      </c>
      <c r="I1456" s="8" t="str">
        <f>IFERROR(__xludf.DUMMYFUNCTION("""COMPUTED_VALUE"""),"General Petite")</f>
        <v>General Petite</v>
      </c>
      <c r="J1456" s="8" t="str">
        <f>IFERROR(__xludf.DUMMYFUNCTION("""COMPUTED_VALUE"""),"Dresses")</f>
        <v>Dresses</v>
      </c>
      <c r="K1456" s="8" t="str">
        <f>IFERROR(__xludf.DUMMYFUNCTION("""COMPUTED_VALUE"""),"Dresses")</f>
        <v>Dresses</v>
      </c>
    </row>
    <row r="1457">
      <c r="A1457" s="8">
        <f>IFERROR(__xludf.DUMMYFUNCTION("""COMPUTED_VALUE"""),1927.0)</f>
        <v>1927</v>
      </c>
      <c r="B1457" s="8">
        <f>IFERROR(__xludf.DUMMYFUNCTION("""COMPUTED_VALUE"""),1059.0)</f>
        <v>1059</v>
      </c>
      <c r="C1457" s="8">
        <f>IFERROR(__xludf.DUMMYFUNCTION("""COMPUTED_VALUE"""),38.0)</f>
        <v>38</v>
      </c>
      <c r="D1457" s="8" t="str">
        <f>IFERROR(__xludf.DUMMYFUNCTION("""COMPUTED_VALUE"""),"So cute")</f>
        <v>So cute</v>
      </c>
      <c r="E1457" s="8" t="str">
        <f>IFERROR(__xludf.DUMMYFUNCTION("""COMPUTED_VALUE"""),"These are great quality and hang very nice. tts. i'm 5'6"" and about 130lbs and the 2 fit and hit just above the ankle.")</f>
        <v>These are great quality and hang very nice. tts. i'm 5'6" and about 130lbs and the 2 fit and hit just above the ankle.</v>
      </c>
      <c r="F1457" s="8">
        <f>IFERROR(__xludf.DUMMYFUNCTION("""COMPUTED_VALUE"""),5.0)</f>
        <v>5</v>
      </c>
      <c r="G1457" s="8">
        <f>IFERROR(__xludf.DUMMYFUNCTION("""COMPUTED_VALUE"""),1.0)</f>
        <v>1</v>
      </c>
      <c r="H1457" s="8">
        <f>IFERROR(__xludf.DUMMYFUNCTION("""COMPUTED_VALUE"""),3.0)</f>
        <v>3</v>
      </c>
      <c r="I1457" s="8" t="str">
        <f>IFERROR(__xludf.DUMMYFUNCTION("""COMPUTED_VALUE"""),"General Petite")</f>
        <v>General Petite</v>
      </c>
      <c r="J1457" s="8" t="str">
        <f>IFERROR(__xludf.DUMMYFUNCTION("""COMPUTED_VALUE"""),"Bottoms")</f>
        <v>Bottoms</v>
      </c>
      <c r="K1457" s="8" t="str">
        <f>IFERROR(__xludf.DUMMYFUNCTION("""COMPUTED_VALUE"""),"Pants")</f>
        <v>Pants</v>
      </c>
    </row>
    <row r="1458">
      <c r="A1458" s="8">
        <f>IFERROR(__xludf.DUMMYFUNCTION("""COMPUTED_VALUE"""),1928.0)</f>
        <v>1928</v>
      </c>
      <c r="B1458" s="8">
        <f>IFERROR(__xludf.DUMMYFUNCTION("""COMPUTED_VALUE"""),860.0)</f>
        <v>860</v>
      </c>
      <c r="C1458" s="8">
        <f>IFERROR(__xludf.DUMMYFUNCTION("""COMPUTED_VALUE"""),28.0)</f>
        <v>28</v>
      </c>
      <c r="D1458" s="8"/>
      <c r="E1458" s="8"/>
      <c r="F1458" s="8">
        <f>IFERROR(__xludf.DUMMYFUNCTION("""COMPUTED_VALUE"""),5.0)</f>
        <v>5</v>
      </c>
      <c r="G1458" s="8">
        <f>IFERROR(__xludf.DUMMYFUNCTION("""COMPUTED_VALUE"""),1.0)</f>
        <v>1</v>
      </c>
      <c r="H1458" s="8">
        <f>IFERROR(__xludf.DUMMYFUNCTION("""COMPUTED_VALUE"""),0.0)</f>
        <v>0</v>
      </c>
      <c r="I1458" s="8" t="str">
        <f>IFERROR(__xludf.DUMMYFUNCTION("""COMPUTED_VALUE"""),"General")</f>
        <v>General</v>
      </c>
      <c r="J1458" s="8" t="str">
        <f>IFERROR(__xludf.DUMMYFUNCTION("""COMPUTED_VALUE"""),"Tops")</f>
        <v>Tops</v>
      </c>
      <c r="K1458" s="8" t="str">
        <f>IFERROR(__xludf.DUMMYFUNCTION("""COMPUTED_VALUE"""),"Knits")</f>
        <v>Knits</v>
      </c>
    </row>
    <row r="1459">
      <c r="A1459" s="8">
        <f>IFERROR(__xludf.DUMMYFUNCTION("""COMPUTED_VALUE"""),1929.0)</f>
        <v>1929</v>
      </c>
      <c r="B1459" s="8">
        <f>IFERROR(__xludf.DUMMYFUNCTION("""COMPUTED_VALUE"""),1066.0)</f>
        <v>1066</v>
      </c>
      <c r="C1459" s="8">
        <f>IFERROR(__xludf.DUMMYFUNCTION("""COMPUTED_VALUE"""),50.0)</f>
        <v>50</v>
      </c>
      <c r="D1459" s="8" t="str">
        <f>IFERROR(__xludf.DUMMYFUNCTION("""COMPUTED_VALUE"""),"Super cute wear well")</f>
        <v>Super cute wear well</v>
      </c>
      <c r="E1459" s="8" t="str">
        <f>IFERROR(__xludf.DUMMYFUNCTION("""COMPUTED_VALUE"""),"I ordered the neutral in a 2p. i had to hem them. i 5' about 110lbs. i wore them to wore. they wore beautifully with some wrinkling to be expected with linen. but they didn't look like i slept in them. i ordered another pair same size right after the firs"&amp;"t pair came and tried them on to find the fit tighter than the first pair. a bit disappointed. debating if they'll stay or get returned. i see the notes about stretching. overall a nice pant for the money.")</f>
        <v>I ordered the neutral in a 2p. i had to hem them. i 5' about 110lbs. i wore them to wore. they wore beautifully with some wrinkling to be expected with linen. but they didn't look like i slept in them. i ordered another pair same size right after the first pair came and tried them on to find the fit tighter than the first pair. a bit disappointed. debating if they'll stay or get returned. i see the notes about stretching. overall a nice pant for the money.</v>
      </c>
      <c r="F1459" s="8">
        <f>IFERROR(__xludf.DUMMYFUNCTION("""COMPUTED_VALUE"""),5.0)</f>
        <v>5</v>
      </c>
      <c r="G1459" s="8">
        <f>IFERROR(__xludf.DUMMYFUNCTION("""COMPUTED_VALUE"""),1.0)</f>
        <v>1</v>
      </c>
      <c r="H1459" s="8">
        <f>IFERROR(__xludf.DUMMYFUNCTION("""COMPUTED_VALUE"""),2.0)</f>
        <v>2</v>
      </c>
      <c r="I1459" s="8" t="str">
        <f>IFERROR(__xludf.DUMMYFUNCTION("""COMPUTED_VALUE"""),"General Petite")</f>
        <v>General Petite</v>
      </c>
      <c r="J1459" s="8" t="str">
        <f>IFERROR(__xludf.DUMMYFUNCTION("""COMPUTED_VALUE"""),"Bottoms")</f>
        <v>Bottoms</v>
      </c>
      <c r="K1459" s="8" t="str">
        <f>IFERROR(__xludf.DUMMYFUNCTION("""COMPUTED_VALUE"""),"Pants")</f>
        <v>Pants</v>
      </c>
    </row>
    <row r="1460">
      <c r="A1460" s="8">
        <f>IFERROR(__xludf.DUMMYFUNCTION("""COMPUTED_VALUE"""),1931.0)</f>
        <v>1931</v>
      </c>
      <c r="B1460" s="8">
        <f>IFERROR(__xludf.DUMMYFUNCTION("""COMPUTED_VALUE"""),860.0)</f>
        <v>860</v>
      </c>
      <c r="C1460" s="8">
        <f>IFERROR(__xludf.DUMMYFUNCTION("""COMPUTED_VALUE"""),48.0)</f>
        <v>48</v>
      </c>
      <c r="D1460" s="8" t="str">
        <f>IFERROR(__xludf.DUMMYFUNCTION("""COMPUTED_VALUE"""),"Perfect shirt")</f>
        <v>Perfect shirt</v>
      </c>
      <c r="E1460" s="8" t="str">
        <f>IFERROR(__xludf.DUMMYFUNCTION("""COMPUTED_VALUE"""),"I own this shirt in dark green,
navy, and white.
it is perfect. it drapes in such a flattering way, nice weight.
it shows curves in all the right ways but does not fit too snug, emphasizing every flaw.
and finally... the buttons are placed perfectly so th"&amp;"at you don't have to choose between extremely conservative or way too provocative (bra showing).
well done!")</f>
        <v>I own this shirt in dark green,
navy, and white.
it is perfect. it drapes in such a flattering way, nice weight.
it shows curves in all the right ways but does not fit too snug, emphasizing every flaw.
and finally... the buttons are placed perfectly so that you don't have to choose between extremely conservative or way too provocative (bra showing).
well done!</v>
      </c>
      <c r="F1460" s="8">
        <f>IFERROR(__xludf.DUMMYFUNCTION("""COMPUTED_VALUE"""),5.0)</f>
        <v>5</v>
      </c>
      <c r="G1460" s="8">
        <f>IFERROR(__xludf.DUMMYFUNCTION("""COMPUTED_VALUE"""),1.0)</f>
        <v>1</v>
      </c>
      <c r="H1460" s="8">
        <f>IFERROR(__xludf.DUMMYFUNCTION("""COMPUTED_VALUE"""),37.0)</f>
        <v>37</v>
      </c>
      <c r="I1460" s="8" t="str">
        <f>IFERROR(__xludf.DUMMYFUNCTION("""COMPUTED_VALUE"""),"General")</f>
        <v>General</v>
      </c>
      <c r="J1460" s="8" t="str">
        <f>IFERROR(__xludf.DUMMYFUNCTION("""COMPUTED_VALUE"""),"Tops")</f>
        <v>Tops</v>
      </c>
      <c r="K1460" s="8" t="str">
        <f>IFERROR(__xludf.DUMMYFUNCTION("""COMPUTED_VALUE"""),"Knits")</f>
        <v>Knits</v>
      </c>
    </row>
    <row r="1461">
      <c r="A1461" s="8">
        <f>IFERROR(__xludf.DUMMYFUNCTION("""COMPUTED_VALUE"""),1933.0)</f>
        <v>1933</v>
      </c>
      <c r="B1461" s="8">
        <f>IFERROR(__xludf.DUMMYFUNCTION("""COMPUTED_VALUE"""),1035.0)</f>
        <v>1035</v>
      </c>
      <c r="C1461" s="8">
        <f>IFERROR(__xludf.DUMMYFUNCTION("""COMPUTED_VALUE"""),37.0)</f>
        <v>37</v>
      </c>
      <c r="D1461" s="8" t="str">
        <f>IFERROR(__xludf.DUMMYFUNCTION("""COMPUTED_VALUE"""),"Fun but not perfect")</f>
        <v>Fun but not perfect</v>
      </c>
      <c r="E1461" s="8" t="str">
        <f>IFERROR(__xludf.DUMMYFUNCTION("""COMPUTED_VALUE"""),"I love these jeans and have been wearing them a lot now that the weather is turning a bit cooler in my area. i like that the cuff is not sewn in, so you can wear them with a cuff like pictured, or fully unrolled/down. they are a bit higher-waisted than i "&amp;"prefer - kind of an awkward waist height in my opinion. and they are very stretchy. i was torn between two sizes so i went with the larger. i wasn't sure of how to mark how they fit because they are somewhat fitted/slim in the thigh area, but th")</f>
        <v>I love these jeans and have been wearing them a lot now that the weather is turning a bit cooler in my area. i like that the cuff is not sewn in, so you can wear them with a cuff like pictured, or fully unrolled/down. they are a bit higher-waisted than i prefer - kind of an awkward waist height in my opinion. and they are very stretchy. i was torn between two sizes so i went with the larger. i wasn't sure of how to mark how they fit because they are somewhat fitted/slim in the thigh area, but th</v>
      </c>
      <c r="F1461" s="8">
        <f>IFERROR(__xludf.DUMMYFUNCTION("""COMPUTED_VALUE"""),4.0)</f>
        <v>4</v>
      </c>
      <c r="G1461" s="8">
        <f>IFERROR(__xludf.DUMMYFUNCTION("""COMPUTED_VALUE"""),1.0)</f>
        <v>1</v>
      </c>
      <c r="H1461" s="8">
        <f>IFERROR(__xludf.DUMMYFUNCTION("""COMPUTED_VALUE"""),2.0)</f>
        <v>2</v>
      </c>
      <c r="I1461" s="8" t="str">
        <f>IFERROR(__xludf.DUMMYFUNCTION("""COMPUTED_VALUE"""),"General Petite")</f>
        <v>General Petite</v>
      </c>
      <c r="J1461" s="8" t="str">
        <f>IFERROR(__xludf.DUMMYFUNCTION("""COMPUTED_VALUE"""),"Bottoms")</f>
        <v>Bottoms</v>
      </c>
      <c r="K1461" s="8" t="str">
        <f>IFERROR(__xludf.DUMMYFUNCTION("""COMPUTED_VALUE"""),"Jeans")</f>
        <v>Jeans</v>
      </c>
    </row>
    <row r="1462">
      <c r="A1462" s="8">
        <f>IFERROR(__xludf.DUMMYFUNCTION("""COMPUTED_VALUE"""),1934.0)</f>
        <v>1934</v>
      </c>
      <c r="B1462" s="8">
        <f>IFERROR(__xludf.DUMMYFUNCTION("""COMPUTED_VALUE"""),1009.0)</f>
        <v>1009</v>
      </c>
      <c r="C1462" s="8">
        <f>IFERROR(__xludf.DUMMYFUNCTION("""COMPUTED_VALUE"""),56.0)</f>
        <v>56</v>
      </c>
      <c r="D1462" s="8"/>
      <c r="E1462" s="8" t="str">
        <f>IFERROR(__xludf.DUMMYFUNCTION("""COMPUTED_VALUE"""),"Very cute. i received many compliments when i wore it. fits true to size (petite 2) with some good stretch in it. i am 5'3 and it was slightly longer than that on the model. it is a little odd that the buttons are all not the same. but perhaps that is par"&amp;"t of its charm and it is not noticeable. it is very comfortable and the pictures are representative of what it looks like.")</f>
        <v>Very cute. i received many compliments when i wore it. fits true to size (petite 2) with some good stretch in it. i am 5'3 and it was slightly longer than that on the model. it is a little odd that the buttons are all not the same. but perhaps that is part of its charm and it is not noticeable. it is very comfortable and the pictures are representative of what it looks like.</v>
      </c>
      <c r="F1462" s="8">
        <f>IFERROR(__xludf.DUMMYFUNCTION("""COMPUTED_VALUE"""),5.0)</f>
        <v>5</v>
      </c>
      <c r="G1462" s="8">
        <f>IFERROR(__xludf.DUMMYFUNCTION("""COMPUTED_VALUE"""),1.0)</f>
        <v>1</v>
      </c>
      <c r="H1462" s="8">
        <f>IFERROR(__xludf.DUMMYFUNCTION("""COMPUTED_VALUE"""),1.0)</f>
        <v>1</v>
      </c>
      <c r="I1462" s="8" t="str">
        <f>IFERROR(__xludf.DUMMYFUNCTION("""COMPUTED_VALUE"""),"General Petite")</f>
        <v>General Petite</v>
      </c>
      <c r="J1462" s="8" t="str">
        <f>IFERROR(__xludf.DUMMYFUNCTION("""COMPUTED_VALUE"""),"Bottoms")</f>
        <v>Bottoms</v>
      </c>
      <c r="K1462" s="8" t="str">
        <f>IFERROR(__xludf.DUMMYFUNCTION("""COMPUTED_VALUE"""),"Skirts")</f>
        <v>Skirts</v>
      </c>
    </row>
    <row r="1463">
      <c r="A1463" s="8">
        <f>IFERROR(__xludf.DUMMYFUNCTION("""COMPUTED_VALUE"""),1935.0)</f>
        <v>1935</v>
      </c>
      <c r="B1463" s="8">
        <f>IFERROR(__xludf.DUMMYFUNCTION("""COMPUTED_VALUE"""),1092.0)</f>
        <v>1092</v>
      </c>
      <c r="C1463" s="8">
        <f>IFERROR(__xludf.DUMMYFUNCTION("""COMPUTED_VALUE"""),50.0)</f>
        <v>50</v>
      </c>
      <c r="D1463" s="8" t="str">
        <f>IFERROR(__xludf.DUMMYFUNCTION("""COMPUTED_VALUE"""),"Just right")</f>
        <v>Just right</v>
      </c>
      <c r="E1463" s="8" t="str">
        <f>IFERROR(__xludf.DUMMYFUNCTION("""COMPUTED_VALUE"""),"I ordered this in a size s, my usual size and it fits great. i love the color, style and fit of the dress. the only criticism i can think of is the braided trim on the skirt hits right at my hip and kind of, ever so slightly, poofs out a bit and i wish it"&amp;" had pockets. other than that it's pretty darn cute and i got it at a great price of under $40. so i will wear it as much as i can until it gets cooler. because of the rich color, i can probably wear with cute sweater and booties into the fall!")</f>
        <v>I ordered this in a size s, my usual size and it fits great. i love the color, style and fit of the dress. the only criticism i can think of is the braided trim on the skirt hits right at my hip and kind of, ever so slightly, poofs out a bit and i wish it had pockets. other than that it's pretty darn cute and i got it at a great price of under $40. so i will wear it as much as i can until it gets cooler. because of the rich color, i can probably wear with cute sweater and booties into the fall!</v>
      </c>
      <c r="F1463" s="8">
        <f>IFERROR(__xludf.DUMMYFUNCTION("""COMPUTED_VALUE"""),5.0)</f>
        <v>5</v>
      </c>
      <c r="G1463" s="8">
        <f>IFERROR(__xludf.DUMMYFUNCTION("""COMPUTED_VALUE"""),1.0)</f>
        <v>1</v>
      </c>
      <c r="H1463" s="8">
        <f>IFERROR(__xludf.DUMMYFUNCTION("""COMPUTED_VALUE"""),0.0)</f>
        <v>0</v>
      </c>
      <c r="I1463" s="8" t="str">
        <f>IFERROR(__xludf.DUMMYFUNCTION("""COMPUTED_VALUE"""),"General Petite")</f>
        <v>General Petite</v>
      </c>
      <c r="J1463" s="8" t="str">
        <f>IFERROR(__xludf.DUMMYFUNCTION("""COMPUTED_VALUE"""),"Dresses")</f>
        <v>Dresses</v>
      </c>
      <c r="K1463" s="8" t="str">
        <f>IFERROR(__xludf.DUMMYFUNCTION("""COMPUTED_VALUE"""),"Dresses")</f>
        <v>Dresses</v>
      </c>
    </row>
    <row r="1464">
      <c r="A1464" s="8">
        <f>IFERROR(__xludf.DUMMYFUNCTION("""COMPUTED_VALUE"""),1936.0)</f>
        <v>1936</v>
      </c>
      <c r="B1464" s="8">
        <f>IFERROR(__xludf.DUMMYFUNCTION("""COMPUTED_VALUE"""),872.0)</f>
        <v>872</v>
      </c>
      <c r="C1464" s="8">
        <f>IFERROR(__xludf.DUMMYFUNCTION("""COMPUTED_VALUE"""),49.0)</f>
        <v>49</v>
      </c>
      <c r="D1464" s="8"/>
      <c r="E1464" s="8" t="str">
        <f>IFERROR(__xludf.DUMMYFUNCTION("""COMPUTED_VALUE"""),"This is a great basic t that works with shorts, pants, or a skirt.")</f>
        <v>This is a great basic t that works with shorts, pants, or a skirt.</v>
      </c>
      <c r="F1464" s="8">
        <f>IFERROR(__xludf.DUMMYFUNCTION("""COMPUTED_VALUE"""),5.0)</f>
        <v>5</v>
      </c>
      <c r="G1464" s="8">
        <f>IFERROR(__xludf.DUMMYFUNCTION("""COMPUTED_VALUE"""),1.0)</f>
        <v>1</v>
      </c>
      <c r="H1464" s="8">
        <f>IFERROR(__xludf.DUMMYFUNCTION("""COMPUTED_VALUE"""),0.0)</f>
        <v>0</v>
      </c>
      <c r="I1464" s="8" t="str">
        <f>IFERROR(__xludf.DUMMYFUNCTION("""COMPUTED_VALUE"""),"General Petite")</f>
        <v>General Petite</v>
      </c>
      <c r="J1464" s="8" t="str">
        <f>IFERROR(__xludf.DUMMYFUNCTION("""COMPUTED_VALUE"""),"Tops")</f>
        <v>Tops</v>
      </c>
      <c r="K1464" s="8" t="str">
        <f>IFERROR(__xludf.DUMMYFUNCTION("""COMPUTED_VALUE"""),"Knits")</f>
        <v>Knits</v>
      </c>
    </row>
    <row r="1465">
      <c r="A1465" s="8">
        <f>IFERROR(__xludf.DUMMYFUNCTION("""COMPUTED_VALUE"""),1938.0)</f>
        <v>1938</v>
      </c>
      <c r="B1465" s="8">
        <f>IFERROR(__xludf.DUMMYFUNCTION("""COMPUTED_VALUE"""),1197.0)</f>
        <v>1197</v>
      </c>
      <c r="C1465" s="8">
        <f>IFERROR(__xludf.DUMMYFUNCTION("""COMPUTED_VALUE"""),68.0)</f>
        <v>68</v>
      </c>
      <c r="D1465" s="8" t="str">
        <f>IFERROR(__xludf.DUMMYFUNCTION("""COMPUTED_VALUE"""),"Perfect every day neutral")</f>
        <v>Perfect every day neutral</v>
      </c>
      <c r="E1465" s="8" t="str">
        <f>IFERROR(__xludf.DUMMYFUNCTION("""COMPUTED_VALUE"""),"So glad i ordered this dress. it fits true to size and is extra soft. i was unsure about the color, but it looks nicer in person. the fabric is a mid weight that hangs nicely. this will go great with leggings or tights and wear into spring.")</f>
        <v>So glad i ordered this dress. it fits true to size and is extra soft. i was unsure about the color, but it looks nicer in person. the fabric is a mid weight that hangs nicely. this will go great with leggings or tights and wear into spring.</v>
      </c>
      <c r="F1465" s="8">
        <f>IFERROR(__xludf.DUMMYFUNCTION("""COMPUTED_VALUE"""),5.0)</f>
        <v>5</v>
      </c>
      <c r="G1465" s="8">
        <f>IFERROR(__xludf.DUMMYFUNCTION("""COMPUTED_VALUE"""),1.0)</f>
        <v>1</v>
      </c>
      <c r="H1465" s="8">
        <f>IFERROR(__xludf.DUMMYFUNCTION("""COMPUTED_VALUE"""),1.0)</f>
        <v>1</v>
      </c>
      <c r="I1465" s="8" t="str">
        <f>IFERROR(__xludf.DUMMYFUNCTION("""COMPUTED_VALUE"""),"General")</f>
        <v>General</v>
      </c>
      <c r="J1465" s="8" t="str">
        <f>IFERROR(__xludf.DUMMYFUNCTION("""COMPUTED_VALUE"""),"Dresses")</f>
        <v>Dresses</v>
      </c>
      <c r="K1465" s="8" t="str">
        <f>IFERROR(__xludf.DUMMYFUNCTION("""COMPUTED_VALUE"""),"Dresses")</f>
        <v>Dresses</v>
      </c>
    </row>
    <row r="1466">
      <c r="A1466" s="8">
        <f>IFERROR(__xludf.DUMMYFUNCTION("""COMPUTED_VALUE"""),1941.0)</f>
        <v>1941</v>
      </c>
      <c r="B1466" s="8">
        <f>IFERROR(__xludf.DUMMYFUNCTION("""COMPUTED_VALUE"""),1016.0)</f>
        <v>1016</v>
      </c>
      <c r="C1466" s="8">
        <f>IFERROR(__xludf.DUMMYFUNCTION("""COMPUTED_VALUE"""),42.0)</f>
        <v>42</v>
      </c>
      <c r="D1466" s="8" t="str">
        <f>IFERROR(__xludf.DUMMYFUNCTION("""COMPUTED_VALUE"""),"Try on before purchasing")</f>
        <v>Try on before purchasing</v>
      </c>
      <c r="E1466" s="8" t="str">
        <f>IFERROR(__xludf.DUMMYFUNCTION("""COMPUTED_VALUE"""),"I like many of you had the same issues. i tried my normal size of xs and s and couldn't get it on. the sales associate looked at it and went and got several size small and they all fit differently. some fit normal and others did not, so i would try on fir"&amp;"st. i love it when it fits correctly")</f>
        <v>I like many of you had the same issues. i tried my normal size of xs and s and couldn't get it on. the sales associate looked at it and went and got several size small and they all fit differently. some fit normal and others did not, so i would try on first. i love it when it fits correctly</v>
      </c>
      <c r="F1466" s="8">
        <f>IFERROR(__xludf.DUMMYFUNCTION("""COMPUTED_VALUE"""),4.0)</f>
        <v>4</v>
      </c>
      <c r="G1466" s="8">
        <f>IFERROR(__xludf.DUMMYFUNCTION("""COMPUTED_VALUE"""),1.0)</f>
        <v>1</v>
      </c>
      <c r="H1466" s="8">
        <f>IFERROR(__xludf.DUMMYFUNCTION("""COMPUTED_VALUE"""),1.0)</f>
        <v>1</v>
      </c>
      <c r="I1466" s="8" t="str">
        <f>IFERROR(__xludf.DUMMYFUNCTION("""COMPUTED_VALUE"""),"General")</f>
        <v>General</v>
      </c>
      <c r="J1466" s="8" t="str">
        <f>IFERROR(__xludf.DUMMYFUNCTION("""COMPUTED_VALUE"""),"Bottoms")</f>
        <v>Bottoms</v>
      </c>
      <c r="K1466" s="8" t="str">
        <f>IFERROR(__xludf.DUMMYFUNCTION("""COMPUTED_VALUE"""),"Skirts")</f>
        <v>Skirts</v>
      </c>
    </row>
    <row r="1467">
      <c r="A1467" s="8">
        <f>IFERROR(__xludf.DUMMYFUNCTION("""COMPUTED_VALUE"""),1942.0)</f>
        <v>1942</v>
      </c>
      <c r="B1467" s="8">
        <f>IFERROR(__xludf.DUMMYFUNCTION("""COMPUTED_VALUE"""),862.0)</f>
        <v>862</v>
      </c>
      <c r="C1467" s="8">
        <f>IFERROR(__xludf.DUMMYFUNCTION("""COMPUTED_VALUE"""),37.0)</f>
        <v>37</v>
      </c>
      <c r="D1467" s="8"/>
      <c r="E1467" s="8" t="str">
        <f>IFERROR(__xludf.DUMMYFUNCTION("""COMPUTED_VALUE"""),"I've had my eye on this for awhile, glad it was still in stock.  really great deep wine color, soft.  more texture and detail than i had appreciated in the picture.  love.")</f>
        <v>I've had my eye on this for awhile, glad it was still in stock.  really great deep wine color, soft.  more texture and detail than i had appreciated in the picture.  love.</v>
      </c>
      <c r="F1467" s="8">
        <f>IFERROR(__xludf.DUMMYFUNCTION("""COMPUTED_VALUE"""),5.0)</f>
        <v>5</v>
      </c>
      <c r="G1467" s="8">
        <f>IFERROR(__xludf.DUMMYFUNCTION("""COMPUTED_VALUE"""),1.0)</f>
        <v>1</v>
      </c>
      <c r="H1467" s="8">
        <f>IFERROR(__xludf.DUMMYFUNCTION("""COMPUTED_VALUE"""),0.0)</f>
        <v>0</v>
      </c>
      <c r="I1467" s="8" t="str">
        <f>IFERROR(__xludf.DUMMYFUNCTION("""COMPUTED_VALUE"""),"General Petite")</f>
        <v>General Petite</v>
      </c>
      <c r="J1467" s="8" t="str">
        <f>IFERROR(__xludf.DUMMYFUNCTION("""COMPUTED_VALUE"""),"Tops")</f>
        <v>Tops</v>
      </c>
      <c r="K1467" s="8" t="str">
        <f>IFERROR(__xludf.DUMMYFUNCTION("""COMPUTED_VALUE"""),"Knits")</f>
        <v>Knits</v>
      </c>
    </row>
    <row r="1468">
      <c r="A1468" s="8">
        <f>IFERROR(__xludf.DUMMYFUNCTION("""COMPUTED_VALUE"""),1944.0)</f>
        <v>1944</v>
      </c>
      <c r="B1468" s="8">
        <f>IFERROR(__xludf.DUMMYFUNCTION("""COMPUTED_VALUE"""),862.0)</f>
        <v>862</v>
      </c>
      <c r="C1468" s="8">
        <f>IFERROR(__xludf.DUMMYFUNCTION("""COMPUTED_VALUE"""),46.0)</f>
        <v>46</v>
      </c>
      <c r="D1468" s="8" t="str">
        <f>IFERROR(__xludf.DUMMYFUNCTION("""COMPUTED_VALUE"""),"Not your everyday cardi")</f>
        <v>Not your everyday cardi</v>
      </c>
      <c r="E1468" s="8" t="str">
        <f>IFERROR(__xludf.DUMMYFUNCTION("""COMPUTED_VALUE"""),"You will love this cardigan. very well made with beautiful details. the sleeves have the same detail as the collar and the back. has darker flecks that will go well with dark pants or cords or jeans. you will love this cardi! wish it came in more springy "&amp;"colors. i only gave it a lower rating for quality because the first one i tried on had a sleeve that was much tighter than the other sleeve. the replacement was fine!!")</f>
        <v>You will love this cardigan. very well made with beautiful details. the sleeves have the same detail as the collar and the back. has darker flecks that will go well with dark pants or cords or jeans. you will love this cardi! wish it came in more springy colors. i only gave it a lower rating for quality because the first one i tried on had a sleeve that was much tighter than the other sleeve. the replacement was fine!!</v>
      </c>
      <c r="F1468" s="8">
        <f>IFERROR(__xludf.DUMMYFUNCTION("""COMPUTED_VALUE"""),5.0)</f>
        <v>5</v>
      </c>
      <c r="G1468" s="8">
        <f>IFERROR(__xludf.DUMMYFUNCTION("""COMPUTED_VALUE"""),1.0)</f>
        <v>1</v>
      </c>
      <c r="H1468" s="8">
        <f>IFERROR(__xludf.DUMMYFUNCTION("""COMPUTED_VALUE"""),6.0)</f>
        <v>6</v>
      </c>
      <c r="I1468" s="8" t="str">
        <f>IFERROR(__xludf.DUMMYFUNCTION("""COMPUTED_VALUE"""),"General Petite")</f>
        <v>General Petite</v>
      </c>
      <c r="J1468" s="8" t="str">
        <f>IFERROR(__xludf.DUMMYFUNCTION("""COMPUTED_VALUE"""),"Tops")</f>
        <v>Tops</v>
      </c>
      <c r="K1468" s="8" t="str">
        <f>IFERROR(__xludf.DUMMYFUNCTION("""COMPUTED_VALUE"""),"Knits")</f>
        <v>Knits</v>
      </c>
    </row>
    <row r="1469">
      <c r="A1469" s="8">
        <f>IFERROR(__xludf.DUMMYFUNCTION("""COMPUTED_VALUE"""),1945.0)</f>
        <v>1945</v>
      </c>
      <c r="B1469" s="8">
        <f>IFERROR(__xludf.DUMMYFUNCTION("""COMPUTED_VALUE"""),1016.0)</f>
        <v>1016</v>
      </c>
      <c r="C1469" s="8">
        <f>IFERROR(__xludf.DUMMYFUNCTION("""COMPUTED_VALUE"""),49.0)</f>
        <v>49</v>
      </c>
      <c r="D1469" s="8" t="str">
        <f>IFERROR(__xludf.DUMMYFUNCTION("""COMPUTED_VALUE"""),"Cute")</f>
        <v>Cute</v>
      </c>
      <c r="E1469" s="8" t="str">
        <f>IFERROR(__xludf.DUMMYFUNCTION("""COMPUTED_VALUE"""),"Really cute skirt, but difficult to get on! i had to shimmy it over my hips due to the lack of a much needed zipper. i am not very curvy, so if you got them, forget it! i sent back the xs - hope the small is a little roomier because it will make a pretty "&amp;"summer skirt.")</f>
        <v>Really cute skirt, but difficult to get on! i had to shimmy it over my hips due to the lack of a much needed zipper. i am not very curvy, so if you got them, forget it! i sent back the xs - hope the small is a little roomier because it will make a pretty summer skirt.</v>
      </c>
      <c r="F1469" s="8">
        <f>IFERROR(__xludf.DUMMYFUNCTION("""COMPUTED_VALUE"""),4.0)</f>
        <v>4</v>
      </c>
      <c r="G1469" s="8">
        <f>IFERROR(__xludf.DUMMYFUNCTION("""COMPUTED_VALUE"""),1.0)</f>
        <v>1</v>
      </c>
      <c r="H1469" s="8">
        <f>IFERROR(__xludf.DUMMYFUNCTION("""COMPUTED_VALUE"""),1.0)</f>
        <v>1</v>
      </c>
      <c r="I1469" s="8" t="str">
        <f>IFERROR(__xludf.DUMMYFUNCTION("""COMPUTED_VALUE"""),"General")</f>
        <v>General</v>
      </c>
      <c r="J1469" s="8" t="str">
        <f>IFERROR(__xludf.DUMMYFUNCTION("""COMPUTED_VALUE"""),"Bottoms")</f>
        <v>Bottoms</v>
      </c>
      <c r="K1469" s="8" t="str">
        <f>IFERROR(__xludf.DUMMYFUNCTION("""COMPUTED_VALUE"""),"Skirts")</f>
        <v>Skirts</v>
      </c>
    </row>
    <row r="1470">
      <c r="A1470" s="8">
        <f>IFERROR(__xludf.DUMMYFUNCTION("""COMPUTED_VALUE"""),1947.0)</f>
        <v>1947</v>
      </c>
      <c r="B1470" s="8">
        <f>IFERROR(__xludf.DUMMYFUNCTION("""COMPUTED_VALUE"""),862.0)</f>
        <v>862</v>
      </c>
      <c r="C1470" s="8">
        <f>IFERROR(__xludf.DUMMYFUNCTION("""COMPUTED_VALUE"""),64.0)</f>
        <v>64</v>
      </c>
      <c r="D1470" s="8"/>
      <c r="E1470" s="8" t="str">
        <f>IFERROR(__xludf.DUMMYFUNCTION("""COMPUTED_VALUE"""),"This is a beautiful sweater! it is not too heavy and the variation in knit from front to back makes not the same old boring sweater. the color is gorgeous.")</f>
        <v>This is a beautiful sweater! it is not too heavy and the variation in knit from front to back makes not the same old boring sweater. the color is gorgeous.</v>
      </c>
      <c r="F1470" s="8">
        <f>IFERROR(__xludf.DUMMYFUNCTION("""COMPUTED_VALUE"""),5.0)</f>
        <v>5</v>
      </c>
      <c r="G1470" s="8">
        <f>IFERROR(__xludf.DUMMYFUNCTION("""COMPUTED_VALUE"""),1.0)</f>
        <v>1</v>
      </c>
      <c r="H1470" s="8">
        <f>IFERROR(__xludf.DUMMYFUNCTION("""COMPUTED_VALUE"""),3.0)</f>
        <v>3</v>
      </c>
      <c r="I1470" s="8" t="str">
        <f>IFERROR(__xludf.DUMMYFUNCTION("""COMPUTED_VALUE"""),"General Petite")</f>
        <v>General Petite</v>
      </c>
      <c r="J1470" s="8" t="str">
        <f>IFERROR(__xludf.DUMMYFUNCTION("""COMPUTED_VALUE"""),"Tops")</f>
        <v>Tops</v>
      </c>
      <c r="K1470" s="8" t="str">
        <f>IFERROR(__xludf.DUMMYFUNCTION("""COMPUTED_VALUE"""),"Knits")</f>
        <v>Knits</v>
      </c>
    </row>
    <row r="1471">
      <c r="A1471" s="8">
        <f>IFERROR(__xludf.DUMMYFUNCTION("""COMPUTED_VALUE"""),1949.0)</f>
        <v>1949</v>
      </c>
      <c r="B1471" s="8">
        <f>IFERROR(__xludf.DUMMYFUNCTION("""COMPUTED_VALUE"""),1092.0)</f>
        <v>1092</v>
      </c>
      <c r="C1471" s="8">
        <f>IFERROR(__xludf.DUMMYFUNCTION("""COMPUTED_VALUE"""),31.0)</f>
        <v>31</v>
      </c>
      <c r="D1471" s="8" t="str">
        <f>IFERROR(__xludf.DUMMYFUNCTION("""COMPUTED_VALUE"""),"Love")</f>
        <v>Love</v>
      </c>
      <c r="E1471" s="8" t="str">
        <f>IFERROR(__xludf.DUMMYFUNCTION("""COMPUTED_VALUE"""),"I just love this dress! the color, the quality, the design - all great! sizing can be tricky however. i sized down due to reading the other reviews, and i'm glad i did - it fits perfectly! this dress does not have a zipper on top, so if you have broad sho"&amp;"ulders it might be a little harder to squeeze into.")</f>
        <v>I just love this dress! the color, the quality, the design - all great! sizing can be tricky however. i sized down due to reading the other reviews, and i'm glad i did - it fits perfectly! this dress does not have a zipper on top, so if you have broad shoulders it might be a little harder to squeeze into.</v>
      </c>
      <c r="F1471" s="8">
        <f>IFERROR(__xludf.DUMMYFUNCTION("""COMPUTED_VALUE"""),5.0)</f>
        <v>5</v>
      </c>
      <c r="G1471" s="8">
        <f>IFERROR(__xludf.DUMMYFUNCTION("""COMPUTED_VALUE"""),1.0)</f>
        <v>1</v>
      </c>
      <c r="H1471" s="8">
        <f>IFERROR(__xludf.DUMMYFUNCTION("""COMPUTED_VALUE"""),3.0)</f>
        <v>3</v>
      </c>
      <c r="I1471" s="8" t="str">
        <f>IFERROR(__xludf.DUMMYFUNCTION("""COMPUTED_VALUE"""),"General Petite")</f>
        <v>General Petite</v>
      </c>
      <c r="J1471" s="8" t="str">
        <f>IFERROR(__xludf.DUMMYFUNCTION("""COMPUTED_VALUE"""),"Dresses")</f>
        <v>Dresses</v>
      </c>
      <c r="K1471" s="8" t="str">
        <f>IFERROR(__xludf.DUMMYFUNCTION("""COMPUTED_VALUE"""),"Dresses")</f>
        <v>Dresses</v>
      </c>
    </row>
    <row r="1472">
      <c r="A1472" s="8">
        <f>IFERROR(__xludf.DUMMYFUNCTION("""COMPUTED_VALUE"""),1950.0)</f>
        <v>1950</v>
      </c>
      <c r="B1472" s="8">
        <f>IFERROR(__xludf.DUMMYFUNCTION("""COMPUTED_VALUE"""),807.0)</f>
        <v>807</v>
      </c>
      <c r="C1472" s="8">
        <f>IFERROR(__xludf.DUMMYFUNCTION("""COMPUTED_VALUE"""),21.0)</f>
        <v>21</v>
      </c>
      <c r="D1472" s="8"/>
      <c r="E1472" s="8" t="str">
        <f>IFERROR(__xludf.DUMMYFUNCTION("""COMPUTED_VALUE"""),"I purchased this sweet little cami in all three colors (the black for some reason only available to order in store). the fabric is luxurious and smooth to the touch! i've purchased other silk shells by eloise and would say this one runs small. i'm 5'2"" 1"&amp;"25lbs 34c and and typically wear an xs at retailer. this tank was too tight in the chest and i sized up to a small which fixed the problem. i can't wait to make my jeans and bomber jackets for fall just a little more special with these babies!")</f>
        <v>I purchased this sweet little cami in all three colors (the black for some reason only available to order in store). the fabric is luxurious and smooth to the touch! i've purchased other silk shells by eloise and would say this one runs small. i'm 5'2" 125lbs 34c and and typically wear an xs at retailer. this tank was too tight in the chest and i sized up to a small which fixed the problem. i can't wait to make my jeans and bomber jackets for fall just a little more special with these babies!</v>
      </c>
      <c r="F1472" s="8">
        <f>IFERROR(__xludf.DUMMYFUNCTION("""COMPUTED_VALUE"""),5.0)</f>
        <v>5</v>
      </c>
      <c r="G1472" s="8">
        <f>IFERROR(__xludf.DUMMYFUNCTION("""COMPUTED_VALUE"""),1.0)</f>
        <v>1</v>
      </c>
      <c r="H1472" s="8">
        <f>IFERROR(__xludf.DUMMYFUNCTION("""COMPUTED_VALUE"""),2.0)</f>
        <v>2</v>
      </c>
      <c r="I1472" s="8" t="str">
        <f>IFERROR(__xludf.DUMMYFUNCTION("""COMPUTED_VALUE"""),"Initmates")</f>
        <v>Initmates</v>
      </c>
      <c r="J1472" s="8" t="str">
        <f>IFERROR(__xludf.DUMMYFUNCTION("""COMPUTED_VALUE"""),"Intimate")</f>
        <v>Intimate</v>
      </c>
      <c r="K1472" s="8" t="str">
        <f>IFERROR(__xludf.DUMMYFUNCTION("""COMPUTED_VALUE"""),"Intimates")</f>
        <v>Intimates</v>
      </c>
    </row>
    <row r="1473">
      <c r="A1473" s="8">
        <f>IFERROR(__xludf.DUMMYFUNCTION("""COMPUTED_VALUE"""),1951.0)</f>
        <v>1951</v>
      </c>
      <c r="B1473" s="8">
        <f>IFERROR(__xludf.DUMMYFUNCTION("""COMPUTED_VALUE"""),1197.0)</f>
        <v>1197</v>
      </c>
      <c r="C1473" s="8">
        <f>IFERROR(__xludf.DUMMYFUNCTION("""COMPUTED_VALUE"""),60.0)</f>
        <v>60</v>
      </c>
      <c r="D1473" s="8" t="str">
        <f>IFERROR(__xludf.DUMMYFUNCTION("""COMPUTED_VALUE"""),"Most comfortable fabric i've ever worn")</f>
        <v>Most comfortable fabric i've ever worn</v>
      </c>
      <c r="E1473" s="8" t="str">
        <f>IFERROR(__xludf.DUMMYFUNCTION("""COMPUTED_VALUE"""),"I originally bought this dress in another color back when retailer was doing the 25% off dresses promotion a few months ago. i had seen it on a store associate at my local store and absolutely loved it, but hemmed and hawed at the original price. it was a"&amp;" splurge even at 25% off, but as soon as i put it on i was in love. this dress is so soft. i wore it to see some old friends, and after every hug i received a comment about how unbelievably soft it was! the material is thick enough to have a decen")</f>
        <v>I originally bought this dress in another color back when retailer was doing the 25% off dresses promotion a few months ago. i had seen it on a store associate at my local store and absolutely loved it, but hemmed and hawed at the original price. it was a splurge even at 25% off, but as soon as i put it on i was in love. this dress is so soft. i wore it to see some old friends, and after every hug i received a comment about how unbelievably soft it was! the material is thick enough to have a decen</v>
      </c>
      <c r="F1473" s="8">
        <f>IFERROR(__xludf.DUMMYFUNCTION("""COMPUTED_VALUE"""),5.0)</f>
        <v>5</v>
      </c>
      <c r="G1473" s="8">
        <f>IFERROR(__xludf.DUMMYFUNCTION("""COMPUTED_VALUE"""),1.0)</f>
        <v>1</v>
      </c>
      <c r="H1473" s="8">
        <f>IFERROR(__xludf.DUMMYFUNCTION("""COMPUTED_VALUE"""),0.0)</f>
        <v>0</v>
      </c>
      <c r="I1473" s="8" t="str">
        <f>IFERROR(__xludf.DUMMYFUNCTION("""COMPUTED_VALUE"""),"General")</f>
        <v>General</v>
      </c>
      <c r="J1473" s="8" t="str">
        <f>IFERROR(__xludf.DUMMYFUNCTION("""COMPUTED_VALUE"""),"Dresses")</f>
        <v>Dresses</v>
      </c>
      <c r="K1473" s="8" t="str">
        <f>IFERROR(__xludf.DUMMYFUNCTION("""COMPUTED_VALUE"""),"Dresses")</f>
        <v>Dresses</v>
      </c>
    </row>
    <row r="1474">
      <c r="A1474" s="8">
        <f>IFERROR(__xludf.DUMMYFUNCTION("""COMPUTED_VALUE"""),1953.0)</f>
        <v>1953</v>
      </c>
      <c r="B1474" s="8">
        <f>IFERROR(__xludf.DUMMYFUNCTION("""COMPUTED_VALUE"""),872.0)</f>
        <v>872</v>
      </c>
      <c r="C1474" s="8">
        <f>IFERROR(__xludf.DUMMYFUNCTION("""COMPUTED_VALUE"""),60.0)</f>
        <v>60</v>
      </c>
      <c r="D1474" s="8" t="str">
        <f>IFERROR(__xludf.DUMMYFUNCTION("""COMPUTED_VALUE"""),"Love this shirt!")</f>
        <v>Love this shirt!</v>
      </c>
      <c r="E1474" s="8" t="str">
        <f>IFERROR(__xludf.DUMMYFUNCTION("""COMPUTED_VALUE"""),"This shirt is perfect for me. i have very small shoulders, but i am pear shaped. so the flare on the bottom is welcomed for my body type. i bought 2 colors. i have a similar shirt from retailer a few years ago that was multicolor which i wear all the time"&amp;", so i am thankful they have repeated this design. also i did get this on sale which is a more realistic price for the quality of this shirt.")</f>
        <v>This shirt is perfect for me. i have very small shoulders, but i am pear shaped. so the flare on the bottom is welcomed for my body type. i bought 2 colors. i have a similar shirt from retailer a few years ago that was multicolor which i wear all the time, so i am thankful they have repeated this design. also i did get this on sale which is a more realistic price for the quality of this shirt.</v>
      </c>
      <c r="F1474" s="8">
        <f>IFERROR(__xludf.DUMMYFUNCTION("""COMPUTED_VALUE"""),5.0)</f>
        <v>5</v>
      </c>
      <c r="G1474" s="8">
        <f>IFERROR(__xludf.DUMMYFUNCTION("""COMPUTED_VALUE"""),1.0)</f>
        <v>1</v>
      </c>
      <c r="H1474" s="8">
        <f>IFERROR(__xludf.DUMMYFUNCTION("""COMPUTED_VALUE"""),0.0)</f>
        <v>0</v>
      </c>
      <c r="I1474" s="8" t="str">
        <f>IFERROR(__xludf.DUMMYFUNCTION("""COMPUTED_VALUE"""),"General Petite")</f>
        <v>General Petite</v>
      </c>
      <c r="J1474" s="8" t="str">
        <f>IFERROR(__xludf.DUMMYFUNCTION("""COMPUTED_VALUE"""),"Tops")</f>
        <v>Tops</v>
      </c>
      <c r="K1474" s="8" t="str">
        <f>IFERROR(__xludf.DUMMYFUNCTION("""COMPUTED_VALUE"""),"Knits")</f>
        <v>Knits</v>
      </c>
    </row>
    <row r="1475">
      <c r="A1475" s="8">
        <f>IFERROR(__xludf.DUMMYFUNCTION("""COMPUTED_VALUE"""),1955.0)</f>
        <v>1955</v>
      </c>
      <c r="B1475" s="8">
        <f>IFERROR(__xludf.DUMMYFUNCTION("""COMPUTED_VALUE"""),1197.0)</f>
        <v>1197</v>
      </c>
      <c r="C1475" s="8">
        <f>IFERROR(__xludf.DUMMYFUNCTION("""COMPUTED_VALUE"""),55.0)</f>
        <v>55</v>
      </c>
      <c r="D1475" s="8" t="str">
        <f>IFERROR(__xludf.DUMMYFUNCTION("""COMPUTED_VALUE"""),"Flattering and versatile")</f>
        <v>Flattering and versatile</v>
      </c>
      <c r="E1475" s="8" t="str">
        <f>IFERROR(__xludf.DUMMYFUNCTION("""COMPUTED_VALUE"""),"I ordered this winth some trepidation as the dress looked a bit baggy on the model. i don't typically buy this style of dress because many times, they are unflattering on me. i'm 5'6"" and 130 lbs, in very good shape. the small was perfect for me. a size "&amp;"up would've resulted in a baggier look. the length is perfect, above my knee; not too short, but short enough so i don't look frumpy. the dress drapes beautifully, and i can wear it with tights and boots now, and capri tights and wedge sandals in")</f>
        <v>I ordered this winth some trepidation as the dress looked a bit baggy on the model. i don't typically buy this style of dress because many times, they are unflattering on me. i'm 5'6" and 130 lbs, in very good shape. the small was perfect for me. a size up would've resulted in a baggier look. the length is perfect, above my knee; not too short, but short enough so i don't look frumpy. the dress drapes beautifully, and i can wear it with tights and boots now, and capri tights and wedge sandals in</v>
      </c>
      <c r="F1475" s="8">
        <f>IFERROR(__xludf.DUMMYFUNCTION("""COMPUTED_VALUE"""),5.0)</f>
        <v>5</v>
      </c>
      <c r="G1475" s="8">
        <f>IFERROR(__xludf.DUMMYFUNCTION("""COMPUTED_VALUE"""),1.0)</f>
        <v>1</v>
      </c>
      <c r="H1475" s="8">
        <f>IFERROR(__xludf.DUMMYFUNCTION("""COMPUTED_VALUE"""),0.0)</f>
        <v>0</v>
      </c>
      <c r="I1475" s="8" t="str">
        <f>IFERROR(__xludf.DUMMYFUNCTION("""COMPUTED_VALUE"""),"General")</f>
        <v>General</v>
      </c>
      <c r="J1475" s="8" t="str">
        <f>IFERROR(__xludf.DUMMYFUNCTION("""COMPUTED_VALUE"""),"Dresses")</f>
        <v>Dresses</v>
      </c>
      <c r="K1475" s="8" t="str">
        <f>IFERROR(__xludf.DUMMYFUNCTION("""COMPUTED_VALUE"""),"Dresses")</f>
        <v>Dresses</v>
      </c>
    </row>
    <row r="1476">
      <c r="A1476" s="8">
        <f>IFERROR(__xludf.DUMMYFUNCTION("""COMPUTED_VALUE"""),1956.0)</f>
        <v>1956</v>
      </c>
      <c r="B1476" s="8">
        <f>IFERROR(__xludf.DUMMYFUNCTION("""COMPUTED_VALUE"""),1009.0)</f>
        <v>1009</v>
      </c>
      <c r="C1476" s="8">
        <f>IFERROR(__xludf.DUMMYFUNCTION("""COMPUTED_VALUE"""),23.0)</f>
        <v>23</v>
      </c>
      <c r="D1476" s="8"/>
      <c r="E1476" s="8" t="str">
        <f>IFERROR(__xludf.DUMMYFUNCTION("""COMPUTED_VALUE"""),"Ugh. this skirt is beautiful and so well made, but i sized up to a 0 from my usual 00 based on reviews, and it's too large, and now my size is all sold out! if it were the right size it would fit beautifully! i'm pretty much a stick, (5'5, 105lbs) and it "&amp;"does poof out at the hips, making me look a little curvier, which might be an issue for some. but the quality is amazing, and this piece will spruce up most outfits !")</f>
        <v>Ugh. this skirt is beautiful and so well made, but i sized up to a 0 from my usual 00 based on reviews, and it's too large, and now my size is all sold out! if it were the right size it would fit beautifully! i'm pretty much a stick, (5'5, 105lbs) and it does poof out at the hips, making me look a little curvier, which might be an issue for some. but the quality is amazing, and this piece will spruce up most outfits !</v>
      </c>
      <c r="F1476" s="8">
        <f>IFERROR(__xludf.DUMMYFUNCTION("""COMPUTED_VALUE"""),4.0)</f>
        <v>4</v>
      </c>
      <c r="G1476" s="8">
        <f>IFERROR(__xludf.DUMMYFUNCTION("""COMPUTED_VALUE"""),1.0)</f>
        <v>1</v>
      </c>
      <c r="H1476" s="8">
        <f>IFERROR(__xludf.DUMMYFUNCTION("""COMPUTED_VALUE"""),0.0)</f>
        <v>0</v>
      </c>
      <c r="I1476" s="8" t="str">
        <f>IFERROR(__xludf.DUMMYFUNCTION("""COMPUTED_VALUE"""),"General Petite")</f>
        <v>General Petite</v>
      </c>
      <c r="J1476" s="8" t="str">
        <f>IFERROR(__xludf.DUMMYFUNCTION("""COMPUTED_VALUE"""),"Bottoms")</f>
        <v>Bottoms</v>
      </c>
      <c r="K1476" s="8" t="str">
        <f>IFERROR(__xludf.DUMMYFUNCTION("""COMPUTED_VALUE"""),"Skirts")</f>
        <v>Skirts</v>
      </c>
    </row>
    <row r="1477">
      <c r="A1477" s="8">
        <f>IFERROR(__xludf.DUMMYFUNCTION("""COMPUTED_VALUE"""),1957.0)</f>
        <v>1957</v>
      </c>
      <c r="B1477" s="8">
        <f>IFERROR(__xludf.DUMMYFUNCTION("""COMPUTED_VALUE"""),793.0)</f>
        <v>793</v>
      </c>
      <c r="C1477" s="8">
        <f>IFERROR(__xludf.DUMMYFUNCTION("""COMPUTED_VALUE"""),66.0)</f>
        <v>66</v>
      </c>
      <c r="D1477" s="8" t="str">
        <f>IFERROR(__xludf.DUMMYFUNCTION("""COMPUTED_VALUE"""),"Wide and long")</f>
        <v>Wide and long</v>
      </c>
      <c r="E1477" s="8" t="str">
        <f>IFERROR(__xludf.DUMMYFUNCTION("""COMPUTED_VALUE"""),"Been on the hunt for jammie's so gave these a shot. ordered my normal size large. fit well in the waist but i don't like the super wide legs. and they're too long. pretty color and pattern, however, the fabric isn't as soft or cozy as i hoped. i'm retired"&amp;" and wanted pajamas to lounge in all day. these missed the mark for me.")</f>
        <v>Been on the hunt for jammie's so gave these a shot. ordered my normal size large. fit well in the waist but i don't like the super wide legs. and they're too long. pretty color and pattern, however, the fabric isn't as soft or cozy as i hoped. i'm retired and wanted pajamas to lounge in all day. these missed the mark for me.</v>
      </c>
      <c r="F1477" s="8">
        <f>IFERROR(__xludf.DUMMYFUNCTION("""COMPUTED_VALUE"""),4.0)</f>
        <v>4</v>
      </c>
      <c r="G1477" s="8">
        <f>IFERROR(__xludf.DUMMYFUNCTION("""COMPUTED_VALUE"""),1.0)</f>
        <v>1</v>
      </c>
      <c r="H1477" s="8">
        <f>IFERROR(__xludf.DUMMYFUNCTION("""COMPUTED_VALUE"""),0.0)</f>
        <v>0</v>
      </c>
      <c r="I1477" s="8" t="str">
        <f>IFERROR(__xludf.DUMMYFUNCTION("""COMPUTED_VALUE"""),"Initmates")</f>
        <v>Initmates</v>
      </c>
      <c r="J1477" s="8" t="str">
        <f>IFERROR(__xludf.DUMMYFUNCTION("""COMPUTED_VALUE"""),"Intimate")</f>
        <v>Intimate</v>
      </c>
      <c r="K1477" s="8" t="str">
        <f>IFERROR(__xludf.DUMMYFUNCTION("""COMPUTED_VALUE"""),"Sleep")</f>
        <v>Sleep</v>
      </c>
    </row>
    <row r="1478">
      <c r="A1478" s="8">
        <f>IFERROR(__xludf.DUMMYFUNCTION("""COMPUTED_VALUE"""),1959.0)</f>
        <v>1959</v>
      </c>
      <c r="B1478" s="8">
        <f>IFERROR(__xludf.DUMMYFUNCTION("""COMPUTED_VALUE"""),872.0)</f>
        <v>872</v>
      </c>
      <c r="C1478" s="8">
        <f>IFERROR(__xludf.DUMMYFUNCTION("""COMPUTED_VALUE"""),28.0)</f>
        <v>28</v>
      </c>
      <c r="D1478" s="8" t="str">
        <f>IFERROR(__xludf.DUMMYFUNCTION("""COMPUTED_VALUE"""),"Great t-shirt for everyday use")</f>
        <v>Great t-shirt for everyday use</v>
      </c>
      <c r="E1478" s="8" t="str">
        <f>IFERROR(__xludf.DUMMYFUNCTION("""COMPUTED_VALUE"""),"I'm: 34a, 125 lbs, 5'8""
purchased: small
i was going back and forth between xs and s. i decided on small because it fit better in my arms, didn't feel as tight. the xs fit well in the torso area and didn't have as much fabric as the small. the small als"&amp;"o had a longer shirt tail. 
if you don't have as much mass in the arms, get the xs. if you have some muscle or extra mass in the arms, it's better to go with the small.")</f>
        <v>I'm: 34a, 125 lbs, 5'8"
purchased: small
i was going back and forth between xs and s. i decided on small because it fit better in my arms, didn't feel as tight. the xs fit well in the torso area and didn't have as much fabric as the small. the small also had a longer shirt tail. 
if you don't have as much mass in the arms, get the xs. if you have some muscle or extra mass in the arms, it's better to go with the small.</v>
      </c>
      <c r="F1478" s="8">
        <f>IFERROR(__xludf.DUMMYFUNCTION("""COMPUTED_VALUE"""),5.0)</f>
        <v>5</v>
      </c>
      <c r="G1478" s="8">
        <f>IFERROR(__xludf.DUMMYFUNCTION("""COMPUTED_VALUE"""),1.0)</f>
        <v>1</v>
      </c>
      <c r="H1478" s="8">
        <f>IFERROR(__xludf.DUMMYFUNCTION("""COMPUTED_VALUE"""),3.0)</f>
        <v>3</v>
      </c>
      <c r="I1478" s="8" t="str">
        <f>IFERROR(__xludf.DUMMYFUNCTION("""COMPUTED_VALUE"""),"General Petite")</f>
        <v>General Petite</v>
      </c>
      <c r="J1478" s="8" t="str">
        <f>IFERROR(__xludf.DUMMYFUNCTION("""COMPUTED_VALUE"""),"Tops")</f>
        <v>Tops</v>
      </c>
      <c r="K1478" s="8" t="str">
        <f>IFERROR(__xludf.DUMMYFUNCTION("""COMPUTED_VALUE"""),"Knits")</f>
        <v>Knits</v>
      </c>
    </row>
    <row r="1479">
      <c r="A1479" s="8">
        <f>IFERROR(__xludf.DUMMYFUNCTION("""COMPUTED_VALUE"""),1960.0)</f>
        <v>1960</v>
      </c>
      <c r="B1479" s="8">
        <f>IFERROR(__xludf.DUMMYFUNCTION("""COMPUTED_VALUE"""),1016.0)</f>
        <v>1016</v>
      </c>
      <c r="C1479" s="8">
        <f>IFERROR(__xludf.DUMMYFUNCTION("""COMPUTED_VALUE"""),61.0)</f>
        <v>61</v>
      </c>
      <c r="D1479" s="8" t="str">
        <f>IFERROR(__xludf.DUMMYFUNCTION("""COMPUTED_VALUE"""),"So bizarre!")</f>
        <v>So bizarre!</v>
      </c>
      <c r="E1479" s="8" t="str">
        <f>IFERROR(__xludf.DUMMYFUNCTION("""COMPUTED_VALUE"""),"I bought this skirt a month or so ago and only wore it for the first time yesterday. i thought the design was fluid, summer appropriate, and easy like sunday morning. i enjoyed wearing it so much that i went on to the retailer site today to order it in an"&amp;"other color. and lo and behold i saw all the reviews on the sizing/fit. i totally respect other reviewers, so i questioned why that had not been my experience when i wore it yesterday, so much so that i went and put it on again, sans issues.i am n")</f>
        <v>I bought this skirt a month or so ago and only wore it for the first time yesterday. i thought the design was fluid, summer appropriate, and easy like sunday morning. i enjoyed wearing it so much that i went on to the retailer site today to order it in another color. and lo and behold i saw all the reviews on the sizing/fit. i totally respect other reviewers, so i questioned why that had not been my experience when i wore it yesterday, so much so that i went and put it on again, sans issues.i am n</v>
      </c>
      <c r="F1479" s="8">
        <f>IFERROR(__xludf.DUMMYFUNCTION("""COMPUTED_VALUE"""),5.0)</f>
        <v>5</v>
      </c>
      <c r="G1479" s="8">
        <f>IFERROR(__xludf.DUMMYFUNCTION("""COMPUTED_VALUE"""),1.0)</f>
        <v>1</v>
      </c>
      <c r="H1479" s="8">
        <f>IFERROR(__xludf.DUMMYFUNCTION("""COMPUTED_VALUE"""),3.0)</f>
        <v>3</v>
      </c>
      <c r="I1479" s="8" t="str">
        <f>IFERROR(__xludf.DUMMYFUNCTION("""COMPUTED_VALUE"""),"General")</f>
        <v>General</v>
      </c>
      <c r="J1479" s="8" t="str">
        <f>IFERROR(__xludf.DUMMYFUNCTION("""COMPUTED_VALUE"""),"Bottoms")</f>
        <v>Bottoms</v>
      </c>
      <c r="K1479" s="8" t="str">
        <f>IFERROR(__xludf.DUMMYFUNCTION("""COMPUTED_VALUE"""),"Skirts")</f>
        <v>Skirts</v>
      </c>
    </row>
    <row r="1480">
      <c r="A1480" s="8">
        <f>IFERROR(__xludf.DUMMYFUNCTION("""COMPUTED_VALUE"""),1962.0)</f>
        <v>1962</v>
      </c>
      <c r="B1480" s="8">
        <f>IFERROR(__xludf.DUMMYFUNCTION("""COMPUTED_VALUE"""),1092.0)</f>
        <v>1092</v>
      </c>
      <c r="C1480" s="8">
        <f>IFERROR(__xludf.DUMMYFUNCTION("""COMPUTED_VALUE"""),44.0)</f>
        <v>44</v>
      </c>
      <c r="D1480" s="8" t="str">
        <f>IFERROR(__xludf.DUMMYFUNCTION("""COMPUTED_VALUE"""),"Another huge dress...")</f>
        <v>Another huge dress...</v>
      </c>
      <c r="E1480" s="8" t="str">
        <f>IFERROR(__xludf.DUMMYFUNCTION("""COMPUTED_VALUE"""),"Okay, i get the idea of the loose swing dresses but i have a couple that do it well without looking like a moo-moo. i ordered my ""typical"" pxs. the length was good and the color beautiful. i like the details of the dress but it was huge and not in a fla"&amp;"ttering swingy drapey way. i was undecided if i should try the pxxs as the pxs was so large that i don't know if the pxxs would fix this problem for me. i will still be thinking about it.")</f>
        <v>Okay, i get the idea of the loose swing dresses but i have a couple that do it well without looking like a moo-moo. i ordered my "typical" pxs. the length was good and the color beautiful. i like the details of the dress but it was huge and not in a flattering swingy drapey way. i was undecided if i should try the pxxs as the pxs was so large that i don't know if the pxxs would fix this problem for me. i will still be thinking about it.</v>
      </c>
      <c r="F1480" s="8">
        <f>IFERROR(__xludf.DUMMYFUNCTION("""COMPUTED_VALUE"""),4.0)</f>
        <v>4</v>
      </c>
      <c r="G1480" s="8">
        <f>IFERROR(__xludf.DUMMYFUNCTION("""COMPUTED_VALUE"""),1.0)</f>
        <v>1</v>
      </c>
      <c r="H1480" s="8">
        <f>IFERROR(__xludf.DUMMYFUNCTION("""COMPUTED_VALUE"""),3.0)</f>
        <v>3</v>
      </c>
      <c r="I1480" s="8" t="str">
        <f>IFERROR(__xludf.DUMMYFUNCTION("""COMPUTED_VALUE"""),"General Petite")</f>
        <v>General Petite</v>
      </c>
      <c r="J1480" s="8" t="str">
        <f>IFERROR(__xludf.DUMMYFUNCTION("""COMPUTED_VALUE"""),"Dresses")</f>
        <v>Dresses</v>
      </c>
      <c r="K1480" s="8" t="str">
        <f>IFERROR(__xludf.DUMMYFUNCTION("""COMPUTED_VALUE"""),"Dresses")</f>
        <v>Dresses</v>
      </c>
    </row>
    <row r="1481">
      <c r="A1481" s="8">
        <f>IFERROR(__xludf.DUMMYFUNCTION("""COMPUTED_VALUE"""),1963.0)</f>
        <v>1963</v>
      </c>
      <c r="B1481" s="8">
        <f>IFERROR(__xludf.DUMMYFUNCTION("""COMPUTED_VALUE"""),1083.0)</f>
        <v>1083</v>
      </c>
      <c r="C1481" s="8">
        <f>IFERROR(__xludf.DUMMYFUNCTION("""COMPUTED_VALUE"""),31.0)</f>
        <v>31</v>
      </c>
      <c r="D1481" s="8" t="str">
        <f>IFERROR(__xludf.DUMMYFUNCTION("""COMPUTED_VALUE"""),"An absolute hit - if you buy the right print")</f>
        <v>An absolute hit - if you buy the right print</v>
      </c>
      <c r="E1481" s="8" t="str">
        <f>IFERROR(__xludf.DUMMYFUNCTION("""COMPUTED_VALUE"""),"Dear creatures always has sizing issues. they run the gamut of bust-problems. i'd been salivating for this dress for a long time so i really did my homework. at 5'7"", 130-135 lbs, 34c, 28"" waist - typically a 4 in dresses... i bought the small. each dre"&amp;"ss is cut from the same fabric, leaving each dress's color swatch placement to be randomly determined. as a result, i've seen some dresses have only pink, purple, and green. i lucked out and got every color represented. so the dress you see may no")</f>
        <v>Dear creatures always has sizing issues. they run the gamut of bust-problems. i'd been salivating for this dress for a long time so i really did my homework. at 5'7", 130-135 lbs, 34c, 28" waist - typically a 4 in dresses... i bought the small. each dress is cut from the same fabric, leaving each dress's color swatch placement to be randomly determined. as a result, i've seen some dresses have only pink, purple, and green. i lucked out and got every color represented. so the dress you see may no</v>
      </c>
      <c r="F1481" s="8">
        <f>IFERROR(__xludf.DUMMYFUNCTION("""COMPUTED_VALUE"""),4.0)</f>
        <v>4</v>
      </c>
      <c r="G1481" s="8">
        <f>IFERROR(__xludf.DUMMYFUNCTION("""COMPUTED_VALUE"""),1.0)</f>
        <v>1</v>
      </c>
      <c r="H1481" s="8">
        <f>IFERROR(__xludf.DUMMYFUNCTION("""COMPUTED_VALUE"""),2.0)</f>
        <v>2</v>
      </c>
      <c r="I1481" s="8" t="str">
        <f>IFERROR(__xludf.DUMMYFUNCTION("""COMPUTED_VALUE"""),"General Petite")</f>
        <v>General Petite</v>
      </c>
      <c r="J1481" s="8" t="str">
        <f>IFERROR(__xludf.DUMMYFUNCTION("""COMPUTED_VALUE"""),"Dresses")</f>
        <v>Dresses</v>
      </c>
      <c r="K1481" s="8" t="str">
        <f>IFERROR(__xludf.DUMMYFUNCTION("""COMPUTED_VALUE"""),"Dresses")</f>
        <v>Dresses</v>
      </c>
    </row>
    <row r="1482">
      <c r="A1482" s="8">
        <f>IFERROR(__xludf.DUMMYFUNCTION("""COMPUTED_VALUE"""),1964.0)</f>
        <v>1964</v>
      </c>
      <c r="B1482" s="8">
        <f>IFERROR(__xludf.DUMMYFUNCTION("""COMPUTED_VALUE"""),1009.0)</f>
        <v>1009</v>
      </c>
      <c r="C1482" s="8">
        <f>IFERROR(__xludf.DUMMYFUNCTION("""COMPUTED_VALUE"""),31.0)</f>
        <v>31</v>
      </c>
      <c r="D1482" s="8" t="str">
        <f>IFERROR(__xludf.DUMMYFUNCTION("""COMPUTED_VALUE"""),"Girls with hips - size up!")</f>
        <v>Girls with hips - size up!</v>
      </c>
      <c r="E1482" s="8" t="str">
        <f>IFERROR(__xludf.DUMMYFUNCTION("""COMPUTED_VALUE"""),"Fell in love with this the moment it arrived in stores. whimsical but work--appropriate. i'm typically a 4 in dresses. i would say this skirt runs tts; however, the front pleats will create a pouch-y stomach if you have a small waist and a lucious anythin"&amp;"g-below-your-waist. size up one size to avoid this. the waist size will be loose, but it will allow the pleats to lay flat. absolutely lovely with a mock neck sleeveless top. also great with solid white, black, or printed blouses. not a true pen")</f>
        <v>Fell in love with this the moment it arrived in stores. whimsical but work--appropriate. i'm typically a 4 in dresses. i would say this skirt runs tts; however, the front pleats will create a pouch-y stomach if you have a small waist and a lucious anything-below-your-waist. size up one size to avoid this. the waist size will be loose, but it will allow the pleats to lay flat. absolutely lovely with a mock neck sleeveless top. also great with solid white, black, or printed blouses. not a true pen</v>
      </c>
      <c r="F1482" s="8">
        <f>IFERROR(__xludf.DUMMYFUNCTION("""COMPUTED_VALUE"""),4.0)</f>
        <v>4</v>
      </c>
      <c r="G1482" s="8">
        <f>IFERROR(__xludf.DUMMYFUNCTION("""COMPUTED_VALUE"""),1.0)</f>
        <v>1</v>
      </c>
      <c r="H1482" s="8">
        <f>IFERROR(__xludf.DUMMYFUNCTION("""COMPUTED_VALUE"""),4.0)</f>
        <v>4</v>
      </c>
      <c r="I1482" s="8" t="str">
        <f>IFERROR(__xludf.DUMMYFUNCTION("""COMPUTED_VALUE"""),"General Petite")</f>
        <v>General Petite</v>
      </c>
      <c r="J1482" s="8" t="str">
        <f>IFERROR(__xludf.DUMMYFUNCTION("""COMPUTED_VALUE"""),"Bottoms")</f>
        <v>Bottoms</v>
      </c>
      <c r="K1482" s="8" t="str">
        <f>IFERROR(__xludf.DUMMYFUNCTION("""COMPUTED_VALUE"""),"Skirts")</f>
        <v>Skirts</v>
      </c>
    </row>
    <row r="1483">
      <c r="A1483" s="8">
        <f>IFERROR(__xludf.DUMMYFUNCTION("""COMPUTED_VALUE"""),1966.0)</f>
        <v>1966</v>
      </c>
      <c r="B1483" s="8">
        <f>IFERROR(__xludf.DUMMYFUNCTION("""COMPUTED_VALUE"""),1009.0)</f>
        <v>1009</v>
      </c>
      <c r="C1483" s="8">
        <f>IFERROR(__xludf.DUMMYFUNCTION("""COMPUTED_VALUE"""),34.0)</f>
        <v>34</v>
      </c>
      <c r="D1483" s="8" t="str">
        <f>IFERROR(__xludf.DUMMYFUNCTION("""COMPUTED_VALUE"""),"Beautiful!")</f>
        <v>Beautiful!</v>
      </c>
      <c r="E1483" s="8" t="str">
        <f>IFERROR(__xludf.DUMMYFUNCTION("""COMPUTED_VALUE"""),"This skirt is beautiful...the color is definitely more a greeny-gold then a true yellow gold...nice quality fabric, has some stretch, big pockets with cute lining, buttons are adorable, perfect knee length, sits higher on the waist. because it's not lined"&amp;" and the pockets are big, the pocket line is visible on my thigh area, so i am going up a size just so i don't see that...if you have less curves, your regular size should be perfect. it has so much character, but it!!")</f>
        <v>This skirt is beautiful...the color is definitely more a greeny-gold then a true yellow gold...nice quality fabric, has some stretch, big pockets with cute lining, buttons are adorable, perfect knee length, sits higher on the waist. because it's not lined and the pockets are big, the pocket line is visible on my thigh area, so i am going up a size just so i don't see that...if you have less curves, your regular size should be perfect. it has so much character, but it!!</v>
      </c>
      <c r="F1483" s="8">
        <f>IFERROR(__xludf.DUMMYFUNCTION("""COMPUTED_VALUE"""),5.0)</f>
        <v>5</v>
      </c>
      <c r="G1483" s="8">
        <f>IFERROR(__xludf.DUMMYFUNCTION("""COMPUTED_VALUE"""),1.0)</f>
        <v>1</v>
      </c>
      <c r="H1483" s="8">
        <f>IFERROR(__xludf.DUMMYFUNCTION("""COMPUTED_VALUE"""),17.0)</f>
        <v>17</v>
      </c>
      <c r="I1483" s="8" t="str">
        <f>IFERROR(__xludf.DUMMYFUNCTION("""COMPUTED_VALUE"""),"General Petite")</f>
        <v>General Petite</v>
      </c>
      <c r="J1483" s="8" t="str">
        <f>IFERROR(__xludf.DUMMYFUNCTION("""COMPUTED_VALUE"""),"Bottoms")</f>
        <v>Bottoms</v>
      </c>
      <c r="K1483" s="8" t="str">
        <f>IFERROR(__xludf.DUMMYFUNCTION("""COMPUTED_VALUE"""),"Skirts")</f>
        <v>Skirts</v>
      </c>
    </row>
    <row r="1484">
      <c r="A1484" s="8">
        <f>IFERROR(__xludf.DUMMYFUNCTION("""COMPUTED_VALUE"""),1967.0)</f>
        <v>1967</v>
      </c>
      <c r="B1484" s="8">
        <f>IFERROR(__xludf.DUMMYFUNCTION("""COMPUTED_VALUE"""),1009.0)</f>
        <v>1009</v>
      </c>
      <c r="C1484" s="8">
        <f>IFERROR(__xludf.DUMMYFUNCTION("""COMPUTED_VALUE"""),57.0)</f>
        <v>57</v>
      </c>
      <c r="D1484" s="8" t="str">
        <f>IFERROR(__xludf.DUMMYFUNCTION("""COMPUTED_VALUE"""),"Mustard")</f>
        <v>Mustard</v>
      </c>
      <c r="E1484" s="8" t="str">
        <f>IFERROR(__xludf.DUMMYFUNCTION("""COMPUTED_VALUE"""),"1. i'm 5'5"" tall, 145 lbs, and 38-32-40. i'm normally a size 10, but i took a 12 in this skirt.
2. it's comfortable and has pockets that you can really put your hands in.
3. sits at high waist. hem hits below the knee.
4. i didn't like the buttons. th"&amp;"ey are very round and stick out quite far. they are also mismatched. i would have liked them better if they were flatter.
5. i also didn't like the mustard color. it's unflattering to me.")</f>
        <v>1. i'm 5'5" tall, 145 lbs, and 38-32-40. i'm normally a size 10, but i took a 12 in this skirt.
2. it's comfortable and has pockets that you can really put your hands in.
3. sits at high waist. hem hits below the knee.
4. i didn't like the buttons. they are very round and stick out quite far. they are also mismatched. i would have liked them better if they were flatter.
5. i also didn't like the mustard color. it's unflattering to me.</v>
      </c>
      <c r="F1484" s="8">
        <f>IFERROR(__xludf.DUMMYFUNCTION("""COMPUTED_VALUE"""),4.0)</f>
        <v>4</v>
      </c>
      <c r="G1484" s="8">
        <f>IFERROR(__xludf.DUMMYFUNCTION("""COMPUTED_VALUE"""),1.0)</f>
        <v>1</v>
      </c>
      <c r="H1484" s="8">
        <f>IFERROR(__xludf.DUMMYFUNCTION("""COMPUTED_VALUE"""),8.0)</f>
        <v>8</v>
      </c>
      <c r="I1484" s="8" t="str">
        <f>IFERROR(__xludf.DUMMYFUNCTION("""COMPUTED_VALUE"""),"General Petite")</f>
        <v>General Petite</v>
      </c>
      <c r="J1484" s="8" t="str">
        <f>IFERROR(__xludf.DUMMYFUNCTION("""COMPUTED_VALUE"""),"Bottoms")</f>
        <v>Bottoms</v>
      </c>
      <c r="K1484" s="8" t="str">
        <f>IFERROR(__xludf.DUMMYFUNCTION("""COMPUTED_VALUE"""),"Skirts")</f>
        <v>Skirts</v>
      </c>
    </row>
    <row r="1485">
      <c r="A1485" s="8">
        <f>IFERROR(__xludf.DUMMYFUNCTION("""COMPUTED_VALUE"""),1968.0)</f>
        <v>1968</v>
      </c>
      <c r="B1485" s="8">
        <f>IFERROR(__xludf.DUMMYFUNCTION("""COMPUTED_VALUE"""),862.0)</f>
        <v>862</v>
      </c>
      <c r="C1485" s="8">
        <f>IFERROR(__xludf.DUMMYFUNCTION("""COMPUTED_VALUE"""),63.0)</f>
        <v>63</v>
      </c>
      <c r="D1485" s="8"/>
      <c r="E1485" s="8" t="str">
        <f>IFERROR(__xludf.DUMMYFUNCTION("""COMPUTED_VALUE"""),"This is a very classy sweater/jacket. it is a beautiful color. i had not even noticed it until it was on sale, and then read all the favorable reviews. it can be dressy or casual as seen in this photo! so glad i got it!")</f>
        <v>This is a very classy sweater/jacket. it is a beautiful color. i had not even noticed it until it was on sale, and then read all the favorable reviews. it can be dressy or casual as seen in this photo! so glad i got it!</v>
      </c>
      <c r="F1485" s="8">
        <f>IFERROR(__xludf.DUMMYFUNCTION("""COMPUTED_VALUE"""),5.0)</f>
        <v>5</v>
      </c>
      <c r="G1485" s="8">
        <f>IFERROR(__xludf.DUMMYFUNCTION("""COMPUTED_VALUE"""),1.0)</f>
        <v>1</v>
      </c>
      <c r="H1485" s="8">
        <f>IFERROR(__xludf.DUMMYFUNCTION("""COMPUTED_VALUE"""),0.0)</f>
        <v>0</v>
      </c>
      <c r="I1485" s="8" t="str">
        <f>IFERROR(__xludf.DUMMYFUNCTION("""COMPUTED_VALUE"""),"General Petite")</f>
        <v>General Petite</v>
      </c>
      <c r="J1485" s="8" t="str">
        <f>IFERROR(__xludf.DUMMYFUNCTION("""COMPUTED_VALUE"""),"Tops")</f>
        <v>Tops</v>
      </c>
      <c r="K1485" s="8" t="str">
        <f>IFERROR(__xludf.DUMMYFUNCTION("""COMPUTED_VALUE"""),"Knits")</f>
        <v>Knits</v>
      </c>
    </row>
    <row r="1486">
      <c r="A1486" s="8">
        <f>IFERROR(__xludf.DUMMYFUNCTION("""COMPUTED_VALUE"""),1969.0)</f>
        <v>1969</v>
      </c>
      <c r="B1486" s="8">
        <f>IFERROR(__xludf.DUMMYFUNCTION("""COMPUTED_VALUE"""),872.0)</f>
        <v>872</v>
      </c>
      <c r="C1486" s="8">
        <f>IFERROR(__xludf.DUMMYFUNCTION("""COMPUTED_VALUE"""),41.0)</f>
        <v>41</v>
      </c>
      <c r="D1486" s="8" t="str">
        <f>IFERROR(__xludf.DUMMYFUNCTION("""COMPUTED_VALUE"""),"Cute basic")</f>
        <v>Cute basic</v>
      </c>
      <c r="E1486" s="8" t="str">
        <f>IFERROR(__xludf.DUMMYFUNCTION("""COMPUTED_VALUE"""),"This is a great basic tee (purchased in navy) but fits much larger than it appears on the model. the arms/chest area fit fine but it really billows out below. the front is shorter and the back is longer than i would've expected. i thought this would be gr"&amp;"eat for summer, but it's really too long in the back to wear with shorts. it does, however, look great with skinny jeans.")</f>
        <v>This is a great basic tee (purchased in navy) but fits much larger than it appears on the model. the arms/chest area fit fine but it really billows out below. the front is shorter and the back is longer than i would've expected. i thought this would be great for summer, but it's really too long in the back to wear with shorts. it does, however, look great with skinny jeans.</v>
      </c>
      <c r="F1486" s="8">
        <f>IFERROR(__xludf.DUMMYFUNCTION("""COMPUTED_VALUE"""),4.0)</f>
        <v>4</v>
      </c>
      <c r="G1486" s="8">
        <f>IFERROR(__xludf.DUMMYFUNCTION("""COMPUTED_VALUE"""),1.0)</f>
        <v>1</v>
      </c>
      <c r="H1486" s="8">
        <f>IFERROR(__xludf.DUMMYFUNCTION("""COMPUTED_VALUE"""),0.0)</f>
        <v>0</v>
      </c>
      <c r="I1486" s="8" t="str">
        <f>IFERROR(__xludf.DUMMYFUNCTION("""COMPUTED_VALUE"""),"General Petite")</f>
        <v>General Petite</v>
      </c>
      <c r="J1486" s="8" t="str">
        <f>IFERROR(__xludf.DUMMYFUNCTION("""COMPUTED_VALUE"""),"Tops")</f>
        <v>Tops</v>
      </c>
      <c r="K1486" s="8" t="str">
        <f>IFERROR(__xludf.DUMMYFUNCTION("""COMPUTED_VALUE"""),"Knits")</f>
        <v>Knits</v>
      </c>
    </row>
    <row r="1487">
      <c r="A1487" s="8">
        <f>IFERROR(__xludf.DUMMYFUNCTION("""COMPUTED_VALUE"""),1970.0)</f>
        <v>1970</v>
      </c>
      <c r="B1487" s="8">
        <f>IFERROR(__xludf.DUMMYFUNCTION("""COMPUTED_VALUE"""),862.0)</f>
        <v>862</v>
      </c>
      <c r="C1487" s="8">
        <f>IFERROR(__xludf.DUMMYFUNCTION("""COMPUTED_VALUE"""),31.0)</f>
        <v>31</v>
      </c>
      <c r="D1487" s="8" t="str">
        <f>IFERROR(__xludf.DUMMYFUNCTION("""COMPUTED_VALUE"""),"Gorgeous sweater")</f>
        <v>Gorgeous sweater</v>
      </c>
      <c r="E1487" s="8" t="str">
        <f>IFERROR(__xludf.DUMMYFUNCTION("""COMPUTED_VALUE"""),"I absolutely love this gorgeous cardigan. i will wear it for years to come!!")</f>
        <v>I absolutely love this gorgeous cardigan. i will wear it for years to come!!</v>
      </c>
      <c r="F1487" s="8">
        <f>IFERROR(__xludf.DUMMYFUNCTION("""COMPUTED_VALUE"""),5.0)</f>
        <v>5</v>
      </c>
      <c r="G1487" s="8">
        <f>IFERROR(__xludf.DUMMYFUNCTION("""COMPUTED_VALUE"""),1.0)</f>
        <v>1</v>
      </c>
      <c r="H1487" s="8">
        <f>IFERROR(__xludf.DUMMYFUNCTION("""COMPUTED_VALUE"""),0.0)</f>
        <v>0</v>
      </c>
      <c r="I1487" s="8" t="str">
        <f>IFERROR(__xludf.DUMMYFUNCTION("""COMPUTED_VALUE"""),"General Petite")</f>
        <v>General Petite</v>
      </c>
      <c r="J1487" s="8" t="str">
        <f>IFERROR(__xludf.DUMMYFUNCTION("""COMPUTED_VALUE"""),"Tops")</f>
        <v>Tops</v>
      </c>
      <c r="K1487" s="8" t="str">
        <f>IFERROR(__xludf.DUMMYFUNCTION("""COMPUTED_VALUE"""),"Knits")</f>
        <v>Knits</v>
      </c>
    </row>
    <row r="1488">
      <c r="A1488" s="8">
        <f>IFERROR(__xludf.DUMMYFUNCTION("""COMPUTED_VALUE"""),1971.0)</f>
        <v>1971</v>
      </c>
      <c r="B1488" s="8">
        <f>IFERROR(__xludf.DUMMYFUNCTION("""COMPUTED_VALUE"""),1016.0)</f>
        <v>1016</v>
      </c>
      <c r="C1488" s="8">
        <f>IFERROR(__xludf.DUMMYFUNCTION("""COMPUTED_VALUE"""),43.0)</f>
        <v>43</v>
      </c>
      <c r="D1488" s="8" t="str">
        <f>IFERROR(__xludf.DUMMYFUNCTION("""COMPUTED_VALUE"""),"Beautiful skirt!")</f>
        <v>Beautiful skirt!</v>
      </c>
      <c r="E1488" s="8" t="str">
        <f>IFERROR(__xludf.DUMMYFUNCTION("""COMPUTED_VALUE"""),"I tried this skirt in my usual size s, and although it fit, it was too short for my liking and made my hips look wide b/c of the way it billowed out. the size m looked much better- hit me right below the knee in the front. (i'm 5'2"") my skirt is much mor"&amp;"e high-low than the picture. also, it sits much lower on my waist, which i like. i bought the blue, and with the color variations, it is gorgeous- reminds me of a chambray or denim coloring. i rolled it up to take on vacation, and it traveled rea")</f>
        <v>I tried this skirt in my usual size s, and although it fit, it was too short for my liking and made my hips look wide b/c of the way it billowed out. the size m looked much better- hit me right below the knee in the front. (i'm 5'2") my skirt is much more high-low than the picture. also, it sits much lower on my waist, which i like. i bought the blue, and with the color variations, it is gorgeous- reminds me of a chambray or denim coloring. i rolled it up to take on vacation, and it traveled rea</v>
      </c>
      <c r="F1488" s="8">
        <f>IFERROR(__xludf.DUMMYFUNCTION("""COMPUTED_VALUE"""),4.0)</f>
        <v>4</v>
      </c>
      <c r="G1488" s="8">
        <f>IFERROR(__xludf.DUMMYFUNCTION("""COMPUTED_VALUE"""),1.0)</f>
        <v>1</v>
      </c>
      <c r="H1488" s="8">
        <f>IFERROR(__xludf.DUMMYFUNCTION("""COMPUTED_VALUE"""),1.0)</f>
        <v>1</v>
      </c>
      <c r="I1488" s="8" t="str">
        <f>IFERROR(__xludf.DUMMYFUNCTION("""COMPUTED_VALUE"""),"General")</f>
        <v>General</v>
      </c>
      <c r="J1488" s="8" t="str">
        <f>IFERROR(__xludf.DUMMYFUNCTION("""COMPUTED_VALUE"""),"Bottoms")</f>
        <v>Bottoms</v>
      </c>
      <c r="K1488" s="8" t="str">
        <f>IFERROR(__xludf.DUMMYFUNCTION("""COMPUTED_VALUE"""),"Skirts")</f>
        <v>Skirts</v>
      </c>
    </row>
    <row r="1489">
      <c r="A1489" s="8">
        <f>IFERROR(__xludf.DUMMYFUNCTION("""COMPUTED_VALUE"""),1972.0)</f>
        <v>1972</v>
      </c>
      <c r="B1489" s="8">
        <f>IFERROR(__xludf.DUMMYFUNCTION("""COMPUTED_VALUE"""),1016.0)</f>
        <v>1016</v>
      </c>
      <c r="C1489" s="8">
        <f>IFERROR(__xludf.DUMMYFUNCTION("""COMPUTED_VALUE"""),32.0)</f>
        <v>32</v>
      </c>
      <c r="D1489" s="8" t="str">
        <f>IFERROR(__xludf.DUMMYFUNCTION("""COMPUTED_VALUE"""),"Beautiful skirt")</f>
        <v>Beautiful skirt</v>
      </c>
      <c r="E1489" s="8" t="str">
        <f>IFERROR(__xludf.DUMMYFUNCTION("""COMPUTED_VALUE"""),"I love this skirt! it is a lovely and soft gauze layer with lining underneath. i live where the summer""s are hot and humid and this skirt keeps me cool when everything else just sticks to me. it is, for sure, very limited because it does not have a zippe"&amp;"r.... if you cannot get this over your hips or over your shoulders and bust, this is not the skirt for you. the elastic waistband is really strong and really highlights your waist, but yes, i am petite and i struggle to get it on. once it is on,")</f>
        <v>I love this skirt! it is a lovely and soft gauze layer with lining underneath. i live where the summer"s are hot and humid and this skirt keeps me cool when everything else just sticks to me. it is, for sure, very limited because it does not have a zipper.... if you cannot get this over your hips or over your shoulders and bust, this is not the skirt for you. the elastic waistband is really strong and really highlights your waist, but yes, i am petite and i struggle to get it on. once it is on,</v>
      </c>
      <c r="F1489" s="8">
        <f>IFERROR(__xludf.DUMMYFUNCTION("""COMPUTED_VALUE"""),4.0)</f>
        <v>4</v>
      </c>
      <c r="G1489" s="8">
        <f>IFERROR(__xludf.DUMMYFUNCTION("""COMPUTED_VALUE"""),1.0)</f>
        <v>1</v>
      </c>
      <c r="H1489" s="8">
        <f>IFERROR(__xludf.DUMMYFUNCTION("""COMPUTED_VALUE"""),0.0)</f>
        <v>0</v>
      </c>
      <c r="I1489" s="8" t="str">
        <f>IFERROR(__xludf.DUMMYFUNCTION("""COMPUTED_VALUE"""),"General")</f>
        <v>General</v>
      </c>
      <c r="J1489" s="8" t="str">
        <f>IFERROR(__xludf.DUMMYFUNCTION("""COMPUTED_VALUE"""),"Bottoms")</f>
        <v>Bottoms</v>
      </c>
      <c r="K1489" s="8" t="str">
        <f>IFERROR(__xludf.DUMMYFUNCTION("""COMPUTED_VALUE"""),"Skirts")</f>
        <v>Skirts</v>
      </c>
    </row>
    <row r="1490">
      <c r="A1490" s="8">
        <f>IFERROR(__xludf.DUMMYFUNCTION("""COMPUTED_VALUE"""),1973.0)</f>
        <v>1973</v>
      </c>
      <c r="B1490" s="8">
        <f>IFERROR(__xludf.DUMMYFUNCTION("""COMPUTED_VALUE"""),1092.0)</f>
        <v>1092</v>
      </c>
      <c r="C1490" s="8">
        <f>IFERROR(__xludf.DUMMYFUNCTION("""COMPUTED_VALUE"""),36.0)</f>
        <v>36</v>
      </c>
      <c r="D1490" s="8"/>
      <c r="E1490" s="8" t="str">
        <f>IFERROR(__xludf.DUMMYFUNCTION("""COMPUTED_VALUE"""),"I adore this dress, the perfect summer dress that you can dress up or down. the color is vibrant and the fabric flows and feels fantastic against your skin. i love that you can still wear a strapless bra with it, but with the adjustable shoulder ties you "&amp;"can have it go as low as you want for a more sexy look. the bottom hem is this super cute fringe, so fun and feminine. and while it is a loose fitting dress i did not feel like my figure was drowned out by the fullness of the fabric. this dress")</f>
        <v>I adore this dress, the perfect summer dress that you can dress up or down. the color is vibrant and the fabric flows and feels fantastic against your skin. i love that you can still wear a strapless bra with it, but with the adjustable shoulder ties you can have it go as low as you want for a more sexy look. the bottom hem is this super cute fringe, so fun and feminine. and while it is a loose fitting dress i did not feel like my figure was drowned out by the fullness of the fabric. this dress</v>
      </c>
      <c r="F1490" s="8">
        <f>IFERROR(__xludf.DUMMYFUNCTION("""COMPUTED_VALUE"""),5.0)</f>
        <v>5</v>
      </c>
      <c r="G1490" s="8">
        <f>IFERROR(__xludf.DUMMYFUNCTION("""COMPUTED_VALUE"""),1.0)</f>
        <v>1</v>
      </c>
      <c r="H1490" s="8">
        <f>IFERROR(__xludf.DUMMYFUNCTION("""COMPUTED_VALUE"""),22.0)</f>
        <v>22</v>
      </c>
      <c r="I1490" s="8" t="str">
        <f>IFERROR(__xludf.DUMMYFUNCTION("""COMPUTED_VALUE"""),"General Petite")</f>
        <v>General Petite</v>
      </c>
      <c r="J1490" s="8" t="str">
        <f>IFERROR(__xludf.DUMMYFUNCTION("""COMPUTED_VALUE"""),"Dresses")</f>
        <v>Dresses</v>
      </c>
      <c r="K1490" s="8" t="str">
        <f>IFERROR(__xludf.DUMMYFUNCTION("""COMPUTED_VALUE"""),"Dresses")</f>
        <v>Dresses</v>
      </c>
    </row>
    <row r="1491">
      <c r="A1491" s="8">
        <f>IFERROR(__xludf.DUMMYFUNCTION("""COMPUTED_VALUE"""),1974.0)</f>
        <v>1974</v>
      </c>
      <c r="B1491" s="8">
        <f>IFERROR(__xludf.DUMMYFUNCTION("""COMPUTED_VALUE"""),1092.0)</f>
        <v>1092</v>
      </c>
      <c r="C1491" s="8">
        <f>IFERROR(__xludf.DUMMYFUNCTION("""COMPUTED_VALUE"""),50.0)</f>
        <v>50</v>
      </c>
      <c r="D1491" s="8" t="str">
        <f>IFERROR(__xludf.DUMMYFUNCTION("""COMPUTED_VALUE"""),"Love this dress")</f>
        <v>Love this dress</v>
      </c>
      <c r="E1491" s="8" t="str">
        <f>IFERROR(__xludf.DUMMYFUNCTION("""COMPUTED_VALUE"""),"One of the things i love most about this dress is that the straps are adjustable. you can tie them as loose or tight as you like. like other reviewers mentioned, the color of this dress is vibrant and the fringe at the bottom is the perfect detail retaile"&amp;"r is famous for doing! i am 5'5 105 lbs and lately all of the dresses i have been buying at retailer have been xsp. i have never worn petites before, so i don't know if retailer is just making their dresses a little bigger, but i definitely have neede")</f>
        <v>One of the things i love most about this dress is that the straps are adjustable. you can tie them as loose or tight as you like. like other reviewers mentioned, the color of this dress is vibrant and the fringe at the bottom is the perfect detail retailer is famous for doing! i am 5'5 105 lbs and lately all of the dresses i have been buying at retailer have been xsp. i have never worn petites before, so i don't know if retailer is just making their dresses a little bigger, but i definitely have neede</v>
      </c>
      <c r="F1491" s="8">
        <f>IFERROR(__xludf.DUMMYFUNCTION("""COMPUTED_VALUE"""),5.0)</f>
        <v>5</v>
      </c>
      <c r="G1491" s="8">
        <f>IFERROR(__xludf.DUMMYFUNCTION("""COMPUTED_VALUE"""),1.0)</f>
        <v>1</v>
      </c>
      <c r="H1491" s="8">
        <f>IFERROR(__xludf.DUMMYFUNCTION("""COMPUTED_VALUE"""),1.0)</f>
        <v>1</v>
      </c>
      <c r="I1491" s="8" t="str">
        <f>IFERROR(__xludf.DUMMYFUNCTION("""COMPUTED_VALUE"""),"General Petite")</f>
        <v>General Petite</v>
      </c>
      <c r="J1491" s="8" t="str">
        <f>IFERROR(__xludf.DUMMYFUNCTION("""COMPUTED_VALUE"""),"Dresses")</f>
        <v>Dresses</v>
      </c>
      <c r="K1491" s="8" t="str">
        <f>IFERROR(__xludf.DUMMYFUNCTION("""COMPUTED_VALUE"""),"Dresses")</f>
        <v>Dresses</v>
      </c>
    </row>
    <row r="1492">
      <c r="A1492" s="8">
        <f>IFERROR(__xludf.DUMMYFUNCTION("""COMPUTED_VALUE"""),1975.0)</f>
        <v>1975</v>
      </c>
      <c r="B1492" s="8">
        <f>IFERROR(__xludf.DUMMYFUNCTION("""COMPUTED_VALUE"""),862.0)</f>
        <v>862</v>
      </c>
      <c r="C1492" s="8">
        <f>IFERROR(__xludf.DUMMYFUNCTION("""COMPUTED_VALUE"""),27.0)</f>
        <v>27</v>
      </c>
      <c r="D1492" s="8" t="str">
        <f>IFERROR(__xludf.DUMMYFUNCTION("""COMPUTED_VALUE"""),"Effortless style")</f>
        <v>Effortless style</v>
      </c>
      <c r="E1492" s="8" t="str">
        <f>IFERROR(__xludf.DUMMYFUNCTION("""COMPUTED_VALUE"""),"Love the deep purple color of this cardi sweater - long and drapey looks great with leggings skinnies and jeans. my only problem is the way the loose stitching around the cuffs is makes it worrisome. wore once and already starting to get a hole. still a g"&amp;"reat piece.")</f>
        <v>Love the deep purple color of this cardi sweater - long and drapey looks great with leggings skinnies and jeans. my only problem is the way the loose stitching around the cuffs is makes it worrisome. wore once and already starting to get a hole. still a great piece.</v>
      </c>
      <c r="F1492" s="8">
        <f>IFERROR(__xludf.DUMMYFUNCTION("""COMPUTED_VALUE"""),4.0)</f>
        <v>4</v>
      </c>
      <c r="G1492" s="8">
        <f>IFERROR(__xludf.DUMMYFUNCTION("""COMPUTED_VALUE"""),1.0)</f>
        <v>1</v>
      </c>
      <c r="H1492" s="8">
        <f>IFERROR(__xludf.DUMMYFUNCTION("""COMPUTED_VALUE"""),0.0)</f>
        <v>0</v>
      </c>
      <c r="I1492" s="8" t="str">
        <f>IFERROR(__xludf.DUMMYFUNCTION("""COMPUTED_VALUE"""),"General")</f>
        <v>General</v>
      </c>
      <c r="J1492" s="8" t="str">
        <f>IFERROR(__xludf.DUMMYFUNCTION("""COMPUTED_VALUE"""),"Tops")</f>
        <v>Tops</v>
      </c>
      <c r="K1492" s="8" t="str">
        <f>IFERROR(__xludf.DUMMYFUNCTION("""COMPUTED_VALUE"""),"Knits")</f>
        <v>Knits</v>
      </c>
    </row>
    <row r="1493">
      <c r="A1493" s="8">
        <f>IFERROR(__xludf.DUMMYFUNCTION("""COMPUTED_VALUE"""),1976.0)</f>
        <v>1976</v>
      </c>
      <c r="B1493" s="8">
        <f>IFERROR(__xludf.DUMMYFUNCTION("""COMPUTED_VALUE"""),872.0)</f>
        <v>872</v>
      </c>
      <c r="C1493" s="8">
        <f>IFERROR(__xludf.DUMMYFUNCTION("""COMPUTED_VALUE"""),66.0)</f>
        <v>66</v>
      </c>
      <c r="D1493" s="8" t="str">
        <f>IFERROR(__xludf.DUMMYFUNCTION("""COMPUTED_VALUE"""),"Cute and comfy")</f>
        <v>Cute and comfy</v>
      </c>
      <c r="E1493" s="8" t="str">
        <f>IFERROR(__xludf.DUMMYFUNCTION("""COMPUTED_VALUE"""),"Yes, this top runs large and it doesn't show your curves, but it's still really cute and fun to wear. i first purchased the beautiful sage color, and after getting compliments, i also ordered the navy version. these tops are easy to wear, have an interest"&amp;"ing detail at the neck, and could be layered. cozy, comfortable, stylish. love mine!")</f>
        <v>Yes, this top runs large and it doesn't show your curves, but it's still really cute and fun to wear. i first purchased the beautiful sage color, and after getting compliments, i also ordered the navy version. these tops are easy to wear, have an interesting detail at the neck, and could be layered. cozy, comfortable, stylish. love mine!</v>
      </c>
      <c r="F1493" s="8">
        <f>IFERROR(__xludf.DUMMYFUNCTION("""COMPUTED_VALUE"""),5.0)</f>
        <v>5</v>
      </c>
      <c r="G1493" s="8">
        <f>IFERROR(__xludf.DUMMYFUNCTION("""COMPUTED_VALUE"""),1.0)</f>
        <v>1</v>
      </c>
      <c r="H1493" s="8">
        <f>IFERROR(__xludf.DUMMYFUNCTION("""COMPUTED_VALUE"""),0.0)</f>
        <v>0</v>
      </c>
      <c r="I1493" s="8" t="str">
        <f>IFERROR(__xludf.DUMMYFUNCTION("""COMPUTED_VALUE"""),"General Petite")</f>
        <v>General Petite</v>
      </c>
      <c r="J1493" s="8" t="str">
        <f>IFERROR(__xludf.DUMMYFUNCTION("""COMPUTED_VALUE"""),"Tops")</f>
        <v>Tops</v>
      </c>
      <c r="K1493" s="8" t="str">
        <f>IFERROR(__xludf.DUMMYFUNCTION("""COMPUTED_VALUE"""),"Knits")</f>
        <v>Knits</v>
      </c>
    </row>
    <row r="1494">
      <c r="A1494" s="8">
        <f>IFERROR(__xludf.DUMMYFUNCTION("""COMPUTED_VALUE"""),1978.0)</f>
        <v>1978</v>
      </c>
      <c r="B1494" s="8">
        <f>IFERROR(__xludf.DUMMYFUNCTION("""COMPUTED_VALUE"""),321.0)</f>
        <v>321</v>
      </c>
      <c r="C1494" s="8">
        <f>IFERROR(__xludf.DUMMYFUNCTION("""COMPUTED_VALUE"""),27.0)</f>
        <v>27</v>
      </c>
      <c r="D1494" s="8" t="str">
        <f>IFERROR(__xludf.DUMMYFUNCTION("""COMPUTED_VALUE"""),"Love it!!")</f>
        <v>Love it!!</v>
      </c>
      <c r="E1494" s="8" t="str">
        <f>IFERROR(__xludf.DUMMYFUNCTION("""COMPUTED_VALUE"""),"This swimsuit is aaaahmazing. seafolly is an australian brand and their sizing is way off, luckily i already own a one piece by them so i knew what size to order. i am usually a 0 or a 2, chest size 34 d, and i ordered a 6 in this and it fits perfectly. t"&amp;"aking it out of the package i wasn't sure if it would fit, but it did! the keyhole is pretty open, and the shape of the sides and high neck make some cleavage happen. i got it in black and it's really sohpisticated, but still sexy and cool. i ca")</f>
        <v>This swimsuit is aaaahmazing. seafolly is an australian brand and their sizing is way off, luckily i already own a one piece by them so i knew what size to order. i am usually a 0 or a 2, chest size 34 d, and i ordered a 6 in this and it fits perfectly. taking it out of the package i wasn't sure if it would fit, but it did! the keyhole is pretty open, and the shape of the sides and high neck make some cleavage happen. i got it in black and it's really sohpisticated, but still sexy and cool. i ca</v>
      </c>
      <c r="F1494" s="8">
        <f>IFERROR(__xludf.DUMMYFUNCTION("""COMPUTED_VALUE"""),5.0)</f>
        <v>5</v>
      </c>
      <c r="G1494" s="8">
        <f>IFERROR(__xludf.DUMMYFUNCTION("""COMPUTED_VALUE"""),1.0)</f>
        <v>1</v>
      </c>
      <c r="H1494" s="8">
        <f>IFERROR(__xludf.DUMMYFUNCTION("""COMPUTED_VALUE"""),5.0)</f>
        <v>5</v>
      </c>
      <c r="I1494" s="8" t="str">
        <f>IFERROR(__xludf.DUMMYFUNCTION("""COMPUTED_VALUE"""),"Initmates")</f>
        <v>Initmates</v>
      </c>
      <c r="J1494" s="8" t="str">
        <f>IFERROR(__xludf.DUMMYFUNCTION("""COMPUTED_VALUE"""),"Intimate")</f>
        <v>Intimate</v>
      </c>
      <c r="K1494" s="8" t="str">
        <f>IFERROR(__xludf.DUMMYFUNCTION("""COMPUTED_VALUE"""),"Swim")</f>
        <v>Swim</v>
      </c>
    </row>
    <row r="1495">
      <c r="A1495" s="8">
        <f>IFERROR(__xludf.DUMMYFUNCTION("""COMPUTED_VALUE"""),1979.0)</f>
        <v>1979</v>
      </c>
      <c r="B1495" s="8">
        <f>IFERROR(__xludf.DUMMYFUNCTION("""COMPUTED_VALUE"""),807.0)</f>
        <v>807</v>
      </c>
      <c r="C1495" s="8">
        <f>IFERROR(__xludf.DUMMYFUNCTION("""COMPUTED_VALUE"""),39.0)</f>
        <v>39</v>
      </c>
      <c r="D1495" s="8" t="str">
        <f>IFERROR(__xludf.DUMMYFUNCTION("""COMPUTED_VALUE"""),"Great top!")</f>
        <v>Great top!</v>
      </c>
      <c r="E1495" s="8" t="str">
        <f>IFERROR(__xludf.DUMMYFUNCTION("""COMPUTED_VALUE"""),"I typically wear an xs to s in tops and purchased an xs for a less flowy fit.  this top has a luxurious feel and the green color is really beautiful (more matte than shiny).  perfect piece to wear under a jacket or blazer.")</f>
        <v>I typically wear an xs to s in tops and purchased an xs for a less flowy fit.  this top has a luxurious feel and the green color is really beautiful (more matte than shiny).  perfect piece to wear under a jacket or blazer.</v>
      </c>
      <c r="F1495" s="8">
        <f>IFERROR(__xludf.DUMMYFUNCTION("""COMPUTED_VALUE"""),5.0)</f>
        <v>5</v>
      </c>
      <c r="G1495" s="8">
        <f>IFERROR(__xludf.DUMMYFUNCTION("""COMPUTED_VALUE"""),1.0)</f>
        <v>1</v>
      </c>
      <c r="H1495" s="8">
        <f>IFERROR(__xludf.DUMMYFUNCTION("""COMPUTED_VALUE"""),0.0)</f>
        <v>0</v>
      </c>
      <c r="I1495" s="8" t="str">
        <f>IFERROR(__xludf.DUMMYFUNCTION("""COMPUTED_VALUE"""),"Initmates")</f>
        <v>Initmates</v>
      </c>
      <c r="J1495" s="8" t="str">
        <f>IFERROR(__xludf.DUMMYFUNCTION("""COMPUTED_VALUE"""),"Intimate")</f>
        <v>Intimate</v>
      </c>
      <c r="K1495" s="8" t="str">
        <f>IFERROR(__xludf.DUMMYFUNCTION("""COMPUTED_VALUE"""),"Intimates")</f>
        <v>Intimates</v>
      </c>
    </row>
    <row r="1496">
      <c r="A1496" s="8">
        <f>IFERROR(__xludf.DUMMYFUNCTION("""COMPUTED_VALUE"""),1980.0)</f>
        <v>1980</v>
      </c>
      <c r="B1496" s="8">
        <f>IFERROR(__xludf.DUMMYFUNCTION("""COMPUTED_VALUE"""),807.0)</f>
        <v>807</v>
      </c>
      <c r="C1496" s="8">
        <f>IFERROR(__xludf.DUMMYFUNCTION("""COMPUTED_VALUE"""),43.0)</f>
        <v>43</v>
      </c>
      <c r="D1496" s="8" t="str">
        <f>IFERROR(__xludf.DUMMYFUNCTION("""COMPUTED_VALUE"""),"Gorgeous green color")</f>
        <v>Gorgeous green color</v>
      </c>
      <c r="E1496" s="8" t="str">
        <f>IFERROR(__xludf.DUMMYFUNCTION("""COMPUTED_VALUE"""),"Great piece just wish it fit a bit more blousy rather than cami")</f>
        <v>Great piece just wish it fit a bit more blousy rather than cami</v>
      </c>
      <c r="F1496" s="8">
        <f>IFERROR(__xludf.DUMMYFUNCTION("""COMPUTED_VALUE"""),5.0)</f>
        <v>5</v>
      </c>
      <c r="G1496" s="8">
        <f>IFERROR(__xludf.DUMMYFUNCTION("""COMPUTED_VALUE"""),1.0)</f>
        <v>1</v>
      </c>
      <c r="H1496" s="8">
        <f>IFERROR(__xludf.DUMMYFUNCTION("""COMPUTED_VALUE"""),0.0)</f>
        <v>0</v>
      </c>
      <c r="I1496" s="8" t="str">
        <f>IFERROR(__xludf.DUMMYFUNCTION("""COMPUTED_VALUE"""),"Initmates")</f>
        <v>Initmates</v>
      </c>
      <c r="J1496" s="8" t="str">
        <f>IFERROR(__xludf.DUMMYFUNCTION("""COMPUTED_VALUE"""),"Intimate")</f>
        <v>Intimate</v>
      </c>
      <c r="K1496" s="8" t="str">
        <f>IFERROR(__xludf.DUMMYFUNCTION("""COMPUTED_VALUE"""),"Intimates")</f>
        <v>Intimates</v>
      </c>
    </row>
    <row r="1497">
      <c r="A1497" s="8">
        <f>IFERROR(__xludf.DUMMYFUNCTION("""COMPUTED_VALUE"""),1981.0)</f>
        <v>1981</v>
      </c>
      <c r="B1497" s="8">
        <f>IFERROR(__xludf.DUMMYFUNCTION("""COMPUTED_VALUE"""),872.0)</f>
        <v>872</v>
      </c>
      <c r="C1497" s="8">
        <f>IFERROR(__xludf.DUMMYFUNCTION("""COMPUTED_VALUE"""),36.0)</f>
        <v>36</v>
      </c>
      <c r="D1497" s="8" t="str">
        <f>IFERROR(__xludf.DUMMYFUNCTION("""COMPUTED_VALUE"""),"A staple!")</f>
        <v>A staple!</v>
      </c>
      <c r="E1497" s="8" t="str">
        <f>IFERROR(__xludf.DUMMYFUNCTION("""COMPUTED_VALUE"""),"This top! it is so simple, but so great at the same time! it does run large, and i'm not a skinny girl... but it has a style that is certainly meant to flow away from the body as it goes down. i find the top portion very flattering and the looser bottom s"&amp;"ection doesn't take away from that. i have been wearing the olive green with fitting dark jeans and a flannel or oversized soft, washed-jean button down shirt over it for the cool spring weather. it's casual, but so comfy. it's great for loungin")</f>
        <v>This top! it is so simple, but so great at the same time! it does run large, and i'm not a skinny girl... but it has a style that is certainly meant to flow away from the body as it goes down. i find the top portion very flattering and the looser bottom section doesn't take away from that. i have been wearing the olive green with fitting dark jeans and a flannel or oversized soft, washed-jean button down shirt over it for the cool spring weather. it's casual, but so comfy. it's great for loungin</v>
      </c>
      <c r="F1497" s="8">
        <f>IFERROR(__xludf.DUMMYFUNCTION("""COMPUTED_VALUE"""),5.0)</f>
        <v>5</v>
      </c>
      <c r="G1497" s="8">
        <f>IFERROR(__xludf.DUMMYFUNCTION("""COMPUTED_VALUE"""),1.0)</f>
        <v>1</v>
      </c>
      <c r="H1497" s="8">
        <f>IFERROR(__xludf.DUMMYFUNCTION("""COMPUTED_VALUE"""),4.0)</f>
        <v>4</v>
      </c>
      <c r="I1497" s="8" t="str">
        <f>IFERROR(__xludf.DUMMYFUNCTION("""COMPUTED_VALUE"""),"General Petite")</f>
        <v>General Petite</v>
      </c>
      <c r="J1497" s="8" t="str">
        <f>IFERROR(__xludf.DUMMYFUNCTION("""COMPUTED_VALUE"""),"Tops")</f>
        <v>Tops</v>
      </c>
      <c r="K1497" s="8" t="str">
        <f>IFERROR(__xludf.DUMMYFUNCTION("""COMPUTED_VALUE"""),"Knits")</f>
        <v>Knits</v>
      </c>
    </row>
    <row r="1498">
      <c r="A1498" s="8">
        <f>IFERROR(__xludf.DUMMYFUNCTION("""COMPUTED_VALUE"""),1982.0)</f>
        <v>1982</v>
      </c>
      <c r="B1498" s="8">
        <f>IFERROR(__xludf.DUMMYFUNCTION("""COMPUTED_VALUE"""),1092.0)</f>
        <v>1092</v>
      </c>
      <c r="C1498" s="8">
        <f>IFERROR(__xludf.DUMMYFUNCTION("""COMPUTED_VALUE"""),39.0)</f>
        <v>39</v>
      </c>
      <c r="D1498" s="8" t="str">
        <f>IFERROR(__xludf.DUMMYFUNCTION("""COMPUTED_VALUE"""),"Uhhhmmmazing!")</f>
        <v>Uhhhmmmazing!</v>
      </c>
      <c r="E1498" s="8" t="str">
        <f>IFERROR(__xludf.DUMMYFUNCTION("""COMPUTED_VALUE"""),"Color, style, adjustability, easy fit, flattering!  yes on so many levels!  oh wait it's on sale!  fantastic, magnificent and pretty!  i bought medium and in 39-28-35")</f>
        <v>Color, style, adjustability, easy fit, flattering!  yes on so many levels!  oh wait it's on sale!  fantastic, magnificent and pretty!  i bought medium and in 39-28-35</v>
      </c>
      <c r="F1498" s="8">
        <f>IFERROR(__xludf.DUMMYFUNCTION("""COMPUTED_VALUE"""),5.0)</f>
        <v>5</v>
      </c>
      <c r="G1498" s="8">
        <f>IFERROR(__xludf.DUMMYFUNCTION("""COMPUTED_VALUE"""),1.0)</f>
        <v>1</v>
      </c>
      <c r="H1498" s="8">
        <f>IFERROR(__xludf.DUMMYFUNCTION("""COMPUTED_VALUE"""),2.0)</f>
        <v>2</v>
      </c>
      <c r="I1498" s="8" t="str">
        <f>IFERROR(__xludf.DUMMYFUNCTION("""COMPUTED_VALUE"""),"General Petite")</f>
        <v>General Petite</v>
      </c>
      <c r="J1498" s="8" t="str">
        <f>IFERROR(__xludf.DUMMYFUNCTION("""COMPUTED_VALUE"""),"Dresses")</f>
        <v>Dresses</v>
      </c>
      <c r="K1498" s="8" t="str">
        <f>IFERROR(__xludf.DUMMYFUNCTION("""COMPUTED_VALUE"""),"Dresses")</f>
        <v>Dresses</v>
      </c>
    </row>
    <row r="1499">
      <c r="A1499" s="8">
        <f>IFERROR(__xludf.DUMMYFUNCTION("""COMPUTED_VALUE"""),1983.0)</f>
        <v>1983</v>
      </c>
      <c r="B1499" s="8">
        <f>IFERROR(__xludf.DUMMYFUNCTION("""COMPUTED_VALUE"""),862.0)</f>
        <v>862</v>
      </c>
      <c r="C1499" s="8">
        <f>IFERROR(__xludf.DUMMYFUNCTION("""COMPUTED_VALUE"""),61.0)</f>
        <v>61</v>
      </c>
      <c r="D1499" s="8"/>
      <c r="E1499" s="8" t="str">
        <f>IFERROR(__xludf.DUMMYFUNCTION("""COMPUTED_VALUE"""),"It's a lovely and unexpected sweater. a few things to keep in mind- 
- the knit details are beautiful- the pictures don't do it justice.
- it's pretty lightweight.
- the color is a little darker than the picture shown- it's a very dark plum
- it runs "&amp;"bigger- this is the only retailer sweater where the sleeves of a m are a little to long. 
- the style is decidedly casual and ""slouchy"". it looks great with jeans, but don't plan to dress up an outfit with this piece.")</f>
        <v>It's a lovely and unexpected sweater. a few things to keep in mind- 
- the knit details are beautiful- the pictures don't do it justice.
- it's pretty lightweight.
- the color is a little darker than the picture shown- it's a very dark plum
- it runs bigger- this is the only retailer sweater where the sleeves of a m are a little to long. 
- the style is decidedly casual and "slouchy". it looks great with jeans, but don't plan to dress up an outfit with this piece.</v>
      </c>
      <c r="F1499" s="8">
        <f>IFERROR(__xludf.DUMMYFUNCTION("""COMPUTED_VALUE"""),4.0)</f>
        <v>4</v>
      </c>
      <c r="G1499" s="8">
        <f>IFERROR(__xludf.DUMMYFUNCTION("""COMPUTED_VALUE"""),1.0)</f>
        <v>1</v>
      </c>
      <c r="H1499" s="8">
        <f>IFERROR(__xludf.DUMMYFUNCTION("""COMPUTED_VALUE"""),6.0)</f>
        <v>6</v>
      </c>
      <c r="I1499" s="8" t="str">
        <f>IFERROR(__xludf.DUMMYFUNCTION("""COMPUTED_VALUE"""),"General")</f>
        <v>General</v>
      </c>
      <c r="J1499" s="8" t="str">
        <f>IFERROR(__xludf.DUMMYFUNCTION("""COMPUTED_VALUE"""),"Tops")</f>
        <v>Tops</v>
      </c>
      <c r="K1499" s="8" t="str">
        <f>IFERROR(__xludf.DUMMYFUNCTION("""COMPUTED_VALUE"""),"Knits")</f>
        <v>Knits</v>
      </c>
    </row>
    <row r="1500">
      <c r="A1500" s="8">
        <f>IFERROR(__xludf.DUMMYFUNCTION("""COMPUTED_VALUE"""),1986.0)</f>
        <v>1986</v>
      </c>
      <c r="B1500" s="8">
        <f>IFERROR(__xludf.DUMMYFUNCTION("""COMPUTED_VALUE"""),1009.0)</f>
        <v>1009</v>
      </c>
      <c r="C1500" s="8">
        <f>IFERROR(__xludf.DUMMYFUNCTION("""COMPUTED_VALUE"""),38.0)</f>
        <v>38</v>
      </c>
      <c r="D1500" s="8" t="str">
        <f>IFERROR(__xludf.DUMMYFUNCTION("""COMPUTED_VALUE"""),"Great skirt")</f>
        <v>Great skirt</v>
      </c>
      <c r="E1500" s="8" t="str">
        <f>IFERROR(__xludf.DUMMYFUNCTION("""COMPUTED_VALUE"""),"Fit is tts and comfortable. the color didn't suit mine but if the color works for you then grab it because it's a beauty")</f>
        <v>Fit is tts and comfortable. the color didn't suit mine but if the color works for you then grab it because it's a beauty</v>
      </c>
      <c r="F1500" s="8">
        <f>IFERROR(__xludf.DUMMYFUNCTION("""COMPUTED_VALUE"""),5.0)</f>
        <v>5</v>
      </c>
      <c r="G1500" s="8">
        <f>IFERROR(__xludf.DUMMYFUNCTION("""COMPUTED_VALUE"""),1.0)</f>
        <v>1</v>
      </c>
      <c r="H1500" s="8">
        <f>IFERROR(__xludf.DUMMYFUNCTION("""COMPUTED_VALUE"""),0.0)</f>
        <v>0</v>
      </c>
      <c r="I1500" s="8" t="str">
        <f>IFERROR(__xludf.DUMMYFUNCTION("""COMPUTED_VALUE"""),"General Petite")</f>
        <v>General Petite</v>
      </c>
      <c r="J1500" s="8" t="str">
        <f>IFERROR(__xludf.DUMMYFUNCTION("""COMPUTED_VALUE"""),"Bottoms")</f>
        <v>Bottoms</v>
      </c>
      <c r="K1500" s="8" t="str">
        <f>IFERROR(__xludf.DUMMYFUNCTION("""COMPUTED_VALUE"""),"Skirts")</f>
        <v>Skirts</v>
      </c>
    </row>
    <row r="1501">
      <c r="A1501" s="8">
        <f>IFERROR(__xludf.DUMMYFUNCTION("""COMPUTED_VALUE"""),1987.0)</f>
        <v>1987</v>
      </c>
      <c r="B1501" s="8">
        <f>IFERROR(__xludf.DUMMYFUNCTION("""COMPUTED_VALUE"""),1022.0)</f>
        <v>1022</v>
      </c>
      <c r="C1501" s="8">
        <f>IFERROR(__xludf.DUMMYFUNCTION("""COMPUTED_VALUE"""),42.0)</f>
        <v>42</v>
      </c>
      <c r="D1501" s="8" t="str">
        <f>IFERROR(__xludf.DUMMYFUNCTION("""COMPUTED_VALUE"""),"Love these jeans!")</f>
        <v>Love these jeans!</v>
      </c>
      <c r="E1501" s="8" t="str">
        <f>IFERROR(__xludf.DUMMYFUNCTION("""COMPUTED_VALUE"""),"I have been searching for a comfortable pair of flared jeans to wear with tennis shoes or flats. i have tried several different brands and these are amazing! they are super soft and comfortable with just the right amount of stretch. the coloring is excell"&amp;"ent for the casual look i am going for. the pocket detailing is cute and helps to flatter your bottom. i am 5'2"" so these were very long but nothing a good seamstress can't fix. i will note that cutting of that much of the bottom will reduce som")</f>
        <v>I have been searching for a comfortable pair of flared jeans to wear with tennis shoes or flats. i have tried several different brands and these are amazing! they are super soft and comfortable with just the right amount of stretch. the coloring is excellent for the casual look i am going for. the pocket detailing is cute and helps to flatter your bottom. i am 5'2" so these were very long but nothing a good seamstress can't fix. i will note that cutting of that much of the bottom will reduce som</v>
      </c>
      <c r="F1501" s="8">
        <f>IFERROR(__xludf.DUMMYFUNCTION("""COMPUTED_VALUE"""),5.0)</f>
        <v>5</v>
      </c>
      <c r="G1501" s="8">
        <f>IFERROR(__xludf.DUMMYFUNCTION("""COMPUTED_VALUE"""),1.0)</f>
        <v>1</v>
      </c>
      <c r="H1501" s="8">
        <f>IFERROR(__xludf.DUMMYFUNCTION("""COMPUTED_VALUE"""),4.0)</f>
        <v>4</v>
      </c>
      <c r="I1501" s="8" t="str">
        <f>IFERROR(__xludf.DUMMYFUNCTION("""COMPUTED_VALUE"""),"General")</f>
        <v>General</v>
      </c>
      <c r="J1501" s="8" t="str">
        <f>IFERROR(__xludf.DUMMYFUNCTION("""COMPUTED_VALUE"""),"Bottoms")</f>
        <v>Bottoms</v>
      </c>
      <c r="K1501" s="8" t="str">
        <f>IFERROR(__xludf.DUMMYFUNCTION("""COMPUTED_VALUE"""),"Jeans")</f>
        <v>Jeans</v>
      </c>
    </row>
    <row r="1502">
      <c r="A1502" s="8">
        <f>IFERROR(__xludf.DUMMYFUNCTION("""COMPUTED_VALUE"""),1988.0)</f>
        <v>1988</v>
      </c>
      <c r="B1502" s="8">
        <f>IFERROR(__xludf.DUMMYFUNCTION("""COMPUTED_VALUE"""),831.0)</f>
        <v>831</v>
      </c>
      <c r="C1502" s="8">
        <f>IFERROR(__xludf.DUMMYFUNCTION("""COMPUTED_VALUE"""),32.0)</f>
        <v>32</v>
      </c>
      <c r="D1502" s="8" t="str">
        <f>IFERROR(__xludf.DUMMYFUNCTION("""COMPUTED_VALUE"""),"Beautiful")</f>
        <v>Beautiful</v>
      </c>
      <c r="E1502" s="8" t="str">
        <f>IFERROR(__xludf.DUMMYFUNCTION("""COMPUTED_VALUE"""),"This top is just adorable. i'm usually between an xs and a small and i went with the small and it's a little more roomy. i wanted it to be long enough. the colors are beautiful and it's a must have.")</f>
        <v>This top is just adorable. i'm usually between an xs and a small and i went with the small and it's a little more roomy. i wanted it to be long enough. the colors are beautiful and it's a must have.</v>
      </c>
      <c r="F1502" s="8">
        <f>IFERROR(__xludf.DUMMYFUNCTION("""COMPUTED_VALUE"""),5.0)</f>
        <v>5</v>
      </c>
      <c r="G1502" s="8">
        <f>IFERROR(__xludf.DUMMYFUNCTION("""COMPUTED_VALUE"""),1.0)</f>
        <v>1</v>
      </c>
      <c r="H1502" s="8">
        <f>IFERROR(__xludf.DUMMYFUNCTION("""COMPUTED_VALUE"""),0.0)</f>
        <v>0</v>
      </c>
      <c r="I1502" s="8" t="str">
        <f>IFERROR(__xludf.DUMMYFUNCTION("""COMPUTED_VALUE"""),"General")</f>
        <v>General</v>
      </c>
      <c r="J1502" s="8" t="str">
        <f>IFERROR(__xludf.DUMMYFUNCTION("""COMPUTED_VALUE"""),"Tops")</f>
        <v>Tops</v>
      </c>
      <c r="K1502" s="8" t="str">
        <f>IFERROR(__xludf.DUMMYFUNCTION("""COMPUTED_VALUE"""),"Blouses")</f>
        <v>Blouses</v>
      </c>
    </row>
    <row r="1503">
      <c r="A1503" s="8">
        <f>IFERROR(__xludf.DUMMYFUNCTION("""COMPUTED_VALUE"""),1989.0)</f>
        <v>1989</v>
      </c>
      <c r="B1503" s="8">
        <f>IFERROR(__xludf.DUMMYFUNCTION("""COMPUTED_VALUE"""),872.0)</f>
        <v>872</v>
      </c>
      <c r="C1503" s="8">
        <f>IFERROR(__xludf.DUMMYFUNCTION("""COMPUTED_VALUE"""),29.0)</f>
        <v>29</v>
      </c>
      <c r="D1503" s="8"/>
      <c r="E1503" s="8" t="str">
        <f>IFERROR(__xludf.DUMMYFUNCTION("""COMPUTED_VALUE"""),"Gorgeous linen blend tee. purchased in grey and white. classic timeless staples. fits baggy which i love. for reference i am 32a 5'1 105 lbs. love love love!")</f>
        <v>Gorgeous linen blend tee. purchased in grey and white. classic timeless staples. fits baggy which i love. for reference i am 32a 5'1 105 lbs. love love love!</v>
      </c>
      <c r="F1503" s="8">
        <f>IFERROR(__xludf.DUMMYFUNCTION("""COMPUTED_VALUE"""),5.0)</f>
        <v>5</v>
      </c>
      <c r="G1503" s="8">
        <f>IFERROR(__xludf.DUMMYFUNCTION("""COMPUTED_VALUE"""),1.0)</f>
        <v>1</v>
      </c>
      <c r="H1503" s="8">
        <f>IFERROR(__xludf.DUMMYFUNCTION("""COMPUTED_VALUE"""),0.0)</f>
        <v>0</v>
      </c>
      <c r="I1503" s="8" t="str">
        <f>IFERROR(__xludf.DUMMYFUNCTION("""COMPUTED_VALUE"""),"General Petite")</f>
        <v>General Petite</v>
      </c>
      <c r="J1503" s="8" t="str">
        <f>IFERROR(__xludf.DUMMYFUNCTION("""COMPUTED_VALUE"""),"Tops")</f>
        <v>Tops</v>
      </c>
      <c r="K1503" s="8" t="str">
        <f>IFERROR(__xludf.DUMMYFUNCTION("""COMPUTED_VALUE"""),"Knits")</f>
        <v>Knits</v>
      </c>
    </row>
    <row r="1504">
      <c r="A1504" s="8">
        <f>IFERROR(__xludf.DUMMYFUNCTION("""COMPUTED_VALUE"""),1990.0)</f>
        <v>1990</v>
      </c>
      <c r="B1504" s="8">
        <f>IFERROR(__xludf.DUMMYFUNCTION("""COMPUTED_VALUE"""),831.0)</f>
        <v>831</v>
      </c>
      <c r="C1504" s="8">
        <f>IFERROR(__xludf.DUMMYFUNCTION("""COMPUTED_VALUE"""),67.0)</f>
        <v>67</v>
      </c>
      <c r="D1504" s="8" t="str">
        <f>IFERROR(__xludf.DUMMYFUNCTION("""COMPUTED_VALUE"""),"Greenhouse tank")</f>
        <v>Greenhouse tank</v>
      </c>
      <c r="E1504" s="8" t="str">
        <f>IFERROR(__xludf.DUMMYFUNCTION("""COMPUTED_VALUE"""),"I loved this top . it is beautiful.")</f>
        <v>I loved this top . it is beautiful.</v>
      </c>
      <c r="F1504" s="8">
        <f>IFERROR(__xludf.DUMMYFUNCTION("""COMPUTED_VALUE"""),5.0)</f>
        <v>5</v>
      </c>
      <c r="G1504" s="8">
        <f>IFERROR(__xludf.DUMMYFUNCTION("""COMPUTED_VALUE"""),1.0)</f>
        <v>1</v>
      </c>
      <c r="H1504" s="8">
        <f>IFERROR(__xludf.DUMMYFUNCTION("""COMPUTED_VALUE"""),2.0)</f>
        <v>2</v>
      </c>
      <c r="I1504" s="8" t="str">
        <f>IFERROR(__xludf.DUMMYFUNCTION("""COMPUTED_VALUE"""),"General")</f>
        <v>General</v>
      </c>
      <c r="J1504" s="8" t="str">
        <f>IFERROR(__xludf.DUMMYFUNCTION("""COMPUTED_VALUE"""),"Tops")</f>
        <v>Tops</v>
      </c>
      <c r="K1504" s="8" t="str">
        <f>IFERROR(__xludf.DUMMYFUNCTION("""COMPUTED_VALUE"""),"Blouses")</f>
        <v>Blouses</v>
      </c>
    </row>
    <row r="1505">
      <c r="A1505" s="8">
        <f>IFERROR(__xludf.DUMMYFUNCTION("""COMPUTED_VALUE"""),1991.0)</f>
        <v>1991</v>
      </c>
      <c r="B1505" s="8">
        <f>IFERROR(__xludf.DUMMYFUNCTION("""COMPUTED_VALUE"""),831.0)</f>
        <v>831</v>
      </c>
      <c r="C1505" s="8">
        <f>IFERROR(__xludf.DUMMYFUNCTION("""COMPUTED_VALUE"""),43.0)</f>
        <v>43</v>
      </c>
      <c r="D1505" s="8" t="str">
        <f>IFERROR(__xludf.DUMMYFUNCTION("""COMPUTED_VALUE"""),"Pleasing spring floral print")</f>
        <v>Pleasing spring floral print</v>
      </c>
      <c r="E1505" s="8" t="str">
        <f>IFERROR(__xludf.DUMMYFUNCTION("""COMPUTED_VALUE"""),"The picture doesn't do it justice. i am wearing it right now with cream pants to work with a cardigan i also purchased from retailer and it looks amazing. the fit is true to size. i am large chested but it fit comfortable...i did go up a size so it is a l"&amp;"ittle longer than i like but i think if i had picked my normal size it would have been a little too snug at the chest. still looks amazing. i feel very feminine in this blouse. good quality material.")</f>
        <v>The picture doesn't do it justice. i am wearing it right now with cream pants to work with a cardigan i also purchased from retailer and it looks amazing. the fit is true to size. i am large chested but it fit comfortable...i did go up a size so it is a little longer than i like but i think if i had picked my normal size it would have been a little too snug at the chest. still looks amazing. i feel very feminine in this blouse. good quality material.</v>
      </c>
      <c r="F1505" s="8">
        <f>IFERROR(__xludf.DUMMYFUNCTION("""COMPUTED_VALUE"""),5.0)</f>
        <v>5</v>
      </c>
      <c r="G1505" s="8">
        <f>IFERROR(__xludf.DUMMYFUNCTION("""COMPUTED_VALUE"""),1.0)</f>
        <v>1</v>
      </c>
      <c r="H1505" s="8">
        <f>IFERROR(__xludf.DUMMYFUNCTION("""COMPUTED_VALUE"""),3.0)</f>
        <v>3</v>
      </c>
      <c r="I1505" s="8" t="str">
        <f>IFERROR(__xludf.DUMMYFUNCTION("""COMPUTED_VALUE"""),"General")</f>
        <v>General</v>
      </c>
      <c r="J1505" s="8" t="str">
        <f>IFERROR(__xludf.DUMMYFUNCTION("""COMPUTED_VALUE"""),"Tops")</f>
        <v>Tops</v>
      </c>
      <c r="K1505" s="8" t="str">
        <f>IFERROR(__xludf.DUMMYFUNCTION("""COMPUTED_VALUE"""),"Blouses")</f>
        <v>Blouses</v>
      </c>
    </row>
    <row r="1506">
      <c r="A1506" s="8">
        <f>IFERROR(__xludf.DUMMYFUNCTION("""COMPUTED_VALUE"""),1992.0)</f>
        <v>1992</v>
      </c>
      <c r="B1506" s="8">
        <f>IFERROR(__xludf.DUMMYFUNCTION("""COMPUTED_VALUE"""),831.0)</f>
        <v>831</v>
      </c>
      <c r="C1506" s="8">
        <f>IFERROR(__xludf.DUMMYFUNCTION("""COMPUTED_VALUE"""),64.0)</f>
        <v>64</v>
      </c>
      <c r="D1506" s="8" t="str">
        <f>IFERROR(__xludf.DUMMYFUNCTION("""COMPUTED_VALUE"""),"Gorgeous spring blouse!")</f>
        <v>Gorgeous spring blouse!</v>
      </c>
      <c r="E1506" s="8" t="str">
        <f>IFERROR(__xludf.DUMMYFUNCTION("""COMPUTED_VALUE"""),"So stunning, i had to have it for my spring wardrobe! fits true to size and fits well in the bust and is looser on the bottom. the model weara it just as it fits on me. if you have a large bust you may need to size up as the fabric isn't stretchy.")</f>
        <v>So stunning, i had to have it for my spring wardrobe! fits true to size and fits well in the bust and is looser on the bottom. the model weara it just as it fits on me. if you have a large bust you may need to size up as the fabric isn't stretchy.</v>
      </c>
      <c r="F1506" s="8">
        <f>IFERROR(__xludf.DUMMYFUNCTION("""COMPUTED_VALUE"""),5.0)</f>
        <v>5</v>
      </c>
      <c r="G1506" s="8">
        <f>IFERROR(__xludf.DUMMYFUNCTION("""COMPUTED_VALUE"""),1.0)</f>
        <v>1</v>
      </c>
      <c r="H1506" s="8">
        <f>IFERROR(__xludf.DUMMYFUNCTION("""COMPUTED_VALUE"""),3.0)</f>
        <v>3</v>
      </c>
      <c r="I1506" s="8" t="str">
        <f>IFERROR(__xludf.DUMMYFUNCTION("""COMPUTED_VALUE"""),"General")</f>
        <v>General</v>
      </c>
      <c r="J1506" s="8" t="str">
        <f>IFERROR(__xludf.DUMMYFUNCTION("""COMPUTED_VALUE"""),"Tops")</f>
        <v>Tops</v>
      </c>
      <c r="K1506" s="8" t="str">
        <f>IFERROR(__xludf.DUMMYFUNCTION("""COMPUTED_VALUE"""),"Blouses")</f>
        <v>Blouses</v>
      </c>
    </row>
    <row r="1507">
      <c r="A1507" s="8">
        <f>IFERROR(__xludf.DUMMYFUNCTION("""COMPUTED_VALUE"""),1993.0)</f>
        <v>1993</v>
      </c>
      <c r="B1507" s="8">
        <f>IFERROR(__xludf.DUMMYFUNCTION("""COMPUTED_VALUE"""),1146.0)</f>
        <v>1146</v>
      </c>
      <c r="C1507" s="8">
        <f>IFERROR(__xludf.DUMMYFUNCTION("""COMPUTED_VALUE"""),36.0)</f>
        <v>36</v>
      </c>
      <c r="D1507" s="8" t="str">
        <f>IFERROR(__xludf.DUMMYFUNCTION("""COMPUTED_VALUE"""),"Gorgeous vintage glamour")</f>
        <v>Gorgeous vintage glamour</v>
      </c>
      <c r="E1507" s="8" t="str">
        <f>IFERROR(__xludf.DUMMYFUNCTION("""COMPUTED_VALUE"""),"Besides being my favorite color to wear, this dress oozes vintage glamour while not looking like a costume. the fabric is super silky and will need a professional steaming to get out any wrinkles. the fit is not what i'm used to, because it fits in a 1940"&amp;"s type of way, and when i took it to my tailor, she ensured me that it is the perfect fit. the bodice is a bit looser than contemporary pieces, but is perfect for a night out.")</f>
        <v>Besides being my favorite color to wear, this dress oozes vintage glamour while not looking like a costume. the fabric is super silky and will need a professional steaming to get out any wrinkles. the fit is not what i'm used to, because it fits in a 1940s type of way, and when i took it to my tailor, she ensured me that it is the perfect fit. the bodice is a bit looser than contemporary pieces, but is perfect for a night out.</v>
      </c>
      <c r="F1507" s="8">
        <f>IFERROR(__xludf.DUMMYFUNCTION("""COMPUTED_VALUE"""),5.0)</f>
        <v>5</v>
      </c>
      <c r="G1507" s="8">
        <f>IFERROR(__xludf.DUMMYFUNCTION("""COMPUTED_VALUE"""),1.0)</f>
        <v>1</v>
      </c>
      <c r="H1507" s="8">
        <f>IFERROR(__xludf.DUMMYFUNCTION("""COMPUTED_VALUE"""),1.0)</f>
        <v>1</v>
      </c>
      <c r="I1507" s="8" t="str">
        <f>IFERROR(__xludf.DUMMYFUNCTION("""COMPUTED_VALUE"""),"General")</f>
        <v>General</v>
      </c>
      <c r="J1507" s="8" t="str">
        <f>IFERROR(__xludf.DUMMYFUNCTION("""COMPUTED_VALUE"""),"Trend")</f>
        <v>Trend</v>
      </c>
      <c r="K1507" s="8" t="str">
        <f>IFERROR(__xludf.DUMMYFUNCTION("""COMPUTED_VALUE"""),"Trend")</f>
        <v>Trend</v>
      </c>
    </row>
    <row r="1508">
      <c r="A1508" s="8">
        <f>IFERROR(__xludf.DUMMYFUNCTION("""COMPUTED_VALUE"""),1994.0)</f>
        <v>1994</v>
      </c>
      <c r="B1508" s="8">
        <f>IFERROR(__xludf.DUMMYFUNCTION("""COMPUTED_VALUE"""),1097.0)</f>
        <v>1097</v>
      </c>
      <c r="C1508" s="8">
        <f>IFERROR(__xludf.DUMMYFUNCTION("""COMPUTED_VALUE"""),37.0)</f>
        <v>37</v>
      </c>
      <c r="D1508" s="8" t="str">
        <f>IFERROR(__xludf.DUMMYFUNCTION("""COMPUTED_VALUE"""),"Fun summer dress.")</f>
        <v>Fun summer dress.</v>
      </c>
      <c r="E1508" s="8" t="str">
        <f>IFERROR(__xludf.DUMMYFUNCTION("""COMPUTED_VALUE"""),"Cute dress that is perfect for a casual summer wedding or brunch with friends. i love the material and that the dress is lined. it is very comfortable and it has pockets. this is definitely more of a ?golden? yellow vs. a soft yellow. my only complaint is"&amp;" that i wish it were cinched more right below the bust. it would give the dress (and me) more shape. i would say this dress is true to size but if you have a larger chest, you will likely want to size up. if you have a small chest, i would proba")</f>
        <v>Cute dress that is perfect for a casual summer wedding or brunch with friends. i love the material and that the dress is lined. it is very comfortable and it has pockets. this is definitely more of a ?golden? yellow vs. a soft yellow. my only complaint is that i wish it were cinched more right below the bust. it would give the dress (and me) more shape. i would say this dress is true to size but if you have a larger chest, you will likely want to size up. if you have a small chest, i would proba</v>
      </c>
      <c r="F1508" s="8">
        <f>IFERROR(__xludf.DUMMYFUNCTION("""COMPUTED_VALUE"""),4.0)</f>
        <v>4</v>
      </c>
      <c r="G1508" s="8">
        <f>IFERROR(__xludf.DUMMYFUNCTION("""COMPUTED_VALUE"""),1.0)</f>
        <v>1</v>
      </c>
      <c r="H1508" s="8">
        <f>IFERROR(__xludf.DUMMYFUNCTION("""COMPUTED_VALUE"""),10.0)</f>
        <v>10</v>
      </c>
      <c r="I1508" s="8" t="str">
        <f>IFERROR(__xludf.DUMMYFUNCTION("""COMPUTED_VALUE"""),"General")</f>
        <v>General</v>
      </c>
      <c r="J1508" s="8" t="str">
        <f>IFERROR(__xludf.DUMMYFUNCTION("""COMPUTED_VALUE"""),"Dresses")</f>
        <v>Dresses</v>
      </c>
      <c r="K1508" s="8" t="str">
        <f>IFERROR(__xludf.DUMMYFUNCTION("""COMPUTED_VALUE"""),"Dresses")</f>
        <v>Dresses</v>
      </c>
    </row>
    <row r="1509">
      <c r="A1509" s="8">
        <f>IFERROR(__xludf.DUMMYFUNCTION("""COMPUTED_VALUE"""),1996.0)</f>
        <v>1996</v>
      </c>
      <c r="B1509" s="8">
        <f>IFERROR(__xludf.DUMMYFUNCTION("""COMPUTED_VALUE"""),927.0)</f>
        <v>927</v>
      </c>
      <c r="C1509" s="8">
        <f>IFERROR(__xludf.DUMMYFUNCTION("""COMPUTED_VALUE"""),48.0)</f>
        <v>48</v>
      </c>
      <c r="D1509" s="8"/>
      <c r="E1509" s="8" t="str">
        <f>IFERROR(__xludf.DUMMYFUNCTION("""COMPUTED_VALUE"""),"Very soft fabric. does begin to ball up due to boucle material, very common")</f>
        <v>Very soft fabric. does begin to ball up due to boucle material, very common</v>
      </c>
      <c r="F1509" s="8">
        <f>IFERROR(__xludf.DUMMYFUNCTION("""COMPUTED_VALUE"""),4.0)</f>
        <v>4</v>
      </c>
      <c r="G1509" s="8">
        <f>IFERROR(__xludf.DUMMYFUNCTION("""COMPUTED_VALUE"""),1.0)</f>
        <v>1</v>
      </c>
      <c r="H1509" s="8">
        <f>IFERROR(__xludf.DUMMYFUNCTION("""COMPUTED_VALUE"""),0.0)</f>
        <v>0</v>
      </c>
      <c r="I1509" s="8" t="str">
        <f>IFERROR(__xludf.DUMMYFUNCTION("""COMPUTED_VALUE"""),"General Petite")</f>
        <v>General Petite</v>
      </c>
      <c r="J1509" s="8" t="str">
        <f>IFERROR(__xludf.DUMMYFUNCTION("""COMPUTED_VALUE"""),"Tops")</f>
        <v>Tops</v>
      </c>
      <c r="K1509" s="8" t="str">
        <f>IFERROR(__xludf.DUMMYFUNCTION("""COMPUTED_VALUE"""),"Sweaters")</f>
        <v>Sweaters</v>
      </c>
    </row>
    <row r="1510">
      <c r="A1510" s="8">
        <f>IFERROR(__xludf.DUMMYFUNCTION("""COMPUTED_VALUE"""),1997.0)</f>
        <v>1997</v>
      </c>
      <c r="B1510" s="8">
        <f>IFERROR(__xludf.DUMMYFUNCTION("""COMPUTED_VALUE"""),1022.0)</f>
        <v>1022</v>
      </c>
      <c r="C1510" s="8">
        <f>IFERROR(__xludf.DUMMYFUNCTION("""COMPUTED_VALUE"""),35.0)</f>
        <v>35</v>
      </c>
      <c r="D1510" s="8"/>
      <c r="E1510" s="8" t="str">
        <f>IFERROR(__xludf.DUMMYFUNCTION("""COMPUTED_VALUE"""),"These jeans hug in all the right places. the high waist accentuates my body and makes my legs look a mile long! the jeans will need a trip to the tailor to be hemmed, pooling even with my highest heels.")</f>
        <v>These jeans hug in all the right places. the high waist accentuates my body and makes my legs look a mile long! the jeans will need a trip to the tailor to be hemmed, pooling even with my highest heels.</v>
      </c>
      <c r="F1510" s="8">
        <f>IFERROR(__xludf.DUMMYFUNCTION("""COMPUTED_VALUE"""),5.0)</f>
        <v>5</v>
      </c>
      <c r="G1510" s="8">
        <f>IFERROR(__xludf.DUMMYFUNCTION("""COMPUTED_VALUE"""),1.0)</f>
        <v>1</v>
      </c>
      <c r="H1510" s="8">
        <f>IFERROR(__xludf.DUMMYFUNCTION("""COMPUTED_VALUE"""),0.0)</f>
        <v>0</v>
      </c>
      <c r="I1510" s="8" t="str">
        <f>IFERROR(__xludf.DUMMYFUNCTION("""COMPUTED_VALUE"""),"General")</f>
        <v>General</v>
      </c>
      <c r="J1510" s="8" t="str">
        <f>IFERROR(__xludf.DUMMYFUNCTION("""COMPUTED_VALUE"""),"Bottoms")</f>
        <v>Bottoms</v>
      </c>
      <c r="K1510" s="8" t="str">
        <f>IFERROR(__xludf.DUMMYFUNCTION("""COMPUTED_VALUE"""),"Jeans")</f>
        <v>Jeans</v>
      </c>
    </row>
    <row r="1511">
      <c r="A1511" s="8">
        <f>IFERROR(__xludf.DUMMYFUNCTION("""COMPUTED_VALUE"""),1998.0)</f>
        <v>1998</v>
      </c>
      <c r="B1511" s="8">
        <f>IFERROR(__xludf.DUMMYFUNCTION("""COMPUTED_VALUE"""),164.0)</f>
        <v>164</v>
      </c>
      <c r="C1511" s="8">
        <f>IFERROR(__xludf.DUMMYFUNCTION("""COMPUTED_VALUE"""),25.0)</f>
        <v>25</v>
      </c>
      <c r="D1511" s="8" t="str">
        <f>IFERROR(__xludf.DUMMYFUNCTION("""COMPUTED_VALUE"""),"Super comfy")</f>
        <v>Super comfy</v>
      </c>
      <c r="E1511" s="8" t="str">
        <f>IFERROR(__xludf.DUMMYFUNCTION("""COMPUTED_VALUE"""),"Loved the way these felt but like the previous reviewer said it did run slightly large. i am usually a size 6 or m and the legs were a little baggy w/the medium. since the m is sold out i'm going to try and see if they shrink in the dryer. the color and d"&amp;"esign of the ankle is different from other leggings which is a plus. i'm 5'7"" and they are the perfect length.")</f>
        <v>Loved the way these felt but like the previous reviewer said it did run slightly large. i am usually a size 6 or m and the legs were a little baggy w/the medium. since the m is sold out i'm going to try and see if they shrink in the dryer. the color and design of the ankle is different from other leggings which is a plus. i'm 5'7" and they are the perfect length.</v>
      </c>
      <c r="F1511" s="8">
        <f>IFERROR(__xludf.DUMMYFUNCTION("""COMPUTED_VALUE"""),4.0)</f>
        <v>4</v>
      </c>
      <c r="G1511" s="8">
        <f>IFERROR(__xludf.DUMMYFUNCTION("""COMPUTED_VALUE"""),1.0)</f>
        <v>1</v>
      </c>
      <c r="H1511" s="8">
        <f>IFERROR(__xludf.DUMMYFUNCTION("""COMPUTED_VALUE"""),0.0)</f>
        <v>0</v>
      </c>
      <c r="I1511" s="8" t="str">
        <f>IFERROR(__xludf.DUMMYFUNCTION("""COMPUTED_VALUE"""),"Initmates")</f>
        <v>Initmates</v>
      </c>
      <c r="J1511" s="8" t="str">
        <f>IFERROR(__xludf.DUMMYFUNCTION("""COMPUTED_VALUE"""),"Intimate")</f>
        <v>Intimate</v>
      </c>
      <c r="K1511" s="8" t="str">
        <f>IFERROR(__xludf.DUMMYFUNCTION("""COMPUTED_VALUE"""),"Lounge")</f>
        <v>Lounge</v>
      </c>
    </row>
    <row r="1512">
      <c r="A1512" s="8">
        <f>IFERROR(__xludf.DUMMYFUNCTION("""COMPUTED_VALUE"""),1999.0)</f>
        <v>1999</v>
      </c>
      <c r="B1512" s="8">
        <f>IFERROR(__xludf.DUMMYFUNCTION("""COMPUTED_VALUE"""),1110.0)</f>
        <v>1110</v>
      </c>
      <c r="C1512" s="8">
        <f>IFERROR(__xludf.DUMMYFUNCTION("""COMPUTED_VALUE"""),26.0)</f>
        <v>26</v>
      </c>
      <c r="D1512" s="8" t="str">
        <f>IFERROR(__xludf.DUMMYFUNCTION("""COMPUTED_VALUE"""),"Beautiful shortt dress")</f>
        <v>Beautiful shortt dress</v>
      </c>
      <c r="E1512" s="8" t="str">
        <f>IFERROR(__xludf.DUMMYFUNCTION("""COMPUTED_VALUE"""),"Beautiful dress! perfect mid length dress for the colder months. i tried a size 2 regular first (my normal dress size) but it was a little baggy, so the 0 fit perfectly.")</f>
        <v>Beautiful dress! perfect mid length dress for the colder months. i tried a size 2 regular first (my normal dress size) but it was a little baggy, so the 0 fit perfectly.</v>
      </c>
      <c r="F1512" s="8">
        <f>IFERROR(__xludf.DUMMYFUNCTION("""COMPUTED_VALUE"""),5.0)</f>
        <v>5</v>
      </c>
      <c r="G1512" s="8">
        <f>IFERROR(__xludf.DUMMYFUNCTION("""COMPUTED_VALUE"""),1.0)</f>
        <v>1</v>
      </c>
      <c r="H1512" s="8">
        <f>IFERROR(__xludf.DUMMYFUNCTION("""COMPUTED_VALUE"""),0.0)</f>
        <v>0</v>
      </c>
      <c r="I1512" s="8" t="str">
        <f>IFERROR(__xludf.DUMMYFUNCTION("""COMPUTED_VALUE"""),"General Petite")</f>
        <v>General Petite</v>
      </c>
      <c r="J1512" s="8" t="str">
        <f>IFERROR(__xludf.DUMMYFUNCTION("""COMPUTED_VALUE"""),"Dresses")</f>
        <v>Dresses</v>
      </c>
      <c r="K1512" s="8" t="str">
        <f>IFERROR(__xludf.DUMMYFUNCTION("""COMPUTED_VALUE"""),"Dresses")</f>
        <v>Dresses</v>
      </c>
    </row>
    <row r="1513">
      <c r="A1513" s="8">
        <f>IFERROR(__xludf.DUMMYFUNCTION("""COMPUTED_VALUE"""),2001.0)</f>
        <v>2001</v>
      </c>
      <c r="B1513" s="8">
        <f>IFERROR(__xludf.DUMMYFUNCTION("""COMPUTED_VALUE"""),1083.0)</f>
        <v>1083</v>
      </c>
      <c r="C1513" s="8">
        <f>IFERROR(__xludf.DUMMYFUNCTION("""COMPUTED_VALUE"""),38.0)</f>
        <v>38</v>
      </c>
      <c r="D1513" s="8" t="str">
        <f>IFERROR(__xludf.DUMMYFUNCTION("""COMPUTED_VALUE"""),"Love this dress!!!")</f>
        <v>Love this dress!!!</v>
      </c>
      <c r="E1513" s="8" t="str">
        <f>IFERROR(__xludf.DUMMYFUNCTION("""COMPUTED_VALUE"""),"I absolutely love this dress. i feel it's the perfect year-round piece. looks super cute with boots or booties. even with a cute baggy sweater over it. i am usually a small or medium, depending on brand. i'm a small with this one. and i actually like it w"&amp;"orn without the button fastened in the back, it just worked better that way. it is not see-thru, though is a light material. i live in fl so i can wear year round. but up north, with tights and boots, you can too. so worth the price!")</f>
        <v>I absolutely love this dress. i feel it's the perfect year-round piece. looks super cute with boots or booties. even with a cute baggy sweater over it. i am usually a small or medium, depending on brand. i'm a small with this one. and i actually like it worn without the button fastened in the back, it just worked better that way. it is not see-thru, though is a light material. i live in fl so i can wear year round. but up north, with tights and boots, you can too. so worth the price!</v>
      </c>
      <c r="F1513" s="8">
        <f>IFERROR(__xludf.DUMMYFUNCTION("""COMPUTED_VALUE"""),5.0)</f>
        <v>5</v>
      </c>
      <c r="G1513" s="8">
        <f>IFERROR(__xludf.DUMMYFUNCTION("""COMPUTED_VALUE"""),1.0)</f>
        <v>1</v>
      </c>
      <c r="H1513" s="8">
        <f>IFERROR(__xludf.DUMMYFUNCTION("""COMPUTED_VALUE"""),0.0)</f>
        <v>0</v>
      </c>
      <c r="I1513" s="8" t="str">
        <f>IFERROR(__xludf.DUMMYFUNCTION("""COMPUTED_VALUE"""),"General Petite")</f>
        <v>General Petite</v>
      </c>
      <c r="J1513" s="8" t="str">
        <f>IFERROR(__xludf.DUMMYFUNCTION("""COMPUTED_VALUE"""),"Dresses")</f>
        <v>Dresses</v>
      </c>
      <c r="K1513" s="8" t="str">
        <f>IFERROR(__xludf.DUMMYFUNCTION("""COMPUTED_VALUE"""),"Dresses")</f>
        <v>Dresses</v>
      </c>
    </row>
    <row r="1514">
      <c r="A1514" s="8">
        <f>IFERROR(__xludf.DUMMYFUNCTION("""COMPUTED_VALUE"""),2003.0)</f>
        <v>2003</v>
      </c>
      <c r="B1514" s="8">
        <f>IFERROR(__xludf.DUMMYFUNCTION("""COMPUTED_VALUE"""),1022.0)</f>
        <v>1022</v>
      </c>
      <c r="C1514" s="8">
        <f>IFERROR(__xludf.DUMMYFUNCTION("""COMPUTED_VALUE"""),33.0)</f>
        <v>33</v>
      </c>
      <c r="D1514" s="8" t="str">
        <f>IFERROR(__xludf.DUMMYFUNCTION("""COMPUTED_VALUE"""),"Perfect flare")</f>
        <v>Perfect flare</v>
      </c>
      <c r="E1514" s="8" t="str">
        <f>IFERROR(__xludf.DUMMYFUNCTION("""COMPUTED_VALUE"""),"I have been hunting for a pair of high rise flares that have significant width at the bottom and these are perfect. i love the vintage silhouette and how they make your legs look a mile long and i adore how they open wide enough to cover my shoes, not to "&amp;"mention being long enough for me to wear a 3.5"" heel and still skim the ground. for reference, i'm 5'8 140lbs with super long legs and straight athletic build. i sized up to a 30 which is usually for me in ag jeans so for the brand, they run tts")</f>
        <v>I have been hunting for a pair of high rise flares that have significant width at the bottom and these are perfect. i love the vintage silhouette and how they make your legs look a mile long and i adore how they open wide enough to cover my shoes, not to mention being long enough for me to wear a 3.5" heel and still skim the ground. for reference, i'm 5'8 140lbs with super long legs and straight athletic build. i sized up to a 30 which is usually for me in ag jeans so for the brand, they run tts</v>
      </c>
      <c r="F1514" s="8">
        <f>IFERROR(__xludf.DUMMYFUNCTION("""COMPUTED_VALUE"""),5.0)</f>
        <v>5</v>
      </c>
      <c r="G1514" s="8">
        <f>IFERROR(__xludf.DUMMYFUNCTION("""COMPUTED_VALUE"""),1.0)</f>
        <v>1</v>
      </c>
      <c r="H1514" s="8">
        <f>IFERROR(__xludf.DUMMYFUNCTION("""COMPUTED_VALUE"""),2.0)</f>
        <v>2</v>
      </c>
      <c r="I1514" s="8" t="str">
        <f>IFERROR(__xludf.DUMMYFUNCTION("""COMPUTED_VALUE"""),"General")</f>
        <v>General</v>
      </c>
      <c r="J1514" s="8" t="str">
        <f>IFERROR(__xludf.DUMMYFUNCTION("""COMPUTED_VALUE"""),"Bottoms")</f>
        <v>Bottoms</v>
      </c>
      <c r="K1514" s="8" t="str">
        <f>IFERROR(__xludf.DUMMYFUNCTION("""COMPUTED_VALUE"""),"Jeans")</f>
        <v>Jeans</v>
      </c>
    </row>
    <row r="1515">
      <c r="A1515" s="8">
        <f>IFERROR(__xludf.DUMMYFUNCTION("""COMPUTED_VALUE"""),2004.0)</f>
        <v>2004</v>
      </c>
      <c r="B1515" s="8">
        <f>IFERROR(__xludf.DUMMYFUNCTION("""COMPUTED_VALUE"""),1110.0)</f>
        <v>1110</v>
      </c>
      <c r="C1515" s="8">
        <f>IFERROR(__xludf.DUMMYFUNCTION("""COMPUTED_VALUE"""),35.0)</f>
        <v>35</v>
      </c>
      <c r="D1515" s="8" t="str">
        <f>IFERROR(__xludf.DUMMYFUNCTION("""COMPUTED_VALUE"""),"Excellent dress")</f>
        <v>Excellent dress</v>
      </c>
      <c r="E1515" s="8" t="str">
        <f>IFERROR(__xludf.DUMMYFUNCTION("""COMPUTED_VALUE"""),"Beautiful, unique, colors perfect for winter. i received so many compliments at two holiday parties. and on sale, this is a no-brainer")</f>
        <v>Beautiful, unique, colors perfect for winter. i received so many compliments at two holiday parties. and on sale, this is a no-brainer</v>
      </c>
      <c r="F1515" s="8">
        <f>IFERROR(__xludf.DUMMYFUNCTION("""COMPUTED_VALUE"""),5.0)</f>
        <v>5</v>
      </c>
      <c r="G1515" s="8">
        <f>IFERROR(__xludf.DUMMYFUNCTION("""COMPUTED_VALUE"""),1.0)</f>
        <v>1</v>
      </c>
      <c r="H1515" s="8">
        <f>IFERROR(__xludf.DUMMYFUNCTION("""COMPUTED_VALUE"""),0.0)</f>
        <v>0</v>
      </c>
      <c r="I1515" s="8" t="str">
        <f>IFERROR(__xludf.DUMMYFUNCTION("""COMPUTED_VALUE"""),"General Petite")</f>
        <v>General Petite</v>
      </c>
      <c r="J1515" s="8" t="str">
        <f>IFERROR(__xludf.DUMMYFUNCTION("""COMPUTED_VALUE"""),"Dresses")</f>
        <v>Dresses</v>
      </c>
      <c r="K1515" s="8" t="str">
        <f>IFERROR(__xludf.DUMMYFUNCTION("""COMPUTED_VALUE"""),"Dresses")</f>
        <v>Dresses</v>
      </c>
    </row>
    <row r="1516">
      <c r="A1516" s="8">
        <f>IFERROR(__xludf.DUMMYFUNCTION("""COMPUTED_VALUE"""),2005.0)</f>
        <v>2005</v>
      </c>
      <c r="B1516" s="8">
        <f>IFERROR(__xludf.DUMMYFUNCTION("""COMPUTED_VALUE"""),1083.0)</f>
        <v>1083</v>
      </c>
      <c r="C1516" s="8">
        <f>IFERROR(__xludf.DUMMYFUNCTION("""COMPUTED_VALUE"""),43.0)</f>
        <v>43</v>
      </c>
      <c r="D1516" s="8" t="str">
        <f>IFERROR(__xludf.DUMMYFUNCTION("""COMPUTED_VALUE"""),"Prettier in person")</f>
        <v>Prettier in person</v>
      </c>
      <c r="E1516" s="8" t="str">
        <f>IFERROR(__xludf.DUMMYFUNCTION("""COMPUTED_VALUE"""),"The picture online doesn't do this pretty dress justice. i'm curvy, and always searching for dresses that don't make me look like a sack of potatoes. its pin tucks at the bust give it a little shape, and the print is much more vibrant in person. will look"&amp;" great with tights and a black blazer for dinners out.")</f>
        <v>The picture online doesn't do this pretty dress justice. i'm curvy, and always searching for dresses that don't make me look like a sack of potatoes. its pin tucks at the bust give it a little shape, and the print is much more vibrant in person. will look great with tights and a black blazer for dinners out.</v>
      </c>
      <c r="F1516" s="8">
        <f>IFERROR(__xludf.DUMMYFUNCTION("""COMPUTED_VALUE"""),5.0)</f>
        <v>5</v>
      </c>
      <c r="G1516" s="8">
        <f>IFERROR(__xludf.DUMMYFUNCTION("""COMPUTED_VALUE"""),1.0)</f>
        <v>1</v>
      </c>
      <c r="H1516" s="8">
        <f>IFERROR(__xludf.DUMMYFUNCTION("""COMPUTED_VALUE"""),0.0)</f>
        <v>0</v>
      </c>
      <c r="I1516" s="8" t="str">
        <f>IFERROR(__xludf.DUMMYFUNCTION("""COMPUTED_VALUE"""),"General Petite")</f>
        <v>General Petite</v>
      </c>
      <c r="J1516" s="8" t="str">
        <f>IFERROR(__xludf.DUMMYFUNCTION("""COMPUTED_VALUE"""),"Dresses")</f>
        <v>Dresses</v>
      </c>
      <c r="K1516" s="8" t="str">
        <f>IFERROR(__xludf.DUMMYFUNCTION("""COMPUTED_VALUE"""),"Dresses")</f>
        <v>Dresses</v>
      </c>
    </row>
    <row r="1517">
      <c r="A1517" s="8">
        <f>IFERROR(__xludf.DUMMYFUNCTION("""COMPUTED_VALUE"""),2006.0)</f>
        <v>2006</v>
      </c>
      <c r="B1517" s="8">
        <f>IFERROR(__xludf.DUMMYFUNCTION("""COMPUTED_VALUE"""),1080.0)</f>
        <v>1080</v>
      </c>
      <c r="C1517" s="8">
        <f>IFERROR(__xludf.DUMMYFUNCTION("""COMPUTED_VALUE"""),83.0)</f>
        <v>83</v>
      </c>
      <c r="D1517" s="8" t="str">
        <f>IFERROR(__xludf.DUMMYFUNCTION("""COMPUTED_VALUE"""),"Perfection !")</f>
        <v>Perfection !</v>
      </c>
      <c r="E1517" s="8" t="str">
        <f>IFERROR(__xludf.DUMMYFUNCTION("""COMPUTED_VALUE"""),"Received this dress yesterday, love it!
my initial hesitation in ordering this dress, even though it is my fav color....was rather bright for sept..
but loved it and decided to order and wear it next spring.
delighted to open the package and see that the "&amp;"dress is much darker than in the pics...more of a jade green.
it is still a summer fabric/style, however the darker color will be perfect for the warmer fall days ahead.
this dress is beautifully made, superior workmanship, and the fabric i")</f>
        <v>Received this dress yesterday, love it!
my initial hesitation in ordering this dress, even though it is my fav color....was rather bright for sept..
but loved it and decided to order and wear it next spring.
delighted to open the package and see that the dress is much darker than in the pics...more of a jade green.
it is still a summer fabric/style, however the darker color will be perfect for the warmer fall days ahead.
this dress is beautifully made, superior workmanship, and the fabric i</v>
      </c>
      <c r="F1517" s="8">
        <f>IFERROR(__xludf.DUMMYFUNCTION("""COMPUTED_VALUE"""),5.0)</f>
        <v>5</v>
      </c>
      <c r="G1517" s="8">
        <f>IFERROR(__xludf.DUMMYFUNCTION("""COMPUTED_VALUE"""),1.0)</f>
        <v>1</v>
      </c>
      <c r="H1517" s="8">
        <f>IFERROR(__xludf.DUMMYFUNCTION("""COMPUTED_VALUE"""),5.0)</f>
        <v>5</v>
      </c>
      <c r="I1517" s="8" t="str">
        <f>IFERROR(__xludf.DUMMYFUNCTION("""COMPUTED_VALUE"""),"General")</f>
        <v>General</v>
      </c>
      <c r="J1517" s="8" t="str">
        <f>IFERROR(__xludf.DUMMYFUNCTION("""COMPUTED_VALUE"""),"Dresses")</f>
        <v>Dresses</v>
      </c>
      <c r="K1517" s="8" t="str">
        <f>IFERROR(__xludf.DUMMYFUNCTION("""COMPUTED_VALUE"""),"Dresses")</f>
        <v>Dresses</v>
      </c>
    </row>
    <row r="1518">
      <c r="A1518" s="8">
        <f>IFERROR(__xludf.DUMMYFUNCTION("""COMPUTED_VALUE"""),2008.0)</f>
        <v>2008</v>
      </c>
      <c r="B1518" s="8">
        <f>IFERROR(__xludf.DUMMYFUNCTION("""COMPUTED_VALUE"""),1083.0)</f>
        <v>1083</v>
      </c>
      <c r="C1518" s="8">
        <f>IFERROR(__xludf.DUMMYFUNCTION("""COMPUTED_VALUE"""),41.0)</f>
        <v>41</v>
      </c>
      <c r="D1518" s="8" t="str">
        <f>IFERROR(__xludf.DUMMYFUNCTION("""COMPUTED_VALUE"""),"Soooo pretty")</f>
        <v>Soooo pretty</v>
      </c>
      <c r="E1518" s="8" t="str">
        <f>IFERROR(__xludf.DUMMYFUNCTION("""COMPUTED_VALUE"""),"This dress is sure to become one of my favorites! i ordered it online and the colors are even prettier in person; very vivid! it is a little light for the climate where i live right now but, i'm sure that as soon as it gets a little warmer i will be weari"&amp;"ng it often. i can't wait!")</f>
        <v>This dress is sure to become one of my favorites! i ordered it online and the colors are even prettier in person; very vivid! it is a little light for the climate where i live right now but, i'm sure that as soon as it gets a little warmer i will be wearing it often. i can't wait!</v>
      </c>
      <c r="F1518" s="8">
        <f>IFERROR(__xludf.DUMMYFUNCTION("""COMPUTED_VALUE"""),5.0)</f>
        <v>5</v>
      </c>
      <c r="G1518" s="8">
        <f>IFERROR(__xludf.DUMMYFUNCTION("""COMPUTED_VALUE"""),1.0)</f>
        <v>1</v>
      </c>
      <c r="H1518" s="8">
        <f>IFERROR(__xludf.DUMMYFUNCTION("""COMPUTED_VALUE"""),0.0)</f>
        <v>0</v>
      </c>
      <c r="I1518" s="8" t="str">
        <f>IFERROR(__xludf.DUMMYFUNCTION("""COMPUTED_VALUE"""),"General Petite")</f>
        <v>General Petite</v>
      </c>
      <c r="J1518" s="8" t="str">
        <f>IFERROR(__xludf.DUMMYFUNCTION("""COMPUTED_VALUE"""),"Dresses")</f>
        <v>Dresses</v>
      </c>
      <c r="K1518" s="8" t="str">
        <f>IFERROR(__xludf.DUMMYFUNCTION("""COMPUTED_VALUE"""),"Dresses")</f>
        <v>Dresses</v>
      </c>
    </row>
    <row r="1519">
      <c r="A1519" s="8">
        <f>IFERROR(__xludf.DUMMYFUNCTION("""COMPUTED_VALUE"""),2009.0)</f>
        <v>2009</v>
      </c>
      <c r="B1519" s="8">
        <f>IFERROR(__xludf.DUMMYFUNCTION("""COMPUTED_VALUE"""),164.0)</f>
        <v>164</v>
      </c>
      <c r="C1519" s="8">
        <f>IFERROR(__xludf.DUMMYFUNCTION("""COMPUTED_VALUE"""),44.0)</f>
        <v>44</v>
      </c>
      <c r="D1519" s="8" t="str">
        <f>IFERROR(__xludf.DUMMYFUNCTION("""COMPUTED_VALUE"""),"Review for fit only")</f>
        <v>Review for fit only</v>
      </c>
      <c r="E1519" s="8" t="str">
        <f>IFERROR(__xludf.DUMMYFUNCTION("""COMPUTED_VALUE"""),"Nice but i thought these ran big. me: 28-29' waist, 36"" hips, athletic thighs. usually a medium in leggings but these size mediums were a bit baggy to my surprise. hoping to exchange for a size down as they are pretty, the ankle detail is fun and decentl"&amp;"y made.")</f>
        <v>Nice but i thought these ran big. me: 28-29' waist, 36" hips, athletic thighs. usually a medium in leggings but these size mediums were a bit baggy to my surprise. hoping to exchange for a size down as they are pretty, the ankle detail is fun and decently made.</v>
      </c>
      <c r="F1519" s="8">
        <f>IFERROR(__xludf.DUMMYFUNCTION("""COMPUTED_VALUE"""),4.0)</f>
        <v>4</v>
      </c>
      <c r="G1519" s="8">
        <f>IFERROR(__xludf.DUMMYFUNCTION("""COMPUTED_VALUE"""),1.0)</f>
        <v>1</v>
      </c>
      <c r="H1519" s="8">
        <f>IFERROR(__xludf.DUMMYFUNCTION("""COMPUTED_VALUE"""),0.0)</f>
        <v>0</v>
      </c>
      <c r="I1519" s="8" t="str">
        <f>IFERROR(__xludf.DUMMYFUNCTION("""COMPUTED_VALUE"""),"Initmates")</f>
        <v>Initmates</v>
      </c>
      <c r="J1519" s="8" t="str">
        <f>IFERROR(__xludf.DUMMYFUNCTION("""COMPUTED_VALUE"""),"Intimate")</f>
        <v>Intimate</v>
      </c>
      <c r="K1519" s="8" t="str">
        <f>IFERROR(__xludf.DUMMYFUNCTION("""COMPUTED_VALUE"""),"Lounge")</f>
        <v>Lounge</v>
      </c>
    </row>
    <row r="1520">
      <c r="A1520" s="8">
        <f>IFERROR(__xludf.DUMMYFUNCTION("""COMPUTED_VALUE"""),2010.0)</f>
        <v>2010</v>
      </c>
      <c r="B1520" s="8">
        <f>IFERROR(__xludf.DUMMYFUNCTION("""COMPUTED_VALUE"""),1083.0)</f>
        <v>1083</v>
      </c>
      <c r="C1520" s="8">
        <f>IFERROR(__xludf.DUMMYFUNCTION("""COMPUTED_VALUE"""),56.0)</f>
        <v>56</v>
      </c>
      <c r="D1520" s="8" t="str">
        <f>IFERROR(__xludf.DUMMYFUNCTION("""COMPUTED_VALUE"""),"So cute!")</f>
        <v>So cute!</v>
      </c>
      <c r="E1520" s="8" t="str">
        <f>IFERROR(__xludf.DUMMYFUNCTION("""COMPUTED_VALUE"""),"I absolutely love this dress! i wore it with taupe tights and suede boots and got so many compliments. i have also worn it over leggings, and can see myself wearing it in the warmer months with sandals. even though the material is somewhat thin, i did not"&amp;" have to wear a cami with it. the fabric pattern is really cute!")</f>
        <v>I absolutely love this dress! i wore it with taupe tights and suede boots and got so many compliments. i have also worn it over leggings, and can see myself wearing it in the warmer months with sandals. even though the material is somewhat thin, i did not have to wear a cami with it. the fabric pattern is really cute!</v>
      </c>
      <c r="F1520" s="8">
        <f>IFERROR(__xludf.DUMMYFUNCTION("""COMPUTED_VALUE"""),5.0)</f>
        <v>5</v>
      </c>
      <c r="G1520" s="8">
        <f>IFERROR(__xludf.DUMMYFUNCTION("""COMPUTED_VALUE"""),1.0)</f>
        <v>1</v>
      </c>
      <c r="H1520" s="8">
        <f>IFERROR(__xludf.DUMMYFUNCTION("""COMPUTED_VALUE"""),0.0)</f>
        <v>0</v>
      </c>
      <c r="I1520" s="8" t="str">
        <f>IFERROR(__xludf.DUMMYFUNCTION("""COMPUTED_VALUE"""),"General Petite")</f>
        <v>General Petite</v>
      </c>
      <c r="J1520" s="8" t="str">
        <f>IFERROR(__xludf.DUMMYFUNCTION("""COMPUTED_VALUE"""),"Dresses")</f>
        <v>Dresses</v>
      </c>
      <c r="K1520" s="8" t="str">
        <f>IFERROR(__xludf.DUMMYFUNCTION("""COMPUTED_VALUE"""),"Dresses")</f>
        <v>Dresses</v>
      </c>
    </row>
    <row r="1521">
      <c r="A1521" s="8">
        <f>IFERROR(__xludf.DUMMYFUNCTION("""COMPUTED_VALUE"""),2011.0)</f>
        <v>2011</v>
      </c>
      <c r="B1521" s="8">
        <f>IFERROR(__xludf.DUMMYFUNCTION("""COMPUTED_VALUE"""),862.0)</f>
        <v>862</v>
      </c>
      <c r="C1521" s="8">
        <f>IFERROR(__xludf.DUMMYFUNCTION("""COMPUTED_VALUE"""),41.0)</f>
        <v>41</v>
      </c>
      <c r="D1521" s="8" t="str">
        <f>IFERROR(__xludf.DUMMYFUNCTION("""COMPUTED_VALUE"""),"Beautiful shade of pink, very low-cut")</f>
        <v>Beautiful shade of pink, very low-cut</v>
      </c>
      <c r="E1521" s="8" t="str">
        <f>IFERROR(__xludf.DUMMYFUNCTION("""COMPUTED_VALUE"""),"I bought the pink, which is a vibrant but not neon shade of deep reddish pink. love it. i love how the flutter of the sleeves is balanced with a slimmer fitting body, which keeps it from looking frumpy. i did order a size down to achieve this look. i pref"&amp;"er a more tailored look so this suits me while satisfying my desire for a little whimsy now and then. my only issue is that it's too low cut. trying to decide if i just need to wear it with a lower-cut bra or if this requires a cami. i hate laye")</f>
        <v>I bought the pink, which is a vibrant but not neon shade of deep reddish pink. love it. i love how the flutter of the sleeves is balanced with a slimmer fitting body, which keeps it from looking frumpy. i did order a size down to achieve this look. i prefer a more tailored look so this suits me while satisfying my desire for a little whimsy now and then. my only issue is that it's too low cut. trying to decide if i just need to wear it with a lower-cut bra or if this requires a cami. i hate laye</v>
      </c>
      <c r="F1521" s="8">
        <f>IFERROR(__xludf.DUMMYFUNCTION("""COMPUTED_VALUE"""),4.0)</f>
        <v>4</v>
      </c>
      <c r="G1521" s="8">
        <f>IFERROR(__xludf.DUMMYFUNCTION("""COMPUTED_VALUE"""),1.0)</f>
        <v>1</v>
      </c>
      <c r="H1521" s="8">
        <f>IFERROR(__xludf.DUMMYFUNCTION("""COMPUTED_VALUE"""),2.0)</f>
        <v>2</v>
      </c>
      <c r="I1521" s="8" t="str">
        <f>IFERROR(__xludf.DUMMYFUNCTION("""COMPUTED_VALUE"""),"General Petite")</f>
        <v>General Petite</v>
      </c>
      <c r="J1521" s="8" t="str">
        <f>IFERROR(__xludf.DUMMYFUNCTION("""COMPUTED_VALUE"""),"Tops")</f>
        <v>Tops</v>
      </c>
      <c r="K1521" s="8" t="str">
        <f>IFERROR(__xludf.DUMMYFUNCTION("""COMPUTED_VALUE"""),"Knits")</f>
        <v>Knits</v>
      </c>
    </row>
    <row r="1522">
      <c r="A1522" s="8">
        <f>IFERROR(__xludf.DUMMYFUNCTION("""COMPUTED_VALUE"""),2012.0)</f>
        <v>2012</v>
      </c>
      <c r="B1522" s="8">
        <f>IFERROR(__xludf.DUMMYFUNCTION("""COMPUTED_VALUE"""),862.0)</f>
        <v>862</v>
      </c>
      <c r="C1522" s="8">
        <f>IFERROR(__xludf.DUMMYFUNCTION("""COMPUTED_VALUE"""),23.0)</f>
        <v>23</v>
      </c>
      <c r="D1522" s="8"/>
      <c r="E1522" s="8" t="str">
        <f>IFERROR(__xludf.DUMMYFUNCTION("""COMPUTED_VALUE"""),"I got the pink color, which is really vibrant and beautiful in person. this top is low cut, so if you don't like to show much cleavage plan to wear it over a cami.
i'm 5'5 145lbs, 37-29-39. got a size medium. it fits okay in the bust area, but is much lo"&amp;"oser than i would prefer below the bust. i will either return or exchange for a small to see if the fit is better.")</f>
        <v>I got the pink color, which is really vibrant and beautiful in person. this top is low cut, so if you don't like to show much cleavage plan to wear it over a cami.
i'm 5'5 145lbs, 37-29-39. got a size medium. it fits okay in the bust area, but is much looser than i would prefer below the bust. i will either return or exchange for a small to see if the fit is better.</v>
      </c>
      <c r="F1522" s="8">
        <f>IFERROR(__xludf.DUMMYFUNCTION("""COMPUTED_VALUE"""),4.0)</f>
        <v>4</v>
      </c>
      <c r="G1522" s="8">
        <f>IFERROR(__xludf.DUMMYFUNCTION("""COMPUTED_VALUE"""),1.0)</f>
        <v>1</v>
      </c>
      <c r="H1522" s="8">
        <f>IFERROR(__xludf.DUMMYFUNCTION("""COMPUTED_VALUE"""),3.0)</f>
        <v>3</v>
      </c>
      <c r="I1522" s="8" t="str">
        <f>IFERROR(__xludf.DUMMYFUNCTION("""COMPUTED_VALUE"""),"General Petite")</f>
        <v>General Petite</v>
      </c>
      <c r="J1522" s="8" t="str">
        <f>IFERROR(__xludf.DUMMYFUNCTION("""COMPUTED_VALUE"""),"Tops")</f>
        <v>Tops</v>
      </c>
      <c r="K1522" s="8" t="str">
        <f>IFERROR(__xludf.DUMMYFUNCTION("""COMPUTED_VALUE"""),"Knits")</f>
        <v>Knits</v>
      </c>
    </row>
    <row r="1523">
      <c r="A1523" s="8">
        <f>IFERROR(__xludf.DUMMYFUNCTION("""COMPUTED_VALUE"""),2013.0)</f>
        <v>2013</v>
      </c>
      <c r="B1523" s="8">
        <f>IFERROR(__xludf.DUMMYFUNCTION("""COMPUTED_VALUE"""),1134.0)</f>
        <v>1134</v>
      </c>
      <c r="C1523" s="8">
        <f>IFERROR(__xludf.DUMMYFUNCTION("""COMPUTED_VALUE"""),42.0)</f>
        <v>42</v>
      </c>
      <c r="D1523" s="8"/>
      <c r="E1523" s="8" t="str">
        <f>IFERROR(__xludf.DUMMYFUNCTION("""COMPUTED_VALUE"""),"I love sanctuary clothing. this parka is on the lighter side, good for this mild east coast winter. it is water repellent. the length hits me on my upper thigh and the sleeves are long ( good for longer limbs). i received many compliments.")</f>
        <v>I love sanctuary clothing. this parka is on the lighter side, good for this mild east coast winter. it is water repellent. the length hits me on my upper thigh and the sleeves are long ( good for longer limbs). i received many compliments.</v>
      </c>
      <c r="F1523" s="8">
        <f>IFERROR(__xludf.DUMMYFUNCTION("""COMPUTED_VALUE"""),5.0)</f>
        <v>5</v>
      </c>
      <c r="G1523" s="8">
        <f>IFERROR(__xludf.DUMMYFUNCTION("""COMPUTED_VALUE"""),1.0)</f>
        <v>1</v>
      </c>
      <c r="H1523" s="8">
        <f>IFERROR(__xludf.DUMMYFUNCTION("""COMPUTED_VALUE"""),4.0)</f>
        <v>4</v>
      </c>
      <c r="I1523" s="8" t="str">
        <f>IFERROR(__xludf.DUMMYFUNCTION("""COMPUTED_VALUE"""),"General")</f>
        <v>General</v>
      </c>
      <c r="J1523" s="8" t="str">
        <f>IFERROR(__xludf.DUMMYFUNCTION("""COMPUTED_VALUE"""),"Jackets")</f>
        <v>Jackets</v>
      </c>
      <c r="K1523" s="8" t="str">
        <f>IFERROR(__xludf.DUMMYFUNCTION("""COMPUTED_VALUE"""),"Outerwear")</f>
        <v>Outerwear</v>
      </c>
    </row>
    <row r="1524">
      <c r="A1524" s="8">
        <f>IFERROR(__xludf.DUMMYFUNCTION("""COMPUTED_VALUE"""),2014.0)</f>
        <v>2014</v>
      </c>
      <c r="B1524" s="8">
        <f>IFERROR(__xludf.DUMMYFUNCTION("""COMPUTED_VALUE"""),1110.0)</f>
        <v>1110</v>
      </c>
      <c r="C1524" s="8">
        <f>IFERROR(__xludf.DUMMYFUNCTION("""COMPUTED_VALUE"""),36.0)</f>
        <v>36</v>
      </c>
      <c r="D1524" s="8"/>
      <c r="E1524" s="8" t="str">
        <f>IFERROR(__xludf.DUMMYFUNCTION("""COMPUTED_VALUE"""),"Very flattering, not too short, beautiful. i'm 5.6, 36d, usually wear m in dresses, wide hips. the 8 fit very nicely.")</f>
        <v>Very flattering, not too short, beautiful. i'm 5.6, 36d, usually wear m in dresses, wide hips. the 8 fit very nicely.</v>
      </c>
      <c r="F1524" s="8">
        <f>IFERROR(__xludf.DUMMYFUNCTION("""COMPUTED_VALUE"""),5.0)</f>
        <v>5</v>
      </c>
      <c r="G1524" s="8">
        <f>IFERROR(__xludf.DUMMYFUNCTION("""COMPUTED_VALUE"""),1.0)</f>
        <v>1</v>
      </c>
      <c r="H1524" s="8">
        <f>IFERROR(__xludf.DUMMYFUNCTION("""COMPUTED_VALUE"""),0.0)</f>
        <v>0</v>
      </c>
      <c r="I1524" s="8" t="str">
        <f>IFERROR(__xludf.DUMMYFUNCTION("""COMPUTED_VALUE"""),"General Petite")</f>
        <v>General Petite</v>
      </c>
      <c r="J1524" s="8" t="str">
        <f>IFERROR(__xludf.DUMMYFUNCTION("""COMPUTED_VALUE"""),"Dresses")</f>
        <v>Dresses</v>
      </c>
      <c r="K1524" s="8" t="str">
        <f>IFERROR(__xludf.DUMMYFUNCTION("""COMPUTED_VALUE"""),"Dresses")</f>
        <v>Dresses</v>
      </c>
    </row>
    <row r="1525">
      <c r="A1525" s="8">
        <f>IFERROR(__xludf.DUMMYFUNCTION("""COMPUTED_VALUE"""),2015.0)</f>
        <v>2015</v>
      </c>
      <c r="B1525" s="8">
        <f>IFERROR(__xludf.DUMMYFUNCTION("""COMPUTED_VALUE"""),867.0)</f>
        <v>867</v>
      </c>
      <c r="C1525" s="8">
        <f>IFERROR(__xludf.DUMMYFUNCTION("""COMPUTED_VALUE"""),79.0)</f>
        <v>79</v>
      </c>
      <c r="D1525" s="8" t="str">
        <f>IFERROR(__xludf.DUMMYFUNCTION("""COMPUTED_VALUE"""),"Very flattering!")</f>
        <v>Very flattering!</v>
      </c>
      <c r="E1525" s="8" t="str">
        <f>IFERROR(__xludf.DUMMYFUNCTION("""COMPUTED_VALUE"""),"Finally a white top that is not see through! this tank is very form fitting and flattering, but does not hug too tight. i am neither large nor small breasted and love the way the v-neck fits on me. for reference, i am 5'2, 105#, 32c and i got the xxs.")</f>
        <v>Finally a white top that is not see through! this tank is very form fitting and flattering, but does not hug too tight. i am neither large nor small breasted and love the way the v-neck fits on me. for reference, i am 5'2, 105#, 32c and i got the xxs.</v>
      </c>
      <c r="F1525" s="8">
        <f>IFERROR(__xludf.DUMMYFUNCTION("""COMPUTED_VALUE"""),5.0)</f>
        <v>5</v>
      </c>
      <c r="G1525" s="8">
        <f>IFERROR(__xludf.DUMMYFUNCTION("""COMPUTED_VALUE"""),1.0)</f>
        <v>1</v>
      </c>
      <c r="H1525" s="8">
        <f>IFERROR(__xludf.DUMMYFUNCTION("""COMPUTED_VALUE"""),0.0)</f>
        <v>0</v>
      </c>
      <c r="I1525" s="8" t="str">
        <f>IFERROR(__xludf.DUMMYFUNCTION("""COMPUTED_VALUE"""),"General")</f>
        <v>General</v>
      </c>
      <c r="J1525" s="8" t="str">
        <f>IFERROR(__xludf.DUMMYFUNCTION("""COMPUTED_VALUE"""),"Tops")</f>
        <v>Tops</v>
      </c>
      <c r="K1525" s="8" t="str">
        <f>IFERROR(__xludf.DUMMYFUNCTION("""COMPUTED_VALUE"""),"Knits")</f>
        <v>Knits</v>
      </c>
    </row>
    <row r="1526">
      <c r="A1526" s="8">
        <f>IFERROR(__xludf.DUMMYFUNCTION("""COMPUTED_VALUE"""),2016.0)</f>
        <v>2016</v>
      </c>
      <c r="B1526" s="8">
        <f>IFERROR(__xludf.DUMMYFUNCTION("""COMPUTED_VALUE"""),862.0)</f>
        <v>862</v>
      </c>
      <c r="C1526" s="8">
        <f>IFERROR(__xludf.DUMMYFUNCTION("""COMPUTED_VALUE"""),66.0)</f>
        <v>66</v>
      </c>
      <c r="D1526" s="8" t="str">
        <f>IFERROR(__xludf.DUMMYFUNCTION("""COMPUTED_VALUE"""),"A step up!")</f>
        <v>A step up!</v>
      </c>
      <c r="E1526" s="8" t="str">
        <f>IFERROR(__xludf.DUMMYFUNCTION("""COMPUTED_VALUE"""),"Very pleasantly surprised by this top! it's looser, but in a flowy not baggy way. i ordered the m. the
vee is just right on me, tasteful but just low enough. love the sleeve length
ordered thinking another black tee , but it's going to be well used,and gr"&amp;"eat for evenings.")</f>
        <v>Very pleasantly surprised by this top! it's looser, but in a flowy not baggy way. i ordered the m. the
vee is just right on me, tasteful but just low enough. love the sleeve length
ordered thinking another black tee , but it's going to be well used,and great for evenings.</v>
      </c>
      <c r="F1526" s="8">
        <f>IFERROR(__xludf.DUMMYFUNCTION("""COMPUTED_VALUE"""),5.0)</f>
        <v>5</v>
      </c>
      <c r="G1526" s="8">
        <f>IFERROR(__xludf.DUMMYFUNCTION("""COMPUTED_VALUE"""),1.0)</f>
        <v>1</v>
      </c>
      <c r="H1526" s="8">
        <f>IFERROR(__xludf.DUMMYFUNCTION("""COMPUTED_VALUE"""),0.0)</f>
        <v>0</v>
      </c>
      <c r="I1526" s="8" t="str">
        <f>IFERROR(__xludf.DUMMYFUNCTION("""COMPUTED_VALUE"""),"General Petite")</f>
        <v>General Petite</v>
      </c>
      <c r="J1526" s="8" t="str">
        <f>IFERROR(__xludf.DUMMYFUNCTION("""COMPUTED_VALUE"""),"Tops")</f>
        <v>Tops</v>
      </c>
      <c r="K1526" s="8" t="str">
        <f>IFERROR(__xludf.DUMMYFUNCTION("""COMPUTED_VALUE"""),"Knits")</f>
        <v>Knits</v>
      </c>
    </row>
    <row r="1527">
      <c r="A1527" s="8">
        <f>IFERROR(__xludf.DUMMYFUNCTION("""COMPUTED_VALUE"""),2017.0)</f>
        <v>2017</v>
      </c>
      <c r="B1527" s="8">
        <f>IFERROR(__xludf.DUMMYFUNCTION("""COMPUTED_VALUE"""),927.0)</f>
        <v>927</v>
      </c>
      <c r="C1527" s="8">
        <f>IFERROR(__xludf.DUMMYFUNCTION("""COMPUTED_VALUE"""),41.0)</f>
        <v>41</v>
      </c>
      <c r="D1527" s="8" t="str">
        <f>IFERROR(__xludf.DUMMYFUNCTION("""COMPUTED_VALUE"""),"Beautiful, soft and cozy")</f>
        <v>Beautiful, soft and cozy</v>
      </c>
      <c r="E1527" s="8" t="str">
        <f>IFERROR(__xludf.DUMMYFUNCTION("""COMPUTED_VALUE"""),"As one would expect from boucle, this sweater is incredibly soft, warm and cozy without being heavy. i fell in love with it when i first saw it and got it in white color. it's beautiful, goes with casual and work clothing (belt helps with the latter styli"&amp;"ng), and it didn't leave lint on the dark skirt i wore with it to work! i usually wear xs or s and found this sweater to be still roomy in xs, with sleeves being a bit long. i hope it won't stretch with wear as boucles sometimes do - that's my o")</f>
        <v>As one would expect from boucle, this sweater is incredibly soft, warm and cozy without being heavy. i fell in love with it when i first saw it and got it in white color. it's beautiful, goes with casual and work clothing (belt helps with the latter styling), and it didn't leave lint on the dark skirt i wore with it to work! i usually wear xs or s and found this sweater to be still roomy in xs, with sleeves being a bit long. i hope it won't stretch with wear as boucles sometimes do - that's my o</v>
      </c>
      <c r="F1527" s="8">
        <f>IFERROR(__xludf.DUMMYFUNCTION("""COMPUTED_VALUE"""),4.0)</f>
        <v>4</v>
      </c>
      <c r="G1527" s="8">
        <f>IFERROR(__xludf.DUMMYFUNCTION("""COMPUTED_VALUE"""),1.0)</f>
        <v>1</v>
      </c>
      <c r="H1527" s="8">
        <f>IFERROR(__xludf.DUMMYFUNCTION("""COMPUTED_VALUE"""),3.0)</f>
        <v>3</v>
      </c>
      <c r="I1527" s="8" t="str">
        <f>IFERROR(__xludf.DUMMYFUNCTION("""COMPUTED_VALUE"""),"General Petite")</f>
        <v>General Petite</v>
      </c>
      <c r="J1527" s="8" t="str">
        <f>IFERROR(__xludf.DUMMYFUNCTION("""COMPUTED_VALUE"""),"Tops")</f>
        <v>Tops</v>
      </c>
      <c r="K1527" s="8" t="str">
        <f>IFERROR(__xludf.DUMMYFUNCTION("""COMPUTED_VALUE"""),"Sweaters")</f>
        <v>Sweaters</v>
      </c>
    </row>
    <row r="1528">
      <c r="A1528" s="8">
        <f>IFERROR(__xludf.DUMMYFUNCTION("""COMPUTED_VALUE"""),2019.0)</f>
        <v>2019</v>
      </c>
      <c r="B1528" s="8">
        <f>IFERROR(__xludf.DUMMYFUNCTION("""COMPUTED_VALUE"""),1095.0)</f>
        <v>1095</v>
      </c>
      <c r="C1528" s="8">
        <f>IFERROR(__xludf.DUMMYFUNCTION("""COMPUTED_VALUE"""),29.0)</f>
        <v>29</v>
      </c>
      <c r="D1528" s="8" t="str">
        <f>IFERROR(__xludf.DUMMYFUNCTION("""COMPUTED_VALUE"""),"Well made. beautiful colors")</f>
        <v>Well made. beautiful colors</v>
      </c>
      <c r="E1528" s="8" t="str">
        <f>IFERROR(__xludf.DUMMYFUNCTION("""COMPUTED_VALUE"""),"Gorgeous dress! fits true to size with high quality material. the colors are stunning.")</f>
        <v>Gorgeous dress! fits true to size with high quality material. the colors are stunning.</v>
      </c>
      <c r="F1528" s="8">
        <f>IFERROR(__xludf.DUMMYFUNCTION("""COMPUTED_VALUE"""),5.0)</f>
        <v>5</v>
      </c>
      <c r="G1528" s="8">
        <f>IFERROR(__xludf.DUMMYFUNCTION("""COMPUTED_VALUE"""),1.0)</f>
        <v>1</v>
      </c>
      <c r="H1528" s="8">
        <f>IFERROR(__xludf.DUMMYFUNCTION("""COMPUTED_VALUE"""),3.0)</f>
        <v>3</v>
      </c>
      <c r="I1528" s="8" t="str">
        <f>IFERROR(__xludf.DUMMYFUNCTION("""COMPUTED_VALUE"""),"General Petite")</f>
        <v>General Petite</v>
      </c>
      <c r="J1528" s="8" t="str">
        <f>IFERROR(__xludf.DUMMYFUNCTION("""COMPUTED_VALUE"""),"Dresses")</f>
        <v>Dresses</v>
      </c>
      <c r="K1528" s="8" t="str">
        <f>IFERROR(__xludf.DUMMYFUNCTION("""COMPUTED_VALUE"""),"Dresses")</f>
        <v>Dresses</v>
      </c>
    </row>
    <row r="1529">
      <c r="A1529" s="8">
        <f>IFERROR(__xludf.DUMMYFUNCTION("""COMPUTED_VALUE"""),2020.0)</f>
        <v>2020</v>
      </c>
      <c r="B1529" s="8">
        <f>IFERROR(__xludf.DUMMYFUNCTION("""COMPUTED_VALUE"""),1022.0)</f>
        <v>1022</v>
      </c>
      <c r="C1529" s="8">
        <f>IFERROR(__xludf.DUMMYFUNCTION("""COMPUTED_VALUE"""),21.0)</f>
        <v>21</v>
      </c>
      <c r="D1529" s="8" t="str">
        <f>IFERROR(__xludf.DUMMYFUNCTION("""COMPUTED_VALUE"""),"Awesome pair of high waisted jeans")</f>
        <v>Awesome pair of high waisted jeans</v>
      </c>
      <c r="E1529" s="8" t="str">
        <f>IFERROR(__xludf.DUMMYFUNCTION("""COMPUTED_VALUE"""),"These jeans are awesome! i usually wear a 26 in ag jeans as they tend to stretch, but i ordered a 27p because i am only 5'1 and these are a flare style. i have a small waist but a larger booty, and these jeans hug me in all the right places. they also hav"&amp;"e a great dark color and are super classy so you can dress them up if need be. the only thing i didn't like was the length. even with the petite size i have to wear wedges so they don't drag on the ground. but, this is an issue i have with most")</f>
        <v>These jeans are awesome! i usually wear a 26 in ag jeans as they tend to stretch, but i ordered a 27p because i am only 5'1 and these are a flare style. i have a small waist but a larger booty, and these jeans hug me in all the right places. they also have a great dark color and are super classy so you can dress them up if need be. the only thing i didn't like was the length. even with the petite size i have to wear wedges so they don't drag on the ground. but, this is an issue i have with most</v>
      </c>
      <c r="F1529" s="8">
        <f>IFERROR(__xludf.DUMMYFUNCTION("""COMPUTED_VALUE"""),4.0)</f>
        <v>4</v>
      </c>
      <c r="G1529" s="8">
        <f>IFERROR(__xludf.DUMMYFUNCTION("""COMPUTED_VALUE"""),1.0)</f>
        <v>1</v>
      </c>
      <c r="H1529" s="8">
        <f>IFERROR(__xludf.DUMMYFUNCTION("""COMPUTED_VALUE"""),6.0)</f>
        <v>6</v>
      </c>
      <c r="I1529" s="8" t="str">
        <f>IFERROR(__xludf.DUMMYFUNCTION("""COMPUTED_VALUE"""),"General")</f>
        <v>General</v>
      </c>
      <c r="J1529" s="8" t="str">
        <f>IFERROR(__xludf.DUMMYFUNCTION("""COMPUTED_VALUE"""),"Bottoms")</f>
        <v>Bottoms</v>
      </c>
      <c r="K1529" s="8" t="str">
        <f>IFERROR(__xludf.DUMMYFUNCTION("""COMPUTED_VALUE"""),"Jeans")</f>
        <v>Jeans</v>
      </c>
    </row>
    <row r="1530">
      <c r="A1530" s="8">
        <f>IFERROR(__xludf.DUMMYFUNCTION("""COMPUTED_VALUE"""),2021.0)</f>
        <v>2021</v>
      </c>
      <c r="B1530" s="8">
        <f>IFERROR(__xludf.DUMMYFUNCTION("""COMPUTED_VALUE"""),1110.0)</f>
        <v>1110</v>
      </c>
      <c r="C1530" s="8">
        <f>IFERROR(__xludf.DUMMYFUNCTION("""COMPUTED_VALUE"""),56.0)</f>
        <v>56</v>
      </c>
      <c r="D1530" s="8" t="str">
        <f>IFERROR(__xludf.DUMMYFUNCTION("""COMPUTED_VALUE"""),"One of the most beautiful dresses i have ever seen")</f>
        <v>One of the most beautiful dresses i have ever seen</v>
      </c>
      <c r="E1530" s="8" t="str">
        <f>IFERROR(__xludf.DUMMYFUNCTION("""COMPUTED_VALUE"""),"I purchased this dress online after two reviews and i am so glad i did. this is a work of art and beauty and will be my go to dress for spring and summer weddings, special occasions and other events. i am so glad the arms are covered with lace and flowers"&amp;". this is spectacular.")</f>
        <v>I purchased this dress online after two reviews and i am so glad i did. this is a work of art and beauty and will be my go to dress for spring and summer weddings, special occasions and other events. i am so glad the arms are covered with lace and flowers. this is spectacular.</v>
      </c>
      <c r="F1530" s="8">
        <f>IFERROR(__xludf.DUMMYFUNCTION("""COMPUTED_VALUE"""),5.0)</f>
        <v>5</v>
      </c>
      <c r="G1530" s="8">
        <f>IFERROR(__xludf.DUMMYFUNCTION("""COMPUTED_VALUE"""),1.0)</f>
        <v>1</v>
      </c>
      <c r="H1530" s="8">
        <f>IFERROR(__xludf.DUMMYFUNCTION("""COMPUTED_VALUE"""),1.0)</f>
        <v>1</v>
      </c>
      <c r="I1530" s="8" t="str">
        <f>IFERROR(__xludf.DUMMYFUNCTION("""COMPUTED_VALUE"""),"General")</f>
        <v>General</v>
      </c>
      <c r="J1530" s="8" t="str">
        <f>IFERROR(__xludf.DUMMYFUNCTION("""COMPUTED_VALUE"""),"Dresses")</f>
        <v>Dresses</v>
      </c>
      <c r="K1530" s="8" t="str">
        <f>IFERROR(__xludf.DUMMYFUNCTION("""COMPUTED_VALUE"""),"Dresses")</f>
        <v>Dresses</v>
      </c>
    </row>
    <row r="1531">
      <c r="A1531" s="8">
        <f>IFERROR(__xludf.DUMMYFUNCTION("""COMPUTED_VALUE"""),2024.0)</f>
        <v>2024</v>
      </c>
      <c r="B1531" s="8">
        <f>IFERROR(__xludf.DUMMYFUNCTION("""COMPUTED_VALUE"""),862.0)</f>
        <v>862</v>
      </c>
      <c r="C1531" s="8">
        <f>IFERROR(__xludf.DUMMYFUNCTION("""COMPUTED_VALUE"""),45.0)</f>
        <v>45</v>
      </c>
      <c r="D1531" s="8" t="str">
        <f>IFERROR(__xludf.DUMMYFUNCTION("""COMPUTED_VALUE"""),"Cute top!")</f>
        <v>Cute top!</v>
      </c>
      <c r="E1531" s="8" t="str">
        <f>IFERROR(__xludf.DUMMYFUNCTION("""COMPUTED_VALUE"""),"I'm either a medium or large in retailer tops. i was able to wear a medium in this top. the color is vibrant and the material is soft and light. it will be a great spring and summer top. can't wait to wear it.")</f>
        <v>I'm either a medium or large in retailer tops. i was able to wear a medium in this top. the color is vibrant and the material is soft and light. it will be a great spring and summer top. can't wait to wear it.</v>
      </c>
      <c r="F1531" s="8">
        <f>IFERROR(__xludf.DUMMYFUNCTION("""COMPUTED_VALUE"""),5.0)</f>
        <v>5</v>
      </c>
      <c r="G1531" s="8">
        <f>IFERROR(__xludf.DUMMYFUNCTION("""COMPUTED_VALUE"""),1.0)</f>
        <v>1</v>
      </c>
      <c r="H1531" s="8">
        <f>IFERROR(__xludf.DUMMYFUNCTION("""COMPUTED_VALUE"""),1.0)</f>
        <v>1</v>
      </c>
      <c r="I1531" s="8" t="str">
        <f>IFERROR(__xludf.DUMMYFUNCTION("""COMPUTED_VALUE"""),"General Petite")</f>
        <v>General Petite</v>
      </c>
      <c r="J1531" s="8" t="str">
        <f>IFERROR(__xludf.DUMMYFUNCTION("""COMPUTED_VALUE"""),"Tops")</f>
        <v>Tops</v>
      </c>
      <c r="K1531" s="8" t="str">
        <f>IFERROR(__xludf.DUMMYFUNCTION("""COMPUTED_VALUE"""),"Knits")</f>
        <v>Knits</v>
      </c>
    </row>
    <row r="1532">
      <c r="A1532" s="8">
        <f>IFERROR(__xludf.DUMMYFUNCTION("""COMPUTED_VALUE"""),2025.0)</f>
        <v>2025</v>
      </c>
      <c r="B1532" s="8">
        <f>IFERROR(__xludf.DUMMYFUNCTION("""COMPUTED_VALUE"""),1075.0)</f>
        <v>1075</v>
      </c>
      <c r="C1532" s="8">
        <f>IFERROR(__xludf.DUMMYFUNCTION("""COMPUTED_VALUE"""),37.0)</f>
        <v>37</v>
      </c>
      <c r="D1532" s="8" t="str">
        <f>IFERROR(__xludf.DUMMYFUNCTION("""COMPUTED_VALUE"""),"Love it. stylish but comfortable and low key")</f>
        <v>Love it. stylish but comfortable and low key</v>
      </c>
      <c r="E1532" s="8" t="str">
        <f>IFERROR(__xludf.DUMMYFUNCTION("""COMPUTED_VALUE"""),"This dress runs large so i sized down. when it arrived i looked at it and thought the fabric was ugly and boring for a dress. it sat there for about two weeks till i tried it on. i love it! it is so comfortable and is so cute how the pockets hang. all it "&amp;"need is some long necklaces or a scarf to complete the look. i get complements on it everytime i wear it. my only complaint is that it peels under the arms a little bit.")</f>
        <v>This dress runs large so i sized down. when it arrived i looked at it and thought the fabric was ugly and boring for a dress. it sat there for about two weeks till i tried it on. i love it! it is so comfortable and is so cute how the pockets hang. all it need is some long necklaces or a scarf to complete the look. i get complements on it everytime i wear it. my only complaint is that it peels under the arms a little bit.</v>
      </c>
      <c r="F1532" s="8">
        <f>IFERROR(__xludf.DUMMYFUNCTION("""COMPUTED_VALUE"""),5.0)</f>
        <v>5</v>
      </c>
      <c r="G1532" s="8">
        <f>IFERROR(__xludf.DUMMYFUNCTION("""COMPUTED_VALUE"""),1.0)</f>
        <v>1</v>
      </c>
      <c r="H1532" s="8">
        <f>IFERROR(__xludf.DUMMYFUNCTION("""COMPUTED_VALUE"""),0.0)</f>
        <v>0</v>
      </c>
      <c r="I1532" s="8" t="str">
        <f>IFERROR(__xludf.DUMMYFUNCTION("""COMPUTED_VALUE"""),"General")</f>
        <v>General</v>
      </c>
      <c r="J1532" s="8" t="str">
        <f>IFERROR(__xludf.DUMMYFUNCTION("""COMPUTED_VALUE"""),"Dresses")</f>
        <v>Dresses</v>
      </c>
      <c r="K1532" s="8" t="str">
        <f>IFERROR(__xludf.DUMMYFUNCTION("""COMPUTED_VALUE"""),"Dresses")</f>
        <v>Dresses</v>
      </c>
    </row>
    <row r="1533">
      <c r="A1533" s="8">
        <f>IFERROR(__xludf.DUMMYFUNCTION("""COMPUTED_VALUE"""),2026.0)</f>
        <v>2026</v>
      </c>
      <c r="B1533" s="8">
        <f>IFERROR(__xludf.DUMMYFUNCTION("""COMPUTED_VALUE"""),1095.0)</f>
        <v>1095</v>
      </c>
      <c r="C1533" s="8">
        <f>IFERROR(__xludf.DUMMYFUNCTION("""COMPUTED_VALUE"""),32.0)</f>
        <v>32</v>
      </c>
      <c r="D1533" s="8" t="str">
        <f>IFERROR(__xludf.DUMMYFUNCTION("""COMPUTED_VALUE"""),"Such a beautiful well fitting dress !")</f>
        <v>Such a beautiful well fitting dress !</v>
      </c>
      <c r="E1533" s="8" t="str">
        <f>IFERROR(__xludf.DUMMYFUNCTION("""COMPUTED_VALUE"""),"This dress is amazing ! the colors in person are so vibrant and yet organic somehow at the same time. perhaps this is because the fabric has a really nice depth and texture to it. i got this dress for a summer wedding and it's casual yet dressy at the sam"&amp;"e time. 
re: fit - the best thing about this dress - is a fit ! it's so incredibly flattering on, it fits like a glove. it just hugs your figure in the most flattering way, especially if you have an hourglass figure. the fit is true to size -")</f>
        <v>This dress is amazing ! the colors in person are so vibrant and yet organic somehow at the same time. perhaps this is because the fabric has a really nice depth and texture to it. i got this dress for a summer wedding and it's casual yet dressy at the same time. 
re: fit - the best thing about this dress - is a fit ! it's so incredibly flattering on, it fits like a glove. it just hugs your figure in the most flattering way, especially if you have an hourglass figure. the fit is true to size -</v>
      </c>
      <c r="F1533" s="8">
        <f>IFERROR(__xludf.DUMMYFUNCTION("""COMPUTED_VALUE"""),5.0)</f>
        <v>5</v>
      </c>
      <c r="G1533" s="8">
        <f>IFERROR(__xludf.DUMMYFUNCTION("""COMPUTED_VALUE"""),1.0)</f>
        <v>1</v>
      </c>
      <c r="H1533" s="8">
        <f>IFERROR(__xludf.DUMMYFUNCTION("""COMPUTED_VALUE"""),12.0)</f>
        <v>12</v>
      </c>
      <c r="I1533" s="8" t="str">
        <f>IFERROR(__xludf.DUMMYFUNCTION("""COMPUTED_VALUE"""),"General Petite")</f>
        <v>General Petite</v>
      </c>
      <c r="J1533" s="8" t="str">
        <f>IFERROR(__xludf.DUMMYFUNCTION("""COMPUTED_VALUE"""),"Dresses")</f>
        <v>Dresses</v>
      </c>
      <c r="K1533" s="8" t="str">
        <f>IFERROR(__xludf.DUMMYFUNCTION("""COMPUTED_VALUE"""),"Dresses")</f>
        <v>Dresses</v>
      </c>
    </row>
    <row r="1534">
      <c r="A1534" s="8">
        <f>IFERROR(__xludf.DUMMYFUNCTION("""COMPUTED_VALUE"""),2027.0)</f>
        <v>2027</v>
      </c>
      <c r="B1534" s="8">
        <f>IFERROR(__xludf.DUMMYFUNCTION("""COMPUTED_VALUE"""),1083.0)</f>
        <v>1083</v>
      </c>
      <c r="C1534" s="8">
        <f>IFERROR(__xludf.DUMMYFUNCTION("""COMPUTED_VALUE"""),36.0)</f>
        <v>36</v>
      </c>
      <c r="D1534" s="8" t="str">
        <f>IFERROR(__xludf.DUMMYFUNCTION("""COMPUTED_VALUE"""),"Comfy and cute")</f>
        <v>Comfy and cute</v>
      </c>
      <c r="E1534" s="8" t="str">
        <f>IFERROR(__xludf.DUMMYFUNCTION("""COMPUTED_VALUE"""),"Love the pockets! fits loose, but lies nicely. comfy but able to be dressed up or down. great versatile dress.")</f>
        <v>Love the pockets! fits loose, but lies nicely. comfy but able to be dressed up or down. great versatile dress.</v>
      </c>
      <c r="F1534" s="8">
        <f>IFERROR(__xludf.DUMMYFUNCTION("""COMPUTED_VALUE"""),4.0)</f>
        <v>4</v>
      </c>
      <c r="G1534" s="8">
        <f>IFERROR(__xludf.DUMMYFUNCTION("""COMPUTED_VALUE"""),1.0)</f>
        <v>1</v>
      </c>
      <c r="H1534" s="8">
        <f>IFERROR(__xludf.DUMMYFUNCTION("""COMPUTED_VALUE"""),0.0)</f>
        <v>0</v>
      </c>
      <c r="I1534" s="8" t="str">
        <f>IFERROR(__xludf.DUMMYFUNCTION("""COMPUTED_VALUE"""),"General Petite")</f>
        <v>General Petite</v>
      </c>
      <c r="J1534" s="8" t="str">
        <f>IFERROR(__xludf.DUMMYFUNCTION("""COMPUTED_VALUE"""),"Dresses")</f>
        <v>Dresses</v>
      </c>
      <c r="K1534" s="8" t="str">
        <f>IFERROR(__xludf.DUMMYFUNCTION("""COMPUTED_VALUE"""),"Dresses")</f>
        <v>Dresses</v>
      </c>
    </row>
    <row r="1535">
      <c r="A1535" s="8">
        <f>IFERROR(__xludf.DUMMYFUNCTION("""COMPUTED_VALUE"""),2028.0)</f>
        <v>2028</v>
      </c>
      <c r="B1535" s="8">
        <f>IFERROR(__xludf.DUMMYFUNCTION("""COMPUTED_VALUE"""),862.0)</f>
        <v>862</v>
      </c>
      <c r="C1535" s="8">
        <f>IFERROR(__xludf.DUMMYFUNCTION("""COMPUTED_VALUE"""),48.0)</f>
        <v>48</v>
      </c>
      <c r="D1535" s="8"/>
      <c r="E1535" s="8" t="str">
        <f>IFERROR(__xludf.DUMMYFUNCTION("""COMPUTED_VALUE"""),"This t-shirt does a great job of elevating the basic t-shirt in to one with a touch of flair. i typically wear a medium but luckily read earlier reviews and went with the small.")</f>
        <v>This t-shirt does a great job of elevating the basic t-shirt in to one with a touch of flair. i typically wear a medium but luckily read earlier reviews and went with the small.</v>
      </c>
      <c r="F1535" s="8">
        <f>IFERROR(__xludf.DUMMYFUNCTION("""COMPUTED_VALUE"""),4.0)</f>
        <v>4</v>
      </c>
      <c r="G1535" s="8">
        <f>IFERROR(__xludf.DUMMYFUNCTION("""COMPUTED_VALUE"""),1.0)</f>
        <v>1</v>
      </c>
      <c r="H1535" s="8">
        <f>IFERROR(__xludf.DUMMYFUNCTION("""COMPUTED_VALUE"""),0.0)</f>
        <v>0</v>
      </c>
      <c r="I1535" s="8" t="str">
        <f>IFERROR(__xludf.DUMMYFUNCTION("""COMPUTED_VALUE"""),"General Petite")</f>
        <v>General Petite</v>
      </c>
      <c r="J1535" s="8" t="str">
        <f>IFERROR(__xludf.DUMMYFUNCTION("""COMPUTED_VALUE"""),"Tops")</f>
        <v>Tops</v>
      </c>
      <c r="K1535" s="8" t="str">
        <f>IFERROR(__xludf.DUMMYFUNCTION("""COMPUTED_VALUE"""),"Knits")</f>
        <v>Knits</v>
      </c>
    </row>
    <row r="1536">
      <c r="A1536" s="8">
        <f>IFERROR(__xludf.DUMMYFUNCTION("""COMPUTED_VALUE"""),2029.0)</f>
        <v>2029</v>
      </c>
      <c r="B1536" s="8">
        <f>IFERROR(__xludf.DUMMYFUNCTION("""COMPUTED_VALUE"""),1110.0)</f>
        <v>1110</v>
      </c>
      <c r="C1536" s="8">
        <f>IFERROR(__xludf.DUMMYFUNCTION("""COMPUTED_VALUE"""),48.0)</f>
        <v>48</v>
      </c>
      <c r="D1536" s="8" t="str">
        <f>IFERROR(__xludf.DUMMYFUNCTION("""COMPUTED_VALUE"""),"Absolutely gorgeous!")</f>
        <v>Absolutely gorgeous!</v>
      </c>
      <c r="E1536" s="8" t="str">
        <f>IFERROR(__xludf.DUMMYFUNCTION("""COMPUTED_VALUE"""),"I'm so happy to add this lovely and unusual dress to my fall wardrobe. i absolutely fell in love with it the moment i tried it on. i wear a two or four, depending on the designer, and the two fit me perfectly. another reviewer said it's special occasion o"&amp;"nly, but i like it so much, i'll wear it more often. with that said, it's a wonderful go-to dress for the holiday season.")</f>
        <v>I'm so happy to add this lovely and unusual dress to my fall wardrobe. i absolutely fell in love with it the moment i tried it on. i wear a two or four, depending on the designer, and the two fit me perfectly. another reviewer said it's special occasion only, but i like it so much, i'll wear it more often. with that said, it's a wonderful go-to dress for the holiday season.</v>
      </c>
      <c r="F1536" s="8">
        <f>IFERROR(__xludf.DUMMYFUNCTION("""COMPUTED_VALUE"""),5.0)</f>
        <v>5</v>
      </c>
      <c r="G1536" s="8">
        <f>IFERROR(__xludf.DUMMYFUNCTION("""COMPUTED_VALUE"""),1.0)</f>
        <v>1</v>
      </c>
      <c r="H1536" s="8">
        <f>IFERROR(__xludf.DUMMYFUNCTION("""COMPUTED_VALUE"""),5.0)</f>
        <v>5</v>
      </c>
      <c r="I1536" s="8" t="str">
        <f>IFERROR(__xludf.DUMMYFUNCTION("""COMPUTED_VALUE"""),"General")</f>
        <v>General</v>
      </c>
      <c r="J1536" s="8" t="str">
        <f>IFERROR(__xludf.DUMMYFUNCTION("""COMPUTED_VALUE"""),"Dresses")</f>
        <v>Dresses</v>
      </c>
      <c r="K1536" s="8" t="str">
        <f>IFERROR(__xludf.DUMMYFUNCTION("""COMPUTED_VALUE"""),"Dresses")</f>
        <v>Dresses</v>
      </c>
    </row>
    <row r="1537">
      <c r="A1537" s="8">
        <f>IFERROR(__xludf.DUMMYFUNCTION("""COMPUTED_VALUE"""),2030.0)</f>
        <v>2030</v>
      </c>
      <c r="B1537" s="8">
        <f>IFERROR(__xludf.DUMMYFUNCTION("""COMPUTED_VALUE"""),1095.0)</f>
        <v>1095</v>
      </c>
      <c r="C1537" s="8">
        <f>IFERROR(__xludf.DUMMYFUNCTION("""COMPUTED_VALUE"""),64.0)</f>
        <v>64</v>
      </c>
      <c r="D1537" s="8" t="str">
        <f>IFERROR(__xludf.DUMMYFUNCTION("""COMPUTED_VALUE"""),"Very cute but...")</f>
        <v>Very cute but...</v>
      </c>
      <c r="E1537" s="8" t="str">
        <f>IFERROR(__xludf.DUMMYFUNCTION("""COMPUTED_VALUE"""),"I ordered a 6p in this dress so it wld fall above my knees &amp; be slightly smaller than a regular 6. sometimes a regular size 4 works, sometimes a 6. typically a regular size 6 is big on me. i am 5'3"", 118#, 36c. just recd the 6p in the mail. the first thi"&amp;"ng i noticed is that it's s a knit fabric that looks &amp; feels like polyester although says 'cotton' on the inside label. i think it wld be a bit warm in hot weather, but that is just my observation. the main problem is that it is too big on each s")</f>
        <v>I ordered a 6p in this dress so it wld fall above my knees &amp; be slightly smaller than a regular 6. sometimes a regular size 4 works, sometimes a 6. typically a regular size 6 is big on me. i am 5'3", 118#, 36c. just recd the 6p in the mail. the first thing i noticed is that it's s a knit fabric that looks &amp; feels like polyester although says 'cotton' on the inside label. i think it wld be a bit warm in hot weather, but that is just my observation. the main problem is that it is too big on each s</v>
      </c>
      <c r="F1537" s="8">
        <f>IFERROR(__xludf.DUMMYFUNCTION("""COMPUTED_VALUE"""),4.0)</f>
        <v>4</v>
      </c>
      <c r="G1537" s="8">
        <f>IFERROR(__xludf.DUMMYFUNCTION("""COMPUTED_VALUE"""),1.0)</f>
        <v>1</v>
      </c>
      <c r="H1537" s="8">
        <f>IFERROR(__xludf.DUMMYFUNCTION("""COMPUTED_VALUE"""),9.0)</f>
        <v>9</v>
      </c>
      <c r="I1537" s="8" t="str">
        <f>IFERROR(__xludf.DUMMYFUNCTION("""COMPUTED_VALUE"""),"General Petite")</f>
        <v>General Petite</v>
      </c>
      <c r="J1537" s="8" t="str">
        <f>IFERROR(__xludf.DUMMYFUNCTION("""COMPUTED_VALUE"""),"Dresses")</f>
        <v>Dresses</v>
      </c>
      <c r="K1537" s="8" t="str">
        <f>IFERROR(__xludf.DUMMYFUNCTION("""COMPUTED_VALUE"""),"Dresses")</f>
        <v>Dresses</v>
      </c>
    </row>
    <row r="1538">
      <c r="A1538" s="8">
        <f>IFERROR(__xludf.DUMMYFUNCTION("""COMPUTED_VALUE"""),2032.0)</f>
        <v>2032</v>
      </c>
      <c r="B1538" s="8">
        <f>IFERROR(__xludf.DUMMYFUNCTION("""COMPUTED_VALUE"""),1083.0)</f>
        <v>1083</v>
      </c>
      <c r="C1538" s="8">
        <f>IFERROR(__xludf.DUMMYFUNCTION("""COMPUTED_VALUE"""),37.0)</f>
        <v>37</v>
      </c>
      <c r="D1538" s="8" t="str">
        <f>IFERROR(__xludf.DUMMYFUNCTION("""COMPUTED_VALUE"""),"Fun and flirty")</f>
        <v>Fun and flirty</v>
      </c>
      <c r="E1538" s="8" t="str">
        <f>IFERROR(__xludf.DUMMYFUNCTION("""COMPUTED_VALUE"""),"I love this dress! tried it on at the store. they only had medium. while i'm usually always a medium, it fit perfectly but pulled at the bust (i'm a 38). i ordered a large online the next day. i have it now and i am extremely pleased. the pattern is uniqu"&amp;"e, the length falls just above the knee and has s sexy flirtiness to it. the back button is key as it gives some contour to the dress. the side pockets are an awesome touch. you can wear this dress any season. i'm wearing it with ankle boots and")</f>
        <v>I love this dress! tried it on at the store. they only had medium. while i'm usually always a medium, it fit perfectly but pulled at the bust (i'm a 38). i ordered a large online the next day. i have it now and i am extremely pleased. the pattern is unique, the length falls just above the knee and has s sexy flirtiness to it. the back button is key as it gives some contour to the dress. the side pockets are an awesome touch. you can wear this dress any season. i'm wearing it with ankle boots and</v>
      </c>
      <c r="F1538" s="8">
        <f>IFERROR(__xludf.DUMMYFUNCTION("""COMPUTED_VALUE"""),4.0)</f>
        <v>4</v>
      </c>
      <c r="G1538" s="8">
        <f>IFERROR(__xludf.DUMMYFUNCTION("""COMPUTED_VALUE"""),1.0)</f>
        <v>1</v>
      </c>
      <c r="H1538" s="8">
        <f>IFERROR(__xludf.DUMMYFUNCTION("""COMPUTED_VALUE"""),0.0)</f>
        <v>0</v>
      </c>
      <c r="I1538" s="8" t="str">
        <f>IFERROR(__xludf.DUMMYFUNCTION("""COMPUTED_VALUE"""),"General Petite")</f>
        <v>General Petite</v>
      </c>
      <c r="J1538" s="8" t="str">
        <f>IFERROR(__xludf.DUMMYFUNCTION("""COMPUTED_VALUE"""),"Dresses")</f>
        <v>Dresses</v>
      </c>
      <c r="K1538" s="8" t="str">
        <f>IFERROR(__xludf.DUMMYFUNCTION("""COMPUTED_VALUE"""),"Dresses")</f>
        <v>Dresses</v>
      </c>
    </row>
    <row r="1539">
      <c r="A1539" s="8">
        <f>IFERROR(__xludf.DUMMYFUNCTION("""COMPUTED_VALUE"""),2034.0)</f>
        <v>2034</v>
      </c>
      <c r="B1539" s="8">
        <f>IFERROR(__xludf.DUMMYFUNCTION("""COMPUTED_VALUE"""),1072.0)</f>
        <v>1072</v>
      </c>
      <c r="C1539" s="8">
        <f>IFERROR(__xludf.DUMMYFUNCTION("""COMPUTED_VALUE"""),67.0)</f>
        <v>67</v>
      </c>
      <c r="D1539" s="8" t="str">
        <f>IFERROR(__xludf.DUMMYFUNCTION("""COMPUTED_VALUE"""),"This dress is adorable!!")</f>
        <v>This dress is adorable!!</v>
      </c>
      <c r="E1539" s="8" t="str">
        <f>IFERROR(__xludf.DUMMYFUNCTION("""COMPUTED_VALUE"""),"This dress is so cute. i love that it has pockets. it looks great with sandels, and also ballet flats. it is airy, and run true to size. i wear a small, and it fit perfect. i even bought the other navy, and cream dress. you will wear this dress over, and "&amp;"over. just roll up the sleeves, and throw it on, and your ready. just love it!!!!")</f>
        <v>This dress is so cute. i love that it has pockets. it looks great with sandels, and also ballet flats. it is airy, and run true to size. i wear a small, and it fit perfect. i even bought the other navy, and cream dress. you will wear this dress over, and over. just roll up the sleeves, and throw it on, and your ready. just love it!!!!</v>
      </c>
      <c r="F1539" s="8">
        <f>IFERROR(__xludf.DUMMYFUNCTION("""COMPUTED_VALUE"""),5.0)</f>
        <v>5</v>
      </c>
      <c r="G1539" s="8">
        <f>IFERROR(__xludf.DUMMYFUNCTION("""COMPUTED_VALUE"""),1.0)</f>
        <v>1</v>
      </c>
      <c r="H1539" s="8">
        <f>IFERROR(__xludf.DUMMYFUNCTION("""COMPUTED_VALUE"""),1.0)</f>
        <v>1</v>
      </c>
      <c r="I1539" s="8" t="str">
        <f>IFERROR(__xludf.DUMMYFUNCTION("""COMPUTED_VALUE"""),"General")</f>
        <v>General</v>
      </c>
      <c r="J1539" s="8" t="str">
        <f>IFERROR(__xludf.DUMMYFUNCTION("""COMPUTED_VALUE"""),"Dresses")</f>
        <v>Dresses</v>
      </c>
      <c r="K1539" s="8" t="str">
        <f>IFERROR(__xludf.DUMMYFUNCTION("""COMPUTED_VALUE"""),"Dresses")</f>
        <v>Dresses</v>
      </c>
    </row>
    <row r="1540">
      <c r="A1540" s="8">
        <f>IFERROR(__xludf.DUMMYFUNCTION("""COMPUTED_VALUE"""),2036.0)</f>
        <v>2036</v>
      </c>
      <c r="B1540" s="8">
        <f>IFERROR(__xludf.DUMMYFUNCTION("""COMPUTED_VALUE"""),1072.0)</f>
        <v>1072</v>
      </c>
      <c r="C1540" s="8">
        <f>IFERROR(__xludf.DUMMYFUNCTION("""COMPUTED_VALUE"""),55.0)</f>
        <v>55</v>
      </c>
      <c r="D1540" s="8" t="str">
        <f>IFERROR(__xludf.DUMMYFUNCTION("""COMPUTED_VALUE"""),"Great features:pockets,lace in front")</f>
        <v>Great features:pockets,lace in front</v>
      </c>
      <c r="E1540" s="8" t="str">
        <f>IFERROR(__xludf.DUMMYFUNCTION("""COMPUTED_VALUE"""),"I purchased the green print which has so many patterns and colors which makes this dress have a very interesting look. i love that it has a drop waist because it is so flattering to most body types.the other thing i liked was that this dress came in petit"&amp;"e sizes, perfect for me.")</f>
        <v>I purchased the green print which has so many patterns and colors which makes this dress have a very interesting look. i love that it has a drop waist because it is so flattering to most body types.the other thing i liked was that this dress came in petite sizes, perfect for me.</v>
      </c>
      <c r="F1540" s="8">
        <f>IFERROR(__xludf.DUMMYFUNCTION("""COMPUTED_VALUE"""),5.0)</f>
        <v>5</v>
      </c>
      <c r="G1540" s="8">
        <f>IFERROR(__xludf.DUMMYFUNCTION("""COMPUTED_VALUE"""),1.0)</f>
        <v>1</v>
      </c>
      <c r="H1540" s="8">
        <f>IFERROR(__xludf.DUMMYFUNCTION("""COMPUTED_VALUE"""),1.0)</f>
        <v>1</v>
      </c>
      <c r="I1540" s="8" t="str">
        <f>IFERROR(__xludf.DUMMYFUNCTION("""COMPUTED_VALUE"""),"General")</f>
        <v>General</v>
      </c>
      <c r="J1540" s="8" t="str">
        <f>IFERROR(__xludf.DUMMYFUNCTION("""COMPUTED_VALUE"""),"Dresses")</f>
        <v>Dresses</v>
      </c>
      <c r="K1540" s="8" t="str">
        <f>IFERROR(__xludf.DUMMYFUNCTION("""COMPUTED_VALUE"""),"Dresses")</f>
        <v>Dresses</v>
      </c>
    </row>
    <row r="1541">
      <c r="A1541" s="8">
        <f>IFERROR(__xludf.DUMMYFUNCTION("""COMPUTED_VALUE"""),2038.0)</f>
        <v>2038</v>
      </c>
      <c r="B1541" s="8">
        <f>IFERROR(__xludf.DUMMYFUNCTION("""COMPUTED_VALUE"""),1072.0)</f>
        <v>1072</v>
      </c>
      <c r="C1541" s="8">
        <f>IFERROR(__xludf.DUMMYFUNCTION("""COMPUTED_VALUE"""),39.0)</f>
        <v>39</v>
      </c>
      <c r="D1541" s="8" t="str">
        <f>IFERROR(__xludf.DUMMYFUNCTION("""COMPUTED_VALUE"""),"Tried it on a whim. love it.")</f>
        <v>Tried it on a whim. love it.</v>
      </c>
      <c r="E1541" s="8" t="str">
        <f>IFERROR(__xludf.DUMMYFUNCTION("""COMPUTED_VALUE"""),"Went to the store in search of a butter dish. tried this dress on a was shocked at how comfortable, versatile and all over appealing this dress is. i'm 5'10"" and the medium hits at my knees.  as always i think the quality could be better. it's not someth"&amp;"ing that will last for years.")</f>
        <v>Went to the store in search of a butter dish. tried this dress on a was shocked at how comfortable, versatile and all over appealing this dress is. i'm 5'10" and the medium hits at my knees.  as always i think the quality could be better. it's not something that will last for years.</v>
      </c>
      <c r="F1541" s="8">
        <f>IFERROR(__xludf.DUMMYFUNCTION("""COMPUTED_VALUE"""),4.0)</f>
        <v>4</v>
      </c>
      <c r="G1541" s="8">
        <f>IFERROR(__xludf.DUMMYFUNCTION("""COMPUTED_VALUE"""),1.0)</f>
        <v>1</v>
      </c>
      <c r="H1541" s="8">
        <f>IFERROR(__xludf.DUMMYFUNCTION("""COMPUTED_VALUE"""),0.0)</f>
        <v>0</v>
      </c>
      <c r="I1541" s="8" t="str">
        <f>IFERROR(__xludf.DUMMYFUNCTION("""COMPUTED_VALUE"""),"General")</f>
        <v>General</v>
      </c>
      <c r="J1541" s="8" t="str">
        <f>IFERROR(__xludf.DUMMYFUNCTION("""COMPUTED_VALUE"""),"Dresses")</f>
        <v>Dresses</v>
      </c>
      <c r="K1541" s="8" t="str">
        <f>IFERROR(__xludf.DUMMYFUNCTION("""COMPUTED_VALUE"""),"Dresses")</f>
        <v>Dresses</v>
      </c>
    </row>
    <row r="1542">
      <c r="A1542" s="8">
        <f>IFERROR(__xludf.DUMMYFUNCTION("""COMPUTED_VALUE"""),2040.0)</f>
        <v>2040</v>
      </c>
      <c r="B1542" s="8">
        <f>IFERROR(__xludf.DUMMYFUNCTION("""COMPUTED_VALUE"""),1072.0)</f>
        <v>1072</v>
      </c>
      <c r="C1542" s="8">
        <f>IFERROR(__xludf.DUMMYFUNCTION("""COMPUTED_VALUE"""),39.0)</f>
        <v>39</v>
      </c>
      <c r="D1542" s="8" t="str">
        <f>IFERROR(__xludf.DUMMYFUNCTION("""COMPUTED_VALUE"""),"Great casual dress!")</f>
        <v>Great casual dress!</v>
      </c>
      <c r="E1542" s="8" t="str">
        <f>IFERROR(__xludf.DUMMYFUNCTION("""COMPUTED_VALUE"""),"This is my second dress from this designer. it is very comfortable, stylish, and looks great with sandals/wedges. i would have given it 5 stars but the neckline was a little lower than i expected and the length was a little longer. i am still keeping it t"&amp;"hough and expect to wear it spring, summer, and fall.")</f>
        <v>This is my second dress from this designer. it is very comfortable, stylish, and looks great with sandals/wedges. i would have given it 5 stars but the neckline was a little lower than i expected and the length was a little longer. i am still keeping it though and expect to wear it spring, summer, and fall.</v>
      </c>
      <c r="F1542" s="8">
        <f>IFERROR(__xludf.DUMMYFUNCTION("""COMPUTED_VALUE"""),4.0)</f>
        <v>4</v>
      </c>
      <c r="G1542" s="8">
        <f>IFERROR(__xludf.DUMMYFUNCTION("""COMPUTED_VALUE"""),1.0)</f>
        <v>1</v>
      </c>
      <c r="H1542" s="8">
        <f>IFERROR(__xludf.DUMMYFUNCTION("""COMPUTED_VALUE"""),0.0)</f>
        <v>0</v>
      </c>
      <c r="I1542" s="8" t="str">
        <f>IFERROR(__xludf.DUMMYFUNCTION("""COMPUTED_VALUE"""),"General")</f>
        <v>General</v>
      </c>
      <c r="J1542" s="8" t="str">
        <f>IFERROR(__xludf.DUMMYFUNCTION("""COMPUTED_VALUE"""),"Dresses")</f>
        <v>Dresses</v>
      </c>
      <c r="K1542" s="8" t="str">
        <f>IFERROR(__xludf.DUMMYFUNCTION("""COMPUTED_VALUE"""),"Dresses")</f>
        <v>Dresses</v>
      </c>
    </row>
    <row r="1543">
      <c r="A1543" s="8">
        <f>IFERROR(__xludf.DUMMYFUNCTION("""COMPUTED_VALUE"""),2041.0)</f>
        <v>2041</v>
      </c>
      <c r="B1543" s="8">
        <f>IFERROR(__xludf.DUMMYFUNCTION("""COMPUTED_VALUE"""),862.0)</f>
        <v>862</v>
      </c>
      <c r="C1543" s="8">
        <f>IFERROR(__xludf.DUMMYFUNCTION("""COMPUTED_VALUE"""),49.0)</f>
        <v>49</v>
      </c>
      <c r="D1543" s="8" t="str">
        <f>IFERROR(__xludf.DUMMYFUNCTION("""COMPUTED_VALUE"""),"Shrinks")</f>
        <v>Shrinks</v>
      </c>
      <c r="E1543" s="8" t="str">
        <f>IFERROR(__xludf.DUMMYFUNCTION("""COMPUTED_VALUE"""),"I'm 5'4, 125 lbs, &amp; have a 36 c/d bust; the xs fits great.
i wash everything in cold &amp; line dry... this was no exception. when i took it out of the washer i knew immediately :( i've pulled it back into shape &amp; hung it up, but we'll see.
 dry clean if you "&amp;"want to keep it")</f>
        <v>I'm 5'4, 125 lbs, &amp; have a 36 c/d bust; the xs fits great.
i wash everything in cold &amp; line dry... this was no exception. when i took it out of the washer i knew immediately :( i've pulled it back into shape &amp; hung it up, but we'll see.
 dry clean if you want to keep it</v>
      </c>
      <c r="F1543" s="8">
        <f>IFERROR(__xludf.DUMMYFUNCTION("""COMPUTED_VALUE"""),4.0)</f>
        <v>4</v>
      </c>
      <c r="G1543" s="8">
        <f>IFERROR(__xludf.DUMMYFUNCTION("""COMPUTED_VALUE"""),1.0)</f>
        <v>1</v>
      </c>
      <c r="H1543" s="8">
        <f>IFERROR(__xludf.DUMMYFUNCTION("""COMPUTED_VALUE"""),7.0)</f>
        <v>7</v>
      </c>
      <c r="I1543" s="8" t="str">
        <f>IFERROR(__xludf.DUMMYFUNCTION("""COMPUTED_VALUE"""),"General")</f>
        <v>General</v>
      </c>
      <c r="J1543" s="8" t="str">
        <f>IFERROR(__xludf.DUMMYFUNCTION("""COMPUTED_VALUE"""),"Tops")</f>
        <v>Tops</v>
      </c>
      <c r="K1543" s="8" t="str">
        <f>IFERROR(__xludf.DUMMYFUNCTION("""COMPUTED_VALUE"""),"Knits")</f>
        <v>Knits</v>
      </c>
    </row>
    <row r="1544">
      <c r="A1544" s="8">
        <f>IFERROR(__xludf.DUMMYFUNCTION("""COMPUTED_VALUE"""),2042.0)</f>
        <v>2042</v>
      </c>
      <c r="B1544" s="8">
        <f>IFERROR(__xludf.DUMMYFUNCTION("""COMPUTED_VALUE"""),1072.0)</f>
        <v>1072</v>
      </c>
      <c r="C1544" s="8">
        <f>IFERROR(__xludf.DUMMYFUNCTION("""COMPUTED_VALUE"""),33.0)</f>
        <v>33</v>
      </c>
      <c r="D1544" s="8" t="str">
        <f>IFERROR(__xludf.DUMMYFUNCTION("""COMPUTED_VALUE"""),"Effortlessly cool")</f>
        <v>Effortlessly cool</v>
      </c>
      <c r="E1544" s="8" t="str">
        <f>IFERROR(__xludf.DUMMYFUNCTION("""COMPUTED_VALUE"""),"I will preface this review by stating that this item was available only in one size at my local retailer. they have a section of dresses mostly offered online that are in store for you to touch, see, try on and order through the store (which is much appre"&amp;"ciated). i am normally a size 0-2/xs in retailer clothes and i will typically order a petite when available. the option my store had to try on was a regular medium which is what i have pictured here.
i mostly wanted to try it on just to get a fee")</f>
        <v>I will preface this review by stating that this item was available only in one size at my local retailer. they have a section of dresses mostly offered online that are in store for you to touch, see, try on and order through the store (which is much appreciated). i am normally a size 0-2/xs in retailer clothes and i will typically order a petite when available. the option my store had to try on was a regular medium which is what i have pictured here.
i mostly wanted to try it on just to get a fee</v>
      </c>
      <c r="F1544" s="8">
        <f>IFERROR(__xludf.DUMMYFUNCTION("""COMPUTED_VALUE"""),5.0)</f>
        <v>5</v>
      </c>
      <c r="G1544" s="8">
        <f>IFERROR(__xludf.DUMMYFUNCTION("""COMPUTED_VALUE"""),1.0)</f>
        <v>1</v>
      </c>
      <c r="H1544" s="8">
        <f>IFERROR(__xludf.DUMMYFUNCTION("""COMPUTED_VALUE"""),51.0)</f>
        <v>51</v>
      </c>
      <c r="I1544" s="8" t="str">
        <f>IFERROR(__xludf.DUMMYFUNCTION("""COMPUTED_VALUE"""),"General")</f>
        <v>General</v>
      </c>
      <c r="J1544" s="8" t="str">
        <f>IFERROR(__xludf.DUMMYFUNCTION("""COMPUTED_VALUE"""),"Dresses")</f>
        <v>Dresses</v>
      </c>
      <c r="K1544" s="8" t="str">
        <f>IFERROR(__xludf.DUMMYFUNCTION("""COMPUTED_VALUE"""),"Dresses")</f>
        <v>Dresses</v>
      </c>
    </row>
    <row r="1545">
      <c r="A1545" s="8">
        <f>IFERROR(__xludf.DUMMYFUNCTION("""COMPUTED_VALUE"""),2043.0)</f>
        <v>2043</v>
      </c>
      <c r="B1545" s="8">
        <f>IFERROR(__xludf.DUMMYFUNCTION("""COMPUTED_VALUE"""),896.0)</f>
        <v>896</v>
      </c>
      <c r="C1545" s="8">
        <f>IFERROR(__xludf.DUMMYFUNCTION("""COMPUTED_VALUE"""),52.0)</f>
        <v>52</v>
      </c>
      <c r="D1545" s="8" t="str">
        <f>IFERROR(__xludf.DUMMYFUNCTION("""COMPUTED_VALUE"""),"Beautiful sweater")</f>
        <v>Beautiful sweater</v>
      </c>
      <c r="E1545" s="8" t="str">
        <f>IFERROR(__xludf.DUMMYFUNCTION("""COMPUTED_VALUE"""),"I love this top, wish they had it in more colors, i would buy more!")</f>
        <v>I love this top, wish they had it in more colors, i would buy more!</v>
      </c>
      <c r="F1545" s="8">
        <f>IFERROR(__xludf.DUMMYFUNCTION("""COMPUTED_VALUE"""),5.0)</f>
        <v>5</v>
      </c>
      <c r="G1545" s="8">
        <f>IFERROR(__xludf.DUMMYFUNCTION("""COMPUTED_VALUE"""),1.0)</f>
        <v>1</v>
      </c>
      <c r="H1545" s="8">
        <f>IFERROR(__xludf.DUMMYFUNCTION("""COMPUTED_VALUE"""),0.0)</f>
        <v>0</v>
      </c>
      <c r="I1545" s="8" t="str">
        <f>IFERROR(__xludf.DUMMYFUNCTION("""COMPUTED_VALUE"""),"General")</f>
        <v>General</v>
      </c>
      <c r="J1545" s="8" t="str">
        <f>IFERROR(__xludf.DUMMYFUNCTION("""COMPUTED_VALUE"""),"Tops")</f>
        <v>Tops</v>
      </c>
      <c r="K1545" s="8" t="str">
        <f>IFERROR(__xludf.DUMMYFUNCTION("""COMPUTED_VALUE"""),"Fine gauge")</f>
        <v>Fine gauge</v>
      </c>
    </row>
    <row r="1546">
      <c r="A1546" s="8">
        <f>IFERROR(__xludf.DUMMYFUNCTION("""COMPUTED_VALUE"""),2044.0)</f>
        <v>2044</v>
      </c>
      <c r="B1546" s="8">
        <f>IFERROR(__xludf.DUMMYFUNCTION("""COMPUTED_VALUE"""),872.0)</f>
        <v>872</v>
      </c>
      <c r="C1546" s="8">
        <f>IFERROR(__xludf.DUMMYFUNCTION("""COMPUTED_VALUE"""),36.0)</f>
        <v>36</v>
      </c>
      <c r="D1546" s="8" t="str">
        <f>IFERROR(__xludf.DUMMYFUNCTION("""COMPUTED_VALUE"""),"Lovely and so flattering")</f>
        <v>Lovely and so flattering</v>
      </c>
      <c r="E1546" s="8" t="str">
        <f>IFERROR(__xludf.DUMMYFUNCTION("""COMPUTED_VALUE"""),"I purchased this with some hesitation, having read that some people thought it was unflattering. but i couldn't resist the sale price, and i love a low-maintenance work top and doesn't require ironing. this fits the bill perfectly. it's made of high quali"&amp;"ty fabric, there's a soft inner lining with a side zip closure, and it has a pretty narrow profile so initially i found it a little snug to wiggle into (i got a small), but once on it fit perfectly, and is so flattering i can't imagine why other")</f>
        <v>I purchased this with some hesitation, having read that some people thought it was unflattering. but i couldn't resist the sale price, and i love a low-maintenance work top and doesn't require ironing. this fits the bill perfectly. it's made of high quality fabric, there's a soft inner lining with a side zip closure, and it has a pretty narrow profile so initially i found it a little snug to wiggle into (i got a small), but once on it fit perfectly, and is so flattering i can't imagine why other</v>
      </c>
      <c r="F1546" s="8">
        <f>IFERROR(__xludf.DUMMYFUNCTION("""COMPUTED_VALUE"""),5.0)</f>
        <v>5</v>
      </c>
      <c r="G1546" s="8">
        <f>IFERROR(__xludf.DUMMYFUNCTION("""COMPUTED_VALUE"""),1.0)</f>
        <v>1</v>
      </c>
      <c r="H1546" s="8">
        <f>IFERROR(__xludf.DUMMYFUNCTION("""COMPUTED_VALUE"""),1.0)</f>
        <v>1</v>
      </c>
      <c r="I1546" s="8" t="str">
        <f>IFERROR(__xludf.DUMMYFUNCTION("""COMPUTED_VALUE"""),"General Petite")</f>
        <v>General Petite</v>
      </c>
      <c r="J1546" s="8" t="str">
        <f>IFERROR(__xludf.DUMMYFUNCTION("""COMPUTED_VALUE"""),"Tops")</f>
        <v>Tops</v>
      </c>
      <c r="K1546" s="8" t="str">
        <f>IFERROR(__xludf.DUMMYFUNCTION("""COMPUTED_VALUE"""),"Knits")</f>
        <v>Knits</v>
      </c>
    </row>
    <row r="1547">
      <c r="A1547" s="8">
        <f>IFERROR(__xludf.DUMMYFUNCTION("""COMPUTED_VALUE"""),2045.0)</f>
        <v>2045</v>
      </c>
      <c r="B1547" s="8">
        <f>IFERROR(__xludf.DUMMYFUNCTION("""COMPUTED_VALUE"""),1068.0)</f>
        <v>1068</v>
      </c>
      <c r="C1547" s="8">
        <f>IFERROR(__xludf.DUMMYFUNCTION("""COMPUTED_VALUE"""),74.0)</f>
        <v>74</v>
      </c>
      <c r="D1547" s="8"/>
      <c r="E1547" s="8" t="str">
        <f>IFERROR(__xludf.DUMMYFUNCTION("""COMPUTED_VALUE"""),"I wanted to love these. the fabric was soft and they were good quality but they fit differently than the hyphen chinos and were too small. sadly, i had to return them.")</f>
        <v>I wanted to love these. the fabric was soft and they were good quality but they fit differently than the hyphen chinos and were too small. sadly, i had to return them.</v>
      </c>
      <c r="F1547" s="8">
        <f>IFERROR(__xludf.DUMMYFUNCTION("""COMPUTED_VALUE"""),4.0)</f>
        <v>4</v>
      </c>
      <c r="G1547" s="8">
        <f>IFERROR(__xludf.DUMMYFUNCTION("""COMPUTED_VALUE"""),1.0)</f>
        <v>1</v>
      </c>
      <c r="H1547" s="8">
        <f>IFERROR(__xludf.DUMMYFUNCTION("""COMPUTED_VALUE"""),7.0)</f>
        <v>7</v>
      </c>
      <c r="I1547" s="8" t="str">
        <f>IFERROR(__xludf.DUMMYFUNCTION("""COMPUTED_VALUE"""),"General")</f>
        <v>General</v>
      </c>
      <c r="J1547" s="8" t="str">
        <f>IFERROR(__xludf.DUMMYFUNCTION("""COMPUTED_VALUE"""),"Bottoms")</f>
        <v>Bottoms</v>
      </c>
      <c r="K1547" s="8" t="str">
        <f>IFERROR(__xludf.DUMMYFUNCTION("""COMPUTED_VALUE"""),"Pants")</f>
        <v>Pants</v>
      </c>
    </row>
    <row r="1548">
      <c r="A1548" s="8">
        <f>IFERROR(__xludf.DUMMYFUNCTION("""COMPUTED_VALUE"""),2046.0)</f>
        <v>2046</v>
      </c>
      <c r="B1548" s="8">
        <f>IFERROR(__xludf.DUMMYFUNCTION("""COMPUTED_VALUE"""),1092.0)</f>
        <v>1092</v>
      </c>
      <c r="C1548" s="8">
        <f>IFERROR(__xludf.DUMMYFUNCTION("""COMPUTED_VALUE"""),35.0)</f>
        <v>35</v>
      </c>
      <c r="D1548" s="8" t="str">
        <f>IFERROR(__xludf.DUMMYFUNCTION("""COMPUTED_VALUE"""),"It's gorgeous")</f>
        <v>It's gorgeous</v>
      </c>
      <c r="E1548" s="8" t="str">
        <f>IFERROR(__xludf.DUMMYFUNCTION("""COMPUTED_VALUE"""),"Should've ordered a larger size. it runs a bit tight around the top and the zipper isn't that helpful.")</f>
        <v>Should've ordered a larger size. it runs a bit tight around the top and the zipper isn't that helpful.</v>
      </c>
      <c r="F1548" s="8">
        <f>IFERROR(__xludf.DUMMYFUNCTION("""COMPUTED_VALUE"""),5.0)</f>
        <v>5</v>
      </c>
      <c r="G1548" s="8">
        <f>IFERROR(__xludf.DUMMYFUNCTION("""COMPUTED_VALUE"""),1.0)</f>
        <v>1</v>
      </c>
      <c r="H1548" s="8">
        <f>IFERROR(__xludf.DUMMYFUNCTION("""COMPUTED_VALUE"""),0.0)</f>
        <v>0</v>
      </c>
      <c r="I1548" s="8" t="str">
        <f>IFERROR(__xludf.DUMMYFUNCTION("""COMPUTED_VALUE"""),"General Petite")</f>
        <v>General Petite</v>
      </c>
      <c r="J1548" s="8" t="str">
        <f>IFERROR(__xludf.DUMMYFUNCTION("""COMPUTED_VALUE"""),"Dresses")</f>
        <v>Dresses</v>
      </c>
      <c r="K1548" s="8" t="str">
        <f>IFERROR(__xludf.DUMMYFUNCTION("""COMPUTED_VALUE"""),"Dresses")</f>
        <v>Dresses</v>
      </c>
    </row>
    <row r="1549">
      <c r="A1549" s="8">
        <f>IFERROR(__xludf.DUMMYFUNCTION("""COMPUTED_VALUE"""),2047.0)</f>
        <v>2047</v>
      </c>
      <c r="B1549" s="8">
        <f>IFERROR(__xludf.DUMMYFUNCTION("""COMPUTED_VALUE"""),1072.0)</f>
        <v>1072</v>
      </c>
      <c r="C1549" s="8">
        <f>IFERROR(__xludf.DUMMYFUNCTION("""COMPUTED_VALUE"""),62.0)</f>
        <v>62</v>
      </c>
      <c r="D1549" s="8" t="str">
        <f>IFERROR(__xludf.DUMMYFUNCTION("""COMPUTED_VALUE"""),"Beautiful but big")</f>
        <v>Beautiful but big</v>
      </c>
      <c r="E1549" s="8" t="str">
        <f>IFERROR(__xludf.DUMMYFUNCTION("""COMPUTED_VALUE"""),"This was my first tiny shirtdress purchase after seeing the past few patterns/seasons. for me the last few were a little too busy, but something about both patterns this season felt right for summer. i'm 5'7"", 128# and found my usual s to be too long in "&amp;"length and in sleeve length (the sleeves being a problem that i never have). going to try to exchange for an xs because it really is a lovely piece in both colors (though i slightly prefer the green because it feels more tropical/exotic for summe")</f>
        <v>This was my first tiny shirtdress purchase after seeing the past few patterns/seasons. for me the last few were a little too busy, but something about both patterns this season felt right for summer. i'm 5'7", 128# and found my usual s to be too long in length and in sleeve length (the sleeves being a problem that i never have). going to try to exchange for an xs because it really is a lovely piece in both colors (though i slightly prefer the green because it feels more tropical/exotic for summe</v>
      </c>
      <c r="F1549" s="8">
        <f>IFERROR(__xludf.DUMMYFUNCTION("""COMPUTED_VALUE"""),4.0)</f>
        <v>4</v>
      </c>
      <c r="G1549" s="8">
        <f>IFERROR(__xludf.DUMMYFUNCTION("""COMPUTED_VALUE"""),1.0)</f>
        <v>1</v>
      </c>
      <c r="H1549" s="8">
        <f>IFERROR(__xludf.DUMMYFUNCTION("""COMPUTED_VALUE"""),5.0)</f>
        <v>5</v>
      </c>
      <c r="I1549" s="8" t="str">
        <f>IFERROR(__xludf.DUMMYFUNCTION("""COMPUTED_VALUE"""),"General")</f>
        <v>General</v>
      </c>
      <c r="J1549" s="8" t="str">
        <f>IFERROR(__xludf.DUMMYFUNCTION("""COMPUTED_VALUE"""),"Dresses")</f>
        <v>Dresses</v>
      </c>
      <c r="K1549" s="8" t="str">
        <f>IFERROR(__xludf.DUMMYFUNCTION("""COMPUTED_VALUE"""),"Dresses")</f>
        <v>Dresses</v>
      </c>
    </row>
    <row r="1550">
      <c r="A1550" s="8">
        <f>IFERROR(__xludf.DUMMYFUNCTION("""COMPUTED_VALUE"""),2048.0)</f>
        <v>2048</v>
      </c>
      <c r="B1550" s="8">
        <f>IFERROR(__xludf.DUMMYFUNCTION("""COMPUTED_VALUE"""),1092.0)</f>
        <v>1092</v>
      </c>
      <c r="C1550" s="8">
        <f>IFERROR(__xludf.DUMMYFUNCTION("""COMPUTED_VALUE"""),43.0)</f>
        <v>43</v>
      </c>
      <c r="D1550" s="8" t="str">
        <f>IFERROR(__xludf.DUMMYFUNCTION("""COMPUTED_VALUE"""),"Dream dress")</f>
        <v>Dream dress</v>
      </c>
      <c r="E1550" s="8" t="str">
        <f>IFERROR(__xludf.DUMMYFUNCTION("""COMPUTED_VALUE"""),"I'm 5'6 and between 100-105lbs. buying clothes from retailer is always a stuggle because i have a petite frame but i don't fall into the petite height range. i usually order a petite size and just deal with the shorter length, which is hard when you're al"&amp;"l limbs. i purchased a 0r and i'm in love with the fit! the top of the dress fits under my arms perfectly! the waist of the dress also hits nicely. usually the waist of regular sized dresses falls below my natural waistline due to my short")</f>
        <v>I'm 5'6 and between 100-105lbs. buying clothes from retailer is always a stuggle because i have a petite frame but i don't fall into the petite height range. i usually order a petite size and just deal with the shorter length, which is hard when you're all limbs. i purchased a 0r and i'm in love with the fit! the top of the dress fits under my arms perfectly! the waist of the dress also hits nicely. usually the waist of regular sized dresses falls below my natural waistline due to my short</v>
      </c>
      <c r="F1550" s="8">
        <f>IFERROR(__xludf.DUMMYFUNCTION("""COMPUTED_VALUE"""),5.0)</f>
        <v>5</v>
      </c>
      <c r="G1550" s="8">
        <f>IFERROR(__xludf.DUMMYFUNCTION("""COMPUTED_VALUE"""),1.0)</f>
        <v>1</v>
      </c>
      <c r="H1550" s="8">
        <f>IFERROR(__xludf.DUMMYFUNCTION("""COMPUTED_VALUE"""),0.0)</f>
        <v>0</v>
      </c>
      <c r="I1550" s="8" t="str">
        <f>IFERROR(__xludf.DUMMYFUNCTION("""COMPUTED_VALUE"""),"General Petite")</f>
        <v>General Petite</v>
      </c>
      <c r="J1550" s="8" t="str">
        <f>IFERROR(__xludf.DUMMYFUNCTION("""COMPUTED_VALUE"""),"Dresses")</f>
        <v>Dresses</v>
      </c>
      <c r="K1550" s="8" t="str">
        <f>IFERROR(__xludf.DUMMYFUNCTION("""COMPUTED_VALUE"""),"Dresses")</f>
        <v>Dresses</v>
      </c>
    </row>
    <row r="1551">
      <c r="A1551" s="8">
        <f>IFERROR(__xludf.DUMMYFUNCTION("""COMPUTED_VALUE"""),2049.0)</f>
        <v>2049</v>
      </c>
      <c r="B1551" s="8">
        <f>IFERROR(__xludf.DUMMYFUNCTION("""COMPUTED_VALUE"""),1092.0)</f>
        <v>1092</v>
      </c>
      <c r="C1551" s="8">
        <f>IFERROR(__xludf.DUMMYFUNCTION("""COMPUTED_VALUE"""),39.0)</f>
        <v>39</v>
      </c>
      <c r="D1551" s="8" t="str">
        <f>IFERROR(__xludf.DUMMYFUNCTION("""COMPUTED_VALUE"""),"Flowy, functional ,dressy")</f>
        <v>Flowy, functional ,dressy</v>
      </c>
      <c r="E1551" s="8" t="str">
        <f>IFERROR(__xludf.DUMMYFUNCTION("""COMPUTED_VALUE"""),"I love the ease of this dress. the style can be dressed up or down. the straps are inset a little which doesn't work for every body type. the thin material can get caught and snag easily but otherwise this dress is a simple chic addition to my closet. the"&amp;" length is just right, not too long like some other maxi dresses. the lining underneath ends at the perfect length as well. the top part is lined well so it can be worn with or without a bra. i am normally a 4 or 6 in dresses. the waistband hits")</f>
        <v>I love the ease of this dress. the style can be dressed up or down. the straps are inset a little which doesn't work for every body type. the thin material can get caught and snag easily but otherwise this dress is a simple chic addition to my closet. the length is just right, not too long like some other maxi dresses. the lining underneath ends at the perfect length as well. the top part is lined well so it can be worn with or without a bra. i am normally a 4 or 6 in dresses. the waistband hits</v>
      </c>
      <c r="F1551" s="8">
        <f>IFERROR(__xludf.DUMMYFUNCTION("""COMPUTED_VALUE"""),5.0)</f>
        <v>5</v>
      </c>
      <c r="G1551" s="8">
        <f>IFERROR(__xludf.DUMMYFUNCTION("""COMPUTED_VALUE"""),1.0)</f>
        <v>1</v>
      </c>
      <c r="H1551" s="8">
        <f>IFERROR(__xludf.DUMMYFUNCTION("""COMPUTED_VALUE"""),0.0)</f>
        <v>0</v>
      </c>
      <c r="I1551" s="8" t="str">
        <f>IFERROR(__xludf.DUMMYFUNCTION("""COMPUTED_VALUE"""),"General Petite")</f>
        <v>General Petite</v>
      </c>
      <c r="J1551" s="8" t="str">
        <f>IFERROR(__xludf.DUMMYFUNCTION("""COMPUTED_VALUE"""),"Dresses")</f>
        <v>Dresses</v>
      </c>
      <c r="K1551" s="8" t="str">
        <f>IFERROR(__xludf.DUMMYFUNCTION("""COMPUTED_VALUE"""),"Dresses")</f>
        <v>Dresses</v>
      </c>
    </row>
    <row r="1552">
      <c r="A1552" s="8">
        <f>IFERROR(__xludf.DUMMYFUNCTION("""COMPUTED_VALUE"""),2050.0)</f>
        <v>2050</v>
      </c>
      <c r="B1552" s="8">
        <f>IFERROR(__xludf.DUMMYFUNCTION("""COMPUTED_VALUE"""),872.0)</f>
        <v>872</v>
      </c>
      <c r="C1552" s="8">
        <f>IFERROR(__xludf.DUMMYFUNCTION("""COMPUTED_VALUE"""),41.0)</f>
        <v>41</v>
      </c>
      <c r="D1552" s="8"/>
      <c r="E1552" s="8" t="str">
        <f>IFERROR(__xludf.DUMMYFUNCTION("""COMPUTED_VALUE"""),"Dig this top but a little different from what i was expecting. the outside is indeed a bit stiff and scratchy but it is lined ... but definitely would've appreciated a softer fabric. however, the cut is cute and flattering and the pattern is adorable so i"&amp;"t's staying in my closet. perhaps not the thing to wear to snuggle up with someone though!")</f>
        <v>Dig this top but a little different from what i was expecting. the outside is indeed a bit stiff and scratchy but it is lined ... but definitely would've appreciated a softer fabric. however, the cut is cute and flattering and the pattern is adorable so it's staying in my closet. perhaps not the thing to wear to snuggle up with someone though!</v>
      </c>
      <c r="F1552" s="8">
        <f>IFERROR(__xludf.DUMMYFUNCTION("""COMPUTED_VALUE"""),4.0)</f>
        <v>4</v>
      </c>
      <c r="G1552" s="8">
        <f>IFERROR(__xludf.DUMMYFUNCTION("""COMPUTED_VALUE"""),1.0)</f>
        <v>1</v>
      </c>
      <c r="H1552" s="8">
        <f>IFERROR(__xludf.DUMMYFUNCTION("""COMPUTED_VALUE"""),0.0)</f>
        <v>0</v>
      </c>
      <c r="I1552" s="8" t="str">
        <f>IFERROR(__xludf.DUMMYFUNCTION("""COMPUTED_VALUE"""),"General Petite")</f>
        <v>General Petite</v>
      </c>
      <c r="J1552" s="8" t="str">
        <f>IFERROR(__xludf.DUMMYFUNCTION("""COMPUTED_VALUE"""),"Tops")</f>
        <v>Tops</v>
      </c>
      <c r="K1552" s="8" t="str">
        <f>IFERROR(__xludf.DUMMYFUNCTION("""COMPUTED_VALUE"""),"Knits")</f>
        <v>Knits</v>
      </c>
    </row>
    <row r="1553">
      <c r="A1553" s="8">
        <f>IFERROR(__xludf.DUMMYFUNCTION("""COMPUTED_VALUE"""),2052.0)</f>
        <v>2052</v>
      </c>
      <c r="B1553" s="8">
        <f>IFERROR(__xludf.DUMMYFUNCTION("""COMPUTED_VALUE"""),850.0)</f>
        <v>850</v>
      </c>
      <c r="C1553" s="8">
        <f>IFERROR(__xludf.DUMMYFUNCTION("""COMPUTED_VALUE"""),26.0)</f>
        <v>26</v>
      </c>
      <c r="D1553" s="8" t="str">
        <f>IFERROR(__xludf.DUMMYFUNCTION("""COMPUTED_VALUE"""),"Very flattering")</f>
        <v>Very flattering</v>
      </c>
      <c r="E1553" s="8" t="str">
        <f>IFERROR(__xludf.DUMMYFUNCTION("""COMPUTED_VALUE"""),"I usually don't even consider this style of shirt, but i was intrigued by its soft fabric and texture. honestly, i love this shirt! it is so flattering and a perfect staple for any closet! i can wait to wear it out and about!")</f>
        <v>I usually don't even consider this style of shirt, but i was intrigued by its soft fabric and texture. honestly, i love this shirt! it is so flattering and a perfect staple for any closet! i can wait to wear it out and about!</v>
      </c>
      <c r="F1553" s="8">
        <f>IFERROR(__xludf.DUMMYFUNCTION("""COMPUTED_VALUE"""),5.0)</f>
        <v>5</v>
      </c>
      <c r="G1553" s="8">
        <f>IFERROR(__xludf.DUMMYFUNCTION("""COMPUTED_VALUE"""),1.0)</f>
        <v>1</v>
      </c>
      <c r="H1553" s="8">
        <f>IFERROR(__xludf.DUMMYFUNCTION("""COMPUTED_VALUE"""),1.0)</f>
        <v>1</v>
      </c>
      <c r="I1553" s="8" t="str">
        <f>IFERROR(__xludf.DUMMYFUNCTION("""COMPUTED_VALUE"""),"General Petite")</f>
        <v>General Petite</v>
      </c>
      <c r="J1553" s="8" t="str">
        <f>IFERROR(__xludf.DUMMYFUNCTION("""COMPUTED_VALUE"""),"Tops")</f>
        <v>Tops</v>
      </c>
      <c r="K1553" s="8" t="str">
        <f>IFERROR(__xludf.DUMMYFUNCTION("""COMPUTED_VALUE"""),"Blouses")</f>
        <v>Blouses</v>
      </c>
    </row>
    <row r="1554">
      <c r="A1554" s="8">
        <f>IFERROR(__xludf.DUMMYFUNCTION("""COMPUTED_VALUE"""),2053.0)</f>
        <v>2053</v>
      </c>
      <c r="B1554" s="8">
        <f>IFERROR(__xludf.DUMMYFUNCTION("""COMPUTED_VALUE"""),1072.0)</f>
        <v>1072</v>
      </c>
      <c r="C1554" s="8">
        <f>IFERROR(__xludf.DUMMYFUNCTION("""COMPUTED_VALUE"""),33.0)</f>
        <v>33</v>
      </c>
      <c r="D1554" s="8" t="str">
        <f>IFERROR(__xludf.DUMMYFUNCTION("""COMPUTED_VALUE"""),"Huge")</f>
        <v>Huge</v>
      </c>
      <c r="E1554" s="8" t="str">
        <f>IFERROR(__xludf.DUMMYFUNCTION("""COMPUTED_VALUE"""),"I am between a xs and s but figured i would order down based on the reviews. well, it's still huge. i have about 5 inches that i can take in from the side. i have ordered the xxs and am hoping it will look more flattering. i love the colors and design, bu"&amp;"t as it is it does not do anything for me. for reference i am 124 lbs, 32d, 5'5"".")</f>
        <v>I am between a xs and s but figured i would order down based on the reviews. well, it's still huge. i have about 5 inches that i can take in from the side. i have ordered the xxs and am hoping it will look more flattering. i love the colors and design, but as it is it does not do anything for me. for reference i am 124 lbs, 32d, 5'5".</v>
      </c>
      <c r="F1554" s="8">
        <f>IFERROR(__xludf.DUMMYFUNCTION("""COMPUTED_VALUE"""),4.0)</f>
        <v>4</v>
      </c>
      <c r="G1554" s="8">
        <f>IFERROR(__xludf.DUMMYFUNCTION("""COMPUTED_VALUE"""),1.0)</f>
        <v>1</v>
      </c>
      <c r="H1554" s="8">
        <f>IFERROR(__xludf.DUMMYFUNCTION("""COMPUTED_VALUE"""),0.0)</f>
        <v>0</v>
      </c>
      <c r="I1554" s="8" t="str">
        <f>IFERROR(__xludf.DUMMYFUNCTION("""COMPUTED_VALUE"""),"General Petite")</f>
        <v>General Petite</v>
      </c>
      <c r="J1554" s="8" t="str">
        <f>IFERROR(__xludf.DUMMYFUNCTION("""COMPUTED_VALUE"""),"Dresses")</f>
        <v>Dresses</v>
      </c>
      <c r="K1554" s="8" t="str">
        <f>IFERROR(__xludf.DUMMYFUNCTION("""COMPUTED_VALUE"""),"Dresses")</f>
        <v>Dresses</v>
      </c>
    </row>
    <row r="1555">
      <c r="A1555" s="8">
        <f>IFERROR(__xludf.DUMMYFUNCTION("""COMPUTED_VALUE"""),2054.0)</f>
        <v>2054</v>
      </c>
      <c r="B1555" s="8">
        <f>IFERROR(__xludf.DUMMYFUNCTION("""COMPUTED_VALUE"""),1092.0)</f>
        <v>1092</v>
      </c>
      <c r="C1555" s="8">
        <f>IFERROR(__xludf.DUMMYFUNCTION("""COMPUTED_VALUE"""),39.0)</f>
        <v>39</v>
      </c>
      <c r="D1555" s="8" t="str">
        <f>IFERROR(__xludf.DUMMYFUNCTION("""COMPUTED_VALUE"""),"Runs big in bust")</f>
        <v>Runs big in bust</v>
      </c>
      <c r="E1555" s="8" t="str">
        <f>IFERROR(__xludf.DUMMYFUNCTION("""COMPUTED_VALUE"""),"The first reviewer said it was small in the bust, but the 0p i ordered fit everywhere, rib cage and all, but was gaping at the bust (in the back). i would say overall it was true to size but if i sized down, it would be too snug in the rib cage. i am 30dd"&amp;" for reference there and waist is 26.5 inches,
otherwise, the make is very pretty, i like the texture in the fabric, the color is very pretty as well. embroidery seemed high quality, but i decided to pass on it, even on sale, since it didn't")</f>
        <v>The first reviewer said it was small in the bust, but the 0p i ordered fit everywhere, rib cage and all, but was gaping at the bust (in the back). i would say overall it was true to size but if i sized down, it would be too snug in the rib cage. i am 30dd for reference there and waist is 26.5 inches,
otherwise, the make is very pretty, i like the texture in the fabric, the color is very pretty as well. embroidery seemed high quality, but i decided to pass on it, even on sale, since it didn't</v>
      </c>
      <c r="F1555" s="8">
        <f>IFERROR(__xludf.DUMMYFUNCTION("""COMPUTED_VALUE"""),4.0)</f>
        <v>4</v>
      </c>
      <c r="G1555" s="8">
        <f>IFERROR(__xludf.DUMMYFUNCTION("""COMPUTED_VALUE"""),1.0)</f>
        <v>1</v>
      </c>
      <c r="H1555" s="8">
        <f>IFERROR(__xludf.DUMMYFUNCTION("""COMPUTED_VALUE"""),1.0)</f>
        <v>1</v>
      </c>
      <c r="I1555" s="8" t="str">
        <f>IFERROR(__xludf.DUMMYFUNCTION("""COMPUTED_VALUE"""),"General Petite")</f>
        <v>General Petite</v>
      </c>
      <c r="J1555" s="8" t="str">
        <f>IFERROR(__xludf.DUMMYFUNCTION("""COMPUTED_VALUE"""),"Dresses")</f>
        <v>Dresses</v>
      </c>
      <c r="K1555" s="8" t="str">
        <f>IFERROR(__xludf.DUMMYFUNCTION("""COMPUTED_VALUE"""),"Dresses")</f>
        <v>Dresses</v>
      </c>
    </row>
    <row r="1556">
      <c r="A1556" s="8">
        <f>IFERROR(__xludf.DUMMYFUNCTION("""COMPUTED_VALUE"""),2055.0)</f>
        <v>2055</v>
      </c>
      <c r="B1556" s="8">
        <f>IFERROR(__xludf.DUMMYFUNCTION("""COMPUTED_VALUE"""),896.0)</f>
        <v>896</v>
      </c>
      <c r="C1556" s="8">
        <f>IFERROR(__xludf.DUMMYFUNCTION("""COMPUTED_VALUE"""),39.0)</f>
        <v>39</v>
      </c>
      <c r="D1556" s="8" t="str">
        <f>IFERROR(__xludf.DUMMYFUNCTION("""COMPUTED_VALUE"""),"Finally saw it in person")</f>
        <v>Finally saw it in person</v>
      </c>
      <c r="E1556" s="8" t="str">
        <f>IFERROR(__xludf.DUMMYFUNCTION("""COMPUTED_VALUE"""),"I had my eye on this for a while, and my store finally got it in (in tmie for the 40% off sweaters). too bad hte petite size was already sold out by then, however good thing isthe xs stil lfit me in a nice way. i wil lnever know about petite, decided to j"&amp;"sut purchase as is (they don't have xxs either#. the fit is on hte looser comfortable side. the red color is rich, and the design is subtle, adn will nto fall apart, so it add some interest to an otherwise typical pullover. will look nice with j")</f>
        <v>I had my eye on this for a while, and my store finally got it in (in tmie for the 40% off sweaters). too bad hte petite size was already sold out by then, however good thing isthe xs stil lfit me in a nice way. i wil lnever know about petite, decided to jsut purchase as is (they don't have xxs either#. the fit is on hte looser comfortable side. the red color is rich, and the design is subtle, adn will nto fall apart, so it add some interest to an otherwise typical pullover. will look nice with j</v>
      </c>
      <c r="F1556" s="8">
        <f>IFERROR(__xludf.DUMMYFUNCTION("""COMPUTED_VALUE"""),5.0)</f>
        <v>5</v>
      </c>
      <c r="G1556" s="8">
        <f>IFERROR(__xludf.DUMMYFUNCTION("""COMPUTED_VALUE"""),1.0)</f>
        <v>1</v>
      </c>
      <c r="H1556" s="8">
        <f>IFERROR(__xludf.DUMMYFUNCTION("""COMPUTED_VALUE"""),0.0)</f>
        <v>0</v>
      </c>
      <c r="I1556" s="8" t="str">
        <f>IFERROR(__xludf.DUMMYFUNCTION("""COMPUTED_VALUE"""),"General")</f>
        <v>General</v>
      </c>
      <c r="J1556" s="8" t="str">
        <f>IFERROR(__xludf.DUMMYFUNCTION("""COMPUTED_VALUE"""),"Tops")</f>
        <v>Tops</v>
      </c>
      <c r="K1556" s="8" t="str">
        <f>IFERROR(__xludf.DUMMYFUNCTION("""COMPUTED_VALUE"""),"Fine gauge")</f>
        <v>Fine gauge</v>
      </c>
    </row>
    <row r="1557">
      <c r="A1557" s="8">
        <f>IFERROR(__xludf.DUMMYFUNCTION("""COMPUTED_VALUE"""),2056.0)</f>
        <v>2056</v>
      </c>
      <c r="B1557" s="8">
        <f>IFERROR(__xludf.DUMMYFUNCTION("""COMPUTED_VALUE"""),1072.0)</f>
        <v>1072</v>
      </c>
      <c r="C1557" s="8">
        <f>IFERROR(__xludf.DUMMYFUNCTION("""COMPUTED_VALUE"""),58.0)</f>
        <v>58</v>
      </c>
      <c r="D1557" s="8" t="str">
        <f>IFERROR(__xludf.DUMMYFUNCTION("""COMPUTED_VALUE"""),"Go to dress")</f>
        <v>Go to dress</v>
      </c>
      <c r="E1557" s="8" t="str">
        <f>IFERROR(__xludf.DUMMYFUNCTION("""COMPUTED_VALUE"""),"This is a great dress for those days where you just want to throw something on but still look put together. it hangs so well and feels so comfortable yet it has a style that is a combination of bohemian and part sophisticated . the colors are muted but th"&amp;"ey work so well. i wear it with flat strap sandals and have also paired it with wedges. i receive tons of compliments and have to make sure my daughter doesn't try to borrow it. would highly recommend.")</f>
        <v>This is a great dress for those days where you just want to throw something on but still look put together. it hangs so well and feels so comfortable yet it has a style that is a combination of bohemian and part sophisticated . the colors are muted but they work so well. i wear it with flat strap sandals and have also paired it with wedges. i receive tons of compliments and have to make sure my daughter doesn't try to borrow it. would highly recommend.</v>
      </c>
      <c r="F1557" s="8">
        <f>IFERROR(__xludf.DUMMYFUNCTION("""COMPUTED_VALUE"""),5.0)</f>
        <v>5</v>
      </c>
      <c r="G1557" s="8">
        <f>IFERROR(__xludf.DUMMYFUNCTION("""COMPUTED_VALUE"""),1.0)</f>
        <v>1</v>
      </c>
      <c r="H1557" s="8">
        <f>IFERROR(__xludf.DUMMYFUNCTION("""COMPUTED_VALUE"""),1.0)</f>
        <v>1</v>
      </c>
      <c r="I1557" s="8" t="str">
        <f>IFERROR(__xludf.DUMMYFUNCTION("""COMPUTED_VALUE"""),"General Petite")</f>
        <v>General Petite</v>
      </c>
      <c r="J1557" s="8" t="str">
        <f>IFERROR(__xludf.DUMMYFUNCTION("""COMPUTED_VALUE"""),"Dresses")</f>
        <v>Dresses</v>
      </c>
      <c r="K1557" s="8" t="str">
        <f>IFERROR(__xludf.DUMMYFUNCTION("""COMPUTED_VALUE"""),"Dresses")</f>
        <v>Dresses</v>
      </c>
    </row>
    <row r="1558">
      <c r="A1558" s="8">
        <f>IFERROR(__xludf.DUMMYFUNCTION("""COMPUTED_VALUE"""),2058.0)</f>
        <v>2058</v>
      </c>
      <c r="B1558" s="8">
        <f>IFERROR(__xludf.DUMMYFUNCTION("""COMPUTED_VALUE"""),862.0)</f>
        <v>862</v>
      </c>
      <c r="C1558" s="8">
        <f>IFERROR(__xludf.DUMMYFUNCTION("""COMPUTED_VALUE"""),57.0)</f>
        <v>57</v>
      </c>
      <c r="D1558" s="8"/>
      <c r="E1558" s="8" t="str">
        <f>IFERROR(__xludf.DUMMYFUNCTION("""COMPUTED_VALUE"""),"Love this layering piece! a little low cut for my personal comfort, but a tank underneath works great.")</f>
        <v>Love this layering piece! a little low cut for my personal comfort, but a tank underneath works great.</v>
      </c>
      <c r="F1558" s="8">
        <f>IFERROR(__xludf.DUMMYFUNCTION("""COMPUTED_VALUE"""),5.0)</f>
        <v>5</v>
      </c>
      <c r="G1558" s="8">
        <f>IFERROR(__xludf.DUMMYFUNCTION("""COMPUTED_VALUE"""),1.0)</f>
        <v>1</v>
      </c>
      <c r="H1558" s="8">
        <f>IFERROR(__xludf.DUMMYFUNCTION("""COMPUTED_VALUE"""),0.0)</f>
        <v>0</v>
      </c>
      <c r="I1558" s="8" t="str">
        <f>IFERROR(__xludf.DUMMYFUNCTION("""COMPUTED_VALUE"""),"General")</f>
        <v>General</v>
      </c>
      <c r="J1558" s="8" t="str">
        <f>IFERROR(__xludf.DUMMYFUNCTION("""COMPUTED_VALUE"""),"Tops")</f>
        <v>Tops</v>
      </c>
      <c r="K1558" s="8" t="str">
        <f>IFERROR(__xludf.DUMMYFUNCTION("""COMPUTED_VALUE"""),"Knits")</f>
        <v>Knits</v>
      </c>
    </row>
    <row r="1559">
      <c r="A1559" s="8">
        <f>IFERROR(__xludf.DUMMYFUNCTION("""COMPUTED_VALUE"""),2059.0)</f>
        <v>2059</v>
      </c>
      <c r="B1559" s="8">
        <f>IFERROR(__xludf.DUMMYFUNCTION("""COMPUTED_VALUE"""),1072.0)</f>
        <v>1072</v>
      </c>
      <c r="C1559" s="8">
        <f>IFERROR(__xludf.DUMMYFUNCTION("""COMPUTED_VALUE"""),38.0)</f>
        <v>38</v>
      </c>
      <c r="D1559" s="8" t="str">
        <f>IFERROR(__xludf.DUMMYFUNCTION("""COMPUTED_VALUE"""),"Love this dress!!!")</f>
        <v>Love this dress!!!</v>
      </c>
      <c r="E1559" s="8" t="str">
        <f>IFERROR(__xludf.DUMMYFUNCTION("""COMPUTED_VALUE"""),"I originally purchased a small after reading some of the reviews. although it did fit, i felt it was just slightly snug across the chest and upper arms. i returned for a medium (my usual size) and it was perfect. it had the same look and flow as what you "&amp;"see in the model pics. i love love love that it is long-sleeved and has pockets!!!!! i went ahead and ordered the other print as well! i wore the first one to work with some knee high boots and got many compliments. highly recommend!")</f>
        <v>I originally purchased a small after reading some of the reviews. although it did fit, i felt it was just slightly snug across the chest and upper arms. i returned for a medium (my usual size) and it was perfect. it had the same look and flow as what you see in the model pics. i love love love that it is long-sleeved and has pockets!!!!! i went ahead and ordered the other print as well! i wore the first one to work with some knee high boots and got many compliments. highly recommend!</v>
      </c>
      <c r="F1559" s="8">
        <f>IFERROR(__xludf.DUMMYFUNCTION("""COMPUTED_VALUE"""),5.0)</f>
        <v>5</v>
      </c>
      <c r="G1559" s="8">
        <f>IFERROR(__xludf.DUMMYFUNCTION("""COMPUTED_VALUE"""),1.0)</f>
        <v>1</v>
      </c>
      <c r="H1559" s="8">
        <f>IFERROR(__xludf.DUMMYFUNCTION("""COMPUTED_VALUE"""),0.0)</f>
        <v>0</v>
      </c>
      <c r="I1559" s="8" t="str">
        <f>IFERROR(__xludf.DUMMYFUNCTION("""COMPUTED_VALUE"""),"General Petite")</f>
        <v>General Petite</v>
      </c>
      <c r="J1559" s="8" t="str">
        <f>IFERROR(__xludf.DUMMYFUNCTION("""COMPUTED_VALUE"""),"Dresses")</f>
        <v>Dresses</v>
      </c>
      <c r="K1559" s="8" t="str">
        <f>IFERROR(__xludf.DUMMYFUNCTION("""COMPUTED_VALUE"""),"Dresses")</f>
        <v>Dresses</v>
      </c>
    </row>
    <row r="1560">
      <c r="A1560" s="8">
        <f>IFERROR(__xludf.DUMMYFUNCTION("""COMPUTED_VALUE"""),2060.0)</f>
        <v>2060</v>
      </c>
      <c r="B1560" s="8">
        <f>IFERROR(__xludf.DUMMYFUNCTION("""COMPUTED_VALUE"""),1092.0)</f>
        <v>1092</v>
      </c>
      <c r="C1560" s="8">
        <f>IFERROR(__xludf.DUMMYFUNCTION("""COMPUTED_VALUE"""),41.0)</f>
        <v>41</v>
      </c>
      <c r="D1560" s="8" t="str">
        <f>IFERROR(__xludf.DUMMYFUNCTION("""COMPUTED_VALUE"""),"Absolutely beautiful")</f>
        <v>Absolutely beautiful</v>
      </c>
      <c r="E1560" s="8" t="str">
        <f>IFERROR(__xludf.DUMMYFUNCTION("""COMPUTED_VALUE"""),"Love love love this dress.  fits like a glove. beautiful details. amazing quality. i'm so happy with this dress and know i'll have it for years. :)")</f>
        <v>Love love love this dress.  fits like a glove. beautiful details. amazing quality. i'm so happy with this dress and know i'll have it for years. :)</v>
      </c>
      <c r="F1560" s="8">
        <f>IFERROR(__xludf.DUMMYFUNCTION("""COMPUTED_VALUE"""),5.0)</f>
        <v>5</v>
      </c>
      <c r="G1560" s="8">
        <f>IFERROR(__xludf.DUMMYFUNCTION("""COMPUTED_VALUE"""),1.0)</f>
        <v>1</v>
      </c>
      <c r="H1560" s="8">
        <f>IFERROR(__xludf.DUMMYFUNCTION("""COMPUTED_VALUE"""),0.0)</f>
        <v>0</v>
      </c>
      <c r="I1560" s="8" t="str">
        <f>IFERROR(__xludf.DUMMYFUNCTION("""COMPUTED_VALUE"""),"General Petite")</f>
        <v>General Petite</v>
      </c>
      <c r="J1560" s="8" t="str">
        <f>IFERROR(__xludf.DUMMYFUNCTION("""COMPUTED_VALUE"""),"Dresses")</f>
        <v>Dresses</v>
      </c>
      <c r="K1560" s="8" t="str">
        <f>IFERROR(__xludf.DUMMYFUNCTION("""COMPUTED_VALUE"""),"Dresses")</f>
        <v>Dresses</v>
      </c>
    </row>
    <row r="1561">
      <c r="A1561" s="8">
        <f>IFERROR(__xludf.DUMMYFUNCTION("""COMPUTED_VALUE"""),2061.0)</f>
        <v>2061</v>
      </c>
      <c r="B1561" s="8">
        <f>IFERROR(__xludf.DUMMYFUNCTION("""COMPUTED_VALUE"""),1126.0)</f>
        <v>1126</v>
      </c>
      <c r="C1561" s="8">
        <f>IFERROR(__xludf.DUMMYFUNCTION("""COMPUTED_VALUE"""),61.0)</f>
        <v>61</v>
      </c>
      <c r="D1561" s="8"/>
      <c r="E1561" s="8" t="str">
        <f>IFERROR(__xludf.DUMMYFUNCTION("""COMPUTED_VALUE"""),"This jacket is gorgeous! the design is visually very interesting. the fabric is light enough that i can wear it to work and keep it on all day.")</f>
        <v>This jacket is gorgeous! the design is visually very interesting. the fabric is light enough that i can wear it to work and keep it on all day.</v>
      </c>
      <c r="F1561" s="8">
        <f>IFERROR(__xludf.DUMMYFUNCTION("""COMPUTED_VALUE"""),5.0)</f>
        <v>5</v>
      </c>
      <c r="G1561" s="8">
        <f>IFERROR(__xludf.DUMMYFUNCTION("""COMPUTED_VALUE"""),1.0)</f>
        <v>1</v>
      </c>
      <c r="H1561" s="8">
        <f>IFERROR(__xludf.DUMMYFUNCTION("""COMPUTED_VALUE"""),1.0)</f>
        <v>1</v>
      </c>
      <c r="I1561" s="8" t="str">
        <f>IFERROR(__xludf.DUMMYFUNCTION("""COMPUTED_VALUE"""),"General")</f>
        <v>General</v>
      </c>
      <c r="J1561" s="8" t="str">
        <f>IFERROR(__xludf.DUMMYFUNCTION("""COMPUTED_VALUE"""),"Jackets")</f>
        <v>Jackets</v>
      </c>
      <c r="K1561" s="8" t="str">
        <f>IFERROR(__xludf.DUMMYFUNCTION("""COMPUTED_VALUE"""),"Outerwear")</f>
        <v>Outerwear</v>
      </c>
    </row>
    <row r="1562">
      <c r="A1562" s="8">
        <f>IFERROR(__xludf.DUMMYFUNCTION("""COMPUTED_VALUE"""),2062.0)</f>
        <v>2062</v>
      </c>
      <c r="B1562" s="8">
        <f>IFERROR(__xludf.DUMMYFUNCTION("""COMPUTED_VALUE"""),896.0)</f>
        <v>896</v>
      </c>
      <c r="C1562" s="8">
        <f>IFERROR(__xludf.DUMMYFUNCTION("""COMPUTED_VALUE"""),39.0)</f>
        <v>39</v>
      </c>
      <c r="D1562" s="8"/>
      <c r="E1562" s="8" t="str">
        <f>IFERROR(__xludf.DUMMYFUNCTION("""COMPUTED_VALUE"""),"Love this sweater! the abstract floral design adds an understated romantic touch, the red is a beautiful rich red, and the cotton is super soft and comfy. i've tried it on with pencil skirts and jeans, and it looks great with both. i'm considering buying "&amp;"it in the off white too, but it does have some cons. one is the waist band hits me where it does on the model and if you look closely you can see where the sweater poof out over the band a bit--it does that on me too, unless i turn the band up t")</f>
        <v>Love this sweater! the abstract floral design adds an understated romantic touch, the red is a beautiful rich red, and the cotton is super soft and comfy. i've tried it on with pencil skirts and jeans, and it looks great with both. i'm considering buying it in the off white too, but it does have some cons. one is the waist band hits me where it does on the model and if you look closely you can see where the sweater poof out over the band a bit--it does that on me too, unless i turn the band up t</v>
      </c>
      <c r="F1562" s="8">
        <f>IFERROR(__xludf.DUMMYFUNCTION("""COMPUTED_VALUE"""),5.0)</f>
        <v>5</v>
      </c>
      <c r="G1562" s="8">
        <f>IFERROR(__xludf.DUMMYFUNCTION("""COMPUTED_VALUE"""),1.0)</f>
        <v>1</v>
      </c>
      <c r="H1562" s="8">
        <f>IFERROR(__xludf.DUMMYFUNCTION("""COMPUTED_VALUE"""),6.0)</f>
        <v>6</v>
      </c>
      <c r="I1562" s="8" t="str">
        <f>IFERROR(__xludf.DUMMYFUNCTION("""COMPUTED_VALUE"""),"General")</f>
        <v>General</v>
      </c>
      <c r="J1562" s="8" t="str">
        <f>IFERROR(__xludf.DUMMYFUNCTION("""COMPUTED_VALUE"""),"Tops")</f>
        <v>Tops</v>
      </c>
      <c r="K1562" s="8" t="str">
        <f>IFERROR(__xludf.DUMMYFUNCTION("""COMPUTED_VALUE"""),"Fine gauge")</f>
        <v>Fine gauge</v>
      </c>
    </row>
    <row r="1563">
      <c r="A1563" s="8">
        <f>IFERROR(__xludf.DUMMYFUNCTION("""COMPUTED_VALUE"""),2064.0)</f>
        <v>2064</v>
      </c>
      <c r="B1563" s="8">
        <f>IFERROR(__xludf.DUMMYFUNCTION("""COMPUTED_VALUE"""),896.0)</f>
        <v>896</v>
      </c>
      <c r="C1563" s="8">
        <f>IFERROR(__xludf.DUMMYFUNCTION("""COMPUTED_VALUE"""),63.0)</f>
        <v>63</v>
      </c>
      <c r="D1563" s="8" t="str">
        <f>IFERROR(__xludf.DUMMYFUNCTION("""COMPUTED_VALUE"""),"Love this sweater!!")</f>
        <v>Love this sweater!!</v>
      </c>
      <c r="E1563" s="8" t="str">
        <f>IFERROR(__xludf.DUMMYFUNCTION("""COMPUTED_VALUE"""),"I am totally in love with this sweater!! it is lightweight, comfortable, and very versatile. throw on a pair of jeans and it is casual. throw on dark slacks or a skirt and it is dressy. the design does not become the focus of the sweater but rather takes "&amp;"it up a notch making it a fun piece to wear. the color is not a light red, but rather a rich cabernet wine color. this sweater is well on its way to becoming one of my all time favorites!!")</f>
        <v>I am totally in love with this sweater!! it is lightweight, comfortable, and very versatile. throw on a pair of jeans and it is casual. throw on dark slacks or a skirt and it is dressy. the design does not become the focus of the sweater but rather takes it up a notch making it a fun piece to wear. the color is not a light red, but rather a rich cabernet wine color. this sweater is well on its way to becoming one of my all time favorites!!</v>
      </c>
      <c r="F1563" s="8">
        <f>IFERROR(__xludf.DUMMYFUNCTION("""COMPUTED_VALUE"""),5.0)</f>
        <v>5</v>
      </c>
      <c r="G1563" s="8">
        <f>IFERROR(__xludf.DUMMYFUNCTION("""COMPUTED_VALUE"""),1.0)</f>
        <v>1</v>
      </c>
      <c r="H1563" s="8">
        <f>IFERROR(__xludf.DUMMYFUNCTION("""COMPUTED_VALUE"""),4.0)</f>
        <v>4</v>
      </c>
      <c r="I1563" s="8" t="str">
        <f>IFERROR(__xludf.DUMMYFUNCTION("""COMPUTED_VALUE"""),"General")</f>
        <v>General</v>
      </c>
      <c r="J1563" s="8" t="str">
        <f>IFERROR(__xludf.DUMMYFUNCTION("""COMPUTED_VALUE"""),"Tops")</f>
        <v>Tops</v>
      </c>
      <c r="K1563" s="8" t="str">
        <f>IFERROR(__xludf.DUMMYFUNCTION("""COMPUTED_VALUE"""),"Fine gauge")</f>
        <v>Fine gauge</v>
      </c>
    </row>
    <row r="1564">
      <c r="A1564" s="8">
        <f>IFERROR(__xludf.DUMMYFUNCTION("""COMPUTED_VALUE"""),2065.0)</f>
        <v>2065</v>
      </c>
      <c r="B1564" s="8">
        <f>IFERROR(__xludf.DUMMYFUNCTION("""COMPUTED_VALUE"""),872.0)</f>
        <v>872</v>
      </c>
      <c r="C1564" s="8">
        <f>IFERROR(__xludf.DUMMYFUNCTION("""COMPUTED_VALUE"""),23.0)</f>
        <v>23</v>
      </c>
      <c r="D1564" s="8" t="str">
        <f>IFERROR(__xludf.DUMMYFUNCTION("""COMPUTED_VALUE"""),"Love!")</f>
        <v>Love!</v>
      </c>
      <c r="E1564" s="8" t="str">
        <f>IFERROR(__xludf.DUMMYFUNCTION("""COMPUTED_VALUE"""),"I was very nervous to buy this top, but because it was on such an excellent sale i went for it- tops like this usually end in me showing a ridiculous amount of cleavage or not being able to zip (i am a 32ddd) it past my waist. i ordered a small based on t"&amp;"he other reviews and it fits perfectly! the wrap top is perfect and shows off my curves without showing too much. the fabric is very unique and the whole top is lined with a nice nylon/cotton blend so it is very soft and comfortable to wear. def")</f>
        <v>I was very nervous to buy this top, but because it was on such an excellent sale i went for it- tops like this usually end in me showing a ridiculous amount of cleavage or not being able to zip (i am a 32ddd) it past my waist. i ordered a small based on the other reviews and it fits perfectly! the wrap top is perfect and shows off my curves without showing too much. the fabric is very unique and the whole top is lined with a nice nylon/cotton blend so it is very soft and comfortable to wear. def</v>
      </c>
      <c r="F1564" s="8">
        <f>IFERROR(__xludf.DUMMYFUNCTION("""COMPUTED_VALUE"""),5.0)</f>
        <v>5</v>
      </c>
      <c r="G1564" s="8">
        <f>IFERROR(__xludf.DUMMYFUNCTION("""COMPUTED_VALUE"""),1.0)</f>
        <v>1</v>
      </c>
      <c r="H1564" s="8">
        <f>IFERROR(__xludf.DUMMYFUNCTION("""COMPUTED_VALUE"""),0.0)</f>
        <v>0</v>
      </c>
      <c r="I1564" s="8" t="str">
        <f>IFERROR(__xludf.DUMMYFUNCTION("""COMPUTED_VALUE"""),"General Petite")</f>
        <v>General Petite</v>
      </c>
      <c r="J1564" s="8" t="str">
        <f>IFERROR(__xludf.DUMMYFUNCTION("""COMPUTED_VALUE"""),"Tops")</f>
        <v>Tops</v>
      </c>
      <c r="K1564" s="8" t="str">
        <f>IFERROR(__xludf.DUMMYFUNCTION("""COMPUTED_VALUE"""),"Knits")</f>
        <v>Knits</v>
      </c>
    </row>
    <row r="1565">
      <c r="A1565" s="8">
        <f>IFERROR(__xludf.DUMMYFUNCTION("""COMPUTED_VALUE"""),2066.0)</f>
        <v>2066</v>
      </c>
      <c r="B1565" s="8">
        <f>IFERROR(__xludf.DUMMYFUNCTION("""COMPUTED_VALUE"""),1072.0)</f>
        <v>1072</v>
      </c>
      <c r="C1565" s="8">
        <f>IFERROR(__xludf.DUMMYFUNCTION("""COMPUTED_VALUE"""),59.0)</f>
        <v>59</v>
      </c>
      <c r="D1565" s="8" t="str">
        <f>IFERROR(__xludf.DUMMYFUNCTION("""COMPUTED_VALUE"""),"A bit big")</f>
        <v>A bit big</v>
      </c>
      <c r="E1565" s="8" t="str">
        <f>IFERROR(__xludf.DUMMYFUNCTION("""COMPUTED_VALUE"""),"I really loved the colors in this dress and was looking for a long sleeve dress. this style may just be big fitting but the sleeves were way too long and the dress was just shapeless on me. i usually wear a small or a size 4 in clothing and the size small"&amp;" in this dress was way too big. the x-small may have been a better fit but this dress was on backorder and i just received it right before we are going on a trip. there's no time to order the x-small but maybe i can look at it again when we retu")</f>
        <v>I really loved the colors in this dress and was looking for a long sleeve dress. this style may just be big fitting but the sleeves were way too long and the dress was just shapeless on me. i usually wear a small or a size 4 in clothing and the size small in this dress was way too big. the x-small may have been a better fit but this dress was on backorder and i just received it right before we are going on a trip. there's no time to order the x-small but maybe i can look at it again when we retu</v>
      </c>
      <c r="F1565" s="8">
        <f>IFERROR(__xludf.DUMMYFUNCTION("""COMPUTED_VALUE"""),4.0)</f>
        <v>4</v>
      </c>
      <c r="G1565" s="8">
        <f>IFERROR(__xludf.DUMMYFUNCTION("""COMPUTED_VALUE"""),1.0)</f>
        <v>1</v>
      </c>
      <c r="H1565" s="8">
        <f>IFERROR(__xludf.DUMMYFUNCTION("""COMPUTED_VALUE"""),4.0)</f>
        <v>4</v>
      </c>
      <c r="I1565" s="8" t="str">
        <f>IFERROR(__xludf.DUMMYFUNCTION("""COMPUTED_VALUE"""),"General Petite")</f>
        <v>General Petite</v>
      </c>
      <c r="J1565" s="8" t="str">
        <f>IFERROR(__xludf.DUMMYFUNCTION("""COMPUTED_VALUE"""),"Dresses")</f>
        <v>Dresses</v>
      </c>
      <c r="K1565" s="8" t="str">
        <f>IFERROR(__xludf.DUMMYFUNCTION("""COMPUTED_VALUE"""),"Dresses")</f>
        <v>Dresses</v>
      </c>
    </row>
    <row r="1566">
      <c r="A1566" s="8">
        <f>IFERROR(__xludf.DUMMYFUNCTION("""COMPUTED_VALUE"""),2067.0)</f>
        <v>2067</v>
      </c>
      <c r="B1566" s="8">
        <f>IFERROR(__xludf.DUMMYFUNCTION("""COMPUTED_VALUE"""),850.0)</f>
        <v>850</v>
      </c>
      <c r="C1566" s="8">
        <f>IFERROR(__xludf.DUMMYFUNCTION("""COMPUTED_VALUE"""),63.0)</f>
        <v>63</v>
      </c>
      <c r="D1566" s="8" t="str">
        <f>IFERROR(__xludf.DUMMYFUNCTION("""COMPUTED_VALUE"""),"Gorgeous top but very high-waisted")</f>
        <v>Gorgeous top but very high-waisted</v>
      </c>
      <c r="E1566" s="8" t="str">
        <f>IFERROR(__xludf.DUMMYFUNCTION("""COMPUTED_VALUE"""),"I love everything about this blouse except for one thing: the peplum just hits way too high up on the body, and i am only 5'4"". 106 and ordered a regular size 2 (not petite) which fits perfectly except for this. it is made of a beautiful textured fabric "&amp;"and is very nice quality. i adore peplums and own many and like the peplum to begin near the waist. however, others may not mind the higher waist and in that case it may work for them. i really hated to send it back it was so pretty but it just w")</f>
        <v>I love everything about this blouse except for one thing: the peplum just hits way too high up on the body, and i am only 5'4". 106 and ordered a regular size 2 (not petite) which fits perfectly except for this. it is made of a beautiful textured fabric and is very nice quality. i adore peplums and own many and like the peplum to begin near the waist. however, others may not mind the higher waist and in that case it may work for them. i really hated to send it back it was so pretty but it just w</v>
      </c>
      <c r="F1566" s="8">
        <f>IFERROR(__xludf.DUMMYFUNCTION("""COMPUTED_VALUE"""),4.0)</f>
        <v>4</v>
      </c>
      <c r="G1566" s="8">
        <f>IFERROR(__xludf.DUMMYFUNCTION("""COMPUTED_VALUE"""),1.0)</f>
        <v>1</v>
      </c>
      <c r="H1566" s="8">
        <f>IFERROR(__xludf.DUMMYFUNCTION("""COMPUTED_VALUE"""),19.0)</f>
        <v>19</v>
      </c>
      <c r="I1566" s="8" t="str">
        <f>IFERROR(__xludf.DUMMYFUNCTION("""COMPUTED_VALUE"""),"General Petite")</f>
        <v>General Petite</v>
      </c>
      <c r="J1566" s="8" t="str">
        <f>IFERROR(__xludf.DUMMYFUNCTION("""COMPUTED_VALUE"""),"Tops")</f>
        <v>Tops</v>
      </c>
      <c r="K1566" s="8" t="str">
        <f>IFERROR(__xludf.DUMMYFUNCTION("""COMPUTED_VALUE"""),"Blouses")</f>
        <v>Blouses</v>
      </c>
    </row>
    <row r="1567">
      <c r="A1567" s="8">
        <f>IFERROR(__xludf.DUMMYFUNCTION("""COMPUTED_VALUE"""),2069.0)</f>
        <v>2069</v>
      </c>
      <c r="B1567" s="8">
        <f>IFERROR(__xludf.DUMMYFUNCTION("""COMPUTED_VALUE"""),1126.0)</f>
        <v>1126</v>
      </c>
      <c r="C1567" s="8">
        <f>IFERROR(__xludf.DUMMYFUNCTION("""COMPUTED_VALUE"""),51.0)</f>
        <v>51</v>
      </c>
      <c r="D1567" s="8" t="str">
        <f>IFERROR(__xludf.DUMMYFUNCTION("""COMPUTED_VALUE"""),"Surprisingly amazing")</f>
        <v>Surprisingly amazing</v>
      </c>
      <c r="E1567" s="8" t="str">
        <f>IFERROR(__xludf.DUMMYFUNCTION("""COMPUTED_VALUE"""),"I tried this on at the store in the regular size it came in and thought maybe it has some potential is i ordered it for me in a petite since that's what i am. i ignored the package when i first got it thinking it wouldn't really look right but omg, it's 1"&amp;"00% amazing and flattering. wear it with skinny jeans, leggings, jeggings, whatever and it's just super awesome on dressed up or down. i'd buy this over and over again without a doubt.")</f>
        <v>I tried this on at the store in the regular size it came in and thought maybe it has some potential is i ordered it for me in a petite since that's what i am. i ignored the package when i first got it thinking it wouldn't really look right but omg, it's 100% amazing and flattering. wear it with skinny jeans, leggings, jeggings, whatever and it's just super awesome on dressed up or down. i'd buy this over and over again without a doubt.</v>
      </c>
      <c r="F1567" s="8">
        <f>IFERROR(__xludf.DUMMYFUNCTION("""COMPUTED_VALUE"""),5.0)</f>
        <v>5</v>
      </c>
      <c r="G1567" s="8">
        <f>IFERROR(__xludf.DUMMYFUNCTION("""COMPUTED_VALUE"""),1.0)</f>
        <v>1</v>
      </c>
      <c r="H1567" s="8">
        <f>IFERROR(__xludf.DUMMYFUNCTION("""COMPUTED_VALUE"""),3.0)</f>
        <v>3</v>
      </c>
      <c r="I1567" s="8" t="str">
        <f>IFERROR(__xludf.DUMMYFUNCTION("""COMPUTED_VALUE"""),"General")</f>
        <v>General</v>
      </c>
      <c r="J1567" s="8" t="str">
        <f>IFERROR(__xludf.DUMMYFUNCTION("""COMPUTED_VALUE"""),"Jackets")</f>
        <v>Jackets</v>
      </c>
      <c r="K1567" s="8" t="str">
        <f>IFERROR(__xludf.DUMMYFUNCTION("""COMPUTED_VALUE"""),"Outerwear")</f>
        <v>Outerwear</v>
      </c>
    </row>
    <row r="1568">
      <c r="A1568" s="8">
        <f>IFERROR(__xludf.DUMMYFUNCTION("""COMPUTED_VALUE"""),2070.0)</f>
        <v>2070</v>
      </c>
      <c r="B1568" s="8">
        <f>IFERROR(__xludf.DUMMYFUNCTION("""COMPUTED_VALUE"""),850.0)</f>
        <v>850</v>
      </c>
      <c r="C1568" s="8">
        <f>IFERROR(__xludf.DUMMYFUNCTION("""COMPUTED_VALUE"""),23.0)</f>
        <v>23</v>
      </c>
      <c r="D1568" s="8" t="str">
        <f>IFERROR(__xludf.DUMMYFUNCTION("""COMPUTED_VALUE"""),"The most versatile top.")</f>
        <v>The most versatile top.</v>
      </c>
      <c r="E1568" s="8" t="str">
        <f>IFERROR(__xludf.DUMMYFUNCTION("""COMPUTED_VALUE"""),"I bought this shirt to wear to work (i'm a teacher). this shirt is so amazing. i'm able to pair it with work pants to dress it up, and in denim to dress it down. the cut is incredible, with the peplum waist coming right below my breasts a little above my "&amp;"waist. the length is perfect, and it just seems to create the most perfect shape. the material is high quality, and i just love the fabric texture. it's very soft, and gives a tiny bit of stretch, but not much. i did size up in this shirt (i'm u")</f>
        <v>I bought this shirt to wear to work (i'm a teacher). this shirt is so amazing. i'm able to pair it with work pants to dress it up, and in denim to dress it down. the cut is incredible, with the peplum waist coming right below my breasts a little above my waist. the length is perfect, and it just seems to create the most perfect shape. the material is high quality, and i just love the fabric texture. it's very soft, and gives a tiny bit of stretch, but not much. i did size up in this shirt (i'm u</v>
      </c>
      <c r="F1568" s="8">
        <f>IFERROR(__xludf.DUMMYFUNCTION("""COMPUTED_VALUE"""),5.0)</f>
        <v>5</v>
      </c>
      <c r="G1568" s="8">
        <f>IFERROR(__xludf.DUMMYFUNCTION("""COMPUTED_VALUE"""),1.0)</f>
        <v>1</v>
      </c>
      <c r="H1568" s="8">
        <f>IFERROR(__xludf.DUMMYFUNCTION("""COMPUTED_VALUE"""),6.0)</f>
        <v>6</v>
      </c>
      <c r="I1568" s="8" t="str">
        <f>IFERROR(__xludf.DUMMYFUNCTION("""COMPUTED_VALUE"""),"General Petite")</f>
        <v>General Petite</v>
      </c>
      <c r="J1568" s="8" t="str">
        <f>IFERROR(__xludf.DUMMYFUNCTION("""COMPUTED_VALUE"""),"Tops")</f>
        <v>Tops</v>
      </c>
      <c r="K1568" s="8" t="str">
        <f>IFERROR(__xludf.DUMMYFUNCTION("""COMPUTED_VALUE"""),"Blouses")</f>
        <v>Blouses</v>
      </c>
    </row>
    <row r="1569">
      <c r="A1569" s="8">
        <f>IFERROR(__xludf.DUMMYFUNCTION("""COMPUTED_VALUE"""),2071.0)</f>
        <v>2071</v>
      </c>
      <c r="B1569" s="8">
        <f>IFERROR(__xludf.DUMMYFUNCTION("""COMPUTED_VALUE"""),862.0)</f>
        <v>862</v>
      </c>
      <c r="C1569" s="8">
        <f>IFERROR(__xludf.DUMMYFUNCTION("""COMPUTED_VALUE"""),23.0)</f>
        <v>23</v>
      </c>
      <c r="D1569" s="8" t="str">
        <f>IFERROR(__xludf.DUMMYFUNCTION("""COMPUTED_VALUE"""),"My go-to shirt")</f>
        <v>My go-to shirt</v>
      </c>
      <c r="E1569" s="8" t="str">
        <f>IFERROR(__xludf.DUMMYFUNCTION("""COMPUTED_VALUE"""),"I honestly bought this shirt on a whim the other day in my local retailer. i was drawn to the color and the swing. first of all, this shirt is incredibly soft and lightweight. i love the flow of the loose peplum. the straps are nicely placed, because they"&amp;"'re wider and accentuate my arms (and cover my bra straps). i love the little v neck detail. it shows a little cleavage when bent or hunched over, but the top stays conservative when truly upright. i wore this shirt 3 days in a row last week, and")</f>
        <v>I honestly bought this shirt on a whim the other day in my local retailer. i was drawn to the color and the swing. first of all, this shirt is incredibly soft and lightweight. i love the flow of the loose peplum. the straps are nicely placed, because they're wider and accentuate my arms (and cover my bra straps). i love the little v neck detail. it shows a little cleavage when bent or hunched over, but the top stays conservative when truly upright. i wore this shirt 3 days in a row last week, and</v>
      </c>
      <c r="F1569" s="8">
        <f>IFERROR(__xludf.DUMMYFUNCTION("""COMPUTED_VALUE"""),5.0)</f>
        <v>5</v>
      </c>
      <c r="G1569" s="8">
        <f>IFERROR(__xludf.DUMMYFUNCTION("""COMPUTED_VALUE"""),1.0)</f>
        <v>1</v>
      </c>
      <c r="H1569" s="8">
        <f>IFERROR(__xludf.DUMMYFUNCTION("""COMPUTED_VALUE"""),21.0)</f>
        <v>21</v>
      </c>
      <c r="I1569" s="8" t="str">
        <f>IFERROR(__xludf.DUMMYFUNCTION("""COMPUTED_VALUE"""),"General")</f>
        <v>General</v>
      </c>
      <c r="J1569" s="8" t="str">
        <f>IFERROR(__xludf.DUMMYFUNCTION("""COMPUTED_VALUE"""),"Tops")</f>
        <v>Tops</v>
      </c>
      <c r="K1569" s="8" t="str">
        <f>IFERROR(__xludf.DUMMYFUNCTION("""COMPUTED_VALUE"""),"Knits")</f>
        <v>Knits</v>
      </c>
    </row>
    <row r="1570">
      <c r="A1570" s="8">
        <f>IFERROR(__xludf.DUMMYFUNCTION("""COMPUTED_VALUE"""),2072.0)</f>
        <v>2072</v>
      </c>
      <c r="B1570" s="8">
        <f>IFERROR(__xludf.DUMMYFUNCTION("""COMPUTED_VALUE"""),1072.0)</f>
        <v>1072</v>
      </c>
      <c r="C1570" s="8">
        <f>IFERROR(__xludf.DUMMYFUNCTION("""COMPUTED_VALUE"""),33.0)</f>
        <v>33</v>
      </c>
      <c r="D1570" s="8" t="str">
        <f>IFERROR(__xludf.DUMMYFUNCTION("""COMPUTED_VALUE"""),"Lovely!")</f>
        <v>Lovely!</v>
      </c>
      <c r="E1570" s="8" t="str">
        <f>IFERROR(__xludf.DUMMYFUNCTION("""COMPUTED_VALUE"""),"Comfortable, relaxed fit. i am very top heavy and the generous cut of this dress worked well!")</f>
        <v>Comfortable, relaxed fit. i am very top heavy and the generous cut of this dress worked well!</v>
      </c>
      <c r="F1570" s="8">
        <f>IFERROR(__xludf.DUMMYFUNCTION("""COMPUTED_VALUE"""),5.0)</f>
        <v>5</v>
      </c>
      <c r="G1570" s="8">
        <f>IFERROR(__xludf.DUMMYFUNCTION("""COMPUTED_VALUE"""),1.0)</f>
        <v>1</v>
      </c>
      <c r="H1570" s="8">
        <f>IFERROR(__xludf.DUMMYFUNCTION("""COMPUTED_VALUE"""),0.0)</f>
        <v>0</v>
      </c>
      <c r="I1570" s="8" t="str">
        <f>IFERROR(__xludf.DUMMYFUNCTION("""COMPUTED_VALUE"""),"General Petite")</f>
        <v>General Petite</v>
      </c>
      <c r="J1570" s="8" t="str">
        <f>IFERROR(__xludf.DUMMYFUNCTION("""COMPUTED_VALUE"""),"Dresses")</f>
        <v>Dresses</v>
      </c>
      <c r="K1570" s="8" t="str">
        <f>IFERROR(__xludf.DUMMYFUNCTION("""COMPUTED_VALUE"""),"Dresses")</f>
        <v>Dresses</v>
      </c>
    </row>
    <row r="1571">
      <c r="A1571" s="8">
        <f>IFERROR(__xludf.DUMMYFUNCTION("""COMPUTED_VALUE"""),2073.0)</f>
        <v>2073</v>
      </c>
      <c r="B1571" s="8">
        <f>IFERROR(__xludf.DUMMYFUNCTION("""COMPUTED_VALUE"""),862.0)</f>
        <v>862</v>
      </c>
      <c r="C1571" s="8">
        <f>IFERROR(__xludf.DUMMYFUNCTION("""COMPUTED_VALUE"""),64.0)</f>
        <v>64</v>
      </c>
      <c r="D1571" s="8" t="str">
        <f>IFERROR(__xludf.DUMMYFUNCTION("""COMPUTED_VALUE"""),"Versatile!")</f>
        <v>Versatile!</v>
      </c>
      <c r="E1571" s="8" t="str">
        <f>IFERROR(__xludf.DUMMYFUNCTION("""COMPUTED_VALUE"""),"This top is comfortable and flattering. i really like the simplicity- a wearable basic summer top, with a cute twist, just enough to make it contemporary, but not overstated.")</f>
        <v>This top is comfortable and flattering. i really like the simplicity- a wearable basic summer top, with a cute twist, just enough to make it contemporary, but not overstated.</v>
      </c>
      <c r="F1571" s="8">
        <f>IFERROR(__xludf.DUMMYFUNCTION("""COMPUTED_VALUE"""),5.0)</f>
        <v>5</v>
      </c>
      <c r="G1571" s="8">
        <f>IFERROR(__xludf.DUMMYFUNCTION("""COMPUTED_VALUE"""),1.0)</f>
        <v>1</v>
      </c>
      <c r="H1571" s="8">
        <f>IFERROR(__xludf.DUMMYFUNCTION("""COMPUTED_VALUE"""),0.0)</f>
        <v>0</v>
      </c>
      <c r="I1571" s="8" t="str">
        <f>IFERROR(__xludf.DUMMYFUNCTION("""COMPUTED_VALUE"""),"General")</f>
        <v>General</v>
      </c>
      <c r="J1571" s="8" t="str">
        <f>IFERROR(__xludf.DUMMYFUNCTION("""COMPUTED_VALUE"""),"Tops")</f>
        <v>Tops</v>
      </c>
      <c r="K1571" s="8" t="str">
        <f>IFERROR(__xludf.DUMMYFUNCTION("""COMPUTED_VALUE"""),"Knits")</f>
        <v>Knits</v>
      </c>
    </row>
    <row r="1572">
      <c r="A1572" s="8">
        <f>IFERROR(__xludf.DUMMYFUNCTION("""COMPUTED_VALUE"""),2074.0)</f>
        <v>2074</v>
      </c>
      <c r="B1572" s="8">
        <f>IFERROR(__xludf.DUMMYFUNCTION("""COMPUTED_VALUE"""),1072.0)</f>
        <v>1072</v>
      </c>
      <c r="C1572" s="8">
        <f>IFERROR(__xludf.DUMMYFUNCTION("""COMPUTED_VALUE"""),33.0)</f>
        <v>33</v>
      </c>
      <c r="D1572" s="8" t="str">
        <f>IFERROR(__xludf.DUMMYFUNCTION("""COMPUTED_VALUE"""),"Beautiful dress - runs huge!")</f>
        <v>Beautiful dress - runs huge!</v>
      </c>
      <c r="E1572" s="8" t="str">
        <f>IFERROR(__xludf.DUMMYFUNCTION("""COMPUTED_VALUE"""),"I fell in love with this dress online and went to try on in the store. i'm 5'6, 128 lbs with some boobs, usually a s or size 4. i tried on the s and xs, and ended up buying the xs - and i've never worn an xs in my life. it is long and loose, hanging right"&amp;" at my knees. the body is roomy, and i am thinking of having it taken in a couple of inches at the waist. there is pleating in the front that begins just below my natural waist and extends out to the hips, plus pockets (!!!). the sleeves are lon")</f>
        <v>I fell in love with this dress online and went to try on in the store. i'm 5'6, 128 lbs with some boobs, usually a s or size 4. i tried on the s and xs, and ended up buying the xs - and i've never worn an xs in my life. it is long and loose, hanging right at my knees. the body is roomy, and i am thinking of having it taken in a couple of inches at the waist. there is pleating in the front that begins just below my natural waist and extends out to the hips, plus pockets (!!!). the sleeves are lon</v>
      </c>
      <c r="F1572" s="8">
        <f>IFERROR(__xludf.DUMMYFUNCTION("""COMPUTED_VALUE"""),5.0)</f>
        <v>5</v>
      </c>
      <c r="G1572" s="8">
        <f>IFERROR(__xludf.DUMMYFUNCTION("""COMPUTED_VALUE"""),1.0)</f>
        <v>1</v>
      </c>
      <c r="H1572" s="8">
        <f>IFERROR(__xludf.DUMMYFUNCTION("""COMPUTED_VALUE"""),14.0)</f>
        <v>14</v>
      </c>
      <c r="I1572" s="8" t="str">
        <f>IFERROR(__xludf.DUMMYFUNCTION("""COMPUTED_VALUE"""),"General Petite")</f>
        <v>General Petite</v>
      </c>
      <c r="J1572" s="8" t="str">
        <f>IFERROR(__xludf.DUMMYFUNCTION("""COMPUTED_VALUE"""),"Dresses")</f>
        <v>Dresses</v>
      </c>
      <c r="K1572" s="8" t="str">
        <f>IFERROR(__xludf.DUMMYFUNCTION("""COMPUTED_VALUE"""),"Dresses")</f>
        <v>Dresses</v>
      </c>
    </row>
    <row r="1573">
      <c r="A1573" s="8">
        <f>IFERROR(__xludf.DUMMYFUNCTION("""COMPUTED_VALUE"""),2075.0)</f>
        <v>2075</v>
      </c>
      <c r="B1573" s="8">
        <f>IFERROR(__xludf.DUMMYFUNCTION("""COMPUTED_VALUE"""),1072.0)</f>
        <v>1072</v>
      </c>
      <c r="C1573" s="8">
        <f>IFERROR(__xludf.DUMMYFUNCTION("""COMPUTED_VALUE"""),40.0)</f>
        <v>40</v>
      </c>
      <c r="D1573" s="8" t="str">
        <f>IFERROR(__xludf.DUMMYFUNCTION("""COMPUTED_VALUE"""),"Great dress with a little help added!")</f>
        <v>Great dress with a little help added!</v>
      </c>
      <c r="E1573" s="8" t="str">
        <f>IFERROR(__xludf.DUMMYFUNCTION("""COMPUTED_VALUE"""),"This dress is comfortable and the pattern is really nice with some good attention to detail on the lace trim and pockets. i ordered this in my usual pxs (i am 5'2""), but this definitely runs very large. it is a shirt style dress so i didn't expect it to "&amp;"be fitted, but off the hanger it was just too shapeless and sack-like for me. i really wanted it to work, so i took it to my tailor and she added a beautiful navy rope-like tie attached to both sides in the back of the dress. it looks amazing, an")</f>
        <v>This dress is comfortable and the pattern is really nice with some good attention to detail on the lace trim and pockets. i ordered this in my usual pxs (i am 5'2"), but this definitely runs very large. it is a shirt style dress so i didn't expect it to be fitted, but off the hanger it was just too shapeless and sack-like for me. i really wanted it to work, so i took it to my tailor and she added a beautiful navy rope-like tie attached to both sides in the back of the dress. it looks amazing, an</v>
      </c>
      <c r="F1573" s="8">
        <f>IFERROR(__xludf.DUMMYFUNCTION("""COMPUTED_VALUE"""),4.0)</f>
        <v>4</v>
      </c>
      <c r="G1573" s="8">
        <f>IFERROR(__xludf.DUMMYFUNCTION("""COMPUTED_VALUE"""),1.0)</f>
        <v>1</v>
      </c>
      <c r="H1573" s="8">
        <f>IFERROR(__xludf.DUMMYFUNCTION("""COMPUTED_VALUE"""),0.0)</f>
        <v>0</v>
      </c>
      <c r="I1573" s="8" t="str">
        <f>IFERROR(__xludf.DUMMYFUNCTION("""COMPUTED_VALUE"""),"General Petite")</f>
        <v>General Petite</v>
      </c>
      <c r="J1573" s="8" t="str">
        <f>IFERROR(__xludf.DUMMYFUNCTION("""COMPUTED_VALUE"""),"Dresses")</f>
        <v>Dresses</v>
      </c>
      <c r="K1573" s="8" t="str">
        <f>IFERROR(__xludf.DUMMYFUNCTION("""COMPUTED_VALUE"""),"Dresses")</f>
        <v>Dresses</v>
      </c>
    </row>
    <row r="1574">
      <c r="A1574" s="8">
        <f>IFERROR(__xludf.DUMMYFUNCTION("""COMPUTED_VALUE"""),2076.0)</f>
        <v>2076</v>
      </c>
      <c r="B1574" s="8">
        <f>IFERROR(__xludf.DUMMYFUNCTION("""COMPUTED_VALUE"""),896.0)</f>
        <v>896</v>
      </c>
      <c r="C1574" s="8">
        <f>IFERROR(__xludf.DUMMYFUNCTION("""COMPUTED_VALUE"""),60.0)</f>
        <v>60</v>
      </c>
      <c r="D1574" s="8" t="str">
        <f>IFERROR(__xludf.DUMMYFUNCTION("""COMPUTED_VALUE"""),"Super sweater")</f>
        <v>Super sweater</v>
      </c>
      <c r="E1574" s="8" t="str">
        <f>IFERROR(__xludf.DUMMYFUNCTION("""COMPUTED_VALUE"""),"This will be a favorite sweater this winter. it has a loose but flattering fit. i purchased the red (a deep rusty red), and it fits me exactly as it does the model pictured...slightly loose but flattering, mid hip, open neckline. you can't tell in the pic"&amp;"ture, but the neckline is rolled. i am 5'2"", 140 lbs., just a bit fluffy. the small fits me perfectly. i think that you could size down from your regular size if you prefer a closer fit. the sleeves are at the top of my hands, just below the wri")</f>
        <v>This will be a favorite sweater this winter. it has a loose but flattering fit. i purchased the red (a deep rusty red), and it fits me exactly as it does the model pictured...slightly loose but flattering, mid hip, open neckline. you can't tell in the picture, but the neckline is rolled. i am 5'2", 140 lbs., just a bit fluffy. the small fits me perfectly. i think that you could size down from your regular size if you prefer a closer fit. the sleeves are at the top of my hands, just below the wri</v>
      </c>
      <c r="F1574" s="8">
        <f>IFERROR(__xludf.DUMMYFUNCTION("""COMPUTED_VALUE"""),5.0)</f>
        <v>5</v>
      </c>
      <c r="G1574" s="8">
        <f>IFERROR(__xludf.DUMMYFUNCTION("""COMPUTED_VALUE"""),1.0)</f>
        <v>1</v>
      </c>
      <c r="H1574" s="8">
        <f>IFERROR(__xludf.DUMMYFUNCTION("""COMPUTED_VALUE"""),1.0)</f>
        <v>1</v>
      </c>
      <c r="I1574" s="8" t="str">
        <f>IFERROR(__xludf.DUMMYFUNCTION("""COMPUTED_VALUE"""),"General")</f>
        <v>General</v>
      </c>
      <c r="J1574" s="8" t="str">
        <f>IFERROR(__xludf.DUMMYFUNCTION("""COMPUTED_VALUE"""),"Tops")</f>
        <v>Tops</v>
      </c>
      <c r="K1574" s="8" t="str">
        <f>IFERROR(__xludf.DUMMYFUNCTION("""COMPUTED_VALUE"""),"Fine gauge")</f>
        <v>Fine gauge</v>
      </c>
    </row>
    <row r="1575">
      <c r="A1575" s="8">
        <f>IFERROR(__xludf.DUMMYFUNCTION("""COMPUTED_VALUE"""),2078.0)</f>
        <v>2078</v>
      </c>
      <c r="B1575" s="8">
        <f>IFERROR(__xludf.DUMMYFUNCTION("""COMPUTED_VALUE"""),1072.0)</f>
        <v>1072</v>
      </c>
      <c r="C1575" s="8">
        <f>IFERROR(__xludf.DUMMYFUNCTION("""COMPUTED_VALUE"""),35.0)</f>
        <v>35</v>
      </c>
      <c r="D1575" s="8" t="str">
        <f>IFERROR(__xludf.DUMMYFUNCTION("""COMPUTED_VALUE"""),"A hit!")</f>
        <v>A hit!</v>
      </c>
      <c r="E1575" s="8" t="str">
        <f>IFERROR(__xludf.DUMMYFUNCTION("""COMPUTED_VALUE"""),"I bought this dress in the green. it runs big - i usually take a s and had to return for xs - i am 5'5"" and 125. it flows beautifully and can be dressed up with heels or worn completely casual with flip flops. worth every penny!!")</f>
        <v>I bought this dress in the green. it runs big - i usually take a s and had to return for xs - i am 5'5" and 125. it flows beautifully and can be dressed up with heels or worn completely casual with flip flops. worth every penny!!</v>
      </c>
      <c r="F1575" s="8">
        <f>IFERROR(__xludf.DUMMYFUNCTION("""COMPUTED_VALUE"""),5.0)</f>
        <v>5</v>
      </c>
      <c r="G1575" s="8">
        <f>IFERROR(__xludf.DUMMYFUNCTION("""COMPUTED_VALUE"""),1.0)</f>
        <v>1</v>
      </c>
      <c r="H1575" s="8">
        <f>IFERROR(__xludf.DUMMYFUNCTION("""COMPUTED_VALUE"""),3.0)</f>
        <v>3</v>
      </c>
      <c r="I1575" s="8" t="str">
        <f>IFERROR(__xludf.DUMMYFUNCTION("""COMPUTED_VALUE"""),"General Petite")</f>
        <v>General Petite</v>
      </c>
      <c r="J1575" s="8" t="str">
        <f>IFERROR(__xludf.DUMMYFUNCTION("""COMPUTED_VALUE"""),"Dresses")</f>
        <v>Dresses</v>
      </c>
      <c r="K1575" s="8" t="str">
        <f>IFERROR(__xludf.DUMMYFUNCTION("""COMPUTED_VALUE"""),"Dresses")</f>
        <v>Dresses</v>
      </c>
    </row>
    <row r="1576">
      <c r="A1576" s="8">
        <f>IFERROR(__xludf.DUMMYFUNCTION("""COMPUTED_VALUE"""),2079.0)</f>
        <v>2079</v>
      </c>
      <c r="B1576" s="8">
        <f>IFERROR(__xludf.DUMMYFUNCTION("""COMPUTED_VALUE"""),1072.0)</f>
        <v>1072</v>
      </c>
      <c r="C1576" s="8">
        <f>IFERROR(__xludf.DUMMYFUNCTION("""COMPUTED_VALUE"""),68.0)</f>
        <v>68</v>
      </c>
      <c r="D1576" s="8" t="str">
        <f>IFERROR(__xludf.DUMMYFUNCTION("""COMPUTED_VALUE"""),"Beautiful dress--if you can figure out your size!")</f>
        <v>Beautiful dress--if you can figure out your size!</v>
      </c>
      <c r="E1576" s="8" t="str">
        <f>IFERROR(__xludf.DUMMYFUNCTION("""COMPUTED_VALUE"""),"For a brand called ""tiny""--this dress was really big. i ordered my usual m and it was like a sack--virtually no shape to it at all. i haven't been a small in many decades, so i'm really hesitant to order it again. i'm afraid i'll be like goldilocks--""t"&amp;"oo big!"", ""too small!""--but i'm probably going to give it a whirl because the green print is so pretty, and i l like that it has sleeves to protect from sun. and pockets! lots of good qualities, just putting them together in a wearable size seems t")</f>
        <v>For a brand called "tiny"--this dress was really big. i ordered my usual m and it was like a sack--virtually no shape to it at all. i haven't been a small in many decades, so i'm really hesitant to order it again. i'm afraid i'll be like goldilocks--"too big!", "too small!"--but i'm probably going to give it a whirl because the green print is so pretty, and i l like that it has sleeves to protect from sun. and pockets! lots of good qualities, just putting them together in a wearable size seems t</v>
      </c>
      <c r="F1576" s="8">
        <f>IFERROR(__xludf.DUMMYFUNCTION("""COMPUTED_VALUE"""),4.0)</f>
        <v>4</v>
      </c>
      <c r="G1576" s="8">
        <f>IFERROR(__xludf.DUMMYFUNCTION("""COMPUTED_VALUE"""),1.0)</f>
        <v>1</v>
      </c>
      <c r="H1576" s="8">
        <f>IFERROR(__xludf.DUMMYFUNCTION("""COMPUTED_VALUE"""),1.0)</f>
        <v>1</v>
      </c>
      <c r="I1576" s="8" t="str">
        <f>IFERROR(__xludf.DUMMYFUNCTION("""COMPUTED_VALUE"""),"General Petite")</f>
        <v>General Petite</v>
      </c>
      <c r="J1576" s="8" t="str">
        <f>IFERROR(__xludf.DUMMYFUNCTION("""COMPUTED_VALUE"""),"Dresses")</f>
        <v>Dresses</v>
      </c>
      <c r="K1576" s="8" t="str">
        <f>IFERROR(__xludf.DUMMYFUNCTION("""COMPUTED_VALUE"""),"Dresses")</f>
        <v>Dresses</v>
      </c>
    </row>
    <row r="1577">
      <c r="A1577" s="8">
        <f>IFERROR(__xludf.DUMMYFUNCTION("""COMPUTED_VALUE"""),2080.0)</f>
        <v>2080</v>
      </c>
      <c r="B1577" s="8">
        <f>IFERROR(__xludf.DUMMYFUNCTION("""COMPUTED_VALUE"""),850.0)</f>
        <v>850</v>
      </c>
      <c r="C1577" s="8">
        <f>IFERROR(__xludf.DUMMYFUNCTION("""COMPUTED_VALUE"""),53.0)</f>
        <v>53</v>
      </c>
      <c r="D1577" s="8" t="str">
        <f>IFERROR(__xludf.DUMMYFUNCTION("""COMPUTED_VALUE"""),"Love it!")</f>
        <v>Love it!</v>
      </c>
      <c r="E1577" s="8" t="str">
        <f>IFERROR(__xludf.DUMMYFUNCTION("""COMPUTED_VALUE"""),"This tank runs very true to size. i ordered my usual size 8, which fits like a glove. couldn't go any smaller. very pretty fabric which is lined above the peplum. i personally like the higher peplum, but it's a personal choice. great purchase!")</f>
        <v>This tank runs very true to size. i ordered my usual size 8, which fits like a glove. couldn't go any smaller. very pretty fabric which is lined above the peplum. i personally like the higher peplum, but it's a personal choice. great purchase!</v>
      </c>
      <c r="F1577" s="8">
        <f>IFERROR(__xludf.DUMMYFUNCTION("""COMPUTED_VALUE"""),5.0)</f>
        <v>5</v>
      </c>
      <c r="G1577" s="8">
        <f>IFERROR(__xludf.DUMMYFUNCTION("""COMPUTED_VALUE"""),1.0)</f>
        <v>1</v>
      </c>
      <c r="H1577" s="8">
        <f>IFERROR(__xludf.DUMMYFUNCTION("""COMPUTED_VALUE"""),3.0)</f>
        <v>3</v>
      </c>
      <c r="I1577" s="8" t="str">
        <f>IFERROR(__xludf.DUMMYFUNCTION("""COMPUTED_VALUE"""),"General Petite")</f>
        <v>General Petite</v>
      </c>
      <c r="J1577" s="8" t="str">
        <f>IFERROR(__xludf.DUMMYFUNCTION("""COMPUTED_VALUE"""),"Tops")</f>
        <v>Tops</v>
      </c>
      <c r="K1577" s="8" t="str">
        <f>IFERROR(__xludf.DUMMYFUNCTION("""COMPUTED_VALUE"""),"Blouses")</f>
        <v>Blouses</v>
      </c>
    </row>
    <row r="1578">
      <c r="A1578" s="8">
        <f>IFERROR(__xludf.DUMMYFUNCTION("""COMPUTED_VALUE"""),2081.0)</f>
        <v>2081</v>
      </c>
      <c r="B1578" s="8">
        <f>IFERROR(__xludf.DUMMYFUNCTION("""COMPUTED_VALUE"""),912.0)</f>
        <v>912</v>
      </c>
      <c r="C1578" s="8">
        <f>IFERROR(__xludf.DUMMYFUNCTION("""COMPUTED_VALUE"""),32.0)</f>
        <v>32</v>
      </c>
      <c r="D1578" s="8"/>
      <c r="E1578" s="8"/>
      <c r="F1578" s="8">
        <f>IFERROR(__xludf.DUMMYFUNCTION("""COMPUTED_VALUE"""),5.0)</f>
        <v>5</v>
      </c>
      <c r="G1578" s="8">
        <f>IFERROR(__xludf.DUMMYFUNCTION("""COMPUTED_VALUE"""),1.0)</f>
        <v>1</v>
      </c>
      <c r="H1578" s="8">
        <f>IFERROR(__xludf.DUMMYFUNCTION("""COMPUTED_VALUE"""),0.0)</f>
        <v>0</v>
      </c>
      <c r="I1578" s="8" t="str">
        <f>IFERROR(__xludf.DUMMYFUNCTION("""COMPUTED_VALUE"""),"General")</f>
        <v>General</v>
      </c>
      <c r="J1578" s="8" t="str">
        <f>IFERROR(__xludf.DUMMYFUNCTION("""COMPUTED_VALUE"""),"Tops")</f>
        <v>Tops</v>
      </c>
      <c r="K1578" s="8" t="str">
        <f>IFERROR(__xludf.DUMMYFUNCTION("""COMPUTED_VALUE"""),"Fine gauge")</f>
        <v>Fine gauge</v>
      </c>
    </row>
    <row r="1579">
      <c r="A1579" s="8">
        <f>IFERROR(__xludf.DUMMYFUNCTION("""COMPUTED_VALUE"""),2082.0)</f>
        <v>2082</v>
      </c>
      <c r="B1579" s="8">
        <f>IFERROR(__xludf.DUMMYFUNCTION("""COMPUTED_VALUE"""),912.0)</f>
        <v>912</v>
      </c>
      <c r="C1579" s="8">
        <f>IFERROR(__xludf.DUMMYFUNCTION("""COMPUTED_VALUE"""),70.0)</f>
        <v>70</v>
      </c>
      <c r="D1579" s="8" t="str">
        <f>IFERROR(__xludf.DUMMYFUNCTION("""COMPUTED_VALUE"""),"Versatile vest")</f>
        <v>Versatile vest</v>
      </c>
      <c r="E1579" s="8" t="str">
        <f>IFERROR(__xludf.DUMMYFUNCTION("""COMPUTED_VALUE"""),"I love the black and grey version of the vest but decided too try it in plum. the plum color is used only on the lapels and inside of the garment. it has no finished seams but it is like a soft boiled wool so it wouldn't ravel. the seam in the waistline a"&amp;"rea breaks up the design and adds more interest.")</f>
        <v>I love the black and grey version of the vest but decided too try it in plum. the plum color is used only on the lapels and inside of the garment. it has no finished seams but it is like a soft boiled wool so it wouldn't ravel. the seam in the waistline area breaks up the design and adds more interest.</v>
      </c>
      <c r="F1579" s="8">
        <f>IFERROR(__xludf.DUMMYFUNCTION("""COMPUTED_VALUE"""),4.0)</f>
        <v>4</v>
      </c>
      <c r="G1579" s="8">
        <f>IFERROR(__xludf.DUMMYFUNCTION("""COMPUTED_VALUE"""),1.0)</f>
        <v>1</v>
      </c>
      <c r="H1579" s="8">
        <f>IFERROR(__xludf.DUMMYFUNCTION("""COMPUTED_VALUE"""),4.0)</f>
        <v>4</v>
      </c>
      <c r="I1579" s="8" t="str">
        <f>IFERROR(__xludf.DUMMYFUNCTION("""COMPUTED_VALUE"""),"General")</f>
        <v>General</v>
      </c>
      <c r="J1579" s="8" t="str">
        <f>IFERROR(__xludf.DUMMYFUNCTION("""COMPUTED_VALUE"""),"Tops")</f>
        <v>Tops</v>
      </c>
      <c r="K1579" s="8" t="str">
        <f>IFERROR(__xludf.DUMMYFUNCTION("""COMPUTED_VALUE"""),"Fine gauge")</f>
        <v>Fine gauge</v>
      </c>
    </row>
    <row r="1580">
      <c r="A1580" s="8">
        <f>IFERROR(__xludf.DUMMYFUNCTION("""COMPUTED_VALUE"""),2083.0)</f>
        <v>2083</v>
      </c>
      <c r="B1580" s="8">
        <f>IFERROR(__xludf.DUMMYFUNCTION("""COMPUTED_VALUE"""),896.0)</f>
        <v>896</v>
      </c>
      <c r="C1580" s="8">
        <f>IFERROR(__xludf.DUMMYFUNCTION("""COMPUTED_VALUE"""),28.0)</f>
        <v>28</v>
      </c>
      <c r="D1580" s="8" t="str">
        <f>IFERROR(__xludf.DUMMYFUNCTION("""COMPUTED_VALUE"""),"Bought for my sister, she loves it!")</f>
        <v>Bought for my sister, she loves it!</v>
      </c>
      <c r="E1580" s="8" t="str">
        <f>IFERROR(__xludf.DUMMYFUNCTION("""COMPUTED_VALUE"""),"This was a christmas gift to my sister. she liked it so much she wore it the day after opening it. very cute design, lovely deep red color. only thing to look out for is the potential of fabric to snag - looks like it may do so easily if wearing long jewe"&amp;"lry. may run a bit large, but the medium for her well (slightly loose fitting garment). she is 5'7 and would probably wear a large in a typical shirt.")</f>
        <v>This was a christmas gift to my sister. she liked it so much she wore it the day after opening it. very cute design, lovely deep red color. only thing to look out for is the potential of fabric to snag - looks like it may do so easily if wearing long jewelry. may run a bit large, but the medium for her well (slightly loose fitting garment). she is 5'7 and would probably wear a large in a typical shirt.</v>
      </c>
      <c r="F1580" s="8">
        <f>IFERROR(__xludf.DUMMYFUNCTION("""COMPUTED_VALUE"""),5.0)</f>
        <v>5</v>
      </c>
      <c r="G1580" s="8">
        <f>IFERROR(__xludf.DUMMYFUNCTION("""COMPUTED_VALUE"""),1.0)</f>
        <v>1</v>
      </c>
      <c r="H1580" s="8">
        <f>IFERROR(__xludf.DUMMYFUNCTION("""COMPUTED_VALUE"""),0.0)</f>
        <v>0</v>
      </c>
      <c r="I1580" s="8" t="str">
        <f>IFERROR(__xludf.DUMMYFUNCTION("""COMPUTED_VALUE"""),"General")</f>
        <v>General</v>
      </c>
      <c r="J1580" s="8" t="str">
        <f>IFERROR(__xludf.DUMMYFUNCTION("""COMPUTED_VALUE"""),"Tops")</f>
        <v>Tops</v>
      </c>
      <c r="K1580" s="8" t="str">
        <f>IFERROR(__xludf.DUMMYFUNCTION("""COMPUTED_VALUE"""),"Fine gauge")</f>
        <v>Fine gauge</v>
      </c>
    </row>
    <row r="1581">
      <c r="A1581" s="8">
        <f>IFERROR(__xludf.DUMMYFUNCTION("""COMPUTED_VALUE"""),2085.0)</f>
        <v>2085</v>
      </c>
      <c r="B1581" s="8">
        <f>IFERROR(__xludf.DUMMYFUNCTION("""COMPUTED_VALUE"""),862.0)</f>
        <v>862</v>
      </c>
      <c r="C1581" s="8">
        <f>IFERROR(__xludf.DUMMYFUNCTION("""COMPUTED_VALUE"""),21.0)</f>
        <v>21</v>
      </c>
      <c r="D1581" s="8" t="str">
        <f>IFERROR(__xludf.DUMMYFUNCTION("""COMPUTED_VALUE"""),"Perfect shirt")</f>
        <v>Perfect shirt</v>
      </c>
      <c r="E1581" s="8" t="str">
        <f>IFERROR(__xludf.DUMMYFUNCTION("""COMPUTED_VALUE"""),"I absolutely adore this shirt!!! the pinkish rosey color is beautiful and ended up being better than i had imagined. i will say that the shirt is a bit more casual than i thought it was going to be, the way it hangs or something..not really sure. nonethel"&amp;"ess, it is perfect. can be dressed up or down, which is the best quality to have in any piece of clothing! i can tell i'm going to get a lot of wear out of it.")</f>
        <v>I absolutely adore this shirt!!! the pinkish rosey color is beautiful and ended up being better than i had imagined. i will say that the shirt is a bit more casual than i thought it was going to be, the way it hangs or something..not really sure. nonetheless, it is perfect. can be dressed up or down, which is the best quality to have in any piece of clothing! i can tell i'm going to get a lot of wear out of it.</v>
      </c>
      <c r="F1581" s="8">
        <f>IFERROR(__xludf.DUMMYFUNCTION("""COMPUTED_VALUE"""),5.0)</f>
        <v>5</v>
      </c>
      <c r="G1581" s="8">
        <f>IFERROR(__xludf.DUMMYFUNCTION("""COMPUTED_VALUE"""),1.0)</f>
        <v>1</v>
      </c>
      <c r="H1581" s="8">
        <f>IFERROR(__xludf.DUMMYFUNCTION("""COMPUTED_VALUE"""),0.0)</f>
        <v>0</v>
      </c>
      <c r="I1581" s="8" t="str">
        <f>IFERROR(__xludf.DUMMYFUNCTION("""COMPUTED_VALUE"""),"General")</f>
        <v>General</v>
      </c>
      <c r="J1581" s="8" t="str">
        <f>IFERROR(__xludf.DUMMYFUNCTION("""COMPUTED_VALUE"""),"Tops")</f>
        <v>Tops</v>
      </c>
      <c r="K1581" s="8" t="str">
        <f>IFERROR(__xludf.DUMMYFUNCTION("""COMPUTED_VALUE"""),"Knits")</f>
        <v>Knits</v>
      </c>
    </row>
    <row r="1582">
      <c r="A1582" s="8">
        <f>IFERROR(__xludf.DUMMYFUNCTION("""COMPUTED_VALUE"""),2087.0)</f>
        <v>2087</v>
      </c>
      <c r="B1582" s="8">
        <f>IFERROR(__xludf.DUMMYFUNCTION("""COMPUTED_VALUE"""),872.0)</f>
        <v>872</v>
      </c>
      <c r="C1582" s="8">
        <f>IFERROR(__xludf.DUMMYFUNCTION("""COMPUTED_VALUE"""),32.0)</f>
        <v>32</v>
      </c>
      <c r="D1582" s="8" t="str">
        <f>IFERROR(__xludf.DUMMYFUNCTION("""COMPUTED_VALUE"""),"Very cute")</f>
        <v>Very cute</v>
      </c>
      <c r="E1582" s="8" t="str">
        <f>IFERROR(__xludf.DUMMYFUNCTION("""COMPUTED_VALUE"""),"Very versatile top! i feel like i could dress it up or down. fits very nice and the material is soft.")</f>
        <v>Very versatile top! i feel like i could dress it up or down. fits very nice and the material is soft.</v>
      </c>
      <c r="F1582" s="8">
        <f>IFERROR(__xludf.DUMMYFUNCTION("""COMPUTED_VALUE"""),5.0)</f>
        <v>5</v>
      </c>
      <c r="G1582" s="8">
        <f>IFERROR(__xludf.DUMMYFUNCTION("""COMPUTED_VALUE"""),1.0)</f>
        <v>1</v>
      </c>
      <c r="H1582" s="8">
        <f>IFERROR(__xludf.DUMMYFUNCTION("""COMPUTED_VALUE"""),0.0)</f>
        <v>0</v>
      </c>
      <c r="I1582" s="8" t="str">
        <f>IFERROR(__xludf.DUMMYFUNCTION("""COMPUTED_VALUE"""),"General Petite")</f>
        <v>General Petite</v>
      </c>
      <c r="J1582" s="8" t="str">
        <f>IFERROR(__xludf.DUMMYFUNCTION("""COMPUTED_VALUE"""),"Tops")</f>
        <v>Tops</v>
      </c>
      <c r="K1582" s="8" t="str">
        <f>IFERROR(__xludf.DUMMYFUNCTION("""COMPUTED_VALUE"""),"Knits")</f>
        <v>Knits</v>
      </c>
    </row>
    <row r="1583">
      <c r="A1583" s="8">
        <f>IFERROR(__xludf.DUMMYFUNCTION("""COMPUTED_VALUE"""),2088.0)</f>
        <v>2088</v>
      </c>
      <c r="B1583" s="8">
        <f>IFERROR(__xludf.DUMMYFUNCTION("""COMPUTED_VALUE"""),912.0)</f>
        <v>912</v>
      </c>
      <c r="C1583" s="8">
        <f>IFERROR(__xludf.DUMMYFUNCTION("""COMPUTED_VALUE"""),50.0)</f>
        <v>50</v>
      </c>
      <c r="D1583" s="8" t="str">
        <f>IFERROR(__xludf.DUMMYFUNCTION("""COMPUTED_VALUE"""),"Love this wool seamed vest")</f>
        <v>Love this wool seamed vest</v>
      </c>
      <c r="E1583" s="8" t="str">
        <f>IFERROR(__xludf.DUMMYFUNCTION("""COMPUTED_VALUE"""),"I feel fabulous in this plum and charcoal vest. i am 5/9"" and the m'l is the perfect length and size. i was initially attracted by the external seams (and color) and was delighted with the silhouette and soft structure of the wool blend fabric. it is ver"&amp;"satile and yet a kind of signature piece that i will wear with joy. .")</f>
        <v>I feel fabulous in this plum and charcoal vest. i am 5/9" and the m'l is the perfect length and size. i was initially attracted by the external seams (and color) and was delighted with the silhouette and soft structure of the wool blend fabric. it is versatile and yet a kind of signature piece that i will wear with joy. .</v>
      </c>
      <c r="F1583" s="8">
        <f>IFERROR(__xludf.DUMMYFUNCTION("""COMPUTED_VALUE"""),5.0)</f>
        <v>5</v>
      </c>
      <c r="G1583" s="8">
        <f>IFERROR(__xludf.DUMMYFUNCTION("""COMPUTED_VALUE"""),1.0)</f>
        <v>1</v>
      </c>
      <c r="H1583" s="8">
        <f>IFERROR(__xludf.DUMMYFUNCTION("""COMPUTED_VALUE"""),3.0)</f>
        <v>3</v>
      </c>
      <c r="I1583" s="8" t="str">
        <f>IFERROR(__xludf.DUMMYFUNCTION("""COMPUTED_VALUE"""),"General")</f>
        <v>General</v>
      </c>
      <c r="J1583" s="8" t="str">
        <f>IFERROR(__xludf.DUMMYFUNCTION("""COMPUTED_VALUE"""),"Tops")</f>
        <v>Tops</v>
      </c>
      <c r="K1583" s="8" t="str">
        <f>IFERROR(__xludf.DUMMYFUNCTION("""COMPUTED_VALUE"""),"Fine gauge")</f>
        <v>Fine gauge</v>
      </c>
    </row>
    <row r="1584">
      <c r="A1584" s="8">
        <f>IFERROR(__xludf.DUMMYFUNCTION("""COMPUTED_VALUE"""),2089.0)</f>
        <v>2089</v>
      </c>
      <c r="B1584" s="8">
        <f>IFERROR(__xludf.DUMMYFUNCTION("""COMPUTED_VALUE"""),862.0)</f>
        <v>862</v>
      </c>
      <c r="C1584" s="8">
        <f>IFERROR(__xludf.DUMMYFUNCTION("""COMPUTED_VALUE"""),37.0)</f>
        <v>37</v>
      </c>
      <c r="D1584" s="8" t="str">
        <f>IFERROR(__xludf.DUMMYFUNCTION("""COMPUTED_VALUE"""),"Good summer tank")</f>
        <v>Good summer tank</v>
      </c>
      <c r="E1584" s="8" t="str">
        <f>IFERROR(__xludf.DUMMYFUNCTION("""COMPUTED_VALUE"""),"This will be a great summer staple.  good fit and very comfortable.  may go back and buy another color")</f>
        <v>This will be a great summer staple.  good fit and very comfortable.  may go back and buy another color</v>
      </c>
      <c r="F1584" s="8">
        <f>IFERROR(__xludf.DUMMYFUNCTION("""COMPUTED_VALUE"""),5.0)</f>
        <v>5</v>
      </c>
      <c r="G1584" s="8">
        <f>IFERROR(__xludf.DUMMYFUNCTION("""COMPUTED_VALUE"""),1.0)</f>
        <v>1</v>
      </c>
      <c r="H1584" s="8">
        <f>IFERROR(__xludf.DUMMYFUNCTION("""COMPUTED_VALUE"""),0.0)</f>
        <v>0</v>
      </c>
      <c r="I1584" s="8" t="str">
        <f>IFERROR(__xludf.DUMMYFUNCTION("""COMPUTED_VALUE"""),"General")</f>
        <v>General</v>
      </c>
      <c r="J1584" s="8" t="str">
        <f>IFERROR(__xludf.DUMMYFUNCTION("""COMPUTED_VALUE"""),"Tops")</f>
        <v>Tops</v>
      </c>
      <c r="K1584" s="8" t="str">
        <f>IFERROR(__xludf.DUMMYFUNCTION("""COMPUTED_VALUE"""),"Knits")</f>
        <v>Knits</v>
      </c>
    </row>
    <row r="1585">
      <c r="A1585" s="8">
        <f>IFERROR(__xludf.DUMMYFUNCTION("""COMPUTED_VALUE"""),2090.0)</f>
        <v>2090</v>
      </c>
      <c r="B1585" s="8">
        <f>IFERROR(__xludf.DUMMYFUNCTION("""COMPUTED_VALUE"""),1072.0)</f>
        <v>1072</v>
      </c>
      <c r="C1585" s="8">
        <f>IFERROR(__xludf.DUMMYFUNCTION("""COMPUTED_VALUE"""),39.0)</f>
        <v>39</v>
      </c>
      <c r="D1585" s="8" t="str">
        <f>IFERROR(__xludf.DUMMYFUNCTION("""COMPUTED_VALUE"""),"Love!")</f>
        <v>Love!</v>
      </c>
      <c r="E1585" s="8" t="str">
        <f>IFERROR(__xludf.DUMMYFUNCTION("""COMPUTED_VALUE"""),"This dress is a vintage 20s drop hem style, not meant to be tight to form.  that said, the bottom is loose so may want to size down.  5'2, 145 lbs= s.  i bought the neutral- navy pattern and it is absolutely gorgeus!  hints of peach and beautiful lace det"&amp;"ail.  i literally got compliments all day long- from friends and strangers.  i paired it with a dark denim jacket.  absolute must have for sale price.")</f>
        <v>This dress is a vintage 20s drop hem style, not meant to be tight to form.  that said, the bottom is loose so may want to size down.  5'2, 145 lbs= s.  i bought the neutral- navy pattern and it is absolutely gorgeus!  hints of peach and beautiful lace detail.  i literally got compliments all day long- from friends and strangers.  i paired it with a dark denim jacket.  absolute must have for sale price.</v>
      </c>
      <c r="F1585" s="8">
        <f>IFERROR(__xludf.DUMMYFUNCTION("""COMPUTED_VALUE"""),5.0)</f>
        <v>5</v>
      </c>
      <c r="G1585" s="8">
        <f>IFERROR(__xludf.DUMMYFUNCTION("""COMPUTED_VALUE"""),1.0)</f>
        <v>1</v>
      </c>
      <c r="H1585" s="8">
        <f>IFERROR(__xludf.DUMMYFUNCTION("""COMPUTED_VALUE"""),0.0)</f>
        <v>0</v>
      </c>
      <c r="I1585" s="8" t="str">
        <f>IFERROR(__xludf.DUMMYFUNCTION("""COMPUTED_VALUE"""),"General Petite")</f>
        <v>General Petite</v>
      </c>
      <c r="J1585" s="8" t="str">
        <f>IFERROR(__xludf.DUMMYFUNCTION("""COMPUTED_VALUE"""),"Dresses")</f>
        <v>Dresses</v>
      </c>
      <c r="K1585" s="8" t="str">
        <f>IFERROR(__xludf.DUMMYFUNCTION("""COMPUTED_VALUE"""),"Dresses")</f>
        <v>Dresses</v>
      </c>
    </row>
    <row r="1586">
      <c r="A1586" s="8">
        <f>IFERROR(__xludf.DUMMYFUNCTION("""COMPUTED_VALUE"""),2092.0)</f>
        <v>2092</v>
      </c>
      <c r="B1586" s="8">
        <f>IFERROR(__xludf.DUMMYFUNCTION("""COMPUTED_VALUE"""),1092.0)</f>
        <v>1092</v>
      </c>
      <c r="C1586" s="8">
        <f>IFERROR(__xludf.DUMMYFUNCTION("""COMPUTED_VALUE"""),51.0)</f>
        <v>51</v>
      </c>
      <c r="D1586" s="8" t="str">
        <f>IFERROR(__xludf.DUMMYFUNCTION("""COMPUTED_VALUE"""),"Beautiful")</f>
        <v>Beautiful</v>
      </c>
      <c r="E1586" s="8" t="str">
        <f>IFERROR(__xludf.DUMMYFUNCTION("""COMPUTED_VALUE"""),"This dress is very flattering. i am writing a review to share my experience regarding sizing. i am 5'7"" and wear 34a.  i tried on a size 0 that was at the store as a return and there was about a 3 inch gap to get the side zip closed. although i  normally"&amp;" wear a size 2, i ordered size 4 because of my experience with the dress at the store.  the size 4 is slightly big across the bust but looks ok. i think the size 2 would've been too tight.")</f>
        <v>This dress is very flattering. i am writing a review to share my experience regarding sizing. i am 5'7" and wear 34a.  i tried on a size 0 that was at the store as a return and there was about a 3 inch gap to get the side zip closed. although i  normally wear a size 2, i ordered size 4 because of my experience with the dress at the store.  the size 4 is slightly big across the bust but looks ok. i think the size 2 would've been too tight.</v>
      </c>
      <c r="F1586" s="8">
        <f>IFERROR(__xludf.DUMMYFUNCTION("""COMPUTED_VALUE"""),5.0)</f>
        <v>5</v>
      </c>
      <c r="G1586" s="8">
        <f>IFERROR(__xludf.DUMMYFUNCTION("""COMPUTED_VALUE"""),1.0)</f>
        <v>1</v>
      </c>
      <c r="H1586" s="8">
        <f>IFERROR(__xludf.DUMMYFUNCTION("""COMPUTED_VALUE"""),3.0)</f>
        <v>3</v>
      </c>
      <c r="I1586" s="8" t="str">
        <f>IFERROR(__xludf.DUMMYFUNCTION("""COMPUTED_VALUE"""),"General Petite")</f>
        <v>General Petite</v>
      </c>
      <c r="J1586" s="8" t="str">
        <f>IFERROR(__xludf.DUMMYFUNCTION("""COMPUTED_VALUE"""),"Dresses")</f>
        <v>Dresses</v>
      </c>
      <c r="K1586" s="8" t="str">
        <f>IFERROR(__xludf.DUMMYFUNCTION("""COMPUTED_VALUE"""),"Dresses")</f>
        <v>Dresses</v>
      </c>
    </row>
    <row r="1587">
      <c r="A1587" s="8">
        <f>IFERROR(__xludf.DUMMYFUNCTION("""COMPUTED_VALUE"""),2093.0)</f>
        <v>2093</v>
      </c>
      <c r="B1587" s="8">
        <f>IFERROR(__xludf.DUMMYFUNCTION("""COMPUTED_VALUE"""),896.0)</f>
        <v>896</v>
      </c>
      <c r="C1587" s="8">
        <f>IFERROR(__xludf.DUMMYFUNCTION("""COMPUTED_VALUE"""),48.0)</f>
        <v>48</v>
      </c>
      <c r="D1587" s="8" t="str">
        <f>IFERROR(__xludf.DUMMYFUNCTION("""COMPUTED_VALUE"""),"Gorgeous")</f>
        <v>Gorgeous</v>
      </c>
      <c r="E1587" s="8" t="str">
        <f>IFERROR(__xludf.DUMMYFUNCTION("""COMPUTED_VALUE"""),"Love this sweater! great for work. very soft and comfortable. color is gorgeous!")</f>
        <v>Love this sweater! great for work. very soft and comfortable. color is gorgeous!</v>
      </c>
      <c r="F1587" s="8">
        <f>IFERROR(__xludf.DUMMYFUNCTION("""COMPUTED_VALUE"""),5.0)</f>
        <v>5</v>
      </c>
      <c r="G1587" s="8">
        <f>IFERROR(__xludf.DUMMYFUNCTION("""COMPUTED_VALUE"""),1.0)</f>
        <v>1</v>
      </c>
      <c r="H1587" s="8">
        <f>IFERROR(__xludf.DUMMYFUNCTION("""COMPUTED_VALUE"""),0.0)</f>
        <v>0</v>
      </c>
      <c r="I1587" s="8" t="str">
        <f>IFERROR(__xludf.DUMMYFUNCTION("""COMPUTED_VALUE"""),"General")</f>
        <v>General</v>
      </c>
      <c r="J1587" s="8" t="str">
        <f>IFERROR(__xludf.DUMMYFUNCTION("""COMPUTED_VALUE"""),"Tops")</f>
        <v>Tops</v>
      </c>
      <c r="K1587" s="8" t="str">
        <f>IFERROR(__xludf.DUMMYFUNCTION("""COMPUTED_VALUE"""),"Fine gauge")</f>
        <v>Fine gauge</v>
      </c>
    </row>
    <row r="1588">
      <c r="A1588" s="8">
        <f>IFERROR(__xludf.DUMMYFUNCTION("""COMPUTED_VALUE"""),2094.0)</f>
        <v>2094</v>
      </c>
      <c r="B1588" s="8">
        <f>IFERROR(__xludf.DUMMYFUNCTION("""COMPUTED_VALUE"""),872.0)</f>
        <v>872</v>
      </c>
      <c r="C1588" s="8">
        <f>IFERROR(__xludf.DUMMYFUNCTION("""COMPUTED_VALUE"""),36.0)</f>
        <v>36</v>
      </c>
      <c r="D1588" s="8" t="str">
        <f>IFERROR(__xludf.DUMMYFUNCTION("""COMPUTED_VALUE"""),"Upholstery fabric")</f>
        <v>Upholstery fabric</v>
      </c>
      <c r="E1588" s="8" t="str">
        <f>IFERROR(__xludf.DUMMYFUNCTION("""COMPUTED_VALUE"""),"Super thick material and it's lined with cotton so as not to be scratchy on the skin. it looks cute on, hopefully it will soften over time. almost thick like upholstery fabric.")</f>
        <v>Super thick material and it's lined with cotton so as not to be scratchy on the skin. it looks cute on, hopefully it will soften over time. almost thick like upholstery fabric.</v>
      </c>
      <c r="F1588" s="8">
        <f>IFERROR(__xludf.DUMMYFUNCTION("""COMPUTED_VALUE"""),4.0)</f>
        <v>4</v>
      </c>
      <c r="G1588" s="8">
        <f>IFERROR(__xludf.DUMMYFUNCTION("""COMPUTED_VALUE"""),1.0)</f>
        <v>1</v>
      </c>
      <c r="H1588" s="8">
        <f>IFERROR(__xludf.DUMMYFUNCTION("""COMPUTED_VALUE"""),1.0)</f>
        <v>1</v>
      </c>
      <c r="I1588" s="8" t="str">
        <f>IFERROR(__xludf.DUMMYFUNCTION("""COMPUTED_VALUE"""),"General Petite")</f>
        <v>General Petite</v>
      </c>
      <c r="J1588" s="8" t="str">
        <f>IFERROR(__xludf.DUMMYFUNCTION("""COMPUTED_VALUE"""),"Tops")</f>
        <v>Tops</v>
      </c>
      <c r="K1588" s="8" t="str">
        <f>IFERROR(__xludf.DUMMYFUNCTION("""COMPUTED_VALUE"""),"Knits")</f>
        <v>Knits</v>
      </c>
    </row>
    <row r="1589">
      <c r="A1589" s="8">
        <f>IFERROR(__xludf.DUMMYFUNCTION("""COMPUTED_VALUE"""),2095.0)</f>
        <v>2095</v>
      </c>
      <c r="B1589" s="8">
        <f>IFERROR(__xludf.DUMMYFUNCTION("""COMPUTED_VALUE"""),1072.0)</f>
        <v>1072</v>
      </c>
      <c r="C1589" s="8">
        <f>IFERROR(__xludf.DUMMYFUNCTION("""COMPUTED_VALUE"""),36.0)</f>
        <v>36</v>
      </c>
      <c r="D1589" s="8" t="str">
        <f>IFERROR(__xludf.DUMMYFUNCTION("""COMPUTED_VALUE"""),"Short dress? long sleeves? yes, please!")</f>
        <v>Short dress? long sleeves? yes, please!</v>
      </c>
      <c r="E1589" s="8" t="str">
        <f>IFERROR(__xludf.DUMMYFUNCTION("""COMPUTED_VALUE"""),"I love tiny's aesthetic--sweet, feminine, yet always with a slightly sexy edge. this dress doesn't disappoint! during 90% of the year, i'm always cold. finding cute dresses with long-sleeves is almost as challenging as finding a unicorn. this dress is nea"&amp;"r casual perfection. i plan to wear it on breezy summer nights on a cruise to greece i have coming up. it would also be a perfect spring/fall dress before the seasons change or could be worn in winder with tights and a cardigan. see, near perfec")</f>
        <v>I love tiny's aesthetic--sweet, feminine, yet always with a slightly sexy edge. this dress doesn't disappoint! during 90% of the year, i'm always cold. finding cute dresses with long-sleeves is almost as challenging as finding a unicorn. this dress is near casual perfection. i plan to wear it on breezy summer nights on a cruise to greece i have coming up. it would also be a perfect spring/fall dress before the seasons change or could be worn in winder with tights and a cardigan. see, near perfec</v>
      </c>
      <c r="F1589" s="8">
        <f>IFERROR(__xludf.DUMMYFUNCTION("""COMPUTED_VALUE"""),5.0)</f>
        <v>5</v>
      </c>
      <c r="G1589" s="8">
        <f>IFERROR(__xludf.DUMMYFUNCTION("""COMPUTED_VALUE"""),1.0)</f>
        <v>1</v>
      </c>
      <c r="H1589" s="8">
        <f>IFERROR(__xludf.DUMMYFUNCTION("""COMPUTED_VALUE"""),2.0)</f>
        <v>2</v>
      </c>
      <c r="I1589" s="8" t="str">
        <f>IFERROR(__xludf.DUMMYFUNCTION("""COMPUTED_VALUE"""),"General Petite")</f>
        <v>General Petite</v>
      </c>
      <c r="J1589" s="8" t="str">
        <f>IFERROR(__xludf.DUMMYFUNCTION("""COMPUTED_VALUE"""),"Dresses")</f>
        <v>Dresses</v>
      </c>
      <c r="K1589" s="8" t="str">
        <f>IFERROR(__xludf.DUMMYFUNCTION("""COMPUTED_VALUE"""),"Dresses")</f>
        <v>Dresses</v>
      </c>
    </row>
    <row r="1590">
      <c r="A1590" s="8">
        <f>IFERROR(__xludf.DUMMYFUNCTION("""COMPUTED_VALUE"""),2096.0)</f>
        <v>2096</v>
      </c>
      <c r="B1590" s="8">
        <f>IFERROR(__xludf.DUMMYFUNCTION("""COMPUTED_VALUE"""),850.0)</f>
        <v>850</v>
      </c>
      <c r="C1590" s="8">
        <f>IFERROR(__xludf.DUMMYFUNCTION("""COMPUTED_VALUE"""),24.0)</f>
        <v>24</v>
      </c>
      <c r="D1590" s="8" t="str">
        <f>IFERROR(__xludf.DUMMYFUNCTION("""COMPUTED_VALUE"""),"Great top, runs a little short")</f>
        <v>Great top, runs a little short</v>
      </c>
      <c r="E1590" s="8" t="str">
        <f>IFERROR(__xludf.DUMMYFUNCTION("""COMPUTED_VALUE"""),"Love peplums and love this top! the quality and fabric is beautiful. i did have to size up because it ran a little too short on me, but otherwise great top. really cute to pair with a statement necklace as well!")</f>
        <v>Love peplums and love this top! the quality and fabric is beautiful. i did have to size up because it ran a little too short on me, but otherwise great top. really cute to pair with a statement necklace as well!</v>
      </c>
      <c r="F1590" s="8">
        <f>IFERROR(__xludf.DUMMYFUNCTION("""COMPUTED_VALUE"""),4.0)</f>
        <v>4</v>
      </c>
      <c r="G1590" s="8">
        <f>IFERROR(__xludf.DUMMYFUNCTION("""COMPUTED_VALUE"""),1.0)</f>
        <v>1</v>
      </c>
      <c r="H1590" s="8">
        <f>IFERROR(__xludf.DUMMYFUNCTION("""COMPUTED_VALUE"""),1.0)</f>
        <v>1</v>
      </c>
      <c r="I1590" s="8" t="str">
        <f>IFERROR(__xludf.DUMMYFUNCTION("""COMPUTED_VALUE"""),"General Petite")</f>
        <v>General Petite</v>
      </c>
      <c r="J1590" s="8" t="str">
        <f>IFERROR(__xludf.DUMMYFUNCTION("""COMPUTED_VALUE"""),"Tops")</f>
        <v>Tops</v>
      </c>
      <c r="K1590" s="8" t="str">
        <f>IFERROR(__xludf.DUMMYFUNCTION("""COMPUTED_VALUE"""),"Blouses")</f>
        <v>Blouses</v>
      </c>
    </row>
    <row r="1591">
      <c r="A1591" s="8">
        <f>IFERROR(__xludf.DUMMYFUNCTION("""COMPUTED_VALUE"""),2097.0)</f>
        <v>2097</v>
      </c>
      <c r="B1591" s="8">
        <f>IFERROR(__xludf.DUMMYFUNCTION("""COMPUTED_VALUE"""),1072.0)</f>
        <v>1072</v>
      </c>
      <c r="C1591" s="8">
        <f>IFERROR(__xludf.DUMMYFUNCTION("""COMPUTED_VALUE"""),39.0)</f>
        <v>39</v>
      </c>
      <c r="D1591" s="8" t="str">
        <f>IFERROR(__xludf.DUMMYFUNCTION("""COMPUTED_VALUE"""),"Obsessed")</f>
        <v>Obsessed</v>
      </c>
      <c r="E1591" s="8" t="str">
        <f>IFERROR(__xludf.DUMMYFUNCTION("""COMPUTED_VALUE"""),"I've already worn this dress 4 times and i bought 3 weeks ago. easy to wear, comfortable and flattering. i love and wish it was available it more patterns.")</f>
        <v>I've already worn this dress 4 times and i bought 3 weeks ago. easy to wear, comfortable and flattering. i love and wish it was available it more patterns.</v>
      </c>
      <c r="F1591" s="8">
        <f>IFERROR(__xludf.DUMMYFUNCTION("""COMPUTED_VALUE"""),5.0)</f>
        <v>5</v>
      </c>
      <c r="G1591" s="8">
        <f>IFERROR(__xludf.DUMMYFUNCTION("""COMPUTED_VALUE"""),1.0)</f>
        <v>1</v>
      </c>
      <c r="H1591" s="8">
        <f>IFERROR(__xludf.DUMMYFUNCTION("""COMPUTED_VALUE"""),1.0)</f>
        <v>1</v>
      </c>
      <c r="I1591" s="8" t="str">
        <f>IFERROR(__xludf.DUMMYFUNCTION("""COMPUTED_VALUE"""),"General Petite")</f>
        <v>General Petite</v>
      </c>
      <c r="J1591" s="8" t="str">
        <f>IFERROR(__xludf.DUMMYFUNCTION("""COMPUTED_VALUE"""),"Dresses")</f>
        <v>Dresses</v>
      </c>
      <c r="K1591" s="8" t="str">
        <f>IFERROR(__xludf.DUMMYFUNCTION("""COMPUTED_VALUE"""),"Dresses")</f>
        <v>Dresses</v>
      </c>
    </row>
    <row r="1592">
      <c r="A1592" s="8">
        <f>IFERROR(__xludf.DUMMYFUNCTION("""COMPUTED_VALUE"""),2098.0)</f>
        <v>2098</v>
      </c>
      <c r="B1592" s="8">
        <f>IFERROR(__xludf.DUMMYFUNCTION("""COMPUTED_VALUE"""),896.0)</f>
        <v>896</v>
      </c>
      <c r="C1592" s="8">
        <f>IFERROR(__xludf.DUMMYFUNCTION("""COMPUTED_VALUE"""),46.0)</f>
        <v>46</v>
      </c>
      <c r="D1592" s="8" t="str">
        <f>IFERROR(__xludf.DUMMYFUNCTION("""COMPUTED_VALUE"""),"Great classic look for fall")</f>
        <v>Great classic look for fall</v>
      </c>
      <c r="E1592" s="8" t="str">
        <f>IFERROR(__xludf.DUMMYFUNCTION("""COMPUTED_VALUE"""),"I was really drawn to this burgundy color on this sweater, but wasn't all that impressed with the style. as soon i tried it on, wow it is very flattering. the color is gorgeous, i can see myself using it with jeans, pencil skirts, pants. for reference it "&amp;"does run large, i am usually a x large but i got a large and fits beautifully.")</f>
        <v>I was really drawn to this burgundy color on this sweater, but wasn't all that impressed with the style. as soon i tried it on, wow it is very flattering. the color is gorgeous, i can see myself using it with jeans, pencil skirts, pants. for reference it does run large, i am usually a x large but i got a large and fits beautifully.</v>
      </c>
      <c r="F1592" s="8">
        <f>IFERROR(__xludf.DUMMYFUNCTION("""COMPUTED_VALUE"""),5.0)</f>
        <v>5</v>
      </c>
      <c r="G1592" s="8">
        <f>IFERROR(__xludf.DUMMYFUNCTION("""COMPUTED_VALUE"""),1.0)</f>
        <v>1</v>
      </c>
      <c r="H1592" s="8">
        <f>IFERROR(__xludf.DUMMYFUNCTION("""COMPUTED_VALUE"""),1.0)</f>
        <v>1</v>
      </c>
      <c r="I1592" s="8" t="str">
        <f>IFERROR(__xludf.DUMMYFUNCTION("""COMPUTED_VALUE"""),"General")</f>
        <v>General</v>
      </c>
      <c r="J1592" s="8" t="str">
        <f>IFERROR(__xludf.DUMMYFUNCTION("""COMPUTED_VALUE"""),"Tops")</f>
        <v>Tops</v>
      </c>
      <c r="K1592" s="8" t="str">
        <f>IFERROR(__xludf.DUMMYFUNCTION("""COMPUTED_VALUE"""),"Fine gauge")</f>
        <v>Fine gauge</v>
      </c>
    </row>
    <row r="1593">
      <c r="A1593" s="8">
        <f>IFERROR(__xludf.DUMMYFUNCTION("""COMPUTED_VALUE"""),2099.0)</f>
        <v>2099</v>
      </c>
      <c r="B1593" s="8">
        <f>IFERROR(__xludf.DUMMYFUNCTION("""COMPUTED_VALUE"""),1092.0)</f>
        <v>1092</v>
      </c>
      <c r="C1593" s="8">
        <f>IFERROR(__xludf.DUMMYFUNCTION("""COMPUTED_VALUE"""),27.0)</f>
        <v>27</v>
      </c>
      <c r="D1593" s="8" t="str">
        <f>IFERROR(__xludf.DUMMYFUNCTION("""COMPUTED_VALUE"""),"Love it!")</f>
        <v>Love it!</v>
      </c>
      <c r="E1593" s="8" t="str">
        <f>IFERROR(__xludf.DUMMYFUNCTION("""COMPUTED_VALUE"""),"Love this dress! it's even prettier in person. i found the sizing a little bit on the large side, but i read that many others had the opposite problem, particularly in the bust where i'm small/average for my size. even though it's a little big on me, it l"&amp;"ooks and feels great.")</f>
        <v>Love this dress! it's even prettier in person. i found the sizing a little bit on the large side, but i read that many others had the opposite problem, particularly in the bust where i'm small/average for my size. even though it's a little big on me, it looks and feels great.</v>
      </c>
      <c r="F1593" s="8">
        <f>IFERROR(__xludf.DUMMYFUNCTION("""COMPUTED_VALUE"""),5.0)</f>
        <v>5</v>
      </c>
      <c r="G1593" s="8">
        <f>IFERROR(__xludf.DUMMYFUNCTION("""COMPUTED_VALUE"""),1.0)</f>
        <v>1</v>
      </c>
      <c r="H1593" s="8">
        <f>IFERROR(__xludf.DUMMYFUNCTION("""COMPUTED_VALUE"""),0.0)</f>
        <v>0</v>
      </c>
      <c r="I1593" s="8" t="str">
        <f>IFERROR(__xludf.DUMMYFUNCTION("""COMPUTED_VALUE"""),"General Petite")</f>
        <v>General Petite</v>
      </c>
      <c r="J1593" s="8" t="str">
        <f>IFERROR(__xludf.DUMMYFUNCTION("""COMPUTED_VALUE"""),"Dresses")</f>
        <v>Dresses</v>
      </c>
      <c r="K1593" s="8" t="str">
        <f>IFERROR(__xludf.DUMMYFUNCTION("""COMPUTED_VALUE"""),"Dresses")</f>
        <v>Dresses</v>
      </c>
    </row>
    <row r="1594">
      <c r="A1594" s="8">
        <f>IFERROR(__xludf.DUMMYFUNCTION("""COMPUTED_VALUE"""),2101.0)</f>
        <v>2101</v>
      </c>
      <c r="B1594" s="8">
        <f>IFERROR(__xludf.DUMMYFUNCTION("""COMPUTED_VALUE"""),1092.0)</f>
        <v>1092</v>
      </c>
      <c r="C1594" s="8">
        <f>IFERROR(__xludf.DUMMYFUNCTION("""COMPUTED_VALUE"""),41.0)</f>
        <v>41</v>
      </c>
      <c r="D1594" s="8" t="str">
        <f>IFERROR(__xludf.DUMMYFUNCTION("""COMPUTED_VALUE"""),"Beautiful")</f>
        <v>Beautiful</v>
      </c>
      <c r="E1594" s="8" t="str">
        <f>IFERROR(__xludf.DUMMYFUNCTION("""COMPUTED_VALUE"""),"This dress is beautiful in person. i am 5'1 and was afraid it would be too long but it was perfect. i only need 2 inch heel and it will be fine.  details on the flowers are really nice. one more plus it machine washable.")</f>
        <v>This dress is beautiful in person. i am 5'1 and was afraid it would be too long but it was perfect. i only need 2 inch heel and it will be fine.  details on the flowers are really nice. one more plus it machine washable.</v>
      </c>
      <c r="F1594" s="8">
        <f>IFERROR(__xludf.DUMMYFUNCTION("""COMPUTED_VALUE"""),5.0)</f>
        <v>5</v>
      </c>
      <c r="G1594" s="8">
        <f>IFERROR(__xludf.DUMMYFUNCTION("""COMPUTED_VALUE"""),1.0)</f>
        <v>1</v>
      </c>
      <c r="H1594" s="8">
        <f>IFERROR(__xludf.DUMMYFUNCTION("""COMPUTED_VALUE"""),0.0)</f>
        <v>0</v>
      </c>
      <c r="I1594" s="8" t="str">
        <f>IFERROR(__xludf.DUMMYFUNCTION("""COMPUTED_VALUE"""),"General Petite")</f>
        <v>General Petite</v>
      </c>
      <c r="J1594" s="8" t="str">
        <f>IFERROR(__xludf.DUMMYFUNCTION("""COMPUTED_VALUE"""),"Dresses")</f>
        <v>Dresses</v>
      </c>
      <c r="K1594" s="8" t="str">
        <f>IFERROR(__xludf.DUMMYFUNCTION("""COMPUTED_VALUE"""),"Dresses")</f>
        <v>Dresses</v>
      </c>
    </row>
    <row r="1595">
      <c r="A1595" s="8">
        <f>IFERROR(__xludf.DUMMYFUNCTION("""COMPUTED_VALUE"""),2103.0)</f>
        <v>2103</v>
      </c>
      <c r="B1595" s="8">
        <f>IFERROR(__xludf.DUMMYFUNCTION("""COMPUTED_VALUE"""),912.0)</f>
        <v>912</v>
      </c>
      <c r="C1595" s="8">
        <f>IFERROR(__xludf.DUMMYFUNCTION("""COMPUTED_VALUE"""),49.0)</f>
        <v>49</v>
      </c>
      <c r="D1595" s="8"/>
      <c r="E1595" s="8"/>
      <c r="F1595" s="8">
        <f>IFERROR(__xludf.DUMMYFUNCTION("""COMPUTED_VALUE"""),5.0)</f>
        <v>5</v>
      </c>
      <c r="G1595" s="8">
        <f>IFERROR(__xludf.DUMMYFUNCTION("""COMPUTED_VALUE"""),1.0)</f>
        <v>1</v>
      </c>
      <c r="H1595" s="8">
        <f>IFERROR(__xludf.DUMMYFUNCTION("""COMPUTED_VALUE"""),0.0)</f>
        <v>0</v>
      </c>
      <c r="I1595" s="8" t="str">
        <f>IFERROR(__xludf.DUMMYFUNCTION("""COMPUTED_VALUE"""),"General")</f>
        <v>General</v>
      </c>
      <c r="J1595" s="8" t="str">
        <f>IFERROR(__xludf.DUMMYFUNCTION("""COMPUTED_VALUE"""),"Tops")</f>
        <v>Tops</v>
      </c>
      <c r="K1595" s="8" t="str">
        <f>IFERROR(__xludf.DUMMYFUNCTION("""COMPUTED_VALUE"""),"Fine gauge")</f>
        <v>Fine gauge</v>
      </c>
    </row>
    <row r="1596">
      <c r="A1596" s="8">
        <f>IFERROR(__xludf.DUMMYFUNCTION("""COMPUTED_VALUE"""),2105.0)</f>
        <v>2105</v>
      </c>
      <c r="B1596" s="8">
        <f>IFERROR(__xludf.DUMMYFUNCTION("""COMPUTED_VALUE"""),896.0)</f>
        <v>896</v>
      </c>
      <c r="C1596" s="8">
        <f>IFERROR(__xludf.DUMMYFUNCTION("""COMPUTED_VALUE"""),35.0)</f>
        <v>35</v>
      </c>
      <c r="D1596" s="8" t="str">
        <f>IFERROR(__xludf.DUMMYFUNCTION("""COMPUTED_VALUE"""),"Its a keeper")</f>
        <v>Its a keeper</v>
      </c>
      <c r="E1596" s="8" t="str">
        <f>IFERROR(__xludf.DUMMYFUNCTION("""COMPUTED_VALUE"""),"I'm not usually a fan of simple crewneck sweaters but this one has some nice added details that make it a keeper. the dark red oxblood color is really nice (it manages to be a red sweater without feeling overly holiday), the detailing at shoulder/chest is"&amp;" interesting yet subtle enough to not be distracting and doesn't feel bulky at all, the dropped shoulder seams are done correctly and without the body becoming boxy. it does feel like it might run a tad bit large, but only very slightly, not eno")</f>
        <v>I'm not usually a fan of simple crewneck sweaters but this one has some nice added details that make it a keeper. the dark red oxblood color is really nice (it manages to be a red sweater without feeling overly holiday), the detailing at shoulder/chest is interesting yet subtle enough to not be distracting and doesn't feel bulky at all, the dropped shoulder seams are done correctly and without the body becoming boxy. it does feel like it might run a tad bit large, but only very slightly, not eno</v>
      </c>
      <c r="F1596" s="8">
        <f>IFERROR(__xludf.DUMMYFUNCTION("""COMPUTED_VALUE"""),4.0)</f>
        <v>4</v>
      </c>
      <c r="G1596" s="8">
        <f>IFERROR(__xludf.DUMMYFUNCTION("""COMPUTED_VALUE"""),1.0)</f>
        <v>1</v>
      </c>
      <c r="H1596" s="8">
        <f>IFERROR(__xludf.DUMMYFUNCTION("""COMPUTED_VALUE"""),0.0)</f>
        <v>0</v>
      </c>
      <c r="I1596" s="8" t="str">
        <f>IFERROR(__xludf.DUMMYFUNCTION("""COMPUTED_VALUE"""),"General")</f>
        <v>General</v>
      </c>
      <c r="J1596" s="8" t="str">
        <f>IFERROR(__xludf.DUMMYFUNCTION("""COMPUTED_VALUE"""),"Tops")</f>
        <v>Tops</v>
      </c>
      <c r="K1596" s="8" t="str">
        <f>IFERROR(__xludf.DUMMYFUNCTION("""COMPUTED_VALUE"""),"Fine gauge")</f>
        <v>Fine gauge</v>
      </c>
    </row>
    <row r="1597">
      <c r="A1597" s="8">
        <f>IFERROR(__xludf.DUMMYFUNCTION("""COMPUTED_VALUE"""),2107.0)</f>
        <v>2107</v>
      </c>
      <c r="B1597" s="8">
        <f>IFERROR(__xludf.DUMMYFUNCTION("""COMPUTED_VALUE"""),1126.0)</f>
        <v>1126</v>
      </c>
      <c r="C1597" s="8">
        <f>IFERROR(__xludf.DUMMYFUNCTION("""COMPUTED_VALUE"""),32.0)</f>
        <v>32</v>
      </c>
      <c r="D1597" s="8" t="str">
        <f>IFERROR(__xludf.DUMMYFUNCTION("""COMPUTED_VALUE"""),"Cute style, very wide")</f>
        <v>Cute style, very wide</v>
      </c>
      <c r="E1597" s="8" t="str">
        <f>IFERROR(__xludf.DUMMYFUNCTION("""COMPUTED_VALUE"""),"Great coat. love the length but it definitely runs big. i got a m even though i would normally be a l and it's roomy. fabric has pulles under the arms after 1 wear but overall quality is good. very warm. great look for work w. black pants.")</f>
        <v>Great coat. love the length but it definitely runs big. i got a m even though i would normally be a l and it's roomy. fabric has pulles under the arms after 1 wear but overall quality is good. very warm. great look for work w. black pants.</v>
      </c>
      <c r="F1597" s="8">
        <f>IFERROR(__xludf.DUMMYFUNCTION("""COMPUTED_VALUE"""),4.0)</f>
        <v>4</v>
      </c>
      <c r="G1597" s="8">
        <f>IFERROR(__xludf.DUMMYFUNCTION("""COMPUTED_VALUE"""),1.0)</f>
        <v>1</v>
      </c>
      <c r="H1597" s="8">
        <f>IFERROR(__xludf.DUMMYFUNCTION("""COMPUTED_VALUE"""),1.0)</f>
        <v>1</v>
      </c>
      <c r="I1597" s="8" t="str">
        <f>IFERROR(__xludf.DUMMYFUNCTION("""COMPUTED_VALUE"""),"General")</f>
        <v>General</v>
      </c>
      <c r="J1597" s="8" t="str">
        <f>IFERROR(__xludf.DUMMYFUNCTION("""COMPUTED_VALUE"""),"Jackets")</f>
        <v>Jackets</v>
      </c>
      <c r="K1597" s="8" t="str">
        <f>IFERROR(__xludf.DUMMYFUNCTION("""COMPUTED_VALUE"""),"Outerwear")</f>
        <v>Outerwear</v>
      </c>
    </row>
    <row r="1598">
      <c r="A1598" s="8">
        <f>IFERROR(__xludf.DUMMYFUNCTION("""COMPUTED_VALUE"""),2108.0)</f>
        <v>2108</v>
      </c>
      <c r="B1598" s="8">
        <f>IFERROR(__xludf.DUMMYFUNCTION("""COMPUTED_VALUE"""),1126.0)</f>
        <v>1126</v>
      </c>
      <c r="C1598" s="8">
        <f>IFERROR(__xludf.DUMMYFUNCTION("""COMPUTED_VALUE"""),30.0)</f>
        <v>30</v>
      </c>
      <c r="D1598" s="8" t="str">
        <f>IFERROR(__xludf.DUMMYFUNCTION("""COMPUTED_VALUE"""),"Great coat")</f>
        <v>Great coat</v>
      </c>
      <c r="E1598" s="8" t="str">
        <f>IFERROR(__xludf.DUMMYFUNCTION("""COMPUTED_VALUE"""),"I got this coat to throw over slacks at work with the ac, and it's perfect. the picture online is less flattering than in person. found that the medium was too large in shoulders and arm length, small was right for 140lb, 5'8"", typical size 6.")</f>
        <v>I got this coat to throw over slacks at work with the ac, and it's perfect. the picture online is less flattering than in person. found that the medium was too large in shoulders and arm length, small was right for 140lb, 5'8", typical size 6.</v>
      </c>
      <c r="F1598" s="8">
        <f>IFERROR(__xludf.DUMMYFUNCTION("""COMPUTED_VALUE"""),5.0)</f>
        <v>5</v>
      </c>
      <c r="G1598" s="8">
        <f>IFERROR(__xludf.DUMMYFUNCTION("""COMPUTED_VALUE"""),1.0)</f>
        <v>1</v>
      </c>
      <c r="H1598" s="8">
        <f>IFERROR(__xludf.DUMMYFUNCTION("""COMPUTED_VALUE"""),0.0)</f>
        <v>0</v>
      </c>
      <c r="I1598" s="8" t="str">
        <f>IFERROR(__xludf.DUMMYFUNCTION("""COMPUTED_VALUE"""),"General")</f>
        <v>General</v>
      </c>
      <c r="J1598" s="8" t="str">
        <f>IFERROR(__xludf.DUMMYFUNCTION("""COMPUTED_VALUE"""),"Jackets")</f>
        <v>Jackets</v>
      </c>
      <c r="K1598" s="8" t="str">
        <f>IFERROR(__xludf.DUMMYFUNCTION("""COMPUTED_VALUE"""),"Outerwear")</f>
        <v>Outerwear</v>
      </c>
    </row>
    <row r="1599">
      <c r="A1599" s="8">
        <f>IFERROR(__xludf.DUMMYFUNCTION("""COMPUTED_VALUE"""),2109.0)</f>
        <v>2109</v>
      </c>
      <c r="B1599" s="8">
        <f>IFERROR(__xludf.DUMMYFUNCTION("""COMPUTED_VALUE"""),1092.0)</f>
        <v>1092</v>
      </c>
      <c r="C1599" s="8">
        <f>IFERROR(__xludf.DUMMYFUNCTION("""COMPUTED_VALUE"""),36.0)</f>
        <v>36</v>
      </c>
      <c r="D1599" s="8"/>
      <c r="E1599" s="8" t="str">
        <f>IFERROR(__xludf.DUMMYFUNCTION("""COMPUTED_VALUE"""),"This dress is adorable. i found it to be true to size, but i do have a small bust so perhaps that helped with the sizing issue the other reviewer encountered. i love the embroidery throughout, it beautifully constructed and feels lush. i'm 5'9"" and the d"&amp;"ress falls to my ankles, but that's ok because it will look beautiful with heels or flats. i love the dress and cant wait to wear but gave it a 4-star rating because of the side zipper. it is extremely hard to zip up past your waist because of th")</f>
        <v>This dress is adorable. i found it to be true to size, but i do have a small bust so perhaps that helped with the sizing issue the other reviewer encountered. i love the embroidery throughout, it beautifully constructed and feels lush. i'm 5'9" and the dress falls to my ankles, but that's ok because it will look beautiful with heels or flats. i love the dress and cant wait to wear but gave it a 4-star rating because of the side zipper. it is extremely hard to zip up past your waist because of th</v>
      </c>
      <c r="F1599" s="8">
        <f>IFERROR(__xludf.DUMMYFUNCTION("""COMPUTED_VALUE"""),4.0)</f>
        <v>4</v>
      </c>
      <c r="G1599" s="8">
        <f>IFERROR(__xludf.DUMMYFUNCTION("""COMPUTED_VALUE"""),1.0)</f>
        <v>1</v>
      </c>
      <c r="H1599" s="8">
        <f>IFERROR(__xludf.DUMMYFUNCTION("""COMPUTED_VALUE"""),6.0)</f>
        <v>6</v>
      </c>
      <c r="I1599" s="8" t="str">
        <f>IFERROR(__xludf.DUMMYFUNCTION("""COMPUTED_VALUE"""),"General Petite")</f>
        <v>General Petite</v>
      </c>
      <c r="J1599" s="8" t="str">
        <f>IFERROR(__xludf.DUMMYFUNCTION("""COMPUTED_VALUE"""),"Dresses")</f>
        <v>Dresses</v>
      </c>
      <c r="K1599" s="8" t="str">
        <f>IFERROR(__xludf.DUMMYFUNCTION("""COMPUTED_VALUE"""),"Dresses")</f>
        <v>Dresses</v>
      </c>
    </row>
    <row r="1600">
      <c r="A1600" s="8">
        <f>IFERROR(__xludf.DUMMYFUNCTION("""COMPUTED_VALUE"""),2111.0)</f>
        <v>2111</v>
      </c>
      <c r="B1600" s="8">
        <f>IFERROR(__xludf.DUMMYFUNCTION("""COMPUTED_VALUE"""),1068.0)</f>
        <v>1068</v>
      </c>
      <c r="C1600" s="8">
        <f>IFERROR(__xludf.DUMMYFUNCTION("""COMPUTED_VALUE"""),44.0)</f>
        <v>44</v>
      </c>
      <c r="D1600" s="8"/>
      <c r="E1600" s="8" t="str">
        <f>IFERROR(__xludf.DUMMYFUNCTION("""COMPUTED_VALUE"""),"Love the fabric, so soft and comfortable. it gives a very flattering silhouette. love those pants.")</f>
        <v>Love the fabric, so soft and comfortable. it gives a very flattering silhouette. love those pants.</v>
      </c>
      <c r="F1600" s="8">
        <f>IFERROR(__xludf.DUMMYFUNCTION("""COMPUTED_VALUE"""),5.0)</f>
        <v>5</v>
      </c>
      <c r="G1600" s="8">
        <f>IFERROR(__xludf.DUMMYFUNCTION("""COMPUTED_VALUE"""),1.0)</f>
        <v>1</v>
      </c>
      <c r="H1600" s="8">
        <f>IFERROR(__xludf.DUMMYFUNCTION("""COMPUTED_VALUE"""),6.0)</f>
        <v>6</v>
      </c>
      <c r="I1600" s="8" t="str">
        <f>IFERROR(__xludf.DUMMYFUNCTION("""COMPUTED_VALUE"""),"General")</f>
        <v>General</v>
      </c>
      <c r="J1600" s="8" t="str">
        <f>IFERROR(__xludf.DUMMYFUNCTION("""COMPUTED_VALUE"""),"Bottoms")</f>
        <v>Bottoms</v>
      </c>
      <c r="K1600" s="8" t="str">
        <f>IFERROR(__xludf.DUMMYFUNCTION("""COMPUTED_VALUE"""),"Pants")</f>
        <v>Pants</v>
      </c>
    </row>
    <row r="1601">
      <c r="A1601" s="8">
        <f>IFERROR(__xludf.DUMMYFUNCTION("""COMPUTED_VALUE"""),2113.0)</f>
        <v>2113</v>
      </c>
      <c r="B1601" s="8">
        <f>IFERROR(__xludf.DUMMYFUNCTION("""COMPUTED_VALUE"""),896.0)</f>
        <v>896</v>
      </c>
      <c r="C1601" s="8">
        <f>IFERROR(__xludf.DUMMYFUNCTION("""COMPUTED_VALUE"""),44.0)</f>
        <v>44</v>
      </c>
      <c r="D1601" s="8" t="str">
        <f>IFERROR(__xludf.DUMMYFUNCTION("""COMPUTED_VALUE"""),"Rust not red")</f>
        <v>Rust not red</v>
      </c>
      <c r="E1601" s="8" t="str">
        <f>IFERROR(__xludf.DUMMYFUNCTION("""COMPUTED_VALUE"""),"But if that works for you it is a cute pattern. this is a lighter weight sweater but good for fall.")</f>
        <v>But if that works for you it is a cute pattern. this is a lighter weight sweater but good for fall.</v>
      </c>
      <c r="F1601" s="8">
        <f>IFERROR(__xludf.DUMMYFUNCTION("""COMPUTED_VALUE"""),4.0)</f>
        <v>4</v>
      </c>
      <c r="G1601" s="8">
        <f>IFERROR(__xludf.DUMMYFUNCTION("""COMPUTED_VALUE"""),1.0)</f>
        <v>1</v>
      </c>
      <c r="H1601" s="8">
        <f>IFERROR(__xludf.DUMMYFUNCTION("""COMPUTED_VALUE"""),0.0)</f>
        <v>0</v>
      </c>
      <c r="I1601" s="8" t="str">
        <f>IFERROR(__xludf.DUMMYFUNCTION("""COMPUTED_VALUE"""),"General")</f>
        <v>General</v>
      </c>
      <c r="J1601" s="8" t="str">
        <f>IFERROR(__xludf.DUMMYFUNCTION("""COMPUTED_VALUE"""),"Tops")</f>
        <v>Tops</v>
      </c>
      <c r="K1601" s="8" t="str">
        <f>IFERROR(__xludf.DUMMYFUNCTION("""COMPUTED_VALUE"""),"Fine gauge")</f>
        <v>Fine gauge</v>
      </c>
    </row>
    <row r="1602">
      <c r="A1602" s="8">
        <f>IFERROR(__xludf.DUMMYFUNCTION("""COMPUTED_VALUE"""),2115.0)</f>
        <v>2115</v>
      </c>
      <c r="B1602" s="8">
        <f>IFERROR(__xludf.DUMMYFUNCTION("""COMPUTED_VALUE"""),912.0)</f>
        <v>912</v>
      </c>
      <c r="C1602" s="8">
        <f>IFERROR(__xludf.DUMMYFUNCTION("""COMPUTED_VALUE"""),68.0)</f>
        <v>68</v>
      </c>
      <c r="D1602" s="8" t="str">
        <f>IFERROR(__xludf.DUMMYFUNCTION("""COMPUTED_VALUE"""),"Great style, not so great workmanship")</f>
        <v>Great style, not so great workmanship</v>
      </c>
      <c r="E1602" s="8" t="str">
        <f>IFERROR(__xludf.DUMMYFUNCTION("""COMPUTED_VALUE"""),"This vest is soft, flattering, and versatile. but both pockets were sewn incorrectly, with broken seams on the bottoms so if you used them, things would fall out. i'm keeping it but had to pay a seamstress to fix it. for the price, i'd expect better quali"&amp;"ty. recommended conditionally..")</f>
        <v>This vest is soft, flattering, and versatile. but both pockets were sewn incorrectly, with broken seams on the bottoms so if you used them, things would fall out. i'm keeping it but had to pay a seamstress to fix it. for the price, i'd expect better quality. recommended conditionally..</v>
      </c>
      <c r="F1602" s="8">
        <f>IFERROR(__xludf.DUMMYFUNCTION("""COMPUTED_VALUE"""),4.0)</f>
        <v>4</v>
      </c>
      <c r="G1602" s="8">
        <f>IFERROR(__xludf.DUMMYFUNCTION("""COMPUTED_VALUE"""),1.0)</f>
        <v>1</v>
      </c>
      <c r="H1602" s="8">
        <f>IFERROR(__xludf.DUMMYFUNCTION("""COMPUTED_VALUE"""),8.0)</f>
        <v>8</v>
      </c>
      <c r="I1602" s="8" t="str">
        <f>IFERROR(__xludf.DUMMYFUNCTION("""COMPUTED_VALUE"""),"General")</f>
        <v>General</v>
      </c>
      <c r="J1602" s="8" t="str">
        <f>IFERROR(__xludf.DUMMYFUNCTION("""COMPUTED_VALUE"""),"Tops")</f>
        <v>Tops</v>
      </c>
      <c r="K1602" s="8" t="str">
        <f>IFERROR(__xludf.DUMMYFUNCTION("""COMPUTED_VALUE"""),"Fine gauge")</f>
        <v>Fine gauge</v>
      </c>
    </row>
    <row r="1603">
      <c r="A1603" s="8">
        <f>IFERROR(__xludf.DUMMYFUNCTION("""COMPUTED_VALUE"""),2116.0)</f>
        <v>2116</v>
      </c>
      <c r="B1603" s="8">
        <f>IFERROR(__xludf.DUMMYFUNCTION("""COMPUTED_VALUE"""),1092.0)</f>
        <v>1092</v>
      </c>
      <c r="C1603" s="8">
        <f>IFERROR(__xludf.DUMMYFUNCTION("""COMPUTED_VALUE"""),41.0)</f>
        <v>41</v>
      </c>
      <c r="D1603" s="8" t="str">
        <f>IFERROR(__xludf.DUMMYFUNCTION("""COMPUTED_VALUE"""),"That unique retailer dress")</f>
        <v>That unique retailer dress</v>
      </c>
      <c r="E1603" s="8" t="str">
        <f>IFERROR(__xludf.DUMMYFUNCTION("""COMPUTED_VALUE"""),"This dress is gorgeous- it's one of those retailer dresses that i find worth the price because of how unique and beautiful it is! i found it to fit tts. although the zipper does take a good tug to get over the fabric seam, it fits perfectly. if you have a"&amp;" bigger chest (d+), i would foresee this dress being too snug. however, i am a c and it fits just right! i wore it to a backyard wedding with flat sandals and simple gold hoops, but i love the idea of styling it with a jacket and some wedges or bo")</f>
        <v>This dress is gorgeous- it's one of those retailer dresses that i find worth the price because of how unique and beautiful it is! i found it to fit tts. although the zipper does take a good tug to get over the fabric seam, it fits perfectly. if you have a bigger chest (d+), i would foresee this dress being too snug. however, i am a c and it fits just right! i wore it to a backyard wedding with flat sandals and simple gold hoops, but i love the idea of styling it with a jacket and some wedges or bo</v>
      </c>
      <c r="F1603" s="8">
        <f>IFERROR(__xludf.DUMMYFUNCTION("""COMPUTED_VALUE"""),5.0)</f>
        <v>5</v>
      </c>
      <c r="G1603" s="8">
        <f>IFERROR(__xludf.DUMMYFUNCTION("""COMPUTED_VALUE"""),1.0)</f>
        <v>1</v>
      </c>
      <c r="H1603" s="8">
        <f>IFERROR(__xludf.DUMMYFUNCTION("""COMPUTED_VALUE"""),5.0)</f>
        <v>5</v>
      </c>
      <c r="I1603" s="8" t="str">
        <f>IFERROR(__xludf.DUMMYFUNCTION("""COMPUTED_VALUE"""),"General Petite")</f>
        <v>General Petite</v>
      </c>
      <c r="J1603" s="8" t="str">
        <f>IFERROR(__xludf.DUMMYFUNCTION("""COMPUTED_VALUE"""),"Dresses")</f>
        <v>Dresses</v>
      </c>
      <c r="K1603" s="8" t="str">
        <f>IFERROR(__xludf.DUMMYFUNCTION("""COMPUTED_VALUE"""),"Dresses")</f>
        <v>Dresses</v>
      </c>
    </row>
    <row r="1604">
      <c r="A1604" s="8">
        <f>IFERROR(__xludf.DUMMYFUNCTION("""COMPUTED_VALUE"""),2117.0)</f>
        <v>2117</v>
      </c>
      <c r="B1604" s="8">
        <f>IFERROR(__xludf.DUMMYFUNCTION("""COMPUTED_VALUE"""),1092.0)</f>
        <v>1092</v>
      </c>
      <c r="C1604" s="8">
        <f>IFERROR(__xludf.DUMMYFUNCTION("""COMPUTED_VALUE"""),34.0)</f>
        <v>34</v>
      </c>
      <c r="D1604" s="8" t="str">
        <f>IFERROR(__xludf.DUMMYFUNCTION("""COMPUTED_VALUE"""),"Size up!")</f>
        <v>Size up!</v>
      </c>
      <c r="E1604" s="8" t="str">
        <f>IFERROR(__xludf.DUMMYFUNCTION("""COMPUTED_VALUE"""),"I am normally a size 4/6p in all things retailer but read the reviews and opted to go petite on the maxi and size up. i went with the 8p and even with a 32d bust, had no trouble zipping and it fit beautifully. the band is a tad loose, but any tighter woul"&amp;"dn't have fit in the bust. this dress hangs beautifully and is incredibly flattering, especially for those of us with an athletic build.")</f>
        <v>I am normally a size 4/6p in all things retailer but read the reviews and opted to go petite on the maxi and size up. i went with the 8p and even with a 32d bust, had no trouble zipping and it fit beautifully. the band is a tad loose, but any tighter wouldn't have fit in the bust. this dress hangs beautifully and is incredibly flattering, especially for those of us with an athletic build.</v>
      </c>
      <c r="F1604" s="8">
        <f>IFERROR(__xludf.DUMMYFUNCTION("""COMPUTED_VALUE"""),5.0)</f>
        <v>5</v>
      </c>
      <c r="G1604" s="8">
        <f>IFERROR(__xludf.DUMMYFUNCTION("""COMPUTED_VALUE"""),1.0)</f>
        <v>1</v>
      </c>
      <c r="H1604" s="8">
        <f>IFERROR(__xludf.DUMMYFUNCTION("""COMPUTED_VALUE"""),1.0)</f>
        <v>1</v>
      </c>
      <c r="I1604" s="8" t="str">
        <f>IFERROR(__xludf.DUMMYFUNCTION("""COMPUTED_VALUE"""),"General Petite")</f>
        <v>General Petite</v>
      </c>
      <c r="J1604" s="8" t="str">
        <f>IFERROR(__xludf.DUMMYFUNCTION("""COMPUTED_VALUE"""),"Dresses")</f>
        <v>Dresses</v>
      </c>
      <c r="K1604" s="8" t="str">
        <f>IFERROR(__xludf.DUMMYFUNCTION("""COMPUTED_VALUE"""),"Dresses")</f>
        <v>Dresses</v>
      </c>
    </row>
    <row r="1605">
      <c r="A1605" s="8">
        <f>IFERROR(__xludf.DUMMYFUNCTION("""COMPUTED_VALUE"""),2118.0)</f>
        <v>2118</v>
      </c>
      <c r="B1605" s="8">
        <f>IFERROR(__xludf.DUMMYFUNCTION("""COMPUTED_VALUE"""),1072.0)</f>
        <v>1072</v>
      </c>
      <c r="C1605" s="8">
        <f>IFERROR(__xludf.DUMMYFUNCTION("""COMPUTED_VALUE"""),65.0)</f>
        <v>65</v>
      </c>
      <c r="D1605" s="8"/>
      <c r="E1605" s="8" t="str">
        <f>IFERROR(__xludf.DUMMYFUNCTION("""COMPUTED_VALUE"""),"I've received so many complements when i wear this tunic. it's so comfortable and fits great. the fabric is light and feels good against my skin. this is, by far, my most favorite purchase from retailer and i wear it all the time with my leggings. love, l"&amp;"ove, love this tunic/dress!!")</f>
        <v>I've received so many complements when i wear this tunic. it's so comfortable and fits great. the fabric is light and feels good against my skin. this is, by far, my most favorite purchase from retailer and i wear it all the time with my leggings. love, love, love this tunic/dress!!</v>
      </c>
      <c r="F1605" s="8">
        <f>IFERROR(__xludf.DUMMYFUNCTION("""COMPUTED_VALUE"""),5.0)</f>
        <v>5</v>
      </c>
      <c r="G1605" s="8">
        <f>IFERROR(__xludf.DUMMYFUNCTION("""COMPUTED_VALUE"""),1.0)</f>
        <v>1</v>
      </c>
      <c r="H1605" s="8">
        <f>IFERROR(__xludf.DUMMYFUNCTION("""COMPUTED_VALUE"""),1.0)</f>
        <v>1</v>
      </c>
      <c r="I1605" s="8" t="str">
        <f>IFERROR(__xludf.DUMMYFUNCTION("""COMPUTED_VALUE"""),"General Petite")</f>
        <v>General Petite</v>
      </c>
      <c r="J1605" s="8" t="str">
        <f>IFERROR(__xludf.DUMMYFUNCTION("""COMPUTED_VALUE"""),"Dresses")</f>
        <v>Dresses</v>
      </c>
      <c r="K1605" s="8" t="str">
        <f>IFERROR(__xludf.DUMMYFUNCTION("""COMPUTED_VALUE"""),"Dresses")</f>
        <v>Dresses</v>
      </c>
    </row>
    <row r="1606">
      <c r="A1606" s="8">
        <f>IFERROR(__xludf.DUMMYFUNCTION("""COMPUTED_VALUE"""),2120.0)</f>
        <v>2120</v>
      </c>
      <c r="B1606" s="8">
        <f>IFERROR(__xludf.DUMMYFUNCTION("""COMPUTED_VALUE"""),850.0)</f>
        <v>850</v>
      </c>
      <c r="C1606" s="8">
        <f>IFERROR(__xludf.DUMMYFUNCTION("""COMPUTED_VALUE"""),44.0)</f>
        <v>44</v>
      </c>
      <c r="D1606" s="8" t="str">
        <f>IFERROR(__xludf.DUMMYFUNCTION("""COMPUTED_VALUE"""),"Love, love, love")</f>
        <v>Love, love, love</v>
      </c>
      <c r="E1606" s="8" t="str">
        <f>IFERROR(__xludf.DUMMYFUNCTION("""COMPUTED_VALUE"""),"I tried this top on at store and didn't want to buy at full price even though it made my heart skip a beat with how adorable it was. it is even cuter on. so when i saw it finally went on sale and i got an additional 20% off i immediately ordered!!!! it is"&amp;" flowy, comfortable and fun. wore it today layered with a black turtleneck and long black vest.")</f>
        <v>I tried this top on at store and didn't want to buy at full price even though it made my heart skip a beat with how adorable it was. it is even cuter on. so when i saw it finally went on sale and i got an additional 20% off i immediately ordered!!!! it is flowy, comfortable and fun. wore it today layered with a black turtleneck and long black vest.</v>
      </c>
      <c r="F1606" s="8">
        <f>IFERROR(__xludf.DUMMYFUNCTION("""COMPUTED_VALUE"""),5.0)</f>
        <v>5</v>
      </c>
      <c r="G1606" s="8">
        <f>IFERROR(__xludf.DUMMYFUNCTION("""COMPUTED_VALUE"""),1.0)</f>
        <v>1</v>
      </c>
      <c r="H1606" s="8">
        <f>IFERROR(__xludf.DUMMYFUNCTION("""COMPUTED_VALUE"""),0.0)</f>
        <v>0</v>
      </c>
      <c r="I1606" s="8" t="str">
        <f>IFERROR(__xludf.DUMMYFUNCTION("""COMPUTED_VALUE"""),"General Petite")</f>
        <v>General Petite</v>
      </c>
      <c r="J1606" s="8" t="str">
        <f>IFERROR(__xludf.DUMMYFUNCTION("""COMPUTED_VALUE"""),"Tops")</f>
        <v>Tops</v>
      </c>
      <c r="K1606" s="8" t="str">
        <f>IFERROR(__xludf.DUMMYFUNCTION("""COMPUTED_VALUE"""),"Blouses")</f>
        <v>Blouses</v>
      </c>
    </row>
    <row r="1607">
      <c r="A1607" s="8">
        <f>IFERROR(__xludf.DUMMYFUNCTION("""COMPUTED_VALUE"""),2121.0)</f>
        <v>2121</v>
      </c>
      <c r="B1607" s="8">
        <f>IFERROR(__xludf.DUMMYFUNCTION("""COMPUTED_VALUE"""),850.0)</f>
        <v>850</v>
      </c>
      <c r="C1607" s="8">
        <f>IFERROR(__xludf.DUMMYFUNCTION("""COMPUTED_VALUE"""),60.0)</f>
        <v>60</v>
      </c>
      <c r="D1607" s="8" t="str">
        <f>IFERROR(__xludf.DUMMYFUNCTION("""COMPUTED_VALUE"""),"Lovely, but it is tight in the chest.")</f>
        <v>Lovely, but it is tight in the chest.</v>
      </c>
      <c r="E1607" s="8" t="str">
        <f>IFERROR(__xludf.DUMMYFUNCTION("""COMPUTED_VALUE"""),"I have to agree with another reviewer that this runs slightly small. i'm 5'8, an athletic pear with narrow shoulders, 34c, and usually a 6 in tops at retailer. since the top looks a little short on the model, i sized up to an 8, since i'd rather have it b"&amp;"e flowy and a little longer. i'm very glad i did because it hits at my low hip, and if it were any smaller, it'd be too tight in my chest. since it doesn't stretch, you need some space for your arms to move. if i could do it again, i'd actually si")</f>
        <v>I have to agree with another reviewer that this runs slightly small. i'm 5'8, an athletic pear with narrow shoulders, 34c, and usually a 6 in tops at retailer. since the top looks a little short on the model, i sized up to an 8, since i'd rather have it be flowy and a little longer. i'm very glad i did because it hits at my low hip, and if it were any smaller, it'd be too tight in my chest. since it doesn't stretch, you need some space for your arms to move. if i could do it again, i'd actually si</v>
      </c>
      <c r="F1607" s="8">
        <f>IFERROR(__xludf.DUMMYFUNCTION("""COMPUTED_VALUE"""),4.0)</f>
        <v>4</v>
      </c>
      <c r="G1607" s="8">
        <f>IFERROR(__xludf.DUMMYFUNCTION("""COMPUTED_VALUE"""),1.0)</f>
        <v>1</v>
      </c>
      <c r="H1607" s="8">
        <f>IFERROR(__xludf.DUMMYFUNCTION("""COMPUTED_VALUE"""),3.0)</f>
        <v>3</v>
      </c>
      <c r="I1607" s="8" t="str">
        <f>IFERROR(__xludf.DUMMYFUNCTION("""COMPUTED_VALUE"""),"General Petite")</f>
        <v>General Petite</v>
      </c>
      <c r="J1607" s="8" t="str">
        <f>IFERROR(__xludf.DUMMYFUNCTION("""COMPUTED_VALUE"""),"Tops")</f>
        <v>Tops</v>
      </c>
      <c r="K1607" s="8" t="str">
        <f>IFERROR(__xludf.DUMMYFUNCTION("""COMPUTED_VALUE"""),"Blouses")</f>
        <v>Blouses</v>
      </c>
    </row>
    <row r="1608">
      <c r="A1608" s="8">
        <f>IFERROR(__xludf.DUMMYFUNCTION("""COMPUTED_VALUE"""),2122.0)</f>
        <v>2122</v>
      </c>
      <c r="B1608" s="8">
        <f>IFERROR(__xludf.DUMMYFUNCTION("""COMPUTED_VALUE"""),912.0)</f>
        <v>912</v>
      </c>
      <c r="C1608" s="8">
        <f>IFERROR(__xludf.DUMMYFUNCTION("""COMPUTED_VALUE"""),39.0)</f>
        <v>39</v>
      </c>
      <c r="D1608" s="8"/>
      <c r="E1608" s="8" t="str">
        <f>IFERROR(__xludf.DUMMYFUNCTION("""COMPUTED_VALUE"""),"I ordered the gray/plum colorway and while i'm disappointed in the large percent acrylic fabrication, the vest is very soft and warm. the unfinished raw seams add visual interest and i'm tempted to remove all the care tags and wear this inside out for a d"&amp;"ifferent look. i am worried that excess pilling will be an issue so i will update my review if the quality deteriorates beyond a simple lint shave.")</f>
        <v>I ordered the gray/plum colorway and while i'm disappointed in the large percent acrylic fabrication, the vest is very soft and warm. the unfinished raw seams add visual interest and i'm tempted to remove all the care tags and wear this inside out for a different look. i am worried that excess pilling will be an issue so i will update my review if the quality deteriorates beyond a simple lint shave.</v>
      </c>
      <c r="F1608" s="8">
        <f>IFERROR(__xludf.DUMMYFUNCTION("""COMPUTED_VALUE"""),4.0)</f>
        <v>4</v>
      </c>
      <c r="G1608" s="8">
        <f>IFERROR(__xludf.DUMMYFUNCTION("""COMPUTED_VALUE"""),1.0)</f>
        <v>1</v>
      </c>
      <c r="H1608" s="8">
        <f>IFERROR(__xludf.DUMMYFUNCTION("""COMPUTED_VALUE"""),0.0)</f>
        <v>0</v>
      </c>
      <c r="I1608" s="8" t="str">
        <f>IFERROR(__xludf.DUMMYFUNCTION("""COMPUTED_VALUE"""),"General")</f>
        <v>General</v>
      </c>
      <c r="J1608" s="8" t="str">
        <f>IFERROR(__xludf.DUMMYFUNCTION("""COMPUTED_VALUE"""),"Tops")</f>
        <v>Tops</v>
      </c>
      <c r="K1608" s="8" t="str">
        <f>IFERROR(__xludf.DUMMYFUNCTION("""COMPUTED_VALUE"""),"Fine gauge")</f>
        <v>Fine gauge</v>
      </c>
    </row>
    <row r="1609">
      <c r="A1609" s="8">
        <f>IFERROR(__xludf.DUMMYFUNCTION("""COMPUTED_VALUE"""),2123.0)</f>
        <v>2123</v>
      </c>
      <c r="B1609" s="8">
        <f>IFERROR(__xludf.DUMMYFUNCTION("""COMPUTED_VALUE"""),1072.0)</f>
        <v>1072</v>
      </c>
      <c r="C1609" s="8">
        <f>IFERROR(__xludf.DUMMYFUNCTION("""COMPUTED_VALUE"""),39.0)</f>
        <v>39</v>
      </c>
      <c r="D1609" s="8" t="str">
        <f>IFERROR(__xludf.DUMMYFUNCTION("""COMPUTED_VALUE"""),"Another tiny success")</f>
        <v>Another tiny success</v>
      </c>
      <c r="E1609" s="8" t="str">
        <f>IFERROR(__xludf.DUMMYFUNCTION("""COMPUTED_VALUE"""),"Tiny are experts at making busy bohemian shirtdresses that look casual but retain a feminine drape.  it skims over my trouble spots without adding bulk.  this is my fourth dress from this label and it does not disappoint.  for my frame and style i chose t"&amp;"ts but those of slender &amp; petite builds may want to size down.  for reference i am 5'3"" 140# 36dd.")</f>
        <v>Tiny are experts at making busy bohemian shirtdresses that look casual but retain a feminine drape.  it skims over my trouble spots without adding bulk.  this is my fourth dress from this label and it does not disappoint.  for my frame and style i chose tts but those of slender &amp; petite builds may want to size down.  for reference i am 5'3" 140# 36dd.</v>
      </c>
      <c r="F1609" s="8">
        <f>IFERROR(__xludf.DUMMYFUNCTION("""COMPUTED_VALUE"""),5.0)</f>
        <v>5</v>
      </c>
      <c r="G1609" s="8">
        <f>IFERROR(__xludf.DUMMYFUNCTION("""COMPUTED_VALUE"""),1.0)</f>
        <v>1</v>
      </c>
      <c r="H1609" s="8">
        <f>IFERROR(__xludf.DUMMYFUNCTION("""COMPUTED_VALUE"""),94.0)</f>
        <v>94</v>
      </c>
      <c r="I1609" s="8" t="str">
        <f>IFERROR(__xludf.DUMMYFUNCTION("""COMPUTED_VALUE"""),"General Petite")</f>
        <v>General Petite</v>
      </c>
      <c r="J1609" s="8" t="str">
        <f>IFERROR(__xludf.DUMMYFUNCTION("""COMPUTED_VALUE"""),"Dresses")</f>
        <v>Dresses</v>
      </c>
      <c r="K1609" s="8" t="str">
        <f>IFERROR(__xludf.DUMMYFUNCTION("""COMPUTED_VALUE"""),"Dresses")</f>
        <v>Dresses</v>
      </c>
    </row>
    <row r="1610">
      <c r="A1610" s="8">
        <f>IFERROR(__xludf.DUMMYFUNCTION("""COMPUTED_VALUE"""),2125.0)</f>
        <v>2125</v>
      </c>
      <c r="B1610" s="8">
        <f>IFERROR(__xludf.DUMMYFUNCTION("""COMPUTED_VALUE"""),850.0)</f>
        <v>850</v>
      </c>
      <c r="C1610" s="8">
        <f>IFERROR(__xludf.DUMMYFUNCTION("""COMPUTED_VALUE"""),27.0)</f>
        <v>27</v>
      </c>
      <c r="D1610" s="8" t="str">
        <f>IFERROR(__xludf.DUMMYFUNCTION("""COMPUTED_VALUE"""),"Love it")</f>
        <v>Love it</v>
      </c>
      <c r="E1610" s="8" t="str">
        <f>IFERROR(__xludf.DUMMYFUNCTION("""COMPUTED_VALUE"""),"Love it- super cute. can wear it to work with blazer or out at night. i'm 5'3"" and got a size small, a little shorter in the front but that seems to be style, fits great")</f>
        <v>Love it- super cute. can wear it to work with blazer or out at night. i'm 5'3" and got a size small, a little shorter in the front but that seems to be style, fits great</v>
      </c>
      <c r="F1610" s="8">
        <f>IFERROR(__xludf.DUMMYFUNCTION("""COMPUTED_VALUE"""),5.0)</f>
        <v>5</v>
      </c>
      <c r="G1610" s="8">
        <f>IFERROR(__xludf.DUMMYFUNCTION("""COMPUTED_VALUE"""),1.0)</f>
        <v>1</v>
      </c>
      <c r="H1610" s="8">
        <f>IFERROR(__xludf.DUMMYFUNCTION("""COMPUTED_VALUE"""),0.0)</f>
        <v>0</v>
      </c>
      <c r="I1610" s="8" t="str">
        <f>IFERROR(__xludf.DUMMYFUNCTION("""COMPUTED_VALUE"""),"General Petite")</f>
        <v>General Petite</v>
      </c>
      <c r="J1610" s="8" t="str">
        <f>IFERROR(__xludf.DUMMYFUNCTION("""COMPUTED_VALUE"""),"Tops")</f>
        <v>Tops</v>
      </c>
      <c r="K1610" s="8" t="str">
        <f>IFERROR(__xludf.DUMMYFUNCTION("""COMPUTED_VALUE"""),"Blouses")</f>
        <v>Blouses</v>
      </c>
    </row>
    <row r="1611">
      <c r="A1611" s="8">
        <f>IFERROR(__xludf.DUMMYFUNCTION("""COMPUTED_VALUE"""),2127.0)</f>
        <v>2127</v>
      </c>
      <c r="B1611" s="8">
        <f>IFERROR(__xludf.DUMMYFUNCTION("""COMPUTED_VALUE"""),1072.0)</f>
        <v>1072</v>
      </c>
      <c r="C1611" s="8">
        <f>IFERROR(__xludf.DUMMYFUNCTION("""COMPUTED_VALUE"""),60.0)</f>
        <v>60</v>
      </c>
      <c r="D1611" s="8" t="str">
        <f>IFERROR(__xludf.DUMMYFUNCTION("""COMPUTED_VALUE"""),"Perfectly adorable!!!!!")</f>
        <v>Perfectly adorable!!!!!</v>
      </c>
      <c r="E1611" s="8" t="str">
        <f>IFERROR(__xludf.DUMMYFUNCTION("""COMPUTED_VALUE"""),"This is the perfect dress! for summer, fall, winter or spring, it is flattering and looks cute with booties, flip flops, brogues or barefoot! runs a teeny bit large - i wear a small to medium and the small is perfect! i might just buy the other color it c"&amp;"omes in!!!!")</f>
        <v>This is the perfect dress! for summer, fall, winter or spring, it is flattering and looks cute with booties, flip flops, brogues or barefoot! runs a teeny bit large - i wear a small to medium and the small is perfect! i might just buy the other color it comes in!!!!</v>
      </c>
      <c r="F1611" s="8">
        <f>IFERROR(__xludf.DUMMYFUNCTION("""COMPUTED_VALUE"""),5.0)</f>
        <v>5</v>
      </c>
      <c r="G1611" s="8">
        <f>IFERROR(__xludf.DUMMYFUNCTION("""COMPUTED_VALUE"""),1.0)</f>
        <v>1</v>
      </c>
      <c r="H1611" s="8">
        <f>IFERROR(__xludf.DUMMYFUNCTION("""COMPUTED_VALUE"""),0.0)</f>
        <v>0</v>
      </c>
      <c r="I1611" s="8" t="str">
        <f>IFERROR(__xludf.DUMMYFUNCTION("""COMPUTED_VALUE"""),"General Petite")</f>
        <v>General Petite</v>
      </c>
      <c r="J1611" s="8" t="str">
        <f>IFERROR(__xludf.DUMMYFUNCTION("""COMPUTED_VALUE"""),"Dresses")</f>
        <v>Dresses</v>
      </c>
      <c r="K1611" s="8" t="str">
        <f>IFERROR(__xludf.DUMMYFUNCTION("""COMPUTED_VALUE"""),"Dresses")</f>
        <v>Dresses</v>
      </c>
    </row>
    <row r="1612">
      <c r="A1612" s="8">
        <f>IFERROR(__xludf.DUMMYFUNCTION("""COMPUTED_VALUE"""),2129.0)</f>
        <v>2129</v>
      </c>
      <c r="B1612" s="8">
        <f>IFERROR(__xludf.DUMMYFUNCTION("""COMPUTED_VALUE"""),862.0)</f>
        <v>862</v>
      </c>
      <c r="C1612" s="8">
        <f>IFERROR(__xludf.DUMMYFUNCTION("""COMPUTED_VALUE"""),60.0)</f>
        <v>60</v>
      </c>
      <c r="D1612" s="8" t="str">
        <f>IFERROR(__xludf.DUMMYFUNCTION("""COMPUTED_VALUE"""),"Great tank")</f>
        <v>Great tank</v>
      </c>
      <c r="E1612" s="8" t="str">
        <f>IFERROR(__xludf.DUMMYFUNCTION("""COMPUTED_VALUE"""),"For me to buy a tank top it better be special and this is. flattering without being skintight, it camouflages that little back bacon you sometimes get from a bra. the v-neck is low and is the same in the back. great length, super soft and the best part is"&amp;" you can wear a bra! i haven't washed this yet, but based on other reviews i'll probably hand wash and air dry. the only issue is the tag flops out every now and then.")</f>
        <v>For me to buy a tank top it better be special and this is. flattering without being skintight, it camouflages that little back bacon you sometimes get from a bra. the v-neck is low and is the same in the back. great length, super soft and the best part is you can wear a bra! i haven't washed this yet, but based on other reviews i'll probably hand wash and air dry. the only issue is the tag flops out every now and then.</v>
      </c>
      <c r="F1612" s="8">
        <f>IFERROR(__xludf.DUMMYFUNCTION("""COMPUTED_VALUE"""),5.0)</f>
        <v>5</v>
      </c>
      <c r="G1612" s="8">
        <f>IFERROR(__xludf.DUMMYFUNCTION("""COMPUTED_VALUE"""),1.0)</f>
        <v>1</v>
      </c>
      <c r="H1612" s="8">
        <f>IFERROR(__xludf.DUMMYFUNCTION("""COMPUTED_VALUE"""),0.0)</f>
        <v>0</v>
      </c>
      <c r="I1612" s="8" t="str">
        <f>IFERROR(__xludf.DUMMYFUNCTION("""COMPUTED_VALUE"""),"General")</f>
        <v>General</v>
      </c>
      <c r="J1612" s="8" t="str">
        <f>IFERROR(__xludf.DUMMYFUNCTION("""COMPUTED_VALUE"""),"Tops")</f>
        <v>Tops</v>
      </c>
      <c r="K1612" s="8" t="str">
        <f>IFERROR(__xludf.DUMMYFUNCTION("""COMPUTED_VALUE"""),"Knits")</f>
        <v>Knits</v>
      </c>
    </row>
    <row r="1613">
      <c r="A1613" s="8">
        <f>IFERROR(__xludf.DUMMYFUNCTION("""COMPUTED_VALUE"""),2130.0)</f>
        <v>2130</v>
      </c>
      <c r="B1613" s="8">
        <f>IFERROR(__xludf.DUMMYFUNCTION("""COMPUTED_VALUE"""),872.0)</f>
        <v>872</v>
      </c>
      <c r="C1613" s="8">
        <f>IFERROR(__xludf.DUMMYFUNCTION("""COMPUTED_VALUE"""),34.0)</f>
        <v>34</v>
      </c>
      <c r="D1613" s="8" t="str">
        <f>IFERROR(__xludf.DUMMYFUNCTION("""COMPUTED_VALUE"""),"Flattering a comfortable")</f>
        <v>Flattering a comfortable</v>
      </c>
      <c r="E1613" s="8" t="str">
        <f>IFERROR(__xludf.DUMMYFUNCTION("""COMPUTED_VALUE"""),"This top looks just as it does on the model and it fit just as they said it would. i needed a nice shirt to wear with jeans and camouflage my new-mommy tummy and this was perfect! it's really comfortable and fun, too!")</f>
        <v>This top looks just as it does on the model and it fit just as they said it would. i needed a nice shirt to wear with jeans and camouflage my new-mommy tummy and this was perfect! it's really comfortable and fun, too!</v>
      </c>
      <c r="F1613" s="8">
        <f>IFERROR(__xludf.DUMMYFUNCTION("""COMPUTED_VALUE"""),5.0)</f>
        <v>5</v>
      </c>
      <c r="G1613" s="8">
        <f>IFERROR(__xludf.DUMMYFUNCTION("""COMPUTED_VALUE"""),1.0)</f>
        <v>1</v>
      </c>
      <c r="H1613" s="8">
        <f>IFERROR(__xludf.DUMMYFUNCTION("""COMPUTED_VALUE"""),0.0)</f>
        <v>0</v>
      </c>
      <c r="I1613" s="8" t="str">
        <f>IFERROR(__xludf.DUMMYFUNCTION("""COMPUTED_VALUE"""),"General Petite")</f>
        <v>General Petite</v>
      </c>
      <c r="J1613" s="8" t="str">
        <f>IFERROR(__xludf.DUMMYFUNCTION("""COMPUTED_VALUE"""),"Tops")</f>
        <v>Tops</v>
      </c>
      <c r="K1613" s="8" t="str">
        <f>IFERROR(__xludf.DUMMYFUNCTION("""COMPUTED_VALUE"""),"Knits")</f>
        <v>Knits</v>
      </c>
    </row>
    <row r="1614">
      <c r="A1614" s="8">
        <f>IFERROR(__xludf.DUMMYFUNCTION("""COMPUTED_VALUE"""),2131.0)</f>
        <v>2131</v>
      </c>
      <c r="B1614" s="8">
        <f>IFERROR(__xludf.DUMMYFUNCTION("""COMPUTED_VALUE"""),862.0)</f>
        <v>862</v>
      </c>
      <c r="C1614" s="8">
        <f>IFERROR(__xludf.DUMMYFUNCTION("""COMPUTED_VALUE"""),54.0)</f>
        <v>54</v>
      </c>
      <c r="D1614" s="8"/>
      <c r="E1614" s="8" t="str">
        <f>IFERROR(__xludf.DUMMYFUNCTION("""COMPUTED_VALUE"""),"I love everything about this top! the fabric, the color, the fit! great top for spring and summer!")</f>
        <v>I love everything about this top! the fabric, the color, the fit! great top for spring and summer!</v>
      </c>
      <c r="F1614" s="8">
        <f>IFERROR(__xludf.DUMMYFUNCTION("""COMPUTED_VALUE"""),5.0)</f>
        <v>5</v>
      </c>
      <c r="G1614" s="8">
        <f>IFERROR(__xludf.DUMMYFUNCTION("""COMPUTED_VALUE"""),1.0)</f>
        <v>1</v>
      </c>
      <c r="H1614" s="8">
        <f>IFERROR(__xludf.DUMMYFUNCTION("""COMPUTED_VALUE"""),0.0)</f>
        <v>0</v>
      </c>
      <c r="I1614" s="8" t="str">
        <f>IFERROR(__xludf.DUMMYFUNCTION("""COMPUTED_VALUE"""),"General")</f>
        <v>General</v>
      </c>
      <c r="J1614" s="8" t="str">
        <f>IFERROR(__xludf.DUMMYFUNCTION("""COMPUTED_VALUE"""),"Tops")</f>
        <v>Tops</v>
      </c>
      <c r="K1614" s="8" t="str">
        <f>IFERROR(__xludf.DUMMYFUNCTION("""COMPUTED_VALUE"""),"Knits")</f>
        <v>Knits</v>
      </c>
    </row>
    <row r="1615">
      <c r="A1615" s="8">
        <f>IFERROR(__xludf.DUMMYFUNCTION("""COMPUTED_VALUE"""),2134.0)</f>
        <v>2134</v>
      </c>
      <c r="B1615" s="8">
        <f>IFERROR(__xludf.DUMMYFUNCTION("""COMPUTED_VALUE"""),1072.0)</f>
        <v>1072</v>
      </c>
      <c r="C1615" s="8">
        <f>IFERROR(__xludf.DUMMYFUNCTION("""COMPUTED_VALUE"""),36.0)</f>
        <v>36</v>
      </c>
      <c r="D1615" s="8" t="str">
        <f>IFERROR(__xludf.DUMMYFUNCTION("""COMPUTED_VALUE"""),"Effortless")</f>
        <v>Effortless</v>
      </c>
      <c r="E1615" s="8" t="str">
        <f>IFERROR(__xludf.DUMMYFUNCTION("""COMPUTED_VALUE"""),"Another reviewer said it best, ""i love the way this dress makes me feel."" i couldn't agree more. the lines are perfect and effortless. 
with all the different reviews on size, i went into the store to try it on. i am usually always a s or m at retailer "&amp;"and a s fit perfectly. i think sizing down any more takes away from the casual look of the dress. i am 5' 5"", 130, and have a small bust.")</f>
        <v>Another reviewer said it best, "i love the way this dress makes me feel." i couldn't agree more. the lines are perfect and effortless. 
with all the different reviews on size, i went into the store to try it on. i am usually always a s or m at retailer and a s fit perfectly. i think sizing down any more takes away from the casual look of the dress. i am 5' 5", 130, and have a small bust.</v>
      </c>
      <c r="F1615" s="8">
        <f>IFERROR(__xludf.DUMMYFUNCTION("""COMPUTED_VALUE"""),5.0)</f>
        <v>5</v>
      </c>
      <c r="G1615" s="8">
        <f>IFERROR(__xludf.DUMMYFUNCTION("""COMPUTED_VALUE"""),1.0)</f>
        <v>1</v>
      </c>
      <c r="H1615" s="8">
        <f>IFERROR(__xludf.DUMMYFUNCTION("""COMPUTED_VALUE"""),0.0)</f>
        <v>0</v>
      </c>
      <c r="I1615" s="8" t="str">
        <f>IFERROR(__xludf.DUMMYFUNCTION("""COMPUTED_VALUE"""),"General Petite")</f>
        <v>General Petite</v>
      </c>
      <c r="J1615" s="8" t="str">
        <f>IFERROR(__xludf.DUMMYFUNCTION("""COMPUTED_VALUE"""),"Dresses")</f>
        <v>Dresses</v>
      </c>
      <c r="K1615" s="8" t="str">
        <f>IFERROR(__xludf.DUMMYFUNCTION("""COMPUTED_VALUE"""),"Dresses")</f>
        <v>Dresses</v>
      </c>
    </row>
    <row r="1616">
      <c r="A1616" s="8">
        <f>IFERROR(__xludf.DUMMYFUNCTION("""COMPUTED_VALUE"""),2135.0)</f>
        <v>2135</v>
      </c>
      <c r="B1616" s="8">
        <f>IFERROR(__xludf.DUMMYFUNCTION("""COMPUTED_VALUE"""),896.0)</f>
        <v>896</v>
      </c>
      <c r="C1616" s="8">
        <f>IFERROR(__xludf.DUMMYFUNCTION("""COMPUTED_VALUE"""),34.0)</f>
        <v>34</v>
      </c>
      <c r="D1616" s="8" t="str">
        <f>IFERROR(__xludf.DUMMYFUNCTION("""COMPUTED_VALUE"""),"Beautiful color, pretty design, nice fabric")</f>
        <v>Beautiful color, pretty design, nice fabric</v>
      </c>
      <c r="E1616" s="8" t="str">
        <f>IFERROR(__xludf.DUMMYFUNCTION("""COMPUTED_VALUE"""),"I got this in the wine, which is a beautiful color. the design is nice and looks expensive (but i'm not sure how it will hold up), the fabric is very nice, medium weight and drapes well. it is a little boxy but would be nice to layer over a button down.")</f>
        <v>I got this in the wine, which is a beautiful color. the design is nice and looks expensive (but i'm not sure how it will hold up), the fabric is very nice, medium weight and drapes well. it is a little boxy but would be nice to layer over a button down.</v>
      </c>
      <c r="F1616" s="8">
        <f>IFERROR(__xludf.DUMMYFUNCTION("""COMPUTED_VALUE"""),5.0)</f>
        <v>5</v>
      </c>
      <c r="G1616" s="8">
        <f>IFERROR(__xludf.DUMMYFUNCTION("""COMPUTED_VALUE"""),1.0)</f>
        <v>1</v>
      </c>
      <c r="H1616" s="8">
        <f>IFERROR(__xludf.DUMMYFUNCTION("""COMPUTED_VALUE"""),0.0)</f>
        <v>0</v>
      </c>
      <c r="I1616" s="8" t="str">
        <f>IFERROR(__xludf.DUMMYFUNCTION("""COMPUTED_VALUE"""),"General")</f>
        <v>General</v>
      </c>
      <c r="J1616" s="8" t="str">
        <f>IFERROR(__xludf.DUMMYFUNCTION("""COMPUTED_VALUE"""),"Tops")</f>
        <v>Tops</v>
      </c>
      <c r="K1616" s="8" t="str">
        <f>IFERROR(__xludf.DUMMYFUNCTION("""COMPUTED_VALUE"""),"Fine gauge")</f>
        <v>Fine gauge</v>
      </c>
    </row>
    <row r="1617">
      <c r="A1617" s="8">
        <f>IFERROR(__xludf.DUMMYFUNCTION("""COMPUTED_VALUE"""),2136.0)</f>
        <v>2136</v>
      </c>
      <c r="B1617" s="8">
        <f>IFERROR(__xludf.DUMMYFUNCTION("""COMPUTED_VALUE"""),1126.0)</f>
        <v>1126</v>
      </c>
      <c r="C1617" s="8">
        <f>IFERROR(__xludf.DUMMYFUNCTION("""COMPUTED_VALUE"""),33.0)</f>
        <v>33</v>
      </c>
      <c r="D1617" s="8" t="str">
        <f>IFERROR(__xludf.DUMMYFUNCTION("""COMPUTED_VALUE"""),"Chic")</f>
        <v>Chic</v>
      </c>
      <c r="E1617" s="8" t="str">
        <f>IFERROR(__xludf.DUMMYFUNCTION("""COMPUTED_VALUE"""),"Love this. can be a jacket or blazer syle. fits well.")</f>
        <v>Love this. can be a jacket or blazer syle. fits well.</v>
      </c>
      <c r="F1617" s="8">
        <f>IFERROR(__xludf.DUMMYFUNCTION("""COMPUTED_VALUE"""),5.0)</f>
        <v>5</v>
      </c>
      <c r="G1617" s="8">
        <f>IFERROR(__xludf.DUMMYFUNCTION("""COMPUTED_VALUE"""),1.0)</f>
        <v>1</v>
      </c>
      <c r="H1617" s="8">
        <f>IFERROR(__xludf.DUMMYFUNCTION("""COMPUTED_VALUE"""),0.0)</f>
        <v>0</v>
      </c>
      <c r="I1617" s="8" t="str">
        <f>IFERROR(__xludf.DUMMYFUNCTION("""COMPUTED_VALUE"""),"General")</f>
        <v>General</v>
      </c>
      <c r="J1617" s="8" t="str">
        <f>IFERROR(__xludf.DUMMYFUNCTION("""COMPUTED_VALUE"""),"Jackets")</f>
        <v>Jackets</v>
      </c>
      <c r="K1617" s="8" t="str">
        <f>IFERROR(__xludf.DUMMYFUNCTION("""COMPUTED_VALUE"""),"Outerwear")</f>
        <v>Outerwear</v>
      </c>
    </row>
    <row r="1618">
      <c r="A1618" s="8">
        <f>IFERROR(__xludf.DUMMYFUNCTION("""COMPUTED_VALUE"""),2137.0)</f>
        <v>2137</v>
      </c>
      <c r="B1618" s="8">
        <f>IFERROR(__xludf.DUMMYFUNCTION("""COMPUTED_VALUE"""),1072.0)</f>
        <v>1072</v>
      </c>
      <c r="C1618" s="8">
        <f>IFERROR(__xludf.DUMMYFUNCTION("""COMPUTED_VALUE"""),41.0)</f>
        <v>41</v>
      </c>
      <c r="D1618" s="8" t="str">
        <f>IFERROR(__xludf.DUMMYFUNCTION("""COMPUTED_VALUE"""),"So pretty!")</f>
        <v>So pretty!</v>
      </c>
      <c r="E1618" s="8" t="str">
        <f>IFERROR(__xludf.DUMMYFUNCTION("""COMPUTED_VALUE"""),"The colors, style and fit were great. this dress you could wear on many different occasions. all around great piece to own!")</f>
        <v>The colors, style and fit were great. this dress you could wear on many different occasions. all around great piece to own!</v>
      </c>
      <c r="F1618" s="8">
        <f>IFERROR(__xludf.DUMMYFUNCTION("""COMPUTED_VALUE"""),5.0)</f>
        <v>5</v>
      </c>
      <c r="G1618" s="8">
        <f>IFERROR(__xludf.DUMMYFUNCTION("""COMPUTED_VALUE"""),1.0)</f>
        <v>1</v>
      </c>
      <c r="H1618" s="8">
        <f>IFERROR(__xludf.DUMMYFUNCTION("""COMPUTED_VALUE"""),0.0)</f>
        <v>0</v>
      </c>
      <c r="I1618" s="8" t="str">
        <f>IFERROR(__xludf.DUMMYFUNCTION("""COMPUTED_VALUE"""),"General Petite")</f>
        <v>General Petite</v>
      </c>
      <c r="J1618" s="8" t="str">
        <f>IFERROR(__xludf.DUMMYFUNCTION("""COMPUTED_VALUE"""),"Dresses")</f>
        <v>Dresses</v>
      </c>
      <c r="K1618" s="8" t="str">
        <f>IFERROR(__xludf.DUMMYFUNCTION("""COMPUTED_VALUE"""),"Dresses")</f>
        <v>Dresses</v>
      </c>
    </row>
    <row r="1619">
      <c r="A1619" s="8">
        <f>IFERROR(__xludf.DUMMYFUNCTION("""COMPUTED_VALUE"""),2139.0)</f>
        <v>2139</v>
      </c>
      <c r="B1619" s="8">
        <f>IFERROR(__xludf.DUMMYFUNCTION("""COMPUTED_VALUE"""),872.0)</f>
        <v>872</v>
      </c>
      <c r="C1619" s="8">
        <f>IFERROR(__xludf.DUMMYFUNCTION("""COMPUTED_VALUE"""),38.0)</f>
        <v>38</v>
      </c>
      <c r="D1619" s="8"/>
      <c r="E1619" s="8" t="str">
        <f>IFERROR(__xludf.DUMMYFUNCTION("""COMPUTED_VALUE"""),"This top is super cute and is very flattering. however, i have trouble getting in and out of it. there is one zipper on the side but it almost seems like it needs to go higher up in order to help you put it on and take it off.")</f>
        <v>This top is super cute and is very flattering. however, i have trouble getting in and out of it. there is one zipper on the side but it almost seems like it needs to go higher up in order to help you put it on and take it off.</v>
      </c>
      <c r="F1619" s="8">
        <f>IFERROR(__xludf.DUMMYFUNCTION("""COMPUTED_VALUE"""),4.0)</f>
        <v>4</v>
      </c>
      <c r="G1619" s="8">
        <f>IFERROR(__xludf.DUMMYFUNCTION("""COMPUTED_VALUE"""),1.0)</f>
        <v>1</v>
      </c>
      <c r="H1619" s="8">
        <f>IFERROR(__xludf.DUMMYFUNCTION("""COMPUTED_VALUE"""),2.0)</f>
        <v>2</v>
      </c>
      <c r="I1619" s="8" t="str">
        <f>IFERROR(__xludf.DUMMYFUNCTION("""COMPUTED_VALUE"""),"General Petite")</f>
        <v>General Petite</v>
      </c>
      <c r="J1619" s="8" t="str">
        <f>IFERROR(__xludf.DUMMYFUNCTION("""COMPUTED_VALUE"""),"Tops")</f>
        <v>Tops</v>
      </c>
      <c r="K1619" s="8" t="str">
        <f>IFERROR(__xludf.DUMMYFUNCTION("""COMPUTED_VALUE"""),"Knits")</f>
        <v>Knits</v>
      </c>
    </row>
    <row r="1620">
      <c r="A1620" s="8">
        <f>IFERROR(__xludf.DUMMYFUNCTION("""COMPUTED_VALUE"""),2140.0)</f>
        <v>2140</v>
      </c>
      <c r="B1620" s="8">
        <f>IFERROR(__xludf.DUMMYFUNCTION("""COMPUTED_VALUE"""),1072.0)</f>
        <v>1072</v>
      </c>
      <c r="C1620" s="8">
        <f>IFERROR(__xludf.DUMMYFUNCTION("""COMPUTED_VALUE"""),52.0)</f>
        <v>52</v>
      </c>
      <c r="D1620" s="8" t="str">
        <f>IFERROR(__xludf.DUMMYFUNCTION("""COMPUTED_VALUE"""),"Lovely dress")</f>
        <v>Lovely dress</v>
      </c>
      <c r="E1620" s="8" t="str">
        <f>IFERROR(__xludf.DUMMYFUNCTION("""COMPUTED_VALUE"""),"This dress is very striking, especially in the green color way i purchased. flow and loose, very feminine but not ""cute"". well made and very much in style this season. i returned it because it wasn't quite suitable for me-1 size up would have been a bet"&amp;"ter. fit overall.")</f>
        <v>This dress is very striking, especially in the green color way i purchased. flow and loose, very feminine but not "cute". well made and very much in style this season. i returned it because it wasn't quite suitable for me-1 size up would have been a better. fit overall.</v>
      </c>
      <c r="F1620" s="8">
        <f>IFERROR(__xludf.DUMMYFUNCTION("""COMPUTED_VALUE"""),4.0)</f>
        <v>4</v>
      </c>
      <c r="G1620" s="8">
        <f>IFERROR(__xludf.DUMMYFUNCTION("""COMPUTED_VALUE"""),1.0)</f>
        <v>1</v>
      </c>
      <c r="H1620" s="8">
        <f>IFERROR(__xludf.DUMMYFUNCTION("""COMPUTED_VALUE"""),0.0)</f>
        <v>0</v>
      </c>
      <c r="I1620" s="8" t="str">
        <f>IFERROR(__xludf.DUMMYFUNCTION("""COMPUTED_VALUE"""),"General Petite")</f>
        <v>General Petite</v>
      </c>
      <c r="J1620" s="8" t="str">
        <f>IFERROR(__xludf.DUMMYFUNCTION("""COMPUTED_VALUE"""),"Dresses")</f>
        <v>Dresses</v>
      </c>
      <c r="K1620" s="8" t="str">
        <f>IFERROR(__xludf.DUMMYFUNCTION("""COMPUTED_VALUE"""),"Dresses")</f>
        <v>Dresses</v>
      </c>
    </row>
    <row r="1621">
      <c r="A1621" s="8">
        <f>IFERROR(__xludf.DUMMYFUNCTION("""COMPUTED_VALUE"""),2141.0)</f>
        <v>2141</v>
      </c>
      <c r="B1621" s="8">
        <f>IFERROR(__xludf.DUMMYFUNCTION("""COMPUTED_VALUE"""),1072.0)</f>
        <v>1072</v>
      </c>
      <c r="C1621" s="8">
        <f>IFERROR(__xludf.DUMMYFUNCTION("""COMPUTED_VALUE"""),58.0)</f>
        <v>58</v>
      </c>
      <c r="D1621" s="8" t="str">
        <f>IFERROR(__xludf.DUMMYFUNCTION("""COMPUTED_VALUE"""),"Great fabric")</f>
        <v>Great fabric</v>
      </c>
      <c r="E1621" s="8" t="str">
        <f>IFERROR(__xludf.DUMMYFUNCTION("""COMPUTED_VALUE"""),"I ordered my usual size small and it was very large on my 5'5"", 112# frame.  my daughter loved it so she scored.  i ordered another one in xs, perfect though the sleeves run long! i have long arms.  can be dressy or casual.")</f>
        <v>I ordered my usual size small and it was very large on my 5'5", 112# frame.  my daughter loved it so she scored.  i ordered another one in xs, perfect though the sleeves run long! i have long arms.  can be dressy or casual.</v>
      </c>
      <c r="F1621" s="8">
        <f>IFERROR(__xludf.DUMMYFUNCTION("""COMPUTED_VALUE"""),5.0)</f>
        <v>5</v>
      </c>
      <c r="G1621" s="8">
        <f>IFERROR(__xludf.DUMMYFUNCTION("""COMPUTED_VALUE"""),1.0)</f>
        <v>1</v>
      </c>
      <c r="H1621" s="8">
        <f>IFERROR(__xludf.DUMMYFUNCTION("""COMPUTED_VALUE"""),27.0)</f>
        <v>27</v>
      </c>
      <c r="I1621" s="8" t="str">
        <f>IFERROR(__xludf.DUMMYFUNCTION("""COMPUTED_VALUE"""),"General Petite")</f>
        <v>General Petite</v>
      </c>
      <c r="J1621" s="8" t="str">
        <f>IFERROR(__xludf.DUMMYFUNCTION("""COMPUTED_VALUE"""),"Dresses")</f>
        <v>Dresses</v>
      </c>
      <c r="K1621" s="8" t="str">
        <f>IFERROR(__xludf.DUMMYFUNCTION("""COMPUTED_VALUE"""),"Dresses")</f>
        <v>Dresses</v>
      </c>
    </row>
    <row r="1622">
      <c r="A1622" s="8">
        <f>IFERROR(__xludf.DUMMYFUNCTION("""COMPUTED_VALUE"""),2142.0)</f>
        <v>2142</v>
      </c>
      <c r="B1622" s="8">
        <f>IFERROR(__xludf.DUMMYFUNCTION("""COMPUTED_VALUE"""),872.0)</f>
        <v>872</v>
      </c>
      <c r="C1622" s="8">
        <f>IFERROR(__xludf.DUMMYFUNCTION("""COMPUTED_VALUE"""),21.0)</f>
        <v>21</v>
      </c>
      <c r="D1622" s="8" t="str">
        <f>IFERROR(__xludf.DUMMYFUNCTION("""COMPUTED_VALUE"""),"The perfect purple piece")</f>
        <v>The perfect purple piece</v>
      </c>
      <c r="E1622" s="8" t="str">
        <f>IFERROR(__xludf.DUMMYFUNCTION("""COMPUTED_VALUE"""),"I got the dark purple color of this top and it is perfect! i wear it all the time. it's comfortable and it's cute! plus if it gets cold i can throw a warm sweater on top of it.")</f>
        <v>I got the dark purple color of this top and it is perfect! i wear it all the time. it's comfortable and it's cute! plus if it gets cold i can throw a warm sweater on top of it.</v>
      </c>
      <c r="F1622" s="8">
        <f>IFERROR(__xludf.DUMMYFUNCTION("""COMPUTED_VALUE"""),5.0)</f>
        <v>5</v>
      </c>
      <c r="G1622" s="8">
        <f>IFERROR(__xludf.DUMMYFUNCTION("""COMPUTED_VALUE"""),1.0)</f>
        <v>1</v>
      </c>
      <c r="H1622" s="8">
        <f>IFERROR(__xludf.DUMMYFUNCTION("""COMPUTED_VALUE"""),0.0)</f>
        <v>0</v>
      </c>
      <c r="I1622" s="8" t="str">
        <f>IFERROR(__xludf.DUMMYFUNCTION("""COMPUTED_VALUE"""),"General Petite")</f>
        <v>General Petite</v>
      </c>
      <c r="J1622" s="8" t="str">
        <f>IFERROR(__xludf.DUMMYFUNCTION("""COMPUTED_VALUE"""),"Tops")</f>
        <v>Tops</v>
      </c>
      <c r="K1622" s="8" t="str">
        <f>IFERROR(__xludf.DUMMYFUNCTION("""COMPUTED_VALUE"""),"Knits")</f>
        <v>Knits</v>
      </c>
    </row>
    <row r="1623">
      <c r="A1623" s="8">
        <f>IFERROR(__xludf.DUMMYFUNCTION("""COMPUTED_VALUE"""),2143.0)</f>
        <v>2143</v>
      </c>
      <c r="B1623" s="8">
        <f>IFERROR(__xludf.DUMMYFUNCTION("""COMPUTED_VALUE"""),1089.0)</f>
        <v>1089</v>
      </c>
      <c r="C1623" s="8">
        <f>IFERROR(__xludf.DUMMYFUNCTION("""COMPUTED_VALUE"""),34.0)</f>
        <v>34</v>
      </c>
      <c r="D1623" s="8" t="str">
        <f>IFERROR(__xludf.DUMMYFUNCTION("""COMPUTED_VALUE"""),"Gorgeous and flattering dress by maeve")</f>
        <v>Gorgeous and flattering dress by maeve</v>
      </c>
      <c r="E1623" s="8" t="str">
        <f>IFERROR(__xludf.DUMMYFUNCTION("""COMPUTED_VALUE"""),"This dress looks beautiful on. it's very flattering and comfortable to wear. it runs true to maeve's dress sizing which for me means in these dresses i always get one size larger than what i normally wear. on my 5'3"" height the regular was just above the"&amp;" knee. great for giving you the illusion of the figure you want even if you don't have it naturally !")</f>
        <v>This dress looks beautiful on. it's very flattering and comfortable to wear. it runs true to maeve's dress sizing which for me means in these dresses i always get one size larger than what i normally wear. on my 5'3" height the regular was just above the knee. great for giving you the illusion of the figure you want even if you don't have it naturally !</v>
      </c>
      <c r="F1623" s="8">
        <f>IFERROR(__xludf.DUMMYFUNCTION("""COMPUTED_VALUE"""),5.0)</f>
        <v>5</v>
      </c>
      <c r="G1623" s="8">
        <f>IFERROR(__xludf.DUMMYFUNCTION("""COMPUTED_VALUE"""),1.0)</f>
        <v>1</v>
      </c>
      <c r="H1623" s="8">
        <f>IFERROR(__xludf.DUMMYFUNCTION("""COMPUTED_VALUE"""),15.0)</f>
        <v>15</v>
      </c>
      <c r="I1623" s="8" t="str">
        <f>IFERROR(__xludf.DUMMYFUNCTION("""COMPUTED_VALUE"""),"General Petite")</f>
        <v>General Petite</v>
      </c>
      <c r="J1623" s="8" t="str">
        <f>IFERROR(__xludf.DUMMYFUNCTION("""COMPUTED_VALUE"""),"Dresses")</f>
        <v>Dresses</v>
      </c>
      <c r="K1623" s="8" t="str">
        <f>IFERROR(__xludf.DUMMYFUNCTION("""COMPUTED_VALUE"""),"Dresses")</f>
        <v>Dresses</v>
      </c>
    </row>
    <row r="1624">
      <c r="A1624" s="8">
        <f>IFERROR(__xludf.DUMMYFUNCTION("""COMPUTED_VALUE"""),2145.0)</f>
        <v>2145</v>
      </c>
      <c r="B1624" s="8">
        <f>IFERROR(__xludf.DUMMYFUNCTION("""COMPUTED_VALUE"""),872.0)</f>
        <v>872</v>
      </c>
      <c r="C1624" s="8">
        <f>IFERROR(__xludf.DUMMYFUNCTION("""COMPUTED_VALUE"""),30.0)</f>
        <v>30</v>
      </c>
      <c r="D1624" s="8" t="str">
        <f>IFERROR(__xludf.DUMMYFUNCTION("""COMPUTED_VALUE"""),"Great every day long-sleeved tee")</f>
        <v>Great every day long-sleeved tee</v>
      </c>
      <c r="E1624" s="8" t="str">
        <f>IFERROR(__xludf.DUMMYFUNCTION("""COMPUTED_VALUE"""),"I absolutely love this tee! i normally don't buy two of the same thing, but i bought it in both black and mauve during a december sale. i ordered a size small, and it fits tts. it can be worn with leggings or skinny jeans/cords. i love pairing it with ski"&amp;"nny jeans and boots best. it's very slimming and so soft.")</f>
        <v>I absolutely love this tee! i normally don't buy two of the same thing, but i bought it in both black and mauve during a december sale. i ordered a size small, and it fits tts. it can be worn with leggings or skinny jeans/cords. i love pairing it with skinny jeans and boots best. it's very slimming and so soft.</v>
      </c>
      <c r="F1624" s="8">
        <f>IFERROR(__xludf.DUMMYFUNCTION("""COMPUTED_VALUE"""),5.0)</f>
        <v>5</v>
      </c>
      <c r="G1624" s="8">
        <f>IFERROR(__xludf.DUMMYFUNCTION("""COMPUTED_VALUE"""),1.0)</f>
        <v>1</v>
      </c>
      <c r="H1624" s="8">
        <f>IFERROR(__xludf.DUMMYFUNCTION("""COMPUTED_VALUE"""),0.0)</f>
        <v>0</v>
      </c>
      <c r="I1624" s="8" t="str">
        <f>IFERROR(__xludf.DUMMYFUNCTION("""COMPUTED_VALUE"""),"General Petite")</f>
        <v>General Petite</v>
      </c>
      <c r="J1624" s="8" t="str">
        <f>IFERROR(__xludf.DUMMYFUNCTION("""COMPUTED_VALUE"""),"Tops")</f>
        <v>Tops</v>
      </c>
      <c r="K1624" s="8" t="str">
        <f>IFERROR(__xludf.DUMMYFUNCTION("""COMPUTED_VALUE"""),"Knits")</f>
        <v>Knits</v>
      </c>
    </row>
    <row r="1625">
      <c r="A1625" s="8">
        <f>IFERROR(__xludf.DUMMYFUNCTION("""COMPUTED_VALUE"""),2146.0)</f>
        <v>2146</v>
      </c>
      <c r="B1625" s="8">
        <f>IFERROR(__xludf.DUMMYFUNCTION("""COMPUTED_VALUE"""),872.0)</f>
        <v>872</v>
      </c>
      <c r="C1625" s="8">
        <f>IFERROR(__xludf.DUMMYFUNCTION("""COMPUTED_VALUE"""),60.0)</f>
        <v>60</v>
      </c>
      <c r="D1625" s="8" t="str">
        <f>IFERROR(__xludf.DUMMYFUNCTION("""COMPUTED_VALUE"""),"Amazing!")</f>
        <v>Amazing!</v>
      </c>
      <c r="E1625" s="8" t="str">
        <f>IFERROR(__xludf.DUMMYFUNCTION("""COMPUTED_VALUE"""),"This tee is amazing! it is so soft and comfortable. and is great for those of us who are tall, it has great length! i went with a medium because i didn't want it too tight. i really hope that retailer restocks soon because i want to buy one in every color"&amp;"!")</f>
        <v>This tee is amazing! it is so soft and comfortable. and is great for those of us who are tall, it has great length! i went with a medium because i didn't want it too tight. i really hope that retailer restocks soon because i want to buy one in every color!</v>
      </c>
      <c r="F1625" s="8">
        <f>IFERROR(__xludf.DUMMYFUNCTION("""COMPUTED_VALUE"""),5.0)</f>
        <v>5</v>
      </c>
      <c r="G1625" s="8">
        <f>IFERROR(__xludf.DUMMYFUNCTION("""COMPUTED_VALUE"""),1.0)</f>
        <v>1</v>
      </c>
      <c r="H1625" s="8">
        <f>IFERROR(__xludf.DUMMYFUNCTION("""COMPUTED_VALUE"""),0.0)</f>
        <v>0</v>
      </c>
      <c r="I1625" s="8" t="str">
        <f>IFERROR(__xludf.DUMMYFUNCTION("""COMPUTED_VALUE"""),"General Petite")</f>
        <v>General Petite</v>
      </c>
      <c r="J1625" s="8" t="str">
        <f>IFERROR(__xludf.DUMMYFUNCTION("""COMPUTED_VALUE"""),"Tops")</f>
        <v>Tops</v>
      </c>
      <c r="K1625" s="8" t="str">
        <f>IFERROR(__xludf.DUMMYFUNCTION("""COMPUTED_VALUE"""),"Knits")</f>
        <v>Knits</v>
      </c>
    </row>
    <row r="1626">
      <c r="A1626" s="8">
        <f>IFERROR(__xludf.DUMMYFUNCTION("""COMPUTED_VALUE"""),2147.0)</f>
        <v>2147</v>
      </c>
      <c r="B1626" s="8">
        <f>IFERROR(__xludf.DUMMYFUNCTION("""COMPUTED_VALUE"""),872.0)</f>
        <v>872</v>
      </c>
      <c r="C1626" s="8">
        <f>IFERROR(__xludf.DUMMYFUNCTION("""COMPUTED_VALUE"""),29.0)</f>
        <v>29</v>
      </c>
      <c r="D1626" s="8"/>
      <c r="E1626" s="8" t="str">
        <f>IFERROR(__xludf.DUMMYFUNCTION("""COMPUTED_VALUE"""),"Super comfortable!! i am 34 weeks pregnant and i works great for me now and i think it will be perfect post baby also!")</f>
        <v>Super comfortable!! i am 34 weeks pregnant and i works great for me now and i think it will be perfect post baby also!</v>
      </c>
      <c r="F1626" s="8">
        <f>IFERROR(__xludf.DUMMYFUNCTION("""COMPUTED_VALUE"""),5.0)</f>
        <v>5</v>
      </c>
      <c r="G1626" s="8">
        <f>IFERROR(__xludf.DUMMYFUNCTION("""COMPUTED_VALUE"""),1.0)</f>
        <v>1</v>
      </c>
      <c r="H1626" s="8">
        <f>IFERROR(__xludf.DUMMYFUNCTION("""COMPUTED_VALUE"""),0.0)</f>
        <v>0</v>
      </c>
      <c r="I1626" s="8" t="str">
        <f>IFERROR(__xludf.DUMMYFUNCTION("""COMPUTED_VALUE"""),"General Petite")</f>
        <v>General Petite</v>
      </c>
      <c r="J1626" s="8" t="str">
        <f>IFERROR(__xludf.DUMMYFUNCTION("""COMPUTED_VALUE"""),"Tops")</f>
        <v>Tops</v>
      </c>
      <c r="K1626" s="8" t="str">
        <f>IFERROR(__xludf.DUMMYFUNCTION("""COMPUTED_VALUE"""),"Knits")</f>
        <v>Knits</v>
      </c>
    </row>
    <row r="1627">
      <c r="A1627" s="8">
        <f>IFERROR(__xludf.DUMMYFUNCTION("""COMPUTED_VALUE"""),2148.0)</f>
        <v>2148</v>
      </c>
      <c r="B1627" s="8">
        <f>IFERROR(__xludf.DUMMYFUNCTION("""COMPUTED_VALUE"""),872.0)</f>
        <v>872</v>
      </c>
      <c r="C1627" s="8">
        <f>IFERROR(__xludf.DUMMYFUNCTION("""COMPUTED_VALUE"""),68.0)</f>
        <v>68</v>
      </c>
      <c r="D1627" s="8" t="str">
        <f>IFERROR(__xludf.DUMMYFUNCTION("""COMPUTED_VALUE"""),"Best basic ever")</f>
        <v>Best basic ever</v>
      </c>
      <c r="E1627" s="8" t="str">
        <f>IFERROR(__xludf.DUMMYFUNCTION("""COMPUTED_VALUE"""),"Like the other reviewers, this is my new favorite tee. it's so freaking soft, and the ribbon down the back just gives a little added flare. pure+good has been one of my staple brands for basics for a while, and i will definitely be buying more colors in t"&amp;"his. the length is perfect for leggings, and it would be cute with jeans too.")</f>
        <v>Like the other reviewers, this is my new favorite tee. it's so freaking soft, and the ribbon down the back just gives a little added flare. pure+good has been one of my staple brands for basics for a while, and i will definitely be buying more colors in this. the length is perfect for leggings, and it would be cute with jeans too.</v>
      </c>
      <c r="F1627" s="8">
        <f>IFERROR(__xludf.DUMMYFUNCTION("""COMPUTED_VALUE"""),5.0)</f>
        <v>5</v>
      </c>
      <c r="G1627" s="8">
        <f>IFERROR(__xludf.DUMMYFUNCTION("""COMPUTED_VALUE"""),1.0)</f>
        <v>1</v>
      </c>
      <c r="H1627" s="8">
        <f>IFERROR(__xludf.DUMMYFUNCTION("""COMPUTED_VALUE"""),3.0)</f>
        <v>3</v>
      </c>
      <c r="I1627" s="8" t="str">
        <f>IFERROR(__xludf.DUMMYFUNCTION("""COMPUTED_VALUE"""),"General Petite")</f>
        <v>General Petite</v>
      </c>
      <c r="J1627" s="8" t="str">
        <f>IFERROR(__xludf.DUMMYFUNCTION("""COMPUTED_VALUE"""),"Tops")</f>
        <v>Tops</v>
      </c>
      <c r="K1627" s="8" t="str">
        <f>IFERROR(__xludf.DUMMYFUNCTION("""COMPUTED_VALUE"""),"Knits")</f>
        <v>Knits</v>
      </c>
    </row>
    <row r="1628">
      <c r="A1628" s="8">
        <f>IFERROR(__xludf.DUMMYFUNCTION("""COMPUTED_VALUE"""),2151.0)</f>
        <v>2151</v>
      </c>
      <c r="B1628" s="8">
        <f>IFERROR(__xludf.DUMMYFUNCTION("""COMPUTED_VALUE"""),867.0)</f>
        <v>867</v>
      </c>
      <c r="C1628" s="8">
        <f>IFERROR(__xludf.DUMMYFUNCTION("""COMPUTED_VALUE"""),53.0)</f>
        <v>53</v>
      </c>
      <c r="D1628" s="8"/>
      <c r="E1628" s="8" t="str">
        <f>IFERROR(__xludf.DUMMYFUNCTION("""COMPUTED_VALUE"""),"Cute top and flattering to wear. fits nicely and i'd say true to size. can't wait to wear it.")</f>
        <v>Cute top and flattering to wear. fits nicely and i'd say true to size. can't wait to wear it.</v>
      </c>
      <c r="F1628" s="8">
        <f>IFERROR(__xludf.DUMMYFUNCTION("""COMPUTED_VALUE"""),5.0)</f>
        <v>5</v>
      </c>
      <c r="G1628" s="8">
        <f>IFERROR(__xludf.DUMMYFUNCTION("""COMPUTED_VALUE"""),1.0)</f>
        <v>1</v>
      </c>
      <c r="H1628" s="8">
        <f>IFERROR(__xludf.DUMMYFUNCTION("""COMPUTED_VALUE"""),0.0)</f>
        <v>0</v>
      </c>
      <c r="I1628" s="8" t="str">
        <f>IFERROR(__xludf.DUMMYFUNCTION("""COMPUTED_VALUE"""),"General")</f>
        <v>General</v>
      </c>
      <c r="J1628" s="8" t="str">
        <f>IFERROR(__xludf.DUMMYFUNCTION("""COMPUTED_VALUE"""),"Tops")</f>
        <v>Tops</v>
      </c>
      <c r="K1628" s="8" t="str">
        <f>IFERROR(__xludf.DUMMYFUNCTION("""COMPUTED_VALUE"""),"Knits")</f>
        <v>Knits</v>
      </c>
    </row>
    <row r="1629">
      <c r="A1629" s="8">
        <f>IFERROR(__xludf.DUMMYFUNCTION("""COMPUTED_VALUE"""),2154.0)</f>
        <v>2154</v>
      </c>
      <c r="B1629" s="8">
        <f>IFERROR(__xludf.DUMMYFUNCTION("""COMPUTED_VALUE"""),160.0)</f>
        <v>160</v>
      </c>
      <c r="C1629" s="8">
        <f>IFERROR(__xludf.DUMMYFUNCTION("""COMPUTED_VALUE"""),23.0)</f>
        <v>23</v>
      </c>
      <c r="D1629" s="8"/>
      <c r="E1629" s="8" t="str">
        <f>IFERROR(__xludf.DUMMYFUNCTION("""COMPUTED_VALUE"""),"Well fitting bra, comfortable (not itchy), lace doesn't show through tops.")</f>
        <v>Well fitting bra, comfortable (not itchy), lace doesn't show through tops.</v>
      </c>
      <c r="F1629" s="8">
        <f>IFERROR(__xludf.DUMMYFUNCTION("""COMPUTED_VALUE"""),5.0)</f>
        <v>5</v>
      </c>
      <c r="G1629" s="8">
        <f>IFERROR(__xludf.DUMMYFUNCTION("""COMPUTED_VALUE"""),1.0)</f>
        <v>1</v>
      </c>
      <c r="H1629" s="8">
        <f>IFERROR(__xludf.DUMMYFUNCTION("""COMPUTED_VALUE"""),1.0)</f>
        <v>1</v>
      </c>
      <c r="I1629" s="8" t="str">
        <f>IFERROR(__xludf.DUMMYFUNCTION("""COMPUTED_VALUE"""),"Initmates")</f>
        <v>Initmates</v>
      </c>
      <c r="J1629" s="8" t="str">
        <f>IFERROR(__xludf.DUMMYFUNCTION("""COMPUTED_VALUE"""),"Intimate")</f>
        <v>Intimate</v>
      </c>
      <c r="K1629" s="8" t="str">
        <f>IFERROR(__xludf.DUMMYFUNCTION("""COMPUTED_VALUE"""),"Intimates")</f>
        <v>Intimates</v>
      </c>
    </row>
    <row r="1630">
      <c r="A1630" s="8">
        <f>IFERROR(__xludf.DUMMYFUNCTION("""COMPUTED_VALUE"""),2155.0)</f>
        <v>2155</v>
      </c>
      <c r="B1630" s="8">
        <f>IFERROR(__xludf.DUMMYFUNCTION("""COMPUTED_VALUE"""),872.0)</f>
        <v>872</v>
      </c>
      <c r="C1630" s="8">
        <f>IFERROR(__xludf.DUMMYFUNCTION("""COMPUTED_VALUE"""),25.0)</f>
        <v>25</v>
      </c>
      <c r="D1630" s="8" t="str">
        <f>IFERROR(__xludf.DUMMYFUNCTION("""COMPUTED_VALUE"""),"Soft &amp; versatile tee")</f>
        <v>Soft &amp; versatile tee</v>
      </c>
      <c r="E1630" s="8" t="str">
        <f>IFERROR(__xludf.DUMMYFUNCTION("""COMPUTED_VALUE"""),"Purchased in the light grey and was so excited, i wore it the very next day. the back detailing and pocket make it more unique than a regular tee and the fabric is slightly heavy (in a good way) so it hangs beautifully. easily can be dressed up or down. n"&amp;"ew favorite tee!")</f>
        <v>Purchased in the light grey and was so excited, i wore it the very next day. the back detailing and pocket make it more unique than a regular tee and the fabric is slightly heavy (in a good way) so it hangs beautifully. easily can be dressed up or down. new favorite tee!</v>
      </c>
      <c r="F1630" s="8">
        <f>IFERROR(__xludf.DUMMYFUNCTION("""COMPUTED_VALUE"""),5.0)</f>
        <v>5</v>
      </c>
      <c r="G1630" s="8">
        <f>IFERROR(__xludf.DUMMYFUNCTION("""COMPUTED_VALUE"""),1.0)</f>
        <v>1</v>
      </c>
      <c r="H1630" s="8">
        <f>IFERROR(__xludf.DUMMYFUNCTION("""COMPUTED_VALUE"""),0.0)</f>
        <v>0</v>
      </c>
      <c r="I1630" s="8" t="str">
        <f>IFERROR(__xludf.DUMMYFUNCTION("""COMPUTED_VALUE"""),"General Petite")</f>
        <v>General Petite</v>
      </c>
      <c r="J1630" s="8" t="str">
        <f>IFERROR(__xludf.DUMMYFUNCTION("""COMPUTED_VALUE"""),"Tops")</f>
        <v>Tops</v>
      </c>
      <c r="K1630" s="8" t="str">
        <f>IFERROR(__xludf.DUMMYFUNCTION("""COMPUTED_VALUE"""),"Knits")</f>
        <v>Knits</v>
      </c>
    </row>
    <row r="1631">
      <c r="A1631" s="8">
        <f>IFERROR(__xludf.DUMMYFUNCTION("""COMPUTED_VALUE"""),2156.0)</f>
        <v>2156</v>
      </c>
      <c r="B1631" s="8">
        <f>IFERROR(__xludf.DUMMYFUNCTION("""COMPUTED_VALUE"""),872.0)</f>
        <v>872</v>
      </c>
      <c r="C1631" s="8">
        <f>IFERROR(__xludf.DUMMYFUNCTION("""COMPUTED_VALUE"""),62.0)</f>
        <v>62</v>
      </c>
      <c r="D1631" s="8" t="str">
        <f>IFERROR(__xludf.DUMMYFUNCTION("""COMPUTED_VALUE"""),"Need them all!")</f>
        <v>Need them all!</v>
      </c>
      <c r="E1631" s="8" t="str">
        <f>IFERROR(__xludf.DUMMYFUNCTION("""COMPUTED_VALUE"""),"Ordered this on a whim while taking advantage of a promotion, and now need one in every color! the weight and cut is perfect for fall/winter/summer - not too heavy, but not sheer/tissue thin; fitted enough to look super cute with leggings or skinny jeans."&amp;" fabric has a nice quality feel to it - i have similar shirts from the past that have held up well in the wash. i'm anticipating the same with this.")</f>
        <v>Ordered this on a whim while taking advantage of a promotion, and now need one in every color! the weight and cut is perfect for fall/winter/summer - not too heavy, but not sheer/tissue thin; fitted enough to look super cute with leggings or skinny jeans. fabric has a nice quality feel to it - i have similar shirts from the past that have held up well in the wash. i'm anticipating the same with this.</v>
      </c>
      <c r="F1631" s="8">
        <f>IFERROR(__xludf.DUMMYFUNCTION("""COMPUTED_VALUE"""),5.0)</f>
        <v>5</v>
      </c>
      <c r="G1631" s="8">
        <f>IFERROR(__xludf.DUMMYFUNCTION("""COMPUTED_VALUE"""),1.0)</f>
        <v>1</v>
      </c>
      <c r="H1631" s="8">
        <f>IFERROR(__xludf.DUMMYFUNCTION("""COMPUTED_VALUE"""),1.0)</f>
        <v>1</v>
      </c>
      <c r="I1631" s="8" t="str">
        <f>IFERROR(__xludf.DUMMYFUNCTION("""COMPUTED_VALUE"""),"General Petite")</f>
        <v>General Petite</v>
      </c>
      <c r="J1631" s="8" t="str">
        <f>IFERROR(__xludf.DUMMYFUNCTION("""COMPUTED_VALUE"""),"Tops")</f>
        <v>Tops</v>
      </c>
      <c r="K1631" s="8" t="str">
        <f>IFERROR(__xludf.DUMMYFUNCTION("""COMPUTED_VALUE"""),"Knits")</f>
        <v>Knits</v>
      </c>
    </row>
    <row r="1632">
      <c r="A1632" s="8">
        <f>IFERROR(__xludf.DUMMYFUNCTION("""COMPUTED_VALUE"""),2157.0)</f>
        <v>2157</v>
      </c>
      <c r="B1632" s="8">
        <f>IFERROR(__xludf.DUMMYFUNCTION("""COMPUTED_VALUE"""),872.0)</f>
        <v>872</v>
      </c>
      <c r="C1632" s="8">
        <f>IFERROR(__xludf.DUMMYFUNCTION("""COMPUTED_VALUE"""),35.0)</f>
        <v>35</v>
      </c>
      <c r="D1632" s="8" t="str">
        <f>IFERROR(__xludf.DUMMYFUNCTION("""COMPUTED_VALUE"""),"Best. tee. ever.")</f>
        <v>Best. tee. ever.</v>
      </c>
      <c r="E1632" s="8" t="str">
        <f>IFERROR(__xludf.DUMMYFUNCTION("""COMPUTED_VALUE"""),"Oh my! i love this tee. it is super soft. i love how it doesn't look like a sack with no shape. i can't wait to get more colors. i am tall plus have a long torso and it still is long enough for me so this is definitely a win!")</f>
        <v>Oh my! i love this tee. it is super soft. i love how it doesn't look like a sack with no shape. i can't wait to get more colors. i am tall plus have a long torso and it still is long enough for me so this is definitely a win!</v>
      </c>
      <c r="F1632" s="8">
        <f>IFERROR(__xludf.DUMMYFUNCTION("""COMPUTED_VALUE"""),5.0)</f>
        <v>5</v>
      </c>
      <c r="G1632" s="8">
        <f>IFERROR(__xludf.DUMMYFUNCTION("""COMPUTED_VALUE"""),1.0)</f>
        <v>1</v>
      </c>
      <c r="H1632" s="8">
        <f>IFERROR(__xludf.DUMMYFUNCTION("""COMPUTED_VALUE"""),0.0)</f>
        <v>0</v>
      </c>
      <c r="I1632" s="8" t="str">
        <f>IFERROR(__xludf.DUMMYFUNCTION("""COMPUTED_VALUE"""),"General Petite")</f>
        <v>General Petite</v>
      </c>
      <c r="J1632" s="8" t="str">
        <f>IFERROR(__xludf.DUMMYFUNCTION("""COMPUTED_VALUE"""),"Tops")</f>
        <v>Tops</v>
      </c>
      <c r="K1632" s="8" t="str">
        <f>IFERROR(__xludf.DUMMYFUNCTION("""COMPUTED_VALUE"""),"Knits")</f>
        <v>Knits</v>
      </c>
    </row>
    <row r="1633">
      <c r="A1633" s="8">
        <f>IFERROR(__xludf.DUMMYFUNCTION("""COMPUTED_VALUE"""),2158.0)</f>
        <v>2158</v>
      </c>
      <c r="B1633" s="8">
        <f>IFERROR(__xludf.DUMMYFUNCTION("""COMPUTED_VALUE"""),1052.0)</f>
        <v>1052</v>
      </c>
      <c r="C1633" s="8">
        <f>IFERROR(__xludf.DUMMYFUNCTION("""COMPUTED_VALUE"""),46.0)</f>
        <v>46</v>
      </c>
      <c r="D1633" s="8" t="str">
        <f>IFERROR(__xludf.DUMMYFUNCTION("""COMPUTED_VALUE"""),"Love, but different colors fit differently")</f>
        <v>Love, but different colors fit differently</v>
      </c>
      <c r="E1633" s="8" t="str">
        <f>IFERROR(__xludf.DUMMYFUNCTION("""COMPUTED_VALUE"""),"I love these joggers. they are stylish, comfortable and high quality. my one complaint is that the sizing appears different for different colors. 
i got them in the green/moss color,. i immediately wore them casually with flats, a t, &amp; a long silver neck"&amp;"lace. that night, i literally just changed into a long, flowy silk cami and high suede black shoes with the joggers and wore them out- feeling comfy and pulled together (favorite combination). 
i loved them so much i decided to try the othe")</f>
        <v>I love these joggers. they are stylish, comfortable and high quality. my one complaint is that the sizing appears different for different colors. 
i got them in the green/moss color,. i immediately wore them casually with flats, a t, &amp; a long silver necklace. that night, i literally just changed into a long, flowy silk cami and high suede black shoes with the joggers and wore them out- feeling comfy and pulled together (favorite combination). 
i loved them so much i decided to try the othe</v>
      </c>
      <c r="F1633" s="8">
        <f>IFERROR(__xludf.DUMMYFUNCTION("""COMPUTED_VALUE"""),4.0)</f>
        <v>4</v>
      </c>
      <c r="G1633" s="8">
        <f>IFERROR(__xludf.DUMMYFUNCTION("""COMPUTED_VALUE"""),1.0)</f>
        <v>1</v>
      </c>
      <c r="H1633" s="8">
        <f>IFERROR(__xludf.DUMMYFUNCTION("""COMPUTED_VALUE"""),1.0)</f>
        <v>1</v>
      </c>
      <c r="I1633" s="8" t="str">
        <f>IFERROR(__xludf.DUMMYFUNCTION("""COMPUTED_VALUE"""),"General")</f>
        <v>General</v>
      </c>
      <c r="J1633" s="8" t="str">
        <f>IFERROR(__xludf.DUMMYFUNCTION("""COMPUTED_VALUE"""),"Bottoms")</f>
        <v>Bottoms</v>
      </c>
      <c r="K1633" s="8" t="str">
        <f>IFERROR(__xludf.DUMMYFUNCTION("""COMPUTED_VALUE"""),"Pants")</f>
        <v>Pants</v>
      </c>
    </row>
    <row r="1634">
      <c r="A1634" s="8">
        <f>IFERROR(__xludf.DUMMYFUNCTION("""COMPUTED_VALUE"""),2159.0)</f>
        <v>2159</v>
      </c>
      <c r="B1634" s="8">
        <f>IFERROR(__xludf.DUMMYFUNCTION("""COMPUTED_VALUE"""),1086.0)</f>
        <v>1086</v>
      </c>
      <c r="C1634" s="8">
        <f>IFERROR(__xludf.DUMMYFUNCTION("""COMPUTED_VALUE"""),39.0)</f>
        <v>39</v>
      </c>
      <c r="D1634" s="8" t="str">
        <f>IFERROR(__xludf.DUMMYFUNCTION("""COMPUTED_VALUE"""),"Lovely color")</f>
        <v>Lovely color</v>
      </c>
      <c r="E1634" s="8" t="str">
        <f>IFERROR(__xludf.DUMMYFUNCTION("""COMPUTED_VALUE"""),"I ordered this as it was either in stylist pick or top rated, cant' remember which, but i must say, ti was very nice on. a little loose, but the petite sizes are sold out, so i ordered the xs (petite might have been too short...) the cut is feminine, not "&amp;"figure hugging, but still flattering. i can see wearing this in the fall with boots and a cardigan, not just summer with sandals, so i decided to keep it.
 115 lbs, 30dd, 26.5 in waist.")</f>
        <v>I ordered this as it was either in stylist pick or top rated, cant' remember which, but i must say, ti was very nice on. a little loose, but the petite sizes are sold out, so i ordered the xs (petite might have been too short...) the cut is feminine, not figure hugging, but still flattering. i can see wearing this in the fall with boots and a cardigan, not just summer with sandals, so i decided to keep it.
 115 lbs, 30dd, 26.5 in waist.</v>
      </c>
      <c r="F1634" s="8">
        <f>IFERROR(__xludf.DUMMYFUNCTION("""COMPUTED_VALUE"""),4.0)</f>
        <v>4</v>
      </c>
      <c r="G1634" s="8">
        <f>IFERROR(__xludf.DUMMYFUNCTION("""COMPUTED_VALUE"""),1.0)</f>
        <v>1</v>
      </c>
      <c r="H1634" s="8">
        <f>IFERROR(__xludf.DUMMYFUNCTION("""COMPUTED_VALUE"""),2.0)</f>
        <v>2</v>
      </c>
      <c r="I1634" s="8" t="str">
        <f>IFERROR(__xludf.DUMMYFUNCTION("""COMPUTED_VALUE"""),"General Petite")</f>
        <v>General Petite</v>
      </c>
      <c r="J1634" s="8" t="str">
        <f>IFERROR(__xludf.DUMMYFUNCTION("""COMPUTED_VALUE"""),"Dresses")</f>
        <v>Dresses</v>
      </c>
      <c r="K1634" s="8" t="str">
        <f>IFERROR(__xludf.DUMMYFUNCTION("""COMPUTED_VALUE"""),"Dresses")</f>
        <v>Dresses</v>
      </c>
    </row>
    <row r="1635">
      <c r="A1635" s="8">
        <f>IFERROR(__xludf.DUMMYFUNCTION("""COMPUTED_VALUE"""),2160.0)</f>
        <v>2160</v>
      </c>
      <c r="B1635" s="8">
        <f>IFERROR(__xludf.DUMMYFUNCTION("""COMPUTED_VALUE"""),872.0)</f>
        <v>872</v>
      </c>
      <c r="C1635" s="8">
        <f>IFERROR(__xludf.DUMMYFUNCTION("""COMPUTED_VALUE"""),65.0)</f>
        <v>65</v>
      </c>
      <c r="D1635" s="8"/>
      <c r="E1635" s="8"/>
      <c r="F1635" s="8">
        <f>IFERROR(__xludf.DUMMYFUNCTION("""COMPUTED_VALUE"""),5.0)</f>
        <v>5</v>
      </c>
      <c r="G1635" s="8">
        <f>IFERROR(__xludf.DUMMYFUNCTION("""COMPUTED_VALUE"""),1.0)</f>
        <v>1</v>
      </c>
      <c r="H1635" s="8">
        <f>IFERROR(__xludf.DUMMYFUNCTION("""COMPUTED_VALUE"""),0.0)</f>
        <v>0</v>
      </c>
      <c r="I1635" s="8" t="str">
        <f>IFERROR(__xludf.DUMMYFUNCTION("""COMPUTED_VALUE"""),"General Petite")</f>
        <v>General Petite</v>
      </c>
      <c r="J1635" s="8" t="str">
        <f>IFERROR(__xludf.DUMMYFUNCTION("""COMPUTED_VALUE"""),"Tops")</f>
        <v>Tops</v>
      </c>
      <c r="K1635" s="8" t="str">
        <f>IFERROR(__xludf.DUMMYFUNCTION("""COMPUTED_VALUE"""),"Knits")</f>
        <v>Knits</v>
      </c>
    </row>
    <row r="1636">
      <c r="A1636" s="8">
        <f>IFERROR(__xludf.DUMMYFUNCTION("""COMPUTED_VALUE"""),2161.0)</f>
        <v>2161</v>
      </c>
      <c r="B1636" s="8">
        <f>IFERROR(__xludf.DUMMYFUNCTION("""COMPUTED_VALUE"""),872.0)</f>
        <v>872</v>
      </c>
      <c r="C1636" s="8">
        <f>IFERROR(__xludf.DUMMYFUNCTION("""COMPUTED_VALUE"""),30.0)</f>
        <v>30</v>
      </c>
      <c r="D1636" s="8" t="str">
        <f>IFERROR(__xludf.DUMMYFUNCTION("""COMPUTED_VALUE"""),"Comfort and style to the max!")</f>
        <v>Comfort and style to the max!</v>
      </c>
      <c r="E1636" s="8" t="str">
        <f>IFERROR(__xludf.DUMMYFUNCTION("""COMPUTED_VALUE"""),"Love this shirt. i am 5'8 and have a slender torso and the small fits perfectly. i love that it's long so you can wear it as a single shirt or use it as an extra layer. i also have a grey druzy necklace to dress this puppy up. purchased it in black and th"&amp;"is will be a new staple.")</f>
        <v>Love this shirt. i am 5'8 and have a slender torso and the small fits perfectly. i love that it's long so you can wear it as a single shirt or use it as an extra layer. i also have a grey druzy necklace to dress this puppy up. purchased it in black and this will be a new staple.</v>
      </c>
      <c r="F1636" s="8">
        <f>IFERROR(__xludf.DUMMYFUNCTION("""COMPUTED_VALUE"""),5.0)</f>
        <v>5</v>
      </c>
      <c r="G1636" s="8">
        <f>IFERROR(__xludf.DUMMYFUNCTION("""COMPUTED_VALUE"""),1.0)</f>
        <v>1</v>
      </c>
      <c r="H1636" s="8">
        <f>IFERROR(__xludf.DUMMYFUNCTION("""COMPUTED_VALUE"""),0.0)</f>
        <v>0</v>
      </c>
      <c r="I1636" s="8" t="str">
        <f>IFERROR(__xludf.DUMMYFUNCTION("""COMPUTED_VALUE"""),"General Petite")</f>
        <v>General Petite</v>
      </c>
      <c r="J1636" s="8" t="str">
        <f>IFERROR(__xludf.DUMMYFUNCTION("""COMPUTED_VALUE"""),"Tops")</f>
        <v>Tops</v>
      </c>
      <c r="K1636" s="8" t="str">
        <f>IFERROR(__xludf.DUMMYFUNCTION("""COMPUTED_VALUE"""),"Knits")</f>
        <v>Knits</v>
      </c>
    </row>
    <row r="1637">
      <c r="A1637" s="8">
        <f>IFERROR(__xludf.DUMMYFUNCTION("""COMPUTED_VALUE"""),2162.0)</f>
        <v>2162</v>
      </c>
      <c r="B1637" s="8">
        <f>IFERROR(__xludf.DUMMYFUNCTION("""COMPUTED_VALUE"""),872.0)</f>
        <v>872</v>
      </c>
      <c r="C1637" s="8">
        <f>IFERROR(__xludf.DUMMYFUNCTION("""COMPUTED_VALUE"""),48.0)</f>
        <v>48</v>
      </c>
      <c r="D1637" s="8" t="str">
        <f>IFERROR(__xludf.DUMMYFUNCTION("""COMPUTED_VALUE"""),"Nice but 5% spandex makes it a bit clingy")</f>
        <v>Nice but 5% spandex makes it a bit clingy</v>
      </c>
      <c r="E1637" s="8" t="str">
        <f>IFERROR(__xludf.DUMMYFUNCTION("""COMPUTED_VALUE"""),"This top is much nicer than expected.....the fabric and style are great. i am a size small or medium, and got the small. from the front, it was great. not so much from the back for me. i'm larger on top than bottom and the 5% spandex made it too clingy ar"&amp;"ound the dreaded bra fat area. i don't wear spanx. i wish retailer would be more specific with the fabric content. if i'd known it was 5% spandex, i would have ordered a size medium. i am thinking about doing this because the top is really")</f>
        <v>This top is much nicer than expected.....the fabric and style are great. i am a size small or medium, and got the small. from the front, it was great. not so much from the back for me. i'm larger on top than bottom and the 5% spandex made it too clingy around the dreaded bra fat area. i don't wear spanx. i wish retailer would be more specific with the fabric content. if i'd known it was 5% spandex, i would have ordered a size medium. i am thinking about doing this because the top is really</v>
      </c>
      <c r="F1637" s="8">
        <f>IFERROR(__xludf.DUMMYFUNCTION("""COMPUTED_VALUE"""),4.0)</f>
        <v>4</v>
      </c>
      <c r="G1637" s="8">
        <f>IFERROR(__xludf.DUMMYFUNCTION("""COMPUTED_VALUE"""),1.0)</f>
        <v>1</v>
      </c>
      <c r="H1637" s="8">
        <f>IFERROR(__xludf.DUMMYFUNCTION("""COMPUTED_VALUE"""),2.0)</f>
        <v>2</v>
      </c>
      <c r="I1637" s="8" t="str">
        <f>IFERROR(__xludf.DUMMYFUNCTION("""COMPUTED_VALUE"""),"General Petite")</f>
        <v>General Petite</v>
      </c>
      <c r="J1637" s="8" t="str">
        <f>IFERROR(__xludf.DUMMYFUNCTION("""COMPUTED_VALUE"""),"Tops")</f>
        <v>Tops</v>
      </c>
      <c r="K1637" s="8" t="str">
        <f>IFERROR(__xludf.DUMMYFUNCTION("""COMPUTED_VALUE"""),"Knits")</f>
        <v>Knits</v>
      </c>
    </row>
    <row r="1638">
      <c r="A1638" s="8">
        <f>IFERROR(__xludf.DUMMYFUNCTION("""COMPUTED_VALUE"""),2163.0)</f>
        <v>2163</v>
      </c>
      <c r="B1638" s="8">
        <f>IFERROR(__xludf.DUMMYFUNCTION("""COMPUTED_VALUE"""),984.0)</f>
        <v>984</v>
      </c>
      <c r="C1638" s="8">
        <f>IFERROR(__xludf.DUMMYFUNCTION("""COMPUTED_VALUE"""),59.0)</f>
        <v>59</v>
      </c>
      <c r="D1638" s="8" t="str">
        <f>IFERROR(__xludf.DUMMYFUNCTION("""COMPUTED_VALUE"""),"Cute...")</f>
        <v>Cute...</v>
      </c>
      <c r="E1638" s="8" t="str">
        <f>IFERROR(__xludf.DUMMYFUNCTION("""COMPUTED_VALUE"""),"This jacket was a gift for my daughter,it fit like a glove and she loved it !")</f>
        <v>This jacket was a gift for my daughter,it fit like a glove and she loved it !</v>
      </c>
      <c r="F1638" s="8">
        <f>IFERROR(__xludf.DUMMYFUNCTION("""COMPUTED_VALUE"""),5.0)</f>
        <v>5</v>
      </c>
      <c r="G1638" s="8">
        <f>IFERROR(__xludf.DUMMYFUNCTION("""COMPUTED_VALUE"""),1.0)</f>
        <v>1</v>
      </c>
      <c r="H1638" s="8">
        <f>IFERROR(__xludf.DUMMYFUNCTION("""COMPUTED_VALUE"""),1.0)</f>
        <v>1</v>
      </c>
      <c r="I1638" s="8" t="str">
        <f>IFERROR(__xludf.DUMMYFUNCTION("""COMPUTED_VALUE"""),"General")</f>
        <v>General</v>
      </c>
      <c r="J1638" s="8" t="str">
        <f>IFERROR(__xludf.DUMMYFUNCTION("""COMPUTED_VALUE"""),"Jackets")</f>
        <v>Jackets</v>
      </c>
      <c r="K1638" s="8" t="str">
        <f>IFERROR(__xludf.DUMMYFUNCTION("""COMPUTED_VALUE"""),"Jackets")</f>
        <v>Jackets</v>
      </c>
    </row>
    <row r="1639">
      <c r="A1639" s="8">
        <f>IFERROR(__xludf.DUMMYFUNCTION("""COMPUTED_VALUE"""),2164.0)</f>
        <v>2164</v>
      </c>
      <c r="B1639" s="8">
        <f>IFERROR(__xludf.DUMMYFUNCTION("""COMPUTED_VALUE"""),867.0)</f>
        <v>867</v>
      </c>
      <c r="C1639" s="8">
        <f>IFERROR(__xludf.DUMMYFUNCTION("""COMPUTED_VALUE"""),53.0)</f>
        <v>53</v>
      </c>
      <c r="D1639" s="8" t="str">
        <f>IFERROR(__xludf.DUMMYFUNCTION("""COMPUTED_VALUE"""),"Confortable - simple")</f>
        <v>Confortable - simple</v>
      </c>
      <c r="E1639" s="8" t="str">
        <f>IFERROR(__xludf.DUMMYFUNCTION("""COMPUTED_VALUE"""),"This top is so soft and comfortable. i bought it on sale, so would i have paid $60 for it . . . . not sure. fits true to size, what can i say its a simple top, well made and so soft.")</f>
        <v>This top is so soft and comfortable. i bought it on sale, so would i have paid $60 for it . . . . not sure. fits true to size, what can i say its a simple top, well made and so soft.</v>
      </c>
      <c r="F1639" s="8">
        <f>IFERROR(__xludf.DUMMYFUNCTION("""COMPUTED_VALUE"""),5.0)</f>
        <v>5</v>
      </c>
      <c r="G1639" s="8">
        <f>IFERROR(__xludf.DUMMYFUNCTION("""COMPUTED_VALUE"""),1.0)</f>
        <v>1</v>
      </c>
      <c r="H1639" s="8">
        <f>IFERROR(__xludf.DUMMYFUNCTION("""COMPUTED_VALUE"""),0.0)</f>
        <v>0</v>
      </c>
      <c r="I1639" s="8" t="str">
        <f>IFERROR(__xludf.DUMMYFUNCTION("""COMPUTED_VALUE"""),"General Petite")</f>
        <v>General Petite</v>
      </c>
      <c r="J1639" s="8" t="str">
        <f>IFERROR(__xludf.DUMMYFUNCTION("""COMPUTED_VALUE"""),"Tops")</f>
        <v>Tops</v>
      </c>
      <c r="K1639" s="8" t="str">
        <f>IFERROR(__xludf.DUMMYFUNCTION("""COMPUTED_VALUE"""),"Knits")</f>
        <v>Knits</v>
      </c>
    </row>
    <row r="1640">
      <c r="A1640" s="8">
        <f>IFERROR(__xludf.DUMMYFUNCTION("""COMPUTED_VALUE"""),2166.0)</f>
        <v>2166</v>
      </c>
      <c r="B1640" s="8">
        <f>IFERROR(__xludf.DUMMYFUNCTION("""COMPUTED_VALUE"""),872.0)</f>
        <v>872</v>
      </c>
      <c r="C1640" s="8">
        <f>IFERROR(__xludf.DUMMYFUNCTION("""COMPUTED_VALUE"""),33.0)</f>
        <v>33</v>
      </c>
      <c r="D1640" s="8" t="str">
        <f>IFERROR(__xludf.DUMMYFUNCTION("""COMPUTED_VALUE"""),"Luxurious basic tee")</f>
        <v>Luxurious basic tee</v>
      </c>
      <c r="E1640" s="8" t="str">
        <f>IFERROR(__xludf.DUMMYFUNCTION("""COMPUTED_VALUE"""),"I love simplicity in clothing and this tee fits the bill! i put it on and instantly feel basic elegance.")</f>
        <v>I love simplicity in clothing and this tee fits the bill! i put it on and instantly feel basic elegance.</v>
      </c>
      <c r="F1640" s="8">
        <f>IFERROR(__xludf.DUMMYFUNCTION("""COMPUTED_VALUE"""),5.0)</f>
        <v>5</v>
      </c>
      <c r="G1640" s="8">
        <f>IFERROR(__xludf.DUMMYFUNCTION("""COMPUTED_VALUE"""),1.0)</f>
        <v>1</v>
      </c>
      <c r="H1640" s="8">
        <f>IFERROR(__xludf.DUMMYFUNCTION("""COMPUTED_VALUE"""),0.0)</f>
        <v>0</v>
      </c>
      <c r="I1640" s="8" t="str">
        <f>IFERROR(__xludf.DUMMYFUNCTION("""COMPUTED_VALUE"""),"General Petite")</f>
        <v>General Petite</v>
      </c>
      <c r="J1640" s="8" t="str">
        <f>IFERROR(__xludf.DUMMYFUNCTION("""COMPUTED_VALUE"""),"Tops")</f>
        <v>Tops</v>
      </c>
      <c r="K1640" s="8" t="str">
        <f>IFERROR(__xludf.DUMMYFUNCTION("""COMPUTED_VALUE"""),"Knits")</f>
        <v>Knits</v>
      </c>
    </row>
    <row r="1641">
      <c r="A1641" s="8">
        <f>IFERROR(__xludf.DUMMYFUNCTION("""COMPUTED_VALUE"""),2167.0)</f>
        <v>2167</v>
      </c>
      <c r="B1641" s="8">
        <f>IFERROR(__xludf.DUMMYFUNCTION("""COMPUTED_VALUE"""),872.0)</f>
        <v>872</v>
      </c>
      <c r="C1641" s="8">
        <f>IFERROR(__xludf.DUMMYFUNCTION("""COMPUTED_VALUE"""),49.0)</f>
        <v>49</v>
      </c>
      <c r="D1641" s="8" t="str">
        <f>IFERROR(__xludf.DUMMYFUNCTION("""COMPUTED_VALUE"""),"Awesome shirt")</f>
        <v>Awesome shirt</v>
      </c>
      <c r="E1641" s="8" t="str">
        <f>IFERROR(__xludf.DUMMYFUNCTION("""COMPUTED_VALUE"""),"I am 5'10"", 130 pounds. a medium is a perfect fit for me. i love it! not so sheer that i feel that i need to wear a cami underneath, sleeves are long, and it is so, so, so soft. the scoop neck shows just the right amount without being too revealing. i am"&amp;" buying one in every color.")</f>
        <v>I am 5'10", 130 pounds. a medium is a perfect fit for me. i love it! not so sheer that i feel that i need to wear a cami underneath, sleeves are long, and it is so, so, so soft. the scoop neck shows just the right amount without being too revealing. i am buying one in every color.</v>
      </c>
      <c r="F1641" s="8">
        <f>IFERROR(__xludf.DUMMYFUNCTION("""COMPUTED_VALUE"""),5.0)</f>
        <v>5</v>
      </c>
      <c r="G1641" s="8">
        <f>IFERROR(__xludf.DUMMYFUNCTION("""COMPUTED_VALUE"""),1.0)</f>
        <v>1</v>
      </c>
      <c r="H1641" s="8">
        <f>IFERROR(__xludf.DUMMYFUNCTION("""COMPUTED_VALUE"""),0.0)</f>
        <v>0</v>
      </c>
      <c r="I1641" s="8" t="str">
        <f>IFERROR(__xludf.DUMMYFUNCTION("""COMPUTED_VALUE"""),"General")</f>
        <v>General</v>
      </c>
      <c r="J1641" s="8" t="str">
        <f>IFERROR(__xludf.DUMMYFUNCTION("""COMPUTED_VALUE"""),"Tops")</f>
        <v>Tops</v>
      </c>
      <c r="K1641" s="8" t="str">
        <f>IFERROR(__xludf.DUMMYFUNCTION("""COMPUTED_VALUE"""),"Knits")</f>
        <v>Knits</v>
      </c>
    </row>
    <row r="1642">
      <c r="A1642" s="8">
        <f>IFERROR(__xludf.DUMMYFUNCTION("""COMPUTED_VALUE"""),2168.0)</f>
        <v>2168</v>
      </c>
      <c r="B1642" s="8">
        <f>IFERROR(__xludf.DUMMYFUNCTION("""COMPUTED_VALUE"""),867.0)</f>
        <v>867</v>
      </c>
      <c r="C1642" s="8">
        <f>IFERROR(__xludf.DUMMYFUNCTION("""COMPUTED_VALUE"""),36.0)</f>
        <v>36</v>
      </c>
      <c r="D1642" s="8" t="str">
        <f>IFERROR(__xludf.DUMMYFUNCTION("""COMPUTED_VALUE"""),"Beautiful")</f>
        <v>Beautiful</v>
      </c>
      <c r="E1642" s="8" t="str">
        <f>IFERROR(__xludf.DUMMYFUNCTION("""COMPUTED_VALUE"""),"Fits great! love soft material. love with skinny jeans brown boots")</f>
        <v>Fits great! love soft material. love with skinny jeans brown boots</v>
      </c>
      <c r="F1642" s="8">
        <f>IFERROR(__xludf.DUMMYFUNCTION("""COMPUTED_VALUE"""),5.0)</f>
        <v>5</v>
      </c>
      <c r="G1642" s="8">
        <f>IFERROR(__xludf.DUMMYFUNCTION("""COMPUTED_VALUE"""),1.0)</f>
        <v>1</v>
      </c>
      <c r="H1642" s="8">
        <f>IFERROR(__xludf.DUMMYFUNCTION("""COMPUTED_VALUE"""),0.0)</f>
        <v>0</v>
      </c>
      <c r="I1642" s="8" t="str">
        <f>IFERROR(__xludf.DUMMYFUNCTION("""COMPUTED_VALUE"""),"General Petite")</f>
        <v>General Petite</v>
      </c>
      <c r="J1642" s="8" t="str">
        <f>IFERROR(__xludf.DUMMYFUNCTION("""COMPUTED_VALUE"""),"Tops")</f>
        <v>Tops</v>
      </c>
      <c r="K1642" s="8" t="str">
        <f>IFERROR(__xludf.DUMMYFUNCTION("""COMPUTED_VALUE"""),"Knits")</f>
        <v>Knits</v>
      </c>
    </row>
    <row r="1643">
      <c r="A1643" s="8">
        <f>IFERROR(__xludf.DUMMYFUNCTION("""COMPUTED_VALUE"""),2169.0)</f>
        <v>2169</v>
      </c>
      <c r="B1643" s="8">
        <f>IFERROR(__xludf.DUMMYFUNCTION("""COMPUTED_VALUE"""),1086.0)</f>
        <v>1086</v>
      </c>
      <c r="C1643" s="8">
        <f>IFERROR(__xludf.DUMMYFUNCTION("""COMPUTED_VALUE"""),36.0)</f>
        <v>36</v>
      </c>
      <c r="D1643" s="8"/>
      <c r="E1643" s="8" t="str">
        <f>IFERROR(__xludf.DUMMYFUNCTION("""COMPUTED_VALUE"""),"I really like this dress. i'm 5'8"" and about 135 so i bought a small. i am small chested, so i plan on wearing a bandeau bra underneath it because the arm holes are a little low. the material is very nice though. perfect for dressing up with cute jewelry"&amp;"!")</f>
        <v>I really like this dress. i'm 5'8" and about 135 so i bought a small. i am small chested, so i plan on wearing a bandeau bra underneath it because the arm holes are a little low. the material is very nice though. perfect for dressing up with cute jewelry!</v>
      </c>
      <c r="F1643" s="8">
        <f>IFERROR(__xludf.DUMMYFUNCTION("""COMPUTED_VALUE"""),4.0)</f>
        <v>4</v>
      </c>
      <c r="G1643" s="8">
        <f>IFERROR(__xludf.DUMMYFUNCTION("""COMPUTED_VALUE"""),1.0)</f>
        <v>1</v>
      </c>
      <c r="H1643" s="8">
        <f>IFERROR(__xludf.DUMMYFUNCTION("""COMPUTED_VALUE"""),8.0)</f>
        <v>8</v>
      </c>
      <c r="I1643" s="8" t="str">
        <f>IFERROR(__xludf.DUMMYFUNCTION("""COMPUTED_VALUE"""),"General Petite")</f>
        <v>General Petite</v>
      </c>
      <c r="J1643" s="8" t="str">
        <f>IFERROR(__xludf.DUMMYFUNCTION("""COMPUTED_VALUE"""),"Dresses")</f>
        <v>Dresses</v>
      </c>
      <c r="K1643" s="8" t="str">
        <f>IFERROR(__xludf.DUMMYFUNCTION("""COMPUTED_VALUE"""),"Dresses")</f>
        <v>Dresses</v>
      </c>
    </row>
    <row r="1644">
      <c r="A1644" s="8">
        <f>IFERROR(__xludf.DUMMYFUNCTION("""COMPUTED_VALUE"""),2170.0)</f>
        <v>2170</v>
      </c>
      <c r="B1644" s="8">
        <f>IFERROR(__xludf.DUMMYFUNCTION("""COMPUTED_VALUE"""),1094.0)</f>
        <v>1094</v>
      </c>
      <c r="C1644" s="8">
        <f>IFERROR(__xludf.DUMMYFUNCTION("""COMPUTED_VALUE"""),39.0)</f>
        <v>39</v>
      </c>
      <c r="D1644" s="8" t="str">
        <f>IFERROR(__xludf.DUMMYFUNCTION("""COMPUTED_VALUE"""),"Great summer dress")</f>
        <v>Great summer dress</v>
      </c>
      <c r="E1644" s="8" t="str">
        <f>IFERROR(__xludf.DUMMYFUNCTION("""COMPUTED_VALUE"""),"I bought this dress in a sm for a cruise i'm taking soon. i don't have much of a waist, kind of straight like a board, and this dress is very flattering on my figure. the skirt fits snug and the top drapes nicely over my waist. very pretty and flowy. i bo"&amp;"ught the multi color stripe dress and the vertical stripes enhance the beauty of the dress.")</f>
        <v>I bought this dress in a sm for a cruise i'm taking soon. i don't have much of a waist, kind of straight like a board, and this dress is very flattering on my figure. the skirt fits snug and the top drapes nicely over my waist. very pretty and flowy. i bought the multi color stripe dress and the vertical stripes enhance the beauty of the dress.</v>
      </c>
      <c r="F1644" s="8">
        <f>IFERROR(__xludf.DUMMYFUNCTION("""COMPUTED_VALUE"""),5.0)</f>
        <v>5</v>
      </c>
      <c r="G1644" s="8">
        <f>IFERROR(__xludf.DUMMYFUNCTION("""COMPUTED_VALUE"""),1.0)</f>
        <v>1</v>
      </c>
      <c r="H1644" s="8">
        <f>IFERROR(__xludf.DUMMYFUNCTION("""COMPUTED_VALUE"""),0.0)</f>
        <v>0</v>
      </c>
      <c r="I1644" s="8" t="str">
        <f>IFERROR(__xludf.DUMMYFUNCTION("""COMPUTED_VALUE"""),"General")</f>
        <v>General</v>
      </c>
      <c r="J1644" s="8" t="str">
        <f>IFERROR(__xludf.DUMMYFUNCTION("""COMPUTED_VALUE"""),"Dresses")</f>
        <v>Dresses</v>
      </c>
      <c r="K1644" s="8" t="str">
        <f>IFERROR(__xludf.DUMMYFUNCTION("""COMPUTED_VALUE"""),"Dresses")</f>
        <v>Dresses</v>
      </c>
    </row>
    <row r="1645">
      <c r="A1645" s="8">
        <f>IFERROR(__xludf.DUMMYFUNCTION("""COMPUTED_VALUE"""),2171.0)</f>
        <v>2171</v>
      </c>
      <c r="B1645" s="8">
        <f>IFERROR(__xludf.DUMMYFUNCTION("""COMPUTED_VALUE"""),876.0)</f>
        <v>876</v>
      </c>
      <c r="C1645" s="8">
        <f>IFERROR(__xludf.DUMMYFUNCTION("""COMPUTED_VALUE"""),51.0)</f>
        <v>51</v>
      </c>
      <c r="D1645" s="8" t="str">
        <f>IFERROR(__xludf.DUMMYFUNCTION("""COMPUTED_VALUE"""),"Lovely detail")</f>
        <v>Lovely detail</v>
      </c>
      <c r="E1645" s="8" t="str">
        <f>IFERROR(__xludf.DUMMYFUNCTION("""COMPUTED_VALUE"""),"I was pleasantly surprised when i tried this on. i tried it because of the detail but didn't hold out much hope because it looked frumpy on the hanger. i was very wrong. it fits beautifully. it drapes nicely, hugs the shoulders perfectly and doesn't droop"&amp;" open due to the embellishments. there is a tiny closure where the fabric crosses in the front so you are not exposed. i liked that feature very much. the sleeves are 3/4 on me, but i like it - nice change of pace. this is a very different style")</f>
        <v>I was pleasantly surprised when i tried this on. i tried it because of the detail but didn't hold out much hope because it looked frumpy on the hanger. i was very wrong. it fits beautifully. it drapes nicely, hugs the shoulders perfectly and doesn't droop open due to the embellishments. there is a tiny closure where the fabric crosses in the front so you are not exposed. i liked that feature very much. the sleeves are 3/4 on me, but i like it - nice change of pace. this is a very different style</v>
      </c>
      <c r="F1645" s="8">
        <f>IFERROR(__xludf.DUMMYFUNCTION("""COMPUTED_VALUE"""),4.0)</f>
        <v>4</v>
      </c>
      <c r="G1645" s="8">
        <f>IFERROR(__xludf.DUMMYFUNCTION("""COMPUTED_VALUE"""),1.0)</f>
        <v>1</v>
      </c>
      <c r="H1645" s="8">
        <f>IFERROR(__xludf.DUMMYFUNCTION("""COMPUTED_VALUE"""),0.0)</f>
        <v>0</v>
      </c>
      <c r="I1645" s="8" t="str">
        <f>IFERROR(__xludf.DUMMYFUNCTION("""COMPUTED_VALUE"""),"General Petite")</f>
        <v>General Petite</v>
      </c>
      <c r="J1645" s="8" t="str">
        <f>IFERROR(__xludf.DUMMYFUNCTION("""COMPUTED_VALUE"""),"Tops")</f>
        <v>Tops</v>
      </c>
      <c r="K1645" s="8" t="str">
        <f>IFERROR(__xludf.DUMMYFUNCTION("""COMPUTED_VALUE"""),"Knits")</f>
        <v>Knits</v>
      </c>
    </row>
    <row r="1646">
      <c r="A1646" s="8">
        <f>IFERROR(__xludf.DUMMYFUNCTION("""COMPUTED_VALUE"""),2172.0)</f>
        <v>2172</v>
      </c>
      <c r="B1646" s="8">
        <f>IFERROR(__xludf.DUMMYFUNCTION("""COMPUTED_VALUE"""),867.0)</f>
        <v>867</v>
      </c>
      <c r="C1646" s="8">
        <f>IFERROR(__xludf.DUMMYFUNCTION("""COMPUTED_VALUE"""),35.0)</f>
        <v>35</v>
      </c>
      <c r="D1646" s="8" t="str">
        <f>IFERROR(__xludf.DUMMYFUNCTION("""COMPUTED_VALUE"""),"Comfortable top")</f>
        <v>Comfortable top</v>
      </c>
      <c r="E1646" s="8" t="str">
        <f>IFERROR(__xludf.DUMMYFUNCTION("""COMPUTED_VALUE"""),"This top feels great on. it just drapes well and isn't clingy. i refused to buy maternity tops, because i wanted to wear the tops after pregnancy. though i bought this top post pregnancy it would have worked great because of the length.")</f>
        <v>This top feels great on. it just drapes well and isn't clingy. i refused to buy maternity tops, because i wanted to wear the tops after pregnancy. though i bought this top post pregnancy it would have worked great because of the length.</v>
      </c>
      <c r="F1646" s="8">
        <f>IFERROR(__xludf.DUMMYFUNCTION("""COMPUTED_VALUE"""),4.0)</f>
        <v>4</v>
      </c>
      <c r="G1646" s="8">
        <f>IFERROR(__xludf.DUMMYFUNCTION("""COMPUTED_VALUE"""),1.0)</f>
        <v>1</v>
      </c>
      <c r="H1646" s="8">
        <f>IFERROR(__xludf.DUMMYFUNCTION("""COMPUTED_VALUE"""),0.0)</f>
        <v>0</v>
      </c>
      <c r="I1646" s="8" t="str">
        <f>IFERROR(__xludf.DUMMYFUNCTION("""COMPUTED_VALUE"""),"General Petite")</f>
        <v>General Petite</v>
      </c>
      <c r="J1646" s="8" t="str">
        <f>IFERROR(__xludf.DUMMYFUNCTION("""COMPUTED_VALUE"""),"Tops")</f>
        <v>Tops</v>
      </c>
      <c r="K1646" s="8" t="str">
        <f>IFERROR(__xludf.DUMMYFUNCTION("""COMPUTED_VALUE"""),"Knits")</f>
        <v>Knits</v>
      </c>
    </row>
    <row r="1647">
      <c r="A1647" s="8">
        <f>IFERROR(__xludf.DUMMYFUNCTION("""COMPUTED_VALUE"""),2173.0)</f>
        <v>2173</v>
      </c>
      <c r="B1647" s="8">
        <f>IFERROR(__xludf.DUMMYFUNCTION("""COMPUTED_VALUE"""),872.0)</f>
        <v>872</v>
      </c>
      <c r="C1647" s="8">
        <f>IFERROR(__xludf.DUMMYFUNCTION("""COMPUTED_VALUE"""),38.0)</f>
        <v>38</v>
      </c>
      <c r="D1647" s="8" t="str">
        <f>IFERROR(__xludf.DUMMYFUNCTION("""COMPUTED_VALUE"""),"Favorite go to top")</f>
        <v>Favorite go to top</v>
      </c>
      <c r="E1647" s="8" t="str">
        <f>IFERROR(__xludf.DUMMYFUNCTION("""COMPUTED_VALUE"""),"Comfortable casual, hip. i have the black &amp; white color which is a bit thicker than the other colors which i prefer as i recently had a baby and need a little extra fabric. i wish the fabric was a bit softer but the cut is so flattering there was no way i"&amp;" was sending it back. i wish the other colors were in the same thicker fabric and i would have ordered more. my new go to top. the black ribbon on the back is my favorite part.")</f>
        <v>Comfortable casual, hip. i have the black &amp; white color which is a bit thicker than the other colors which i prefer as i recently had a baby and need a little extra fabric. i wish the fabric was a bit softer but the cut is so flattering there was no way i was sending it back. i wish the other colors were in the same thicker fabric and i would have ordered more. my new go to top. the black ribbon on the back is my favorite part.</v>
      </c>
      <c r="F1647" s="8">
        <f>IFERROR(__xludf.DUMMYFUNCTION("""COMPUTED_VALUE"""),5.0)</f>
        <v>5</v>
      </c>
      <c r="G1647" s="8">
        <f>IFERROR(__xludf.DUMMYFUNCTION("""COMPUTED_VALUE"""),1.0)</f>
        <v>1</v>
      </c>
      <c r="H1647" s="8">
        <f>IFERROR(__xludf.DUMMYFUNCTION("""COMPUTED_VALUE"""),0.0)</f>
        <v>0</v>
      </c>
      <c r="I1647" s="8" t="str">
        <f>IFERROR(__xludf.DUMMYFUNCTION("""COMPUTED_VALUE"""),"General")</f>
        <v>General</v>
      </c>
      <c r="J1647" s="8" t="str">
        <f>IFERROR(__xludf.DUMMYFUNCTION("""COMPUTED_VALUE"""),"Tops")</f>
        <v>Tops</v>
      </c>
      <c r="K1647" s="8" t="str">
        <f>IFERROR(__xludf.DUMMYFUNCTION("""COMPUTED_VALUE"""),"Knits")</f>
        <v>Knits</v>
      </c>
    </row>
    <row r="1648">
      <c r="A1648" s="8">
        <f>IFERROR(__xludf.DUMMYFUNCTION("""COMPUTED_VALUE"""),2174.0)</f>
        <v>2174</v>
      </c>
      <c r="B1648" s="8">
        <f>IFERROR(__xludf.DUMMYFUNCTION("""COMPUTED_VALUE"""),1089.0)</f>
        <v>1089</v>
      </c>
      <c r="C1648" s="8">
        <f>IFERROR(__xludf.DUMMYFUNCTION("""COMPUTED_VALUE"""),59.0)</f>
        <v>59</v>
      </c>
      <c r="D1648" s="8"/>
      <c r="E1648" s="8"/>
      <c r="F1648" s="8">
        <f>IFERROR(__xludf.DUMMYFUNCTION("""COMPUTED_VALUE"""),5.0)</f>
        <v>5</v>
      </c>
      <c r="G1648" s="8">
        <f>IFERROR(__xludf.DUMMYFUNCTION("""COMPUTED_VALUE"""),1.0)</f>
        <v>1</v>
      </c>
      <c r="H1648" s="8">
        <f>IFERROR(__xludf.DUMMYFUNCTION("""COMPUTED_VALUE"""),0.0)</f>
        <v>0</v>
      </c>
      <c r="I1648" s="8" t="str">
        <f>IFERROR(__xludf.DUMMYFUNCTION("""COMPUTED_VALUE"""),"General Petite")</f>
        <v>General Petite</v>
      </c>
      <c r="J1648" s="8" t="str">
        <f>IFERROR(__xludf.DUMMYFUNCTION("""COMPUTED_VALUE"""),"Dresses")</f>
        <v>Dresses</v>
      </c>
      <c r="K1648" s="8" t="str">
        <f>IFERROR(__xludf.DUMMYFUNCTION("""COMPUTED_VALUE"""),"Dresses")</f>
        <v>Dresses</v>
      </c>
    </row>
    <row r="1649">
      <c r="A1649" s="8">
        <f>IFERROR(__xludf.DUMMYFUNCTION("""COMPUTED_VALUE"""),2175.0)</f>
        <v>2175</v>
      </c>
      <c r="B1649" s="8">
        <f>IFERROR(__xludf.DUMMYFUNCTION("""COMPUTED_VALUE"""),1072.0)</f>
        <v>1072</v>
      </c>
      <c r="C1649" s="8">
        <f>IFERROR(__xludf.DUMMYFUNCTION("""COMPUTED_VALUE"""),73.0)</f>
        <v>73</v>
      </c>
      <c r="D1649" s="8"/>
      <c r="E1649" s="8" t="str">
        <f>IFERROR(__xludf.DUMMYFUNCTION("""COMPUTED_VALUE"""),"This dress is gorgeous in the photograph. and very pretty when it arrived, however, it is very dark in color. you would only notice the blue in bright light or perhaps outside in the sun. the fit was small. i could not get the tie around the waist to look"&amp;" right and feel comfortable, so sadly i had to return it. 
i applaud retailer for the excellent and attractive packaging. that was almost enough to sell the dress. it came in a very nice white box inside a larger box. tissue paper and fol")</f>
        <v>This dress is gorgeous in the photograph. and very pretty when it arrived, however, it is very dark in color. you would only notice the blue in bright light or perhaps outside in the sun. the fit was small. i could not get the tie around the waist to look right and feel comfortable, so sadly i had to return it. 
i applaud retailer for the excellent and attractive packaging. that was almost enough to sell the dress. it came in a very nice white box inside a larger box. tissue paper and fol</v>
      </c>
      <c r="F1649" s="8">
        <f>IFERROR(__xludf.DUMMYFUNCTION("""COMPUTED_VALUE"""),4.0)</f>
        <v>4</v>
      </c>
      <c r="G1649" s="8">
        <f>IFERROR(__xludf.DUMMYFUNCTION("""COMPUTED_VALUE"""),1.0)</f>
        <v>1</v>
      </c>
      <c r="H1649" s="8">
        <f>IFERROR(__xludf.DUMMYFUNCTION("""COMPUTED_VALUE"""),1.0)</f>
        <v>1</v>
      </c>
      <c r="I1649" s="8" t="str">
        <f>IFERROR(__xludf.DUMMYFUNCTION("""COMPUTED_VALUE"""),"General Petite")</f>
        <v>General Petite</v>
      </c>
      <c r="J1649" s="8" t="str">
        <f>IFERROR(__xludf.DUMMYFUNCTION("""COMPUTED_VALUE"""),"Dresses")</f>
        <v>Dresses</v>
      </c>
      <c r="K1649" s="8" t="str">
        <f>IFERROR(__xludf.DUMMYFUNCTION("""COMPUTED_VALUE"""),"Dresses")</f>
        <v>Dresses</v>
      </c>
    </row>
    <row r="1650">
      <c r="A1650" s="8">
        <f>IFERROR(__xludf.DUMMYFUNCTION("""COMPUTED_VALUE"""),2176.0)</f>
        <v>2176</v>
      </c>
      <c r="B1650" s="8">
        <f>IFERROR(__xludf.DUMMYFUNCTION("""COMPUTED_VALUE"""),867.0)</f>
        <v>867</v>
      </c>
      <c r="C1650" s="8">
        <f>IFERROR(__xludf.DUMMYFUNCTION("""COMPUTED_VALUE"""),63.0)</f>
        <v>63</v>
      </c>
      <c r="D1650" s="8" t="str">
        <f>IFERROR(__xludf.DUMMYFUNCTION("""COMPUTED_VALUE"""),"Cutest ever!")</f>
        <v>Cutest ever!</v>
      </c>
      <c r="E1650" s="8" t="str">
        <f>IFERROR(__xludf.DUMMYFUNCTION("""COMPUTED_VALUE"""),"This is one of the cutest tops i've ever gotten from retailer. the material is very soft and flowing. it fits true to size and hange beautifully. love it. i should have gotten he turquoise one too!")</f>
        <v>This is one of the cutest tops i've ever gotten from retailer. the material is very soft and flowing. it fits true to size and hange beautifully. love it. i should have gotten he turquoise one too!</v>
      </c>
      <c r="F1650" s="8">
        <f>IFERROR(__xludf.DUMMYFUNCTION("""COMPUTED_VALUE"""),5.0)</f>
        <v>5</v>
      </c>
      <c r="G1650" s="8">
        <f>IFERROR(__xludf.DUMMYFUNCTION("""COMPUTED_VALUE"""),1.0)</f>
        <v>1</v>
      </c>
      <c r="H1650" s="8">
        <f>IFERROR(__xludf.DUMMYFUNCTION("""COMPUTED_VALUE"""),1.0)</f>
        <v>1</v>
      </c>
      <c r="I1650" s="8" t="str">
        <f>IFERROR(__xludf.DUMMYFUNCTION("""COMPUTED_VALUE"""),"General Petite")</f>
        <v>General Petite</v>
      </c>
      <c r="J1650" s="8" t="str">
        <f>IFERROR(__xludf.DUMMYFUNCTION("""COMPUTED_VALUE"""),"Tops")</f>
        <v>Tops</v>
      </c>
      <c r="K1650" s="8" t="str">
        <f>IFERROR(__xludf.DUMMYFUNCTION("""COMPUTED_VALUE"""),"Knits")</f>
        <v>Knits</v>
      </c>
    </row>
    <row r="1651">
      <c r="A1651" s="8">
        <f>IFERROR(__xludf.DUMMYFUNCTION("""COMPUTED_VALUE"""),2177.0)</f>
        <v>2177</v>
      </c>
      <c r="B1651" s="8">
        <f>IFERROR(__xludf.DUMMYFUNCTION("""COMPUTED_VALUE"""),872.0)</f>
        <v>872</v>
      </c>
      <c r="C1651" s="8">
        <f>IFERROR(__xludf.DUMMYFUNCTION("""COMPUTED_VALUE"""),28.0)</f>
        <v>28</v>
      </c>
      <c r="D1651" s="8"/>
      <c r="E1651" s="8" t="str">
        <f>IFERROR(__xludf.DUMMYFUNCTION("""COMPUTED_VALUE"""),"Love this shirt. it fits great and can be easily layered!")</f>
        <v>Love this shirt. it fits great and can be easily layered!</v>
      </c>
      <c r="F1651" s="8">
        <f>IFERROR(__xludf.DUMMYFUNCTION("""COMPUTED_VALUE"""),5.0)</f>
        <v>5</v>
      </c>
      <c r="G1651" s="8">
        <f>IFERROR(__xludf.DUMMYFUNCTION("""COMPUTED_VALUE"""),1.0)</f>
        <v>1</v>
      </c>
      <c r="H1651" s="8">
        <f>IFERROR(__xludf.DUMMYFUNCTION("""COMPUTED_VALUE"""),1.0)</f>
        <v>1</v>
      </c>
      <c r="I1651" s="8" t="str">
        <f>IFERROR(__xludf.DUMMYFUNCTION("""COMPUTED_VALUE"""),"General")</f>
        <v>General</v>
      </c>
      <c r="J1651" s="8" t="str">
        <f>IFERROR(__xludf.DUMMYFUNCTION("""COMPUTED_VALUE"""),"Tops")</f>
        <v>Tops</v>
      </c>
      <c r="K1651" s="8" t="str">
        <f>IFERROR(__xludf.DUMMYFUNCTION("""COMPUTED_VALUE"""),"Knits")</f>
        <v>Knits</v>
      </c>
    </row>
    <row r="1652">
      <c r="A1652" s="8">
        <f>IFERROR(__xludf.DUMMYFUNCTION("""COMPUTED_VALUE"""),2178.0)</f>
        <v>2178</v>
      </c>
      <c r="B1652" s="8">
        <f>IFERROR(__xludf.DUMMYFUNCTION("""COMPUTED_VALUE"""),872.0)</f>
        <v>872</v>
      </c>
      <c r="C1652" s="8">
        <f>IFERROR(__xludf.DUMMYFUNCTION("""COMPUTED_VALUE"""),32.0)</f>
        <v>32</v>
      </c>
      <c r="D1652" s="8"/>
      <c r="E1652" s="8" t="str">
        <f>IFERROR(__xludf.DUMMYFUNCTION("""COMPUTED_VALUE"""),"Agree with the other reviewers. this top is excellent. great length, weight &amp; bounce to it, flattering without being clingy. i'm 5'10"" with a long torso, so i'm always in the market for tops with longer hemlines and decent material without being too tigh"&amp;"t or clingy. this one i love! i bought it in black, then went back for the turquoise, then two more... if that doesn't tell you what a great shirt this is, i don't know what will.")</f>
        <v>Agree with the other reviewers. this top is excellent. great length, weight &amp; bounce to it, flattering without being clingy. i'm 5'10" with a long torso, so i'm always in the market for tops with longer hemlines and decent material without being too tight or clingy. this one i love! i bought it in black, then went back for the turquoise, then two more... if that doesn't tell you what a great shirt this is, i don't know what will.</v>
      </c>
      <c r="F1652" s="8">
        <f>IFERROR(__xludf.DUMMYFUNCTION("""COMPUTED_VALUE"""),5.0)</f>
        <v>5</v>
      </c>
      <c r="G1652" s="8">
        <f>IFERROR(__xludf.DUMMYFUNCTION("""COMPUTED_VALUE"""),1.0)</f>
        <v>1</v>
      </c>
      <c r="H1652" s="8">
        <f>IFERROR(__xludf.DUMMYFUNCTION("""COMPUTED_VALUE"""),0.0)</f>
        <v>0</v>
      </c>
      <c r="I1652" s="8" t="str">
        <f>IFERROR(__xludf.DUMMYFUNCTION("""COMPUTED_VALUE"""),"General")</f>
        <v>General</v>
      </c>
      <c r="J1652" s="8" t="str">
        <f>IFERROR(__xludf.DUMMYFUNCTION("""COMPUTED_VALUE"""),"Tops")</f>
        <v>Tops</v>
      </c>
      <c r="K1652" s="8" t="str">
        <f>IFERROR(__xludf.DUMMYFUNCTION("""COMPUTED_VALUE"""),"Knits")</f>
        <v>Knits</v>
      </c>
    </row>
    <row r="1653">
      <c r="A1653" s="8">
        <f>IFERROR(__xludf.DUMMYFUNCTION("""COMPUTED_VALUE"""),2181.0)</f>
        <v>2181</v>
      </c>
      <c r="B1653" s="8">
        <f>IFERROR(__xludf.DUMMYFUNCTION("""COMPUTED_VALUE"""),872.0)</f>
        <v>872</v>
      </c>
      <c r="C1653" s="8">
        <f>IFERROR(__xludf.DUMMYFUNCTION("""COMPUTED_VALUE"""),42.0)</f>
        <v>42</v>
      </c>
      <c r="D1653" s="8"/>
      <c r="E1653" s="8" t="str">
        <f>IFERROR(__xludf.DUMMYFUNCTION("""COMPUTED_VALUE"""),"I need one in every color. so super soft.")</f>
        <v>I need one in every color. so super soft.</v>
      </c>
      <c r="F1653" s="8">
        <f>IFERROR(__xludf.DUMMYFUNCTION("""COMPUTED_VALUE"""),5.0)</f>
        <v>5</v>
      </c>
      <c r="G1653" s="8">
        <f>IFERROR(__xludf.DUMMYFUNCTION("""COMPUTED_VALUE"""),1.0)</f>
        <v>1</v>
      </c>
      <c r="H1653" s="8">
        <f>IFERROR(__xludf.DUMMYFUNCTION("""COMPUTED_VALUE"""),1.0)</f>
        <v>1</v>
      </c>
      <c r="I1653" s="8" t="str">
        <f>IFERROR(__xludf.DUMMYFUNCTION("""COMPUTED_VALUE"""),"General")</f>
        <v>General</v>
      </c>
      <c r="J1653" s="8" t="str">
        <f>IFERROR(__xludf.DUMMYFUNCTION("""COMPUTED_VALUE"""),"Tops")</f>
        <v>Tops</v>
      </c>
      <c r="K1653" s="8" t="str">
        <f>IFERROR(__xludf.DUMMYFUNCTION("""COMPUTED_VALUE"""),"Knits")</f>
        <v>Knits</v>
      </c>
    </row>
    <row r="1654">
      <c r="A1654" s="8">
        <f>IFERROR(__xludf.DUMMYFUNCTION("""COMPUTED_VALUE"""),2182.0)</f>
        <v>2182</v>
      </c>
      <c r="B1654" s="8">
        <f>IFERROR(__xludf.DUMMYFUNCTION("""COMPUTED_VALUE"""),876.0)</f>
        <v>876</v>
      </c>
      <c r="C1654" s="8">
        <f>IFERROR(__xludf.DUMMYFUNCTION("""COMPUTED_VALUE"""),48.0)</f>
        <v>48</v>
      </c>
      <c r="D1654" s="8"/>
      <c r="E1654" s="8" t="str">
        <f>IFERROR(__xludf.DUMMYFUNCTION("""COMPUTED_VALUE"""),"Very pretty blouse with nice detail. needs to be worn with a camisole however.")</f>
        <v>Very pretty blouse with nice detail. needs to be worn with a camisole however.</v>
      </c>
      <c r="F1654" s="8">
        <f>IFERROR(__xludf.DUMMYFUNCTION("""COMPUTED_VALUE"""),4.0)</f>
        <v>4</v>
      </c>
      <c r="G1654" s="8">
        <f>IFERROR(__xludf.DUMMYFUNCTION("""COMPUTED_VALUE"""),1.0)</f>
        <v>1</v>
      </c>
      <c r="H1654" s="8">
        <f>IFERROR(__xludf.DUMMYFUNCTION("""COMPUTED_VALUE"""),0.0)</f>
        <v>0</v>
      </c>
      <c r="I1654" s="8" t="str">
        <f>IFERROR(__xludf.DUMMYFUNCTION("""COMPUTED_VALUE"""),"General Petite")</f>
        <v>General Petite</v>
      </c>
      <c r="J1654" s="8" t="str">
        <f>IFERROR(__xludf.DUMMYFUNCTION("""COMPUTED_VALUE"""),"Tops")</f>
        <v>Tops</v>
      </c>
      <c r="K1654" s="8" t="str">
        <f>IFERROR(__xludf.DUMMYFUNCTION("""COMPUTED_VALUE"""),"Knits")</f>
        <v>Knits</v>
      </c>
    </row>
    <row r="1655">
      <c r="A1655" s="8">
        <f>IFERROR(__xludf.DUMMYFUNCTION("""COMPUTED_VALUE"""),2183.0)</f>
        <v>2183</v>
      </c>
      <c r="B1655" s="8">
        <f>IFERROR(__xludf.DUMMYFUNCTION("""COMPUTED_VALUE"""),872.0)</f>
        <v>872</v>
      </c>
      <c r="C1655" s="8">
        <f>IFERROR(__xludf.DUMMYFUNCTION("""COMPUTED_VALUE"""),32.0)</f>
        <v>32</v>
      </c>
      <c r="D1655" s="8"/>
      <c r="E1655" s="8" t="str">
        <f>IFERROR(__xludf.DUMMYFUNCTION("""COMPUTED_VALUE"""),"Got this shirt on sale and i hope they restock so i can buy more. super comfy and flattering at the same time. i have some extra baby weight and it camouflages that well. i'm normally a 6-8 but i'm an 8-10 right now and the medium was perfect. i'm 5'6"" a"&amp;"nd its plenty long enough to wear with leggings. a great shirt and i'll be sure to watch out for this one to come back. please restock!")</f>
        <v>Got this shirt on sale and i hope they restock so i can buy more. super comfy and flattering at the same time. i have some extra baby weight and it camouflages that well. i'm normally a 6-8 but i'm an 8-10 right now and the medium was perfect. i'm 5'6" and its plenty long enough to wear with leggings. a great shirt and i'll be sure to watch out for this one to come back. please restock!</v>
      </c>
      <c r="F1655" s="8">
        <f>IFERROR(__xludf.DUMMYFUNCTION("""COMPUTED_VALUE"""),5.0)</f>
        <v>5</v>
      </c>
      <c r="G1655" s="8">
        <f>IFERROR(__xludf.DUMMYFUNCTION("""COMPUTED_VALUE"""),1.0)</f>
        <v>1</v>
      </c>
      <c r="H1655" s="8">
        <f>IFERROR(__xludf.DUMMYFUNCTION("""COMPUTED_VALUE"""),0.0)</f>
        <v>0</v>
      </c>
      <c r="I1655" s="8" t="str">
        <f>IFERROR(__xludf.DUMMYFUNCTION("""COMPUTED_VALUE"""),"General")</f>
        <v>General</v>
      </c>
      <c r="J1655" s="8" t="str">
        <f>IFERROR(__xludf.DUMMYFUNCTION("""COMPUTED_VALUE"""),"Tops")</f>
        <v>Tops</v>
      </c>
      <c r="K1655" s="8" t="str">
        <f>IFERROR(__xludf.DUMMYFUNCTION("""COMPUTED_VALUE"""),"Knits")</f>
        <v>Knits</v>
      </c>
    </row>
    <row r="1656">
      <c r="A1656" s="8">
        <f>IFERROR(__xludf.DUMMYFUNCTION("""COMPUTED_VALUE"""),2184.0)</f>
        <v>2184</v>
      </c>
      <c r="B1656" s="8">
        <f>IFERROR(__xludf.DUMMYFUNCTION("""COMPUTED_VALUE"""),1086.0)</f>
        <v>1086</v>
      </c>
      <c r="C1656" s="8">
        <f>IFERROR(__xludf.DUMMYFUNCTION("""COMPUTED_VALUE"""),52.0)</f>
        <v>52</v>
      </c>
      <c r="D1656" s="8" t="str">
        <f>IFERROR(__xludf.DUMMYFUNCTION("""COMPUTED_VALUE"""),"Perfection")</f>
        <v>Perfection</v>
      </c>
      <c r="E1656" s="8" t="str">
        <f>IFERROR(__xludf.DUMMYFUNCTION("""COMPUTED_VALUE"""),"Easy to wear.  the fabric is super soft and the shape is very flattering.   i really like the shirt hem at the bottom.")</f>
        <v>Easy to wear.  the fabric is super soft and the shape is very flattering.   i really like the shirt hem at the bottom.</v>
      </c>
      <c r="F1656" s="8">
        <f>IFERROR(__xludf.DUMMYFUNCTION("""COMPUTED_VALUE"""),5.0)</f>
        <v>5</v>
      </c>
      <c r="G1656" s="8">
        <f>IFERROR(__xludf.DUMMYFUNCTION("""COMPUTED_VALUE"""),1.0)</f>
        <v>1</v>
      </c>
      <c r="H1656" s="8">
        <f>IFERROR(__xludf.DUMMYFUNCTION("""COMPUTED_VALUE"""),9.0)</f>
        <v>9</v>
      </c>
      <c r="I1656" s="8" t="str">
        <f>IFERROR(__xludf.DUMMYFUNCTION("""COMPUTED_VALUE"""),"General Petite")</f>
        <v>General Petite</v>
      </c>
      <c r="J1656" s="8" t="str">
        <f>IFERROR(__xludf.DUMMYFUNCTION("""COMPUTED_VALUE"""),"Dresses")</f>
        <v>Dresses</v>
      </c>
      <c r="K1656" s="8" t="str">
        <f>IFERROR(__xludf.DUMMYFUNCTION("""COMPUTED_VALUE"""),"Dresses")</f>
        <v>Dresses</v>
      </c>
    </row>
    <row r="1657">
      <c r="A1657" s="8">
        <f>IFERROR(__xludf.DUMMYFUNCTION("""COMPUTED_VALUE"""),2185.0)</f>
        <v>2185</v>
      </c>
      <c r="B1657" s="8">
        <f>IFERROR(__xludf.DUMMYFUNCTION("""COMPUTED_VALUE"""),146.0)</f>
        <v>146</v>
      </c>
      <c r="C1657" s="8">
        <f>IFERROR(__xludf.DUMMYFUNCTION("""COMPUTED_VALUE"""),31.0)</f>
        <v>31</v>
      </c>
      <c r="D1657" s="8"/>
      <c r="E1657" s="8" t="str">
        <f>IFERROR(__xludf.DUMMYFUNCTION("""COMPUTED_VALUE"""),"Love these pajama bottoms. they are so comfortable and the print is fun and unique. i highly recommend. they run true to size and have a great length. they look short on the model but mine are perfect.")</f>
        <v>Love these pajama bottoms. they are so comfortable and the print is fun and unique. i highly recommend. they run true to size and have a great length. they look short on the model but mine are perfect.</v>
      </c>
      <c r="F1657" s="8">
        <f>IFERROR(__xludf.DUMMYFUNCTION("""COMPUTED_VALUE"""),5.0)</f>
        <v>5</v>
      </c>
      <c r="G1657" s="8">
        <f>IFERROR(__xludf.DUMMYFUNCTION("""COMPUTED_VALUE"""),1.0)</f>
        <v>1</v>
      </c>
      <c r="H1657" s="8">
        <f>IFERROR(__xludf.DUMMYFUNCTION("""COMPUTED_VALUE"""),10.0)</f>
        <v>10</v>
      </c>
      <c r="I1657" s="8" t="str">
        <f>IFERROR(__xludf.DUMMYFUNCTION("""COMPUTED_VALUE"""),"General Petite")</f>
        <v>General Petite</v>
      </c>
      <c r="J1657" s="8" t="str">
        <f>IFERROR(__xludf.DUMMYFUNCTION("""COMPUTED_VALUE"""),"Intimate")</f>
        <v>Intimate</v>
      </c>
      <c r="K1657" s="8" t="str">
        <f>IFERROR(__xludf.DUMMYFUNCTION("""COMPUTED_VALUE"""),"Lounge")</f>
        <v>Lounge</v>
      </c>
    </row>
    <row r="1658">
      <c r="A1658" s="8">
        <f>IFERROR(__xludf.DUMMYFUNCTION("""COMPUTED_VALUE"""),2186.0)</f>
        <v>2186</v>
      </c>
      <c r="B1658" s="8">
        <f>IFERROR(__xludf.DUMMYFUNCTION("""COMPUTED_VALUE"""),872.0)</f>
        <v>872</v>
      </c>
      <c r="C1658" s="8">
        <f>IFERROR(__xludf.DUMMYFUNCTION("""COMPUTED_VALUE"""),32.0)</f>
        <v>32</v>
      </c>
      <c r="D1658" s="8" t="str">
        <f>IFERROR(__xludf.DUMMYFUNCTION("""COMPUTED_VALUE"""),"Perfection")</f>
        <v>Perfection</v>
      </c>
      <c r="E1658" s="8" t="str">
        <f>IFERROR(__xludf.DUMMYFUNCTION("""COMPUTED_VALUE"""),"I almost never take the time to write reviews but this shirt is amazing... it's a super soft, stretchy, substantial fabric that is incredibly flattering. it falls perfectly and is insanely comfortable. i am 5'5"" 120 lbs and usually wear an xs or s in ret"&amp;"ailer tops... i went with the xs and it is a perfect fit. love it so much i bought it in 4 colors... i am now completely broke but these shirts will be in constant rotation.")</f>
        <v>I almost never take the time to write reviews but this shirt is amazing... it's a super soft, stretchy, substantial fabric that is incredibly flattering. it falls perfectly and is insanely comfortable. i am 5'5" 120 lbs and usually wear an xs or s in retailer tops... i went with the xs and it is a perfect fit. love it so much i bought it in 4 colors... i am now completely broke but these shirts will be in constant rotation.</v>
      </c>
      <c r="F1658" s="8">
        <f>IFERROR(__xludf.DUMMYFUNCTION("""COMPUTED_VALUE"""),5.0)</f>
        <v>5</v>
      </c>
      <c r="G1658" s="8">
        <f>IFERROR(__xludf.DUMMYFUNCTION("""COMPUTED_VALUE"""),1.0)</f>
        <v>1</v>
      </c>
      <c r="H1658" s="8">
        <f>IFERROR(__xludf.DUMMYFUNCTION("""COMPUTED_VALUE"""),0.0)</f>
        <v>0</v>
      </c>
      <c r="I1658" s="8" t="str">
        <f>IFERROR(__xludf.DUMMYFUNCTION("""COMPUTED_VALUE"""),"General")</f>
        <v>General</v>
      </c>
      <c r="J1658" s="8" t="str">
        <f>IFERROR(__xludf.DUMMYFUNCTION("""COMPUTED_VALUE"""),"Tops")</f>
        <v>Tops</v>
      </c>
      <c r="K1658" s="8" t="str">
        <f>IFERROR(__xludf.DUMMYFUNCTION("""COMPUTED_VALUE"""),"Knits")</f>
        <v>Knits</v>
      </c>
    </row>
    <row r="1659">
      <c r="A1659" s="8">
        <f>IFERROR(__xludf.DUMMYFUNCTION("""COMPUTED_VALUE"""),2187.0)</f>
        <v>2187</v>
      </c>
      <c r="B1659" s="8">
        <f>IFERROR(__xludf.DUMMYFUNCTION("""COMPUTED_VALUE"""),867.0)</f>
        <v>867</v>
      </c>
      <c r="C1659" s="8">
        <f>IFERROR(__xludf.DUMMYFUNCTION("""COMPUTED_VALUE"""),51.0)</f>
        <v>51</v>
      </c>
      <c r="D1659" s="8" t="str">
        <f>IFERROR(__xludf.DUMMYFUNCTION("""COMPUTED_VALUE"""),"Very pretty top")</f>
        <v>Very pretty top</v>
      </c>
      <c r="E1659" s="8" t="str">
        <f>IFERROR(__xludf.DUMMYFUNCTION("""COMPUTED_VALUE"""),"This is a beautiful top, however, my top did not match the one in the picture, it's so odd, the stripes are completely different, it's ok, because it's very pretty, but i do like the one pictured better. it's too short on me for leggings and boots, but it"&amp;"'s great with skinny jeans. very pretty and soft material.")</f>
        <v>This is a beautiful top, however, my top did not match the one in the picture, it's so odd, the stripes are completely different, it's ok, because it's very pretty, but i do like the one pictured better. it's too short on me for leggings and boots, but it's great with skinny jeans. very pretty and soft material.</v>
      </c>
      <c r="F1659" s="8">
        <f>IFERROR(__xludf.DUMMYFUNCTION("""COMPUTED_VALUE"""),4.0)</f>
        <v>4</v>
      </c>
      <c r="G1659" s="8">
        <f>IFERROR(__xludf.DUMMYFUNCTION("""COMPUTED_VALUE"""),1.0)</f>
        <v>1</v>
      </c>
      <c r="H1659" s="8">
        <f>IFERROR(__xludf.DUMMYFUNCTION("""COMPUTED_VALUE"""),0.0)</f>
        <v>0</v>
      </c>
      <c r="I1659" s="8" t="str">
        <f>IFERROR(__xludf.DUMMYFUNCTION("""COMPUTED_VALUE"""),"General Petite")</f>
        <v>General Petite</v>
      </c>
      <c r="J1659" s="8" t="str">
        <f>IFERROR(__xludf.DUMMYFUNCTION("""COMPUTED_VALUE"""),"Tops")</f>
        <v>Tops</v>
      </c>
      <c r="K1659" s="8" t="str">
        <f>IFERROR(__xludf.DUMMYFUNCTION("""COMPUTED_VALUE"""),"Knits")</f>
        <v>Knits</v>
      </c>
    </row>
    <row r="1660">
      <c r="A1660" s="8">
        <f>IFERROR(__xludf.DUMMYFUNCTION("""COMPUTED_VALUE"""),2188.0)</f>
        <v>2188</v>
      </c>
      <c r="B1660" s="8">
        <f>IFERROR(__xludf.DUMMYFUNCTION("""COMPUTED_VALUE"""),984.0)</f>
        <v>984</v>
      </c>
      <c r="C1660" s="8">
        <f>IFERROR(__xludf.DUMMYFUNCTION("""COMPUTED_VALUE"""),40.0)</f>
        <v>40</v>
      </c>
      <c r="D1660" s="8" t="str">
        <f>IFERROR(__xludf.DUMMYFUNCTION("""COMPUTED_VALUE"""),"Perfect denim jacket")</f>
        <v>Perfect denim jacket</v>
      </c>
      <c r="E1660" s="8" t="str">
        <f>IFERROR(__xludf.DUMMYFUNCTION("""COMPUTED_VALUE"""),"I am so glad i had read the other reviews of this jacket which prompted me to order. great fit and cut with a hint of stretch, nice styling details, great vintage color. i wasn't in love with the price but after receiving the jacket i would gladly pay the"&amp;" price again. will definitely be in my wardrobe rotation for years to come!")</f>
        <v>I am so glad i had read the other reviews of this jacket which prompted me to order. great fit and cut with a hint of stretch, nice styling details, great vintage color. i wasn't in love with the price but after receiving the jacket i would gladly pay the price again. will definitely be in my wardrobe rotation for years to come!</v>
      </c>
      <c r="F1660" s="8">
        <f>IFERROR(__xludf.DUMMYFUNCTION("""COMPUTED_VALUE"""),5.0)</f>
        <v>5</v>
      </c>
      <c r="G1660" s="8">
        <f>IFERROR(__xludf.DUMMYFUNCTION("""COMPUTED_VALUE"""),1.0)</f>
        <v>1</v>
      </c>
      <c r="H1660" s="8">
        <f>IFERROR(__xludf.DUMMYFUNCTION("""COMPUTED_VALUE"""),1.0)</f>
        <v>1</v>
      </c>
      <c r="I1660" s="8" t="str">
        <f>IFERROR(__xludf.DUMMYFUNCTION("""COMPUTED_VALUE"""),"General")</f>
        <v>General</v>
      </c>
      <c r="J1660" s="8" t="str">
        <f>IFERROR(__xludf.DUMMYFUNCTION("""COMPUTED_VALUE"""),"Jackets")</f>
        <v>Jackets</v>
      </c>
      <c r="K1660" s="8" t="str">
        <f>IFERROR(__xludf.DUMMYFUNCTION("""COMPUTED_VALUE"""),"Jackets")</f>
        <v>Jackets</v>
      </c>
    </row>
    <row r="1661">
      <c r="A1661" s="8">
        <f>IFERROR(__xludf.DUMMYFUNCTION("""COMPUTED_VALUE"""),2189.0)</f>
        <v>2189</v>
      </c>
      <c r="B1661" s="8">
        <f>IFERROR(__xludf.DUMMYFUNCTION("""COMPUTED_VALUE"""),872.0)</f>
        <v>872</v>
      </c>
      <c r="C1661" s="8">
        <f>IFERROR(__xludf.DUMMYFUNCTION("""COMPUTED_VALUE"""),35.0)</f>
        <v>35</v>
      </c>
      <c r="D1661" s="8" t="str">
        <f>IFERROR(__xludf.DUMMYFUNCTION("""COMPUTED_VALUE"""),"Everyday staple")</f>
        <v>Everyday staple</v>
      </c>
      <c r="E1661" s="8" t="str">
        <f>IFERROR(__xludf.DUMMYFUNCTION("""COMPUTED_VALUE"""),"This shirt is amazingly soft and has such a great cut, especially for me being curvy. i love to pair this with cute leggings or tight ankle jeans with my boots. recently wore on a casual date with the hubby and he loved it paired with my dark brown leathe"&amp;"r jacket and dark jeans. 
only reason i gave it 4 stars was that the shirt tends to stretch out a little at the bottom is seems as you wear it throughout the day - it is still a great shirt and if possible i would buy more. 
need to bring")</f>
        <v>This shirt is amazingly soft and has such a great cut, especially for me being curvy. i love to pair this with cute leggings or tight ankle jeans with my boots. recently wore on a casual date with the hubby and he loved it paired with my dark brown leather jacket and dark jeans. 
only reason i gave it 4 stars was that the shirt tends to stretch out a little at the bottom is seems as you wear it throughout the day - it is still a great shirt and if possible i would buy more. 
need to bring</v>
      </c>
      <c r="F1661" s="8">
        <f>IFERROR(__xludf.DUMMYFUNCTION("""COMPUTED_VALUE"""),4.0)</f>
        <v>4</v>
      </c>
      <c r="G1661" s="8">
        <f>IFERROR(__xludf.DUMMYFUNCTION("""COMPUTED_VALUE"""),1.0)</f>
        <v>1</v>
      </c>
      <c r="H1661" s="8">
        <f>IFERROR(__xludf.DUMMYFUNCTION("""COMPUTED_VALUE"""),0.0)</f>
        <v>0</v>
      </c>
      <c r="I1661" s="8" t="str">
        <f>IFERROR(__xludf.DUMMYFUNCTION("""COMPUTED_VALUE"""),"General")</f>
        <v>General</v>
      </c>
      <c r="J1661" s="8" t="str">
        <f>IFERROR(__xludf.DUMMYFUNCTION("""COMPUTED_VALUE"""),"Tops")</f>
        <v>Tops</v>
      </c>
      <c r="K1661" s="8" t="str">
        <f>IFERROR(__xludf.DUMMYFUNCTION("""COMPUTED_VALUE"""),"Knits")</f>
        <v>Knits</v>
      </c>
    </row>
    <row r="1662">
      <c r="A1662" s="8">
        <f>IFERROR(__xludf.DUMMYFUNCTION("""COMPUTED_VALUE"""),2190.0)</f>
        <v>2190</v>
      </c>
      <c r="B1662" s="8">
        <f>IFERROR(__xludf.DUMMYFUNCTION("""COMPUTED_VALUE"""),876.0)</f>
        <v>876</v>
      </c>
      <c r="C1662" s="8">
        <f>IFERROR(__xludf.DUMMYFUNCTION("""COMPUTED_VALUE"""),56.0)</f>
        <v>56</v>
      </c>
      <c r="D1662" s="8" t="str">
        <f>IFERROR(__xludf.DUMMYFUNCTION("""COMPUTED_VALUE"""),"Pretty but...")</f>
        <v>Pretty but...</v>
      </c>
      <c r="E1662" s="8" t="str">
        <f>IFERROR(__xludf.DUMMYFUNCTION("""COMPUTED_VALUE"""),"This shirt is pretty but wasn't worth the price in my opinion. the shirt does a pretty decent job of staying closed at least, and the embroidering is pretty, but i could tell the material wouldn't last very long.
also i like my shirts loose fitting, but "&amp;"this one looks more boxy than flowy. i'd probably still buy it if it were cheaper.")</f>
        <v>This shirt is pretty but wasn't worth the price in my opinion. the shirt does a pretty decent job of staying closed at least, and the embroidering is pretty, but i could tell the material wouldn't last very long.
also i like my shirts loose fitting, but this one looks more boxy than flowy. i'd probably still buy it if it were cheaper.</v>
      </c>
      <c r="F1662" s="8">
        <f>IFERROR(__xludf.DUMMYFUNCTION("""COMPUTED_VALUE"""),4.0)</f>
        <v>4</v>
      </c>
      <c r="G1662" s="8">
        <f>IFERROR(__xludf.DUMMYFUNCTION("""COMPUTED_VALUE"""),1.0)</f>
        <v>1</v>
      </c>
      <c r="H1662" s="8">
        <f>IFERROR(__xludf.DUMMYFUNCTION("""COMPUTED_VALUE"""),0.0)</f>
        <v>0</v>
      </c>
      <c r="I1662" s="8" t="str">
        <f>IFERROR(__xludf.DUMMYFUNCTION("""COMPUTED_VALUE"""),"General Petite")</f>
        <v>General Petite</v>
      </c>
      <c r="J1662" s="8" t="str">
        <f>IFERROR(__xludf.DUMMYFUNCTION("""COMPUTED_VALUE"""),"Tops")</f>
        <v>Tops</v>
      </c>
      <c r="K1662" s="8" t="str">
        <f>IFERROR(__xludf.DUMMYFUNCTION("""COMPUTED_VALUE"""),"Knits")</f>
        <v>Knits</v>
      </c>
    </row>
    <row r="1663">
      <c r="A1663" s="8">
        <f>IFERROR(__xludf.DUMMYFUNCTION("""COMPUTED_VALUE"""),2191.0)</f>
        <v>2191</v>
      </c>
      <c r="B1663" s="8">
        <f>IFERROR(__xludf.DUMMYFUNCTION("""COMPUTED_VALUE"""),872.0)</f>
        <v>872</v>
      </c>
      <c r="C1663" s="8">
        <f>IFERROR(__xludf.DUMMYFUNCTION("""COMPUTED_VALUE"""),37.0)</f>
        <v>37</v>
      </c>
      <c r="D1663" s="8" t="str">
        <f>IFERROR(__xludf.DUMMYFUNCTION("""COMPUTED_VALUE"""),"Amazing")</f>
        <v>Amazing</v>
      </c>
      <c r="E1663" s="8" t="str">
        <f>IFERROR(__xludf.DUMMYFUNCTION("""COMPUTED_VALUE"""),"This shirt looks and feels fabulous. i got black and white and received a ton of compliments. wore with boots and leggings and fun jewelry.")</f>
        <v>This shirt looks and feels fabulous. i got black and white and received a ton of compliments. wore with boots and leggings and fun jewelry.</v>
      </c>
      <c r="F1663" s="8">
        <f>IFERROR(__xludf.DUMMYFUNCTION("""COMPUTED_VALUE"""),5.0)</f>
        <v>5</v>
      </c>
      <c r="G1663" s="8">
        <f>IFERROR(__xludf.DUMMYFUNCTION("""COMPUTED_VALUE"""),1.0)</f>
        <v>1</v>
      </c>
      <c r="H1663" s="8">
        <f>IFERROR(__xludf.DUMMYFUNCTION("""COMPUTED_VALUE"""),0.0)</f>
        <v>0</v>
      </c>
      <c r="I1663" s="8" t="str">
        <f>IFERROR(__xludf.DUMMYFUNCTION("""COMPUTED_VALUE"""),"General")</f>
        <v>General</v>
      </c>
      <c r="J1663" s="8" t="str">
        <f>IFERROR(__xludf.DUMMYFUNCTION("""COMPUTED_VALUE"""),"Tops")</f>
        <v>Tops</v>
      </c>
      <c r="K1663" s="8" t="str">
        <f>IFERROR(__xludf.DUMMYFUNCTION("""COMPUTED_VALUE"""),"Knits")</f>
        <v>Knits</v>
      </c>
    </row>
    <row r="1664">
      <c r="A1664" s="8">
        <f>IFERROR(__xludf.DUMMYFUNCTION("""COMPUTED_VALUE"""),2192.0)</f>
        <v>2192</v>
      </c>
      <c r="B1664" s="8">
        <f>IFERROR(__xludf.DUMMYFUNCTION("""COMPUTED_VALUE"""),867.0)</f>
        <v>867</v>
      </c>
      <c r="C1664" s="8">
        <f>IFERROR(__xludf.DUMMYFUNCTION("""COMPUTED_VALUE"""),46.0)</f>
        <v>46</v>
      </c>
      <c r="D1664" s="8"/>
      <c r="E1664" s="8" t="str">
        <f>IFERROR(__xludf.DUMMYFUNCTION("""COMPUTED_VALUE"""),"This is the perfect casual top to wear alone or layered with a cardigan. love it!")</f>
        <v>This is the perfect casual top to wear alone or layered with a cardigan. love it!</v>
      </c>
      <c r="F1664" s="8">
        <f>IFERROR(__xludf.DUMMYFUNCTION("""COMPUTED_VALUE"""),5.0)</f>
        <v>5</v>
      </c>
      <c r="G1664" s="8">
        <f>IFERROR(__xludf.DUMMYFUNCTION("""COMPUTED_VALUE"""),1.0)</f>
        <v>1</v>
      </c>
      <c r="H1664" s="8">
        <f>IFERROR(__xludf.DUMMYFUNCTION("""COMPUTED_VALUE"""),0.0)</f>
        <v>0</v>
      </c>
      <c r="I1664" s="8" t="str">
        <f>IFERROR(__xludf.DUMMYFUNCTION("""COMPUTED_VALUE"""),"General Petite")</f>
        <v>General Petite</v>
      </c>
      <c r="J1664" s="8" t="str">
        <f>IFERROR(__xludf.DUMMYFUNCTION("""COMPUTED_VALUE"""),"Tops")</f>
        <v>Tops</v>
      </c>
      <c r="K1664" s="8" t="str">
        <f>IFERROR(__xludf.DUMMYFUNCTION("""COMPUTED_VALUE"""),"Knits")</f>
        <v>Knits</v>
      </c>
    </row>
    <row r="1665">
      <c r="A1665" s="8">
        <f>IFERROR(__xludf.DUMMYFUNCTION("""COMPUTED_VALUE"""),2193.0)</f>
        <v>2193</v>
      </c>
      <c r="B1665" s="8">
        <f>IFERROR(__xludf.DUMMYFUNCTION("""COMPUTED_VALUE"""),1052.0)</f>
        <v>1052</v>
      </c>
      <c r="C1665" s="8">
        <f>IFERROR(__xludf.DUMMYFUNCTION("""COMPUTED_VALUE"""),67.0)</f>
        <v>67</v>
      </c>
      <c r="D1665" s="8"/>
      <c r="E1665" s="8" t="str">
        <f>IFERROR(__xludf.DUMMYFUNCTION("""COMPUTED_VALUE"""),"I love joggers, best style to come along in awhile. i think these are well made and i like the fabric. i just wish the leg were cut a bit slimmer but that's just a matter of preference. i definitely like them and will keep and wear.")</f>
        <v>I love joggers, best style to come along in awhile. i think these are well made and i like the fabric. i just wish the leg were cut a bit slimmer but that's just a matter of preference. i definitely like them and will keep and wear.</v>
      </c>
      <c r="F1665" s="8">
        <f>IFERROR(__xludf.DUMMYFUNCTION("""COMPUTED_VALUE"""),5.0)</f>
        <v>5</v>
      </c>
      <c r="G1665" s="8">
        <f>IFERROR(__xludf.DUMMYFUNCTION("""COMPUTED_VALUE"""),1.0)</f>
        <v>1</v>
      </c>
      <c r="H1665" s="8">
        <f>IFERROR(__xludf.DUMMYFUNCTION("""COMPUTED_VALUE"""),1.0)</f>
        <v>1</v>
      </c>
      <c r="I1665" s="8" t="str">
        <f>IFERROR(__xludf.DUMMYFUNCTION("""COMPUTED_VALUE"""),"General")</f>
        <v>General</v>
      </c>
      <c r="J1665" s="8" t="str">
        <f>IFERROR(__xludf.DUMMYFUNCTION("""COMPUTED_VALUE"""),"Bottoms")</f>
        <v>Bottoms</v>
      </c>
      <c r="K1665" s="8" t="str">
        <f>IFERROR(__xludf.DUMMYFUNCTION("""COMPUTED_VALUE"""),"Pants")</f>
        <v>Pants</v>
      </c>
    </row>
    <row r="1666">
      <c r="A1666" s="8">
        <f>IFERROR(__xludf.DUMMYFUNCTION("""COMPUTED_VALUE"""),2194.0)</f>
        <v>2194</v>
      </c>
      <c r="B1666" s="8">
        <f>IFERROR(__xludf.DUMMYFUNCTION("""COMPUTED_VALUE"""),940.0)</f>
        <v>940</v>
      </c>
      <c r="C1666" s="8">
        <f>IFERROR(__xludf.DUMMYFUNCTION("""COMPUTED_VALUE"""),38.0)</f>
        <v>38</v>
      </c>
      <c r="D1666" s="8" t="str">
        <f>IFERROR(__xludf.DUMMYFUNCTION("""COMPUTED_VALUE"""),"Ok, but...")</f>
        <v>Ok, but...</v>
      </c>
      <c r="E1666" s="8" t="str">
        <f>IFERROR(__xludf.DUMMYFUNCTION("""COMPUTED_VALUE"""),"Gorgeous detail on the sleeve. adorable pattern. unfortunately, it is a little too cropped &amp; it's not actually sleeves. it's a cape style. wasn't expecting, but still really cute.")</f>
        <v>Gorgeous detail on the sleeve. adorable pattern. unfortunately, it is a little too cropped &amp; it's not actually sleeves. it's a cape style. wasn't expecting, but still really cute.</v>
      </c>
      <c r="F1666" s="8">
        <f>IFERROR(__xludf.DUMMYFUNCTION("""COMPUTED_VALUE"""),4.0)</f>
        <v>4</v>
      </c>
      <c r="G1666" s="8">
        <f>IFERROR(__xludf.DUMMYFUNCTION("""COMPUTED_VALUE"""),1.0)</f>
        <v>1</v>
      </c>
      <c r="H1666" s="8">
        <f>IFERROR(__xludf.DUMMYFUNCTION("""COMPUTED_VALUE"""),9.0)</f>
        <v>9</v>
      </c>
      <c r="I1666" s="8" t="str">
        <f>IFERROR(__xludf.DUMMYFUNCTION("""COMPUTED_VALUE"""),"General")</f>
        <v>General</v>
      </c>
      <c r="J1666" s="8" t="str">
        <f>IFERROR(__xludf.DUMMYFUNCTION("""COMPUTED_VALUE"""),"Tops")</f>
        <v>Tops</v>
      </c>
      <c r="K1666" s="8" t="str">
        <f>IFERROR(__xludf.DUMMYFUNCTION("""COMPUTED_VALUE"""),"Sweaters")</f>
        <v>Sweaters</v>
      </c>
    </row>
    <row r="1667">
      <c r="A1667" s="8">
        <f>IFERROR(__xludf.DUMMYFUNCTION("""COMPUTED_VALUE"""),2195.0)</f>
        <v>2195</v>
      </c>
      <c r="B1667" s="8">
        <f>IFERROR(__xludf.DUMMYFUNCTION("""COMPUTED_VALUE"""),146.0)</f>
        <v>146</v>
      </c>
      <c r="C1667" s="8">
        <f>IFERROR(__xludf.DUMMYFUNCTION("""COMPUTED_VALUE"""),33.0)</f>
        <v>33</v>
      </c>
      <c r="D1667" s="8"/>
      <c r="E1667" s="8" t="str">
        <f>IFERROR(__xludf.DUMMYFUNCTION("""COMPUTED_VALUE"""),"Beautiful colors. lightweight flannel, so a great pair of sleep pants that can be worn year round. i ordered a s, my typical size, which turned out to be quite large on me. hopefully the xs will fit better.")</f>
        <v>Beautiful colors. lightweight flannel, so a great pair of sleep pants that can be worn year round. i ordered a s, my typical size, which turned out to be quite large on me. hopefully the xs will fit better.</v>
      </c>
      <c r="F1667" s="8">
        <f>IFERROR(__xludf.DUMMYFUNCTION("""COMPUTED_VALUE"""),5.0)</f>
        <v>5</v>
      </c>
      <c r="G1667" s="8">
        <f>IFERROR(__xludf.DUMMYFUNCTION("""COMPUTED_VALUE"""),1.0)</f>
        <v>1</v>
      </c>
      <c r="H1667" s="8">
        <f>IFERROR(__xludf.DUMMYFUNCTION("""COMPUTED_VALUE"""),0.0)</f>
        <v>0</v>
      </c>
      <c r="I1667" s="8" t="str">
        <f>IFERROR(__xludf.DUMMYFUNCTION("""COMPUTED_VALUE"""),"General Petite")</f>
        <v>General Petite</v>
      </c>
      <c r="J1667" s="8" t="str">
        <f>IFERROR(__xludf.DUMMYFUNCTION("""COMPUTED_VALUE"""),"Intimate")</f>
        <v>Intimate</v>
      </c>
      <c r="K1667" s="8" t="str">
        <f>IFERROR(__xludf.DUMMYFUNCTION("""COMPUTED_VALUE"""),"Lounge")</f>
        <v>Lounge</v>
      </c>
    </row>
    <row r="1668">
      <c r="A1668" s="8">
        <f>IFERROR(__xludf.DUMMYFUNCTION("""COMPUTED_VALUE"""),2196.0)</f>
        <v>2196</v>
      </c>
      <c r="B1668" s="8">
        <f>IFERROR(__xludf.DUMMYFUNCTION("""COMPUTED_VALUE"""),1086.0)</f>
        <v>1086</v>
      </c>
      <c r="C1668" s="8">
        <f>IFERROR(__xludf.DUMMYFUNCTION("""COMPUTED_VALUE"""),46.0)</f>
        <v>46</v>
      </c>
      <c r="D1668" s="8" t="str">
        <f>IFERROR(__xludf.DUMMYFUNCTION("""COMPUTED_VALUE"""),"Run don't walk to buy this")</f>
        <v>Run don't walk to buy this</v>
      </c>
      <c r="E1668" s="8" t="str">
        <f>IFERROR(__xludf.DUMMYFUNCTION("""COMPUTED_VALUE"""),"Although i wish this was not so dark blue for summer, it is the most fabulous cut, super sexy with the tie neckline and love the side pockets... and did i mention the fabric is ridiculously soft? i just wish it was more of a blue denim blue but nonetheles"&amp;"s, i could not walk away from the store without this. i am 5'9, 142 lbs and medium fit me perfect for length in the leg.")</f>
        <v>Although i wish this was not so dark blue for summer, it is the most fabulous cut, super sexy with the tie neckline and love the side pockets... and did i mention the fabric is ridiculously soft? i just wish it was more of a blue denim blue but nonetheless, i could not walk away from the store without this. i am 5'9, 142 lbs and medium fit me perfect for length in the leg.</v>
      </c>
      <c r="F1668" s="8">
        <f>IFERROR(__xludf.DUMMYFUNCTION("""COMPUTED_VALUE"""),5.0)</f>
        <v>5</v>
      </c>
      <c r="G1668" s="8">
        <f>IFERROR(__xludf.DUMMYFUNCTION("""COMPUTED_VALUE"""),1.0)</f>
        <v>1</v>
      </c>
      <c r="H1668" s="8">
        <f>IFERROR(__xludf.DUMMYFUNCTION("""COMPUTED_VALUE"""),4.0)</f>
        <v>4</v>
      </c>
      <c r="I1668" s="8" t="str">
        <f>IFERROR(__xludf.DUMMYFUNCTION("""COMPUTED_VALUE"""),"General Petite")</f>
        <v>General Petite</v>
      </c>
      <c r="J1668" s="8" t="str">
        <f>IFERROR(__xludf.DUMMYFUNCTION("""COMPUTED_VALUE"""),"Dresses")</f>
        <v>Dresses</v>
      </c>
      <c r="K1668" s="8" t="str">
        <f>IFERROR(__xludf.DUMMYFUNCTION("""COMPUTED_VALUE"""),"Dresses")</f>
        <v>Dresses</v>
      </c>
    </row>
    <row r="1669">
      <c r="A1669" s="8">
        <f>IFERROR(__xludf.DUMMYFUNCTION("""COMPUTED_VALUE"""),2199.0)</f>
        <v>2199</v>
      </c>
      <c r="B1669" s="8">
        <f>IFERROR(__xludf.DUMMYFUNCTION("""COMPUTED_VALUE"""),872.0)</f>
        <v>872</v>
      </c>
      <c r="C1669" s="8">
        <f>IFERROR(__xludf.DUMMYFUNCTION("""COMPUTED_VALUE"""),34.0)</f>
        <v>34</v>
      </c>
      <c r="D1669" s="8" t="str">
        <f>IFERROR(__xludf.DUMMYFUNCTION("""COMPUTED_VALUE"""),"Perfect long sleeve tee!")</f>
        <v>Perfect long sleeve tee!</v>
      </c>
      <c r="E1669" s="8" t="str">
        <f>IFERROR(__xludf.DUMMYFUNCTION("""COMPUTED_VALUE"""),"I've been looking for a staple long-sleeve tee for a while now, and i think i've found it! i bought this tee in my usual retailer size of medium and the fit is perfect. the material is soft, the cut highlights an hourglass figure without clinging in the w"&amp;"rong places. the sleeves are long enough, which can sometimes be a problem for me. the length is perfect to wear with leggings without being too long. i'll be back for more colors!")</f>
        <v>I've been looking for a staple long-sleeve tee for a while now, and i think i've found it! i bought this tee in my usual retailer size of medium and the fit is perfect. the material is soft, the cut highlights an hourglass figure without clinging in the wrong places. the sleeves are long enough, which can sometimes be a problem for me. the length is perfect to wear with leggings without being too long. i'll be back for more colors!</v>
      </c>
      <c r="F1669" s="8">
        <f>IFERROR(__xludf.DUMMYFUNCTION("""COMPUTED_VALUE"""),5.0)</f>
        <v>5</v>
      </c>
      <c r="G1669" s="8">
        <f>IFERROR(__xludf.DUMMYFUNCTION("""COMPUTED_VALUE"""),1.0)</f>
        <v>1</v>
      </c>
      <c r="H1669" s="8">
        <f>IFERROR(__xludf.DUMMYFUNCTION("""COMPUTED_VALUE"""),0.0)</f>
        <v>0</v>
      </c>
      <c r="I1669" s="8" t="str">
        <f>IFERROR(__xludf.DUMMYFUNCTION("""COMPUTED_VALUE"""),"General")</f>
        <v>General</v>
      </c>
      <c r="J1669" s="8" t="str">
        <f>IFERROR(__xludf.DUMMYFUNCTION("""COMPUTED_VALUE"""),"Tops")</f>
        <v>Tops</v>
      </c>
      <c r="K1669" s="8" t="str">
        <f>IFERROR(__xludf.DUMMYFUNCTION("""COMPUTED_VALUE"""),"Knits")</f>
        <v>Knits</v>
      </c>
    </row>
    <row r="1670">
      <c r="A1670" s="8">
        <f>IFERROR(__xludf.DUMMYFUNCTION("""COMPUTED_VALUE"""),2200.0)</f>
        <v>2200</v>
      </c>
      <c r="B1670" s="8">
        <f>IFERROR(__xludf.DUMMYFUNCTION("""COMPUTED_VALUE"""),940.0)</f>
        <v>940</v>
      </c>
      <c r="C1670" s="8">
        <f>IFERROR(__xludf.DUMMYFUNCTION("""COMPUTED_VALUE"""),50.0)</f>
        <v>50</v>
      </c>
      <c r="D1670" s="8" t="str">
        <f>IFERROR(__xludf.DUMMYFUNCTION("""COMPUTED_VALUE"""),"Adorable but not really a cardigan more a capelet")</f>
        <v>Adorable but not really a cardigan more a capelet</v>
      </c>
      <c r="E1670" s="8" t="str">
        <f>IFERROR(__xludf.DUMMYFUNCTION("""COMPUTED_VALUE"""),"I gave this 4 stars instead of five because the picture really does give you the impression that this ""cardigan"" has sleeves but actually it's a cape with a few stitches above the wrist. it's also quite short, i'm only 5 5"" and it hits me above my wais"&amp;"t. this picture was clearly shot with the front pulled down, i bet if we saw the back it would be high above her waist. also, one of the buttons fell off the first time i wore it. i heard it fall thankfully so it was easy enough to sew back on but")</f>
        <v>I gave this 4 stars instead of five because the picture really does give you the impression that this "cardigan" has sleeves but actually it's a cape with a few stitches above the wrist. it's also quite short, i'm only 5 5" and it hits me above my waist. this picture was clearly shot with the front pulled down, i bet if we saw the back it would be high above her waist. also, one of the buttons fell off the first time i wore it. i heard it fall thankfully so it was easy enough to sew back on but</v>
      </c>
      <c r="F1670" s="8">
        <f>IFERROR(__xludf.DUMMYFUNCTION("""COMPUTED_VALUE"""),4.0)</f>
        <v>4</v>
      </c>
      <c r="G1670" s="8">
        <f>IFERROR(__xludf.DUMMYFUNCTION("""COMPUTED_VALUE"""),1.0)</f>
        <v>1</v>
      </c>
      <c r="H1670" s="8">
        <f>IFERROR(__xludf.DUMMYFUNCTION("""COMPUTED_VALUE"""),2.0)</f>
        <v>2</v>
      </c>
      <c r="I1670" s="8" t="str">
        <f>IFERROR(__xludf.DUMMYFUNCTION("""COMPUTED_VALUE"""),"General")</f>
        <v>General</v>
      </c>
      <c r="J1670" s="8" t="str">
        <f>IFERROR(__xludf.DUMMYFUNCTION("""COMPUTED_VALUE"""),"Tops")</f>
        <v>Tops</v>
      </c>
      <c r="K1670" s="8" t="str">
        <f>IFERROR(__xludf.DUMMYFUNCTION("""COMPUTED_VALUE"""),"Sweaters")</f>
        <v>Sweaters</v>
      </c>
    </row>
    <row r="1671">
      <c r="A1671" s="8">
        <f>IFERROR(__xludf.DUMMYFUNCTION("""COMPUTED_VALUE"""),2201.0)</f>
        <v>2201</v>
      </c>
      <c r="B1671" s="8">
        <f>IFERROR(__xludf.DUMMYFUNCTION("""COMPUTED_VALUE"""),872.0)</f>
        <v>872</v>
      </c>
      <c r="C1671" s="8">
        <f>IFERROR(__xludf.DUMMYFUNCTION("""COMPUTED_VALUE"""),36.0)</f>
        <v>36</v>
      </c>
      <c r="D1671" s="8" t="str">
        <f>IFERROR(__xludf.DUMMYFUNCTION("""COMPUTED_VALUE"""),"Love this top")</f>
        <v>Love this top</v>
      </c>
      <c r="E1671" s="8" t="str">
        <f>IFERROR(__xludf.DUMMYFUNCTION("""COMPUTED_VALUE"""),"I love this top, it's long enough to to wear with leggings and the ribbon in the back really dresses it up. the only negative is that the material pulls easy and only on the space dye color, not the solids but i still love it! for reference i ordered xs a"&amp;"nd it fits perfectly i am 5'2 125lbs")</f>
        <v>I love this top, it's long enough to to wear with leggings and the ribbon in the back really dresses it up. the only negative is that the material pulls easy and only on the space dye color, not the solids but i still love it! for reference i ordered xs and it fits perfectly i am 5'2 125lbs</v>
      </c>
      <c r="F1671" s="8">
        <f>IFERROR(__xludf.DUMMYFUNCTION("""COMPUTED_VALUE"""),5.0)</f>
        <v>5</v>
      </c>
      <c r="G1671" s="8">
        <f>IFERROR(__xludf.DUMMYFUNCTION("""COMPUTED_VALUE"""),1.0)</f>
        <v>1</v>
      </c>
      <c r="H1671" s="8">
        <f>IFERROR(__xludf.DUMMYFUNCTION("""COMPUTED_VALUE"""),1.0)</f>
        <v>1</v>
      </c>
      <c r="I1671" s="8" t="str">
        <f>IFERROR(__xludf.DUMMYFUNCTION("""COMPUTED_VALUE"""),"General")</f>
        <v>General</v>
      </c>
      <c r="J1671" s="8" t="str">
        <f>IFERROR(__xludf.DUMMYFUNCTION("""COMPUTED_VALUE"""),"Tops")</f>
        <v>Tops</v>
      </c>
      <c r="K1671" s="8" t="str">
        <f>IFERROR(__xludf.DUMMYFUNCTION("""COMPUTED_VALUE"""),"Knits")</f>
        <v>Knits</v>
      </c>
    </row>
    <row r="1672">
      <c r="A1672" s="8">
        <f>IFERROR(__xludf.DUMMYFUNCTION("""COMPUTED_VALUE"""),2202.0)</f>
        <v>2202</v>
      </c>
      <c r="B1672" s="8">
        <f>IFERROR(__xludf.DUMMYFUNCTION("""COMPUTED_VALUE"""),870.0)</f>
        <v>870</v>
      </c>
      <c r="C1672" s="8">
        <f>IFERROR(__xludf.DUMMYFUNCTION("""COMPUTED_VALUE"""),39.0)</f>
        <v>39</v>
      </c>
      <c r="D1672" s="8" t="str">
        <f>IFERROR(__xludf.DUMMYFUNCTION("""COMPUTED_VALUE"""),"Lovely")</f>
        <v>Lovely</v>
      </c>
      <c r="E1672" s="8" t="str">
        <f>IFERROR(__xludf.DUMMYFUNCTION("""COMPUTED_VALUE"""),"I purchased this shell in black. the embellishments and construction of the top are of a good quality, like as shown. i am 5'4"", 120# and typically purchase an xs. this ran a bit bigger than i was expecting from the reviews, but i am overall happy with t"&amp;"he top. the center slit may be too revealing for those with a smaller bust.")</f>
        <v>I purchased this shell in black. the embellishments and construction of the top are of a good quality, like as shown. i am 5'4", 120# and typically purchase an xs. this ran a bit bigger than i was expecting from the reviews, but i am overall happy with the top. the center slit may be too revealing for those with a smaller bust.</v>
      </c>
      <c r="F1672" s="8">
        <f>IFERROR(__xludf.DUMMYFUNCTION("""COMPUTED_VALUE"""),4.0)</f>
        <v>4</v>
      </c>
      <c r="G1672" s="8">
        <f>IFERROR(__xludf.DUMMYFUNCTION("""COMPUTED_VALUE"""),1.0)</f>
        <v>1</v>
      </c>
      <c r="H1672" s="8">
        <f>IFERROR(__xludf.DUMMYFUNCTION("""COMPUTED_VALUE"""),0.0)</f>
        <v>0</v>
      </c>
      <c r="I1672" s="8" t="str">
        <f>IFERROR(__xludf.DUMMYFUNCTION("""COMPUTED_VALUE"""),"General")</f>
        <v>General</v>
      </c>
      <c r="J1672" s="8" t="str">
        <f>IFERROR(__xludf.DUMMYFUNCTION("""COMPUTED_VALUE"""),"Tops")</f>
        <v>Tops</v>
      </c>
      <c r="K1672" s="8" t="str">
        <f>IFERROR(__xludf.DUMMYFUNCTION("""COMPUTED_VALUE"""),"Knits")</f>
        <v>Knits</v>
      </c>
    </row>
    <row r="1673">
      <c r="A1673" s="8">
        <f>IFERROR(__xludf.DUMMYFUNCTION("""COMPUTED_VALUE"""),2204.0)</f>
        <v>2204</v>
      </c>
      <c r="B1673" s="8">
        <f>IFERROR(__xludf.DUMMYFUNCTION("""COMPUTED_VALUE"""),940.0)</f>
        <v>940</v>
      </c>
      <c r="C1673" s="8">
        <f>IFERROR(__xludf.DUMMYFUNCTION("""COMPUTED_VALUE"""),48.0)</f>
        <v>48</v>
      </c>
      <c r="D1673" s="8"/>
      <c r="E1673" s="8" t="str">
        <f>IFERROR(__xludf.DUMMYFUNCTION("""COMPUTED_VALUE"""),"Just received this and absolutely love it! i tried the vienne cardigan in the store and i assumed this one would fit the same (since online exclusive), which it does. this one though has the whimsical left grey sleeve with trees, a fence and sheep on the "&amp;"sleeve - very cute. it's a traditional knit design with a twist of modern design being the cape style. it is a bit cropped but fits well and the hood lays nicely. there were a few too many stray threads when i received that i needed to cut off.")</f>
        <v>Just received this and absolutely love it! i tried the vienne cardigan in the store and i assumed this one would fit the same (since online exclusive), which it does. this one though has the whimsical left grey sleeve with trees, a fence and sheep on the sleeve - very cute. it's a traditional knit design with a twist of modern design being the cape style. it is a bit cropped but fits well and the hood lays nicely. there were a few too many stray threads when i received that i needed to cut off.</v>
      </c>
      <c r="F1673" s="8">
        <f>IFERROR(__xludf.DUMMYFUNCTION("""COMPUTED_VALUE"""),5.0)</f>
        <v>5</v>
      </c>
      <c r="G1673" s="8">
        <f>IFERROR(__xludf.DUMMYFUNCTION("""COMPUTED_VALUE"""),1.0)</f>
        <v>1</v>
      </c>
      <c r="H1673" s="8">
        <f>IFERROR(__xludf.DUMMYFUNCTION("""COMPUTED_VALUE"""),2.0)</f>
        <v>2</v>
      </c>
      <c r="I1673" s="8" t="str">
        <f>IFERROR(__xludf.DUMMYFUNCTION("""COMPUTED_VALUE"""),"General")</f>
        <v>General</v>
      </c>
      <c r="J1673" s="8" t="str">
        <f>IFERROR(__xludf.DUMMYFUNCTION("""COMPUTED_VALUE"""),"Tops")</f>
        <v>Tops</v>
      </c>
      <c r="K1673" s="8" t="str">
        <f>IFERROR(__xludf.DUMMYFUNCTION("""COMPUTED_VALUE"""),"Sweaters")</f>
        <v>Sweaters</v>
      </c>
    </row>
    <row r="1674">
      <c r="A1674" s="8"/>
      <c r="B1674" s="8"/>
      <c r="C1674" s="8"/>
      <c r="D1674" s="8"/>
      <c r="E1674" s="8"/>
      <c r="F1674" s="8"/>
      <c r="G1674" s="8"/>
      <c r="H1674" s="8"/>
      <c r="I1674" s="8"/>
      <c r="J1674" s="8"/>
      <c r="K1674" s="8"/>
    </row>
    <row r="1675">
      <c r="A1675" s="8"/>
      <c r="B1675" s="8"/>
      <c r="C1675" s="8"/>
      <c r="D1675" s="8"/>
      <c r="E1675" s="8"/>
      <c r="F1675" s="8"/>
      <c r="G1675" s="8"/>
      <c r="H1675" s="8"/>
      <c r="I1675" s="8"/>
      <c r="J1675" s="8"/>
      <c r="K1675" s="8"/>
    </row>
    <row r="1676">
      <c r="A1676" s="8"/>
      <c r="B1676" s="8"/>
      <c r="C1676" s="8"/>
      <c r="D1676" s="8"/>
      <c r="E1676" s="8"/>
      <c r="F1676" s="8"/>
      <c r="G1676" s="8"/>
      <c r="H1676" s="8"/>
      <c r="I1676" s="8"/>
      <c r="J1676" s="8"/>
      <c r="K1676" s="8"/>
    </row>
    <row r="1677">
      <c r="A1677" s="8"/>
      <c r="B1677" s="8"/>
      <c r="C1677" s="8"/>
      <c r="D1677" s="8"/>
      <c r="E1677" s="8"/>
      <c r="F1677" s="8"/>
      <c r="G1677" s="8"/>
      <c r="H1677" s="8"/>
      <c r="I1677" s="8"/>
      <c r="J1677" s="8"/>
      <c r="K1677" s="8"/>
    </row>
    <row r="1678">
      <c r="A1678" s="8"/>
      <c r="B1678" s="8"/>
      <c r="C1678" s="8"/>
      <c r="D1678" s="8"/>
      <c r="E1678" s="8"/>
      <c r="F1678" s="8"/>
      <c r="G1678" s="8"/>
      <c r="H1678" s="8"/>
      <c r="I1678" s="8"/>
      <c r="J1678" s="8"/>
      <c r="K1678" s="8"/>
    </row>
    <row r="1679">
      <c r="A1679" s="8"/>
      <c r="B1679" s="8"/>
      <c r="C1679" s="8"/>
      <c r="D1679" s="8"/>
      <c r="E1679" s="8"/>
      <c r="F1679" s="8"/>
      <c r="G1679" s="8"/>
      <c r="H1679" s="8"/>
      <c r="I1679" s="8"/>
      <c r="J1679" s="8"/>
      <c r="K1679" s="8"/>
    </row>
    <row r="1680">
      <c r="A1680" s="8"/>
      <c r="B1680" s="8"/>
      <c r="C1680" s="8"/>
      <c r="D1680" s="8"/>
      <c r="E1680" s="8"/>
      <c r="F1680" s="8"/>
      <c r="G1680" s="8"/>
      <c r="H1680" s="8"/>
      <c r="I1680" s="8"/>
      <c r="J1680" s="8"/>
      <c r="K1680" s="8"/>
    </row>
    <row r="1681">
      <c r="A1681" s="8"/>
      <c r="B1681" s="8"/>
      <c r="C1681" s="8"/>
      <c r="D1681" s="8"/>
      <c r="E1681" s="8"/>
      <c r="F1681" s="8"/>
      <c r="G1681" s="8"/>
      <c r="H1681" s="8"/>
      <c r="I1681" s="8"/>
      <c r="J1681" s="8"/>
      <c r="K1681" s="8"/>
    </row>
    <row r="1682">
      <c r="A1682" s="8"/>
      <c r="B1682" s="8"/>
      <c r="C1682" s="8"/>
      <c r="D1682" s="8"/>
      <c r="E1682" s="8"/>
      <c r="F1682" s="8"/>
      <c r="G1682" s="8"/>
      <c r="H1682" s="8"/>
      <c r="I1682" s="8"/>
      <c r="J1682" s="8"/>
      <c r="K1682" s="8"/>
    </row>
    <row r="1683">
      <c r="A1683" s="8"/>
      <c r="B1683" s="8"/>
      <c r="C1683" s="8"/>
      <c r="D1683" s="8"/>
      <c r="E1683" s="8"/>
      <c r="F1683" s="8"/>
      <c r="G1683" s="8"/>
      <c r="H1683" s="8"/>
      <c r="I1683" s="8"/>
      <c r="J1683" s="8"/>
      <c r="K1683" s="8"/>
    </row>
    <row r="1684">
      <c r="A1684" s="8"/>
      <c r="B1684" s="8"/>
      <c r="C1684" s="8"/>
      <c r="D1684" s="8"/>
      <c r="E1684" s="8"/>
      <c r="F1684" s="8"/>
      <c r="G1684" s="8"/>
      <c r="H1684" s="8"/>
      <c r="I1684" s="8"/>
      <c r="J1684" s="8"/>
      <c r="K1684" s="8"/>
    </row>
    <row r="1685">
      <c r="A1685" s="8"/>
      <c r="B1685" s="8"/>
      <c r="C1685" s="8"/>
      <c r="D1685" s="8"/>
      <c r="E1685" s="8"/>
      <c r="F1685" s="8"/>
      <c r="G1685" s="8"/>
      <c r="H1685" s="8"/>
      <c r="I1685" s="8"/>
      <c r="J1685" s="8"/>
      <c r="K1685" s="8"/>
    </row>
    <row r="1686">
      <c r="A1686" s="8"/>
      <c r="B1686" s="8"/>
      <c r="C1686" s="8"/>
      <c r="D1686" s="8"/>
      <c r="E1686" s="8"/>
      <c r="F1686" s="8"/>
      <c r="G1686" s="8"/>
      <c r="H1686" s="8"/>
      <c r="I1686" s="8"/>
      <c r="J1686" s="8"/>
      <c r="K1686" s="8"/>
    </row>
    <row r="1687">
      <c r="A1687" s="8"/>
      <c r="B1687" s="8"/>
      <c r="C1687" s="8"/>
      <c r="D1687" s="8"/>
      <c r="E1687" s="8"/>
      <c r="F1687" s="8"/>
      <c r="G1687" s="8"/>
      <c r="H1687" s="8"/>
      <c r="I1687" s="8"/>
      <c r="J1687" s="8"/>
      <c r="K1687" s="8"/>
    </row>
    <row r="1688">
      <c r="A1688" s="8"/>
      <c r="B1688" s="8"/>
      <c r="C1688" s="8"/>
      <c r="D1688" s="8"/>
      <c r="E1688" s="8"/>
      <c r="F1688" s="8"/>
      <c r="G1688" s="8"/>
      <c r="H1688" s="8"/>
      <c r="I1688" s="8"/>
      <c r="J1688" s="8"/>
      <c r="K1688" s="8"/>
    </row>
    <row r="1689">
      <c r="A1689" s="8"/>
      <c r="B1689" s="8"/>
      <c r="C1689" s="8"/>
      <c r="D1689" s="8"/>
      <c r="E1689" s="8"/>
      <c r="F1689" s="8"/>
      <c r="G1689" s="8"/>
      <c r="H1689" s="8"/>
      <c r="I1689" s="8"/>
      <c r="J1689" s="8"/>
      <c r="K1689" s="8"/>
    </row>
    <row r="1690">
      <c r="A1690" s="8"/>
      <c r="B1690" s="8"/>
      <c r="C1690" s="8"/>
      <c r="D1690" s="8"/>
      <c r="E1690" s="8"/>
      <c r="F1690" s="8"/>
      <c r="G1690" s="8"/>
      <c r="H1690" s="8"/>
      <c r="I1690" s="8"/>
      <c r="J1690" s="8"/>
      <c r="K1690" s="8"/>
    </row>
    <row r="1691">
      <c r="A1691" s="8"/>
      <c r="B1691" s="8"/>
      <c r="C1691" s="8"/>
      <c r="D1691" s="8"/>
      <c r="E1691" s="8"/>
      <c r="F1691" s="8"/>
      <c r="G1691" s="8"/>
      <c r="H1691" s="8"/>
      <c r="I1691" s="8"/>
      <c r="J1691" s="8"/>
      <c r="K1691" s="8"/>
    </row>
    <row r="1692">
      <c r="A1692" s="8"/>
      <c r="B1692" s="8"/>
      <c r="C1692" s="8"/>
      <c r="D1692" s="8"/>
      <c r="E1692" s="8"/>
      <c r="F1692" s="8"/>
      <c r="G1692" s="8"/>
      <c r="H1692" s="8"/>
      <c r="I1692" s="8"/>
      <c r="J1692" s="8"/>
      <c r="K1692" s="8"/>
    </row>
    <row r="1693">
      <c r="A1693" s="8"/>
      <c r="B1693" s="8"/>
      <c r="C1693" s="8"/>
      <c r="D1693" s="8"/>
      <c r="E1693" s="8"/>
      <c r="F1693" s="8"/>
      <c r="G1693" s="8"/>
      <c r="H1693" s="8"/>
      <c r="I1693" s="8"/>
      <c r="J1693" s="8"/>
      <c r="K1693" s="8"/>
    </row>
    <row r="1694">
      <c r="A1694" s="8"/>
      <c r="B1694" s="8"/>
      <c r="C1694" s="8"/>
      <c r="D1694" s="8"/>
      <c r="E1694" s="8"/>
      <c r="F1694" s="8"/>
      <c r="G1694" s="8"/>
      <c r="H1694" s="8"/>
      <c r="I1694" s="8"/>
      <c r="J1694" s="8"/>
      <c r="K1694" s="8"/>
    </row>
    <row r="1695">
      <c r="A1695" s="8"/>
      <c r="B1695" s="8"/>
      <c r="C1695" s="8"/>
      <c r="D1695" s="8"/>
      <c r="E1695" s="8"/>
      <c r="F1695" s="8"/>
      <c r="G1695" s="8"/>
      <c r="H1695" s="8"/>
      <c r="I1695" s="8"/>
      <c r="J1695" s="8"/>
      <c r="K1695" s="8"/>
    </row>
    <row r="1696">
      <c r="A1696" s="8"/>
      <c r="B1696" s="8"/>
      <c r="C1696" s="8"/>
      <c r="D1696" s="8"/>
      <c r="E1696" s="8"/>
      <c r="F1696" s="8"/>
      <c r="G1696" s="8"/>
      <c r="H1696" s="8"/>
      <c r="I1696" s="8"/>
      <c r="J1696" s="8"/>
      <c r="K1696" s="8"/>
    </row>
    <row r="1697">
      <c r="A1697" s="8"/>
      <c r="B1697" s="8"/>
      <c r="C1697" s="8"/>
      <c r="D1697" s="8"/>
      <c r="E1697" s="8"/>
      <c r="F1697" s="8"/>
      <c r="G1697" s="8"/>
      <c r="H1697" s="8"/>
      <c r="I1697" s="8"/>
      <c r="J1697" s="8"/>
      <c r="K1697" s="8"/>
    </row>
    <row r="1698">
      <c r="A1698" s="8"/>
      <c r="B1698" s="8"/>
      <c r="C1698" s="8"/>
      <c r="D1698" s="8"/>
      <c r="E1698" s="8"/>
      <c r="F1698" s="8"/>
      <c r="G1698" s="8"/>
      <c r="H1698" s="8"/>
      <c r="I1698" s="8"/>
      <c r="J1698" s="8"/>
      <c r="K1698" s="8"/>
    </row>
    <row r="1699">
      <c r="A1699" s="8"/>
      <c r="B1699" s="8"/>
      <c r="C1699" s="8"/>
      <c r="D1699" s="8"/>
      <c r="E1699" s="8"/>
      <c r="F1699" s="8"/>
      <c r="G1699" s="8"/>
      <c r="H1699" s="8"/>
      <c r="I1699" s="8"/>
      <c r="J1699" s="8"/>
      <c r="K1699" s="8"/>
    </row>
    <row r="1700">
      <c r="A1700" s="8"/>
      <c r="B1700" s="8"/>
      <c r="C1700" s="8"/>
      <c r="D1700" s="8"/>
      <c r="E1700" s="8"/>
      <c r="F1700" s="8"/>
      <c r="G1700" s="8"/>
      <c r="H1700" s="8"/>
      <c r="I1700" s="8"/>
      <c r="J1700" s="8"/>
      <c r="K1700" s="8"/>
    </row>
    <row r="1701">
      <c r="A1701" s="8"/>
      <c r="B1701" s="8"/>
      <c r="C1701" s="8"/>
      <c r="D1701" s="8"/>
      <c r="E1701" s="8"/>
      <c r="F1701" s="8"/>
      <c r="G1701" s="8"/>
      <c r="H1701" s="8"/>
      <c r="I1701" s="8"/>
      <c r="J1701" s="8"/>
      <c r="K1701" s="8"/>
    </row>
    <row r="1702">
      <c r="A1702" s="8"/>
      <c r="B1702" s="8"/>
      <c r="C1702" s="8"/>
      <c r="D1702" s="8"/>
      <c r="E1702" s="8"/>
      <c r="F1702" s="8"/>
      <c r="G1702" s="8"/>
      <c r="H1702" s="8"/>
      <c r="I1702" s="8"/>
      <c r="J1702" s="8"/>
      <c r="K1702" s="8"/>
    </row>
    <row r="1703">
      <c r="A1703" s="8"/>
      <c r="B1703" s="8"/>
      <c r="C1703" s="8"/>
      <c r="D1703" s="8"/>
      <c r="E1703" s="8"/>
      <c r="F1703" s="8"/>
      <c r="G1703" s="8"/>
      <c r="H1703" s="8"/>
      <c r="I1703" s="8"/>
      <c r="J1703" s="8"/>
      <c r="K1703" s="8"/>
    </row>
    <row r="1704">
      <c r="A1704" s="8"/>
      <c r="B1704" s="8"/>
      <c r="C1704" s="8"/>
      <c r="D1704" s="8"/>
      <c r="E1704" s="8"/>
      <c r="F1704" s="8"/>
      <c r="G1704" s="8"/>
      <c r="H1704" s="8"/>
      <c r="I1704" s="8"/>
      <c r="J1704" s="8"/>
      <c r="K1704" s="8"/>
    </row>
    <row r="1705">
      <c r="A1705" s="8"/>
      <c r="B1705" s="8"/>
      <c r="C1705" s="8"/>
      <c r="D1705" s="8"/>
      <c r="E1705" s="8"/>
      <c r="F1705" s="8"/>
      <c r="G1705" s="8"/>
      <c r="H1705" s="8"/>
      <c r="I1705" s="8"/>
      <c r="J1705" s="8"/>
      <c r="K1705" s="8"/>
    </row>
    <row r="1706">
      <c r="A1706" s="8"/>
      <c r="B1706" s="8"/>
      <c r="C1706" s="8"/>
      <c r="D1706" s="8"/>
      <c r="E1706" s="8"/>
      <c r="F1706" s="8"/>
      <c r="G1706" s="8"/>
      <c r="H1706" s="8"/>
      <c r="I1706" s="8"/>
      <c r="J1706" s="8"/>
      <c r="K1706" s="8"/>
    </row>
    <row r="1707">
      <c r="A1707" s="8"/>
      <c r="B1707" s="8"/>
      <c r="C1707" s="8"/>
      <c r="D1707" s="8"/>
      <c r="E1707" s="8"/>
      <c r="F1707" s="8"/>
      <c r="G1707" s="8"/>
      <c r="H1707" s="8"/>
      <c r="I1707" s="8"/>
      <c r="J1707" s="8"/>
      <c r="K1707" s="8"/>
    </row>
    <row r="1708">
      <c r="A1708" s="8"/>
      <c r="B1708" s="8"/>
      <c r="C1708" s="8"/>
      <c r="D1708" s="8"/>
      <c r="E1708" s="8"/>
      <c r="F1708" s="8"/>
      <c r="G1708" s="8"/>
      <c r="H1708" s="8"/>
      <c r="I1708" s="8"/>
      <c r="J1708" s="8"/>
      <c r="K1708" s="8"/>
    </row>
    <row r="1709">
      <c r="A1709" s="8"/>
      <c r="B1709" s="8"/>
      <c r="C1709" s="8"/>
      <c r="D1709" s="8"/>
      <c r="E1709" s="8"/>
      <c r="F1709" s="8"/>
      <c r="G1709" s="8"/>
      <c r="H1709" s="8"/>
      <c r="I1709" s="8"/>
      <c r="J1709" s="8"/>
      <c r="K1709" s="8"/>
    </row>
    <row r="1710">
      <c r="A1710" s="8"/>
      <c r="B1710" s="8"/>
      <c r="C1710" s="8"/>
      <c r="D1710" s="8"/>
      <c r="E1710" s="8"/>
      <c r="F1710" s="8"/>
      <c r="G1710" s="8"/>
      <c r="H1710" s="8"/>
      <c r="I1710" s="8"/>
      <c r="J1710" s="8"/>
      <c r="K1710" s="8"/>
    </row>
    <row r="1711">
      <c r="A1711" s="8"/>
      <c r="B1711" s="8"/>
      <c r="C1711" s="8"/>
      <c r="D1711" s="8"/>
      <c r="E1711" s="8"/>
      <c r="F1711" s="8"/>
      <c r="G1711" s="8"/>
      <c r="H1711" s="8"/>
      <c r="I1711" s="8"/>
      <c r="J1711" s="8"/>
      <c r="K1711" s="8"/>
    </row>
    <row r="1712">
      <c r="A1712" s="8"/>
      <c r="B1712" s="8"/>
      <c r="C1712" s="8"/>
      <c r="D1712" s="8"/>
      <c r="E1712" s="8"/>
      <c r="F1712" s="8"/>
      <c r="G1712" s="8"/>
      <c r="H1712" s="8"/>
      <c r="I1712" s="8"/>
      <c r="J1712" s="8"/>
      <c r="K1712" s="8"/>
    </row>
    <row r="1713">
      <c r="A1713" s="8"/>
      <c r="B1713" s="8"/>
      <c r="C1713" s="8"/>
      <c r="D1713" s="8"/>
      <c r="E1713" s="8"/>
      <c r="F1713" s="8"/>
      <c r="G1713" s="8"/>
      <c r="H1713" s="8"/>
      <c r="I1713" s="8"/>
      <c r="J1713" s="8"/>
      <c r="K1713" s="8"/>
    </row>
    <row r="1714">
      <c r="A1714" s="8"/>
      <c r="B1714" s="8"/>
      <c r="C1714" s="8"/>
      <c r="D1714" s="8"/>
      <c r="E1714" s="8"/>
      <c r="F1714" s="8"/>
      <c r="G1714" s="8"/>
      <c r="H1714" s="8"/>
      <c r="I1714" s="8"/>
      <c r="J1714" s="8"/>
      <c r="K1714" s="8"/>
    </row>
    <row r="1715">
      <c r="A1715" s="8"/>
      <c r="B1715" s="8"/>
      <c r="C1715" s="8"/>
      <c r="D1715" s="8"/>
      <c r="E1715" s="8"/>
      <c r="F1715" s="8"/>
      <c r="G1715" s="8"/>
      <c r="H1715" s="8"/>
      <c r="I1715" s="8"/>
      <c r="J1715" s="8"/>
      <c r="K1715" s="8"/>
    </row>
    <row r="1716">
      <c r="A1716" s="8"/>
      <c r="B1716" s="8"/>
      <c r="C1716" s="8"/>
      <c r="D1716" s="8"/>
      <c r="E1716" s="8"/>
      <c r="F1716" s="8"/>
      <c r="G1716" s="8"/>
      <c r="H1716" s="8"/>
      <c r="I1716" s="8"/>
      <c r="J1716" s="8"/>
      <c r="K1716" s="8"/>
    </row>
    <row r="1717">
      <c r="A1717" s="8"/>
      <c r="B1717" s="8"/>
      <c r="C1717" s="8"/>
      <c r="D1717" s="8"/>
      <c r="E1717" s="8"/>
      <c r="F1717" s="8"/>
      <c r="G1717" s="8"/>
      <c r="H1717" s="8"/>
      <c r="I1717" s="8"/>
      <c r="J1717" s="8"/>
      <c r="K1717" s="8"/>
    </row>
    <row r="1718">
      <c r="A1718" s="8"/>
      <c r="B1718" s="8"/>
      <c r="C1718" s="8"/>
      <c r="D1718" s="8"/>
      <c r="E1718" s="8"/>
      <c r="F1718" s="8"/>
      <c r="G1718" s="8"/>
      <c r="H1718" s="8"/>
      <c r="I1718" s="8"/>
      <c r="J1718" s="8"/>
      <c r="K1718" s="8"/>
    </row>
    <row r="1719">
      <c r="A1719" s="8"/>
      <c r="B1719" s="8"/>
      <c r="C1719" s="8"/>
      <c r="D1719" s="8"/>
      <c r="E1719" s="8"/>
      <c r="F1719" s="8"/>
      <c r="G1719" s="8"/>
      <c r="H1719" s="8"/>
      <c r="I1719" s="8"/>
      <c r="J1719" s="8"/>
      <c r="K1719" s="8"/>
    </row>
    <row r="1720">
      <c r="A1720" s="8"/>
      <c r="B1720" s="8"/>
      <c r="C1720" s="8"/>
      <c r="D1720" s="8"/>
      <c r="E1720" s="8"/>
      <c r="F1720" s="8"/>
      <c r="G1720" s="8"/>
      <c r="H1720" s="8"/>
      <c r="I1720" s="8"/>
      <c r="J1720" s="8"/>
      <c r="K1720" s="8"/>
    </row>
    <row r="1721">
      <c r="A1721" s="8"/>
      <c r="B1721" s="8"/>
      <c r="C1721" s="8"/>
      <c r="D1721" s="8"/>
      <c r="E1721" s="8"/>
      <c r="F1721" s="8"/>
      <c r="G1721" s="8"/>
      <c r="H1721" s="8"/>
      <c r="I1721" s="8"/>
      <c r="J1721" s="8"/>
      <c r="K1721" s="8"/>
    </row>
    <row r="1722">
      <c r="A1722" s="8"/>
      <c r="B1722" s="8"/>
      <c r="C1722" s="8"/>
      <c r="D1722" s="8"/>
      <c r="E1722" s="8"/>
      <c r="F1722" s="8"/>
      <c r="G1722" s="8"/>
      <c r="H1722" s="8"/>
      <c r="I1722" s="8"/>
      <c r="J1722" s="8"/>
      <c r="K1722" s="8"/>
    </row>
    <row r="1723">
      <c r="A1723" s="8"/>
      <c r="B1723" s="8"/>
      <c r="C1723" s="8"/>
      <c r="D1723" s="8"/>
      <c r="E1723" s="8"/>
      <c r="F1723" s="8"/>
      <c r="G1723" s="8"/>
      <c r="H1723" s="8"/>
      <c r="I1723" s="8"/>
      <c r="J1723" s="8"/>
      <c r="K1723" s="8"/>
    </row>
    <row r="1724">
      <c r="A1724" s="8"/>
      <c r="B1724" s="8"/>
      <c r="C1724" s="8"/>
      <c r="D1724" s="8"/>
      <c r="E1724" s="8"/>
      <c r="F1724" s="8"/>
      <c r="G1724" s="8"/>
      <c r="H1724" s="8"/>
      <c r="I1724" s="8"/>
      <c r="J1724" s="8"/>
      <c r="K1724" s="8"/>
    </row>
    <row r="1725">
      <c r="A1725" s="8"/>
      <c r="B1725" s="8"/>
      <c r="C1725" s="8"/>
      <c r="D1725" s="8"/>
      <c r="E1725" s="8"/>
      <c r="F1725" s="8"/>
      <c r="G1725" s="8"/>
      <c r="H1725" s="8"/>
      <c r="I1725" s="8"/>
      <c r="J1725" s="8"/>
      <c r="K1725" s="8"/>
    </row>
    <row r="1726">
      <c r="A1726" s="8"/>
      <c r="B1726" s="8"/>
      <c r="C1726" s="8"/>
      <c r="D1726" s="8"/>
      <c r="E1726" s="8"/>
      <c r="F1726" s="8"/>
      <c r="G1726" s="8"/>
      <c r="H1726" s="8"/>
      <c r="I1726" s="8"/>
      <c r="J1726" s="8"/>
      <c r="K1726" s="8"/>
    </row>
    <row r="1727">
      <c r="A1727" s="8"/>
      <c r="B1727" s="8"/>
      <c r="C1727" s="8"/>
      <c r="D1727" s="8"/>
      <c r="E1727" s="8"/>
      <c r="F1727" s="8"/>
      <c r="G1727" s="8"/>
      <c r="H1727" s="8"/>
      <c r="I1727" s="8"/>
      <c r="J1727" s="8"/>
      <c r="K1727" s="8"/>
    </row>
    <row r="1728">
      <c r="A1728" s="8"/>
      <c r="B1728" s="8"/>
      <c r="C1728" s="8"/>
      <c r="D1728" s="8"/>
      <c r="E1728" s="8"/>
      <c r="F1728" s="8"/>
      <c r="G1728" s="8"/>
      <c r="H1728" s="8"/>
      <c r="I1728" s="8"/>
      <c r="J1728" s="8"/>
      <c r="K1728" s="8"/>
    </row>
    <row r="1729">
      <c r="A1729" s="8"/>
      <c r="B1729" s="8"/>
      <c r="C1729" s="8"/>
      <c r="D1729" s="8"/>
      <c r="E1729" s="8"/>
      <c r="F1729" s="8"/>
      <c r="G1729" s="8"/>
      <c r="H1729" s="8"/>
      <c r="I1729" s="8"/>
      <c r="J1729" s="8"/>
      <c r="K1729" s="8"/>
    </row>
    <row r="1730">
      <c r="A1730" s="8"/>
      <c r="B1730" s="8"/>
      <c r="C1730" s="8"/>
      <c r="D1730" s="8"/>
      <c r="E1730" s="8"/>
      <c r="F1730" s="8"/>
      <c r="G1730" s="8"/>
      <c r="H1730" s="8"/>
      <c r="I1730" s="8"/>
      <c r="J1730" s="8"/>
      <c r="K1730" s="8"/>
    </row>
    <row r="1731">
      <c r="A1731" s="8"/>
      <c r="B1731" s="8"/>
      <c r="C1731" s="8"/>
      <c r="D1731" s="8"/>
      <c r="E1731" s="8"/>
      <c r="F1731" s="8"/>
      <c r="G1731" s="8"/>
      <c r="H1731" s="8"/>
      <c r="I1731" s="8"/>
      <c r="J1731" s="8"/>
      <c r="K1731" s="8"/>
    </row>
    <row r="1732">
      <c r="A1732" s="8"/>
      <c r="B1732" s="8"/>
      <c r="C1732" s="8"/>
      <c r="D1732" s="8"/>
      <c r="E1732" s="8"/>
      <c r="F1732" s="8"/>
      <c r="G1732" s="8"/>
      <c r="H1732" s="8"/>
      <c r="I1732" s="8"/>
      <c r="J1732" s="8"/>
      <c r="K1732" s="8"/>
    </row>
    <row r="1733">
      <c r="A1733" s="8"/>
      <c r="B1733" s="8"/>
      <c r="C1733" s="8"/>
      <c r="D1733" s="8"/>
      <c r="E1733" s="8"/>
      <c r="F1733" s="8"/>
      <c r="G1733" s="8"/>
      <c r="H1733" s="8"/>
      <c r="I1733" s="8"/>
      <c r="J1733" s="8"/>
      <c r="K1733" s="8"/>
    </row>
    <row r="1734">
      <c r="A1734" s="8"/>
      <c r="B1734" s="8"/>
      <c r="C1734" s="8"/>
      <c r="D1734" s="8"/>
      <c r="E1734" s="8"/>
      <c r="F1734" s="8"/>
      <c r="G1734" s="8"/>
      <c r="H1734" s="8"/>
      <c r="I1734" s="8"/>
      <c r="J1734" s="8"/>
      <c r="K1734" s="8"/>
    </row>
    <row r="1735">
      <c r="A1735" s="8"/>
      <c r="B1735" s="8"/>
      <c r="C1735" s="8"/>
      <c r="D1735" s="8"/>
      <c r="E1735" s="8"/>
      <c r="F1735" s="8"/>
      <c r="G1735" s="8"/>
      <c r="H1735" s="8"/>
      <c r="I1735" s="8"/>
      <c r="J1735" s="8"/>
      <c r="K1735" s="8"/>
    </row>
    <row r="1736">
      <c r="A1736" s="8"/>
      <c r="B1736" s="8"/>
      <c r="C1736" s="8"/>
      <c r="D1736" s="8"/>
      <c r="E1736" s="8"/>
      <c r="F1736" s="8"/>
      <c r="G1736" s="8"/>
      <c r="H1736" s="8"/>
      <c r="I1736" s="8"/>
      <c r="J1736" s="8"/>
      <c r="K1736" s="8"/>
    </row>
    <row r="1737">
      <c r="A1737" s="8"/>
      <c r="B1737" s="8"/>
      <c r="C1737" s="8"/>
      <c r="D1737" s="8"/>
      <c r="E1737" s="8"/>
      <c r="F1737" s="8"/>
      <c r="G1737" s="8"/>
      <c r="H1737" s="8"/>
      <c r="I1737" s="8"/>
      <c r="J1737" s="8"/>
      <c r="K1737" s="8"/>
    </row>
    <row r="1738">
      <c r="A1738" s="8"/>
      <c r="B1738" s="8"/>
      <c r="C1738" s="8"/>
      <c r="D1738" s="8"/>
      <c r="E1738" s="8"/>
      <c r="F1738" s="8"/>
      <c r="G1738" s="8"/>
      <c r="H1738" s="8"/>
      <c r="I1738" s="8"/>
      <c r="J1738" s="8"/>
      <c r="K1738" s="8"/>
    </row>
    <row r="1739">
      <c r="A1739" s="8"/>
      <c r="B1739" s="8"/>
      <c r="C1739" s="8"/>
      <c r="D1739" s="8"/>
      <c r="E1739" s="8"/>
      <c r="F1739" s="8"/>
      <c r="G1739" s="8"/>
      <c r="H1739" s="8"/>
      <c r="I1739" s="8"/>
      <c r="J1739" s="8"/>
      <c r="K1739" s="8"/>
    </row>
    <row r="1740">
      <c r="A1740" s="8"/>
      <c r="B1740" s="8"/>
      <c r="C1740" s="8"/>
      <c r="D1740" s="8"/>
      <c r="E1740" s="8"/>
      <c r="F1740" s="8"/>
      <c r="G1740" s="8"/>
      <c r="H1740" s="8"/>
      <c r="I1740" s="8"/>
      <c r="J1740" s="8"/>
      <c r="K1740" s="8"/>
    </row>
    <row r="1741">
      <c r="A1741" s="8"/>
      <c r="B1741" s="8"/>
      <c r="C1741" s="8"/>
      <c r="D1741" s="8"/>
      <c r="E1741" s="8"/>
      <c r="F1741" s="8"/>
      <c r="G1741" s="8"/>
      <c r="H1741" s="8"/>
      <c r="I1741" s="8"/>
      <c r="J1741" s="8"/>
      <c r="K1741" s="8"/>
    </row>
    <row r="1742">
      <c r="A1742" s="8"/>
      <c r="B1742" s="8"/>
      <c r="C1742" s="8"/>
      <c r="D1742" s="8"/>
      <c r="E1742" s="8"/>
      <c r="F1742" s="8"/>
      <c r="G1742" s="8"/>
      <c r="H1742" s="8"/>
      <c r="I1742" s="8"/>
      <c r="J1742" s="8"/>
      <c r="K1742" s="8"/>
    </row>
    <row r="1743">
      <c r="A1743" s="8"/>
      <c r="B1743" s="8"/>
      <c r="C1743" s="8"/>
      <c r="D1743" s="8"/>
      <c r="E1743" s="8"/>
      <c r="F1743" s="8"/>
      <c r="G1743" s="8"/>
      <c r="H1743" s="8"/>
      <c r="I1743" s="8"/>
      <c r="J1743" s="8"/>
      <c r="K1743" s="8"/>
    </row>
    <row r="1744">
      <c r="A1744" s="8"/>
      <c r="B1744" s="8"/>
      <c r="C1744" s="8"/>
      <c r="D1744" s="8"/>
      <c r="E1744" s="8"/>
      <c r="F1744" s="8"/>
      <c r="G1744" s="8"/>
      <c r="H1744" s="8"/>
      <c r="I1744" s="8"/>
      <c r="J1744" s="8"/>
      <c r="K1744" s="8"/>
    </row>
    <row r="1745">
      <c r="A1745" s="8"/>
      <c r="B1745" s="8"/>
      <c r="C1745" s="8"/>
      <c r="D1745" s="8"/>
      <c r="E1745" s="8"/>
      <c r="F1745" s="8"/>
      <c r="G1745" s="8"/>
      <c r="H1745" s="8"/>
      <c r="I1745" s="8"/>
      <c r="J1745" s="8"/>
      <c r="K1745" s="8"/>
    </row>
    <row r="1746">
      <c r="A1746" s="8"/>
      <c r="B1746" s="8"/>
      <c r="C1746" s="8"/>
      <c r="D1746" s="8"/>
      <c r="E1746" s="8"/>
      <c r="F1746" s="8"/>
      <c r="G1746" s="8"/>
      <c r="H1746" s="8"/>
      <c r="I1746" s="8"/>
      <c r="J1746" s="8"/>
      <c r="K1746" s="8"/>
    </row>
    <row r="1747">
      <c r="A1747" s="8"/>
      <c r="B1747" s="8"/>
      <c r="C1747" s="8"/>
      <c r="D1747" s="8"/>
      <c r="E1747" s="8"/>
      <c r="F1747" s="8"/>
      <c r="G1747" s="8"/>
      <c r="H1747" s="8"/>
      <c r="I1747" s="8"/>
      <c r="J1747" s="8"/>
      <c r="K1747" s="8"/>
    </row>
    <row r="1748">
      <c r="A1748" s="8"/>
      <c r="B1748" s="8"/>
      <c r="C1748" s="8"/>
      <c r="D1748" s="8"/>
      <c r="E1748" s="8"/>
      <c r="F1748" s="8"/>
      <c r="G1748" s="8"/>
      <c r="H1748" s="8"/>
      <c r="I1748" s="8"/>
      <c r="J1748" s="8"/>
      <c r="K1748" s="8"/>
    </row>
    <row r="1749">
      <c r="A1749" s="8"/>
      <c r="B1749" s="8"/>
      <c r="C1749" s="8"/>
      <c r="D1749" s="8"/>
      <c r="E1749" s="8"/>
      <c r="F1749" s="8"/>
      <c r="G1749" s="8"/>
      <c r="H1749" s="8"/>
      <c r="I1749" s="8"/>
      <c r="J1749" s="8"/>
      <c r="K1749" s="8"/>
    </row>
    <row r="1750">
      <c r="A1750" s="8"/>
      <c r="B1750" s="8"/>
      <c r="C1750" s="8"/>
      <c r="D1750" s="8"/>
      <c r="E1750" s="8"/>
      <c r="F1750" s="8"/>
      <c r="G1750" s="8"/>
      <c r="H1750" s="8"/>
      <c r="I1750" s="8"/>
      <c r="J1750" s="8"/>
      <c r="K1750" s="8"/>
    </row>
    <row r="1751">
      <c r="A1751" s="8"/>
      <c r="B1751" s="8"/>
      <c r="C1751" s="8"/>
      <c r="D1751" s="8"/>
      <c r="E1751" s="8"/>
      <c r="F1751" s="8"/>
      <c r="G1751" s="8"/>
      <c r="H1751" s="8"/>
      <c r="I1751" s="8"/>
      <c r="J1751" s="8"/>
      <c r="K1751" s="8"/>
    </row>
    <row r="1752">
      <c r="A1752" s="8"/>
      <c r="B1752" s="8"/>
      <c r="C1752" s="8"/>
      <c r="D1752" s="8"/>
      <c r="E1752" s="8"/>
      <c r="F1752" s="8"/>
      <c r="G1752" s="8"/>
      <c r="H1752" s="8"/>
      <c r="I1752" s="8"/>
      <c r="J1752" s="8"/>
      <c r="K1752" s="8"/>
    </row>
    <row r="1753">
      <c r="A1753" s="8"/>
      <c r="B1753" s="8"/>
      <c r="C1753" s="8"/>
      <c r="D1753" s="8"/>
      <c r="E1753" s="8"/>
      <c r="F1753" s="8"/>
      <c r="G1753" s="8"/>
      <c r="H1753" s="8"/>
      <c r="I1753" s="8"/>
      <c r="J1753" s="8"/>
      <c r="K1753" s="8"/>
    </row>
    <row r="1754">
      <c r="A1754" s="8"/>
      <c r="B1754" s="8"/>
      <c r="C1754" s="8"/>
      <c r="D1754" s="8"/>
      <c r="E1754" s="8"/>
      <c r="F1754" s="8"/>
      <c r="G1754" s="8"/>
      <c r="H1754" s="8"/>
      <c r="I1754" s="8"/>
      <c r="J1754" s="8"/>
      <c r="K1754" s="8"/>
    </row>
    <row r="1755">
      <c r="A1755" s="8"/>
      <c r="B1755" s="8"/>
      <c r="C1755" s="8"/>
      <c r="D1755" s="8"/>
      <c r="E1755" s="8"/>
      <c r="F1755" s="8"/>
      <c r="G1755" s="8"/>
      <c r="H1755" s="8"/>
      <c r="I1755" s="8"/>
      <c r="J1755" s="8"/>
      <c r="K1755" s="8"/>
    </row>
    <row r="1756">
      <c r="A1756" s="8"/>
      <c r="B1756" s="8"/>
      <c r="C1756" s="8"/>
      <c r="D1756" s="8"/>
      <c r="E1756" s="8"/>
      <c r="F1756" s="8"/>
      <c r="G1756" s="8"/>
      <c r="H1756" s="8"/>
      <c r="I1756" s="8"/>
      <c r="J1756" s="8"/>
      <c r="K1756" s="8"/>
    </row>
    <row r="1757">
      <c r="A1757" s="8"/>
      <c r="B1757" s="8"/>
      <c r="C1757" s="8"/>
      <c r="D1757" s="8"/>
      <c r="E1757" s="8"/>
      <c r="F1757" s="8"/>
      <c r="G1757" s="8"/>
      <c r="H1757" s="8"/>
      <c r="I1757" s="8"/>
      <c r="J1757" s="8"/>
      <c r="K1757" s="8"/>
    </row>
    <row r="1758">
      <c r="A1758" s="8"/>
      <c r="B1758" s="8"/>
      <c r="C1758" s="8"/>
      <c r="D1758" s="8"/>
      <c r="E1758" s="8"/>
      <c r="F1758" s="8"/>
      <c r="G1758" s="8"/>
      <c r="H1758" s="8"/>
      <c r="I1758" s="8"/>
      <c r="J1758" s="8"/>
      <c r="K1758" s="8"/>
    </row>
    <row r="1759">
      <c r="A1759" s="8"/>
      <c r="B1759" s="8"/>
      <c r="C1759" s="8"/>
      <c r="D1759" s="8"/>
      <c r="E1759" s="8"/>
      <c r="F1759" s="8"/>
      <c r="G1759" s="8"/>
      <c r="H1759" s="8"/>
      <c r="I1759" s="8"/>
      <c r="J1759" s="8"/>
      <c r="K1759" s="8"/>
    </row>
    <row r="1760">
      <c r="A1760" s="8"/>
      <c r="B1760" s="8"/>
      <c r="C1760" s="8"/>
      <c r="D1760" s="8"/>
      <c r="E1760" s="8"/>
      <c r="F1760" s="8"/>
      <c r="G1760" s="8"/>
      <c r="H1760" s="8"/>
      <c r="I1760" s="8"/>
      <c r="J1760" s="8"/>
      <c r="K1760" s="8"/>
    </row>
    <row r="1761">
      <c r="A1761" s="8"/>
      <c r="B1761" s="8"/>
      <c r="C1761" s="8"/>
      <c r="D1761" s="8"/>
      <c r="E1761" s="8"/>
      <c r="F1761" s="8"/>
      <c r="G1761" s="8"/>
      <c r="H1761" s="8"/>
      <c r="I1761" s="8"/>
      <c r="J1761" s="8"/>
      <c r="K1761" s="8"/>
    </row>
    <row r="1762">
      <c r="A1762" s="8"/>
      <c r="B1762" s="8"/>
      <c r="C1762" s="8"/>
      <c r="D1762" s="8"/>
      <c r="E1762" s="8"/>
      <c r="F1762" s="8"/>
      <c r="G1762" s="8"/>
      <c r="H1762" s="8"/>
      <c r="I1762" s="8"/>
      <c r="J1762" s="8"/>
      <c r="K1762" s="8"/>
    </row>
    <row r="1763">
      <c r="A1763" s="8"/>
      <c r="B1763" s="8"/>
      <c r="C1763" s="8"/>
      <c r="D1763" s="8"/>
      <c r="E1763" s="8"/>
      <c r="F1763" s="8"/>
      <c r="G1763" s="8"/>
      <c r="H1763" s="8"/>
      <c r="I1763" s="8"/>
      <c r="J1763" s="8"/>
      <c r="K1763" s="8"/>
    </row>
    <row r="1764">
      <c r="A1764" s="8"/>
      <c r="B1764" s="8"/>
      <c r="C1764" s="8"/>
      <c r="D1764" s="8"/>
      <c r="E1764" s="8"/>
      <c r="F1764" s="8"/>
      <c r="G1764" s="8"/>
      <c r="H1764" s="8"/>
      <c r="I1764" s="8"/>
      <c r="J1764" s="8"/>
      <c r="K1764" s="8"/>
    </row>
    <row r="1765">
      <c r="A1765" s="8"/>
      <c r="B1765" s="8"/>
      <c r="C1765" s="8"/>
      <c r="D1765" s="8"/>
      <c r="E1765" s="8"/>
      <c r="F1765" s="8"/>
      <c r="G1765" s="8"/>
      <c r="H1765" s="8"/>
      <c r="I1765" s="8"/>
      <c r="J1765" s="8"/>
      <c r="K1765" s="8"/>
    </row>
    <row r="1766">
      <c r="A1766" s="8"/>
      <c r="B1766" s="8"/>
      <c r="C1766" s="8"/>
      <c r="D1766" s="8"/>
      <c r="E1766" s="8"/>
      <c r="F1766" s="8"/>
      <c r="G1766" s="8"/>
      <c r="H1766" s="8"/>
      <c r="I1766" s="8"/>
      <c r="J1766" s="8"/>
      <c r="K1766" s="8"/>
    </row>
    <row r="1767">
      <c r="A1767" s="8"/>
      <c r="B1767" s="8"/>
      <c r="C1767" s="8"/>
      <c r="D1767" s="8"/>
      <c r="E1767" s="8"/>
      <c r="F1767" s="8"/>
      <c r="G1767" s="8"/>
      <c r="H1767" s="8"/>
      <c r="I1767" s="8"/>
      <c r="J1767" s="8"/>
      <c r="K1767" s="8"/>
    </row>
    <row r="1768">
      <c r="A1768" s="8"/>
      <c r="B1768" s="8"/>
      <c r="C1768" s="8"/>
      <c r="D1768" s="8"/>
      <c r="E1768" s="8"/>
      <c r="F1768" s="8"/>
      <c r="G1768" s="8"/>
      <c r="H1768" s="8"/>
      <c r="I1768" s="8"/>
      <c r="J1768" s="8"/>
      <c r="K1768" s="8"/>
    </row>
    <row r="1769">
      <c r="A1769" s="8"/>
      <c r="B1769" s="8"/>
      <c r="C1769" s="8"/>
      <c r="D1769" s="8"/>
      <c r="E1769" s="8"/>
      <c r="F1769" s="8"/>
      <c r="G1769" s="8"/>
      <c r="H1769" s="8"/>
      <c r="I1769" s="8"/>
      <c r="J1769" s="8"/>
      <c r="K1769" s="8"/>
    </row>
    <row r="1770">
      <c r="A1770" s="8"/>
      <c r="B1770" s="8"/>
      <c r="C1770" s="8"/>
      <c r="D1770" s="8"/>
      <c r="E1770" s="8"/>
      <c r="F1770" s="8"/>
      <c r="G1770" s="8"/>
      <c r="H1770" s="8"/>
      <c r="I1770" s="8"/>
      <c r="J1770" s="8"/>
      <c r="K1770" s="8"/>
    </row>
    <row r="1771">
      <c r="A1771" s="8"/>
      <c r="B1771" s="8"/>
      <c r="C1771" s="8"/>
      <c r="D1771" s="8"/>
      <c r="E1771" s="8"/>
      <c r="F1771" s="8"/>
      <c r="G1771" s="8"/>
      <c r="H1771" s="8"/>
      <c r="I1771" s="8"/>
      <c r="J1771" s="8"/>
      <c r="K1771" s="8"/>
    </row>
    <row r="1772">
      <c r="A1772" s="8"/>
      <c r="B1772" s="8"/>
      <c r="C1772" s="8"/>
      <c r="D1772" s="8"/>
      <c r="E1772" s="8"/>
      <c r="F1772" s="8"/>
      <c r="G1772" s="8"/>
      <c r="H1772" s="8"/>
      <c r="I1772" s="8"/>
      <c r="J1772" s="8"/>
      <c r="K1772" s="8"/>
    </row>
    <row r="1773">
      <c r="A1773" s="8"/>
      <c r="B1773" s="8"/>
      <c r="C1773" s="8"/>
      <c r="D1773" s="8"/>
      <c r="E1773" s="8"/>
      <c r="F1773" s="8"/>
      <c r="G1773" s="8"/>
      <c r="H1773" s="8"/>
      <c r="I1773" s="8"/>
      <c r="J1773" s="8"/>
      <c r="K1773" s="8"/>
    </row>
    <row r="1774">
      <c r="A1774" s="8"/>
      <c r="B1774" s="8"/>
      <c r="C1774" s="8"/>
      <c r="D1774" s="8"/>
      <c r="E1774" s="8"/>
      <c r="F1774" s="8"/>
      <c r="G1774" s="8"/>
      <c r="H1774" s="8"/>
      <c r="I1774" s="8"/>
      <c r="J1774" s="8"/>
      <c r="K1774" s="8"/>
    </row>
    <row r="1775">
      <c r="A1775" s="8"/>
      <c r="B1775" s="8"/>
      <c r="C1775" s="8"/>
      <c r="D1775" s="8"/>
      <c r="E1775" s="8"/>
      <c r="F1775" s="8"/>
      <c r="G1775" s="8"/>
      <c r="H1775" s="8"/>
      <c r="I1775" s="8"/>
      <c r="J1775" s="8"/>
      <c r="K1775" s="8"/>
    </row>
    <row r="1776">
      <c r="A1776" s="8"/>
      <c r="B1776" s="8"/>
      <c r="C1776" s="8"/>
      <c r="D1776" s="8"/>
      <c r="E1776" s="8"/>
      <c r="F1776" s="8"/>
      <c r="G1776" s="8"/>
      <c r="H1776" s="8"/>
      <c r="I1776" s="8"/>
      <c r="J1776" s="8"/>
      <c r="K1776" s="8"/>
    </row>
    <row r="1777">
      <c r="A1777" s="8"/>
      <c r="B1777" s="8"/>
      <c r="C1777" s="8"/>
      <c r="D1777" s="8"/>
      <c r="E1777" s="8"/>
      <c r="F1777" s="8"/>
      <c r="G1777" s="8"/>
      <c r="H1777" s="8"/>
      <c r="I1777" s="8"/>
      <c r="J1777" s="8"/>
      <c r="K1777" s="8"/>
    </row>
    <row r="1778">
      <c r="A1778" s="8"/>
      <c r="B1778" s="8"/>
      <c r="C1778" s="8"/>
      <c r="D1778" s="8"/>
      <c r="E1778" s="8"/>
      <c r="F1778" s="8"/>
      <c r="G1778" s="8"/>
      <c r="H1778" s="8"/>
      <c r="I1778" s="8"/>
      <c r="J1778" s="8"/>
      <c r="K1778" s="8"/>
    </row>
    <row r="1779">
      <c r="A1779" s="8"/>
      <c r="B1779" s="8"/>
      <c r="C1779" s="8"/>
      <c r="D1779" s="8"/>
      <c r="E1779" s="8"/>
      <c r="F1779" s="8"/>
      <c r="G1779" s="8"/>
      <c r="H1779" s="8"/>
      <c r="I1779" s="8"/>
      <c r="J1779" s="8"/>
      <c r="K1779" s="8"/>
    </row>
    <row r="1780">
      <c r="A1780" s="8"/>
      <c r="B1780" s="8"/>
      <c r="C1780" s="8"/>
      <c r="D1780" s="8"/>
      <c r="E1780" s="8"/>
      <c r="F1780" s="8"/>
      <c r="G1780" s="8"/>
      <c r="H1780" s="8"/>
      <c r="I1780" s="8"/>
      <c r="J1780" s="8"/>
      <c r="K1780" s="8"/>
    </row>
    <row r="1781">
      <c r="A1781" s="8"/>
      <c r="B1781" s="8"/>
      <c r="C1781" s="8"/>
      <c r="D1781" s="8"/>
      <c r="E1781" s="8"/>
      <c r="F1781" s="8"/>
      <c r="G1781" s="8"/>
      <c r="H1781" s="8"/>
      <c r="I1781" s="8"/>
      <c r="J1781" s="8"/>
      <c r="K1781" s="8"/>
    </row>
    <row r="1782">
      <c r="A1782" s="8"/>
      <c r="B1782" s="8"/>
      <c r="C1782" s="8"/>
      <c r="D1782" s="8"/>
      <c r="E1782" s="8"/>
      <c r="F1782" s="8"/>
      <c r="G1782" s="8"/>
      <c r="H1782" s="8"/>
      <c r="I1782" s="8"/>
      <c r="J1782" s="8"/>
      <c r="K1782" s="8"/>
    </row>
    <row r="1783">
      <c r="A1783" s="8"/>
      <c r="B1783" s="8"/>
      <c r="C1783" s="8"/>
      <c r="D1783" s="8"/>
      <c r="E1783" s="8"/>
      <c r="F1783" s="8"/>
      <c r="G1783" s="8"/>
      <c r="H1783" s="8"/>
      <c r="I1783" s="8"/>
      <c r="J1783" s="8"/>
      <c r="K1783" s="8"/>
    </row>
    <row r="1784">
      <c r="A1784" s="8"/>
      <c r="B1784" s="8"/>
      <c r="C1784" s="8"/>
      <c r="D1784" s="8"/>
      <c r="E1784" s="8"/>
      <c r="F1784" s="8"/>
      <c r="G1784" s="8"/>
      <c r="H1784" s="8"/>
      <c r="I1784" s="8"/>
      <c r="J1784" s="8"/>
      <c r="K1784" s="8"/>
    </row>
    <row r="1785">
      <c r="A1785" s="8"/>
      <c r="B1785" s="8"/>
      <c r="C1785" s="8"/>
      <c r="D1785" s="8"/>
      <c r="E1785" s="8"/>
      <c r="F1785" s="8"/>
      <c r="G1785" s="8"/>
      <c r="H1785" s="8"/>
      <c r="I1785" s="8"/>
      <c r="J1785" s="8"/>
      <c r="K1785" s="8"/>
    </row>
    <row r="1786">
      <c r="A1786" s="8"/>
      <c r="B1786" s="8"/>
      <c r="C1786" s="8"/>
      <c r="D1786" s="8"/>
      <c r="E1786" s="8"/>
      <c r="F1786" s="8"/>
      <c r="G1786" s="8"/>
      <c r="H1786" s="8"/>
      <c r="I1786" s="8"/>
      <c r="J1786" s="8"/>
      <c r="K1786" s="8"/>
    </row>
    <row r="1787">
      <c r="A1787" s="8"/>
      <c r="B1787" s="8"/>
      <c r="C1787" s="8"/>
      <c r="D1787" s="8"/>
      <c r="E1787" s="8"/>
      <c r="F1787" s="8"/>
      <c r="G1787" s="8"/>
      <c r="H1787" s="8"/>
      <c r="I1787" s="8"/>
      <c r="J1787" s="8"/>
      <c r="K1787" s="8"/>
    </row>
    <row r="1788">
      <c r="A1788" s="8"/>
      <c r="B1788" s="8"/>
      <c r="C1788" s="8"/>
      <c r="D1788" s="8"/>
      <c r="E1788" s="8"/>
      <c r="F1788" s="8"/>
      <c r="G1788" s="8"/>
      <c r="H1788" s="8"/>
      <c r="I1788" s="8"/>
      <c r="J1788" s="8"/>
      <c r="K1788" s="8"/>
    </row>
    <row r="1789">
      <c r="A1789" s="8"/>
      <c r="B1789" s="8"/>
      <c r="C1789" s="8"/>
      <c r="D1789" s="8"/>
      <c r="E1789" s="8"/>
      <c r="F1789" s="8"/>
      <c r="G1789" s="8"/>
      <c r="H1789" s="8"/>
      <c r="I1789" s="8"/>
      <c r="J1789" s="8"/>
      <c r="K1789" s="8"/>
    </row>
    <row r="1790">
      <c r="A1790" s="8"/>
      <c r="B1790" s="8"/>
      <c r="C1790" s="8"/>
      <c r="D1790" s="8"/>
      <c r="E1790" s="8"/>
      <c r="F1790" s="8"/>
      <c r="G1790" s="8"/>
      <c r="H1790" s="8"/>
      <c r="I1790" s="8"/>
      <c r="J1790" s="8"/>
      <c r="K1790" s="8"/>
    </row>
    <row r="1791">
      <c r="A1791" s="8"/>
      <c r="B1791" s="8"/>
      <c r="C1791" s="8"/>
      <c r="D1791" s="8"/>
      <c r="E1791" s="8"/>
      <c r="F1791" s="8"/>
      <c r="G1791" s="8"/>
      <c r="H1791" s="8"/>
      <c r="I1791" s="8"/>
      <c r="J1791" s="8"/>
      <c r="K1791" s="8"/>
    </row>
    <row r="1792">
      <c r="A1792" s="8"/>
      <c r="B1792" s="8"/>
      <c r="C1792" s="8"/>
      <c r="D1792" s="8"/>
      <c r="E1792" s="8"/>
      <c r="F1792" s="8"/>
      <c r="G1792" s="8"/>
      <c r="H1792" s="8"/>
      <c r="I1792" s="8"/>
      <c r="J1792" s="8"/>
      <c r="K1792" s="8"/>
    </row>
    <row r="1793">
      <c r="A1793" s="8"/>
      <c r="B1793" s="8"/>
      <c r="C1793" s="8"/>
      <c r="D1793" s="8"/>
      <c r="E1793" s="8"/>
      <c r="F1793" s="8"/>
      <c r="G1793" s="8"/>
      <c r="H1793" s="8"/>
      <c r="I1793" s="8"/>
      <c r="J1793" s="8"/>
      <c r="K1793" s="8"/>
    </row>
    <row r="1794">
      <c r="A1794" s="8"/>
      <c r="B1794" s="8"/>
      <c r="C1794" s="8"/>
      <c r="D1794" s="8"/>
      <c r="E1794" s="8"/>
      <c r="F1794" s="8"/>
      <c r="G1794" s="8"/>
      <c r="H1794" s="8"/>
      <c r="I1794" s="8"/>
      <c r="J1794" s="8"/>
      <c r="K1794" s="8"/>
    </row>
    <row r="1795">
      <c r="A1795" s="8"/>
      <c r="B1795" s="8"/>
      <c r="C1795" s="8"/>
      <c r="D1795" s="8"/>
      <c r="E1795" s="8"/>
      <c r="F1795" s="8"/>
      <c r="G1795" s="8"/>
      <c r="H1795" s="8"/>
      <c r="I1795" s="8"/>
      <c r="J1795" s="8"/>
      <c r="K1795" s="8"/>
    </row>
    <row r="1796">
      <c r="A1796" s="8"/>
      <c r="B1796" s="8"/>
      <c r="C1796" s="8"/>
      <c r="D1796" s="8"/>
      <c r="E1796" s="8"/>
      <c r="F1796" s="8"/>
      <c r="G1796" s="8"/>
      <c r="H1796" s="8"/>
      <c r="I1796" s="8"/>
      <c r="J1796" s="8"/>
      <c r="K1796" s="8"/>
    </row>
    <row r="1797">
      <c r="A1797" s="8"/>
      <c r="B1797" s="8"/>
      <c r="C1797" s="8"/>
      <c r="D1797" s="8"/>
      <c r="E1797" s="8"/>
      <c r="F1797" s="8"/>
      <c r="G1797" s="8"/>
      <c r="H1797" s="8"/>
      <c r="I1797" s="8"/>
      <c r="J1797" s="8"/>
      <c r="K1797" s="8"/>
    </row>
    <row r="1798">
      <c r="A1798" s="8"/>
      <c r="B1798" s="8"/>
      <c r="C1798" s="8"/>
      <c r="D1798" s="8"/>
      <c r="E1798" s="8"/>
      <c r="F1798" s="8"/>
      <c r="G1798" s="8"/>
      <c r="H1798" s="8"/>
      <c r="I1798" s="8"/>
      <c r="J1798" s="8"/>
      <c r="K1798" s="8"/>
    </row>
    <row r="1799">
      <c r="A1799" s="8"/>
      <c r="B1799" s="8"/>
      <c r="C1799" s="8"/>
      <c r="D1799" s="8"/>
      <c r="E1799" s="8"/>
      <c r="F1799" s="8"/>
      <c r="G1799" s="8"/>
      <c r="H1799" s="8"/>
      <c r="I1799" s="8"/>
      <c r="J1799" s="8"/>
      <c r="K1799" s="8"/>
    </row>
    <row r="1800">
      <c r="A1800" s="8"/>
      <c r="B1800" s="8"/>
      <c r="C1800" s="8"/>
      <c r="D1800" s="8"/>
      <c r="E1800" s="8"/>
      <c r="F1800" s="8"/>
      <c r="G1800" s="8"/>
      <c r="H1800" s="8"/>
      <c r="I1800" s="8"/>
      <c r="J1800" s="8"/>
      <c r="K1800" s="8"/>
    </row>
    <row r="1801">
      <c r="A1801" s="8"/>
      <c r="B1801" s="8"/>
      <c r="C1801" s="8"/>
      <c r="D1801" s="8"/>
      <c r="E1801" s="8"/>
      <c r="F1801" s="8"/>
      <c r="G1801" s="8"/>
      <c r="H1801" s="8"/>
      <c r="I1801" s="8"/>
      <c r="J1801" s="8"/>
      <c r="K1801" s="8"/>
    </row>
  </sheetData>
  <autoFilter ref="$A$1:$K$1801"/>
  <conditionalFormatting sqref="A1:K1801">
    <cfRule type="containsBlanks" dxfId="1" priority="1">
      <formula>LEN(TRIM(A1))=0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4.13"/>
  </cols>
  <sheetData>
    <row r="1">
      <c r="A1" s="8" t="str">
        <f>IFERROR(__xludf.DUMMYFUNCTION("query(Data!A1:K2208,""SELECT A, B, C, D, E, F, G, H, I, J, K WHERE G=1 AND F&lt;=3"",1)"),"Operation_id")</f>
        <v>Operation_id</v>
      </c>
      <c r="B1" s="8" t="str">
        <f>IFERROR(__xludf.DUMMYFUNCTION("""COMPUTED_VALUE"""),"Clothing_ID")</f>
        <v>Clothing_ID</v>
      </c>
      <c r="C1" s="8" t="str">
        <f>IFERROR(__xludf.DUMMYFUNCTION("""COMPUTED_VALUE"""),"Age")</f>
        <v>Age</v>
      </c>
      <c r="D1" s="8" t="str">
        <f>IFERROR(__xludf.DUMMYFUNCTION("""COMPUTED_VALUE"""),"Title")</f>
        <v>Title</v>
      </c>
      <c r="E1" s="15" t="str">
        <f>IFERROR(__xludf.DUMMYFUNCTION("""COMPUTED_VALUE"""),"Review_Text")</f>
        <v>Review_Text</v>
      </c>
      <c r="F1" s="8" t="str">
        <f>IFERROR(__xludf.DUMMYFUNCTION("""COMPUTED_VALUE"""),"Rating")</f>
        <v>Rating</v>
      </c>
      <c r="G1" s="8" t="str">
        <f>IFERROR(__xludf.DUMMYFUNCTION("""COMPUTED_VALUE"""),"Recommended_IND")</f>
        <v>Recommended_IND</v>
      </c>
      <c r="H1" s="8" t="str">
        <f>IFERROR(__xludf.DUMMYFUNCTION("""COMPUTED_VALUE"""),"Positive_Feedback_Count")</f>
        <v>Positive_Feedback_Count</v>
      </c>
      <c r="I1" s="8" t="str">
        <f>IFERROR(__xludf.DUMMYFUNCTION("""COMPUTED_VALUE"""),"Division_Name")</f>
        <v>Division_Name</v>
      </c>
      <c r="J1" s="8" t="str">
        <f>IFERROR(__xludf.DUMMYFUNCTION("""COMPUTED_VALUE"""),"Department_Name")</f>
        <v>Department_Name</v>
      </c>
      <c r="K1" s="8" t="str">
        <f>IFERROR(__xludf.DUMMYFUNCTION("""COMPUTED_VALUE"""),"Class_Name")</f>
        <v>Class_Name</v>
      </c>
      <c r="L1" s="7" t="s">
        <v>3757</v>
      </c>
    </row>
    <row r="2">
      <c r="A2" s="8">
        <f>IFERROR(__xludf.DUMMYFUNCTION("""COMPUTED_VALUE"""),14.0)</f>
        <v>14</v>
      </c>
      <c r="B2" s="8">
        <f>IFERROR(__xludf.DUMMYFUNCTION("""COMPUTED_VALUE"""),1077.0)</f>
        <v>1077</v>
      </c>
      <c r="C2" s="8">
        <f>IFERROR(__xludf.DUMMYFUNCTION("""COMPUTED_VALUE"""),50.0)</f>
        <v>50</v>
      </c>
      <c r="D2" s="8" t="str">
        <f>IFERROR(__xludf.DUMMYFUNCTION("""COMPUTED_VALUE"""),"Pretty party dress with some issues")</f>
        <v>Pretty party dress with some issues</v>
      </c>
      <c r="E2" s="15" t="str">
        <f>IFERROR(__xludf.DUMMYFUNCTION("""COMPUTED_VALUE"""),"This is a nice choice for holiday gatherings. i like that the length grazes the knee so it is conservative enough for office related gatherings. the size small fit me well - i am usually a size 2/4 with a small bust. in my opinion it runs small and those "&amp;"with larger busts will definitely have to size up (but then perhaps the waist will be too big). the problem with this dress is the quality. the fabrics are terrible. the delicate netting type fabric on the top layer of skirt got stuck in the zip")</f>
        <v>This is a nice choice for holiday gatherings. i like that the length grazes the knee so it is conservative enough for office related gatherings. the size small fit me well - i am usually a size 2/4 with a small bust. in my opinion it runs small and those with larger busts will definitely have to size up (but then perhaps the waist will be too big). the problem with this dress is the quality. the fabrics are terrible. the delicate netting type fabric on the top layer of skirt got stuck in the zip</v>
      </c>
      <c r="F2" s="8">
        <f>IFERROR(__xludf.DUMMYFUNCTION("""COMPUTED_VALUE"""),3.0)</f>
        <v>3</v>
      </c>
      <c r="G2" s="8">
        <f>IFERROR(__xludf.DUMMYFUNCTION("""COMPUTED_VALUE"""),1.0)</f>
        <v>1</v>
      </c>
      <c r="H2" s="8">
        <f>IFERROR(__xludf.DUMMYFUNCTION("""COMPUTED_VALUE"""),1.0)</f>
        <v>1</v>
      </c>
      <c r="I2" s="8" t="str">
        <f>IFERROR(__xludf.DUMMYFUNCTION("""COMPUTED_VALUE"""),"General")</f>
        <v>General</v>
      </c>
      <c r="J2" s="8" t="str">
        <f>IFERROR(__xludf.DUMMYFUNCTION("""COMPUTED_VALUE"""),"Dresses")</f>
        <v>Dresses</v>
      </c>
      <c r="K2" s="8" t="str">
        <f>IFERROR(__xludf.DUMMYFUNCTION("""COMPUTED_VALUE"""),"Dresses")</f>
        <v>Dresses</v>
      </c>
      <c r="L2" s="8" t="str">
        <f t="shared" ref="L2:L129" si="1">if($E2&gt;0,join("-",if(or(isnumber(match("*so*large*",$E2,0)),,isnumber(match("*large*",$E2,0)),isnumber(match("*big*me*",$E2,0)),isnumber(match("*small*",$E2,0)),isnumber(match("*tight*",$E2,0)),isnumber(match("n't*fit*",$E2,0)),isnumber(match("*size*",$E2,0)),isnumber(match("*not*fit*",$E2,0)),isnumber(match("*large*chest*",$E2,0)),isnumber(match("*smal*chest*",$E2,0)),isnumber(match("*smal*sleeve*",$E2,0)),isnumber(match("*large*sleeve*",$E2,0)),isnumber(match("*long*sleeve*",$E2,0)),isnumber(match("*sleeve*",$E2,0)),isnumber(match("*long*",$E2,0)),isnumber(match("*short*",$E2,0)),isnumber(match("*longer*",$E2,0)),isnumber(match("*shorter*",$E2,0)),isnumber(match("*wide*",$E2,0)),isnumber(match("*narrow*",$E2,0)),isnumber(match("*very*short*",$E2,0)),isnumber(match("*boxy*",$E2,0)),isnumber(match("*very*long*",$E2,0))),"Size issue",""),if(or(isnumber(match("*ich*",$E2,0)),isnumber(match("*problem*fabric*",$E2,0)),isnumber(match("subpar*",$E2,0)),isnumber(match("*felted*",$E2,0)),isnumber(match("*hole*",$E2,0)),isnumber(match("*bad*fabric*",$E2,0)),isnumber(match("*material*",$E2,0))),"Fabric issue",""),if(or(isnumber(match("*bad*styl*",$E2,0)),isnumber(match("*un*ravel*",$E2,0)),isnumber(match("*not*styl*",$E2,0)),isnumber(match("*cheap*",$E2,0)),isnumber(match("*uder*layer*",$E2,0)),isnumber(match("*design*",$E2,0)),isnumber(match("*loose*",$E2,0))),"Style issue",""),if(or(isnumber(match("*pricey*",$E2,0)),isnumber(match("*over*price*",$E2,0)),isnumber(match("*expensive*",$E2,0)),isnumber(match("*high*price*",$E2,0))),"Price issue",""),if(isnumber(match("*model*",$E2,0)),"Matching Awareness issue","")),"")</f>
        <v>Size issue-Fabric issue---</v>
      </c>
    </row>
    <row r="3">
      <c r="A3" s="8">
        <f>IFERROR(__xludf.DUMMYFUNCTION("""COMPUTED_VALUE"""),16.0)</f>
        <v>16</v>
      </c>
      <c r="B3" s="8">
        <f>IFERROR(__xludf.DUMMYFUNCTION("""COMPUTED_VALUE"""),1065.0)</f>
        <v>1065</v>
      </c>
      <c r="C3" s="8">
        <f>IFERROR(__xludf.DUMMYFUNCTION("""COMPUTED_VALUE"""),34.0)</f>
        <v>34</v>
      </c>
      <c r="D3" s="8" t="str">
        <f>IFERROR(__xludf.DUMMYFUNCTION("""COMPUTED_VALUE"""),"You need to be at least average height, or taller")</f>
        <v>You need to be at least average height, or taller</v>
      </c>
      <c r="E3" s="15" t="str">
        <f>IFERROR(__xludf.DUMMYFUNCTION("""COMPUTED_VALUE"""),"Material and color is nice.  the leg opening is very large.  i am 5'1 (100#) and the length hits me right above my ankle.  with a leg opening the size of my waist and hem line above my ankle, and front pleats to make me fluffy, i think you can imagine tha"&amp;"t it is not a flattering look.  if you are at least average height or taller, this may look good on you.")</f>
        <v>Material and color is nice.  the leg opening is very large.  i am 5'1 (100#) and the length hits me right above my ankle.  with a leg opening the size of my waist and hem line above my ankle, and front pleats to make me fluffy, i think you can imagine that it is not a flattering look.  if you are at least average height or taller, this may look good on you.</v>
      </c>
      <c r="F3" s="8">
        <f>IFERROR(__xludf.DUMMYFUNCTION("""COMPUTED_VALUE"""),3.0)</f>
        <v>3</v>
      </c>
      <c r="G3" s="8">
        <f>IFERROR(__xludf.DUMMYFUNCTION("""COMPUTED_VALUE"""),1.0)</f>
        <v>1</v>
      </c>
      <c r="H3" s="8">
        <f>IFERROR(__xludf.DUMMYFUNCTION("""COMPUTED_VALUE"""),2.0)</f>
        <v>2</v>
      </c>
      <c r="I3" s="8" t="str">
        <f>IFERROR(__xludf.DUMMYFUNCTION("""COMPUTED_VALUE"""),"General")</f>
        <v>General</v>
      </c>
      <c r="J3" s="8" t="str">
        <f>IFERROR(__xludf.DUMMYFUNCTION("""COMPUTED_VALUE"""),"Bottoms")</f>
        <v>Bottoms</v>
      </c>
      <c r="K3" s="8" t="str">
        <f>IFERROR(__xludf.DUMMYFUNCTION("""COMPUTED_VALUE"""),"Pants")</f>
        <v>Pants</v>
      </c>
      <c r="L3" s="8" t="str">
        <f t="shared" si="1"/>
        <v>Size issue-Fabric issue---</v>
      </c>
    </row>
    <row r="4">
      <c r="A4" s="8">
        <f>IFERROR(__xludf.DUMMYFUNCTION("""COMPUTED_VALUE"""),23.0)</f>
        <v>23</v>
      </c>
      <c r="B4" s="8">
        <f>IFERROR(__xludf.DUMMYFUNCTION("""COMPUTED_VALUE"""),1077.0)</f>
        <v>1077</v>
      </c>
      <c r="C4" s="8">
        <f>IFERROR(__xludf.DUMMYFUNCTION("""COMPUTED_VALUE"""),34.0)</f>
        <v>34</v>
      </c>
      <c r="D4" s="8" t="str">
        <f>IFERROR(__xludf.DUMMYFUNCTION("""COMPUTED_VALUE"""),"Like it, but don't love it.")</f>
        <v>Like it, but don't love it.</v>
      </c>
      <c r="E4" s="15" t="str">
        <f>IFERROR(__xludf.DUMMYFUNCTION("""COMPUTED_VALUE"""),"Cute little dress fits tts. it is a little high waisted. good length for my 5'9 height. i like the dress, i'm just not in love with it. i dont think it looks or feels cheap. it appears just as pictured.")</f>
        <v>Cute little dress fits tts. it is a little high waisted. good length for my 5'9 height. i like the dress, i'm just not in love with it. i dont think it looks or feels cheap. it appears just as pictured.</v>
      </c>
      <c r="F4" s="8">
        <f>IFERROR(__xludf.DUMMYFUNCTION("""COMPUTED_VALUE"""),3.0)</f>
        <v>3</v>
      </c>
      <c r="G4" s="8">
        <f>IFERROR(__xludf.DUMMYFUNCTION("""COMPUTED_VALUE"""),1.0)</f>
        <v>1</v>
      </c>
      <c r="H4" s="8">
        <f>IFERROR(__xludf.DUMMYFUNCTION("""COMPUTED_VALUE"""),0.0)</f>
        <v>0</v>
      </c>
      <c r="I4" s="8" t="str">
        <f>IFERROR(__xludf.DUMMYFUNCTION("""COMPUTED_VALUE"""),"General")</f>
        <v>General</v>
      </c>
      <c r="J4" s="8" t="str">
        <f>IFERROR(__xludf.DUMMYFUNCTION("""COMPUTED_VALUE"""),"Dresses")</f>
        <v>Dresses</v>
      </c>
      <c r="K4" s="8" t="str">
        <f>IFERROR(__xludf.DUMMYFUNCTION("""COMPUTED_VALUE"""),"Dresses")</f>
        <v>Dresses</v>
      </c>
      <c r="L4" s="8" t="str">
        <f t="shared" si="1"/>
        <v>--Style issue--</v>
      </c>
    </row>
    <row r="5">
      <c r="A5" s="8">
        <f>IFERROR(__xludf.DUMMYFUNCTION("""COMPUTED_VALUE"""),52.0)</f>
        <v>52</v>
      </c>
      <c r="B5" s="8">
        <f>IFERROR(__xludf.DUMMYFUNCTION("""COMPUTED_VALUE"""),1104.0)</f>
        <v>1104</v>
      </c>
      <c r="C5" s="8">
        <f>IFERROR(__xludf.DUMMYFUNCTION("""COMPUTED_VALUE"""),39.0)</f>
        <v>39</v>
      </c>
      <c r="D5" s="8"/>
      <c r="E5" s="15" t="str">
        <f>IFERROR(__xludf.DUMMYFUNCTION("""COMPUTED_VALUE"""),"Love the color and style, but material snags easily")</f>
        <v>Love the color and style, but material snags easily</v>
      </c>
      <c r="F5" s="8">
        <f>IFERROR(__xludf.DUMMYFUNCTION("""COMPUTED_VALUE"""),3.0)</f>
        <v>3</v>
      </c>
      <c r="G5" s="8">
        <f>IFERROR(__xludf.DUMMYFUNCTION("""COMPUTED_VALUE"""),1.0)</f>
        <v>1</v>
      </c>
      <c r="H5" s="8">
        <f>IFERROR(__xludf.DUMMYFUNCTION("""COMPUTED_VALUE"""),3.0)</f>
        <v>3</v>
      </c>
      <c r="I5" s="8" t="str">
        <f>IFERROR(__xludf.DUMMYFUNCTION("""COMPUTED_VALUE"""),"General")</f>
        <v>General</v>
      </c>
      <c r="J5" s="8" t="str">
        <f>IFERROR(__xludf.DUMMYFUNCTION("""COMPUTED_VALUE"""),"Dresses")</f>
        <v>Dresses</v>
      </c>
      <c r="K5" s="8" t="str">
        <f>IFERROR(__xludf.DUMMYFUNCTION("""COMPUTED_VALUE"""),"Dresses")</f>
        <v>Dresses</v>
      </c>
      <c r="L5" s="8" t="str">
        <f t="shared" si="1"/>
        <v>-Fabric issue---</v>
      </c>
    </row>
    <row r="6">
      <c r="A6" s="8">
        <f>IFERROR(__xludf.DUMMYFUNCTION("""COMPUTED_VALUE"""),84.0)</f>
        <v>84</v>
      </c>
      <c r="B6" s="8">
        <f>IFERROR(__xludf.DUMMYFUNCTION("""COMPUTED_VALUE"""),861.0)</f>
        <v>861</v>
      </c>
      <c r="C6" s="8">
        <f>IFERROR(__xludf.DUMMYFUNCTION("""COMPUTED_VALUE"""),37.0)</f>
        <v>37</v>
      </c>
      <c r="D6" s="8" t="str">
        <f>IFERROR(__xludf.DUMMYFUNCTION("""COMPUTED_VALUE"""),"Casual &amp; unique tee")</f>
        <v>Casual &amp; unique tee</v>
      </c>
      <c r="E6" s="15" t="str">
        <f>IFERROR(__xludf.DUMMYFUNCTION("""COMPUTED_VALUE"""),"I received this shirt in my typical xs and it fits perfectly. i?m not crazy in love with it but i also don?t dislike. the shirt is on the thin side. do i need to wear a cami underneath it, no. my concern is holes. it does remind me of a material that coul"&amp;"d develop some holes after some wear and washes. with that being said i?ll wash this shirt in cold water and hang dry and hopefully that will prevent holes from developing. the length is fine and i do like the slits in front?it adds a little dim")</f>
        <v>I received this shirt in my typical xs and it fits perfectly. i?m not crazy in love with it but i also don?t dislike. the shirt is on the thin side. do i need to wear a cami underneath it, no. my concern is holes. it does remind me of a material that could develop some holes after some wear and washes. with that being said i?ll wash this shirt in cold water and hang dry and hopefully that will prevent holes from developing. the length is fine and i do like the slits in front?it adds a little dim</v>
      </c>
      <c r="F6" s="8">
        <f>IFERROR(__xludf.DUMMYFUNCTION("""COMPUTED_VALUE"""),3.0)</f>
        <v>3</v>
      </c>
      <c r="G6" s="8">
        <f>IFERROR(__xludf.DUMMYFUNCTION("""COMPUTED_VALUE"""),1.0)</f>
        <v>1</v>
      </c>
      <c r="H6" s="8">
        <f>IFERROR(__xludf.DUMMYFUNCTION("""COMPUTED_VALUE"""),0.0)</f>
        <v>0</v>
      </c>
      <c r="I6" s="8" t="str">
        <f>IFERROR(__xludf.DUMMYFUNCTION("""COMPUTED_VALUE"""),"General Petite")</f>
        <v>General Petite</v>
      </c>
      <c r="J6" s="8" t="str">
        <f>IFERROR(__xludf.DUMMYFUNCTION("""COMPUTED_VALUE"""),"Tops")</f>
        <v>Tops</v>
      </c>
      <c r="K6" s="8" t="str">
        <f>IFERROR(__xludf.DUMMYFUNCTION("""COMPUTED_VALUE"""),"Knits")</f>
        <v>Knits</v>
      </c>
      <c r="L6" s="8" t="str">
        <f t="shared" si="1"/>
        <v>-Fabric issue---</v>
      </c>
    </row>
    <row r="7">
      <c r="A7" s="8">
        <f>IFERROR(__xludf.DUMMYFUNCTION("""COMPUTED_VALUE"""),111.0)</f>
        <v>111</v>
      </c>
      <c r="B7" s="8">
        <f>IFERROR(__xludf.DUMMYFUNCTION("""COMPUTED_VALUE"""),1081.0)</f>
        <v>1081</v>
      </c>
      <c r="C7" s="8">
        <f>IFERROR(__xludf.DUMMYFUNCTION("""COMPUTED_VALUE"""),44.0)</f>
        <v>44</v>
      </c>
      <c r="D7" s="8" t="str">
        <f>IFERROR(__xludf.DUMMYFUNCTION("""COMPUTED_VALUE"""),"An almost for me...")</f>
        <v>An almost for me...</v>
      </c>
      <c r="E7" s="15" t="str">
        <f>IFERROR(__xludf.DUMMYFUNCTION("""COMPUTED_VALUE"""),"I didn't end up keeping this dress...it just wasn't right for me. it is very cute and fit well but the fabric was very thin (partially lined which is a plus) and the hem line coming up on the sides made it just too short for me. i ordered the petite xs an"&amp;"d liked the length in front and back well but the side slit/vent was just too high for my liking. the tie part hit at the perfect spot for me at only 5'4"" (~118#). i guess i just didn't ""love"" it and would rather save my funds for something i ca")</f>
        <v>I didn't end up keeping this dress...it just wasn't right for me. it is very cute and fit well but the fabric was very thin (partially lined which is a plus) and the hem line coming up on the sides made it just too short for me. i ordered the petite xs and liked the length in front and back well but the side slit/vent was just too high for my liking. the tie part hit at the perfect spot for me at only 5'4" (~118#). i guess i just didn't "love" it and would rather save my funds for something i ca</v>
      </c>
      <c r="F7" s="8">
        <f>IFERROR(__xludf.DUMMYFUNCTION("""COMPUTED_VALUE"""),3.0)</f>
        <v>3</v>
      </c>
      <c r="G7" s="8">
        <f>IFERROR(__xludf.DUMMYFUNCTION("""COMPUTED_VALUE"""),1.0)</f>
        <v>1</v>
      </c>
      <c r="H7" s="8">
        <f>IFERROR(__xludf.DUMMYFUNCTION("""COMPUTED_VALUE"""),4.0)</f>
        <v>4</v>
      </c>
      <c r="I7" s="8" t="str">
        <f>IFERROR(__xludf.DUMMYFUNCTION("""COMPUTED_VALUE"""),"General")</f>
        <v>General</v>
      </c>
      <c r="J7" s="8" t="str">
        <f>IFERROR(__xludf.DUMMYFUNCTION("""COMPUTED_VALUE"""),"Dresses")</f>
        <v>Dresses</v>
      </c>
      <c r="K7" s="8" t="str">
        <f>IFERROR(__xludf.DUMMYFUNCTION("""COMPUTED_VALUE"""),"Dresses")</f>
        <v>Dresses</v>
      </c>
      <c r="L7" s="8" t="str">
        <f t="shared" si="1"/>
        <v>Size issue-Fabric issue---</v>
      </c>
    </row>
    <row r="8">
      <c r="A8" s="8">
        <f>IFERROR(__xludf.DUMMYFUNCTION("""COMPUTED_VALUE"""),125.0)</f>
        <v>125</v>
      </c>
      <c r="B8" s="8">
        <f>IFERROR(__xludf.DUMMYFUNCTION("""COMPUTED_VALUE"""),1072.0)</f>
        <v>1072</v>
      </c>
      <c r="C8" s="8">
        <f>IFERROR(__xludf.DUMMYFUNCTION("""COMPUTED_VALUE"""),34.0)</f>
        <v>34</v>
      </c>
      <c r="D8" s="8" t="str">
        <f>IFERROR(__xludf.DUMMYFUNCTION("""COMPUTED_VALUE"""),"Wonderfully made, poorly designed for busty gals")</f>
        <v>Wonderfully made, poorly designed for busty gals</v>
      </c>
      <c r="E8" s="15" t="str">
        <f>IFERROR(__xludf.DUMMYFUNCTION("""COMPUTED_VALUE"""),"Like others reviewers mentioned on here, this dress is extremely well made. but there were too many cons for me, as well. this would most certainly work on a petite/shorter frame, but for tall, busty, and curvier girls, it just sits wrong on all places un"&amp;"fortunately. the color is lovely along with the nice collar that ties in the back really made this dress stand out.
however, i'm a 36c and found that the arm/shoulder part so large and bulky that is made me look bigger on top. there was entirel")</f>
        <v>Like others reviewers mentioned on here, this dress is extremely well made. but there were too many cons for me, as well. this would most certainly work on a petite/shorter frame, but for tall, busty, and curvier girls, it just sits wrong on all places unfortunately. the color is lovely along with the nice collar that ties in the back really made this dress stand out.
however, i'm a 36c and found that the arm/shoulder part so large and bulky that is made me look bigger on top. there was entirel</v>
      </c>
      <c r="F8" s="8">
        <f>IFERROR(__xludf.DUMMYFUNCTION("""COMPUTED_VALUE"""),3.0)</f>
        <v>3</v>
      </c>
      <c r="G8" s="8">
        <f>IFERROR(__xludf.DUMMYFUNCTION("""COMPUTED_VALUE"""),1.0)</f>
        <v>1</v>
      </c>
      <c r="H8" s="8">
        <f>IFERROR(__xludf.DUMMYFUNCTION("""COMPUTED_VALUE"""),1.0)</f>
        <v>1</v>
      </c>
      <c r="I8" s="8" t="str">
        <f>IFERROR(__xludf.DUMMYFUNCTION("""COMPUTED_VALUE"""),"General")</f>
        <v>General</v>
      </c>
      <c r="J8" s="8" t="str">
        <f>IFERROR(__xludf.DUMMYFUNCTION("""COMPUTED_VALUE"""),"Dresses")</f>
        <v>Dresses</v>
      </c>
      <c r="K8" s="8" t="str">
        <f>IFERROR(__xludf.DUMMYFUNCTION("""COMPUTED_VALUE"""),"Dresses")</f>
        <v>Dresses</v>
      </c>
      <c r="L8" s="8" t="str">
        <f t="shared" si="1"/>
        <v>Size issue----</v>
      </c>
    </row>
    <row r="9">
      <c r="A9" s="8">
        <f>IFERROR(__xludf.DUMMYFUNCTION("""COMPUTED_VALUE"""),131.0)</f>
        <v>131</v>
      </c>
      <c r="B9" s="8">
        <f>IFERROR(__xludf.DUMMYFUNCTION("""COMPUTED_VALUE"""),1081.0)</f>
        <v>1081</v>
      </c>
      <c r="C9" s="8">
        <f>IFERROR(__xludf.DUMMYFUNCTION("""COMPUTED_VALUE"""),39.0)</f>
        <v>39</v>
      </c>
      <c r="D9" s="8" t="str">
        <f>IFERROR(__xludf.DUMMYFUNCTION("""COMPUTED_VALUE"""),"Just ok")</f>
        <v>Just ok</v>
      </c>
      <c r="E9" s="15" t="str">
        <f>IFERROR(__xludf.DUMMYFUNCTION("""COMPUTED_VALUE"""),"It's ok, fit doesn't wow me because of my body. chest is too wide, hips look too narrow. drapes across my back fat in an especially non-flattering way. basically made my square-apple body look more square-apple. great part about this dress is that it's co"&amp;"mfy and hides the tummy pooch. construction is poorly done...contrasting liner at v-neck is rolling out on one side only and then doing the same at the hem contralaterally. another negative point is dry clean only. boo. i'm 5'3"" 140# 39-28-35 an")</f>
        <v>It's ok, fit doesn't wow me because of my body. chest is too wide, hips look too narrow. drapes across my back fat in an especially non-flattering way. basically made my square-apple body look more square-apple. great part about this dress is that it's comfy and hides the tummy pooch. construction is poorly done...contrasting liner at v-neck is rolling out on one side only and then doing the same at the hem contralaterally. another negative point is dry clean only. boo. i'm 5'3" 140# 39-28-35 an</v>
      </c>
      <c r="F9" s="8">
        <f>IFERROR(__xludf.DUMMYFUNCTION("""COMPUTED_VALUE"""),3.0)</f>
        <v>3</v>
      </c>
      <c r="G9" s="8">
        <f>IFERROR(__xludf.DUMMYFUNCTION("""COMPUTED_VALUE"""),1.0)</f>
        <v>1</v>
      </c>
      <c r="H9" s="8">
        <f>IFERROR(__xludf.DUMMYFUNCTION("""COMPUTED_VALUE"""),0.0)</f>
        <v>0</v>
      </c>
      <c r="I9" s="8" t="str">
        <f>IFERROR(__xludf.DUMMYFUNCTION("""COMPUTED_VALUE"""),"General")</f>
        <v>General</v>
      </c>
      <c r="J9" s="8" t="str">
        <f>IFERROR(__xludf.DUMMYFUNCTION("""COMPUTED_VALUE"""),"Dresses")</f>
        <v>Dresses</v>
      </c>
      <c r="K9" s="8" t="str">
        <f>IFERROR(__xludf.DUMMYFUNCTION("""COMPUTED_VALUE"""),"Dresses")</f>
        <v>Dresses</v>
      </c>
      <c r="L9" s="8" t="str">
        <f t="shared" si="1"/>
        <v>Size issue----</v>
      </c>
    </row>
    <row r="10">
      <c r="A10" s="8">
        <f>IFERROR(__xludf.DUMMYFUNCTION("""COMPUTED_VALUE"""),145.0)</f>
        <v>145</v>
      </c>
      <c r="B10" s="8">
        <f>IFERROR(__xludf.DUMMYFUNCTION("""COMPUTED_VALUE"""),828.0)</f>
        <v>828</v>
      </c>
      <c r="C10" s="8">
        <f>IFERROR(__xludf.DUMMYFUNCTION("""COMPUTED_VALUE"""),39.0)</f>
        <v>39</v>
      </c>
      <c r="D10" s="8" t="str">
        <f>IFERROR(__xludf.DUMMYFUNCTION("""COMPUTED_VALUE"""),"On the fence")</f>
        <v>On the fence</v>
      </c>
      <c r="E10" s="15" t="str">
        <f>IFERROR(__xludf.DUMMYFUNCTION("""COMPUTED_VALUE"""),"The stylist had me try this top on off the shoulders, but that was kind of snug, perhaps why it didn't fit right, it is not off the shoulders on this picture. the cut is loose, so it looked big on me, but going smaller would not have worked the way i had "&amp;"it on... may give it another try on. xs was big, so would need to try the xxs next time. but off the shoulders looked nice on the lady who was smaller built next to me!
colors are nice, light, but appropriate for fall (or summer!) light fabri")</f>
        <v>The stylist had me try this top on off the shoulders, but that was kind of snug, perhaps why it didn't fit right, it is not off the shoulders on this picture. the cut is loose, so it looked big on me, but going smaller would not have worked the way i had it on... may give it another try on. xs was big, so would need to try the xxs next time. but off the shoulders looked nice on the lady who was smaller built next to me!
colors are nice, light, but appropriate for fall (or summer!) light fabri</v>
      </c>
      <c r="F10" s="8">
        <f>IFERROR(__xludf.DUMMYFUNCTION("""COMPUTED_VALUE"""),3.0)</f>
        <v>3</v>
      </c>
      <c r="G10" s="8">
        <f>IFERROR(__xludf.DUMMYFUNCTION("""COMPUTED_VALUE"""),1.0)</f>
        <v>1</v>
      </c>
      <c r="H10" s="8">
        <f>IFERROR(__xludf.DUMMYFUNCTION("""COMPUTED_VALUE"""),2.0)</f>
        <v>2</v>
      </c>
      <c r="I10" s="8" t="str">
        <f>IFERROR(__xludf.DUMMYFUNCTION("""COMPUTED_VALUE"""),"General")</f>
        <v>General</v>
      </c>
      <c r="J10" s="8" t="str">
        <f>IFERROR(__xludf.DUMMYFUNCTION("""COMPUTED_VALUE"""),"Tops")</f>
        <v>Tops</v>
      </c>
      <c r="K10" s="8" t="str">
        <f>IFERROR(__xludf.DUMMYFUNCTION("""COMPUTED_VALUE"""),"Blouses")</f>
        <v>Blouses</v>
      </c>
      <c r="L10" s="8" t="str">
        <f t="shared" si="1"/>
        <v>Size issue--Style issue--</v>
      </c>
    </row>
    <row r="11">
      <c r="A11" s="8">
        <f>IFERROR(__xludf.DUMMYFUNCTION("""COMPUTED_VALUE"""),153.0)</f>
        <v>153</v>
      </c>
      <c r="B11" s="8">
        <f>IFERROR(__xludf.DUMMYFUNCTION("""COMPUTED_VALUE"""),829.0)</f>
        <v>829</v>
      </c>
      <c r="C11" s="8">
        <f>IFERROR(__xludf.DUMMYFUNCTION("""COMPUTED_VALUE"""),36.0)</f>
        <v>36</v>
      </c>
      <c r="D11" s="8" t="str">
        <f>IFERROR(__xludf.DUMMYFUNCTION("""COMPUTED_VALUE"""),"Fair")</f>
        <v>Fair</v>
      </c>
      <c r="E11" s="15" t="str">
        <f>IFERROR(__xludf.DUMMYFUNCTION("""COMPUTED_VALUE"""),"The top as with most of ap's tops is well stitched. material is very uncomfortable. if you have large bust it is a little divulging. this may prompt you to wear something underneath to look modest and change the shape of the top!")</f>
        <v>The top as with most of ap's tops is well stitched. material is very uncomfortable. if you have large bust it is a little divulging. this may prompt you to wear something underneath to look modest and change the shape of the top!</v>
      </c>
      <c r="F11" s="8">
        <f>IFERROR(__xludf.DUMMYFUNCTION("""COMPUTED_VALUE"""),3.0)</f>
        <v>3</v>
      </c>
      <c r="G11" s="8">
        <f>IFERROR(__xludf.DUMMYFUNCTION("""COMPUTED_VALUE"""),1.0)</f>
        <v>1</v>
      </c>
      <c r="H11" s="8">
        <f>IFERROR(__xludf.DUMMYFUNCTION("""COMPUTED_VALUE"""),1.0)</f>
        <v>1</v>
      </c>
      <c r="I11" s="8" t="str">
        <f>IFERROR(__xludf.DUMMYFUNCTION("""COMPUTED_VALUE"""),"General")</f>
        <v>General</v>
      </c>
      <c r="J11" s="8" t="str">
        <f>IFERROR(__xludf.DUMMYFUNCTION("""COMPUTED_VALUE"""),"Tops")</f>
        <v>Tops</v>
      </c>
      <c r="K11" s="8" t="str">
        <f>IFERROR(__xludf.DUMMYFUNCTION("""COMPUTED_VALUE"""),"Blouses")</f>
        <v>Blouses</v>
      </c>
      <c r="L11" s="8" t="str">
        <f t="shared" si="1"/>
        <v>Size issue-Fabric issue---</v>
      </c>
    </row>
    <row r="12">
      <c r="A12" s="8">
        <f>IFERROR(__xludf.DUMMYFUNCTION("""COMPUTED_VALUE"""),154.0)</f>
        <v>154</v>
      </c>
      <c r="B12" s="8">
        <f>IFERROR(__xludf.DUMMYFUNCTION("""COMPUTED_VALUE"""),829.0)</f>
        <v>829</v>
      </c>
      <c r="C12" s="8">
        <f>IFERROR(__xludf.DUMMYFUNCTION("""COMPUTED_VALUE"""),44.0)</f>
        <v>44</v>
      </c>
      <c r="D12" s="8" t="str">
        <f>IFERROR(__xludf.DUMMYFUNCTION("""COMPUTED_VALUE"""),"Great colors but....")</f>
        <v>Great colors but....</v>
      </c>
      <c r="E12" s="15" t="str">
        <f>IFERROR(__xludf.DUMMYFUNCTION("""COMPUTED_VALUE"""),"I love the metallic colors of this top and figured i could wear it under a ruched jacket and circle skirt for work. welp, that's out the window. this design is poor. for one, this is not a piece for a petite woman with no torso and i don't know how anyone"&amp;" with a longer torso wears t his. this hits above my belly botton on and i got apetite 2. i have no torso. so, without a jacket, i would never wear this. it's very low cut..the back is very low..it's a little loose but i run between a 2 and a 4.")</f>
        <v>I love the metallic colors of this top and figured i could wear it under a ruched jacket and circle skirt for work. welp, that's out the window. this design is poor. for one, this is not a piece for a petite woman with no torso and i don't know how anyone with a longer torso wears t his. this hits above my belly botton on and i got apetite 2. i have no torso. so, without a jacket, i would never wear this. it's very low cut..the back is very low..it's a little loose but i run between a 2 and a 4.</v>
      </c>
      <c r="F12" s="8">
        <f>IFERROR(__xludf.DUMMYFUNCTION("""COMPUTED_VALUE"""),3.0)</f>
        <v>3</v>
      </c>
      <c r="G12" s="8">
        <f>IFERROR(__xludf.DUMMYFUNCTION("""COMPUTED_VALUE"""),1.0)</f>
        <v>1</v>
      </c>
      <c r="H12" s="8">
        <f>IFERROR(__xludf.DUMMYFUNCTION("""COMPUTED_VALUE"""),0.0)</f>
        <v>0</v>
      </c>
      <c r="I12" s="8" t="str">
        <f>IFERROR(__xludf.DUMMYFUNCTION("""COMPUTED_VALUE"""),"General Petite")</f>
        <v>General Petite</v>
      </c>
      <c r="J12" s="8" t="str">
        <f>IFERROR(__xludf.DUMMYFUNCTION("""COMPUTED_VALUE"""),"Tops")</f>
        <v>Tops</v>
      </c>
      <c r="K12" s="8" t="str">
        <f>IFERROR(__xludf.DUMMYFUNCTION("""COMPUTED_VALUE"""),"Blouses")</f>
        <v>Blouses</v>
      </c>
      <c r="L12" s="8" t="str">
        <f t="shared" si="1"/>
        <v>Size issue--Style issue--</v>
      </c>
    </row>
    <row r="13">
      <c r="A13" s="8">
        <f>IFERROR(__xludf.DUMMYFUNCTION("""COMPUTED_VALUE"""),194.0)</f>
        <v>194</v>
      </c>
      <c r="B13" s="8">
        <f>IFERROR(__xludf.DUMMYFUNCTION("""COMPUTED_VALUE"""),1098.0)</f>
        <v>1098</v>
      </c>
      <c r="C13" s="8">
        <f>IFERROR(__xludf.DUMMYFUNCTION("""COMPUTED_VALUE"""),40.0)</f>
        <v>40</v>
      </c>
      <c r="D13" s="8"/>
      <c r="E13" s="15" t="str">
        <f>IFERROR(__xludf.DUMMYFUNCTION("""COMPUTED_VALUE"""),"Dress ran very large in every way. beautiful design, lining and quality material. i should have sized down 2 sizes. item is now sold out.")</f>
        <v>Dress ran very large in every way. beautiful design, lining and quality material. i should have sized down 2 sizes. item is now sold out.</v>
      </c>
      <c r="F13" s="8">
        <f>IFERROR(__xludf.DUMMYFUNCTION("""COMPUTED_VALUE"""),3.0)</f>
        <v>3</v>
      </c>
      <c r="G13" s="8">
        <f>IFERROR(__xludf.DUMMYFUNCTION("""COMPUTED_VALUE"""),1.0)</f>
        <v>1</v>
      </c>
      <c r="H13" s="8">
        <f>IFERROR(__xludf.DUMMYFUNCTION("""COMPUTED_VALUE"""),0.0)</f>
        <v>0</v>
      </c>
      <c r="I13" s="8" t="str">
        <f>IFERROR(__xludf.DUMMYFUNCTION("""COMPUTED_VALUE"""),"General")</f>
        <v>General</v>
      </c>
      <c r="J13" s="8" t="str">
        <f>IFERROR(__xludf.DUMMYFUNCTION("""COMPUTED_VALUE"""),"Dresses")</f>
        <v>Dresses</v>
      </c>
      <c r="K13" s="8" t="str">
        <f>IFERROR(__xludf.DUMMYFUNCTION("""COMPUTED_VALUE"""),"Dresses")</f>
        <v>Dresses</v>
      </c>
      <c r="L13" s="8" t="str">
        <f t="shared" si="1"/>
        <v>Size issue-Fabric issue-Style issue--</v>
      </c>
    </row>
    <row r="14">
      <c r="A14" s="8">
        <f>IFERROR(__xludf.DUMMYFUNCTION("""COMPUTED_VALUE"""),244.0)</f>
        <v>244</v>
      </c>
      <c r="B14" s="8">
        <f>IFERROR(__xludf.DUMMYFUNCTION("""COMPUTED_VALUE"""),1066.0)</f>
        <v>1066</v>
      </c>
      <c r="C14" s="8">
        <f>IFERROR(__xludf.DUMMYFUNCTION("""COMPUTED_VALUE"""),48.0)</f>
        <v>48</v>
      </c>
      <c r="D14" s="8" t="str">
        <f>IFERROR(__xludf.DUMMYFUNCTION("""COMPUTED_VALUE"""),"Recommend but not for me")</f>
        <v>Recommend but not for me</v>
      </c>
      <c r="E14" s="15" t="str">
        <f>IFERROR(__xludf.DUMMYFUNCTION("""COMPUTED_VALUE"""),"Love pilcro, love the stripes and the length - but this particular pair of capris/crops are super tight fitting. i went up a size from my usual and still felt tight. i guess its just the cut/fabric combo. i wanted it to be a slightly less form fitting fee"&amp;"l ...... may work for you, however!")</f>
        <v>Love pilcro, love the stripes and the length - but this particular pair of capris/crops are super tight fitting. i went up a size from my usual and still felt tight. i guess its just the cut/fabric combo. i wanted it to be a slightly less form fitting feel ...... may work for you, however!</v>
      </c>
      <c r="F14" s="8">
        <f>IFERROR(__xludf.DUMMYFUNCTION("""COMPUTED_VALUE"""),3.0)</f>
        <v>3</v>
      </c>
      <c r="G14" s="8">
        <f>IFERROR(__xludf.DUMMYFUNCTION("""COMPUTED_VALUE"""),1.0)</f>
        <v>1</v>
      </c>
      <c r="H14" s="8">
        <f>IFERROR(__xludf.DUMMYFUNCTION("""COMPUTED_VALUE"""),0.0)</f>
        <v>0</v>
      </c>
      <c r="I14" s="8" t="str">
        <f>IFERROR(__xludf.DUMMYFUNCTION("""COMPUTED_VALUE"""),"General")</f>
        <v>General</v>
      </c>
      <c r="J14" s="8" t="str">
        <f>IFERROR(__xludf.DUMMYFUNCTION("""COMPUTED_VALUE"""),"Bottoms")</f>
        <v>Bottoms</v>
      </c>
      <c r="K14" s="8" t="str">
        <f>IFERROR(__xludf.DUMMYFUNCTION("""COMPUTED_VALUE"""),"Pants")</f>
        <v>Pants</v>
      </c>
      <c r="L14" s="8" t="str">
        <f t="shared" si="1"/>
        <v>Size issue----</v>
      </c>
    </row>
    <row r="15">
      <c r="A15" s="8">
        <f>IFERROR(__xludf.DUMMYFUNCTION("""COMPUTED_VALUE"""),246.0)</f>
        <v>246</v>
      </c>
      <c r="B15" s="8">
        <f>IFERROR(__xludf.DUMMYFUNCTION("""COMPUTED_VALUE"""),1066.0)</f>
        <v>1066</v>
      </c>
      <c r="C15" s="8">
        <f>IFERROR(__xludf.DUMMYFUNCTION("""COMPUTED_VALUE"""),49.0)</f>
        <v>49</v>
      </c>
      <c r="D15" s="8" t="str">
        <f>IFERROR(__xludf.DUMMYFUNCTION("""COMPUTED_VALUE"""),"Cute but small")</f>
        <v>Cute but small</v>
      </c>
      <c r="E15" s="15" t="str">
        <f>IFERROR(__xludf.DUMMYFUNCTION("""COMPUTED_VALUE"""),"I tried these on in the store, and they are super cute but run small. i typically wear a size 25 (i'm 5' 5"" and 108 lbs.) and they were too tight for me. i like the fabric and the cut; i think they'd be great one size up. (my store didn't have them.)")</f>
        <v>I tried these on in the store, and they are super cute but run small. i typically wear a size 25 (i'm 5' 5" and 108 lbs.) and they were too tight for me. i like the fabric and the cut; i think they'd be great one size up. (my store didn't have them.)</v>
      </c>
      <c r="F15" s="8">
        <f>IFERROR(__xludf.DUMMYFUNCTION("""COMPUTED_VALUE"""),3.0)</f>
        <v>3</v>
      </c>
      <c r="G15" s="8">
        <f>IFERROR(__xludf.DUMMYFUNCTION("""COMPUTED_VALUE"""),1.0)</f>
        <v>1</v>
      </c>
      <c r="H15" s="8">
        <f>IFERROR(__xludf.DUMMYFUNCTION("""COMPUTED_VALUE"""),1.0)</f>
        <v>1</v>
      </c>
      <c r="I15" s="8" t="str">
        <f>IFERROR(__xludf.DUMMYFUNCTION("""COMPUTED_VALUE"""),"General")</f>
        <v>General</v>
      </c>
      <c r="J15" s="8" t="str">
        <f>IFERROR(__xludf.DUMMYFUNCTION("""COMPUTED_VALUE"""),"Bottoms")</f>
        <v>Bottoms</v>
      </c>
      <c r="K15" s="8" t="str">
        <f>IFERROR(__xludf.DUMMYFUNCTION("""COMPUTED_VALUE"""),"Pants")</f>
        <v>Pants</v>
      </c>
      <c r="L15" s="8" t="str">
        <f t="shared" si="1"/>
        <v>Size issue----</v>
      </c>
    </row>
    <row r="16">
      <c r="A16" s="8">
        <f>IFERROR(__xludf.DUMMYFUNCTION("""COMPUTED_VALUE"""),270.0)</f>
        <v>270</v>
      </c>
      <c r="B16" s="8">
        <f>IFERROR(__xludf.DUMMYFUNCTION("""COMPUTED_VALUE"""),868.0)</f>
        <v>868</v>
      </c>
      <c r="C16" s="8">
        <f>IFERROR(__xludf.DUMMYFUNCTION("""COMPUTED_VALUE"""),61.0)</f>
        <v>61</v>
      </c>
      <c r="D16" s="8" t="str">
        <f>IFERROR(__xludf.DUMMYFUNCTION("""COMPUTED_VALUE"""),"Nice color")</f>
        <v>Nice color</v>
      </c>
      <c r="E16" s="15" t="str">
        <f>IFERROR(__xludf.DUMMYFUNCTION("""COMPUTED_VALUE"""),"I liked the color of this top but i didn't really like the ruffled stitching around the middle. it looks like someone just tacked on the bottom half. i bought this for my daughter and she likes it. i think it is comfortable and a good top to knock around "&amp;"in.")</f>
        <v>I liked the color of this top but i didn't really like the ruffled stitching around the middle. it looks like someone just tacked on the bottom half. i bought this for my daughter and she likes it. i think it is comfortable and a good top to knock around in.</v>
      </c>
      <c r="F16" s="8">
        <f>IFERROR(__xludf.DUMMYFUNCTION("""COMPUTED_VALUE"""),3.0)</f>
        <v>3</v>
      </c>
      <c r="G16" s="8">
        <f>IFERROR(__xludf.DUMMYFUNCTION("""COMPUTED_VALUE"""),1.0)</f>
        <v>1</v>
      </c>
      <c r="H16" s="8">
        <f>IFERROR(__xludf.DUMMYFUNCTION("""COMPUTED_VALUE"""),0.0)</f>
        <v>0</v>
      </c>
      <c r="I16" s="8" t="str">
        <f>IFERROR(__xludf.DUMMYFUNCTION("""COMPUTED_VALUE"""),"General")</f>
        <v>General</v>
      </c>
      <c r="J16" s="8" t="str">
        <f>IFERROR(__xludf.DUMMYFUNCTION("""COMPUTED_VALUE"""),"Tops")</f>
        <v>Tops</v>
      </c>
      <c r="K16" s="8" t="str">
        <f>IFERROR(__xludf.DUMMYFUNCTION("""COMPUTED_VALUE"""),"Knits")</f>
        <v>Knits</v>
      </c>
      <c r="L16" s="8" t="str">
        <f t="shared" si="1"/>
        <v>----</v>
      </c>
    </row>
    <row r="17">
      <c r="A17" s="8">
        <f>IFERROR(__xludf.DUMMYFUNCTION("""COMPUTED_VALUE"""),278.0)</f>
        <v>278</v>
      </c>
      <c r="B17" s="8">
        <f>IFERROR(__xludf.DUMMYFUNCTION("""COMPUTED_VALUE"""),868.0)</f>
        <v>868</v>
      </c>
      <c r="C17" s="8">
        <f>IFERROR(__xludf.DUMMYFUNCTION("""COMPUTED_VALUE"""),35.0)</f>
        <v>35</v>
      </c>
      <c r="D17" s="8" t="str">
        <f>IFERROR(__xludf.DUMMYFUNCTION("""COMPUTED_VALUE"""),"Peplum hem tee")</f>
        <v>Peplum hem tee</v>
      </c>
      <c r="E17" s="15" t="str">
        <f>IFERROR(__xludf.DUMMYFUNCTION("""COMPUTED_VALUE"""),"The styling of this top is really cute. it fits perfectly on the shoulders and gets bigger at the hem for the baby doll look. my biggest complaint is the quality! it's really cheap and feels like the quality i would expect to see at a cheap retailer. it c"&amp;"atches lint like crazy and because the hem is just a pearl edge, it curls really badly. i buy quite a bit from here and this is the worst quality item i have seen in a long time. not worth the $$ if paying full price.")</f>
        <v>The styling of this top is really cute. it fits perfectly on the shoulders and gets bigger at the hem for the baby doll look. my biggest complaint is the quality! it's really cheap and feels like the quality i would expect to see at a cheap retailer. it catches lint like crazy and because the hem is just a pearl edge, it curls really badly. i buy quite a bit from here and this is the worst quality item i have seen in a long time. not worth the $$ if paying full price.</v>
      </c>
      <c r="F17" s="8">
        <f>IFERROR(__xludf.DUMMYFUNCTION("""COMPUTED_VALUE"""),3.0)</f>
        <v>3</v>
      </c>
      <c r="G17" s="8">
        <f>IFERROR(__xludf.DUMMYFUNCTION("""COMPUTED_VALUE"""),1.0)</f>
        <v>1</v>
      </c>
      <c r="H17" s="8">
        <f>IFERROR(__xludf.DUMMYFUNCTION("""COMPUTED_VALUE"""),2.0)</f>
        <v>2</v>
      </c>
      <c r="I17" s="8" t="str">
        <f>IFERROR(__xludf.DUMMYFUNCTION("""COMPUTED_VALUE"""),"General")</f>
        <v>General</v>
      </c>
      <c r="J17" s="8" t="str">
        <f>IFERROR(__xludf.DUMMYFUNCTION("""COMPUTED_VALUE"""),"Tops")</f>
        <v>Tops</v>
      </c>
      <c r="K17" s="8" t="str">
        <f>IFERROR(__xludf.DUMMYFUNCTION("""COMPUTED_VALUE"""),"Knits")</f>
        <v>Knits</v>
      </c>
      <c r="L17" s="8" t="str">
        <f t="shared" si="1"/>
        <v>Size issue--Style issue--</v>
      </c>
    </row>
    <row r="18">
      <c r="A18" s="8">
        <f>IFERROR(__xludf.DUMMYFUNCTION("""COMPUTED_VALUE"""),293.0)</f>
        <v>293</v>
      </c>
      <c r="B18" s="8">
        <f>IFERROR(__xludf.DUMMYFUNCTION("""COMPUTED_VALUE"""),984.0)</f>
        <v>984</v>
      </c>
      <c r="C18" s="8">
        <f>IFERROR(__xludf.DUMMYFUNCTION("""COMPUTED_VALUE"""),68.0)</f>
        <v>68</v>
      </c>
      <c r="D18" s="8" t="str">
        <f>IFERROR(__xludf.DUMMYFUNCTION("""COMPUTED_VALUE"""),"I wish it were alless stiff denim. runs small")</f>
        <v>I wish it were alless stiff denim. runs small</v>
      </c>
      <c r="E18" s="15" t="str">
        <f>IFERROR(__xludf.DUMMYFUNCTION("""COMPUTED_VALUE"""),"I've been looking at this jacket on line and finally went to the store to try it on. i really liked the styling but the denim was quite stiff. i'd prefer a softer kind of fabric. i wonder if it would soften if it was washed. also, it ran surprisingly smal"&amp;"l. i usually take an xsmall or small but the small didn't leave me enough room to comfortably bend my arms. the medium worked better. i wonder how others feel about the fabric and and the sizing. i think i'll wait and see if this one goes on sal")</f>
        <v>I've been looking at this jacket on line and finally went to the store to try it on. i really liked the styling but the denim was quite stiff. i'd prefer a softer kind of fabric. i wonder if it would soften if it was washed. also, it ran surprisingly small. i usually take an xsmall or small but the small didn't leave me enough room to comfortably bend my arms. the medium worked better. i wonder how others feel about the fabric and and the sizing. i think i'll wait and see if this one goes on sal</v>
      </c>
      <c r="F18" s="8">
        <f>IFERROR(__xludf.DUMMYFUNCTION("""COMPUTED_VALUE"""),3.0)</f>
        <v>3</v>
      </c>
      <c r="G18" s="8">
        <f>IFERROR(__xludf.DUMMYFUNCTION("""COMPUTED_VALUE"""),1.0)</f>
        <v>1</v>
      </c>
      <c r="H18" s="8">
        <f>IFERROR(__xludf.DUMMYFUNCTION("""COMPUTED_VALUE"""),16.0)</f>
        <v>16</v>
      </c>
      <c r="I18" s="8" t="str">
        <f>IFERROR(__xludf.DUMMYFUNCTION("""COMPUTED_VALUE"""),"General Petite")</f>
        <v>General Petite</v>
      </c>
      <c r="J18" s="8" t="str">
        <f>IFERROR(__xludf.DUMMYFUNCTION("""COMPUTED_VALUE"""),"Jackets")</f>
        <v>Jackets</v>
      </c>
      <c r="K18" s="8" t="str">
        <f>IFERROR(__xludf.DUMMYFUNCTION("""COMPUTED_VALUE"""),"Jackets")</f>
        <v>Jackets</v>
      </c>
      <c r="L18" s="8" t="str">
        <f t="shared" si="1"/>
        <v>Size issue----</v>
      </c>
    </row>
    <row r="19">
      <c r="A19" s="8">
        <f>IFERROR(__xludf.DUMMYFUNCTION("""COMPUTED_VALUE"""),304.0)</f>
        <v>304</v>
      </c>
      <c r="B19" s="8">
        <f>IFERROR(__xludf.DUMMYFUNCTION("""COMPUTED_VALUE"""),1131.0)</f>
        <v>1131</v>
      </c>
      <c r="C19" s="8">
        <f>IFERROR(__xludf.DUMMYFUNCTION("""COMPUTED_VALUE"""),36.0)</f>
        <v>36</v>
      </c>
      <c r="D19" s="8" t="str">
        <f>IFERROR(__xludf.DUMMYFUNCTION("""COMPUTED_VALUE"""),"Stylish jacket")</f>
        <v>Stylish jacket</v>
      </c>
      <c r="E19" s="15" t="str">
        <f>IFERROR(__xludf.DUMMYFUNCTION("""COMPUTED_VALUE"""),"I love the pattern on this jacket and enjoy the bell shape. a fun jacket to through on and add quick style to a skinny pants.")</f>
        <v>I love the pattern on this jacket and enjoy the bell shape. a fun jacket to through on and add quick style to a skinny pants.</v>
      </c>
      <c r="F19" s="8">
        <f>IFERROR(__xludf.DUMMYFUNCTION("""COMPUTED_VALUE"""),3.0)</f>
        <v>3</v>
      </c>
      <c r="G19" s="8">
        <f>IFERROR(__xludf.DUMMYFUNCTION("""COMPUTED_VALUE"""),1.0)</f>
        <v>1</v>
      </c>
      <c r="H19" s="8">
        <f>IFERROR(__xludf.DUMMYFUNCTION("""COMPUTED_VALUE"""),2.0)</f>
        <v>2</v>
      </c>
      <c r="I19" s="8" t="str">
        <f>IFERROR(__xludf.DUMMYFUNCTION("""COMPUTED_VALUE"""),"General")</f>
        <v>General</v>
      </c>
      <c r="J19" s="8" t="str">
        <f>IFERROR(__xludf.DUMMYFUNCTION("""COMPUTED_VALUE"""),"Jackets")</f>
        <v>Jackets</v>
      </c>
      <c r="K19" s="8" t="str">
        <f>IFERROR(__xludf.DUMMYFUNCTION("""COMPUTED_VALUE"""),"Outerwear")</f>
        <v>Outerwear</v>
      </c>
      <c r="L19" s="8" t="str">
        <f t="shared" si="1"/>
        <v>----</v>
      </c>
    </row>
    <row r="20">
      <c r="A20" s="8">
        <f>IFERROR(__xludf.DUMMYFUNCTION("""COMPUTED_VALUE"""),359.0)</f>
        <v>359</v>
      </c>
      <c r="B20" s="8">
        <f>IFERROR(__xludf.DUMMYFUNCTION("""COMPUTED_VALUE"""),836.0)</f>
        <v>836</v>
      </c>
      <c r="C20" s="8">
        <f>IFERROR(__xludf.DUMMYFUNCTION("""COMPUTED_VALUE"""),37.0)</f>
        <v>37</v>
      </c>
      <c r="D20" s="8" t="str">
        <f>IFERROR(__xludf.DUMMYFUNCTION("""COMPUTED_VALUE"""),"Nice, runs small and short")</f>
        <v>Nice, runs small and short</v>
      </c>
      <c r="E20" s="15" t="str">
        <f>IFERROR(__xludf.DUMMYFUNCTION("""COMPUTED_VALUE"""),"I'm a pretty solid 10/12 in this brand. i went with the 12 since some thought the top to run small...and i agree. while i can wear it and think it will actually stretch out with wear, it's tight in the shoulders and chest. for the record, those are 2 area"&amp;"s i never have problems with. i'm a 36b and it was flattening my chest. it was also quite short on me. i have a short torso and it was barely hitting below my belly button. the shirt felt more like a size 8 than 12.")</f>
        <v>I'm a pretty solid 10/12 in this brand. i went with the 12 since some thought the top to run small...and i agree. while i can wear it and think it will actually stretch out with wear, it's tight in the shoulders and chest. for the record, those are 2 areas i never have problems with. i'm a 36b and it was flattening my chest. it was also quite short on me. i have a short torso and it was barely hitting below my belly button. the shirt felt more like a size 8 than 12.</v>
      </c>
      <c r="F20" s="8">
        <f>IFERROR(__xludf.DUMMYFUNCTION("""COMPUTED_VALUE"""),3.0)</f>
        <v>3</v>
      </c>
      <c r="G20" s="8">
        <f>IFERROR(__xludf.DUMMYFUNCTION("""COMPUTED_VALUE"""),1.0)</f>
        <v>1</v>
      </c>
      <c r="H20" s="8">
        <f>IFERROR(__xludf.DUMMYFUNCTION("""COMPUTED_VALUE"""),3.0)</f>
        <v>3</v>
      </c>
      <c r="I20" s="8" t="str">
        <f>IFERROR(__xludf.DUMMYFUNCTION("""COMPUTED_VALUE"""),"General")</f>
        <v>General</v>
      </c>
      <c r="J20" s="8" t="str">
        <f>IFERROR(__xludf.DUMMYFUNCTION("""COMPUTED_VALUE"""),"Tops")</f>
        <v>Tops</v>
      </c>
      <c r="K20" s="8" t="str">
        <f>IFERROR(__xludf.DUMMYFUNCTION("""COMPUTED_VALUE"""),"Blouses")</f>
        <v>Blouses</v>
      </c>
      <c r="L20" s="8" t="str">
        <f t="shared" si="1"/>
        <v>Size issue----</v>
      </c>
    </row>
    <row r="21">
      <c r="A21" s="8">
        <f>IFERROR(__xludf.DUMMYFUNCTION("""COMPUTED_VALUE"""),383.0)</f>
        <v>383</v>
      </c>
      <c r="B21" s="8">
        <f>IFERROR(__xludf.DUMMYFUNCTION("""COMPUTED_VALUE"""),1104.0)</f>
        <v>1104</v>
      </c>
      <c r="C21" s="8">
        <f>IFERROR(__xludf.DUMMYFUNCTION("""COMPUTED_VALUE"""),42.0)</f>
        <v>42</v>
      </c>
      <c r="D21" s="8" t="str">
        <f>IFERROR(__xludf.DUMMYFUNCTION("""COMPUTED_VALUE"""),"Looks are deceiving")</f>
        <v>Looks are deceiving</v>
      </c>
      <c r="E21" s="15" t="str">
        <f>IFERROR(__xludf.DUMMYFUNCTION("""COMPUTED_VALUE"""),"This dress is not what i expected. the bottom half is wool-like material-looks like someone has worn it. the top snags easily so you must be careful when wearing jewelry. when i received the dress i noticed there were two small holes under the arms. i wou"&amp;"ldn't of paid full price but for the amount, i sewed up the holes and packed it away for winter.")</f>
        <v>This dress is not what i expected. the bottom half is wool-like material-looks like someone has worn it. the top snags easily so you must be careful when wearing jewelry. when i received the dress i noticed there were two small holes under the arms. i wouldn't of paid full price but for the amount, i sewed up the holes and packed it away for winter.</v>
      </c>
      <c r="F21" s="8">
        <f>IFERROR(__xludf.DUMMYFUNCTION("""COMPUTED_VALUE"""),3.0)</f>
        <v>3</v>
      </c>
      <c r="G21" s="8">
        <f>IFERROR(__xludf.DUMMYFUNCTION("""COMPUTED_VALUE"""),1.0)</f>
        <v>1</v>
      </c>
      <c r="H21" s="8">
        <f>IFERROR(__xludf.DUMMYFUNCTION("""COMPUTED_VALUE"""),0.0)</f>
        <v>0</v>
      </c>
      <c r="I21" s="8" t="str">
        <f>IFERROR(__xludf.DUMMYFUNCTION("""COMPUTED_VALUE"""),"General")</f>
        <v>General</v>
      </c>
      <c r="J21" s="8" t="str">
        <f>IFERROR(__xludf.DUMMYFUNCTION("""COMPUTED_VALUE"""),"Dresses")</f>
        <v>Dresses</v>
      </c>
      <c r="K21" s="8" t="str">
        <f>IFERROR(__xludf.DUMMYFUNCTION("""COMPUTED_VALUE"""),"Dresses")</f>
        <v>Dresses</v>
      </c>
      <c r="L21" s="8" t="str">
        <f t="shared" si="1"/>
        <v>Size issue-Fabric issue---</v>
      </c>
    </row>
    <row r="22">
      <c r="A22" s="8">
        <f>IFERROR(__xludf.DUMMYFUNCTION("""COMPUTED_VALUE"""),392.0)</f>
        <v>392</v>
      </c>
      <c r="B22" s="8">
        <f>IFERROR(__xludf.DUMMYFUNCTION("""COMPUTED_VALUE"""),746.0)</f>
        <v>746</v>
      </c>
      <c r="C22" s="8">
        <f>IFERROR(__xludf.DUMMYFUNCTION("""COMPUTED_VALUE"""),34.0)</f>
        <v>34</v>
      </c>
      <c r="D22" s="8" t="str">
        <f>IFERROR(__xludf.DUMMYFUNCTION("""COMPUTED_VALUE"""),"Lovely fabric but tiny hips")</f>
        <v>Lovely fabric but tiny hips</v>
      </c>
      <c r="E22" s="15" t="str">
        <f>IFERROR(__xludf.DUMMYFUNCTION("""COMPUTED_VALUE"""),"If your hips are bigger than a size 6 us you can't fully close this robe. the model must be wearing the larger of the two sizes to have such a nice oversized fit. the fabric is soft and lux and amazing, but the weird dart in the back and the closure is ri"&amp;"ght over my sadly size 8 hips and butt. if i was taller and thinner i would have kept this and worn it every day.")</f>
        <v>If your hips are bigger than a size 6 us you can't fully close this robe. the model must be wearing the larger of the two sizes to have such a nice oversized fit. the fabric is soft and lux and amazing, but the weird dart in the back and the closure is right over my sadly size 8 hips and butt. if i was taller and thinner i would have kept this and worn it every day.</v>
      </c>
      <c r="F22" s="8">
        <f>IFERROR(__xludf.DUMMYFUNCTION("""COMPUTED_VALUE"""),3.0)</f>
        <v>3</v>
      </c>
      <c r="G22" s="8">
        <f>IFERROR(__xludf.DUMMYFUNCTION("""COMPUTED_VALUE"""),1.0)</f>
        <v>1</v>
      </c>
      <c r="H22" s="8">
        <f>IFERROR(__xludf.DUMMYFUNCTION("""COMPUTED_VALUE"""),0.0)</f>
        <v>0</v>
      </c>
      <c r="I22" s="8" t="str">
        <f>IFERROR(__xludf.DUMMYFUNCTION("""COMPUTED_VALUE"""),"Initmates")</f>
        <v>Initmates</v>
      </c>
      <c r="J22" s="8" t="str">
        <f>IFERROR(__xludf.DUMMYFUNCTION("""COMPUTED_VALUE"""),"Intimate")</f>
        <v>Intimate</v>
      </c>
      <c r="K22" s="8" t="str">
        <f>IFERROR(__xludf.DUMMYFUNCTION("""COMPUTED_VALUE"""),"Intimates")</f>
        <v>Intimates</v>
      </c>
      <c r="L22" s="8" t="str">
        <f t="shared" si="1"/>
        <v>Size issue----Matching Awareness issue</v>
      </c>
    </row>
    <row r="23">
      <c r="A23" s="8">
        <f>IFERROR(__xludf.DUMMYFUNCTION("""COMPUTED_VALUE"""),394.0)</f>
        <v>394</v>
      </c>
      <c r="B23" s="8">
        <f>IFERROR(__xludf.DUMMYFUNCTION("""COMPUTED_VALUE"""),127.0)</f>
        <v>127</v>
      </c>
      <c r="C23" s="8">
        <f>IFERROR(__xludf.DUMMYFUNCTION("""COMPUTED_VALUE"""),46.0)</f>
        <v>46</v>
      </c>
      <c r="D23" s="8" t="str">
        <f>IFERROR(__xludf.DUMMYFUNCTION("""COMPUTED_VALUE"""),"Too big/so soft")</f>
        <v>Too big/so soft</v>
      </c>
      <c r="E23" s="15" t="str">
        <f>IFERROR(__xludf.DUMMYFUNCTION("""COMPUTED_VALUE"""),"I should have exchanged it for a smaller size, but i wanted to wear it, so my mistake. i tend to wear size 12-14, and the large is entirely too big. it also had piling right out of the bag. but it is just so soft that i tore the tag off and wore it anyway"&amp;". if you get this, size down for sure.")</f>
        <v>I should have exchanged it for a smaller size, but i wanted to wear it, so my mistake. i tend to wear size 12-14, and the large is entirely too big. it also had piling right out of the bag. but it is just so soft that i tore the tag off and wore it anyway. if you get this, size down for sure.</v>
      </c>
      <c r="F23" s="8">
        <f>IFERROR(__xludf.DUMMYFUNCTION("""COMPUTED_VALUE"""),3.0)</f>
        <v>3</v>
      </c>
      <c r="G23" s="8">
        <f>IFERROR(__xludf.DUMMYFUNCTION("""COMPUTED_VALUE"""),1.0)</f>
        <v>1</v>
      </c>
      <c r="H23" s="8">
        <f>IFERROR(__xludf.DUMMYFUNCTION("""COMPUTED_VALUE"""),0.0)</f>
        <v>0</v>
      </c>
      <c r="I23" s="8" t="str">
        <f>IFERROR(__xludf.DUMMYFUNCTION("""COMPUTED_VALUE"""),"General Petite")</f>
        <v>General Petite</v>
      </c>
      <c r="J23" s="8" t="str">
        <f>IFERROR(__xludf.DUMMYFUNCTION("""COMPUTED_VALUE"""),"Intimate")</f>
        <v>Intimate</v>
      </c>
      <c r="K23" s="8" t="str">
        <f>IFERROR(__xludf.DUMMYFUNCTION("""COMPUTED_VALUE"""),"Lounge")</f>
        <v>Lounge</v>
      </c>
      <c r="L23" s="8" t="str">
        <f t="shared" si="1"/>
        <v>Size issue----</v>
      </c>
    </row>
    <row r="24">
      <c r="A24" s="8">
        <f>IFERROR(__xludf.DUMMYFUNCTION("""COMPUTED_VALUE"""),403.0)</f>
        <v>403</v>
      </c>
      <c r="B24" s="8">
        <f>IFERROR(__xludf.DUMMYFUNCTION("""COMPUTED_VALUE"""),902.0)</f>
        <v>902</v>
      </c>
      <c r="C24" s="8">
        <f>IFERROR(__xludf.DUMMYFUNCTION("""COMPUTED_VALUE"""),31.0)</f>
        <v>31</v>
      </c>
      <c r="D24" s="8"/>
      <c r="E24" s="15" t="str">
        <f>IFERROR(__xludf.DUMMYFUNCTION("""COMPUTED_VALUE"""),"I got this top to wear with shorts as the color goes with a lot of different prints. the quality is excellent. this top runs very large, as in three (3) sizes too large. for the record i am a 34.25.35 and ordered my regular size the xs and this top makes "&amp;"me like i'm pregnant with twins. also, the layering looks nothing like it does on the model, it looks sloppy, unkept and a general. i think this would still be great for ladies who are bigger in the chest and waist, otherwise it just doesn't wor")</f>
        <v>I got this top to wear with shorts as the color goes with a lot of different prints. the quality is excellent. this top runs very large, as in three (3) sizes too large. for the record i am a 34.25.35 and ordered my regular size the xs and this top makes me like i'm pregnant with twins. also, the layering looks nothing like it does on the model, it looks sloppy, unkept and a general. i think this would still be great for ladies who are bigger in the chest and waist, otherwise it just doesn't wor</v>
      </c>
      <c r="F24" s="8">
        <f>IFERROR(__xludf.DUMMYFUNCTION("""COMPUTED_VALUE"""),2.0)</f>
        <v>2</v>
      </c>
      <c r="G24" s="8">
        <f>IFERROR(__xludf.DUMMYFUNCTION("""COMPUTED_VALUE"""),1.0)</f>
        <v>1</v>
      </c>
      <c r="H24" s="8">
        <f>IFERROR(__xludf.DUMMYFUNCTION("""COMPUTED_VALUE"""),6.0)</f>
        <v>6</v>
      </c>
      <c r="I24" s="8" t="str">
        <f>IFERROR(__xludf.DUMMYFUNCTION("""COMPUTED_VALUE"""),"General")</f>
        <v>General</v>
      </c>
      <c r="J24" s="8" t="str">
        <f>IFERROR(__xludf.DUMMYFUNCTION("""COMPUTED_VALUE"""),"Tops")</f>
        <v>Tops</v>
      </c>
      <c r="K24" s="8" t="str">
        <f>IFERROR(__xludf.DUMMYFUNCTION("""COMPUTED_VALUE"""),"Fine gauge")</f>
        <v>Fine gauge</v>
      </c>
      <c r="L24" s="8" t="str">
        <f t="shared" si="1"/>
        <v>Size issue----Matching Awareness issue</v>
      </c>
    </row>
    <row r="25">
      <c r="A25" s="8">
        <f>IFERROR(__xludf.DUMMYFUNCTION("""COMPUTED_VALUE"""),419.0)</f>
        <v>419</v>
      </c>
      <c r="B25" s="8">
        <f>IFERROR(__xludf.DUMMYFUNCTION("""COMPUTED_VALUE"""),1080.0)</f>
        <v>1080</v>
      </c>
      <c r="C25" s="8">
        <f>IFERROR(__xludf.DUMMYFUNCTION("""COMPUTED_VALUE"""),32.0)</f>
        <v>32</v>
      </c>
      <c r="D25" s="8" t="str">
        <f>IFERROR(__xludf.DUMMYFUNCTION("""COMPUTED_VALUE"""),"Pretty pattern, weird fit")</f>
        <v>Pretty pattern, weird fit</v>
      </c>
      <c r="E25" s="15" t="str">
        <f>IFERROR(__xludf.DUMMYFUNCTION("""COMPUTED_VALUE"""),"I fell in love with this dress when i saw it online and due to the ""slim fit,"" i ordered a size up -- a 2 petite up from my normal 0 petite. when i received it, i was surprised about two things: 1) the material was kind of puffy (not bad, just weird), a"&amp;"nd 2) it was too big on top - rare for a petite size - even though it fit everywhere else. i wanted to love it, but had to return. would be gorgeous for someone else!")</f>
        <v>I fell in love with this dress when i saw it online and due to the "slim fit," i ordered a size up -- a 2 petite up from my normal 0 petite. when i received it, i was surprised about two things: 1) the material was kind of puffy (not bad, just weird), and 2) it was too big on top - rare for a petite size - even though it fit everywhere else. i wanted to love it, but had to return. would be gorgeous for someone else!</v>
      </c>
      <c r="F25" s="8">
        <f>IFERROR(__xludf.DUMMYFUNCTION("""COMPUTED_VALUE"""),3.0)</f>
        <v>3</v>
      </c>
      <c r="G25" s="8">
        <f>IFERROR(__xludf.DUMMYFUNCTION("""COMPUTED_VALUE"""),1.0)</f>
        <v>1</v>
      </c>
      <c r="H25" s="8">
        <f>IFERROR(__xludf.DUMMYFUNCTION("""COMPUTED_VALUE"""),1.0)</f>
        <v>1</v>
      </c>
      <c r="I25" s="8" t="str">
        <f>IFERROR(__xludf.DUMMYFUNCTION("""COMPUTED_VALUE"""),"General")</f>
        <v>General</v>
      </c>
      <c r="J25" s="8" t="str">
        <f>IFERROR(__xludf.DUMMYFUNCTION("""COMPUTED_VALUE"""),"Dresses")</f>
        <v>Dresses</v>
      </c>
      <c r="K25" s="8" t="str">
        <f>IFERROR(__xludf.DUMMYFUNCTION("""COMPUTED_VALUE"""),"Dresses")</f>
        <v>Dresses</v>
      </c>
      <c r="L25" s="8" t="str">
        <f t="shared" si="1"/>
        <v>Size issue-Fabric issue---</v>
      </c>
    </row>
    <row r="26">
      <c r="A26" s="8">
        <f>IFERROR(__xludf.DUMMYFUNCTION("""COMPUTED_VALUE"""),423.0)</f>
        <v>423</v>
      </c>
      <c r="B26" s="8">
        <f>IFERROR(__xludf.DUMMYFUNCTION("""COMPUTED_VALUE"""),1089.0)</f>
        <v>1089</v>
      </c>
      <c r="C26" s="8">
        <f>IFERROR(__xludf.DUMMYFUNCTION("""COMPUTED_VALUE"""),39.0)</f>
        <v>39</v>
      </c>
      <c r="D26" s="8" t="str">
        <f>IFERROR(__xludf.DUMMYFUNCTION("""COMPUTED_VALUE"""),"Small boobies only")</f>
        <v>Small boobies only</v>
      </c>
      <c r="E26" s="15" t="str">
        <f>IFERROR(__xludf.DUMMYFUNCTION("""COMPUTED_VALUE"""),"I love this dress, i mean it si really pretty in person, however, the breast area is just too small... i can't wear a bra with it, and my ""older"" breasts just droop, not flattering. they are barely covered... i am a bit disappointed at that, but if you "&amp;"are smaller up there, i say give it a try... i am 115 lbs, 26.5 ion waist, 30dd and xs petite was great everywhere but chest.
colors and fabric are great, i love that the different colors are different types of fabric... too bad.")</f>
        <v>I love this dress, i mean it si really pretty in person, however, the breast area is just too small... i can't wear a bra with it, and my "older" breasts just droop, not flattering. they are barely covered... i am a bit disappointed at that, but if you are smaller up there, i say give it a try... i am 115 lbs, 26.5 ion waist, 30dd and xs petite was great everywhere but chest.
colors and fabric are great, i love that the different colors are different types of fabric... too bad.</v>
      </c>
      <c r="F26" s="8">
        <f>IFERROR(__xludf.DUMMYFUNCTION("""COMPUTED_VALUE"""),3.0)</f>
        <v>3</v>
      </c>
      <c r="G26" s="8">
        <f>IFERROR(__xludf.DUMMYFUNCTION("""COMPUTED_VALUE"""),1.0)</f>
        <v>1</v>
      </c>
      <c r="H26" s="8">
        <f>IFERROR(__xludf.DUMMYFUNCTION("""COMPUTED_VALUE"""),1.0)</f>
        <v>1</v>
      </c>
      <c r="I26" s="8" t="str">
        <f>IFERROR(__xludf.DUMMYFUNCTION("""COMPUTED_VALUE"""),"General Petite")</f>
        <v>General Petite</v>
      </c>
      <c r="J26" s="8" t="str">
        <f>IFERROR(__xludf.DUMMYFUNCTION("""COMPUTED_VALUE"""),"Dresses")</f>
        <v>Dresses</v>
      </c>
      <c r="K26" s="8" t="str">
        <f>IFERROR(__xludf.DUMMYFUNCTION("""COMPUTED_VALUE"""),"Dresses")</f>
        <v>Dresses</v>
      </c>
      <c r="L26" s="8" t="str">
        <f t="shared" si="1"/>
        <v>Size issue----</v>
      </c>
    </row>
    <row r="27">
      <c r="A27" s="8">
        <f>IFERROR(__xludf.DUMMYFUNCTION("""COMPUTED_VALUE"""),446.0)</f>
        <v>446</v>
      </c>
      <c r="B27" s="8">
        <f>IFERROR(__xludf.DUMMYFUNCTION("""COMPUTED_VALUE"""),1089.0)</f>
        <v>1089</v>
      </c>
      <c r="C27" s="8">
        <f>IFERROR(__xludf.DUMMYFUNCTION("""COMPUTED_VALUE"""),32.0)</f>
        <v>32</v>
      </c>
      <c r="D27" s="8"/>
      <c r="E27" s="15" t="str">
        <f>IFERROR(__xludf.DUMMYFUNCTION("""COMPUTED_VALUE"""),"I'm usually an xs for most retailer dresses and shirts. i ordered up per other reviews and got a small. the small fits comfortably around my waist. the chest area is not made for large chests. my 34ds were barely contained. sad to say, i won't be keeping "&amp;"the dress. the layers, fabric, and colors are truly pretty but the design/fit is disappointing.")</f>
        <v>I'm usually an xs for most retailer dresses and shirts. i ordered up per other reviews and got a small. the small fits comfortably around my waist. the chest area is not made for large chests. my 34ds were barely contained. sad to say, i won't be keeping the dress. the layers, fabric, and colors are truly pretty but the design/fit is disappointing.</v>
      </c>
      <c r="F27" s="8">
        <f>IFERROR(__xludf.DUMMYFUNCTION("""COMPUTED_VALUE"""),3.0)</f>
        <v>3</v>
      </c>
      <c r="G27" s="8">
        <f>IFERROR(__xludf.DUMMYFUNCTION("""COMPUTED_VALUE"""),1.0)</f>
        <v>1</v>
      </c>
      <c r="H27" s="8">
        <f>IFERROR(__xludf.DUMMYFUNCTION("""COMPUTED_VALUE"""),0.0)</f>
        <v>0</v>
      </c>
      <c r="I27" s="8" t="str">
        <f>IFERROR(__xludf.DUMMYFUNCTION("""COMPUTED_VALUE"""),"General Petite")</f>
        <v>General Petite</v>
      </c>
      <c r="J27" s="8" t="str">
        <f>IFERROR(__xludf.DUMMYFUNCTION("""COMPUTED_VALUE"""),"Dresses")</f>
        <v>Dresses</v>
      </c>
      <c r="K27" s="8" t="str">
        <f>IFERROR(__xludf.DUMMYFUNCTION("""COMPUTED_VALUE"""),"Dresses")</f>
        <v>Dresses</v>
      </c>
      <c r="L27" s="8" t="str">
        <f t="shared" si="1"/>
        <v>Size issue--Style issue--</v>
      </c>
    </row>
    <row r="28">
      <c r="A28" s="8">
        <f>IFERROR(__xludf.DUMMYFUNCTION("""COMPUTED_VALUE"""),500.0)</f>
        <v>500</v>
      </c>
      <c r="B28" s="8">
        <f>IFERROR(__xludf.DUMMYFUNCTION("""COMPUTED_VALUE"""),850.0)</f>
        <v>850</v>
      </c>
      <c r="C28" s="8">
        <f>IFERROR(__xludf.DUMMYFUNCTION("""COMPUTED_VALUE"""),29.0)</f>
        <v>29</v>
      </c>
      <c r="D28" s="8" t="str">
        <f>IFERROR(__xludf.DUMMYFUNCTION("""COMPUTED_VALUE"""),"Nice but short")</f>
        <v>Nice but short</v>
      </c>
      <c r="E28" s="15" t="str">
        <f>IFERROR(__xludf.DUMMYFUNCTION("""COMPUTED_VALUE"""),"I really like the style of this top, and it's delicate but well made, but i wish it were longer and less boxy. it's nice that it comes with a separate cami to layer, but the cami is very cropped. when i raise my arms you can see a lot of midriff (and the "&amp;"top is see through so a layer underneath is necessary). a longer cami probably wouldn't work because the top is also very short. i'm 5'0'' with an average torso length, and ordered the xxs petite. also, you would have to cut the tag off if you d")</f>
        <v>I really like the style of this top, and it's delicate but well made, but i wish it were longer and less boxy. it's nice that it comes with a separate cami to layer, but the cami is very cropped. when i raise my arms you can see a lot of midriff (and the top is see through so a layer underneath is necessary). a longer cami probably wouldn't work because the top is also very short. i'm 5'0'' with an average torso length, and ordered the xxs petite. also, you would have to cut the tag off if you d</v>
      </c>
      <c r="F28" s="8">
        <f>IFERROR(__xludf.DUMMYFUNCTION("""COMPUTED_VALUE"""),3.0)</f>
        <v>3</v>
      </c>
      <c r="G28" s="8">
        <f>IFERROR(__xludf.DUMMYFUNCTION("""COMPUTED_VALUE"""),1.0)</f>
        <v>1</v>
      </c>
      <c r="H28" s="8">
        <f>IFERROR(__xludf.DUMMYFUNCTION("""COMPUTED_VALUE"""),15.0)</f>
        <v>15</v>
      </c>
      <c r="I28" s="8" t="str">
        <f>IFERROR(__xludf.DUMMYFUNCTION("""COMPUTED_VALUE"""),"General Petite")</f>
        <v>General Petite</v>
      </c>
      <c r="J28" s="8" t="str">
        <f>IFERROR(__xludf.DUMMYFUNCTION("""COMPUTED_VALUE"""),"Tops")</f>
        <v>Tops</v>
      </c>
      <c r="K28" s="8" t="str">
        <f>IFERROR(__xludf.DUMMYFUNCTION("""COMPUTED_VALUE"""),"Blouses")</f>
        <v>Blouses</v>
      </c>
      <c r="L28" s="8" t="str">
        <f t="shared" si="1"/>
        <v>Size issue----</v>
      </c>
    </row>
    <row r="29">
      <c r="A29" s="8">
        <f>IFERROR(__xludf.DUMMYFUNCTION("""COMPUTED_VALUE"""),503.0)</f>
        <v>503</v>
      </c>
      <c r="B29" s="8">
        <f>IFERROR(__xludf.DUMMYFUNCTION("""COMPUTED_VALUE"""),948.0)</f>
        <v>948</v>
      </c>
      <c r="C29" s="8">
        <f>IFERROR(__xludf.DUMMYFUNCTION("""COMPUTED_VALUE"""),40.0)</f>
        <v>40</v>
      </c>
      <c r="D29" s="8" t="str">
        <f>IFERROR(__xludf.DUMMYFUNCTION("""COMPUTED_VALUE"""),"Itchytown")</f>
        <v>Itchytown</v>
      </c>
      <c r="E29" s="15" t="str">
        <f>IFERROR(__xludf.DUMMYFUNCTION("""COMPUTED_VALUE"""),"Is not a place i want to be, even if the style of a sweater is great.  yes, this sweater is very cropped, but i think it&amp;amp;#39;s definitely intended to be worn off the shoulder to drop the waist a bit.  it&amp;amp;#39;s the itchiness that makes it an immedi"&amp;"ate &amp;amp;quot;no&amp;amp;quot;, and that&amp;amp;#39;s coming from someone who has serious fiber itch tolerance.")</f>
        <v>Is not a place i want to be, even if the style of a sweater is great.  yes, this sweater is very cropped, but i think it&amp;amp;#39;s definitely intended to be worn off the shoulder to drop the waist a bit.  it&amp;amp;#39;s the itchiness that makes it an immediate &amp;amp;quot;no&amp;amp;quot;, and that&amp;amp;#39;s coming from someone who has serious fiber itch tolerance.</v>
      </c>
      <c r="F29" s="8">
        <f>IFERROR(__xludf.DUMMYFUNCTION("""COMPUTED_VALUE"""),2.0)</f>
        <v>2</v>
      </c>
      <c r="G29" s="8">
        <f>IFERROR(__xludf.DUMMYFUNCTION("""COMPUTED_VALUE"""),1.0)</f>
        <v>1</v>
      </c>
      <c r="H29" s="8">
        <f>IFERROR(__xludf.DUMMYFUNCTION("""COMPUTED_VALUE"""),0.0)</f>
        <v>0</v>
      </c>
      <c r="I29" s="8" t="str">
        <f>IFERROR(__xludf.DUMMYFUNCTION("""COMPUTED_VALUE"""),"General Petite")</f>
        <v>General Petite</v>
      </c>
      <c r="J29" s="8" t="str">
        <f>IFERROR(__xludf.DUMMYFUNCTION("""COMPUTED_VALUE"""),"Tops")</f>
        <v>Tops</v>
      </c>
      <c r="K29" s="8" t="str">
        <f>IFERROR(__xludf.DUMMYFUNCTION("""COMPUTED_VALUE"""),"Sweaters")</f>
        <v>Sweaters</v>
      </c>
      <c r="L29" s="8" t="str">
        <f t="shared" si="1"/>
        <v>--Style issue--</v>
      </c>
    </row>
    <row r="30">
      <c r="A30" s="8">
        <f>IFERROR(__xludf.DUMMYFUNCTION("""COMPUTED_VALUE"""),506.0)</f>
        <v>506</v>
      </c>
      <c r="B30" s="8">
        <f>IFERROR(__xludf.DUMMYFUNCTION("""COMPUTED_VALUE"""),1078.0)</f>
        <v>1078</v>
      </c>
      <c r="C30" s="8">
        <f>IFERROR(__xludf.DUMMYFUNCTION("""COMPUTED_VALUE"""),51.0)</f>
        <v>51</v>
      </c>
      <c r="D30" s="8" t="str">
        <f>IFERROR(__xludf.DUMMYFUNCTION("""COMPUTED_VALUE"""),"So cute, but weird fit")</f>
        <v>So cute, but weird fit</v>
      </c>
      <c r="E30" s="15" t="str">
        <f>IFERROR(__xludf.DUMMYFUNCTION("""COMPUTED_VALUE"""),"This dress is really cute in person. however, it did not fit me like it does the model in the pic at all. first of all i'm 5 feet 1 and it was wayyy too short on me. i didn't have the petit on either-- i had the regular xs. it just hits a couple of inches"&amp;" too short for me. i am 50. it would be adorable if i were more comfortable in shorter dresses. i wear short things a lot, but this was just too high on me. it was probably a good 8 inches above my knee. also it flared too dramatically at the wa")</f>
        <v>This dress is really cute in person. however, it did not fit me like it does the model in the pic at all. first of all i'm 5 feet 1 and it was wayyy too short on me. i didn't have the petit on either-- i had the regular xs. it just hits a couple of inches too short for me. i am 50. it would be adorable if i were more comfortable in shorter dresses. i wear short things a lot, but this was just too high on me. it was probably a good 8 inches above my knee. also it flared too dramatically at the wa</v>
      </c>
      <c r="F30" s="8">
        <f>IFERROR(__xludf.DUMMYFUNCTION("""COMPUTED_VALUE"""),3.0)</f>
        <v>3</v>
      </c>
      <c r="G30" s="8">
        <f>IFERROR(__xludf.DUMMYFUNCTION("""COMPUTED_VALUE"""),1.0)</f>
        <v>1</v>
      </c>
      <c r="H30" s="8">
        <f>IFERROR(__xludf.DUMMYFUNCTION("""COMPUTED_VALUE"""),11.0)</f>
        <v>11</v>
      </c>
      <c r="I30" s="8" t="str">
        <f>IFERROR(__xludf.DUMMYFUNCTION("""COMPUTED_VALUE"""),"General")</f>
        <v>General</v>
      </c>
      <c r="J30" s="8" t="str">
        <f>IFERROR(__xludf.DUMMYFUNCTION("""COMPUTED_VALUE"""),"Dresses")</f>
        <v>Dresses</v>
      </c>
      <c r="K30" s="8" t="str">
        <f>IFERROR(__xludf.DUMMYFUNCTION("""COMPUTED_VALUE"""),"Dresses")</f>
        <v>Dresses</v>
      </c>
      <c r="L30" s="8" t="str">
        <f t="shared" si="1"/>
        <v>Size issue----Matching Awareness issue</v>
      </c>
    </row>
    <row r="31">
      <c r="A31" s="8">
        <f>IFERROR(__xludf.DUMMYFUNCTION("""COMPUTED_VALUE"""),513.0)</f>
        <v>513</v>
      </c>
      <c r="B31" s="8">
        <f>IFERROR(__xludf.DUMMYFUNCTION("""COMPUTED_VALUE"""),850.0)</f>
        <v>850</v>
      </c>
      <c r="C31" s="8">
        <f>IFERROR(__xludf.DUMMYFUNCTION("""COMPUTED_VALUE"""),49.0)</f>
        <v>49</v>
      </c>
      <c r="D31" s="8" t="str">
        <f>IFERROR(__xludf.DUMMYFUNCTION("""COMPUTED_VALUE"""),"Manette clipdot blouse")</f>
        <v>Manette clipdot blouse</v>
      </c>
      <c r="E31" s="15" t="str">
        <f>IFERROR(__xludf.DUMMYFUNCTION("""COMPUTED_VALUE"""),"I love the style of this top. i just wish there were a slimmer version of it. unfortunately, this top doesn't suit my long, slim midsection. it is so wide, it completely hides the waist. i think it would look adorable on a different body type.")</f>
        <v>I love the style of this top. i just wish there were a slimmer version of it. unfortunately, this top doesn't suit my long, slim midsection. it is so wide, it completely hides the waist. i think it would look adorable on a different body type.</v>
      </c>
      <c r="F31" s="8">
        <f>IFERROR(__xludf.DUMMYFUNCTION("""COMPUTED_VALUE"""),3.0)</f>
        <v>3</v>
      </c>
      <c r="G31" s="8">
        <f>IFERROR(__xludf.DUMMYFUNCTION("""COMPUTED_VALUE"""),1.0)</f>
        <v>1</v>
      </c>
      <c r="H31" s="8">
        <f>IFERROR(__xludf.DUMMYFUNCTION("""COMPUTED_VALUE"""),7.0)</f>
        <v>7</v>
      </c>
      <c r="I31" s="8" t="str">
        <f>IFERROR(__xludf.DUMMYFUNCTION("""COMPUTED_VALUE"""),"General Petite")</f>
        <v>General Petite</v>
      </c>
      <c r="J31" s="8" t="str">
        <f>IFERROR(__xludf.DUMMYFUNCTION("""COMPUTED_VALUE"""),"Tops")</f>
        <v>Tops</v>
      </c>
      <c r="K31" s="8" t="str">
        <f>IFERROR(__xludf.DUMMYFUNCTION("""COMPUTED_VALUE"""),"Blouses")</f>
        <v>Blouses</v>
      </c>
      <c r="L31" s="8" t="str">
        <f t="shared" si="1"/>
        <v>Size issue----</v>
      </c>
    </row>
    <row r="32">
      <c r="A32" s="8">
        <f>IFERROR(__xludf.DUMMYFUNCTION("""COMPUTED_VALUE"""),528.0)</f>
        <v>528</v>
      </c>
      <c r="B32" s="8">
        <f>IFERROR(__xludf.DUMMYFUNCTION("""COMPUTED_VALUE"""),984.0)</f>
        <v>984</v>
      </c>
      <c r="C32" s="8">
        <f>IFERROR(__xludf.DUMMYFUNCTION("""COMPUTED_VALUE"""),31.0)</f>
        <v>31</v>
      </c>
      <c r="D32" s="8" t="str">
        <f>IFERROR(__xludf.DUMMYFUNCTION("""COMPUTED_VALUE"""),"Easy jacket")</f>
        <v>Easy jacket</v>
      </c>
      <c r="E32" s="15" t="str">
        <f>IFERROR(__xludf.DUMMYFUNCTION("""COMPUTED_VALUE"""),"Slouchy relaxed fit. well sewn together and hangs well on the body. bottom hem hits upper thigh. good length and soft, easy fabric. light layering option as well. good spring jacket, can be kept on indoors without getting too hot.")</f>
        <v>Slouchy relaxed fit. well sewn together and hangs well on the body. bottom hem hits upper thigh. good length and soft, easy fabric. light layering option as well. good spring jacket, can be kept on indoors without getting too hot.</v>
      </c>
      <c r="F32" s="8">
        <f>IFERROR(__xludf.DUMMYFUNCTION("""COMPUTED_VALUE"""),3.0)</f>
        <v>3</v>
      </c>
      <c r="G32" s="8">
        <f>IFERROR(__xludf.DUMMYFUNCTION("""COMPUTED_VALUE"""),1.0)</f>
        <v>1</v>
      </c>
      <c r="H32" s="8">
        <f>IFERROR(__xludf.DUMMYFUNCTION("""COMPUTED_VALUE"""),0.0)</f>
        <v>0</v>
      </c>
      <c r="I32" s="8" t="str">
        <f>IFERROR(__xludf.DUMMYFUNCTION("""COMPUTED_VALUE"""),"General")</f>
        <v>General</v>
      </c>
      <c r="J32" s="8" t="str">
        <f>IFERROR(__xludf.DUMMYFUNCTION("""COMPUTED_VALUE"""),"Jackets")</f>
        <v>Jackets</v>
      </c>
      <c r="K32" s="8" t="str">
        <f>IFERROR(__xludf.DUMMYFUNCTION("""COMPUTED_VALUE"""),"Jackets")</f>
        <v>Jackets</v>
      </c>
      <c r="L32" s="8" t="str">
        <f t="shared" si="1"/>
        <v>----</v>
      </c>
    </row>
    <row r="33">
      <c r="A33" s="8">
        <f>IFERROR(__xludf.DUMMYFUNCTION("""COMPUTED_VALUE"""),532.0)</f>
        <v>532</v>
      </c>
      <c r="B33" s="8">
        <f>IFERROR(__xludf.DUMMYFUNCTION("""COMPUTED_VALUE"""),833.0)</f>
        <v>833</v>
      </c>
      <c r="C33" s="8">
        <f>IFERROR(__xludf.DUMMYFUNCTION("""COMPUTED_VALUE"""),56.0)</f>
        <v>56</v>
      </c>
      <c r="D33" s="8" t="str">
        <f>IFERROR(__xludf.DUMMYFUNCTION("""COMPUTED_VALUE"""),"Sleeves are really small")</f>
        <v>Sleeves are really small</v>
      </c>
      <c r="E33" s="15" t="str">
        <f>IFERROR(__xludf.DUMMYFUNCTION("""COMPUTED_VALUE"""),"This shirt is really pretty but the sleeves are so small. i normally wear between a 4 to a 6 or a size medium and i could not get this shirt on. i wish it fit but a size large would have been way to long and loose.")</f>
        <v>This shirt is really pretty but the sleeves are so small. i normally wear between a 4 to a 6 or a size medium and i could not get this shirt on. i wish it fit but a size large would have been way to long and loose.</v>
      </c>
      <c r="F33" s="8">
        <f>IFERROR(__xludf.DUMMYFUNCTION("""COMPUTED_VALUE"""),3.0)</f>
        <v>3</v>
      </c>
      <c r="G33" s="8">
        <f>IFERROR(__xludf.DUMMYFUNCTION("""COMPUTED_VALUE"""),1.0)</f>
        <v>1</v>
      </c>
      <c r="H33" s="8">
        <f>IFERROR(__xludf.DUMMYFUNCTION("""COMPUTED_VALUE"""),0.0)</f>
        <v>0</v>
      </c>
      <c r="I33" s="8" t="str">
        <f>IFERROR(__xludf.DUMMYFUNCTION("""COMPUTED_VALUE"""),"General")</f>
        <v>General</v>
      </c>
      <c r="J33" s="8" t="str">
        <f>IFERROR(__xludf.DUMMYFUNCTION("""COMPUTED_VALUE"""),"Tops")</f>
        <v>Tops</v>
      </c>
      <c r="K33" s="8" t="str">
        <f>IFERROR(__xludf.DUMMYFUNCTION("""COMPUTED_VALUE"""),"Blouses")</f>
        <v>Blouses</v>
      </c>
      <c r="L33" s="8" t="str">
        <f t="shared" si="1"/>
        <v>Size issue--Style issue--</v>
      </c>
    </row>
    <row r="34">
      <c r="A34" s="8">
        <f>IFERROR(__xludf.DUMMYFUNCTION("""COMPUTED_VALUE"""),533.0)</f>
        <v>533</v>
      </c>
      <c r="B34" s="8">
        <f>IFERROR(__xludf.DUMMYFUNCTION("""COMPUTED_VALUE"""),1078.0)</f>
        <v>1078</v>
      </c>
      <c r="C34" s="8">
        <f>IFERROR(__xludf.DUMMYFUNCTION("""COMPUTED_VALUE"""),68.0)</f>
        <v>68</v>
      </c>
      <c r="D34" s="8"/>
      <c r="E34" s="15" t="str">
        <f>IFERROR(__xludf.DUMMYFUNCTION("""COMPUTED_VALUE"""),"I love this dress because its very playful and bouncy. it puts me in a light hearted mood when i wear it. i originally wanted to buy the grey color but my store only had the navy, so i tried it on. the navy is brighter and more colorful than it looks on l"&amp;"ine and the stripes are more varied in color than in the picture - so its quite appealing and vibrant. the lines of the dress are also quite flattering. all in all, its a fun dress!")</f>
        <v>I love this dress because its very playful and bouncy. it puts me in a light hearted mood when i wear it. i originally wanted to buy the grey color but my store only had the navy, so i tried it on. the navy is brighter and more colorful than it looks on line and the stripes are more varied in color than in the picture - so its quite appealing and vibrant. the lines of the dress are also quite flattering. all in all, its a fun dress!</v>
      </c>
      <c r="F34" s="8">
        <f>IFERROR(__xludf.DUMMYFUNCTION("""COMPUTED_VALUE"""),3.0)</f>
        <v>3</v>
      </c>
      <c r="G34" s="8">
        <f>IFERROR(__xludf.DUMMYFUNCTION("""COMPUTED_VALUE"""),1.0)</f>
        <v>1</v>
      </c>
      <c r="H34" s="8">
        <f>IFERROR(__xludf.DUMMYFUNCTION("""COMPUTED_VALUE"""),1.0)</f>
        <v>1</v>
      </c>
      <c r="I34" s="8" t="str">
        <f>IFERROR(__xludf.DUMMYFUNCTION("""COMPUTED_VALUE"""),"General")</f>
        <v>General</v>
      </c>
      <c r="J34" s="8" t="str">
        <f>IFERROR(__xludf.DUMMYFUNCTION("""COMPUTED_VALUE"""),"Dresses")</f>
        <v>Dresses</v>
      </c>
      <c r="K34" s="8" t="str">
        <f>IFERROR(__xludf.DUMMYFUNCTION("""COMPUTED_VALUE"""),"Dresses")</f>
        <v>Dresses</v>
      </c>
      <c r="L34" s="8" t="str">
        <f t="shared" si="1"/>
        <v>----</v>
      </c>
    </row>
    <row r="35">
      <c r="A35" s="8">
        <f>IFERROR(__xludf.DUMMYFUNCTION("""COMPUTED_VALUE"""),551.0)</f>
        <v>551</v>
      </c>
      <c r="B35" s="8">
        <f>IFERROR(__xludf.DUMMYFUNCTION("""COMPUTED_VALUE"""),1078.0)</f>
        <v>1078</v>
      </c>
      <c r="C35" s="8">
        <f>IFERROR(__xludf.DUMMYFUNCTION("""COMPUTED_VALUE"""),49.0)</f>
        <v>49</v>
      </c>
      <c r="D35" s="8"/>
      <c r="E35" s="15" t="str">
        <f>IFERROR(__xludf.DUMMYFUNCTION("""COMPUTED_VALUE"""),"I loved this dress when i saw it. however the fit was way off. i am 5'7"" 120 lbs and the small was way too big from the waist down. when the xs arrived i was sure it would be perfect. unfortunately the waist hit way too high, above my rib cage and the dr"&amp;"ess was too short. it was as if it was a petite size. i was very disappointed as this is such a pretty, easy dress to just throw on for school. unfortunately neither size looked right on me and i had to return both. the material is also not the s")</f>
        <v>I loved this dress when i saw it. however the fit was way off. i am 5'7" 120 lbs and the small was way too big from the waist down. when the xs arrived i was sure it would be perfect. unfortunately the waist hit way too high, above my rib cage and the dress was too short. it was as if it was a petite size. i was very disappointed as this is such a pretty, easy dress to just throw on for school. unfortunately neither size looked right on me and i had to return both. the material is also not the s</v>
      </c>
      <c r="F35" s="8">
        <f>IFERROR(__xludf.DUMMYFUNCTION("""COMPUTED_VALUE"""),2.0)</f>
        <v>2</v>
      </c>
      <c r="G35" s="8">
        <f>IFERROR(__xludf.DUMMYFUNCTION("""COMPUTED_VALUE"""),1.0)</f>
        <v>1</v>
      </c>
      <c r="H35" s="8">
        <f>IFERROR(__xludf.DUMMYFUNCTION("""COMPUTED_VALUE"""),0.0)</f>
        <v>0</v>
      </c>
      <c r="I35" s="8" t="str">
        <f>IFERROR(__xludf.DUMMYFUNCTION("""COMPUTED_VALUE"""),"General")</f>
        <v>General</v>
      </c>
      <c r="J35" s="8" t="str">
        <f>IFERROR(__xludf.DUMMYFUNCTION("""COMPUTED_VALUE"""),"Dresses")</f>
        <v>Dresses</v>
      </c>
      <c r="K35" s="8" t="str">
        <f>IFERROR(__xludf.DUMMYFUNCTION("""COMPUTED_VALUE"""),"Dresses")</f>
        <v>Dresses</v>
      </c>
      <c r="L35" s="8" t="str">
        <f t="shared" si="1"/>
        <v>Size issue-Fabric issue---</v>
      </c>
    </row>
    <row r="36">
      <c r="A36" s="8">
        <f>IFERROR(__xludf.DUMMYFUNCTION("""COMPUTED_VALUE"""),596.0)</f>
        <v>596</v>
      </c>
      <c r="B36" s="8">
        <f>IFERROR(__xludf.DUMMYFUNCTION("""COMPUTED_VALUE"""),1037.0)</f>
        <v>1037</v>
      </c>
      <c r="C36" s="8">
        <f>IFERROR(__xludf.DUMMYFUNCTION("""COMPUTED_VALUE"""),47.0)</f>
        <v>47</v>
      </c>
      <c r="D36" s="8" t="str">
        <f>IFERROR(__xludf.DUMMYFUNCTION("""COMPUTED_VALUE"""),"Too bad!")</f>
        <v>Too bad!</v>
      </c>
      <c r="E36" s="15" t="str">
        <f>IFERROR(__xludf.DUMMYFUNCTION("""COMPUTED_VALUE"""),"Very nice fabric but disappointed in the stitching on the knees. it looks nice but makes the pants very uncomfortable and tight around the knees. too bad because i love the style and hoped they would work!")</f>
        <v>Very nice fabric but disappointed in the stitching on the knees. it looks nice but makes the pants very uncomfortable and tight around the knees. too bad because i love the style and hoped they would work!</v>
      </c>
      <c r="F36" s="8">
        <f>IFERROR(__xludf.DUMMYFUNCTION("""COMPUTED_VALUE"""),3.0)</f>
        <v>3</v>
      </c>
      <c r="G36" s="8">
        <f>IFERROR(__xludf.DUMMYFUNCTION("""COMPUTED_VALUE"""),1.0)</f>
        <v>1</v>
      </c>
      <c r="H36" s="8">
        <f>IFERROR(__xludf.DUMMYFUNCTION("""COMPUTED_VALUE"""),0.0)</f>
        <v>0</v>
      </c>
      <c r="I36" s="8" t="str">
        <f>IFERROR(__xludf.DUMMYFUNCTION("""COMPUTED_VALUE"""),"General")</f>
        <v>General</v>
      </c>
      <c r="J36" s="8" t="str">
        <f>IFERROR(__xludf.DUMMYFUNCTION("""COMPUTED_VALUE"""),"Bottoms")</f>
        <v>Bottoms</v>
      </c>
      <c r="K36" s="8" t="str">
        <f>IFERROR(__xludf.DUMMYFUNCTION("""COMPUTED_VALUE"""),"Jeans")</f>
        <v>Jeans</v>
      </c>
      <c r="L36" s="8" t="str">
        <f t="shared" si="1"/>
        <v>Size issue--Style issue--</v>
      </c>
    </row>
    <row r="37">
      <c r="A37" s="8">
        <f>IFERROR(__xludf.DUMMYFUNCTION("""COMPUTED_VALUE"""),606.0)</f>
        <v>606</v>
      </c>
      <c r="B37" s="8">
        <f>IFERROR(__xludf.DUMMYFUNCTION("""COMPUTED_VALUE"""),1094.0)</f>
        <v>1094</v>
      </c>
      <c r="C37" s="8">
        <f>IFERROR(__xludf.DUMMYFUNCTION("""COMPUTED_VALUE"""),64.0)</f>
        <v>64</v>
      </c>
      <c r="D37" s="8" t="str">
        <f>IFERROR(__xludf.DUMMYFUNCTION("""COMPUTED_VALUE"""),"Interesting but awkward to actually wear")</f>
        <v>Interesting but awkward to actually wear</v>
      </c>
      <c r="E37" s="15" t="str">
        <f>IFERROR(__xludf.DUMMYFUNCTION("""COMPUTED_VALUE"""),"First, my husband had to help me zip up in this interesting but awkward design. the materials is nice, but stiff, so the skirt is quite full. the shoulder idea is interesting, but i would not want to spend an evening in it. to me, not up to the usual ms s"&amp;"tandard.")</f>
        <v>First, my husband had to help me zip up in this interesting but awkward design. the materials is nice, but stiff, so the skirt is quite full. the shoulder idea is interesting, but i would not want to spend an evening in it. to me, not up to the usual ms standard.</v>
      </c>
      <c r="F37" s="8">
        <f>IFERROR(__xludf.DUMMYFUNCTION("""COMPUTED_VALUE"""),3.0)</f>
        <v>3</v>
      </c>
      <c r="G37" s="8">
        <f>IFERROR(__xludf.DUMMYFUNCTION("""COMPUTED_VALUE"""),1.0)</f>
        <v>1</v>
      </c>
      <c r="H37" s="8">
        <f>IFERROR(__xludf.DUMMYFUNCTION("""COMPUTED_VALUE"""),1.0)</f>
        <v>1</v>
      </c>
      <c r="I37" s="8" t="str">
        <f>IFERROR(__xludf.DUMMYFUNCTION("""COMPUTED_VALUE"""),"General")</f>
        <v>General</v>
      </c>
      <c r="J37" s="8" t="str">
        <f>IFERROR(__xludf.DUMMYFUNCTION("""COMPUTED_VALUE"""),"Dresses")</f>
        <v>Dresses</v>
      </c>
      <c r="K37" s="8" t="str">
        <f>IFERROR(__xludf.DUMMYFUNCTION("""COMPUTED_VALUE"""),"Dresses")</f>
        <v>Dresses</v>
      </c>
      <c r="L37" s="8" t="str">
        <f t="shared" si="1"/>
        <v>-Fabric issue-Style issue--</v>
      </c>
    </row>
    <row r="38">
      <c r="A38" s="8">
        <f>IFERROR(__xludf.DUMMYFUNCTION("""COMPUTED_VALUE"""),622.0)</f>
        <v>622</v>
      </c>
      <c r="B38" s="8">
        <f>IFERROR(__xludf.DUMMYFUNCTION("""COMPUTED_VALUE"""),117.0)</f>
        <v>117</v>
      </c>
      <c r="C38" s="8">
        <f>IFERROR(__xludf.DUMMYFUNCTION("""COMPUTED_VALUE"""),70.0)</f>
        <v>70</v>
      </c>
      <c r="D38" s="8"/>
      <c r="E38" s="15" t="str">
        <f>IFERROR(__xludf.DUMMYFUNCTION("""COMPUTED_VALUE"""),"I have bought other leggings at retailer and they were fine. these run small. i have to return.")</f>
        <v>I have bought other leggings at retailer and they were fine. these run small. i have to return.</v>
      </c>
      <c r="F38" s="8">
        <f>IFERROR(__xludf.DUMMYFUNCTION("""COMPUTED_VALUE"""),3.0)</f>
        <v>3</v>
      </c>
      <c r="G38" s="8">
        <f>IFERROR(__xludf.DUMMYFUNCTION("""COMPUTED_VALUE"""),1.0)</f>
        <v>1</v>
      </c>
      <c r="H38" s="8">
        <f>IFERROR(__xludf.DUMMYFUNCTION("""COMPUTED_VALUE"""),0.0)</f>
        <v>0</v>
      </c>
      <c r="I38" s="8" t="str">
        <f>IFERROR(__xludf.DUMMYFUNCTION("""COMPUTED_VALUE"""),"Initmates")</f>
        <v>Initmates</v>
      </c>
      <c r="J38" s="8" t="str">
        <f>IFERROR(__xludf.DUMMYFUNCTION("""COMPUTED_VALUE"""),"Intimate")</f>
        <v>Intimate</v>
      </c>
      <c r="K38" s="8" t="str">
        <f>IFERROR(__xludf.DUMMYFUNCTION("""COMPUTED_VALUE"""),"Legwear")</f>
        <v>Legwear</v>
      </c>
      <c r="L38" s="8" t="str">
        <f t="shared" si="1"/>
        <v>Size issue----</v>
      </c>
    </row>
    <row r="39">
      <c r="A39" s="8">
        <f>IFERROR(__xludf.DUMMYFUNCTION("""COMPUTED_VALUE"""),701.0)</f>
        <v>701</v>
      </c>
      <c r="B39" s="8">
        <f>IFERROR(__xludf.DUMMYFUNCTION("""COMPUTED_VALUE"""),937.0)</f>
        <v>937</v>
      </c>
      <c r="C39" s="8">
        <f>IFERROR(__xludf.DUMMYFUNCTION("""COMPUTED_VALUE"""),59.0)</f>
        <v>59</v>
      </c>
      <c r="D39" s="8" t="str">
        <f>IFERROR(__xludf.DUMMYFUNCTION("""COMPUTED_VALUE"""),"Great for travel")</f>
        <v>Great for travel</v>
      </c>
      <c r="E39" s="15" t="str">
        <f>IFERROR(__xludf.DUMMYFUNCTION("""COMPUTED_VALUE"""),"I think the model is wearing a larger size, per the first review. i am 5'2"" and 105 lbs and the xs fits about the same in length but not nearly voluminous. so you should order up if that is what you want. this will be perfect for some long summer flights"&amp;" instead of a wrap, since the sleeves will be more convenient and i always look schlumpy rather than elegant in a shawl! if it had some cashmere or another softer fiber i would be totally in love with it.")</f>
        <v>I think the model is wearing a larger size, per the first review. i am 5'2" and 105 lbs and the xs fits about the same in length but not nearly voluminous. so you should order up if that is what you want. this will be perfect for some long summer flights instead of a wrap, since the sleeves will be more convenient and i always look schlumpy rather than elegant in a shawl! if it had some cashmere or another softer fiber i would be totally in love with it.</v>
      </c>
      <c r="F39" s="8">
        <f>IFERROR(__xludf.DUMMYFUNCTION("""COMPUTED_VALUE"""),3.0)</f>
        <v>3</v>
      </c>
      <c r="G39" s="8">
        <f>IFERROR(__xludf.DUMMYFUNCTION("""COMPUTED_VALUE"""),1.0)</f>
        <v>1</v>
      </c>
      <c r="H39" s="8">
        <f>IFERROR(__xludf.DUMMYFUNCTION("""COMPUTED_VALUE"""),14.0)</f>
        <v>14</v>
      </c>
      <c r="I39" s="8" t="str">
        <f>IFERROR(__xludf.DUMMYFUNCTION("""COMPUTED_VALUE"""),"General")</f>
        <v>General</v>
      </c>
      <c r="J39" s="8" t="str">
        <f>IFERROR(__xludf.DUMMYFUNCTION("""COMPUTED_VALUE"""),"Tops")</f>
        <v>Tops</v>
      </c>
      <c r="K39" s="8" t="str">
        <f>IFERROR(__xludf.DUMMYFUNCTION("""COMPUTED_VALUE"""),"Sweaters")</f>
        <v>Sweaters</v>
      </c>
      <c r="L39" s="8" t="str">
        <f t="shared" si="1"/>
        <v>Size issue----Matching Awareness issue</v>
      </c>
    </row>
    <row r="40">
      <c r="A40" s="8">
        <f>IFERROR(__xludf.DUMMYFUNCTION("""COMPUTED_VALUE"""),738.0)</f>
        <v>738</v>
      </c>
      <c r="B40" s="8">
        <f>IFERROR(__xludf.DUMMYFUNCTION("""COMPUTED_VALUE"""),1137.0)</f>
        <v>1137</v>
      </c>
      <c r="C40" s="8">
        <f>IFERROR(__xludf.DUMMYFUNCTION("""COMPUTED_VALUE"""),66.0)</f>
        <v>66</v>
      </c>
      <c r="D40" s="8" t="str">
        <f>IFERROR(__xludf.DUMMYFUNCTION("""COMPUTED_VALUE"""),"Too cropped")</f>
        <v>Too cropped</v>
      </c>
      <c r="E40" s="15" t="str">
        <f>IFERROR(__xludf.DUMMYFUNCTION("""COMPUTED_VALUE"""),"This runs small, i got the size 3 which fits like a medium, not a large. its a bit of an aline shaped knit in a beautiful saturated navy. i loved the elbow length sleeves. i have a large 34g bust and although this fit, it came to the top of my waist and i"&amp;"'m short-waisted. it's a great basic for someone less busty or who likes a shorter length.")</f>
        <v>This runs small, i got the size 3 which fits like a medium, not a large. its a bit of an aline shaped knit in a beautiful saturated navy. i loved the elbow length sleeves. i have a large 34g bust and although this fit, it came to the top of my waist and i'm short-waisted. it's a great basic for someone less busty or who likes a shorter length.</v>
      </c>
      <c r="F40" s="8">
        <f>IFERROR(__xludf.DUMMYFUNCTION("""COMPUTED_VALUE"""),3.0)</f>
        <v>3</v>
      </c>
      <c r="G40" s="8">
        <f>IFERROR(__xludf.DUMMYFUNCTION("""COMPUTED_VALUE"""),1.0)</f>
        <v>1</v>
      </c>
      <c r="H40" s="8">
        <f>IFERROR(__xludf.DUMMYFUNCTION("""COMPUTED_VALUE"""),0.0)</f>
        <v>0</v>
      </c>
      <c r="I40" s="8" t="str">
        <f>IFERROR(__xludf.DUMMYFUNCTION("""COMPUTED_VALUE"""),"General")</f>
        <v>General</v>
      </c>
      <c r="J40" s="8" t="str">
        <f>IFERROR(__xludf.DUMMYFUNCTION("""COMPUTED_VALUE"""),"Trend")</f>
        <v>Trend</v>
      </c>
      <c r="K40" s="8" t="str">
        <f>IFERROR(__xludf.DUMMYFUNCTION("""COMPUTED_VALUE"""),"Trend")</f>
        <v>Trend</v>
      </c>
      <c r="L40" s="8" t="str">
        <f t="shared" si="1"/>
        <v>Size issue-Fabric issue---</v>
      </c>
    </row>
    <row r="41">
      <c r="A41" s="8">
        <f>IFERROR(__xludf.DUMMYFUNCTION("""COMPUTED_VALUE"""),748.0)</f>
        <v>748</v>
      </c>
      <c r="B41" s="8">
        <f>IFERROR(__xludf.DUMMYFUNCTION("""COMPUTED_VALUE"""),886.0)</f>
        <v>886</v>
      </c>
      <c r="C41" s="8">
        <f>IFERROR(__xludf.DUMMYFUNCTION("""COMPUTED_VALUE"""),54.0)</f>
        <v>54</v>
      </c>
      <c r="D41" s="8" t="str">
        <f>IFERROR(__xludf.DUMMYFUNCTION("""COMPUTED_VALUE"""),"Beautiful blue, but....")</f>
        <v>Beautiful blue, but....</v>
      </c>
      <c r="E41" s="15" t="str">
        <f>IFERROR(__xludf.DUMMYFUNCTION("""COMPUTED_VALUE"""),"The blue is a very flattering color. the fit is not. it does not lay in the back like in the photo on the model. instead, there is a lot of fabric that falls in horizontal folds because it does not fall straight because the sides at the bottom are narrowe"&amp;"r than the mid section. i think i'm going to return it. the neckline is very nice and faltering. the sleeve at the wrist is kind of constricting, though, and long. it doesn't run big at the chest section, just the mid section, then tapers in at")</f>
        <v>The blue is a very flattering color. the fit is not. it does not lay in the back like in the photo on the model. instead, there is a lot of fabric that falls in horizontal folds because it does not fall straight because the sides at the bottom are narrower than the mid section. i think i'm going to return it. the neckline is very nice and faltering. the sleeve at the wrist is kind of constricting, though, and long. it doesn't run big at the chest section, just the mid section, then tapers in at</v>
      </c>
      <c r="F41" s="8">
        <f>IFERROR(__xludf.DUMMYFUNCTION("""COMPUTED_VALUE"""),3.0)</f>
        <v>3</v>
      </c>
      <c r="G41" s="8">
        <f>IFERROR(__xludf.DUMMYFUNCTION("""COMPUTED_VALUE"""),1.0)</f>
        <v>1</v>
      </c>
      <c r="H41" s="8">
        <f>IFERROR(__xludf.DUMMYFUNCTION("""COMPUTED_VALUE"""),1.0)</f>
        <v>1</v>
      </c>
      <c r="I41" s="8" t="str">
        <f>IFERROR(__xludf.DUMMYFUNCTION("""COMPUTED_VALUE"""),"General Petite")</f>
        <v>General Petite</v>
      </c>
      <c r="J41" s="8" t="str">
        <f>IFERROR(__xludf.DUMMYFUNCTION("""COMPUTED_VALUE"""),"Tops")</f>
        <v>Tops</v>
      </c>
      <c r="K41" s="8" t="str">
        <f>IFERROR(__xludf.DUMMYFUNCTION("""COMPUTED_VALUE"""),"Knits")</f>
        <v>Knits</v>
      </c>
      <c r="L41" s="8" t="str">
        <f t="shared" si="1"/>
        <v>Size issue----Matching Awareness issue</v>
      </c>
    </row>
    <row r="42">
      <c r="A42" s="8">
        <f>IFERROR(__xludf.DUMMYFUNCTION("""COMPUTED_VALUE"""),758.0)</f>
        <v>758</v>
      </c>
      <c r="B42" s="8">
        <f>IFERROR(__xludf.DUMMYFUNCTION("""COMPUTED_VALUE"""),937.0)</f>
        <v>937</v>
      </c>
      <c r="C42" s="8">
        <f>IFERROR(__xludf.DUMMYFUNCTION("""COMPUTED_VALUE"""),32.0)</f>
        <v>32</v>
      </c>
      <c r="D42" s="8"/>
      <c r="E42" s="15"/>
      <c r="F42" s="8">
        <f>IFERROR(__xludf.DUMMYFUNCTION("""COMPUTED_VALUE"""),3.0)</f>
        <v>3</v>
      </c>
      <c r="G42" s="8">
        <f>IFERROR(__xludf.DUMMYFUNCTION("""COMPUTED_VALUE"""),1.0)</f>
        <v>1</v>
      </c>
      <c r="H42" s="8">
        <f>IFERROR(__xludf.DUMMYFUNCTION("""COMPUTED_VALUE"""),0.0)</f>
        <v>0</v>
      </c>
      <c r="I42" s="8" t="str">
        <f>IFERROR(__xludf.DUMMYFUNCTION("""COMPUTED_VALUE"""),"General")</f>
        <v>General</v>
      </c>
      <c r="J42" s="8" t="str">
        <f>IFERROR(__xludf.DUMMYFUNCTION("""COMPUTED_VALUE"""),"Tops")</f>
        <v>Tops</v>
      </c>
      <c r="K42" s="8" t="str">
        <f>IFERROR(__xludf.DUMMYFUNCTION("""COMPUTED_VALUE"""),"Sweaters")</f>
        <v>Sweaters</v>
      </c>
      <c r="L42" s="8" t="str">
        <f t="shared" si="1"/>
        <v/>
      </c>
    </row>
    <row r="43">
      <c r="A43" s="8">
        <f>IFERROR(__xludf.DUMMYFUNCTION("""COMPUTED_VALUE"""),790.0)</f>
        <v>790</v>
      </c>
      <c r="B43" s="8">
        <f>IFERROR(__xludf.DUMMYFUNCTION("""COMPUTED_VALUE"""),895.0)</f>
        <v>895</v>
      </c>
      <c r="C43" s="8">
        <f>IFERROR(__xludf.DUMMYFUNCTION("""COMPUTED_VALUE"""),58.0)</f>
        <v>58</v>
      </c>
      <c r="D43" s="8" t="str">
        <f>IFERROR(__xludf.DUMMYFUNCTION("""COMPUTED_VALUE"""),"Couldn't get past the itch factor")</f>
        <v>Couldn't get past the itch factor</v>
      </c>
      <c r="E43" s="15" t="str">
        <f>IFERROR(__xludf.DUMMYFUNCTION("""COMPUTED_VALUE"""),"This is a beautiful tunic. i wanted it to work so much but i couldn't get past the itch factor. also, the sleeves were shorter than i expected. when i wore a light tee underneath, it didn't move well and looked bulky so sadly it went back to the store. if"&amp;" the material doesn't bother you, buy this. would look great w/ tights/leggings and boots.")</f>
        <v>This is a beautiful tunic. i wanted it to work so much but i couldn't get past the itch factor. also, the sleeves were shorter than i expected. when i wore a light tee underneath, it didn't move well and looked bulky so sadly it went back to the store. if the material doesn't bother you, buy this. would look great w/ tights/leggings and boots.</v>
      </c>
      <c r="F43" s="8">
        <f>IFERROR(__xludf.DUMMYFUNCTION("""COMPUTED_VALUE"""),3.0)</f>
        <v>3</v>
      </c>
      <c r="G43" s="8">
        <f>IFERROR(__xludf.DUMMYFUNCTION("""COMPUTED_VALUE"""),1.0)</f>
        <v>1</v>
      </c>
      <c r="H43" s="8">
        <f>IFERROR(__xludf.DUMMYFUNCTION("""COMPUTED_VALUE"""),1.0)</f>
        <v>1</v>
      </c>
      <c r="I43" s="8" t="str">
        <f>IFERROR(__xludf.DUMMYFUNCTION("""COMPUTED_VALUE"""),"General")</f>
        <v>General</v>
      </c>
      <c r="J43" s="8" t="str">
        <f>IFERROR(__xludf.DUMMYFUNCTION("""COMPUTED_VALUE"""),"Tops")</f>
        <v>Tops</v>
      </c>
      <c r="K43" s="8" t="str">
        <f>IFERROR(__xludf.DUMMYFUNCTION("""COMPUTED_VALUE"""),"Fine gauge")</f>
        <v>Fine gauge</v>
      </c>
      <c r="L43" s="8" t="str">
        <f t="shared" si="1"/>
        <v>Size issue-Fabric issue---</v>
      </c>
    </row>
    <row r="44">
      <c r="A44" s="8">
        <f>IFERROR(__xludf.DUMMYFUNCTION("""COMPUTED_VALUE"""),808.0)</f>
        <v>808</v>
      </c>
      <c r="B44" s="8">
        <f>IFERROR(__xludf.DUMMYFUNCTION("""COMPUTED_VALUE"""),886.0)</f>
        <v>886</v>
      </c>
      <c r="C44" s="8">
        <f>IFERROR(__xludf.DUMMYFUNCTION("""COMPUTED_VALUE"""),39.0)</f>
        <v>39</v>
      </c>
      <c r="D44" s="8"/>
      <c r="E44" s="15" t="str">
        <f>IFERROR(__xludf.DUMMYFUNCTION("""COMPUTED_VALUE"""),"I bought this in black. it's a great long length. i have long arms so the sleeve length is great. it's really soft. only issue is seems to sag a little in the middle instead of being flowy. overall a good tunic.")</f>
        <v>I bought this in black. it's a great long length. i have long arms so the sleeve length is great. it's really soft. only issue is seems to sag a little in the middle instead of being flowy. overall a good tunic.</v>
      </c>
      <c r="F44" s="8">
        <f>IFERROR(__xludf.DUMMYFUNCTION("""COMPUTED_VALUE"""),3.0)</f>
        <v>3</v>
      </c>
      <c r="G44" s="8">
        <f>IFERROR(__xludf.DUMMYFUNCTION("""COMPUTED_VALUE"""),1.0)</f>
        <v>1</v>
      </c>
      <c r="H44" s="8">
        <f>IFERROR(__xludf.DUMMYFUNCTION("""COMPUTED_VALUE"""),0.0)</f>
        <v>0</v>
      </c>
      <c r="I44" s="8" t="str">
        <f>IFERROR(__xludf.DUMMYFUNCTION("""COMPUTED_VALUE"""),"General Petite")</f>
        <v>General Petite</v>
      </c>
      <c r="J44" s="8" t="str">
        <f>IFERROR(__xludf.DUMMYFUNCTION("""COMPUTED_VALUE"""),"Tops")</f>
        <v>Tops</v>
      </c>
      <c r="K44" s="8" t="str">
        <f>IFERROR(__xludf.DUMMYFUNCTION("""COMPUTED_VALUE"""),"Knits")</f>
        <v>Knits</v>
      </c>
      <c r="L44" s="8" t="str">
        <f t="shared" si="1"/>
        <v>Size issue----</v>
      </c>
    </row>
    <row r="45">
      <c r="A45" s="8">
        <f>IFERROR(__xludf.DUMMYFUNCTION("""COMPUTED_VALUE"""),819.0)</f>
        <v>819</v>
      </c>
      <c r="B45" s="8">
        <f>IFERROR(__xludf.DUMMYFUNCTION("""COMPUTED_VALUE"""),886.0)</f>
        <v>886</v>
      </c>
      <c r="C45" s="8">
        <f>IFERROR(__xludf.DUMMYFUNCTION("""COMPUTED_VALUE"""),63.0)</f>
        <v>63</v>
      </c>
      <c r="D45" s="8" t="str">
        <f>IFERROR(__xludf.DUMMYFUNCTION("""COMPUTED_VALUE"""),"V-neck t")</f>
        <v>V-neck t</v>
      </c>
      <c r="E45" s="15" t="str">
        <f>IFERROR(__xludf.DUMMYFUNCTION("""COMPUTED_VALUE"""),"Way to v necked- other than that would be a nice go to top. needs a cami.")</f>
        <v>Way to v necked- other than that would be a nice go to top. needs a cami.</v>
      </c>
      <c r="F45" s="8">
        <f>IFERROR(__xludf.DUMMYFUNCTION("""COMPUTED_VALUE"""),3.0)</f>
        <v>3</v>
      </c>
      <c r="G45" s="8">
        <f>IFERROR(__xludf.DUMMYFUNCTION("""COMPUTED_VALUE"""),1.0)</f>
        <v>1</v>
      </c>
      <c r="H45" s="8">
        <f>IFERROR(__xludf.DUMMYFUNCTION("""COMPUTED_VALUE"""),1.0)</f>
        <v>1</v>
      </c>
      <c r="I45" s="8" t="str">
        <f>IFERROR(__xludf.DUMMYFUNCTION("""COMPUTED_VALUE"""),"General Petite")</f>
        <v>General Petite</v>
      </c>
      <c r="J45" s="8" t="str">
        <f>IFERROR(__xludf.DUMMYFUNCTION("""COMPUTED_VALUE"""),"Tops")</f>
        <v>Tops</v>
      </c>
      <c r="K45" s="8" t="str">
        <f>IFERROR(__xludf.DUMMYFUNCTION("""COMPUTED_VALUE"""),"Knits")</f>
        <v>Knits</v>
      </c>
      <c r="L45" s="8" t="str">
        <f t="shared" si="1"/>
        <v>----</v>
      </c>
    </row>
    <row r="46">
      <c r="A46" s="8">
        <f>IFERROR(__xludf.DUMMYFUNCTION("""COMPUTED_VALUE"""),829.0)</f>
        <v>829</v>
      </c>
      <c r="B46" s="8">
        <f>IFERROR(__xludf.DUMMYFUNCTION("""COMPUTED_VALUE"""),895.0)</f>
        <v>895</v>
      </c>
      <c r="C46" s="8">
        <f>IFERROR(__xludf.DUMMYFUNCTION("""COMPUTED_VALUE"""),30.0)</f>
        <v>30</v>
      </c>
      <c r="D46" s="8" t="str">
        <f>IFERROR(__xludf.DUMMYFUNCTION("""COMPUTED_VALUE"""),"Sent to me damaged")</f>
        <v>Sent to me damaged</v>
      </c>
      <c r="E46" s="15" t="str">
        <f>IFERROR(__xludf.DUMMYFUNCTION("""COMPUTED_VALUE"""),"I ordered the in the emerald green and it was sent to me with a dime size hole in the sleeve. i am very disappointed, because i love the sweater. by the time it arrived, it was sold out in my size. now, i cannot exchange it for one that is not damaged. if"&amp;" the sweater was not damaged, i would recommend this product.")</f>
        <v>I ordered the in the emerald green and it was sent to me with a dime size hole in the sleeve. i am very disappointed, because i love the sweater. by the time it arrived, it was sold out in my size. now, i cannot exchange it for one that is not damaged. if the sweater was not damaged, i would recommend this product.</v>
      </c>
      <c r="F46" s="8">
        <f>IFERROR(__xludf.DUMMYFUNCTION("""COMPUTED_VALUE"""),2.0)</f>
        <v>2</v>
      </c>
      <c r="G46" s="8">
        <f>IFERROR(__xludf.DUMMYFUNCTION("""COMPUTED_VALUE"""),1.0)</f>
        <v>1</v>
      </c>
      <c r="H46" s="8">
        <f>IFERROR(__xludf.DUMMYFUNCTION("""COMPUTED_VALUE"""),0.0)</f>
        <v>0</v>
      </c>
      <c r="I46" s="8" t="str">
        <f>IFERROR(__xludf.DUMMYFUNCTION("""COMPUTED_VALUE"""),"General")</f>
        <v>General</v>
      </c>
      <c r="J46" s="8" t="str">
        <f>IFERROR(__xludf.DUMMYFUNCTION("""COMPUTED_VALUE"""),"Tops")</f>
        <v>Tops</v>
      </c>
      <c r="K46" s="8" t="str">
        <f>IFERROR(__xludf.DUMMYFUNCTION("""COMPUTED_VALUE"""),"Fine gauge")</f>
        <v>Fine gauge</v>
      </c>
      <c r="L46" s="8" t="str">
        <f t="shared" si="1"/>
        <v>Size issue-Fabric issue---</v>
      </c>
    </row>
    <row r="47">
      <c r="A47" s="8">
        <f>IFERROR(__xludf.DUMMYFUNCTION("""COMPUTED_VALUE"""),831.0)</f>
        <v>831</v>
      </c>
      <c r="B47" s="8">
        <f>IFERROR(__xludf.DUMMYFUNCTION("""COMPUTED_VALUE"""),1089.0)</f>
        <v>1089</v>
      </c>
      <c r="C47" s="8">
        <f>IFERROR(__xludf.DUMMYFUNCTION("""COMPUTED_VALUE"""),26.0)</f>
        <v>26</v>
      </c>
      <c r="D47" s="8" t="str">
        <f>IFERROR(__xludf.DUMMYFUNCTION("""COMPUTED_VALUE"""),"Not for me")</f>
        <v>Not for me</v>
      </c>
      <c r="E47" s="15" t="str">
        <f>IFERROR(__xludf.DUMMYFUNCTION("""COMPUTED_VALUE"""),"I was obsessed with this dress from the moment i saw it online and was so excited to buy it for my company christmas party. i'm 5'4"", 36c, 145lbs and i ordered a 6. the size was great but the whole cut of the dress was completely off for me. i have a fai"&amp;"rly short torso but the top portion of the dress (which is a sweater-like material) hit me far too low on my waist to be flattering; the petite may have fixed it, but then the skirt would've been too short. the pleats were cute but flared out too")</f>
        <v>I was obsessed with this dress from the moment i saw it online and was so excited to buy it for my company christmas party. i'm 5'4", 36c, 145lbs and i ordered a 6. the size was great but the whole cut of the dress was completely off for me. i have a fairly short torso but the top portion of the dress (which is a sweater-like material) hit me far too low on my waist to be flattering; the petite may have fixed it, but then the skirt would've been too short. the pleats were cute but flared out too</v>
      </c>
      <c r="F47" s="8">
        <f>IFERROR(__xludf.DUMMYFUNCTION("""COMPUTED_VALUE"""),3.0)</f>
        <v>3</v>
      </c>
      <c r="G47" s="8">
        <f>IFERROR(__xludf.DUMMYFUNCTION("""COMPUTED_VALUE"""),1.0)</f>
        <v>1</v>
      </c>
      <c r="H47" s="8">
        <f>IFERROR(__xludf.DUMMYFUNCTION("""COMPUTED_VALUE"""),2.0)</f>
        <v>2</v>
      </c>
      <c r="I47" s="8" t="str">
        <f>IFERROR(__xludf.DUMMYFUNCTION("""COMPUTED_VALUE"""),"General Petite")</f>
        <v>General Petite</v>
      </c>
      <c r="J47" s="8" t="str">
        <f>IFERROR(__xludf.DUMMYFUNCTION("""COMPUTED_VALUE"""),"Dresses")</f>
        <v>Dresses</v>
      </c>
      <c r="K47" s="8" t="str">
        <f>IFERROR(__xludf.DUMMYFUNCTION("""COMPUTED_VALUE"""),"Dresses")</f>
        <v>Dresses</v>
      </c>
      <c r="L47" s="8" t="str">
        <f t="shared" si="1"/>
        <v>Size issue-Fabric issue---</v>
      </c>
    </row>
    <row r="48">
      <c r="A48" s="8">
        <f>IFERROR(__xludf.DUMMYFUNCTION("""COMPUTED_VALUE"""),862.0)</f>
        <v>862</v>
      </c>
      <c r="B48" s="8">
        <f>IFERROR(__xludf.DUMMYFUNCTION("""COMPUTED_VALUE"""),975.0)</f>
        <v>975</v>
      </c>
      <c r="C48" s="8">
        <f>IFERROR(__xludf.DUMMYFUNCTION("""COMPUTED_VALUE"""),45.0)</f>
        <v>45</v>
      </c>
      <c r="D48" s="8" t="str">
        <f>IFERROR(__xludf.DUMMYFUNCTION("""COMPUTED_VALUE"""),"Not enough structure fo rme")</f>
        <v>Not enough structure fo rme</v>
      </c>
      <c r="E48" s="15" t="str">
        <f>IFERROR(__xludf.DUMMYFUNCTION("""COMPUTED_VALUE"""),"The fabric is beautiful, even the lining is lovely. i ordered the green color in a large, as i'm curvy and have long arms. but it just doesn't lay correctly at all - the collar has no structure, even though it's a lapel, and the side vents just pop out - "&amp;"the jacket added about 10lbs, and just looked frumpy. it looks much more tailored on the model. too bad, as i have been looking for a velvet blazer in the color for a long time.")</f>
        <v>The fabric is beautiful, even the lining is lovely. i ordered the green color in a large, as i'm curvy and have long arms. but it just doesn't lay correctly at all - the collar has no structure, even though it's a lapel, and the side vents just pop out - the jacket added about 10lbs, and just looked frumpy. it looks much more tailored on the model. too bad, as i have been looking for a velvet blazer in the color for a long time.</v>
      </c>
      <c r="F48" s="8">
        <f>IFERROR(__xludf.DUMMYFUNCTION("""COMPUTED_VALUE"""),3.0)</f>
        <v>3</v>
      </c>
      <c r="G48" s="8">
        <f>IFERROR(__xludf.DUMMYFUNCTION("""COMPUTED_VALUE"""),1.0)</f>
        <v>1</v>
      </c>
      <c r="H48" s="8">
        <f>IFERROR(__xludf.DUMMYFUNCTION("""COMPUTED_VALUE"""),13.0)</f>
        <v>13</v>
      </c>
      <c r="I48" s="8" t="str">
        <f>IFERROR(__xludf.DUMMYFUNCTION("""COMPUTED_VALUE"""),"General")</f>
        <v>General</v>
      </c>
      <c r="J48" s="8" t="str">
        <f>IFERROR(__xludf.DUMMYFUNCTION("""COMPUTED_VALUE"""),"Jackets")</f>
        <v>Jackets</v>
      </c>
      <c r="K48" s="8" t="str">
        <f>IFERROR(__xludf.DUMMYFUNCTION("""COMPUTED_VALUE"""),"Jackets")</f>
        <v>Jackets</v>
      </c>
      <c r="L48" s="8" t="str">
        <f t="shared" si="1"/>
        <v>Size issue----Matching Awareness issue</v>
      </c>
    </row>
    <row r="49">
      <c r="A49" s="8">
        <f>IFERROR(__xludf.DUMMYFUNCTION("""COMPUTED_VALUE"""),875.0)</f>
        <v>875</v>
      </c>
      <c r="B49" s="8">
        <f>IFERROR(__xludf.DUMMYFUNCTION("""COMPUTED_VALUE"""),1081.0)</f>
        <v>1081</v>
      </c>
      <c r="C49" s="8">
        <f>IFERROR(__xludf.DUMMYFUNCTION("""COMPUTED_VALUE"""),47.0)</f>
        <v>47</v>
      </c>
      <c r="D49" s="8" t="str">
        <f>IFERROR(__xludf.DUMMYFUNCTION("""COMPUTED_VALUE"""),"Not as pictured")</f>
        <v>Not as pictured</v>
      </c>
      <c r="E49" s="15" t="str">
        <f>IFERROR(__xludf.DUMMYFUNCTION("""COMPUTED_VALUE"""),"This dress is most definitely not a maxi! barely goes below the knees. also you do not get the cute detail shown on bodice. there are no folds which were an added plus on picture. waist is higher, not at natural waist. very pretty silk though and still cu"&amp;"te. just not as pictured.")</f>
        <v>This dress is most definitely not a maxi! barely goes below the knees. also you do not get the cute detail shown on bodice. there are no folds which were an added plus on picture. waist is higher, not at natural waist. very pretty silk though and still cute. just not as pictured.</v>
      </c>
      <c r="F49" s="8">
        <f>IFERROR(__xludf.DUMMYFUNCTION("""COMPUTED_VALUE"""),3.0)</f>
        <v>3</v>
      </c>
      <c r="G49" s="8">
        <f>IFERROR(__xludf.DUMMYFUNCTION("""COMPUTED_VALUE"""),1.0)</f>
        <v>1</v>
      </c>
      <c r="H49" s="8">
        <f>IFERROR(__xludf.DUMMYFUNCTION("""COMPUTED_VALUE"""),9.0)</f>
        <v>9</v>
      </c>
      <c r="I49" s="8" t="str">
        <f>IFERROR(__xludf.DUMMYFUNCTION("""COMPUTED_VALUE"""),"General")</f>
        <v>General</v>
      </c>
      <c r="J49" s="8" t="str">
        <f>IFERROR(__xludf.DUMMYFUNCTION("""COMPUTED_VALUE"""),"Dresses")</f>
        <v>Dresses</v>
      </c>
      <c r="K49" s="8" t="str">
        <f>IFERROR(__xludf.DUMMYFUNCTION("""COMPUTED_VALUE"""),"Dresses")</f>
        <v>Dresses</v>
      </c>
      <c r="L49" s="8" t="str">
        <f t="shared" si="1"/>
        <v>-Fabric issue---</v>
      </c>
    </row>
    <row r="50">
      <c r="A50" s="8">
        <f>IFERROR(__xludf.DUMMYFUNCTION("""COMPUTED_VALUE"""),895.0)</f>
        <v>895</v>
      </c>
      <c r="B50" s="8">
        <f>IFERROR(__xludf.DUMMYFUNCTION("""COMPUTED_VALUE"""),952.0)</f>
        <v>952</v>
      </c>
      <c r="C50" s="8">
        <f>IFERROR(__xludf.DUMMYFUNCTION("""COMPUTED_VALUE"""),59.0)</f>
        <v>59</v>
      </c>
      <c r="D50" s="8" t="str">
        <f>IFERROR(__xludf.DUMMYFUNCTION("""COMPUTED_VALUE"""),"Great yarn texture and colors, look closely though")</f>
        <v>Great yarn texture and colors, look closely though</v>
      </c>
      <c r="E50" s="15" t="str">
        <f>IFERROR(__xludf.DUMMYFUNCTION("""COMPUTED_VALUE"""),"I did not realize that this knitted vest had an attached gauzy under-layer. i can see it now in the photo, but i just thought it wasn't part of the actual vest. when the vest arrived i realized sadly that this flowing under-layer was part of the design. i"&amp;" don't know why because the yarn and vest are lovely without it. in my opinion, the under-layer takes away from the beautiful vest. i guess i could have spent some time and removed it, but at that price i just sent it back. too bad because the m")</f>
        <v>I did not realize that this knitted vest had an attached gauzy under-layer. i can see it now in the photo, but i just thought it wasn't part of the actual vest. when the vest arrived i realized sadly that this flowing under-layer was part of the design. i don't know why because the yarn and vest are lovely without it. in my opinion, the under-layer takes away from the beautiful vest. i guess i could have spent some time and removed it, but at that price i just sent it back. too bad because the m</v>
      </c>
      <c r="F50" s="8">
        <f>IFERROR(__xludf.DUMMYFUNCTION("""COMPUTED_VALUE"""),3.0)</f>
        <v>3</v>
      </c>
      <c r="G50" s="8">
        <f>IFERROR(__xludf.DUMMYFUNCTION("""COMPUTED_VALUE"""),1.0)</f>
        <v>1</v>
      </c>
      <c r="H50" s="8">
        <f>IFERROR(__xludf.DUMMYFUNCTION("""COMPUTED_VALUE"""),2.0)</f>
        <v>2</v>
      </c>
      <c r="I50" s="8" t="str">
        <f>IFERROR(__xludf.DUMMYFUNCTION("""COMPUTED_VALUE"""),"General Petite")</f>
        <v>General Petite</v>
      </c>
      <c r="J50" s="8" t="str">
        <f>IFERROR(__xludf.DUMMYFUNCTION("""COMPUTED_VALUE"""),"Tops")</f>
        <v>Tops</v>
      </c>
      <c r="K50" s="8" t="str">
        <f>IFERROR(__xludf.DUMMYFUNCTION("""COMPUTED_VALUE"""),"Sweaters")</f>
        <v>Sweaters</v>
      </c>
      <c r="L50" s="8" t="str">
        <f t="shared" si="1"/>
        <v>--Style issue--</v>
      </c>
    </row>
    <row r="51">
      <c r="A51" s="8">
        <f>IFERROR(__xludf.DUMMYFUNCTION("""COMPUTED_VALUE"""),904.0)</f>
        <v>904</v>
      </c>
      <c r="B51" s="8">
        <f>IFERROR(__xludf.DUMMYFUNCTION("""COMPUTED_VALUE"""),1066.0)</f>
        <v>1066</v>
      </c>
      <c r="C51" s="8">
        <f>IFERROR(__xludf.DUMMYFUNCTION("""COMPUTED_VALUE"""),53.0)</f>
        <v>53</v>
      </c>
      <c r="D51" s="8" t="str">
        <f>IFERROR(__xludf.DUMMYFUNCTION("""COMPUTED_VALUE"""),"Unfortunately for me but good for someone else...")</f>
        <v>Unfortunately for me but good for someone else...</v>
      </c>
      <c r="E51" s="15" t="str">
        <f>IFERROR(__xludf.DUMMYFUNCTION("""COMPUTED_VALUE"""),"These lightweight, wide leg pilcro summer jeans are really cute, but did not look good on me. i love the fabric-a slightly 'nubby' no stretch chambray that is perfect for hot weather. the waist was a bit large and there was fabric to spare in the hip area"&amp;". the legs are very wide, adding to the comfort factor of these! the details are really cute-contrasting fabric at the slash front and rear pockets. i got a size ten in these and they were big-i can imagine they will stretch out with wear so it")</f>
        <v>These lightweight, wide leg pilcro summer jeans are really cute, but did not look good on me. i love the fabric-a slightly 'nubby' no stretch chambray that is perfect for hot weather. the waist was a bit large and there was fabric to spare in the hip area. the legs are very wide, adding to the comfort factor of these! the details are really cute-contrasting fabric at the slash front and rear pockets. i got a size ten in these and they were big-i can imagine they will stretch out with wear so it</v>
      </c>
      <c r="F51" s="8">
        <f>IFERROR(__xludf.DUMMYFUNCTION("""COMPUTED_VALUE"""),3.0)</f>
        <v>3</v>
      </c>
      <c r="G51" s="8">
        <f>IFERROR(__xludf.DUMMYFUNCTION("""COMPUTED_VALUE"""),1.0)</f>
        <v>1</v>
      </c>
      <c r="H51" s="8">
        <f>IFERROR(__xludf.DUMMYFUNCTION("""COMPUTED_VALUE"""),1.0)</f>
        <v>1</v>
      </c>
      <c r="I51" s="8" t="str">
        <f>IFERROR(__xludf.DUMMYFUNCTION("""COMPUTED_VALUE"""),"General")</f>
        <v>General</v>
      </c>
      <c r="J51" s="8" t="str">
        <f>IFERROR(__xludf.DUMMYFUNCTION("""COMPUTED_VALUE"""),"Bottoms")</f>
        <v>Bottoms</v>
      </c>
      <c r="K51" s="8" t="str">
        <f>IFERROR(__xludf.DUMMYFUNCTION("""COMPUTED_VALUE"""),"Pants")</f>
        <v>Pants</v>
      </c>
      <c r="L51" s="8" t="str">
        <f t="shared" si="1"/>
        <v>Size issue----</v>
      </c>
    </row>
    <row r="52">
      <c r="A52" s="8">
        <f>IFERROR(__xludf.DUMMYFUNCTION("""COMPUTED_VALUE"""),1013.0)</f>
        <v>1013</v>
      </c>
      <c r="B52" s="8">
        <f>IFERROR(__xludf.DUMMYFUNCTION("""COMPUTED_VALUE"""),936.0)</f>
        <v>936</v>
      </c>
      <c r="C52" s="8">
        <f>IFERROR(__xludf.DUMMYFUNCTION("""COMPUTED_VALUE"""),59.0)</f>
        <v>59</v>
      </c>
      <c r="D52" s="8" t="str">
        <f>IFERROR(__xludf.DUMMYFUNCTION("""COMPUTED_VALUE"""),"Best to try on in store")</f>
        <v>Best to try on in store</v>
      </c>
      <c r="E52" s="15" t="str">
        <f>IFERROR(__xludf.DUMMYFUNCTION("""COMPUTED_VALUE"""),"I coveted this item since i first saw it on instagram. i finally bought it in coral. it's a beautiful coat, the color is lovely and i like the way the hood makes a cute collar when worn down. the only problem is it looks like a bathrobe on me. i am 5'5"" "&amp;"and wear a size 8. i bought a medium, worried a small would not button. the sleeves are far too long. i do not want to go through the trouble of returning, so gave it to my daughter who is four inches taller. it looks cute in her.")</f>
        <v>I coveted this item since i first saw it on instagram. i finally bought it in coral. it's a beautiful coat, the color is lovely and i like the way the hood makes a cute collar when worn down. the only problem is it looks like a bathrobe on me. i am 5'5" and wear a size 8. i bought a medium, worried a small would not button. the sleeves are far too long. i do not want to go through the trouble of returning, so gave it to my daughter who is four inches taller. it looks cute in her.</v>
      </c>
      <c r="F52" s="8">
        <f>IFERROR(__xludf.DUMMYFUNCTION("""COMPUTED_VALUE"""),3.0)</f>
        <v>3</v>
      </c>
      <c r="G52" s="8">
        <f>IFERROR(__xludf.DUMMYFUNCTION("""COMPUTED_VALUE"""),1.0)</f>
        <v>1</v>
      </c>
      <c r="H52" s="8">
        <f>IFERROR(__xludf.DUMMYFUNCTION("""COMPUTED_VALUE"""),0.0)</f>
        <v>0</v>
      </c>
      <c r="I52" s="8" t="str">
        <f>IFERROR(__xludf.DUMMYFUNCTION("""COMPUTED_VALUE"""),"General")</f>
        <v>General</v>
      </c>
      <c r="J52" s="8" t="str">
        <f>IFERROR(__xludf.DUMMYFUNCTION("""COMPUTED_VALUE"""),"Tops")</f>
        <v>Tops</v>
      </c>
      <c r="K52" s="8" t="str">
        <f>IFERROR(__xludf.DUMMYFUNCTION("""COMPUTED_VALUE"""),"Sweaters")</f>
        <v>Sweaters</v>
      </c>
      <c r="L52" s="8" t="str">
        <f t="shared" si="1"/>
        <v>Size issue----</v>
      </c>
    </row>
    <row r="53">
      <c r="A53" s="8">
        <f>IFERROR(__xludf.DUMMYFUNCTION("""COMPUTED_VALUE"""),1016.0)</f>
        <v>1016</v>
      </c>
      <c r="B53" s="8">
        <f>IFERROR(__xludf.DUMMYFUNCTION("""COMPUTED_VALUE"""),936.0)</f>
        <v>936</v>
      </c>
      <c r="C53" s="8">
        <f>IFERROR(__xludf.DUMMYFUNCTION("""COMPUTED_VALUE"""),28.0)</f>
        <v>28</v>
      </c>
      <c r="D53" s="8" t="str">
        <f>IFERROR(__xludf.DUMMYFUNCTION("""COMPUTED_VALUE"""),"Beautiful design but not great quality.")</f>
        <v>Beautiful design but not great quality.</v>
      </c>
      <c r="E53" s="15" t="str">
        <f>IFERROR(__xludf.DUMMYFUNCTION("""COMPUTED_VALUE"""),"I'll start with saying that it's a beautiful coat- i get tons of compliments and love the color. it runs a little big but it's meant to have to a slouchy, oversized quality to it. my only complaint is that i've had it for about 3 weeks and already one but"&amp;"ton has completely fallen off and the two inside fasteners already feel loose and very delicate. there's no extra buttons to replace the old one with and i'm worried more of the coat is going to fall apart. super bummed about the construction qu")</f>
        <v>I'll start with saying that it's a beautiful coat- i get tons of compliments and love the color. it runs a little big but it's meant to have to a slouchy, oversized quality to it. my only complaint is that i've had it for about 3 weeks and already one button has completely fallen off and the two inside fasteners already feel loose and very delicate. there's no extra buttons to replace the old one with and i'm worried more of the coat is going to fall apart. super bummed about the construction qu</v>
      </c>
      <c r="F53" s="8">
        <f>IFERROR(__xludf.DUMMYFUNCTION("""COMPUTED_VALUE"""),3.0)</f>
        <v>3</v>
      </c>
      <c r="G53" s="8">
        <f>IFERROR(__xludf.DUMMYFUNCTION("""COMPUTED_VALUE"""),1.0)</f>
        <v>1</v>
      </c>
      <c r="H53" s="8">
        <f>IFERROR(__xludf.DUMMYFUNCTION("""COMPUTED_VALUE"""),4.0)</f>
        <v>4</v>
      </c>
      <c r="I53" s="8" t="str">
        <f>IFERROR(__xludf.DUMMYFUNCTION("""COMPUTED_VALUE"""),"General")</f>
        <v>General</v>
      </c>
      <c r="J53" s="8" t="str">
        <f>IFERROR(__xludf.DUMMYFUNCTION("""COMPUTED_VALUE"""),"Tops")</f>
        <v>Tops</v>
      </c>
      <c r="K53" s="8" t="str">
        <f>IFERROR(__xludf.DUMMYFUNCTION("""COMPUTED_VALUE"""),"Sweaters")</f>
        <v>Sweaters</v>
      </c>
      <c r="L53" s="8" t="str">
        <f t="shared" si="1"/>
        <v>Size issue--Style issue--</v>
      </c>
    </row>
    <row r="54">
      <c r="A54" s="8">
        <f>IFERROR(__xludf.DUMMYFUNCTION("""COMPUTED_VALUE"""),1027.0)</f>
        <v>1027</v>
      </c>
      <c r="B54" s="8">
        <f>IFERROR(__xludf.DUMMYFUNCTION("""COMPUTED_VALUE"""),1047.0)</f>
        <v>1047</v>
      </c>
      <c r="C54" s="8">
        <f>IFERROR(__xludf.DUMMYFUNCTION("""COMPUTED_VALUE"""),34.0)</f>
        <v>34</v>
      </c>
      <c r="D54" s="8" t="str">
        <f>IFERROR(__xludf.DUMMYFUNCTION("""COMPUTED_VALUE"""),"Not for every body type")</f>
        <v>Not for every body type</v>
      </c>
      <c r="E54" s="15" t="str">
        <f>IFERROR(__xludf.DUMMYFUNCTION("""COMPUTED_VALUE"""),"I am 5'6"", 130 lbs with an athletic body type and i ordered a size small. these were really baggy in the thigh/quadricep area and made my thighs look bulky. the fabric quality is very nice and i like the idea of them for curvier body types. my son commen"&amp;"ted that they looked like pajama pants and i agreed.")</f>
        <v>I am 5'6", 130 lbs with an athletic body type and i ordered a size small. these were really baggy in the thigh/quadricep area and made my thighs look bulky. the fabric quality is very nice and i like the idea of them for curvier body types. my son commented that they looked like pajama pants and i agreed.</v>
      </c>
      <c r="F54" s="8">
        <f>IFERROR(__xludf.DUMMYFUNCTION("""COMPUTED_VALUE"""),2.0)</f>
        <v>2</v>
      </c>
      <c r="G54" s="8">
        <f>IFERROR(__xludf.DUMMYFUNCTION("""COMPUTED_VALUE"""),1.0)</f>
        <v>1</v>
      </c>
      <c r="H54" s="8">
        <f>IFERROR(__xludf.DUMMYFUNCTION("""COMPUTED_VALUE"""),0.0)</f>
        <v>0</v>
      </c>
      <c r="I54" s="8" t="str">
        <f>IFERROR(__xludf.DUMMYFUNCTION("""COMPUTED_VALUE"""),"General")</f>
        <v>General</v>
      </c>
      <c r="J54" s="8" t="str">
        <f>IFERROR(__xludf.DUMMYFUNCTION("""COMPUTED_VALUE"""),"Bottoms")</f>
        <v>Bottoms</v>
      </c>
      <c r="K54" s="8" t="str">
        <f>IFERROR(__xludf.DUMMYFUNCTION("""COMPUTED_VALUE"""),"Pants")</f>
        <v>Pants</v>
      </c>
      <c r="L54" s="8" t="str">
        <f t="shared" si="1"/>
        <v>Size issue----</v>
      </c>
    </row>
    <row r="55">
      <c r="A55" s="8">
        <f>IFERROR(__xludf.DUMMYFUNCTION("""COMPUTED_VALUE"""),1032.0)</f>
        <v>1032</v>
      </c>
      <c r="B55" s="8">
        <f>IFERROR(__xludf.DUMMYFUNCTION("""COMPUTED_VALUE"""),909.0)</f>
        <v>909</v>
      </c>
      <c r="C55" s="8">
        <f>IFERROR(__xludf.DUMMYFUNCTION("""COMPUTED_VALUE"""),33.0)</f>
        <v>33</v>
      </c>
      <c r="D55" s="8" t="str">
        <f>IFERROR(__xludf.DUMMYFUNCTION("""COMPUTED_VALUE"""),"Wanted to love it, but just kinda like it")</f>
        <v>Wanted to love it, but just kinda like it</v>
      </c>
      <c r="E55" s="15" t="str">
        <f>IFERROR(__xludf.DUMMYFUNCTION("""COMPUTED_VALUE"""),"So when i saw a sweater with a big llama face on the front of it, i knew it must be mine. i ordered it and eagerly awaited its arrival. while the llama print and color of the sweater are ah-mazing, the fit of the sweater leaves something to be desired. i'"&amp;"m a 36 dd and mostly a size l, so that's what i ordered. it wasn't snug, but it didn't have the cut to pull off the oversized drapey look, so the areas where it was loose looked...strange. the sleeves were really long too, but i could have rolle")</f>
        <v>So when i saw a sweater with a big llama face on the front of it, i knew it must be mine. i ordered it and eagerly awaited its arrival. while the llama print and color of the sweater are ah-mazing, the fit of the sweater leaves something to be desired. i'm a 36 dd and mostly a size l, so that's what i ordered. it wasn't snug, but it didn't have the cut to pull off the oversized drapey look, so the areas where it was loose looked...strange. the sleeves were really long too, but i could have rolle</v>
      </c>
      <c r="F55" s="8">
        <f>IFERROR(__xludf.DUMMYFUNCTION("""COMPUTED_VALUE"""),3.0)</f>
        <v>3</v>
      </c>
      <c r="G55" s="8">
        <f>IFERROR(__xludf.DUMMYFUNCTION("""COMPUTED_VALUE"""),1.0)</f>
        <v>1</v>
      </c>
      <c r="H55" s="8">
        <f>IFERROR(__xludf.DUMMYFUNCTION("""COMPUTED_VALUE"""),6.0)</f>
        <v>6</v>
      </c>
      <c r="I55" s="8" t="str">
        <f>IFERROR(__xludf.DUMMYFUNCTION("""COMPUTED_VALUE"""),"General")</f>
        <v>General</v>
      </c>
      <c r="J55" s="8" t="str">
        <f>IFERROR(__xludf.DUMMYFUNCTION("""COMPUTED_VALUE"""),"Tops")</f>
        <v>Tops</v>
      </c>
      <c r="K55" s="8" t="str">
        <f>IFERROR(__xludf.DUMMYFUNCTION("""COMPUTED_VALUE"""),"Fine gauge")</f>
        <v>Fine gauge</v>
      </c>
      <c r="L55" s="8" t="str">
        <f t="shared" si="1"/>
        <v>Size issue--Style issue--</v>
      </c>
    </row>
    <row r="56">
      <c r="A56" s="8">
        <f>IFERROR(__xludf.DUMMYFUNCTION("""COMPUTED_VALUE"""),1054.0)</f>
        <v>1054</v>
      </c>
      <c r="B56" s="8">
        <f>IFERROR(__xludf.DUMMYFUNCTION("""COMPUTED_VALUE"""),873.0)</f>
        <v>873</v>
      </c>
      <c r="C56" s="8">
        <f>IFERROR(__xludf.DUMMYFUNCTION("""COMPUTED_VALUE"""),48.0)</f>
        <v>48</v>
      </c>
      <c r="D56" s="8" t="str">
        <f>IFERROR(__xludf.DUMMYFUNCTION("""COMPUTED_VALUE"""),"Beautiful casual top")</f>
        <v>Beautiful casual top</v>
      </c>
      <c r="E56" s="15" t="str">
        <f>IFERROR(__xludf.DUMMYFUNCTION("""COMPUTED_VALUE"""),"I've been looking for some new, casual tops and ordered this one for the sky blue color. i'm a size 6 and the small fits great. i don't find the blowzy style overwhelming. i am small boned but i'm 5'8"", not a petite. i like it with leggings and skinny je"&amp;"ans ...a nice proportion. however, i can see how this cut may be too much on someone with a smaller frame. i really like it, however i see two drawbacks: the material is a bit thin for fall and it wrinkles very easily (not good for travel). this")</f>
        <v>I've been looking for some new, casual tops and ordered this one for the sky blue color. i'm a size 6 and the small fits great. i don't find the blowzy style overwhelming. i am small boned but i'm 5'8", not a petite. i like it with leggings and skinny jeans ...a nice proportion. however, i can see how this cut may be too much on someone with a smaller frame. i really like it, however i see two drawbacks: the material is a bit thin for fall and it wrinkles very easily (not good for travel). this</v>
      </c>
      <c r="F56" s="8">
        <f>IFERROR(__xludf.DUMMYFUNCTION("""COMPUTED_VALUE"""),3.0)</f>
        <v>3</v>
      </c>
      <c r="G56" s="8">
        <f>IFERROR(__xludf.DUMMYFUNCTION("""COMPUTED_VALUE"""),1.0)</f>
        <v>1</v>
      </c>
      <c r="H56" s="8">
        <f>IFERROR(__xludf.DUMMYFUNCTION("""COMPUTED_VALUE"""),0.0)</f>
        <v>0</v>
      </c>
      <c r="I56" s="8" t="str">
        <f>IFERROR(__xludf.DUMMYFUNCTION("""COMPUTED_VALUE"""),"General")</f>
        <v>General</v>
      </c>
      <c r="J56" s="8" t="str">
        <f>IFERROR(__xludf.DUMMYFUNCTION("""COMPUTED_VALUE"""),"Tops")</f>
        <v>Tops</v>
      </c>
      <c r="K56" s="8" t="str">
        <f>IFERROR(__xludf.DUMMYFUNCTION("""COMPUTED_VALUE"""),"Knits")</f>
        <v>Knits</v>
      </c>
      <c r="L56" s="8" t="str">
        <f t="shared" si="1"/>
        <v>Size issue-Fabric issue---</v>
      </c>
    </row>
    <row r="57">
      <c r="A57" s="8">
        <f>IFERROR(__xludf.DUMMYFUNCTION("""COMPUTED_VALUE"""),1063.0)</f>
        <v>1063</v>
      </c>
      <c r="B57" s="8">
        <f>IFERROR(__xludf.DUMMYFUNCTION("""COMPUTED_VALUE"""),949.0)</f>
        <v>949</v>
      </c>
      <c r="C57" s="8">
        <f>IFERROR(__xludf.DUMMYFUNCTION("""COMPUTED_VALUE"""),44.0)</f>
        <v>44</v>
      </c>
      <c r="D57" s="8" t="str">
        <f>IFERROR(__xludf.DUMMYFUNCTION("""COMPUTED_VALUE"""),"I wanted to love this sweater, but......")</f>
        <v>I wanted to love this sweater, but......</v>
      </c>
      <c r="E57" s="15" t="str">
        <f>IFERROR(__xludf.DUMMYFUNCTION("""COMPUTED_VALUE"""),"This is a beautiful sweater with deep rich colors. i purchased the blue motif. the problem is that the model(s) are small busted, which allows the side panels and front panel to lay nicely and swing in a flattering manner. i am 5'6'', 135 pounds and a 36d"&amp;". i usually wear a small in antro tops. i purchased this online, and was excited upon it's arrival. when i tried it on, i was horrified. it looked like a babydoll maternity sweater on me. the front did not lay well (flat) at all from the chest d")</f>
        <v>This is a beautiful sweater with deep rich colors. i purchased the blue motif. the problem is that the model(s) are small busted, which allows the side panels and front panel to lay nicely and swing in a flattering manner. i am 5'6'', 135 pounds and a 36d. i usually wear a small in antro tops. i purchased this online, and was excited upon it's arrival. when i tried it on, i was horrified. it looked like a babydoll maternity sweater on me. the front did not lay well (flat) at all from the chest d</v>
      </c>
      <c r="F57" s="8">
        <f>IFERROR(__xludf.DUMMYFUNCTION("""COMPUTED_VALUE"""),2.0)</f>
        <v>2</v>
      </c>
      <c r="G57" s="8">
        <f>IFERROR(__xludf.DUMMYFUNCTION("""COMPUTED_VALUE"""),1.0)</f>
        <v>1</v>
      </c>
      <c r="H57" s="8">
        <f>IFERROR(__xludf.DUMMYFUNCTION("""COMPUTED_VALUE"""),1.0)</f>
        <v>1</v>
      </c>
      <c r="I57" s="8" t="str">
        <f>IFERROR(__xludf.DUMMYFUNCTION("""COMPUTED_VALUE"""),"General")</f>
        <v>General</v>
      </c>
      <c r="J57" s="8" t="str">
        <f>IFERROR(__xludf.DUMMYFUNCTION("""COMPUTED_VALUE"""),"Tops")</f>
        <v>Tops</v>
      </c>
      <c r="K57" s="8" t="str">
        <f>IFERROR(__xludf.DUMMYFUNCTION("""COMPUTED_VALUE"""),"Sweaters")</f>
        <v>Sweaters</v>
      </c>
      <c r="L57" s="8" t="str">
        <f t="shared" si="1"/>
        <v>Size issue-Fabric issue---Matching Awareness issue</v>
      </c>
    </row>
    <row r="58">
      <c r="A58" s="8">
        <f>IFERROR(__xludf.DUMMYFUNCTION("""COMPUTED_VALUE"""),1077.0)</f>
        <v>1077</v>
      </c>
      <c r="B58" s="8">
        <f>IFERROR(__xludf.DUMMYFUNCTION("""COMPUTED_VALUE"""),831.0)</f>
        <v>831</v>
      </c>
      <c r="C58" s="8">
        <f>IFERROR(__xludf.DUMMYFUNCTION("""COMPUTED_VALUE"""),26.0)</f>
        <v>26</v>
      </c>
      <c r="D58" s="8" t="str">
        <f>IFERROR(__xludf.DUMMYFUNCTION("""COMPUTED_VALUE"""),"Cute top, but beware it shrinks!!")</f>
        <v>Cute top, but beware it shrinks!!</v>
      </c>
      <c r="E58" s="15" t="str">
        <f>IFERROR(__xludf.DUMMYFUNCTION("""COMPUTED_VALUE"""),"This top was quite voluminous when i purchased it and i sized down to an xs, however after hand washing it once in cold water it has shrunk significantly. it still fits, but something to be aware of.")</f>
        <v>This top was quite voluminous when i purchased it and i sized down to an xs, however after hand washing it once in cold water it has shrunk significantly. it still fits, but something to be aware of.</v>
      </c>
      <c r="F58" s="8">
        <f>IFERROR(__xludf.DUMMYFUNCTION("""COMPUTED_VALUE"""),3.0)</f>
        <v>3</v>
      </c>
      <c r="G58" s="8">
        <f>IFERROR(__xludf.DUMMYFUNCTION("""COMPUTED_VALUE"""),1.0)</f>
        <v>1</v>
      </c>
      <c r="H58" s="8">
        <f>IFERROR(__xludf.DUMMYFUNCTION("""COMPUTED_VALUE"""),4.0)</f>
        <v>4</v>
      </c>
      <c r="I58" s="8" t="str">
        <f>IFERROR(__xludf.DUMMYFUNCTION("""COMPUTED_VALUE"""),"General")</f>
        <v>General</v>
      </c>
      <c r="J58" s="8" t="str">
        <f>IFERROR(__xludf.DUMMYFUNCTION("""COMPUTED_VALUE"""),"Tops")</f>
        <v>Tops</v>
      </c>
      <c r="K58" s="8" t="str">
        <f>IFERROR(__xludf.DUMMYFUNCTION("""COMPUTED_VALUE"""),"Blouses")</f>
        <v>Blouses</v>
      </c>
      <c r="L58" s="8" t="str">
        <f t="shared" si="1"/>
        <v>Size issue----</v>
      </c>
    </row>
    <row r="59">
      <c r="A59" s="8">
        <f>IFERROR(__xludf.DUMMYFUNCTION("""COMPUTED_VALUE"""),1093.0)</f>
        <v>1093</v>
      </c>
      <c r="B59" s="8">
        <f>IFERROR(__xludf.DUMMYFUNCTION("""COMPUTED_VALUE"""),868.0)</f>
        <v>868</v>
      </c>
      <c r="C59" s="8">
        <f>IFERROR(__xludf.DUMMYFUNCTION("""COMPUTED_VALUE"""),56.0)</f>
        <v>56</v>
      </c>
      <c r="D59" s="8" t="str">
        <f>IFERROR(__xludf.DUMMYFUNCTION("""COMPUTED_VALUE"""),"Super cute with right body style")</f>
        <v>Super cute with right body style</v>
      </c>
      <c r="E59" s="15" t="str">
        <f>IFERROR(__xludf.DUMMYFUNCTION("""COMPUTED_VALUE"""),"Top is very wide and flowy. i am petite with large chest so it hung from widest point and was not flattering. would be very cute with the right body shape.")</f>
        <v>Top is very wide and flowy. i am petite with large chest so it hung from widest point and was not flattering. would be very cute with the right body shape.</v>
      </c>
      <c r="F59" s="8">
        <f>IFERROR(__xludf.DUMMYFUNCTION("""COMPUTED_VALUE"""),3.0)</f>
        <v>3</v>
      </c>
      <c r="G59" s="8">
        <f>IFERROR(__xludf.DUMMYFUNCTION("""COMPUTED_VALUE"""),1.0)</f>
        <v>1</v>
      </c>
      <c r="H59" s="8">
        <f>IFERROR(__xludf.DUMMYFUNCTION("""COMPUTED_VALUE"""),3.0)</f>
        <v>3</v>
      </c>
      <c r="I59" s="8" t="str">
        <f>IFERROR(__xludf.DUMMYFUNCTION("""COMPUTED_VALUE"""),"General")</f>
        <v>General</v>
      </c>
      <c r="J59" s="8" t="str">
        <f>IFERROR(__xludf.DUMMYFUNCTION("""COMPUTED_VALUE"""),"Tops")</f>
        <v>Tops</v>
      </c>
      <c r="K59" s="8" t="str">
        <f>IFERROR(__xludf.DUMMYFUNCTION("""COMPUTED_VALUE"""),"Knits")</f>
        <v>Knits</v>
      </c>
      <c r="L59" s="8" t="str">
        <f t="shared" si="1"/>
        <v>Size issue----</v>
      </c>
    </row>
    <row r="60">
      <c r="A60" s="8">
        <f>IFERROR(__xludf.DUMMYFUNCTION("""COMPUTED_VALUE"""),1095.0)</f>
        <v>1095</v>
      </c>
      <c r="B60" s="8">
        <f>IFERROR(__xludf.DUMMYFUNCTION("""COMPUTED_VALUE"""),829.0)</f>
        <v>829</v>
      </c>
      <c r="C60" s="8">
        <f>IFERROR(__xludf.DUMMYFUNCTION("""COMPUTED_VALUE"""),66.0)</f>
        <v>66</v>
      </c>
      <c r="D60" s="8" t="str">
        <f>IFERROR(__xludf.DUMMYFUNCTION("""COMPUTED_VALUE"""),"Maybe")</f>
        <v>Maybe</v>
      </c>
      <c r="E60" s="15" t="str">
        <f>IFERROR(__xludf.DUMMYFUNCTION("""COMPUTED_VALUE"""),"After the reviews about sizing, i ordered the size 16 (am normally size large). interestingly, the tag on the blouse says it's a 14. with all that said, the blouse is cute enough and sizing up gave me enough length (in spite of the higher sides) that i'm "&amp;"considering keeping it. although it's a bit big, it flows nicely and isn't oversized in that wide, crazy way. the sleeves are a bit too big but they're cuffed with a button and can be rolled. the fabric is somewhat crinkled in texture. i got the")</f>
        <v>After the reviews about sizing, i ordered the size 16 (am normally size large). interestingly, the tag on the blouse says it's a 14. with all that said, the blouse is cute enough and sizing up gave me enough length (in spite of the higher sides) that i'm considering keeping it. although it's a bit big, it flows nicely and isn't oversized in that wide, crazy way. the sleeves are a bit too big but they're cuffed with a button and can be rolled. the fabric is somewhat crinkled in texture. i got the</v>
      </c>
      <c r="F60" s="8">
        <f>IFERROR(__xludf.DUMMYFUNCTION("""COMPUTED_VALUE"""),3.0)</f>
        <v>3</v>
      </c>
      <c r="G60" s="8">
        <f>IFERROR(__xludf.DUMMYFUNCTION("""COMPUTED_VALUE"""),1.0)</f>
        <v>1</v>
      </c>
      <c r="H60" s="8">
        <f>IFERROR(__xludf.DUMMYFUNCTION("""COMPUTED_VALUE"""),0.0)</f>
        <v>0</v>
      </c>
      <c r="I60" s="8" t="str">
        <f>IFERROR(__xludf.DUMMYFUNCTION("""COMPUTED_VALUE"""),"General Petite")</f>
        <v>General Petite</v>
      </c>
      <c r="J60" s="8" t="str">
        <f>IFERROR(__xludf.DUMMYFUNCTION("""COMPUTED_VALUE"""),"Tops")</f>
        <v>Tops</v>
      </c>
      <c r="K60" s="8" t="str">
        <f>IFERROR(__xludf.DUMMYFUNCTION("""COMPUTED_VALUE"""),"Blouses")</f>
        <v>Blouses</v>
      </c>
      <c r="L60" s="8" t="str">
        <f t="shared" si="1"/>
        <v>Size issue----</v>
      </c>
    </row>
    <row r="61">
      <c r="A61" s="8">
        <f>IFERROR(__xludf.DUMMYFUNCTION("""COMPUTED_VALUE"""),1131.0)</f>
        <v>1131</v>
      </c>
      <c r="B61" s="8">
        <f>IFERROR(__xludf.DUMMYFUNCTION("""COMPUTED_VALUE"""),927.0)</f>
        <v>927</v>
      </c>
      <c r="C61" s="8">
        <f>IFERROR(__xludf.DUMMYFUNCTION("""COMPUTED_VALUE"""),33.0)</f>
        <v>33</v>
      </c>
      <c r="D61" s="8"/>
      <c r="E61" s="15" t="str">
        <f>IFERROR(__xludf.DUMMYFUNCTION("""COMPUTED_VALUE"""),"I like the idea of the pullover. the quality of is nice; the material is very soft and feels pleasant to the touch.
i expected this sweater to be more flattering though. it is true to size, but the length is strange. it seems a bit too long, yet is too s"&amp;"hort to look like a longer tunic. or maybe the waistline is a little low... whatever it is, it makes me look like i have short legs.
also, the collar won't stay down, the way it is shown in the picture. but it may work better for someone wi")</f>
        <v>I like the idea of the pullover. the quality of is nice; the material is very soft and feels pleasant to the touch.
i expected this sweater to be more flattering though. it is true to size, but the length is strange. it seems a bit too long, yet is too short to look like a longer tunic. or maybe the waistline is a little low... whatever it is, it makes me look like i have short legs.
also, the collar won't stay down, the way it is shown in the picture. but it may work better for someone wi</v>
      </c>
      <c r="F61" s="8">
        <f>IFERROR(__xludf.DUMMYFUNCTION("""COMPUTED_VALUE"""),3.0)</f>
        <v>3</v>
      </c>
      <c r="G61" s="8">
        <f>IFERROR(__xludf.DUMMYFUNCTION("""COMPUTED_VALUE"""),1.0)</f>
        <v>1</v>
      </c>
      <c r="H61" s="8">
        <f>IFERROR(__xludf.DUMMYFUNCTION("""COMPUTED_VALUE"""),7.0)</f>
        <v>7</v>
      </c>
      <c r="I61" s="8" t="str">
        <f>IFERROR(__xludf.DUMMYFUNCTION("""COMPUTED_VALUE"""),"General")</f>
        <v>General</v>
      </c>
      <c r="J61" s="8" t="str">
        <f>IFERROR(__xludf.DUMMYFUNCTION("""COMPUTED_VALUE"""),"Tops")</f>
        <v>Tops</v>
      </c>
      <c r="K61" s="8" t="str">
        <f>IFERROR(__xludf.DUMMYFUNCTION("""COMPUTED_VALUE"""),"Sweaters")</f>
        <v>Sweaters</v>
      </c>
      <c r="L61" s="8" t="str">
        <f t="shared" si="1"/>
        <v>Size issue-Fabric issue---</v>
      </c>
    </row>
    <row r="62">
      <c r="A62" s="8">
        <f>IFERROR(__xludf.DUMMYFUNCTION("""COMPUTED_VALUE"""),1174.0)</f>
        <v>1174</v>
      </c>
      <c r="B62" s="8">
        <f>IFERROR(__xludf.DUMMYFUNCTION("""COMPUTED_VALUE"""),1060.0)</f>
        <v>1060</v>
      </c>
      <c r="C62" s="8">
        <f>IFERROR(__xludf.DUMMYFUNCTION("""COMPUTED_VALUE"""),38.0)</f>
        <v>38</v>
      </c>
      <c r="D62" s="8"/>
      <c r="E62" s="15" t="str">
        <f>IFERROR(__xludf.DUMMYFUNCTION("""COMPUTED_VALUE"""),"I loved this jumpsuit. it fit well on my curvier/athletic frame. i did prefer a belt, which emphasized my shape. unfortunately, it is not lined and a bit sheer. this was a deal breaker for me.")</f>
        <v>I loved this jumpsuit. it fit well on my curvier/athletic frame. i did prefer a belt, which emphasized my shape. unfortunately, it is not lined and a bit sheer. this was a deal breaker for me.</v>
      </c>
      <c r="F62" s="8">
        <f>IFERROR(__xludf.DUMMYFUNCTION("""COMPUTED_VALUE"""),3.0)</f>
        <v>3</v>
      </c>
      <c r="G62" s="8">
        <f>IFERROR(__xludf.DUMMYFUNCTION("""COMPUTED_VALUE"""),1.0)</f>
        <v>1</v>
      </c>
      <c r="H62" s="8">
        <f>IFERROR(__xludf.DUMMYFUNCTION("""COMPUTED_VALUE"""),0.0)</f>
        <v>0</v>
      </c>
      <c r="I62" s="8" t="str">
        <f>IFERROR(__xludf.DUMMYFUNCTION("""COMPUTED_VALUE"""),"General Petite")</f>
        <v>General Petite</v>
      </c>
      <c r="J62" s="8" t="str">
        <f>IFERROR(__xludf.DUMMYFUNCTION("""COMPUTED_VALUE"""),"Bottoms")</f>
        <v>Bottoms</v>
      </c>
      <c r="K62" s="8" t="str">
        <f>IFERROR(__xludf.DUMMYFUNCTION("""COMPUTED_VALUE"""),"Pants")</f>
        <v>Pants</v>
      </c>
      <c r="L62" s="8" t="str">
        <f t="shared" si="1"/>
        <v>Size issue-Fabric issue---</v>
      </c>
    </row>
    <row r="63">
      <c r="A63" s="8">
        <f>IFERROR(__xludf.DUMMYFUNCTION("""COMPUTED_VALUE"""),1185.0)</f>
        <v>1185</v>
      </c>
      <c r="B63" s="8">
        <f>IFERROR(__xludf.DUMMYFUNCTION("""COMPUTED_VALUE"""),1060.0)</f>
        <v>1060</v>
      </c>
      <c r="C63" s="8">
        <f>IFERROR(__xludf.DUMMYFUNCTION("""COMPUTED_VALUE"""),63.0)</f>
        <v>63</v>
      </c>
      <c r="D63" s="8" t="str">
        <f>IFERROR(__xludf.DUMMYFUNCTION("""COMPUTED_VALUE"""),"Why is it so big?")</f>
        <v>Why is it so big?</v>
      </c>
      <c r="E63" s="15" t="str">
        <f>IFERROR(__xludf.DUMMYFUNCTION("""COMPUTED_VALUE"""),"This runs really large. i love it! sold out of xs p and xxs p... go figure :( size down if you are slim.")</f>
        <v>This runs really large. i love it! sold out of xs p and xxs p... go figure :( size down if you are slim.</v>
      </c>
      <c r="F63" s="8">
        <f>IFERROR(__xludf.DUMMYFUNCTION("""COMPUTED_VALUE"""),3.0)</f>
        <v>3</v>
      </c>
      <c r="G63" s="8">
        <f>IFERROR(__xludf.DUMMYFUNCTION("""COMPUTED_VALUE"""),1.0)</f>
        <v>1</v>
      </c>
      <c r="H63" s="8">
        <f>IFERROR(__xludf.DUMMYFUNCTION("""COMPUTED_VALUE"""),0.0)</f>
        <v>0</v>
      </c>
      <c r="I63" s="8" t="str">
        <f>IFERROR(__xludf.DUMMYFUNCTION("""COMPUTED_VALUE"""),"General Petite")</f>
        <v>General Petite</v>
      </c>
      <c r="J63" s="8" t="str">
        <f>IFERROR(__xludf.DUMMYFUNCTION("""COMPUTED_VALUE"""),"Bottoms")</f>
        <v>Bottoms</v>
      </c>
      <c r="K63" s="8" t="str">
        <f>IFERROR(__xludf.DUMMYFUNCTION("""COMPUTED_VALUE"""),"Pants")</f>
        <v>Pants</v>
      </c>
      <c r="L63" s="8" t="str">
        <f t="shared" si="1"/>
        <v>Size issue----</v>
      </c>
    </row>
    <row r="64">
      <c r="A64" s="8">
        <f>IFERROR(__xludf.DUMMYFUNCTION("""COMPUTED_VALUE"""),1197.0)</f>
        <v>1197</v>
      </c>
      <c r="B64" s="8">
        <f>IFERROR(__xludf.DUMMYFUNCTION("""COMPUTED_VALUE"""),1094.0)</f>
        <v>1094</v>
      </c>
      <c r="C64" s="8">
        <f>IFERROR(__xludf.DUMMYFUNCTION("""COMPUTED_VALUE"""),50.0)</f>
        <v>50</v>
      </c>
      <c r="D64" s="8" t="str">
        <f>IFERROR(__xludf.DUMMYFUNCTION("""COMPUTED_VALUE"""),"Just a nice dress...")</f>
        <v>Just a nice dress...</v>
      </c>
      <c r="E64" s="15" t="str">
        <f>IFERROR(__xludf.DUMMYFUNCTION("""COMPUTED_VALUE"""),"This is one of those dresses that is just ""nice"" and can be one that you go to in a pinch.... it flows very nicely and you can dress it up and down. it's not the best quality in fabric...but if it was all silk you would have paid 3xs. i like it, it fits"&amp;" well...it's not outstanding or unusual. i think it is a bit pricey for what you get...but, it's a ""work horse"" dress...it will do you right whenever you need it to!")</f>
        <v>This is one of those dresses that is just "nice" and can be one that you go to in a pinch.... it flows very nicely and you can dress it up and down. it's not the best quality in fabric...but if it was all silk you would have paid 3xs. i like it, it fits well...it's not outstanding or unusual. i think it is a bit pricey for what you get...but, it's a "work horse" dress...it will do you right whenever you need it to!</v>
      </c>
      <c r="F64" s="8">
        <f>IFERROR(__xludf.DUMMYFUNCTION("""COMPUTED_VALUE"""),3.0)</f>
        <v>3</v>
      </c>
      <c r="G64" s="8">
        <f>IFERROR(__xludf.DUMMYFUNCTION("""COMPUTED_VALUE"""),1.0)</f>
        <v>1</v>
      </c>
      <c r="H64" s="8">
        <f>IFERROR(__xludf.DUMMYFUNCTION("""COMPUTED_VALUE"""),0.0)</f>
        <v>0</v>
      </c>
      <c r="I64" s="8" t="str">
        <f>IFERROR(__xludf.DUMMYFUNCTION("""COMPUTED_VALUE"""),"General")</f>
        <v>General</v>
      </c>
      <c r="J64" s="8" t="str">
        <f>IFERROR(__xludf.DUMMYFUNCTION("""COMPUTED_VALUE"""),"Dresses")</f>
        <v>Dresses</v>
      </c>
      <c r="K64" s="8" t="str">
        <f>IFERROR(__xludf.DUMMYFUNCTION("""COMPUTED_VALUE"""),"Dresses")</f>
        <v>Dresses</v>
      </c>
      <c r="L64" s="8" t="str">
        <f t="shared" si="1"/>
        <v>Size issue---Price issue-</v>
      </c>
    </row>
    <row r="65">
      <c r="A65" s="8">
        <f>IFERROR(__xludf.DUMMYFUNCTION("""COMPUTED_VALUE"""),1214.0)</f>
        <v>1214</v>
      </c>
      <c r="B65" s="8">
        <f>IFERROR(__xludf.DUMMYFUNCTION("""COMPUTED_VALUE"""),1094.0)</f>
        <v>1094</v>
      </c>
      <c r="C65" s="8">
        <f>IFERROR(__xludf.DUMMYFUNCTION("""COMPUTED_VALUE"""),52.0)</f>
        <v>52</v>
      </c>
      <c r="D65" s="8" t="str">
        <f>IFERROR(__xludf.DUMMYFUNCTION("""COMPUTED_VALUE"""),"Great dress but not in green")</f>
        <v>Great dress but not in green</v>
      </c>
      <c r="E65" s="15" t="str">
        <f>IFERROR(__xludf.DUMMYFUNCTION("""COMPUTED_VALUE"""),"Beautiful dress. good quality. tts. i'm 5 feet 120 lbs. ordered my small petite. no issues. however, the green is very bright. the deal killer for me was when my hub said it looked like a starbucks barista's apron! it's going back. i marked yes if you pla"&amp;"n on purchasing a black dress it's a yes.")</f>
        <v>Beautiful dress. good quality. tts. i'm 5 feet 120 lbs. ordered my small petite. no issues. however, the green is very bright. the deal killer for me was when my hub said it looked like a starbucks barista's apron! it's going back. i marked yes if you plan on purchasing a black dress it's a yes.</v>
      </c>
      <c r="F65" s="8">
        <f>IFERROR(__xludf.DUMMYFUNCTION("""COMPUTED_VALUE"""),3.0)</f>
        <v>3</v>
      </c>
      <c r="G65" s="8">
        <f>IFERROR(__xludf.DUMMYFUNCTION("""COMPUTED_VALUE"""),1.0)</f>
        <v>1</v>
      </c>
      <c r="H65" s="8">
        <f>IFERROR(__xludf.DUMMYFUNCTION("""COMPUTED_VALUE"""),1.0)</f>
        <v>1</v>
      </c>
      <c r="I65" s="8" t="str">
        <f>IFERROR(__xludf.DUMMYFUNCTION("""COMPUTED_VALUE"""),"General")</f>
        <v>General</v>
      </c>
      <c r="J65" s="8" t="str">
        <f>IFERROR(__xludf.DUMMYFUNCTION("""COMPUTED_VALUE"""),"Dresses")</f>
        <v>Dresses</v>
      </c>
      <c r="K65" s="8" t="str">
        <f>IFERROR(__xludf.DUMMYFUNCTION("""COMPUTED_VALUE"""),"Dresses")</f>
        <v>Dresses</v>
      </c>
      <c r="L65" s="8" t="str">
        <f t="shared" si="1"/>
        <v>Size issue----</v>
      </c>
    </row>
    <row r="66">
      <c r="A66" s="8">
        <f>IFERROR(__xludf.DUMMYFUNCTION("""COMPUTED_VALUE"""),1215.0)</f>
        <v>1215</v>
      </c>
      <c r="B66" s="8">
        <f>IFERROR(__xludf.DUMMYFUNCTION("""COMPUTED_VALUE"""),1095.0)</f>
        <v>1095</v>
      </c>
      <c r="C66" s="8">
        <f>IFERROR(__xludf.DUMMYFUNCTION("""COMPUTED_VALUE"""),50.0)</f>
        <v>50</v>
      </c>
      <c r="D66" s="8" t="str">
        <f>IFERROR(__xludf.DUMMYFUNCTION("""COMPUTED_VALUE"""),"A little itchy for me")</f>
        <v>A little itchy for me</v>
      </c>
      <c r="E66" s="15" t="str">
        <f>IFERROR(__xludf.DUMMYFUNCTION("""COMPUTED_VALUE"""),"I tried this on in the store - i tried regular medium which was way too big except in the chest where it was really tight. the material was a little itchy on me (but maybe its because the chest was tight). the color is lovely (pink). im sure someone will "&amp;"love it but if you are petite, i would order the petite and maybe size up if you are busty.")</f>
        <v>I tried this on in the store - i tried regular medium which was way too big except in the chest where it was really tight. the material was a little itchy on me (but maybe its because the chest was tight). the color is lovely (pink). im sure someone will love it but if you are petite, i would order the petite and maybe size up if you are busty.</v>
      </c>
      <c r="F66" s="8">
        <f>IFERROR(__xludf.DUMMYFUNCTION("""COMPUTED_VALUE"""),3.0)</f>
        <v>3</v>
      </c>
      <c r="G66" s="8">
        <f>IFERROR(__xludf.DUMMYFUNCTION("""COMPUTED_VALUE"""),1.0)</f>
        <v>1</v>
      </c>
      <c r="H66" s="8">
        <f>IFERROR(__xludf.DUMMYFUNCTION("""COMPUTED_VALUE"""),1.0)</f>
        <v>1</v>
      </c>
      <c r="I66" s="8" t="str">
        <f>IFERROR(__xludf.DUMMYFUNCTION("""COMPUTED_VALUE"""),"General")</f>
        <v>General</v>
      </c>
      <c r="J66" s="8" t="str">
        <f>IFERROR(__xludf.DUMMYFUNCTION("""COMPUTED_VALUE"""),"Dresses")</f>
        <v>Dresses</v>
      </c>
      <c r="K66" s="8" t="str">
        <f>IFERROR(__xludf.DUMMYFUNCTION("""COMPUTED_VALUE"""),"Dresses")</f>
        <v>Dresses</v>
      </c>
      <c r="L66" s="8" t="str">
        <f t="shared" si="1"/>
        <v>Size issue-Fabric issue---</v>
      </c>
    </row>
    <row r="67">
      <c r="A67" s="8">
        <f>IFERROR(__xludf.DUMMYFUNCTION("""COMPUTED_VALUE"""),1221.0)</f>
        <v>1221</v>
      </c>
      <c r="B67" s="8">
        <f>IFERROR(__xludf.DUMMYFUNCTION("""COMPUTED_VALUE"""),850.0)</f>
        <v>850</v>
      </c>
      <c r="C67" s="8">
        <f>IFERROR(__xludf.DUMMYFUNCTION("""COMPUTED_VALUE"""),35.0)</f>
        <v>35</v>
      </c>
      <c r="D67" s="8"/>
      <c r="E67" s="15" t="str">
        <f>IFERROR(__xludf.DUMMYFUNCTION("""COMPUTED_VALUE"""),"Like a baby doll top, with almost an empire waist going on.  feels comfortable and super flowy. i got a size m and i swing between m and l in most brands. the button stitching are a bit loose and will fray after some wears, i can tell. but i'm borderline "&amp;"on taking it back still because there are hidden side pockets! crazy--like it was a fluke or something. would fit a piece of paper or tissues. not keys or phones though.")</f>
        <v>Like a baby doll top, with almost an empire waist going on.  feels comfortable and super flowy. i got a size m and i swing between m and l in most brands. the button stitching are a bit loose and will fray after some wears, i can tell. but i'm borderline on taking it back still because there are hidden side pockets! crazy--like it was a fluke or something. would fit a piece of paper or tissues. not keys or phones though.</v>
      </c>
      <c r="F67" s="8">
        <f>IFERROR(__xludf.DUMMYFUNCTION("""COMPUTED_VALUE"""),3.0)</f>
        <v>3</v>
      </c>
      <c r="G67" s="8">
        <f>IFERROR(__xludf.DUMMYFUNCTION("""COMPUTED_VALUE"""),1.0)</f>
        <v>1</v>
      </c>
      <c r="H67" s="8">
        <f>IFERROR(__xludf.DUMMYFUNCTION("""COMPUTED_VALUE"""),0.0)</f>
        <v>0</v>
      </c>
      <c r="I67" s="8" t="str">
        <f>IFERROR(__xludf.DUMMYFUNCTION("""COMPUTED_VALUE"""),"General Petite")</f>
        <v>General Petite</v>
      </c>
      <c r="J67" s="8" t="str">
        <f>IFERROR(__xludf.DUMMYFUNCTION("""COMPUTED_VALUE"""),"Tops")</f>
        <v>Tops</v>
      </c>
      <c r="K67" s="8" t="str">
        <f>IFERROR(__xludf.DUMMYFUNCTION("""COMPUTED_VALUE"""),"Blouses")</f>
        <v>Blouses</v>
      </c>
      <c r="L67" s="8" t="str">
        <f t="shared" si="1"/>
        <v>Size issue--Style issue--</v>
      </c>
    </row>
    <row r="68">
      <c r="A68" s="8">
        <f>IFERROR(__xludf.DUMMYFUNCTION("""COMPUTED_VALUE"""),1258.0)</f>
        <v>1258</v>
      </c>
      <c r="B68" s="8">
        <f>IFERROR(__xludf.DUMMYFUNCTION("""COMPUTED_VALUE"""),850.0)</f>
        <v>850</v>
      </c>
      <c r="C68" s="8">
        <f>IFERROR(__xludf.DUMMYFUNCTION("""COMPUTED_VALUE"""),73.0)</f>
        <v>73</v>
      </c>
      <c r="D68" s="8" t="str">
        <f>IFERROR(__xludf.DUMMYFUNCTION("""COMPUTED_VALUE"""),"Wanted to love this")</f>
        <v>Wanted to love this</v>
      </c>
      <c r="E68" s="15" t="str">
        <f>IFERROR(__xludf.DUMMYFUNCTION("""COMPUTED_VALUE"""),"The fabric is wonderful, flows nicely and soft. i am 5'7"", 145lbs and usually wear between a s and m. i ordered a s in this due to the majority of reviews and found it to fit my shoulders well and length was fine. after reading the reviews i was so excit"&amp;"ed to get it but for me it actually made me look larger. there was too much material for me on the bottom and it actually made me look like i had a ""pooch"", never a good thing. i thought of returning for a m as i thought maybe it would have hung")</f>
        <v>The fabric is wonderful, flows nicely and soft. i am 5'7", 145lbs and usually wear between a s and m. i ordered a s in this due to the majority of reviews and found it to fit my shoulders well and length was fine. after reading the reviews i was so excited to get it but for me it actually made me look larger. there was too much material for me on the bottom and it actually made me look like i had a "pooch", never a good thing. i thought of returning for a m as i thought maybe it would have hung</v>
      </c>
      <c r="F68" s="8">
        <f>IFERROR(__xludf.DUMMYFUNCTION("""COMPUTED_VALUE"""),3.0)</f>
        <v>3</v>
      </c>
      <c r="G68" s="8">
        <f>IFERROR(__xludf.DUMMYFUNCTION("""COMPUTED_VALUE"""),1.0)</f>
        <v>1</v>
      </c>
      <c r="H68" s="8">
        <f>IFERROR(__xludf.DUMMYFUNCTION("""COMPUTED_VALUE"""),0.0)</f>
        <v>0</v>
      </c>
      <c r="I68" s="8" t="str">
        <f>IFERROR(__xludf.DUMMYFUNCTION("""COMPUTED_VALUE"""),"General Petite")</f>
        <v>General Petite</v>
      </c>
      <c r="J68" s="8" t="str">
        <f>IFERROR(__xludf.DUMMYFUNCTION("""COMPUTED_VALUE"""),"Tops")</f>
        <v>Tops</v>
      </c>
      <c r="K68" s="8" t="str">
        <f>IFERROR(__xludf.DUMMYFUNCTION("""COMPUTED_VALUE"""),"Blouses")</f>
        <v>Blouses</v>
      </c>
      <c r="L68" s="8" t="str">
        <f t="shared" si="1"/>
        <v>Size issue-Fabric issue---</v>
      </c>
    </row>
    <row r="69">
      <c r="A69" s="8">
        <f>IFERROR(__xludf.DUMMYFUNCTION("""COMPUTED_VALUE"""),1263.0)</f>
        <v>1263</v>
      </c>
      <c r="B69" s="8">
        <f>IFERROR(__xludf.DUMMYFUNCTION("""COMPUTED_VALUE"""),1095.0)</f>
        <v>1095</v>
      </c>
      <c r="C69" s="8">
        <f>IFERROR(__xludf.DUMMYFUNCTION("""COMPUTED_VALUE"""),47.0)</f>
        <v>47</v>
      </c>
      <c r="D69" s="8" t="str">
        <f>IFERROR(__xludf.DUMMYFUNCTION("""COMPUTED_VALUE"""),"Recommended for tan to dark complexions")</f>
        <v>Recommended for tan to dark complexions</v>
      </c>
      <c r="E69" s="15" t="str">
        <f>IFERROR(__xludf.DUMMYFUNCTION("""COMPUTED_VALUE"""),"I'm very pale, and on me the rose color looked really washed out. the catalog photo is not an accurate representation. look at the product shot for a truer representation. it's slightly see-through and was too close to the color of my skin. i think it wou"&amp;"ld look delicious on someone who has darker skin, though.")</f>
        <v>I'm very pale, and on me the rose color looked really washed out. the catalog photo is not an accurate representation. look at the product shot for a truer representation. it's slightly see-through and was too close to the color of my skin. i think it would look delicious on someone who has darker skin, though.</v>
      </c>
      <c r="F69" s="8">
        <f>IFERROR(__xludf.DUMMYFUNCTION("""COMPUTED_VALUE"""),3.0)</f>
        <v>3</v>
      </c>
      <c r="G69" s="8">
        <f>IFERROR(__xludf.DUMMYFUNCTION("""COMPUTED_VALUE"""),1.0)</f>
        <v>1</v>
      </c>
      <c r="H69" s="8">
        <f>IFERROR(__xludf.DUMMYFUNCTION("""COMPUTED_VALUE"""),1.0)</f>
        <v>1</v>
      </c>
      <c r="I69" s="8" t="str">
        <f>IFERROR(__xludf.DUMMYFUNCTION("""COMPUTED_VALUE"""),"General")</f>
        <v>General</v>
      </c>
      <c r="J69" s="8" t="str">
        <f>IFERROR(__xludf.DUMMYFUNCTION("""COMPUTED_VALUE"""),"Dresses")</f>
        <v>Dresses</v>
      </c>
      <c r="K69" s="8" t="str">
        <f>IFERROR(__xludf.DUMMYFUNCTION("""COMPUTED_VALUE"""),"Dresses")</f>
        <v>Dresses</v>
      </c>
      <c r="L69" s="8" t="str">
        <f t="shared" si="1"/>
        <v>----</v>
      </c>
    </row>
    <row r="70">
      <c r="A70" s="8">
        <f>IFERROR(__xludf.DUMMYFUNCTION("""COMPUTED_VALUE"""),1284.0)</f>
        <v>1284</v>
      </c>
      <c r="B70" s="8">
        <f>IFERROR(__xludf.DUMMYFUNCTION("""COMPUTED_VALUE"""),1095.0)</f>
        <v>1095</v>
      </c>
      <c r="C70" s="8">
        <f>IFERROR(__xludf.DUMMYFUNCTION("""COMPUTED_VALUE"""),43.0)</f>
        <v>43</v>
      </c>
      <c r="D70" s="8" t="str">
        <f>IFERROR(__xludf.DUMMYFUNCTION("""COMPUTED_VALUE"""),"Lovely but not awesome")</f>
        <v>Lovely but not awesome</v>
      </c>
      <c r="E70" s="15" t="str">
        <f>IFERROR(__xludf.DUMMYFUNCTION("""COMPUTED_VALUE"""),"This dress is a bit scratchy, but overall i liked the fabric well enough. on someone blond and fair, the peach color washes out a bit. the issue for me with the dress is that front is just too short for my height (i'm 5 9 1/2). it looked a bit obscene. 
"&amp;"the small otherwise fit me great. i have broad shoulders, small chest and and slim.")</f>
        <v>This dress is a bit scratchy, but overall i liked the fabric well enough. on someone blond and fair, the peach color washes out a bit. the issue for me with the dress is that front is just too short for my height (i'm 5 9 1/2). it looked a bit obscene. 
the small otherwise fit me great. i have broad shoulders, small chest and and slim.</v>
      </c>
      <c r="F70" s="8">
        <f>IFERROR(__xludf.DUMMYFUNCTION("""COMPUTED_VALUE"""),3.0)</f>
        <v>3</v>
      </c>
      <c r="G70" s="8">
        <f>IFERROR(__xludf.DUMMYFUNCTION("""COMPUTED_VALUE"""),1.0)</f>
        <v>1</v>
      </c>
      <c r="H70" s="8">
        <f>IFERROR(__xludf.DUMMYFUNCTION("""COMPUTED_VALUE"""),0.0)</f>
        <v>0</v>
      </c>
      <c r="I70" s="8" t="str">
        <f>IFERROR(__xludf.DUMMYFUNCTION("""COMPUTED_VALUE"""),"General")</f>
        <v>General</v>
      </c>
      <c r="J70" s="8" t="str">
        <f>IFERROR(__xludf.DUMMYFUNCTION("""COMPUTED_VALUE"""),"Dresses")</f>
        <v>Dresses</v>
      </c>
      <c r="K70" s="8" t="str">
        <f>IFERROR(__xludf.DUMMYFUNCTION("""COMPUTED_VALUE"""),"Dresses")</f>
        <v>Dresses</v>
      </c>
      <c r="L70" s="8" t="str">
        <f t="shared" si="1"/>
        <v>Size issue----</v>
      </c>
    </row>
    <row r="71">
      <c r="A71" s="8">
        <f>IFERROR(__xludf.DUMMYFUNCTION("""COMPUTED_VALUE"""),1289.0)</f>
        <v>1289</v>
      </c>
      <c r="B71" s="8">
        <f>IFERROR(__xludf.DUMMYFUNCTION("""COMPUTED_VALUE"""),850.0)</f>
        <v>850</v>
      </c>
      <c r="C71" s="8">
        <f>IFERROR(__xludf.DUMMYFUNCTION("""COMPUTED_VALUE"""),34.0)</f>
        <v>34</v>
      </c>
      <c r="D71" s="8"/>
      <c r="E71" s="15" t="str">
        <f>IFERROR(__xludf.DUMMYFUNCTION("""COMPUTED_VALUE"""),"I'm still on the fence with this shirt. i have the grey - it almost looks like a cheetah design up close. i'm 5'3""")</f>
        <v>I'm still on the fence with this shirt. i have the grey - it almost looks like a cheetah design up close. i'm 5'3"</v>
      </c>
      <c r="F71" s="8">
        <f>IFERROR(__xludf.DUMMYFUNCTION("""COMPUTED_VALUE"""),3.0)</f>
        <v>3</v>
      </c>
      <c r="G71" s="8">
        <f>IFERROR(__xludf.DUMMYFUNCTION("""COMPUTED_VALUE"""),1.0)</f>
        <v>1</v>
      </c>
      <c r="H71" s="8">
        <f>IFERROR(__xludf.DUMMYFUNCTION("""COMPUTED_VALUE"""),0.0)</f>
        <v>0</v>
      </c>
      <c r="I71" s="8" t="str">
        <f>IFERROR(__xludf.DUMMYFUNCTION("""COMPUTED_VALUE"""),"General")</f>
        <v>General</v>
      </c>
      <c r="J71" s="8" t="str">
        <f>IFERROR(__xludf.DUMMYFUNCTION("""COMPUTED_VALUE"""),"Tops")</f>
        <v>Tops</v>
      </c>
      <c r="K71" s="8" t="str">
        <f>IFERROR(__xludf.DUMMYFUNCTION("""COMPUTED_VALUE"""),"Blouses")</f>
        <v>Blouses</v>
      </c>
      <c r="L71" s="8" t="str">
        <f t="shared" si="1"/>
        <v>--Style issue--</v>
      </c>
    </row>
    <row r="72">
      <c r="A72" s="8">
        <f>IFERROR(__xludf.DUMMYFUNCTION("""COMPUTED_VALUE"""),1316.0)</f>
        <v>1316</v>
      </c>
      <c r="B72" s="8">
        <f>IFERROR(__xludf.DUMMYFUNCTION("""COMPUTED_VALUE"""),836.0)</f>
        <v>836</v>
      </c>
      <c r="C72" s="8">
        <f>IFERROR(__xludf.DUMMYFUNCTION("""COMPUTED_VALUE"""),35.0)</f>
        <v>35</v>
      </c>
      <c r="D72" s="8" t="str">
        <f>IFERROR(__xludf.DUMMYFUNCTION("""COMPUTED_VALUE"""),"I wanted to love it...")</f>
        <v>I wanted to love it...</v>
      </c>
      <c r="E72" s="15" t="str">
        <f>IFERROR(__xludf.DUMMYFUNCTION("""COMPUTED_VALUE"""),"I really like the look of the top when it is photographed on other people but it just isn't for me. the fabric is stiffer than i would have expected and not very moveable. the fit is not quite right on me. the longer sleeves detract from the look of the s"&amp;"hirt. i also generally prefer things a little more form fitting of which this is not. it was not very comfortable for me either, so this was clearly not a win for me.")</f>
        <v>I really like the look of the top when it is photographed on other people but it just isn't for me. the fabric is stiffer than i would have expected and not very moveable. the fit is not quite right on me. the longer sleeves detract from the look of the shirt. i also generally prefer things a little more form fitting of which this is not. it was not very comfortable for me either, so this was clearly not a win for me.</v>
      </c>
      <c r="F72" s="8">
        <f>IFERROR(__xludf.DUMMYFUNCTION("""COMPUTED_VALUE"""),2.0)</f>
        <v>2</v>
      </c>
      <c r="G72" s="8">
        <f>IFERROR(__xludf.DUMMYFUNCTION("""COMPUTED_VALUE"""),1.0)</f>
        <v>1</v>
      </c>
      <c r="H72" s="8">
        <f>IFERROR(__xludf.DUMMYFUNCTION("""COMPUTED_VALUE"""),8.0)</f>
        <v>8</v>
      </c>
      <c r="I72" s="8" t="str">
        <f>IFERROR(__xludf.DUMMYFUNCTION("""COMPUTED_VALUE"""),"General")</f>
        <v>General</v>
      </c>
      <c r="J72" s="8" t="str">
        <f>IFERROR(__xludf.DUMMYFUNCTION("""COMPUTED_VALUE"""),"Tops")</f>
        <v>Tops</v>
      </c>
      <c r="K72" s="8" t="str">
        <f>IFERROR(__xludf.DUMMYFUNCTION("""COMPUTED_VALUE"""),"Blouses")</f>
        <v>Blouses</v>
      </c>
      <c r="L72" s="8" t="str">
        <f t="shared" si="1"/>
        <v>Size issue-Fabric issue---</v>
      </c>
    </row>
    <row r="73">
      <c r="A73" s="8">
        <f>IFERROR(__xludf.DUMMYFUNCTION("""COMPUTED_VALUE"""),1318.0)</f>
        <v>1318</v>
      </c>
      <c r="B73" s="8">
        <f>IFERROR(__xludf.DUMMYFUNCTION("""COMPUTED_VALUE"""),836.0)</f>
        <v>836</v>
      </c>
      <c r="C73" s="8">
        <f>IFERROR(__xludf.DUMMYFUNCTION("""COMPUTED_VALUE"""),59.0)</f>
        <v>59</v>
      </c>
      <c r="D73" s="8" t="str">
        <f>IFERROR(__xludf.DUMMYFUNCTION("""COMPUTED_VALUE"""),"Too billowy")</f>
        <v>Too billowy</v>
      </c>
      <c r="E73" s="15" t="str">
        <f>IFERROR(__xludf.DUMMYFUNCTION("""COMPUTED_VALUE"""),"Bought this top at my local store and tried it on as soon as i got home. yikes! it was way too billowy, i looked like i was pregnant. will be trying the next size down on in the store to see if it is billowy.")</f>
        <v>Bought this top at my local store and tried it on as soon as i got home. yikes! it was way too billowy, i looked like i was pregnant. will be trying the next size down on in the store to see if it is billowy.</v>
      </c>
      <c r="F73" s="8">
        <f>IFERROR(__xludf.DUMMYFUNCTION("""COMPUTED_VALUE"""),3.0)</f>
        <v>3</v>
      </c>
      <c r="G73" s="8">
        <f>IFERROR(__xludf.DUMMYFUNCTION("""COMPUTED_VALUE"""),1.0)</f>
        <v>1</v>
      </c>
      <c r="H73" s="8">
        <f>IFERROR(__xludf.DUMMYFUNCTION("""COMPUTED_VALUE"""),16.0)</f>
        <v>16</v>
      </c>
      <c r="I73" s="8" t="str">
        <f>IFERROR(__xludf.DUMMYFUNCTION("""COMPUTED_VALUE"""),"General")</f>
        <v>General</v>
      </c>
      <c r="J73" s="8" t="str">
        <f>IFERROR(__xludf.DUMMYFUNCTION("""COMPUTED_VALUE"""),"Tops")</f>
        <v>Tops</v>
      </c>
      <c r="K73" s="8" t="str">
        <f>IFERROR(__xludf.DUMMYFUNCTION("""COMPUTED_VALUE"""),"Blouses")</f>
        <v>Blouses</v>
      </c>
      <c r="L73" s="8" t="str">
        <f t="shared" si="1"/>
        <v>Size issue----</v>
      </c>
    </row>
    <row r="74">
      <c r="A74" s="8">
        <f>IFERROR(__xludf.DUMMYFUNCTION("""COMPUTED_VALUE"""),1326.0)</f>
        <v>1326</v>
      </c>
      <c r="B74" s="8">
        <f>IFERROR(__xludf.DUMMYFUNCTION("""COMPUTED_VALUE"""),819.0)</f>
        <v>819</v>
      </c>
      <c r="C74" s="8">
        <f>IFERROR(__xludf.DUMMYFUNCTION("""COMPUTED_VALUE"""),51.0)</f>
        <v>51</v>
      </c>
      <c r="D74" s="8"/>
      <c r="E74" s="15" t="str">
        <f>IFERROR(__xludf.DUMMYFUNCTION("""COMPUTED_VALUE"""),"It's really cute but seems expensive for the type of fabric. i thought it would be more substantial. got lots of compliments .")</f>
        <v>It's really cute but seems expensive for the type of fabric. i thought it would be more substantial. got lots of compliments .</v>
      </c>
      <c r="F74" s="8">
        <f>IFERROR(__xludf.DUMMYFUNCTION("""COMPUTED_VALUE"""),3.0)</f>
        <v>3</v>
      </c>
      <c r="G74" s="8">
        <f>IFERROR(__xludf.DUMMYFUNCTION("""COMPUTED_VALUE"""),1.0)</f>
        <v>1</v>
      </c>
      <c r="H74" s="8">
        <f>IFERROR(__xludf.DUMMYFUNCTION("""COMPUTED_VALUE"""),1.0)</f>
        <v>1</v>
      </c>
      <c r="I74" s="8" t="str">
        <f>IFERROR(__xludf.DUMMYFUNCTION("""COMPUTED_VALUE"""),"General")</f>
        <v>General</v>
      </c>
      <c r="J74" s="8" t="str">
        <f>IFERROR(__xludf.DUMMYFUNCTION("""COMPUTED_VALUE"""),"Tops")</f>
        <v>Tops</v>
      </c>
      <c r="K74" s="8" t="str">
        <f>IFERROR(__xludf.DUMMYFUNCTION("""COMPUTED_VALUE"""),"Blouses")</f>
        <v>Blouses</v>
      </c>
      <c r="L74" s="8" t="str">
        <f t="shared" si="1"/>
        <v>---Price issue-</v>
      </c>
    </row>
    <row r="75">
      <c r="A75" s="8">
        <f>IFERROR(__xludf.DUMMYFUNCTION("""COMPUTED_VALUE"""),1346.0)</f>
        <v>1346</v>
      </c>
      <c r="B75" s="8">
        <f>IFERROR(__xludf.DUMMYFUNCTION("""COMPUTED_VALUE"""),860.0)</f>
        <v>860</v>
      </c>
      <c r="C75" s="8">
        <f>IFERROR(__xludf.DUMMYFUNCTION("""COMPUTED_VALUE"""),38.0)</f>
        <v>38</v>
      </c>
      <c r="D75" s="8"/>
      <c r="E75" s="15" t="str">
        <f>IFERROR(__xludf.DUMMYFUNCTION("""COMPUTED_VALUE"""),"Another shirt i really wanted to love. i adore green but so few tops are made in this color. (please make more!!) however, this shirt didn't work for me. i think it's a matter of where your curves live. the shirt was true to size, but my boobs meant i was"&amp;" showing more cleavage than the model, and the top part felt more like a bib than embroidery. sad coz it is lovely and feels lovely on. probably a great shirt for different body types. would love to see more green clothing....")</f>
        <v>Another shirt i really wanted to love. i adore green but so few tops are made in this color. (please make more!!) however, this shirt didn't work for me. i think it's a matter of where your curves live. the shirt was true to size, but my boobs meant i was showing more cleavage than the model, and the top part felt more like a bib than embroidery. sad coz it is lovely and feels lovely on. probably a great shirt for different body types. would love to see more green clothing....</v>
      </c>
      <c r="F75" s="8">
        <f>IFERROR(__xludf.DUMMYFUNCTION("""COMPUTED_VALUE"""),3.0)</f>
        <v>3</v>
      </c>
      <c r="G75" s="8">
        <f>IFERROR(__xludf.DUMMYFUNCTION("""COMPUTED_VALUE"""),1.0)</f>
        <v>1</v>
      </c>
      <c r="H75" s="8">
        <f>IFERROR(__xludf.DUMMYFUNCTION("""COMPUTED_VALUE"""),1.0)</f>
        <v>1</v>
      </c>
      <c r="I75" s="8" t="str">
        <f>IFERROR(__xludf.DUMMYFUNCTION("""COMPUTED_VALUE"""),"General")</f>
        <v>General</v>
      </c>
      <c r="J75" s="8" t="str">
        <f>IFERROR(__xludf.DUMMYFUNCTION("""COMPUTED_VALUE"""),"Tops")</f>
        <v>Tops</v>
      </c>
      <c r="K75" s="8" t="str">
        <f>IFERROR(__xludf.DUMMYFUNCTION("""COMPUTED_VALUE"""),"Knits")</f>
        <v>Knits</v>
      </c>
      <c r="L75" s="8" t="str">
        <f t="shared" si="1"/>
        <v>Size issue----Matching Awareness issue</v>
      </c>
    </row>
    <row r="76">
      <c r="A76" s="8">
        <f>IFERROR(__xludf.DUMMYFUNCTION("""COMPUTED_VALUE"""),1355.0)</f>
        <v>1355</v>
      </c>
      <c r="B76" s="8">
        <f>IFERROR(__xludf.DUMMYFUNCTION("""COMPUTED_VALUE"""),946.0)</f>
        <v>946</v>
      </c>
      <c r="C76" s="8">
        <f>IFERROR(__xludf.DUMMYFUNCTION("""COMPUTED_VALUE"""),40.0)</f>
        <v>40</v>
      </c>
      <c r="D76" s="8" t="str">
        <f>IFERROR(__xludf.DUMMYFUNCTION("""COMPUTED_VALUE"""),"Beautiful and soft, yet length is deceiving!")</f>
        <v>Beautiful and soft, yet length is deceiving!</v>
      </c>
      <c r="E76" s="15" t="str">
        <f>IFERROR(__xludf.DUMMYFUNCTION("""COMPUTED_VALUE"""),"It is such a cute design and very soft and comfortable, but the picture for this product is very deceiving! it looks like the sweater is fairly long in the pictured product page, but it is considerably short. i am nearly six foot tall, but thought by this"&amp;" picture it would be lengthy, not at all!
it is a beautiful sweater, might work better for a shorter stature.")</f>
        <v>It is such a cute design and very soft and comfortable, but the picture for this product is very deceiving! it looks like the sweater is fairly long in the pictured product page, but it is considerably short. i am nearly six foot tall, but thought by this picture it would be lengthy, not at all!
it is a beautiful sweater, might work better for a shorter stature.</v>
      </c>
      <c r="F76" s="8">
        <f>IFERROR(__xludf.DUMMYFUNCTION("""COMPUTED_VALUE"""),2.0)</f>
        <v>2</v>
      </c>
      <c r="G76" s="8">
        <f>IFERROR(__xludf.DUMMYFUNCTION("""COMPUTED_VALUE"""),1.0)</f>
        <v>1</v>
      </c>
      <c r="H76" s="8">
        <f>IFERROR(__xludf.DUMMYFUNCTION("""COMPUTED_VALUE"""),0.0)</f>
        <v>0</v>
      </c>
      <c r="I76" s="8" t="str">
        <f>IFERROR(__xludf.DUMMYFUNCTION("""COMPUTED_VALUE"""),"General")</f>
        <v>General</v>
      </c>
      <c r="J76" s="8" t="str">
        <f>IFERROR(__xludf.DUMMYFUNCTION("""COMPUTED_VALUE"""),"Tops")</f>
        <v>Tops</v>
      </c>
      <c r="K76" s="8" t="str">
        <f>IFERROR(__xludf.DUMMYFUNCTION("""COMPUTED_VALUE"""),"Sweaters")</f>
        <v>Sweaters</v>
      </c>
      <c r="L76" s="8" t="str">
        <f t="shared" si="1"/>
        <v>Size issue--Style issue--</v>
      </c>
    </row>
    <row r="77">
      <c r="A77" s="8">
        <f>IFERROR(__xludf.DUMMYFUNCTION("""COMPUTED_VALUE"""),1403.0)</f>
        <v>1403</v>
      </c>
      <c r="B77" s="8">
        <f>IFERROR(__xludf.DUMMYFUNCTION("""COMPUTED_VALUE"""),1110.0)</f>
        <v>1110</v>
      </c>
      <c r="C77" s="8">
        <f>IFERROR(__xludf.DUMMYFUNCTION("""COMPUTED_VALUE"""),43.0)</f>
        <v>43</v>
      </c>
      <c r="D77" s="8" t="str">
        <f>IFERROR(__xludf.DUMMYFUNCTION("""COMPUTED_VALUE"""),"Pretty; low cut arm holes")</f>
        <v>Pretty; low cut arm holes</v>
      </c>
      <c r="E77" s="15" t="str">
        <f>IFERROR(__xludf.DUMMYFUNCTION("""COMPUTED_VALUE"""),"Gorgeous fun dress, but the cut in the armholes (6 petite) is really low. so low even a strapless bra peeks above it. there are also lining issues (could have been with just my one choice) where the lining is not stitched well around the armholes so it sh"&amp;"ows too much. back is stunning. i would say that if you can go bra less this could be so awesome. it didn't work for my body because i have to wear a bra, but i think its a winner for someone.")</f>
        <v>Gorgeous fun dress, but the cut in the armholes (6 petite) is really low. so low even a strapless bra peeks above it. there are also lining issues (could have been with just my one choice) where the lining is not stitched well around the armholes so it shows too much. back is stunning. i would say that if you can go bra less this could be so awesome. it didn't work for my body because i have to wear a bra, but i think its a winner for someone.</v>
      </c>
      <c r="F77" s="8">
        <f>IFERROR(__xludf.DUMMYFUNCTION("""COMPUTED_VALUE"""),3.0)</f>
        <v>3</v>
      </c>
      <c r="G77" s="8">
        <f>IFERROR(__xludf.DUMMYFUNCTION("""COMPUTED_VALUE"""),1.0)</f>
        <v>1</v>
      </c>
      <c r="H77" s="8">
        <f>IFERROR(__xludf.DUMMYFUNCTION("""COMPUTED_VALUE"""),5.0)</f>
        <v>5</v>
      </c>
      <c r="I77" s="8" t="str">
        <f>IFERROR(__xludf.DUMMYFUNCTION("""COMPUTED_VALUE"""),"General")</f>
        <v>General</v>
      </c>
      <c r="J77" s="8" t="str">
        <f>IFERROR(__xludf.DUMMYFUNCTION("""COMPUTED_VALUE"""),"Dresses")</f>
        <v>Dresses</v>
      </c>
      <c r="K77" s="8" t="str">
        <f>IFERROR(__xludf.DUMMYFUNCTION("""COMPUTED_VALUE"""),"Dresses")</f>
        <v>Dresses</v>
      </c>
      <c r="L77" s="8" t="str">
        <f t="shared" si="1"/>
        <v>-Fabric issue---</v>
      </c>
    </row>
    <row r="78">
      <c r="A78" s="8">
        <f>IFERROR(__xludf.DUMMYFUNCTION("""COMPUTED_VALUE"""),1421.0)</f>
        <v>1421</v>
      </c>
      <c r="B78" s="8">
        <f>IFERROR(__xludf.DUMMYFUNCTION("""COMPUTED_VALUE"""),1094.0)</f>
        <v>1094</v>
      </c>
      <c r="C78" s="8">
        <f>IFERROR(__xludf.DUMMYFUNCTION("""COMPUTED_VALUE"""),30.0)</f>
        <v>30</v>
      </c>
      <c r="D78" s="8" t="str">
        <f>IFERROR(__xludf.DUMMYFUNCTION("""COMPUTED_VALUE"""),"Bad fit for me")</f>
        <v>Bad fit for me</v>
      </c>
      <c r="E78" s="15" t="str">
        <f>IFERROR(__xludf.DUMMYFUNCTION("""COMPUTED_VALUE"""),"This dress had so much promise from the picture. i loved the midi length, color, and fascinating waist detail. i ordered online, so there was no way to try on before purchasing. the fit was disappointing. it fell in an unflattering manner at every point; "&amp;"a tad too low at the waist; a tad too long at the shin. just kind of saggy all around. bummed, but this is not to say it wouldn't fit someone with a different body shape better. the quality of fabric is nice, and the color is lovely.")</f>
        <v>This dress had so much promise from the picture. i loved the midi length, color, and fascinating waist detail. i ordered online, so there was no way to try on before purchasing. the fit was disappointing. it fell in an unflattering manner at every point; a tad too low at the waist; a tad too long at the shin. just kind of saggy all around. bummed, but this is not to say it wouldn't fit someone with a different body shape better. the quality of fabric is nice, and the color is lovely.</v>
      </c>
      <c r="F78" s="8">
        <f>IFERROR(__xludf.DUMMYFUNCTION("""COMPUTED_VALUE"""),3.0)</f>
        <v>3</v>
      </c>
      <c r="G78" s="8">
        <f>IFERROR(__xludf.DUMMYFUNCTION("""COMPUTED_VALUE"""),1.0)</f>
        <v>1</v>
      </c>
      <c r="H78" s="8">
        <f>IFERROR(__xludf.DUMMYFUNCTION("""COMPUTED_VALUE"""),0.0)</f>
        <v>0</v>
      </c>
      <c r="I78" s="8" t="str">
        <f>IFERROR(__xludf.DUMMYFUNCTION("""COMPUTED_VALUE"""),"General")</f>
        <v>General</v>
      </c>
      <c r="J78" s="8" t="str">
        <f>IFERROR(__xludf.DUMMYFUNCTION("""COMPUTED_VALUE"""),"Dresses")</f>
        <v>Dresses</v>
      </c>
      <c r="K78" s="8" t="str">
        <f>IFERROR(__xludf.DUMMYFUNCTION("""COMPUTED_VALUE"""),"Dresses")</f>
        <v>Dresses</v>
      </c>
      <c r="L78" s="8" t="str">
        <f t="shared" si="1"/>
        <v>Size issue----</v>
      </c>
    </row>
    <row r="79">
      <c r="A79" s="8">
        <f>IFERROR(__xludf.DUMMYFUNCTION("""COMPUTED_VALUE"""),1423.0)</f>
        <v>1423</v>
      </c>
      <c r="B79" s="8">
        <f>IFERROR(__xludf.DUMMYFUNCTION("""COMPUTED_VALUE"""),1081.0)</f>
        <v>1081</v>
      </c>
      <c r="C79" s="8">
        <f>IFERROR(__xludf.DUMMYFUNCTION("""COMPUTED_VALUE"""),47.0)</f>
        <v>47</v>
      </c>
      <c r="D79" s="8" t="str">
        <f>IFERROR(__xludf.DUMMYFUNCTION("""COMPUTED_VALUE"""),"Great dress, too short")</f>
        <v>Great dress, too short</v>
      </c>
      <c r="E79" s="15" t="str">
        <f>IFERROR(__xludf.DUMMYFUNCTION("""COMPUTED_VALUE"""),"Dress is very pretty, but very short, almost tunic length.")</f>
        <v>Dress is very pretty, but very short, almost tunic length.</v>
      </c>
      <c r="F79" s="8">
        <f>IFERROR(__xludf.DUMMYFUNCTION("""COMPUTED_VALUE"""),3.0)</f>
        <v>3</v>
      </c>
      <c r="G79" s="8">
        <f>IFERROR(__xludf.DUMMYFUNCTION("""COMPUTED_VALUE"""),1.0)</f>
        <v>1</v>
      </c>
      <c r="H79" s="8">
        <f>IFERROR(__xludf.DUMMYFUNCTION("""COMPUTED_VALUE"""),0.0)</f>
        <v>0</v>
      </c>
      <c r="I79" s="8" t="str">
        <f>IFERROR(__xludf.DUMMYFUNCTION("""COMPUTED_VALUE"""),"General Petite")</f>
        <v>General Petite</v>
      </c>
      <c r="J79" s="8" t="str">
        <f>IFERROR(__xludf.DUMMYFUNCTION("""COMPUTED_VALUE"""),"Dresses")</f>
        <v>Dresses</v>
      </c>
      <c r="K79" s="8" t="str">
        <f>IFERROR(__xludf.DUMMYFUNCTION("""COMPUTED_VALUE"""),"Dresses")</f>
        <v>Dresses</v>
      </c>
      <c r="L79" s="8" t="str">
        <f t="shared" si="1"/>
        <v>Size issue----</v>
      </c>
    </row>
    <row r="80">
      <c r="A80" s="8">
        <f>IFERROR(__xludf.DUMMYFUNCTION("""COMPUTED_VALUE"""),1430.0)</f>
        <v>1430</v>
      </c>
      <c r="B80" s="8">
        <f>IFERROR(__xludf.DUMMYFUNCTION("""COMPUTED_VALUE"""),775.0)</f>
        <v>775</v>
      </c>
      <c r="C80" s="8">
        <f>IFERROR(__xludf.DUMMYFUNCTION("""COMPUTED_VALUE"""),66.0)</f>
        <v>66</v>
      </c>
      <c r="D80" s="8" t="str">
        <f>IFERROR(__xludf.DUMMYFUNCTION("""COMPUTED_VALUE"""),"Don't size up")</f>
        <v>Don't size up</v>
      </c>
      <c r="E80" s="15" t="str">
        <f>IFERROR(__xludf.DUMMYFUNCTION("""COMPUTED_VALUE"""),"This top is oversized. i normally wear large but thought an xl would be best for sleeping. it's huge. so stick with your normal size or a size down. pretty print. fabric is a bit coarse. undecided about trying a size down because i'm particular and they d"&amp;"idn't wow me. also ordered these in the lighter color and they fit the same.")</f>
        <v>This top is oversized. i normally wear large but thought an xl would be best for sleeping. it's huge. so stick with your normal size or a size down. pretty print. fabric is a bit coarse. undecided about trying a size down because i'm particular and they didn't wow me. also ordered these in the lighter color and they fit the same.</v>
      </c>
      <c r="F80" s="8">
        <f>IFERROR(__xludf.DUMMYFUNCTION("""COMPUTED_VALUE"""),3.0)</f>
        <v>3</v>
      </c>
      <c r="G80" s="8">
        <f>IFERROR(__xludf.DUMMYFUNCTION("""COMPUTED_VALUE"""),1.0)</f>
        <v>1</v>
      </c>
      <c r="H80" s="8">
        <f>IFERROR(__xludf.DUMMYFUNCTION("""COMPUTED_VALUE"""),0.0)</f>
        <v>0</v>
      </c>
      <c r="I80" s="8" t="str">
        <f>IFERROR(__xludf.DUMMYFUNCTION("""COMPUTED_VALUE"""),"Initmates")</f>
        <v>Initmates</v>
      </c>
      <c r="J80" s="8" t="str">
        <f>IFERROR(__xludf.DUMMYFUNCTION("""COMPUTED_VALUE"""),"Intimate")</f>
        <v>Intimate</v>
      </c>
      <c r="K80" s="8" t="str">
        <f>IFERROR(__xludf.DUMMYFUNCTION("""COMPUTED_VALUE"""),"Sleep")</f>
        <v>Sleep</v>
      </c>
      <c r="L80" s="8" t="str">
        <f t="shared" si="1"/>
        <v>Size issue----</v>
      </c>
    </row>
    <row r="81">
      <c r="A81" s="8">
        <f>IFERROR(__xludf.DUMMYFUNCTION("""COMPUTED_VALUE"""),1431.0)</f>
        <v>1431</v>
      </c>
      <c r="B81" s="8">
        <f>IFERROR(__xludf.DUMMYFUNCTION("""COMPUTED_VALUE"""),1081.0)</f>
        <v>1081</v>
      </c>
      <c r="C81" s="8">
        <f>IFERROR(__xludf.DUMMYFUNCTION("""COMPUTED_VALUE"""),45.0)</f>
        <v>45</v>
      </c>
      <c r="D81" s="8" t="str">
        <f>IFERROR(__xludf.DUMMYFUNCTION("""COMPUTED_VALUE"""),"Really cute dress, if you can do the handkerchief")</f>
        <v>Really cute dress, if you can do the handkerchief</v>
      </c>
      <c r="E81" s="15" t="str">
        <f>IFERROR(__xludf.DUMMYFUNCTION("""COMPUTED_VALUE"""),"This is, like many reviewers stated, a very flattering and nice dress. the sleeves were particularly great, because they are slightly longer than most of this type and went past the meaty (for lack of a better word!) part of my arm, only exposing the slim"&amp;"mer bits. it looked great on me, and i imagine it would on most people. i just did not like the handkerchief hem....too young, too trendy? i don't know, when you're in your 40s, you start to feel ridiculous in certain styles! i just didn't feel")</f>
        <v>This is, like many reviewers stated, a very flattering and nice dress. the sleeves were particularly great, because they are slightly longer than most of this type and went past the meaty (for lack of a better word!) part of my arm, only exposing the slimmer bits. it looked great on me, and i imagine it would on most people. i just did not like the handkerchief hem....too young, too trendy? i don't know, when you're in your 40s, you start to feel ridiculous in certain styles! i just didn't feel</v>
      </c>
      <c r="F81" s="8">
        <f>IFERROR(__xludf.DUMMYFUNCTION("""COMPUTED_VALUE"""),3.0)</f>
        <v>3</v>
      </c>
      <c r="G81" s="8">
        <f>IFERROR(__xludf.DUMMYFUNCTION("""COMPUTED_VALUE"""),1.0)</f>
        <v>1</v>
      </c>
      <c r="H81" s="8">
        <f>IFERROR(__xludf.DUMMYFUNCTION("""COMPUTED_VALUE"""),0.0)</f>
        <v>0</v>
      </c>
      <c r="I81" s="8" t="str">
        <f>IFERROR(__xludf.DUMMYFUNCTION("""COMPUTED_VALUE"""),"General Petite")</f>
        <v>General Petite</v>
      </c>
      <c r="J81" s="8" t="str">
        <f>IFERROR(__xludf.DUMMYFUNCTION("""COMPUTED_VALUE"""),"Dresses")</f>
        <v>Dresses</v>
      </c>
      <c r="K81" s="8" t="str">
        <f>IFERROR(__xludf.DUMMYFUNCTION("""COMPUTED_VALUE"""),"Dresses")</f>
        <v>Dresses</v>
      </c>
      <c r="L81" s="8" t="str">
        <f t="shared" si="1"/>
        <v>Size issue--Style issue--</v>
      </c>
    </row>
    <row r="82">
      <c r="A82" s="8">
        <f>IFERROR(__xludf.DUMMYFUNCTION("""COMPUTED_VALUE"""),1450.0)</f>
        <v>1450</v>
      </c>
      <c r="B82" s="8">
        <f>IFERROR(__xludf.DUMMYFUNCTION("""COMPUTED_VALUE"""),1072.0)</f>
        <v>1072</v>
      </c>
      <c r="C82" s="8">
        <f>IFERROR(__xludf.DUMMYFUNCTION("""COMPUTED_VALUE"""),36.0)</f>
        <v>36</v>
      </c>
      <c r="D82" s="8" t="str">
        <f>IFERROR(__xludf.DUMMYFUNCTION("""COMPUTED_VALUE"""),"So cute, but so big!")</f>
        <v>So cute, but so big!</v>
      </c>
      <c r="E82" s="15" t="str">
        <f>IFERROR(__xludf.DUMMYFUNCTION("""COMPUTED_VALUE"""),"The design of this dress is darling and so unique, and it's very well made. but i agree it's very boxy and overwhelming for a petite frame. i'm 5'3"" and ordered the 2, and it was like wearing a hospital gown. if a petite were available i'd have tried tha"&amp;"t, but this one's going back. shame, too, because it's adorable. the gap in the neckline could easily be stitched or sewn shut, but that's an inconvenience when this dress is already priced so high.")</f>
        <v>The design of this dress is darling and so unique, and it's very well made. but i agree it's very boxy and overwhelming for a petite frame. i'm 5'3" and ordered the 2, and it was like wearing a hospital gown. if a petite were available i'd have tried that, but this one's going back. shame, too, because it's adorable. the gap in the neckline could easily be stitched or sewn shut, but that's an inconvenience when this dress is already priced so high.</v>
      </c>
      <c r="F82" s="8">
        <f>IFERROR(__xludf.DUMMYFUNCTION("""COMPUTED_VALUE"""),3.0)</f>
        <v>3</v>
      </c>
      <c r="G82" s="8">
        <f>IFERROR(__xludf.DUMMYFUNCTION("""COMPUTED_VALUE"""),1.0)</f>
        <v>1</v>
      </c>
      <c r="H82" s="8">
        <f>IFERROR(__xludf.DUMMYFUNCTION("""COMPUTED_VALUE"""),3.0)</f>
        <v>3</v>
      </c>
      <c r="I82" s="8" t="str">
        <f>IFERROR(__xludf.DUMMYFUNCTION("""COMPUTED_VALUE"""),"General")</f>
        <v>General</v>
      </c>
      <c r="J82" s="8" t="str">
        <f>IFERROR(__xludf.DUMMYFUNCTION("""COMPUTED_VALUE"""),"Dresses")</f>
        <v>Dresses</v>
      </c>
      <c r="K82" s="8" t="str">
        <f>IFERROR(__xludf.DUMMYFUNCTION("""COMPUTED_VALUE"""),"Dresses")</f>
        <v>Dresses</v>
      </c>
      <c r="L82" s="8" t="str">
        <f t="shared" si="1"/>
        <v>Size issue--Style issue-Price issue-</v>
      </c>
    </row>
    <row r="83">
      <c r="A83" s="8">
        <f>IFERROR(__xludf.DUMMYFUNCTION("""COMPUTED_VALUE"""),1451.0)</f>
        <v>1451</v>
      </c>
      <c r="B83" s="8">
        <f>IFERROR(__xludf.DUMMYFUNCTION("""COMPUTED_VALUE"""),829.0)</f>
        <v>829</v>
      </c>
      <c r="C83" s="8">
        <f>IFERROR(__xludf.DUMMYFUNCTION("""COMPUTED_VALUE"""),25.0)</f>
        <v>25</v>
      </c>
      <c r="D83" s="8" t="str">
        <f>IFERROR(__xludf.DUMMYFUNCTION("""COMPUTED_VALUE"""),"Excellent cut and idea,poor fabric c")</f>
        <v>Excellent cut and idea,poor fabric c</v>
      </c>
      <c r="E83" s="15" t="str">
        <f>IFERROR(__xludf.DUMMYFUNCTION("""COMPUTED_VALUE"""),"I love the cut and aesthetic of this shirt, but the fabric unfortunately shows even the slightest hint of sweat, which makes it difficult to wear without being self conscious")</f>
        <v>I love the cut and aesthetic of this shirt, but the fabric unfortunately shows even the slightest hint of sweat, which makes it difficult to wear without being self conscious</v>
      </c>
      <c r="F83" s="8">
        <f>IFERROR(__xludf.DUMMYFUNCTION("""COMPUTED_VALUE"""),3.0)</f>
        <v>3</v>
      </c>
      <c r="G83" s="8">
        <f>IFERROR(__xludf.DUMMYFUNCTION("""COMPUTED_VALUE"""),1.0)</f>
        <v>1</v>
      </c>
      <c r="H83" s="8">
        <f>IFERROR(__xludf.DUMMYFUNCTION("""COMPUTED_VALUE"""),2.0)</f>
        <v>2</v>
      </c>
      <c r="I83" s="8" t="str">
        <f>IFERROR(__xludf.DUMMYFUNCTION("""COMPUTED_VALUE"""),"General Petite")</f>
        <v>General Petite</v>
      </c>
      <c r="J83" s="8" t="str">
        <f>IFERROR(__xludf.DUMMYFUNCTION("""COMPUTED_VALUE"""),"Tops")</f>
        <v>Tops</v>
      </c>
      <c r="K83" s="8" t="str">
        <f>IFERROR(__xludf.DUMMYFUNCTION("""COMPUTED_VALUE"""),"Blouses")</f>
        <v>Blouses</v>
      </c>
      <c r="L83" s="8" t="str">
        <f t="shared" si="1"/>
        <v>-Fabric issue---</v>
      </c>
    </row>
    <row r="84">
      <c r="A84" s="8">
        <f>IFERROR(__xludf.DUMMYFUNCTION("""COMPUTED_VALUE"""),1456.0)</f>
        <v>1456</v>
      </c>
      <c r="B84" s="8">
        <f>IFERROR(__xludf.DUMMYFUNCTION("""COMPUTED_VALUE"""),411.0)</f>
        <v>411</v>
      </c>
      <c r="C84" s="8">
        <f>IFERROR(__xludf.DUMMYFUNCTION("""COMPUTED_VALUE"""),38.0)</f>
        <v>38</v>
      </c>
      <c r="D84" s="8" t="str">
        <f>IFERROR(__xludf.DUMMYFUNCTION("""COMPUTED_VALUE"""),"Too tight and too big at the same time.")</f>
        <v>Too tight and too big at the same time.</v>
      </c>
      <c r="E84" s="15" t="str">
        <f>IFERROR(__xludf.DUMMYFUNCTION("""COMPUTED_VALUE"""),"I'm a 32-a, and i bought a small. i found that the tube portion is pretty tight, but probably needed to keep things up. because there is not a clasp in the front or back, it is really hard to get in and out of. i'd probably be ok with it, but the cups wer"&amp;"e too big for me. i think i would need to be a c to fill it.
the quality is really nice and the molded cups are a good shape. i wish i could have made it work, because it was really comfortable. i returned it in the end.")</f>
        <v>I'm a 32-a, and i bought a small. i found that the tube portion is pretty tight, but probably needed to keep things up. because there is not a clasp in the front or back, it is really hard to get in and out of. i'd probably be ok with it, but the cups were too big for me. i think i would need to be a c to fill it.
the quality is really nice and the molded cups are a good shape. i wish i could have made it work, because it was really comfortable. i returned it in the end.</v>
      </c>
      <c r="F84" s="8">
        <f>IFERROR(__xludf.DUMMYFUNCTION("""COMPUTED_VALUE"""),3.0)</f>
        <v>3</v>
      </c>
      <c r="G84" s="8">
        <f>IFERROR(__xludf.DUMMYFUNCTION("""COMPUTED_VALUE"""),1.0)</f>
        <v>1</v>
      </c>
      <c r="H84" s="8">
        <f>IFERROR(__xludf.DUMMYFUNCTION("""COMPUTED_VALUE"""),0.0)</f>
        <v>0</v>
      </c>
      <c r="I84" s="8" t="str">
        <f>IFERROR(__xludf.DUMMYFUNCTION("""COMPUTED_VALUE"""),"Initmates")</f>
        <v>Initmates</v>
      </c>
      <c r="J84" s="8" t="str">
        <f>IFERROR(__xludf.DUMMYFUNCTION("""COMPUTED_VALUE"""),"Intimate")</f>
        <v>Intimate</v>
      </c>
      <c r="K84" s="8" t="str">
        <f>IFERROR(__xludf.DUMMYFUNCTION("""COMPUTED_VALUE"""),"Intimates")</f>
        <v>Intimates</v>
      </c>
      <c r="L84" s="8" t="str">
        <f t="shared" si="1"/>
        <v>Size issue----</v>
      </c>
    </row>
    <row r="85">
      <c r="A85" s="8">
        <f>IFERROR(__xludf.DUMMYFUNCTION("""COMPUTED_VALUE"""),1463.0)</f>
        <v>1463</v>
      </c>
      <c r="B85" s="8">
        <f>IFERROR(__xludf.DUMMYFUNCTION("""COMPUTED_VALUE"""),839.0)</f>
        <v>839</v>
      </c>
      <c r="C85" s="8">
        <f>IFERROR(__xludf.DUMMYFUNCTION("""COMPUTED_VALUE"""),44.0)</f>
        <v>44</v>
      </c>
      <c r="D85" s="8" t="str">
        <f>IFERROR(__xludf.DUMMYFUNCTION("""COMPUTED_VALUE"""),"Much thinner")</f>
        <v>Much thinner</v>
      </c>
      <c r="E85" s="15" t="str">
        <f>IFERROR(__xludf.DUMMYFUNCTION("""COMPUTED_VALUE"""),"I was so excited to receive this top but was immediately disappointed! it is much thinner than it seems &amp; it almost feels like a cheap top. it's also see-through but i'm not bothered by that. it has a very boxy cut which i like with slimmer bottoms. but o"&amp;"verall, i didn't care for this top &amp; expected it to be more structured &amp; stiff rather than flimsy &amp; thin. it's going back...")</f>
        <v>I was so excited to receive this top but was immediately disappointed! it is much thinner than it seems &amp; it almost feels like a cheap top. it's also see-through but i'm not bothered by that. it has a very boxy cut which i like with slimmer bottoms. but overall, i didn't care for this top &amp; expected it to be more structured &amp; stiff rather than flimsy &amp; thin. it's going back...</v>
      </c>
      <c r="F85" s="8">
        <f>IFERROR(__xludf.DUMMYFUNCTION("""COMPUTED_VALUE"""),3.0)</f>
        <v>3</v>
      </c>
      <c r="G85" s="8">
        <f>IFERROR(__xludf.DUMMYFUNCTION("""COMPUTED_VALUE"""),1.0)</f>
        <v>1</v>
      </c>
      <c r="H85" s="8">
        <f>IFERROR(__xludf.DUMMYFUNCTION("""COMPUTED_VALUE"""),3.0)</f>
        <v>3</v>
      </c>
      <c r="I85" s="8" t="str">
        <f>IFERROR(__xludf.DUMMYFUNCTION("""COMPUTED_VALUE"""),"General")</f>
        <v>General</v>
      </c>
      <c r="J85" s="8" t="str">
        <f>IFERROR(__xludf.DUMMYFUNCTION("""COMPUTED_VALUE"""),"Tops")</f>
        <v>Tops</v>
      </c>
      <c r="K85" s="8" t="str">
        <f>IFERROR(__xludf.DUMMYFUNCTION("""COMPUTED_VALUE"""),"Blouses")</f>
        <v>Blouses</v>
      </c>
      <c r="L85" s="8" t="str">
        <f t="shared" si="1"/>
        <v>Size issue-Fabric issue-Style issue--</v>
      </c>
    </row>
    <row r="86">
      <c r="A86" s="8">
        <f>IFERROR(__xludf.DUMMYFUNCTION("""COMPUTED_VALUE"""),1488.0)</f>
        <v>1488</v>
      </c>
      <c r="B86" s="8">
        <f>IFERROR(__xludf.DUMMYFUNCTION("""COMPUTED_VALUE"""),1027.0)</f>
        <v>1027</v>
      </c>
      <c r="C86" s="8">
        <f>IFERROR(__xludf.DUMMYFUNCTION("""COMPUTED_VALUE"""),45.0)</f>
        <v>45</v>
      </c>
      <c r="D86" s="8" t="str">
        <f>IFERROR(__xludf.DUMMYFUNCTION("""COMPUTED_VALUE"""),"Ok, lightweight jean")</f>
        <v>Ok, lightweight jean</v>
      </c>
      <c r="E86" s="15" t="str">
        <f>IFERROR(__xludf.DUMMYFUNCTION("""COMPUTED_VALUE"""),"I agree with the other reviews that these jeans run big. for my body, straight up and down, i ordered 2 sizes down, but would have ordered one size down had i been able to try them on in the store. the jeans i received were lighter, not blue, and more gre"&amp;"y with very noticeable white whiskering. i need a new pair of jearns and i love the cut of these so i am keeping this pair, but, for me, because of the color they are just ok compared to the wow i was expecting from the picture.")</f>
        <v>I agree with the other reviews that these jeans run big. for my body, straight up and down, i ordered 2 sizes down, but would have ordered one size down had i been able to try them on in the store. the jeans i received were lighter, not blue, and more grey with very noticeable white whiskering. i need a new pair of jearns and i love the cut of these so i am keeping this pair, but, for me, because of the color they are just ok compared to the wow i was expecting from the picture.</v>
      </c>
      <c r="F86" s="8">
        <f>IFERROR(__xludf.DUMMYFUNCTION("""COMPUTED_VALUE"""),3.0)</f>
        <v>3</v>
      </c>
      <c r="G86" s="8">
        <f>IFERROR(__xludf.DUMMYFUNCTION("""COMPUTED_VALUE"""),1.0)</f>
        <v>1</v>
      </c>
      <c r="H86" s="8">
        <f>IFERROR(__xludf.DUMMYFUNCTION("""COMPUTED_VALUE"""),0.0)</f>
        <v>0</v>
      </c>
      <c r="I86" s="8" t="str">
        <f>IFERROR(__xludf.DUMMYFUNCTION("""COMPUTED_VALUE"""),"General")</f>
        <v>General</v>
      </c>
      <c r="J86" s="8" t="str">
        <f>IFERROR(__xludf.DUMMYFUNCTION("""COMPUTED_VALUE"""),"Bottoms")</f>
        <v>Bottoms</v>
      </c>
      <c r="K86" s="8" t="str">
        <f>IFERROR(__xludf.DUMMYFUNCTION("""COMPUTED_VALUE"""),"Jeans")</f>
        <v>Jeans</v>
      </c>
      <c r="L86" s="8" t="str">
        <f t="shared" si="1"/>
        <v>Size issue----</v>
      </c>
    </row>
    <row r="87">
      <c r="A87" s="8">
        <f>IFERROR(__xludf.DUMMYFUNCTION("""COMPUTED_VALUE"""),1493.0)</f>
        <v>1493</v>
      </c>
      <c r="B87" s="8">
        <f>IFERROR(__xludf.DUMMYFUNCTION("""COMPUTED_VALUE"""),860.0)</f>
        <v>860</v>
      </c>
      <c r="C87" s="8">
        <f>IFERROR(__xludf.DUMMYFUNCTION("""COMPUTED_VALUE"""),43.0)</f>
        <v>43</v>
      </c>
      <c r="D87" s="8" t="str">
        <f>IFERROR(__xludf.DUMMYFUNCTION("""COMPUTED_VALUE"""),"Adorable")</f>
        <v>Adorable</v>
      </c>
      <c r="E87" s="15" t="str">
        <f>IFERROR(__xludf.DUMMYFUNCTION("""COMPUTED_VALUE"""),"I love this top. it is very short and hits at a potentially unflattering area if one has wider hips. the fabric and swing to the ""skirt"" is adorable.")</f>
        <v>I love this top. it is very short and hits at a potentially unflattering area if one has wider hips. the fabric and swing to the "skirt" is adorable.</v>
      </c>
      <c r="F87" s="8">
        <f>IFERROR(__xludf.DUMMYFUNCTION("""COMPUTED_VALUE"""),3.0)</f>
        <v>3</v>
      </c>
      <c r="G87" s="8">
        <f>IFERROR(__xludf.DUMMYFUNCTION("""COMPUTED_VALUE"""),1.0)</f>
        <v>1</v>
      </c>
      <c r="H87" s="8">
        <f>IFERROR(__xludf.DUMMYFUNCTION("""COMPUTED_VALUE"""),0.0)</f>
        <v>0</v>
      </c>
      <c r="I87" s="8" t="str">
        <f>IFERROR(__xludf.DUMMYFUNCTION("""COMPUTED_VALUE"""),"General")</f>
        <v>General</v>
      </c>
      <c r="J87" s="8" t="str">
        <f>IFERROR(__xludf.DUMMYFUNCTION("""COMPUTED_VALUE"""),"Tops")</f>
        <v>Tops</v>
      </c>
      <c r="K87" s="8" t="str">
        <f>IFERROR(__xludf.DUMMYFUNCTION("""COMPUTED_VALUE"""),"Knits")</f>
        <v>Knits</v>
      </c>
      <c r="L87" s="8" t="str">
        <f t="shared" si="1"/>
        <v>Size issue----</v>
      </c>
    </row>
    <row r="88">
      <c r="A88" s="8">
        <f>IFERROR(__xludf.DUMMYFUNCTION("""COMPUTED_VALUE"""),1495.0)</f>
        <v>1495</v>
      </c>
      <c r="B88" s="8">
        <f>IFERROR(__xludf.DUMMYFUNCTION("""COMPUTED_VALUE"""),949.0)</f>
        <v>949</v>
      </c>
      <c r="C88" s="8">
        <f>IFERROR(__xludf.DUMMYFUNCTION("""COMPUTED_VALUE"""),35.0)</f>
        <v>35</v>
      </c>
      <c r="D88" s="8" t="str">
        <f>IFERROR(__xludf.DUMMYFUNCTION("""COMPUTED_VALUE"""),"Huge")</f>
        <v>Huge</v>
      </c>
      <c r="E88" s="15" t="str">
        <f>IFERROR(__xludf.DUMMYFUNCTION("""COMPUTED_VALUE"""),"This jacket runs very large. i usually wear an xl but probably could fit into a medium. i have long arms, and the sleeves were way past my hands. i love the jacket, but it's just too sloppy.")</f>
        <v>This jacket runs very large. i usually wear an xl but probably could fit into a medium. i have long arms, and the sleeves were way past my hands. i love the jacket, but it's just too sloppy.</v>
      </c>
      <c r="F88" s="8">
        <f>IFERROR(__xludf.DUMMYFUNCTION("""COMPUTED_VALUE"""),3.0)</f>
        <v>3</v>
      </c>
      <c r="G88" s="8">
        <f>IFERROR(__xludf.DUMMYFUNCTION("""COMPUTED_VALUE"""),1.0)</f>
        <v>1</v>
      </c>
      <c r="H88" s="8">
        <f>IFERROR(__xludf.DUMMYFUNCTION("""COMPUTED_VALUE"""),1.0)</f>
        <v>1</v>
      </c>
      <c r="I88" s="8" t="str">
        <f>IFERROR(__xludf.DUMMYFUNCTION("""COMPUTED_VALUE"""),"General Petite")</f>
        <v>General Petite</v>
      </c>
      <c r="J88" s="8" t="str">
        <f>IFERROR(__xludf.DUMMYFUNCTION("""COMPUTED_VALUE"""),"Tops")</f>
        <v>Tops</v>
      </c>
      <c r="K88" s="8" t="str">
        <f>IFERROR(__xludf.DUMMYFUNCTION("""COMPUTED_VALUE"""),"Sweaters")</f>
        <v>Sweaters</v>
      </c>
      <c r="L88" s="8" t="str">
        <f t="shared" si="1"/>
        <v>Size issue----</v>
      </c>
    </row>
    <row r="89">
      <c r="A89" s="8">
        <f>IFERROR(__xludf.DUMMYFUNCTION("""COMPUTED_VALUE"""),1517.0)</f>
        <v>1517</v>
      </c>
      <c r="B89" s="8">
        <f>IFERROR(__xludf.DUMMYFUNCTION("""COMPUTED_VALUE"""),947.0)</f>
        <v>947</v>
      </c>
      <c r="C89" s="8">
        <f>IFERROR(__xludf.DUMMYFUNCTION("""COMPUTED_VALUE"""),48.0)</f>
        <v>48</v>
      </c>
      <c r="D89" s="8" t="str">
        <f>IFERROR(__xludf.DUMMYFUNCTION("""COMPUTED_VALUE"""),"Beautiful sweater but not flattering on me")</f>
        <v>Beautiful sweater but not flattering on me</v>
      </c>
      <c r="E89" s="15" t="str">
        <f>IFERROR(__xludf.DUMMYFUNCTION("""COMPUTED_VALUE"""),"Really wanted this to worked for me. ordered the s in ivory (the color i really wanted but xs was sold out) and the xs in cedar.  loved the knit and look and quality but the sweater was boxy and huge even in xs.  not flattering on my petite frame (5'2"", "&amp;"115#).  so disappointed as i've been looking for a non-wool sweater like this.")</f>
        <v>Really wanted this to worked for me. ordered the s in ivory (the color i really wanted but xs was sold out) and the xs in cedar.  loved the knit and look and quality but the sweater was boxy and huge even in xs.  not flattering on my petite frame (5'2", 115#).  so disappointed as i've been looking for a non-wool sweater like this.</v>
      </c>
      <c r="F89" s="8">
        <f>IFERROR(__xludf.DUMMYFUNCTION("""COMPUTED_VALUE"""),3.0)</f>
        <v>3</v>
      </c>
      <c r="G89" s="8">
        <f>IFERROR(__xludf.DUMMYFUNCTION("""COMPUTED_VALUE"""),1.0)</f>
        <v>1</v>
      </c>
      <c r="H89" s="8">
        <f>IFERROR(__xludf.DUMMYFUNCTION("""COMPUTED_VALUE"""),0.0)</f>
        <v>0</v>
      </c>
      <c r="I89" s="8" t="str">
        <f>IFERROR(__xludf.DUMMYFUNCTION("""COMPUTED_VALUE"""),"General")</f>
        <v>General</v>
      </c>
      <c r="J89" s="8" t="str">
        <f>IFERROR(__xludf.DUMMYFUNCTION("""COMPUTED_VALUE"""),"Tops")</f>
        <v>Tops</v>
      </c>
      <c r="K89" s="8" t="str">
        <f>IFERROR(__xludf.DUMMYFUNCTION("""COMPUTED_VALUE"""),"Sweaters")</f>
        <v>Sweaters</v>
      </c>
      <c r="L89" s="8" t="str">
        <f t="shared" si="1"/>
        <v>Size issue----</v>
      </c>
    </row>
    <row r="90">
      <c r="A90" s="8">
        <f>IFERROR(__xludf.DUMMYFUNCTION("""COMPUTED_VALUE"""),1522.0)</f>
        <v>1522</v>
      </c>
      <c r="B90" s="8">
        <f>IFERROR(__xludf.DUMMYFUNCTION("""COMPUTED_VALUE"""),424.0)</f>
        <v>424</v>
      </c>
      <c r="C90" s="8">
        <f>IFERROR(__xludf.DUMMYFUNCTION("""COMPUTED_VALUE"""),24.0)</f>
        <v>24</v>
      </c>
      <c r="D90" s="8" t="str">
        <f>IFERROR(__xludf.DUMMYFUNCTION("""COMPUTED_VALUE"""),"Lovely but not for me")</f>
        <v>Lovely but not for me</v>
      </c>
      <c r="E90" s="15" t="str">
        <f>IFERROR(__xludf.DUMMYFUNCTION("""COMPUTED_VALUE"""),"I saw this online and loved it. plus after reading the reviews i thought why not. but if you have a big chest beware. i am a 34ddd and a pretty solid medium. the volumous front of the vest added way to much to me and i sized down to a small. had to return"&amp;".")</f>
        <v>I saw this online and loved it. plus after reading the reviews i thought why not. but if you have a big chest beware. i am a 34ddd and a pretty solid medium. the volumous front of the vest added way to much to me and i sized down to a small. had to return.</v>
      </c>
      <c r="F90" s="8">
        <f>IFERROR(__xludf.DUMMYFUNCTION("""COMPUTED_VALUE"""),3.0)</f>
        <v>3</v>
      </c>
      <c r="G90" s="8">
        <f>IFERROR(__xludf.DUMMYFUNCTION("""COMPUTED_VALUE"""),1.0)</f>
        <v>1</v>
      </c>
      <c r="H90" s="8">
        <f>IFERROR(__xludf.DUMMYFUNCTION("""COMPUTED_VALUE"""),0.0)</f>
        <v>0</v>
      </c>
      <c r="I90" s="8" t="str">
        <f>IFERROR(__xludf.DUMMYFUNCTION("""COMPUTED_VALUE"""),"Initmates")</f>
        <v>Initmates</v>
      </c>
      <c r="J90" s="8" t="str">
        <f>IFERROR(__xludf.DUMMYFUNCTION("""COMPUTED_VALUE"""),"Intimate")</f>
        <v>Intimate</v>
      </c>
      <c r="K90" s="8" t="str">
        <f>IFERROR(__xludf.DUMMYFUNCTION("""COMPUTED_VALUE"""),"Lounge")</f>
        <v>Lounge</v>
      </c>
      <c r="L90" s="8" t="str">
        <f t="shared" si="1"/>
        <v>Size issue----</v>
      </c>
    </row>
    <row r="91">
      <c r="A91" s="8">
        <f>IFERROR(__xludf.DUMMYFUNCTION("""COMPUTED_VALUE"""),1536.0)</f>
        <v>1536</v>
      </c>
      <c r="B91" s="8">
        <f>IFERROR(__xludf.DUMMYFUNCTION("""COMPUTED_VALUE"""),603.0)</f>
        <v>603</v>
      </c>
      <c r="C91" s="8">
        <f>IFERROR(__xludf.DUMMYFUNCTION("""COMPUTED_VALUE"""),51.0)</f>
        <v>51</v>
      </c>
      <c r="D91" s="8" t="str">
        <f>IFERROR(__xludf.DUMMYFUNCTION("""COMPUTED_VALUE"""),"Gorgeous shorts")</f>
        <v>Gorgeous shorts</v>
      </c>
      <c r="E91" s="15" t="str">
        <f>IFERROR(__xludf.DUMMYFUNCTION("""COMPUTED_VALUE"""),"These shorts are just beautiful. with that said, they were expensive, but made reasonable when i snagged them in the online sale! they do also run large, and they seem to be made for short-waisted bodies. i will be bringing them back to my local store to "&amp;"(hopefully) exchange for a smaller size. fingers crossed that they still have them in stock!")</f>
        <v>These shorts are just beautiful. with that said, they were expensive, but made reasonable when i snagged them in the online sale! they do also run large, and they seem to be made for short-waisted bodies. i will be bringing them back to my local store to (hopefully) exchange for a smaller size. fingers crossed that they still have them in stock!</v>
      </c>
      <c r="F91" s="8">
        <f>IFERROR(__xludf.DUMMYFUNCTION("""COMPUTED_VALUE"""),3.0)</f>
        <v>3</v>
      </c>
      <c r="G91" s="8">
        <f>IFERROR(__xludf.DUMMYFUNCTION("""COMPUTED_VALUE"""),1.0)</f>
        <v>1</v>
      </c>
      <c r="H91" s="8">
        <f>IFERROR(__xludf.DUMMYFUNCTION("""COMPUTED_VALUE"""),0.0)</f>
        <v>0</v>
      </c>
      <c r="I91" s="8" t="str">
        <f>IFERROR(__xludf.DUMMYFUNCTION("""COMPUTED_VALUE"""),"General")</f>
        <v>General</v>
      </c>
      <c r="J91" s="8" t="str">
        <f>IFERROR(__xludf.DUMMYFUNCTION("""COMPUTED_VALUE"""),"Bottoms")</f>
        <v>Bottoms</v>
      </c>
      <c r="K91" s="8" t="str">
        <f>IFERROR(__xludf.DUMMYFUNCTION("""COMPUTED_VALUE"""),"Shorts")</f>
        <v>Shorts</v>
      </c>
      <c r="L91" s="8" t="str">
        <f t="shared" si="1"/>
        <v>Size issue---Price issue-</v>
      </c>
    </row>
    <row r="92">
      <c r="A92" s="8">
        <f>IFERROR(__xludf.DUMMYFUNCTION("""COMPUTED_VALUE"""),1551.0)</f>
        <v>1551</v>
      </c>
      <c r="B92" s="8">
        <f>IFERROR(__xludf.DUMMYFUNCTION("""COMPUTED_VALUE"""),1080.0)</f>
        <v>1080</v>
      </c>
      <c r="C92" s="8">
        <f>IFERROR(__xludf.DUMMYFUNCTION("""COMPUTED_VALUE"""),30.0)</f>
        <v>30</v>
      </c>
      <c r="D92" s="8" t="str">
        <f>IFERROR(__xludf.DUMMYFUNCTION("""COMPUTED_VALUE"""),"Nice fall dress but needs the right body type")</f>
        <v>Nice fall dress but needs the right body type</v>
      </c>
      <c r="E92" s="15" t="str">
        <f>IFERROR(__xludf.DUMMYFUNCTION("""COMPUTED_VALUE"""),"The colors of this dress are beautiful and i really wanted to love it but it wasn't cut for my body shape. i think you either need to be curvy to fill out the chest or straight up&amp;down to have it lay flat (as in the model). ordered size 6: 34b, 150 5' 9"""&amp;", tall/slim build. i also think the hi/lo hem of the dress isn't well indicated in the pictures; i'm not a fan of the style and was hoping it would be minimal however the hem is definitely asymmetric.")</f>
        <v>The colors of this dress are beautiful and i really wanted to love it but it wasn't cut for my body shape. i think you either need to be curvy to fill out the chest or straight up&amp;down to have it lay flat (as in the model). ordered size 6: 34b, 150 5' 9", tall/slim build. i also think the hi/lo hem of the dress isn't well indicated in the pictures; i'm not a fan of the style and was hoping it would be minimal however the hem is definitely asymmetric.</v>
      </c>
      <c r="F92" s="8">
        <f>IFERROR(__xludf.DUMMYFUNCTION("""COMPUTED_VALUE"""),3.0)</f>
        <v>3</v>
      </c>
      <c r="G92" s="8">
        <f>IFERROR(__xludf.DUMMYFUNCTION("""COMPUTED_VALUE"""),1.0)</f>
        <v>1</v>
      </c>
      <c r="H92" s="8">
        <f>IFERROR(__xludf.DUMMYFUNCTION("""COMPUTED_VALUE"""),2.0)</f>
        <v>2</v>
      </c>
      <c r="I92" s="8" t="str">
        <f>IFERROR(__xludf.DUMMYFUNCTION("""COMPUTED_VALUE"""),"General")</f>
        <v>General</v>
      </c>
      <c r="J92" s="8" t="str">
        <f>IFERROR(__xludf.DUMMYFUNCTION("""COMPUTED_VALUE"""),"Dresses")</f>
        <v>Dresses</v>
      </c>
      <c r="K92" s="8" t="str">
        <f>IFERROR(__xludf.DUMMYFUNCTION("""COMPUTED_VALUE"""),"Dresses")</f>
        <v>Dresses</v>
      </c>
      <c r="L92" s="8" t="str">
        <f t="shared" si="1"/>
        <v>Size issue--Style issue--Matching Awareness issue</v>
      </c>
    </row>
    <row r="93">
      <c r="A93" s="8">
        <f>IFERROR(__xludf.DUMMYFUNCTION("""COMPUTED_VALUE"""),1562.0)</f>
        <v>1562</v>
      </c>
      <c r="B93" s="8">
        <f>IFERROR(__xludf.DUMMYFUNCTION("""COMPUTED_VALUE"""),1201.0)</f>
        <v>1201</v>
      </c>
      <c r="C93" s="8">
        <f>IFERROR(__xludf.DUMMYFUNCTION("""COMPUTED_VALUE"""),38.0)</f>
        <v>38</v>
      </c>
      <c r="D93" s="8"/>
      <c r="E93" s="15"/>
      <c r="F93" s="8">
        <f>IFERROR(__xludf.DUMMYFUNCTION("""COMPUTED_VALUE"""),3.0)</f>
        <v>3</v>
      </c>
      <c r="G93" s="8">
        <f>IFERROR(__xludf.DUMMYFUNCTION("""COMPUTED_VALUE"""),1.0)</f>
        <v>1</v>
      </c>
      <c r="H93" s="8">
        <f>IFERROR(__xludf.DUMMYFUNCTION("""COMPUTED_VALUE"""),0.0)</f>
        <v>0</v>
      </c>
      <c r="I93" s="8" t="str">
        <f>IFERROR(__xludf.DUMMYFUNCTION("""COMPUTED_VALUE"""),"General")</f>
        <v>General</v>
      </c>
      <c r="J93" s="8" t="str">
        <f>IFERROR(__xludf.DUMMYFUNCTION("""COMPUTED_VALUE"""),"Dresses")</f>
        <v>Dresses</v>
      </c>
      <c r="K93" s="8" t="str">
        <f>IFERROR(__xludf.DUMMYFUNCTION("""COMPUTED_VALUE"""),"Dresses")</f>
        <v>Dresses</v>
      </c>
      <c r="L93" s="8" t="str">
        <f t="shared" si="1"/>
        <v/>
      </c>
    </row>
    <row r="94">
      <c r="A94" s="8">
        <f>IFERROR(__xludf.DUMMYFUNCTION("""COMPUTED_VALUE"""),1564.0)</f>
        <v>1564</v>
      </c>
      <c r="B94" s="8">
        <f>IFERROR(__xludf.DUMMYFUNCTION("""COMPUTED_VALUE"""),864.0)</f>
        <v>864</v>
      </c>
      <c r="C94" s="8">
        <f>IFERROR(__xludf.DUMMYFUNCTION("""COMPUTED_VALUE"""),48.0)</f>
        <v>48</v>
      </c>
      <c r="D94" s="8" t="str">
        <f>IFERROR(__xludf.DUMMYFUNCTION("""COMPUTED_VALUE"""),"Cozy sweater in a boxy style")</f>
        <v>Cozy sweater in a boxy style</v>
      </c>
      <c r="E94" s="15" t="str">
        <f>IFERROR(__xludf.DUMMYFUNCTION("""COMPUTED_VALUE"""),"This would be great on someone with a slim build. it's very true to size, it hits above the hips and runs pretty straight through the body for a boxy look. i loved the color and pointelle detail but on my thicker build it just sort of hung in a too-casual"&amp;" way. note that it is the kind of cotton that is likely to stretch with wear (and spring back with cleaning).")</f>
        <v>This would be great on someone with a slim build. it's very true to size, it hits above the hips and runs pretty straight through the body for a boxy look. i loved the color and pointelle detail but on my thicker build it just sort of hung in a too-casual way. note that it is the kind of cotton that is likely to stretch with wear (and spring back with cleaning).</v>
      </c>
      <c r="F94" s="8">
        <f>IFERROR(__xludf.DUMMYFUNCTION("""COMPUTED_VALUE"""),3.0)</f>
        <v>3</v>
      </c>
      <c r="G94" s="8">
        <f>IFERROR(__xludf.DUMMYFUNCTION("""COMPUTED_VALUE"""),1.0)</f>
        <v>1</v>
      </c>
      <c r="H94" s="8">
        <f>IFERROR(__xludf.DUMMYFUNCTION("""COMPUTED_VALUE"""),6.0)</f>
        <v>6</v>
      </c>
      <c r="I94" s="8" t="str">
        <f>IFERROR(__xludf.DUMMYFUNCTION("""COMPUTED_VALUE"""),"General")</f>
        <v>General</v>
      </c>
      <c r="J94" s="8" t="str">
        <f>IFERROR(__xludf.DUMMYFUNCTION("""COMPUTED_VALUE"""),"Tops")</f>
        <v>Tops</v>
      </c>
      <c r="K94" s="8" t="str">
        <f>IFERROR(__xludf.DUMMYFUNCTION("""COMPUTED_VALUE"""),"Knits")</f>
        <v>Knits</v>
      </c>
      <c r="L94" s="8" t="str">
        <f t="shared" si="1"/>
        <v>Size issue----</v>
      </c>
    </row>
    <row r="95">
      <c r="A95" s="8">
        <f>IFERROR(__xludf.DUMMYFUNCTION("""COMPUTED_VALUE"""),1586.0)</f>
        <v>1586</v>
      </c>
      <c r="B95" s="8">
        <f>IFERROR(__xludf.DUMMYFUNCTION("""COMPUTED_VALUE"""),1059.0)</f>
        <v>1059</v>
      </c>
      <c r="C95" s="8">
        <f>IFERROR(__xludf.DUMMYFUNCTION("""COMPUTED_VALUE"""),72.0)</f>
        <v>72</v>
      </c>
      <c r="D95" s="8" t="str">
        <f>IFERROR(__xludf.DUMMYFUNCTION("""COMPUTED_VALUE"""),"Lovely pants, bad fit")</f>
        <v>Lovely pants, bad fit</v>
      </c>
      <c r="E95" s="15" t="str">
        <f>IFERROR(__xludf.DUMMYFUNCTION("""COMPUTED_VALUE"""),"I ordered these pants in black and brick. the pattern is great, but the sizing and fit are way off. i usually wear an 8 or a medium in retailer. i ordered these pants in a 10, 12, and 12 petite. the 10 actually fit, but there is no stretch in these fitted"&amp;" pants. they were very uncomfortable to walk or sit in. however, if you're standing up all day and not doing much moving around, these pants are perfect! the print is great in both black and brick. i couldn't decide which one i liked best. wish th")</f>
        <v>I ordered these pants in black and brick. the pattern is great, but the sizing and fit are way off. i usually wear an 8 or a medium in retailer. i ordered these pants in a 10, 12, and 12 petite. the 10 actually fit, but there is no stretch in these fitted pants. they were very uncomfortable to walk or sit in. however, if you're standing up all day and not doing much moving around, these pants are perfect! the print is great in both black and brick. i couldn't decide which one i liked best. wish th</v>
      </c>
      <c r="F95" s="8">
        <f>IFERROR(__xludf.DUMMYFUNCTION("""COMPUTED_VALUE"""),3.0)</f>
        <v>3</v>
      </c>
      <c r="G95" s="8">
        <f>IFERROR(__xludf.DUMMYFUNCTION("""COMPUTED_VALUE"""),1.0)</f>
        <v>1</v>
      </c>
      <c r="H95" s="8">
        <f>IFERROR(__xludf.DUMMYFUNCTION("""COMPUTED_VALUE"""),3.0)</f>
        <v>3</v>
      </c>
      <c r="I95" s="8" t="str">
        <f>IFERROR(__xludf.DUMMYFUNCTION("""COMPUTED_VALUE"""),"General")</f>
        <v>General</v>
      </c>
      <c r="J95" s="8" t="str">
        <f>IFERROR(__xludf.DUMMYFUNCTION("""COMPUTED_VALUE"""),"Bottoms")</f>
        <v>Bottoms</v>
      </c>
      <c r="K95" s="8" t="str">
        <f>IFERROR(__xludf.DUMMYFUNCTION("""COMPUTED_VALUE"""),"Pants")</f>
        <v>Pants</v>
      </c>
      <c r="L95" s="8" t="str">
        <f t="shared" si="1"/>
        <v>-Fabric issue---</v>
      </c>
    </row>
    <row r="96">
      <c r="A96" s="8">
        <f>IFERROR(__xludf.DUMMYFUNCTION("""COMPUTED_VALUE"""),1595.0)</f>
        <v>1595</v>
      </c>
      <c r="B96" s="8">
        <f>IFERROR(__xludf.DUMMYFUNCTION("""COMPUTED_VALUE"""),115.0)</f>
        <v>115</v>
      </c>
      <c r="C96" s="8">
        <f>IFERROR(__xludf.DUMMYFUNCTION("""COMPUTED_VALUE"""),41.0)</f>
        <v>41</v>
      </c>
      <c r="D96" s="8" t="str">
        <f>IFERROR(__xludf.DUMMYFUNCTION("""COMPUTED_VALUE"""),"On the fence")</f>
        <v>On the fence</v>
      </c>
      <c r="E96" s="15" t="str">
        <f>IFERROR(__xludf.DUMMYFUNCTION("""COMPUTED_VALUE"""),"I *loved* the brown color on the model, and i love the wrap style in general. however, i'm not sure if the color looks as goon on me. i first ordered my standard size small (5'7"", 137 lbs 32 b), which fit, but exchanged it for the looser fit (medium) sho"&amp;"wn in the pictures. i really like that the material is a thin, but not see through cotton. it has an extra cotton layer lining in front which is nice. the v isn't too low on me, so i don't *have* to wear a cami under. not really crazy about the s")</f>
        <v>I *loved* the brown color on the model, and i love the wrap style in general. however, i'm not sure if the color looks as goon on me. i first ordered my standard size small (5'7", 137 lbs 32 b), which fit, but exchanged it for the looser fit (medium) shown in the pictures. i really like that the material is a thin, but not see through cotton. it has an extra cotton layer lining in front which is nice. the v isn't too low on me, so i don't *have* to wear a cami under. not really crazy about the s</v>
      </c>
      <c r="F96" s="8">
        <f>IFERROR(__xludf.DUMMYFUNCTION("""COMPUTED_VALUE"""),3.0)</f>
        <v>3</v>
      </c>
      <c r="G96" s="8">
        <f>IFERROR(__xludf.DUMMYFUNCTION("""COMPUTED_VALUE"""),1.0)</f>
        <v>1</v>
      </c>
      <c r="H96" s="8">
        <f>IFERROR(__xludf.DUMMYFUNCTION("""COMPUTED_VALUE"""),0.0)</f>
        <v>0</v>
      </c>
      <c r="I96" s="8" t="str">
        <f>IFERROR(__xludf.DUMMYFUNCTION("""COMPUTED_VALUE"""),"Initmates")</f>
        <v>Initmates</v>
      </c>
      <c r="J96" s="8" t="str">
        <f>IFERROR(__xludf.DUMMYFUNCTION("""COMPUTED_VALUE"""),"Intimate")</f>
        <v>Intimate</v>
      </c>
      <c r="K96" s="8" t="str">
        <f>IFERROR(__xludf.DUMMYFUNCTION("""COMPUTED_VALUE"""),"Sleep")</f>
        <v>Sleep</v>
      </c>
      <c r="L96" s="8" t="str">
        <f t="shared" si="1"/>
        <v>Size issue-Fabric issue-Style issue--Matching Awareness issue</v>
      </c>
    </row>
    <row r="97">
      <c r="A97" s="8">
        <f>IFERROR(__xludf.DUMMYFUNCTION("""COMPUTED_VALUE"""),1599.0)</f>
        <v>1599</v>
      </c>
      <c r="B97" s="8">
        <f>IFERROR(__xludf.DUMMYFUNCTION("""COMPUTED_VALUE"""),1051.0)</f>
        <v>1051</v>
      </c>
      <c r="C97" s="8">
        <f>IFERROR(__xludf.DUMMYFUNCTION("""COMPUTED_VALUE"""),25.0)</f>
        <v>25</v>
      </c>
      <c r="D97" s="8" t="str">
        <f>IFERROR(__xludf.DUMMYFUNCTION("""COMPUTED_VALUE"""),"Not quite perfect")</f>
        <v>Not quite perfect</v>
      </c>
      <c r="E97" s="15" t="str">
        <f>IFERROR(__xludf.DUMMYFUNCTION("""COMPUTED_VALUE"""),"I really love the look of this jumpsuit, casual but classy. shapely but comfortable. i'm 5'4 and, similar to another reviewer, proportional torso to leg ratio. the legs were longer on me than the model in the picture, but no problem there because they're "&amp;"cuffed.however the arm holes are too big. my bra shows, and the particular one i got came damaged with some of the embroidery coming unraveled on the back. it's also supposed to be dry cleaned and that's annoying for casual wear. returning it.")</f>
        <v>I really love the look of this jumpsuit, casual but classy. shapely but comfortable. i'm 5'4 and, similar to another reviewer, proportional torso to leg ratio. the legs were longer on me than the model in the picture, but no problem there because they're cuffed.however the arm holes are too big. my bra shows, and the particular one i got came damaged with some of the embroidery coming unraveled on the back. it's also supposed to be dry cleaned and that's annoying for casual wear. returning it.</v>
      </c>
      <c r="F97" s="8">
        <f>IFERROR(__xludf.DUMMYFUNCTION("""COMPUTED_VALUE"""),3.0)</f>
        <v>3</v>
      </c>
      <c r="G97" s="8">
        <f>IFERROR(__xludf.DUMMYFUNCTION("""COMPUTED_VALUE"""),1.0)</f>
        <v>1</v>
      </c>
      <c r="H97" s="8">
        <f>IFERROR(__xludf.DUMMYFUNCTION("""COMPUTED_VALUE"""),1.0)</f>
        <v>1</v>
      </c>
      <c r="I97" s="8" t="str">
        <f>IFERROR(__xludf.DUMMYFUNCTION("""COMPUTED_VALUE"""),"General Petite")</f>
        <v>General Petite</v>
      </c>
      <c r="J97" s="8" t="str">
        <f>IFERROR(__xludf.DUMMYFUNCTION("""COMPUTED_VALUE"""),"Bottoms")</f>
        <v>Bottoms</v>
      </c>
      <c r="K97" s="8" t="str">
        <f>IFERROR(__xludf.DUMMYFUNCTION("""COMPUTED_VALUE"""),"Pants")</f>
        <v>Pants</v>
      </c>
      <c r="L97" s="8" t="str">
        <f t="shared" si="1"/>
        <v>Size issue-Fabric issue-Style issue--Matching Awareness issue</v>
      </c>
    </row>
    <row r="98">
      <c r="A98" s="8">
        <f>IFERROR(__xludf.DUMMYFUNCTION("""COMPUTED_VALUE"""),1616.0)</f>
        <v>1616</v>
      </c>
      <c r="B98" s="8">
        <f>IFERROR(__xludf.DUMMYFUNCTION("""COMPUTED_VALUE"""),1059.0)</f>
        <v>1059</v>
      </c>
      <c r="C98" s="8">
        <f>IFERROR(__xludf.DUMMYFUNCTION("""COMPUTED_VALUE"""),85.0)</f>
        <v>85</v>
      </c>
      <c r="D98" s="8" t="str">
        <f>IFERROR(__xludf.DUMMYFUNCTION("""COMPUTED_VALUE"""),"Nice pants if you have super tiny calves")</f>
        <v>Nice pants if you have super tiny calves</v>
      </c>
      <c r="E98" s="15" t="str">
        <f>IFERROR(__xludf.DUMMYFUNCTION("""COMPUTED_VALUE"""),"Unique print but not great execution. the pant legs are very tight, i have average sized calves and i sized up one size. the hook closure was oddly tight and difficult to clasp. when i first saw the color it looked like burnt sienna or a dried blood color"&amp;". too bad this didn't work out.")</f>
        <v>Unique print but not great execution. the pant legs are very tight, i have average sized calves and i sized up one size. the hook closure was oddly tight and difficult to clasp. when i first saw the color it looked like burnt sienna or a dried blood color. too bad this didn't work out.</v>
      </c>
      <c r="F98" s="8">
        <f>IFERROR(__xludf.DUMMYFUNCTION("""COMPUTED_VALUE"""),2.0)</f>
        <v>2</v>
      </c>
      <c r="G98" s="8">
        <f>IFERROR(__xludf.DUMMYFUNCTION("""COMPUTED_VALUE"""),1.0)</f>
        <v>1</v>
      </c>
      <c r="H98" s="8">
        <f>IFERROR(__xludf.DUMMYFUNCTION("""COMPUTED_VALUE"""),2.0)</f>
        <v>2</v>
      </c>
      <c r="I98" s="8" t="str">
        <f>IFERROR(__xludf.DUMMYFUNCTION("""COMPUTED_VALUE"""),"General")</f>
        <v>General</v>
      </c>
      <c r="J98" s="8" t="str">
        <f>IFERROR(__xludf.DUMMYFUNCTION("""COMPUTED_VALUE"""),"Bottoms")</f>
        <v>Bottoms</v>
      </c>
      <c r="K98" s="8" t="str">
        <f>IFERROR(__xludf.DUMMYFUNCTION("""COMPUTED_VALUE"""),"Pants")</f>
        <v>Pants</v>
      </c>
      <c r="L98" s="8" t="str">
        <f t="shared" si="1"/>
        <v>Size issue----</v>
      </c>
    </row>
    <row r="99">
      <c r="A99" s="8">
        <f>IFERROR(__xludf.DUMMYFUNCTION("""COMPUTED_VALUE"""),1621.0)</f>
        <v>1621</v>
      </c>
      <c r="B99" s="8">
        <f>IFERROR(__xludf.DUMMYFUNCTION("""COMPUTED_VALUE"""),833.0)</f>
        <v>833</v>
      </c>
      <c r="C99" s="8">
        <f>IFERROR(__xludf.DUMMYFUNCTION("""COMPUTED_VALUE"""),24.0)</f>
        <v>24</v>
      </c>
      <c r="D99" s="8" t="str">
        <f>IFERROR(__xludf.DUMMYFUNCTION("""COMPUTED_VALUE"""),"A size 2 too big")</f>
        <v>A size 2 too big</v>
      </c>
      <c r="E99" s="15" t="str">
        <f>IFERROR(__xludf.DUMMYFUNCTION("""COMPUTED_VALUE"""),"I am usually a size 2 in tops. i am very, very rarely a size 0, so upon reading other reviews of this top i decided to order the 2 and assumed it would fit the way a 2 usually does. obviously this is designed to be a loose, flowing top. that's why i wante"&amp;"d to order it. however, the 2 is simply too loose in every direction. my primary gripe is that the arm holes are gaping and falling at the side in a way i don't think it intended.
i do really like the styling and quality, so i am planning on")</f>
        <v>I am usually a size 2 in tops. i am very, very rarely a size 0, so upon reading other reviews of this top i decided to order the 2 and assumed it would fit the way a 2 usually does. obviously this is designed to be a loose, flowing top. that's why i wanted to order it. however, the 2 is simply too loose in every direction. my primary gripe is that the arm holes are gaping and falling at the side in a way i don't think it intended.
i do really like the styling and quality, so i am planning on</v>
      </c>
      <c r="F99" s="8">
        <f>IFERROR(__xludf.DUMMYFUNCTION("""COMPUTED_VALUE"""),3.0)</f>
        <v>3</v>
      </c>
      <c r="G99" s="8">
        <f>IFERROR(__xludf.DUMMYFUNCTION("""COMPUTED_VALUE"""),1.0)</f>
        <v>1</v>
      </c>
      <c r="H99" s="8">
        <f>IFERROR(__xludf.DUMMYFUNCTION("""COMPUTED_VALUE"""),0.0)</f>
        <v>0</v>
      </c>
      <c r="I99" s="8" t="str">
        <f>IFERROR(__xludf.DUMMYFUNCTION("""COMPUTED_VALUE"""),"General")</f>
        <v>General</v>
      </c>
      <c r="J99" s="8" t="str">
        <f>IFERROR(__xludf.DUMMYFUNCTION("""COMPUTED_VALUE"""),"Tops")</f>
        <v>Tops</v>
      </c>
      <c r="K99" s="8" t="str">
        <f>IFERROR(__xludf.DUMMYFUNCTION("""COMPUTED_VALUE"""),"Blouses")</f>
        <v>Blouses</v>
      </c>
      <c r="L99" s="8" t="str">
        <f t="shared" si="1"/>
        <v>Size issue-Fabric issue-Style issue--</v>
      </c>
    </row>
    <row r="100">
      <c r="A100" s="8">
        <f>IFERROR(__xludf.DUMMYFUNCTION("""COMPUTED_VALUE"""),1640.0)</f>
        <v>1640</v>
      </c>
      <c r="B100" s="8">
        <f>IFERROR(__xludf.DUMMYFUNCTION("""COMPUTED_VALUE"""),1051.0)</f>
        <v>1051</v>
      </c>
      <c r="C100" s="8">
        <f>IFERROR(__xludf.DUMMYFUNCTION("""COMPUTED_VALUE"""),38.0)</f>
        <v>38</v>
      </c>
      <c r="D100" s="8" t="str">
        <f>IFERROR(__xludf.DUMMYFUNCTION("""COMPUTED_VALUE"""),"Best for tall folks")</f>
        <v>Best for tall folks</v>
      </c>
      <c r="E100" s="15" t="str">
        <f>IFERROR(__xludf.DUMMYFUNCTION("""COMPUTED_VALUE"""),"This jumpsuit is lovely and comfortable, with gorgeous embroidered detailing, but it really needs to come in petite sizes. at 5'4"" with a pretty proportional torso to leg ratio, i found the hem length okay but the top portion way too long. for the waistb"&amp;"and to be anywhere near my natural waist, the shoulders would have had to be taken up several inches and the armholes shortened.")</f>
        <v>This jumpsuit is lovely and comfortable, with gorgeous embroidered detailing, but it really needs to come in petite sizes. at 5'4" with a pretty proportional torso to leg ratio, i found the hem length okay but the top portion way too long. for the waistband to be anywhere near my natural waist, the shoulders would have had to be taken up several inches and the armholes shortened.</v>
      </c>
      <c r="F100" s="8">
        <f>IFERROR(__xludf.DUMMYFUNCTION("""COMPUTED_VALUE"""),3.0)</f>
        <v>3</v>
      </c>
      <c r="G100" s="8">
        <f>IFERROR(__xludf.DUMMYFUNCTION("""COMPUTED_VALUE"""),1.0)</f>
        <v>1</v>
      </c>
      <c r="H100" s="8">
        <f>IFERROR(__xludf.DUMMYFUNCTION("""COMPUTED_VALUE"""),5.0)</f>
        <v>5</v>
      </c>
      <c r="I100" s="8" t="str">
        <f>IFERROR(__xludf.DUMMYFUNCTION("""COMPUTED_VALUE"""),"General Petite")</f>
        <v>General Petite</v>
      </c>
      <c r="J100" s="8" t="str">
        <f>IFERROR(__xludf.DUMMYFUNCTION("""COMPUTED_VALUE"""),"Bottoms")</f>
        <v>Bottoms</v>
      </c>
      <c r="K100" s="8" t="str">
        <f>IFERROR(__xludf.DUMMYFUNCTION("""COMPUTED_VALUE"""),"Pants")</f>
        <v>Pants</v>
      </c>
      <c r="L100" s="8" t="str">
        <f t="shared" si="1"/>
        <v>Size issue-Fabric issue---</v>
      </c>
    </row>
    <row r="101">
      <c r="A101" s="8">
        <f>IFERROR(__xludf.DUMMYFUNCTION("""COMPUTED_VALUE"""),1655.0)</f>
        <v>1655</v>
      </c>
      <c r="B101" s="8">
        <f>IFERROR(__xludf.DUMMYFUNCTION("""COMPUTED_VALUE"""),878.0)</f>
        <v>878</v>
      </c>
      <c r="C101" s="8">
        <f>IFERROR(__xludf.DUMMYFUNCTION("""COMPUTED_VALUE"""),41.0)</f>
        <v>41</v>
      </c>
      <c r="D101" s="8" t="str">
        <f>IFERROR(__xludf.DUMMYFUNCTION("""COMPUTED_VALUE"""),"Loved it but big")</f>
        <v>Loved it but big</v>
      </c>
      <c r="E101" s="15" t="str">
        <f>IFERROR(__xludf.DUMMYFUNCTION("""COMPUTED_VALUE"""),"This runs really big. i usually wear s or m so i got a small but i need the xs in this top and it is sold out. i don't have a store close by (about an hour away) and i hate paying shipping for returns! i will either have to plan a trip to the store or try"&amp;" to exchange for size over the phone. i debated keeping the small but it is really too big .... i love the style though!")</f>
        <v>This runs really big. i usually wear s or m so i got a small but i need the xs in this top and it is sold out. i don't have a store close by (about an hour away) and i hate paying shipping for returns! i will either have to plan a trip to the store or try to exchange for size over the phone. i debated keeping the small but it is really too big .... i love the style though!</v>
      </c>
      <c r="F101" s="8">
        <f>IFERROR(__xludf.DUMMYFUNCTION("""COMPUTED_VALUE"""),3.0)</f>
        <v>3</v>
      </c>
      <c r="G101" s="8">
        <f>IFERROR(__xludf.DUMMYFUNCTION("""COMPUTED_VALUE"""),1.0)</f>
        <v>1</v>
      </c>
      <c r="H101" s="8">
        <f>IFERROR(__xludf.DUMMYFUNCTION("""COMPUTED_VALUE"""),0.0)</f>
        <v>0</v>
      </c>
      <c r="I101" s="8" t="str">
        <f>IFERROR(__xludf.DUMMYFUNCTION("""COMPUTED_VALUE"""),"General")</f>
        <v>General</v>
      </c>
      <c r="J101" s="8" t="str">
        <f>IFERROR(__xludf.DUMMYFUNCTION("""COMPUTED_VALUE"""),"Tops")</f>
        <v>Tops</v>
      </c>
      <c r="K101" s="8" t="str">
        <f>IFERROR(__xludf.DUMMYFUNCTION("""COMPUTED_VALUE"""),"Knits")</f>
        <v>Knits</v>
      </c>
      <c r="L101" s="8" t="str">
        <f t="shared" si="1"/>
        <v>Size issue----</v>
      </c>
    </row>
    <row r="102">
      <c r="A102" s="8">
        <f>IFERROR(__xludf.DUMMYFUNCTION("""COMPUTED_VALUE"""),1661.0)</f>
        <v>1661</v>
      </c>
      <c r="B102" s="8">
        <f>IFERROR(__xludf.DUMMYFUNCTION("""COMPUTED_VALUE"""),835.0)</f>
        <v>835</v>
      </c>
      <c r="C102" s="8">
        <f>IFERROR(__xludf.DUMMYFUNCTION("""COMPUTED_VALUE"""),49.0)</f>
        <v>49</v>
      </c>
      <c r="D102" s="8" t="str">
        <f>IFERROR(__xludf.DUMMYFUNCTION("""COMPUTED_VALUE"""),"Shoulders are puffy")</f>
        <v>Shoulders are puffy</v>
      </c>
      <c r="E102" s="15" t="str">
        <f>IFERROR(__xludf.DUMMYFUNCTION("""COMPUTED_VALUE"""),"This is a beautiful beaded shirt. the quality seems good. i just didn't like the shoulders. they are pleated and puffy. the picture doesn't really show them very well. also the collar is a little floppy. i was hoping it would have an option to stand up bu"&amp;"t that is not the case. the beading is well done and looks to be stable. i just thought it ran a little large and the shoulders looked puffy. i returned it.")</f>
        <v>This is a beautiful beaded shirt. the quality seems good. i just didn't like the shoulders. they are pleated and puffy. the picture doesn't really show them very well. also the collar is a little floppy. i was hoping it would have an option to stand up but that is not the case. the beading is well done and looks to be stable. i just thought it ran a little large and the shoulders looked puffy. i returned it.</v>
      </c>
      <c r="F102" s="8">
        <f>IFERROR(__xludf.DUMMYFUNCTION("""COMPUTED_VALUE"""),3.0)</f>
        <v>3</v>
      </c>
      <c r="G102" s="8">
        <f>IFERROR(__xludf.DUMMYFUNCTION("""COMPUTED_VALUE"""),1.0)</f>
        <v>1</v>
      </c>
      <c r="H102" s="8">
        <f>IFERROR(__xludf.DUMMYFUNCTION("""COMPUTED_VALUE"""),1.0)</f>
        <v>1</v>
      </c>
      <c r="I102" s="8" t="str">
        <f>IFERROR(__xludf.DUMMYFUNCTION("""COMPUTED_VALUE"""),"General Petite")</f>
        <v>General Petite</v>
      </c>
      <c r="J102" s="8" t="str">
        <f>IFERROR(__xludf.DUMMYFUNCTION("""COMPUTED_VALUE"""),"Tops")</f>
        <v>Tops</v>
      </c>
      <c r="K102" s="8" t="str">
        <f>IFERROR(__xludf.DUMMYFUNCTION("""COMPUTED_VALUE"""),"Blouses")</f>
        <v>Blouses</v>
      </c>
      <c r="L102" s="8" t="str">
        <f t="shared" si="1"/>
        <v>Size issue----</v>
      </c>
    </row>
    <row r="103">
      <c r="A103" s="8">
        <f>IFERROR(__xludf.DUMMYFUNCTION("""COMPUTED_VALUE"""),1690.0)</f>
        <v>1690</v>
      </c>
      <c r="B103" s="8">
        <f>IFERROR(__xludf.DUMMYFUNCTION("""COMPUTED_VALUE"""),862.0)</f>
        <v>862</v>
      </c>
      <c r="C103" s="8">
        <f>IFERROR(__xludf.DUMMYFUNCTION("""COMPUTED_VALUE"""),33.0)</f>
        <v>33</v>
      </c>
      <c r="D103" s="8" t="str">
        <f>IFERROR(__xludf.DUMMYFUNCTION("""COMPUTED_VALUE"""),"Beautiful but has flaws")</f>
        <v>Beautiful but has flaws</v>
      </c>
      <c r="E103" s="15" t="str">
        <f>IFERROR(__xludf.DUMMYFUNCTION("""COMPUTED_VALUE"""),"This top is just as beautiful in person as online. however, it has two issues for me. 1. it is too short. this might work if you have a short torso, but it would forever show my stomach. 2. the fabric has way too much static cling. no matter what i tried,"&amp;" it just clung to my stomach and flared out at the sides. not attractive. in short, if you have a short torso and don't mind battling the static, this truly is a beautiful top.")</f>
        <v>This top is just as beautiful in person as online. however, it has two issues for me. 1. it is too short. this might work if you have a short torso, but it would forever show my stomach. 2. the fabric has way too much static cling. no matter what i tried, it just clung to my stomach and flared out at the sides. not attractive. in short, if you have a short torso and don't mind battling the static, this truly is a beautiful top.</v>
      </c>
      <c r="F103" s="8">
        <f>IFERROR(__xludf.DUMMYFUNCTION("""COMPUTED_VALUE"""),3.0)</f>
        <v>3</v>
      </c>
      <c r="G103" s="8">
        <f>IFERROR(__xludf.DUMMYFUNCTION("""COMPUTED_VALUE"""),1.0)</f>
        <v>1</v>
      </c>
      <c r="H103" s="8">
        <f>IFERROR(__xludf.DUMMYFUNCTION("""COMPUTED_VALUE"""),1.0)</f>
        <v>1</v>
      </c>
      <c r="I103" s="8" t="str">
        <f>IFERROR(__xludf.DUMMYFUNCTION("""COMPUTED_VALUE"""),"General")</f>
        <v>General</v>
      </c>
      <c r="J103" s="8" t="str">
        <f>IFERROR(__xludf.DUMMYFUNCTION("""COMPUTED_VALUE"""),"Tops")</f>
        <v>Tops</v>
      </c>
      <c r="K103" s="8" t="str">
        <f>IFERROR(__xludf.DUMMYFUNCTION("""COMPUTED_VALUE"""),"Knits")</f>
        <v>Knits</v>
      </c>
      <c r="L103" s="8" t="str">
        <f t="shared" si="1"/>
        <v>Size issue----</v>
      </c>
    </row>
    <row r="104">
      <c r="A104" s="8">
        <f>IFERROR(__xludf.DUMMYFUNCTION("""COMPUTED_VALUE"""),1706.0)</f>
        <v>1706</v>
      </c>
      <c r="B104" s="8">
        <f>IFERROR(__xludf.DUMMYFUNCTION("""COMPUTED_VALUE"""),860.0)</f>
        <v>860</v>
      </c>
      <c r="C104" s="8">
        <f>IFERROR(__xludf.DUMMYFUNCTION("""COMPUTED_VALUE"""),29.0)</f>
        <v>29</v>
      </c>
      <c r="D104" s="8" t="str">
        <f>IFERROR(__xludf.DUMMYFUNCTION("""COMPUTED_VALUE"""),"Nice structure")</f>
        <v>Nice structure</v>
      </c>
      <c r="E104" s="15" t="str">
        <f>IFERROR(__xludf.DUMMYFUNCTION("""COMPUTED_VALUE"""),"Good structure and quality; a bit large and wish i had ordered something a bit brighter! (i ordered the white tee.)")</f>
        <v>Good structure and quality; a bit large and wish i had ordered something a bit brighter! (i ordered the white tee.)</v>
      </c>
      <c r="F104" s="8">
        <f>IFERROR(__xludf.DUMMYFUNCTION("""COMPUTED_VALUE"""),3.0)</f>
        <v>3</v>
      </c>
      <c r="G104" s="8">
        <f>IFERROR(__xludf.DUMMYFUNCTION("""COMPUTED_VALUE"""),1.0)</f>
        <v>1</v>
      </c>
      <c r="H104" s="8">
        <f>IFERROR(__xludf.DUMMYFUNCTION("""COMPUTED_VALUE"""),1.0)</f>
        <v>1</v>
      </c>
      <c r="I104" s="8" t="str">
        <f>IFERROR(__xludf.DUMMYFUNCTION("""COMPUTED_VALUE"""),"General Petite")</f>
        <v>General Petite</v>
      </c>
      <c r="J104" s="8" t="str">
        <f>IFERROR(__xludf.DUMMYFUNCTION("""COMPUTED_VALUE"""),"Tops")</f>
        <v>Tops</v>
      </c>
      <c r="K104" s="8" t="str">
        <f>IFERROR(__xludf.DUMMYFUNCTION("""COMPUTED_VALUE"""),"Knits")</f>
        <v>Knits</v>
      </c>
      <c r="L104" s="8" t="str">
        <f t="shared" si="1"/>
        <v>Size issue----</v>
      </c>
    </row>
    <row r="105">
      <c r="A105" s="8">
        <f>IFERROR(__xludf.DUMMYFUNCTION("""COMPUTED_VALUE"""),1731.0)</f>
        <v>1731</v>
      </c>
      <c r="B105" s="8">
        <f>IFERROR(__xludf.DUMMYFUNCTION("""COMPUTED_VALUE"""),862.0)</f>
        <v>862</v>
      </c>
      <c r="C105" s="8">
        <f>IFERROR(__xludf.DUMMYFUNCTION("""COMPUTED_VALUE"""),59.0)</f>
        <v>59</v>
      </c>
      <c r="D105" s="8" t="str">
        <f>IFERROR(__xludf.DUMMYFUNCTION("""COMPUTED_VALUE"""),"Good everyday shirt")</f>
        <v>Good everyday shirt</v>
      </c>
      <c r="E105" s="15" t="str">
        <f>IFERROR(__xludf.DUMMYFUNCTION("""COMPUTED_VALUE"""),"I'm glad this was on sale because i would not have purchased it at full price due to the strange fit in the sleeve. the shirt has a slight raglan sleeve, but the sleeves do not fit loosely, they kind of twist under the armpit area. i do not have large arm"&amp;"s, so i am ok with straightening out the knit sleeves, but they do not fit right. i also was surprised at the unfinished edge along the neckline. it is messy and tacky looking, but i think that is how it was meant to be. my recommendation to buy")</f>
        <v>I'm glad this was on sale because i would not have purchased it at full price due to the strange fit in the sleeve. the shirt has a slight raglan sleeve, but the sleeves do not fit loosely, they kind of twist under the armpit area. i do not have large arms, so i am ok with straightening out the knit sleeves, but they do not fit right. i also was surprised at the unfinished edge along the neckline. it is messy and tacky looking, but i think that is how it was meant to be. my recommendation to buy</v>
      </c>
      <c r="F105" s="8">
        <f>IFERROR(__xludf.DUMMYFUNCTION("""COMPUTED_VALUE"""),3.0)</f>
        <v>3</v>
      </c>
      <c r="G105" s="8">
        <f>IFERROR(__xludf.DUMMYFUNCTION("""COMPUTED_VALUE"""),1.0)</f>
        <v>1</v>
      </c>
      <c r="H105" s="8">
        <f>IFERROR(__xludf.DUMMYFUNCTION("""COMPUTED_VALUE"""),0.0)</f>
        <v>0</v>
      </c>
      <c r="I105" s="8" t="str">
        <f>IFERROR(__xludf.DUMMYFUNCTION("""COMPUTED_VALUE"""),"General")</f>
        <v>General</v>
      </c>
      <c r="J105" s="8" t="str">
        <f>IFERROR(__xludf.DUMMYFUNCTION("""COMPUTED_VALUE"""),"Tops")</f>
        <v>Tops</v>
      </c>
      <c r="K105" s="8" t="str">
        <f>IFERROR(__xludf.DUMMYFUNCTION("""COMPUTED_VALUE"""),"Knits")</f>
        <v>Knits</v>
      </c>
      <c r="L105" s="8" t="str">
        <f t="shared" si="1"/>
        <v>Size issue--Style issue--</v>
      </c>
    </row>
    <row r="106">
      <c r="A106" s="8">
        <f>IFERROR(__xludf.DUMMYFUNCTION("""COMPUTED_VALUE"""),1744.0)</f>
        <v>1744</v>
      </c>
      <c r="B106" s="8">
        <f>IFERROR(__xludf.DUMMYFUNCTION("""COMPUTED_VALUE"""),830.0)</f>
        <v>830</v>
      </c>
      <c r="C106" s="8">
        <f>IFERROR(__xludf.DUMMYFUNCTION("""COMPUTED_VALUE"""),60.0)</f>
        <v>60</v>
      </c>
      <c r="D106" s="8" t="str">
        <f>IFERROR(__xludf.DUMMYFUNCTION("""COMPUTED_VALUE"""),"Off the shoulder elastic issues")</f>
        <v>Off the shoulder elastic issues</v>
      </c>
      <c r="E106" s="15" t="str">
        <f>IFERROR(__xludf.DUMMYFUNCTION("""COMPUTED_VALUE"""),"The problem with off the shoulder tops is that the neckline is totally elastisized , therefore upon any movement of your arms the top pops above your shoulders making it go from stylish to matronly . the only elastic should be right at the shoulders , the"&amp;" rest of the neckline should be a simple finished hem. .")</f>
        <v>The problem with off the shoulder tops is that the neckline is totally elastisized , therefore upon any movement of your arms the top pops above your shoulders making it go from stylish to matronly . the only elastic should be right at the shoulders , the rest of the neckline should be a simple finished hem. .</v>
      </c>
      <c r="F106" s="8">
        <f>IFERROR(__xludf.DUMMYFUNCTION("""COMPUTED_VALUE"""),3.0)</f>
        <v>3</v>
      </c>
      <c r="G106" s="8">
        <f>IFERROR(__xludf.DUMMYFUNCTION("""COMPUTED_VALUE"""),1.0)</f>
        <v>1</v>
      </c>
      <c r="H106" s="8">
        <f>IFERROR(__xludf.DUMMYFUNCTION("""COMPUTED_VALUE"""),13.0)</f>
        <v>13</v>
      </c>
      <c r="I106" s="8" t="str">
        <f>IFERROR(__xludf.DUMMYFUNCTION("""COMPUTED_VALUE"""),"General Petite")</f>
        <v>General Petite</v>
      </c>
      <c r="J106" s="8" t="str">
        <f>IFERROR(__xludf.DUMMYFUNCTION("""COMPUTED_VALUE"""),"Tops")</f>
        <v>Tops</v>
      </c>
      <c r="K106" s="8" t="str">
        <f>IFERROR(__xludf.DUMMYFUNCTION("""COMPUTED_VALUE"""),"Blouses")</f>
        <v>Blouses</v>
      </c>
      <c r="L106" s="8" t="str">
        <f t="shared" si="1"/>
        <v>Size issue----</v>
      </c>
    </row>
    <row r="107">
      <c r="A107" s="8">
        <f>IFERROR(__xludf.DUMMYFUNCTION("""COMPUTED_VALUE"""),1748.0)</f>
        <v>1748</v>
      </c>
      <c r="B107" s="8">
        <f>IFERROR(__xludf.DUMMYFUNCTION("""COMPUTED_VALUE"""),1008.0)</f>
        <v>1008</v>
      </c>
      <c r="C107" s="8">
        <f>IFERROR(__xludf.DUMMYFUNCTION("""COMPUTED_VALUE"""),32.0)</f>
        <v>32</v>
      </c>
      <c r="D107" s="8" t="str">
        <f>IFERROR(__xludf.DUMMYFUNCTION("""COMPUTED_VALUE"""),"A little long")</f>
        <v>A little long</v>
      </c>
      <c r="E107" s="15" t="str">
        <f>IFERROR(__xludf.DUMMYFUNCTION("""COMPUTED_VALUE"""),"I can't figure out if this skirt is supposed to be high-waisted (if so, it's too big but the length works), or if it's supposed to sit on my hips (fits well but too long). but the material is really comfortable, and the design is different in a good way.")</f>
        <v>I can't figure out if this skirt is supposed to be high-waisted (if so, it's too big but the length works), or if it's supposed to sit on my hips (fits well but too long). but the material is really comfortable, and the design is different in a good way.</v>
      </c>
      <c r="F107" s="8">
        <f>IFERROR(__xludf.DUMMYFUNCTION("""COMPUTED_VALUE"""),3.0)</f>
        <v>3</v>
      </c>
      <c r="G107" s="8">
        <f>IFERROR(__xludf.DUMMYFUNCTION("""COMPUTED_VALUE"""),1.0)</f>
        <v>1</v>
      </c>
      <c r="H107" s="8">
        <f>IFERROR(__xludf.DUMMYFUNCTION("""COMPUTED_VALUE"""),0.0)</f>
        <v>0</v>
      </c>
      <c r="I107" s="8" t="str">
        <f>IFERROR(__xludf.DUMMYFUNCTION("""COMPUTED_VALUE"""),"General Petite")</f>
        <v>General Petite</v>
      </c>
      <c r="J107" s="8" t="str">
        <f>IFERROR(__xludf.DUMMYFUNCTION("""COMPUTED_VALUE"""),"Bottoms")</f>
        <v>Bottoms</v>
      </c>
      <c r="K107" s="8" t="str">
        <f>IFERROR(__xludf.DUMMYFUNCTION("""COMPUTED_VALUE"""),"Skirts")</f>
        <v>Skirts</v>
      </c>
      <c r="L107" s="8" t="str">
        <f t="shared" si="1"/>
        <v>Size issue-Fabric issue-Style issue--</v>
      </c>
    </row>
    <row r="108">
      <c r="A108" s="8">
        <f>IFERROR(__xludf.DUMMYFUNCTION("""COMPUTED_VALUE"""),1773.0)</f>
        <v>1773</v>
      </c>
      <c r="B108" s="8">
        <f>IFERROR(__xludf.DUMMYFUNCTION("""COMPUTED_VALUE"""),1095.0)</f>
        <v>1095</v>
      </c>
      <c r="C108" s="8">
        <f>IFERROR(__xludf.DUMMYFUNCTION("""COMPUTED_VALUE"""),26.0)</f>
        <v>26</v>
      </c>
      <c r="D108" s="8" t="str">
        <f>IFERROR(__xludf.DUMMYFUNCTION("""COMPUTED_VALUE"""),"Cute!")</f>
        <v>Cute!</v>
      </c>
      <c r="E108" s="15" t="str">
        <f>IFERROR(__xludf.DUMMYFUNCTION("""COMPUTED_VALUE"""),"This dress is very cute and fits quite well. you don't have to wear a bra with it, which is awesome, and it has delightful pockets. the downside is that the fabric on the top half is a little weird. it is very heavy and stiff. also, the inside has some fr"&amp;"aying and the quality does not seem to be the best. i'm keeping it though.")</f>
        <v>This dress is very cute and fits quite well. you don't have to wear a bra with it, which is awesome, and it has delightful pockets. the downside is that the fabric on the top half is a little weird. it is very heavy and stiff. also, the inside has some fraying and the quality does not seem to be the best. i'm keeping it though.</v>
      </c>
      <c r="F108" s="8">
        <f>IFERROR(__xludf.DUMMYFUNCTION("""COMPUTED_VALUE"""),3.0)</f>
        <v>3</v>
      </c>
      <c r="G108" s="8">
        <f>IFERROR(__xludf.DUMMYFUNCTION("""COMPUTED_VALUE"""),1.0)</f>
        <v>1</v>
      </c>
      <c r="H108" s="8">
        <f>IFERROR(__xludf.DUMMYFUNCTION("""COMPUTED_VALUE"""),1.0)</f>
        <v>1</v>
      </c>
      <c r="I108" s="8" t="str">
        <f>IFERROR(__xludf.DUMMYFUNCTION("""COMPUTED_VALUE"""),"General Petite")</f>
        <v>General Petite</v>
      </c>
      <c r="J108" s="8" t="str">
        <f>IFERROR(__xludf.DUMMYFUNCTION("""COMPUTED_VALUE"""),"Dresses")</f>
        <v>Dresses</v>
      </c>
      <c r="K108" s="8" t="str">
        <f>IFERROR(__xludf.DUMMYFUNCTION("""COMPUTED_VALUE"""),"Dresses")</f>
        <v>Dresses</v>
      </c>
      <c r="L108" s="8" t="str">
        <f t="shared" si="1"/>
        <v>-Fabric issue---</v>
      </c>
    </row>
    <row r="109">
      <c r="A109" s="8">
        <f>IFERROR(__xludf.DUMMYFUNCTION("""COMPUTED_VALUE"""),1780.0)</f>
        <v>1780</v>
      </c>
      <c r="B109" s="8">
        <f>IFERROR(__xludf.DUMMYFUNCTION("""COMPUTED_VALUE"""),867.0)</f>
        <v>867</v>
      </c>
      <c r="C109" s="8">
        <f>IFERROR(__xludf.DUMMYFUNCTION("""COMPUTED_VALUE"""),73.0)</f>
        <v>73</v>
      </c>
      <c r="D109" s="8" t="str">
        <f>IFERROR(__xludf.DUMMYFUNCTION("""COMPUTED_VALUE"""),"Wish it fit better for me")</f>
        <v>Wish it fit better for me</v>
      </c>
      <c r="E109" s="15" t="str">
        <f>IFERROR(__xludf.DUMMYFUNCTION("""COMPUTED_VALUE"""),"I wish that it had fit me better as the feel of the fabric and the color were great! regrettably, i am sending it back as the v opening is too low for my tastes and the fabric on the left of the first layer drapes weird on me. i am usually a s or m and in"&amp;" this top the s was plenty of length and room, would be swimming in a m. the fabric was soft and felt great against your skin and not thin as some fabrics can be. the color was just as shown and beautiful. hope it works for some of you out there")</f>
        <v>I wish that it had fit me better as the feel of the fabric and the color were great! regrettably, i am sending it back as the v opening is too low for my tastes and the fabric on the left of the first layer drapes weird on me. i am usually a s or m and in this top the s was plenty of length and room, would be swimming in a m. the fabric was soft and felt great against your skin and not thin as some fabrics can be. the color was just as shown and beautiful. hope it works for some of you out there</v>
      </c>
      <c r="F109" s="8">
        <f>IFERROR(__xludf.DUMMYFUNCTION("""COMPUTED_VALUE"""),3.0)</f>
        <v>3</v>
      </c>
      <c r="G109" s="8">
        <f>IFERROR(__xludf.DUMMYFUNCTION("""COMPUTED_VALUE"""),1.0)</f>
        <v>1</v>
      </c>
      <c r="H109" s="8">
        <f>IFERROR(__xludf.DUMMYFUNCTION("""COMPUTED_VALUE"""),10.0)</f>
        <v>10</v>
      </c>
      <c r="I109" s="8" t="str">
        <f>IFERROR(__xludf.DUMMYFUNCTION("""COMPUTED_VALUE"""),"General")</f>
        <v>General</v>
      </c>
      <c r="J109" s="8" t="str">
        <f>IFERROR(__xludf.DUMMYFUNCTION("""COMPUTED_VALUE"""),"Tops")</f>
        <v>Tops</v>
      </c>
      <c r="K109" s="8" t="str">
        <f>IFERROR(__xludf.DUMMYFUNCTION("""COMPUTED_VALUE"""),"Knits")</f>
        <v>Knits</v>
      </c>
      <c r="L109" s="8" t="str">
        <f t="shared" si="1"/>
        <v>----</v>
      </c>
    </row>
    <row r="110">
      <c r="A110" s="8">
        <f>IFERROR(__xludf.DUMMYFUNCTION("""COMPUTED_VALUE"""),1789.0)</f>
        <v>1789</v>
      </c>
      <c r="B110" s="8">
        <f>IFERROR(__xludf.DUMMYFUNCTION("""COMPUTED_VALUE"""),1095.0)</f>
        <v>1095</v>
      </c>
      <c r="C110" s="8">
        <f>IFERROR(__xludf.DUMMYFUNCTION("""COMPUTED_VALUE"""),30.0)</f>
        <v>30</v>
      </c>
      <c r="D110" s="8" t="str">
        <f>IFERROR(__xludf.DUMMYFUNCTION("""COMPUTED_VALUE"""),"So great - but quality not amazing")</f>
        <v>So great - but quality not amazing</v>
      </c>
      <c r="E110" s="15" t="str">
        <f>IFERROR(__xludf.DUMMYFUNCTION("""COMPUTED_VALUE"""),"So, so cute. totally flattering. but the seams don't lie flat and there are loose threads all over the place. i've had issues with quality from retailer for a while (random holes in things) and was disappointed this fit that bill. i'm keeping it anyway be"&amp;"cause it's so cute!")</f>
        <v>So, so cute. totally flattering. but the seams don't lie flat and there are loose threads all over the place. i've had issues with quality from retailer for a while (random holes in things) and was disappointed this fit that bill. i'm keeping it anyway because it's so cute!</v>
      </c>
      <c r="F110" s="8">
        <f>IFERROR(__xludf.DUMMYFUNCTION("""COMPUTED_VALUE"""),3.0)</f>
        <v>3</v>
      </c>
      <c r="G110" s="8">
        <f>IFERROR(__xludf.DUMMYFUNCTION("""COMPUTED_VALUE"""),1.0)</f>
        <v>1</v>
      </c>
      <c r="H110" s="8">
        <f>IFERROR(__xludf.DUMMYFUNCTION("""COMPUTED_VALUE"""),27.0)</f>
        <v>27</v>
      </c>
      <c r="I110" s="8" t="str">
        <f>IFERROR(__xludf.DUMMYFUNCTION("""COMPUTED_VALUE"""),"General Petite")</f>
        <v>General Petite</v>
      </c>
      <c r="J110" s="8" t="str">
        <f>IFERROR(__xludf.DUMMYFUNCTION("""COMPUTED_VALUE"""),"Dresses")</f>
        <v>Dresses</v>
      </c>
      <c r="K110" s="8" t="str">
        <f>IFERROR(__xludf.DUMMYFUNCTION("""COMPUTED_VALUE"""),"Dresses")</f>
        <v>Dresses</v>
      </c>
      <c r="L110" s="8" t="str">
        <f t="shared" si="1"/>
        <v>-Fabric issue-Style issue--</v>
      </c>
    </row>
    <row r="111">
      <c r="A111" s="8">
        <f>IFERROR(__xludf.DUMMYFUNCTION("""COMPUTED_VALUE"""),1814.0)</f>
        <v>1814</v>
      </c>
      <c r="B111" s="8">
        <f>IFERROR(__xludf.DUMMYFUNCTION("""COMPUTED_VALUE"""),481.0)</f>
        <v>481</v>
      </c>
      <c r="C111" s="8">
        <f>IFERROR(__xludf.DUMMYFUNCTION("""COMPUTED_VALUE"""),31.0)</f>
        <v>31</v>
      </c>
      <c r="D111" s="8"/>
      <c r="E111" s="15" t="str">
        <f>IFERROR(__xludf.DUMMYFUNCTION("""COMPUTED_VALUE"""),"It really is such a cute romper. took it on s trip to italy and it was airy and comfortable. that is in till i washed it. i'm in europe so there aren't dryers... washed it in cold water, line-dried it and it shrunk. significantly. it still fits but the to"&amp;"p doesn't blouse over like it previously did. and the shorts feel really short. so disappointed. my advice would be to hand wash it in very cold water")</f>
        <v>It really is such a cute romper. took it on s trip to italy and it was airy and comfortable. that is in till i washed it. i'm in europe so there aren't dryers... washed it in cold water, line-dried it and it shrunk. significantly. it still fits but the top doesn't blouse over like it previously did. and the shorts feel really short. so disappointed. my advice would be to hand wash it in very cold water</v>
      </c>
      <c r="F111" s="8">
        <f>IFERROR(__xludf.DUMMYFUNCTION("""COMPUTED_VALUE"""),3.0)</f>
        <v>3</v>
      </c>
      <c r="G111" s="8">
        <f>IFERROR(__xludf.DUMMYFUNCTION("""COMPUTED_VALUE"""),1.0)</f>
        <v>1</v>
      </c>
      <c r="H111" s="8">
        <f>IFERROR(__xludf.DUMMYFUNCTION("""COMPUTED_VALUE"""),1.0)</f>
        <v>1</v>
      </c>
      <c r="I111" s="8" t="str">
        <f>IFERROR(__xludf.DUMMYFUNCTION("""COMPUTED_VALUE"""),"General Petite")</f>
        <v>General Petite</v>
      </c>
      <c r="J111" s="8" t="str">
        <f>IFERROR(__xludf.DUMMYFUNCTION("""COMPUTED_VALUE"""),"Bottoms")</f>
        <v>Bottoms</v>
      </c>
      <c r="K111" s="8" t="str">
        <f>IFERROR(__xludf.DUMMYFUNCTION("""COMPUTED_VALUE"""),"Pants")</f>
        <v>Pants</v>
      </c>
      <c r="L111" s="8" t="str">
        <f t="shared" si="1"/>
        <v>Size issue----</v>
      </c>
    </row>
    <row r="112">
      <c r="A112" s="8">
        <f>IFERROR(__xludf.DUMMYFUNCTION("""COMPUTED_VALUE"""),1818.0)</f>
        <v>1818</v>
      </c>
      <c r="B112" s="8">
        <f>IFERROR(__xludf.DUMMYFUNCTION("""COMPUTED_VALUE"""),481.0)</f>
        <v>481</v>
      </c>
      <c r="C112" s="8">
        <f>IFERROR(__xludf.DUMMYFUNCTION("""COMPUTED_VALUE"""),31.0)</f>
        <v>31</v>
      </c>
      <c r="D112" s="8" t="str">
        <f>IFERROR(__xludf.DUMMYFUNCTION("""COMPUTED_VALUE"""),"If only")</f>
        <v>If only</v>
      </c>
      <c r="E112" s="15" t="str">
        <f>IFERROR(__xludf.DUMMYFUNCTION("""COMPUTED_VALUE"""),"I was really happy when i saw this romper online and ordered it right away. unfortunately being larger chested i thought i would size up to a medium. bad choice. now i have a beautiful romper that is too big for me. i will be getting this one tailored.")</f>
        <v>I was really happy when i saw this romper online and ordered it right away. unfortunately being larger chested i thought i would size up to a medium. bad choice. now i have a beautiful romper that is too big for me. i will be getting this one tailored.</v>
      </c>
      <c r="F112" s="8">
        <f>IFERROR(__xludf.DUMMYFUNCTION("""COMPUTED_VALUE"""),3.0)</f>
        <v>3</v>
      </c>
      <c r="G112" s="8">
        <f>IFERROR(__xludf.DUMMYFUNCTION("""COMPUTED_VALUE"""),1.0)</f>
        <v>1</v>
      </c>
      <c r="H112" s="8">
        <f>IFERROR(__xludf.DUMMYFUNCTION("""COMPUTED_VALUE"""),0.0)</f>
        <v>0</v>
      </c>
      <c r="I112" s="8" t="str">
        <f>IFERROR(__xludf.DUMMYFUNCTION("""COMPUTED_VALUE"""),"General Petite")</f>
        <v>General Petite</v>
      </c>
      <c r="J112" s="8" t="str">
        <f>IFERROR(__xludf.DUMMYFUNCTION("""COMPUTED_VALUE"""),"Bottoms")</f>
        <v>Bottoms</v>
      </c>
      <c r="K112" s="8" t="str">
        <f>IFERROR(__xludf.DUMMYFUNCTION("""COMPUTED_VALUE"""),"Pants")</f>
        <v>Pants</v>
      </c>
      <c r="L112" s="8" t="str">
        <f t="shared" si="1"/>
        <v>Size issue----</v>
      </c>
    </row>
    <row r="113">
      <c r="A113" s="8">
        <f>IFERROR(__xludf.DUMMYFUNCTION("""COMPUTED_VALUE"""),1821.0)</f>
        <v>1821</v>
      </c>
      <c r="B113" s="8">
        <f>IFERROR(__xludf.DUMMYFUNCTION("""COMPUTED_VALUE"""),1054.0)</f>
        <v>1054</v>
      </c>
      <c r="C113" s="8">
        <f>IFERROR(__xludf.DUMMYFUNCTION("""COMPUTED_VALUE"""),62.0)</f>
        <v>62</v>
      </c>
      <c r="D113" s="8" t="str">
        <f>IFERROR(__xludf.DUMMYFUNCTION("""COMPUTED_VALUE"""),"Not for me...")</f>
        <v>Not for me...</v>
      </c>
      <c r="E113" s="15" t="str">
        <f>IFERROR(__xludf.DUMMYFUNCTION("""COMPUTED_VALUE"""),"Super long even at 5'7"" and a little too voluminous for my taste. incredibly comfortable and beautiful pattern though. i'm having a hard time imagining there getting much use for me, so even at the sale price they're going back.")</f>
        <v>Super long even at 5'7" and a little too voluminous for my taste. incredibly comfortable and beautiful pattern though. i'm having a hard time imagining there getting much use for me, so even at the sale price they're going back.</v>
      </c>
      <c r="F113" s="8">
        <f>IFERROR(__xludf.DUMMYFUNCTION("""COMPUTED_VALUE"""),3.0)</f>
        <v>3</v>
      </c>
      <c r="G113" s="8">
        <f>IFERROR(__xludf.DUMMYFUNCTION("""COMPUTED_VALUE"""),1.0)</f>
        <v>1</v>
      </c>
      <c r="H113" s="8">
        <f>IFERROR(__xludf.DUMMYFUNCTION("""COMPUTED_VALUE"""),0.0)</f>
        <v>0</v>
      </c>
      <c r="I113" s="8" t="str">
        <f>IFERROR(__xludf.DUMMYFUNCTION("""COMPUTED_VALUE"""),"General")</f>
        <v>General</v>
      </c>
      <c r="J113" s="8" t="str">
        <f>IFERROR(__xludf.DUMMYFUNCTION("""COMPUTED_VALUE"""),"Bottoms")</f>
        <v>Bottoms</v>
      </c>
      <c r="K113" s="8" t="str">
        <f>IFERROR(__xludf.DUMMYFUNCTION("""COMPUTED_VALUE"""),"Pants")</f>
        <v>Pants</v>
      </c>
      <c r="L113" s="8" t="str">
        <f t="shared" si="1"/>
        <v>Size issue----</v>
      </c>
    </row>
    <row r="114">
      <c r="A114" s="8">
        <f>IFERROR(__xludf.DUMMYFUNCTION("""COMPUTED_VALUE"""),1824.0)</f>
        <v>1824</v>
      </c>
      <c r="B114" s="8">
        <f>IFERROR(__xludf.DUMMYFUNCTION("""COMPUTED_VALUE"""),868.0)</f>
        <v>868</v>
      </c>
      <c r="C114" s="8">
        <f>IFERROR(__xludf.DUMMYFUNCTION("""COMPUTED_VALUE"""),66.0)</f>
        <v>66</v>
      </c>
      <c r="D114" s="8" t="str">
        <f>IFERROR(__xludf.DUMMYFUNCTION("""COMPUTED_VALUE"""),"Great w/ black crops")</f>
        <v>Great w/ black crops</v>
      </c>
      <c r="E114" s="15" t="str">
        <f>IFERROR(__xludf.DUMMYFUNCTION("""COMPUTED_VALUE"""),"Glad i got this on sale. it is more yellow than the photo &amp; short. it is also heavy with a sueded interior. would have given more stars if it was less boxy &amp; longer.")</f>
        <v>Glad i got this on sale. it is more yellow than the photo &amp; short. it is also heavy with a sueded interior. would have given more stars if it was less boxy &amp; longer.</v>
      </c>
      <c r="F114" s="8">
        <f>IFERROR(__xludf.DUMMYFUNCTION("""COMPUTED_VALUE"""),3.0)</f>
        <v>3</v>
      </c>
      <c r="G114" s="8">
        <f>IFERROR(__xludf.DUMMYFUNCTION("""COMPUTED_VALUE"""),1.0)</f>
        <v>1</v>
      </c>
      <c r="H114" s="8">
        <f>IFERROR(__xludf.DUMMYFUNCTION("""COMPUTED_VALUE"""),0.0)</f>
        <v>0</v>
      </c>
      <c r="I114" s="8" t="str">
        <f>IFERROR(__xludf.DUMMYFUNCTION("""COMPUTED_VALUE"""),"General")</f>
        <v>General</v>
      </c>
      <c r="J114" s="8" t="str">
        <f>IFERROR(__xludf.DUMMYFUNCTION("""COMPUTED_VALUE"""),"Tops")</f>
        <v>Tops</v>
      </c>
      <c r="K114" s="8" t="str">
        <f>IFERROR(__xludf.DUMMYFUNCTION("""COMPUTED_VALUE"""),"Knits")</f>
        <v>Knits</v>
      </c>
      <c r="L114" s="8" t="str">
        <f t="shared" si="1"/>
        <v>Size issue----</v>
      </c>
    </row>
    <row r="115">
      <c r="A115" s="8">
        <f>IFERROR(__xludf.DUMMYFUNCTION("""COMPUTED_VALUE"""),1837.0)</f>
        <v>1837</v>
      </c>
      <c r="B115" s="8">
        <f>IFERROR(__xludf.DUMMYFUNCTION("""COMPUTED_VALUE"""),1094.0)</f>
        <v>1094</v>
      </c>
      <c r="C115" s="8">
        <f>IFERROR(__xludf.DUMMYFUNCTION("""COMPUTED_VALUE"""),36.0)</f>
        <v>36</v>
      </c>
      <c r="D115" s="8" t="str">
        <f>IFERROR(__xludf.DUMMYFUNCTION("""COMPUTED_VALUE"""),"Loved, but unsure about quality")</f>
        <v>Loved, but unsure about quality</v>
      </c>
      <c r="E115" s="15" t="str">
        <f>IFERROR(__xludf.DUMMYFUNCTION("""COMPUTED_VALUE"""),"I loved this dress the minute i tried it on and am actually really sad that i had to return it. however, the embroidery was unraveling in several places before i'd even worn it, so i thought it would probably only get worse. too bad because it's gorgeous "&amp;"and flattering!")</f>
        <v>I loved this dress the minute i tried it on and am actually really sad that i had to return it. however, the embroidery was unraveling in several places before i'd even worn it, so i thought it would probably only get worse. too bad because it's gorgeous and flattering!</v>
      </c>
      <c r="F115" s="8">
        <f>IFERROR(__xludf.DUMMYFUNCTION("""COMPUTED_VALUE"""),3.0)</f>
        <v>3</v>
      </c>
      <c r="G115" s="8">
        <f>IFERROR(__xludf.DUMMYFUNCTION("""COMPUTED_VALUE"""),1.0)</f>
        <v>1</v>
      </c>
      <c r="H115" s="8">
        <f>IFERROR(__xludf.DUMMYFUNCTION("""COMPUTED_VALUE"""),0.0)</f>
        <v>0</v>
      </c>
      <c r="I115" s="8" t="str">
        <f>IFERROR(__xludf.DUMMYFUNCTION("""COMPUTED_VALUE"""),"General")</f>
        <v>General</v>
      </c>
      <c r="J115" s="8" t="str">
        <f>IFERROR(__xludf.DUMMYFUNCTION("""COMPUTED_VALUE"""),"Dresses")</f>
        <v>Dresses</v>
      </c>
      <c r="K115" s="8" t="str">
        <f>IFERROR(__xludf.DUMMYFUNCTION("""COMPUTED_VALUE"""),"Dresses")</f>
        <v>Dresses</v>
      </c>
      <c r="L115" s="8" t="str">
        <f t="shared" si="1"/>
        <v>--Style issue--</v>
      </c>
    </row>
    <row r="116">
      <c r="A116" s="8">
        <f>IFERROR(__xludf.DUMMYFUNCTION("""COMPUTED_VALUE"""),1847.0)</f>
        <v>1847</v>
      </c>
      <c r="B116" s="8">
        <f>IFERROR(__xludf.DUMMYFUNCTION("""COMPUTED_VALUE"""),1094.0)</f>
        <v>1094</v>
      </c>
      <c r="C116" s="8">
        <f>IFERROR(__xludf.DUMMYFUNCTION("""COMPUTED_VALUE"""),66.0)</f>
        <v>66</v>
      </c>
      <c r="D116" s="8" t="str">
        <f>IFERROR(__xludf.DUMMYFUNCTION("""COMPUTED_VALUE"""),"Great dress but...")</f>
        <v>Great dress but...</v>
      </c>
      <c r="E116" s="15" t="str">
        <f>IFERROR(__xludf.DUMMYFUNCTION("""COMPUTED_VALUE"""),"Loved this dress and ordered it based on glowing reviews. ordered size large because i weigh 155 pounds and have a large 34g bust. the dress skimmed nicely over my body but the baby doll style fit loosely and made me look really wide from the side. i prob"&amp;"ably could have sized down for a better fit, but it might have just emphasized my bust. the fabric has a substantial weight and it's lined. best as a fall, winter dress. the embroidery is beautiful. i disliked the intense black color around my f")</f>
        <v>Loved this dress and ordered it based on glowing reviews. ordered size large because i weigh 155 pounds and have a large 34g bust. the dress skimmed nicely over my body but the baby doll style fit loosely and made me look really wide from the side. i probably could have sized down for a better fit, but it might have just emphasized my bust. the fabric has a substantial weight and it's lined. best as a fall, winter dress. the embroidery is beautiful. i disliked the intense black color around my f</v>
      </c>
      <c r="F116" s="8">
        <f>IFERROR(__xludf.DUMMYFUNCTION("""COMPUTED_VALUE"""),3.0)</f>
        <v>3</v>
      </c>
      <c r="G116" s="8">
        <f>IFERROR(__xludf.DUMMYFUNCTION("""COMPUTED_VALUE"""),1.0)</f>
        <v>1</v>
      </c>
      <c r="H116" s="8">
        <f>IFERROR(__xludf.DUMMYFUNCTION("""COMPUTED_VALUE"""),2.0)</f>
        <v>2</v>
      </c>
      <c r="I116" s="8" t="str">
        <f>IFERROR(__xludf.DUMMYFUNCTION("""COMPUTED_VALUE"""),"General")</f>
        <v>General</v>
      </c>
      <c r="J116" s="8" t="str">
        <f>IFERROR(__xludf.DUMMYFUNCTION("""COMPUTED_VALUE"""),"Dresses")</f>
        <v>Dresses</v>
      </c>
      <c r="K116" s="8" t="str">
        <f>IFERROR(__xludf.DUMMYFUNCTION("""COMPUTED_VALUE"""),"Dresses")</f>
        <v>Dresses</v>
      </c>
      <c r="L116" s="8" t="str">
        <f t="shared" si="1"/>
        <v>Size issue--Style issue--</v>
      </c>
    </row>
    <row r="117">
      <c r="A117" s="8">
        <f>IFERROR(__xludf.DUMMYFUNCTION("""COMPUTED_VALUE"""),1869.0)</f>
        <v>1869</v>
      </c>
      <c r="B117" s="8">
        <f>IFERROR(__xludf.DUMMYFUNCTION("""COMPUTED_VALUE"""),857.0)</f>
        <v>857</v>
      </c>
      <c r="C117" s="8">
        <f>IFERROR(__xludf.DUMMYFUNCTION("""COMPUTED_VALUE"""),32.0)</f>
        <v>32</v>
      </c>
      <c r="D117" s="8" t="str">
        <f>IFERROR(__xludf.DUMMYFUNCTION("""COMPUTED_VALUE"""),"Cute but a little maternity looking")</f>
        <v>Cute but a little maternity looking</v>
      </c>
      <c r="E117" s="15" t="str">
        <f>IFERROR(__xludf.DUMMYFUNCTION("""COMPUTED_VALUE"""),"I'm keeping this top bc it was on sale but it does look a little maternity! i wore with super skinny white jeans and 3"" casual heel. i'm short so i needed a little more height to slim me but if your tall and and slender this might work better for you?")</f>
        <v>I'm keeping this top bc it was on sale but it does look a little maternity! i wore with super skinny white jeans and 3" casual heel. i'm short so i needed a little more height to slim me but if your tall and and slender this might work better for you?</v>
      </c>
      <c r="F117" s="8">
        <f>IFERROR(__xludf.DUMMYFUNCTION("""COMPUTED_VALUE"""),3.0)</f>
        <v>3</v>
      </c>
      <c r="G117" s="8">
        <f>IFERROR(__xludf.DUMMYFUNCTION("""COMPUTED_VALUE"""),1.0)</f>
        <v>1</v>
      </c>
      <c r="H117" s="8">
        <f>IFERROR(__xludf.DUMMYFUNCTION("""COMPUTED_VALUE"""),0.0)</f>
        <v>0</v>
      </c>
      <c r="I117" s="8" t="str">
        <f>IFERROR(__xludf.DUMMYFUNCTION("""COMPUTED_VALUE"""),"General")</f>
        <v>General</v>
      </c>
      <c r="J117" s="8" t="str">
        <f>IFERROR(__xludf.DUMMYFUNCTION("""COMPUTED_VALUE"""),"Tops")</f>
        <v>Tops</v>
      </c>
      <c r="K117" s="8" t="str">
        <f>IFERROR(__xludf.DUMMYFUNCTION("""COMPUTED_VALUE"""),"Knits")</f>
        <v>Knits</v>
      </c>
      <c r="L117" s="8" t="str">
        <f t="shared" si="1"/>
        <v>Size issue----</v>
      </c>
    </row>
    <row r="118">
      <c r="A118" s="8">
        <f>IFERROR(__xludf.DUMMYFUNCTION("""COMPUTED_VALUE"""),1897.0)</f>
        <v>1897</v>
      </c>
      <c r="B118" s="8">
        <f>IFERROR(__xludf.DUMMYFUNCTION("""COMPUTED_VALUE"""),1035.0)</f>
        <v>1035</v>
      </c>
      <c r="C118" s="8">
        <f>IFERROR(__xludf.DUMMYFUNCTION("""COMPUTED_VALUE"""),59.0)</f>
        <v>59</v>
      </c>
      <c r="D118" s="8" t="str">
        <f>IFERROR(__xludf.DUMMYFUNCTION("""COMPUTED_VALUE"""),"Perfect except runs way too small")</f>
        <v>Perfect except runs way too small</v>
      </c>
      <c r="E118" s="15" t="str">
        <f>IFERROR(__xludf.DUMMYFUNCTION("""COMPUTED_VALUE"""),"I ordered these in my usual size and could barely get them on. they fit ike tight leggings. they have spandex that is comfortable and they will probably stretch as you wear them,. i exchanged for the next size up, because the style is great for year -roun"&amp;"d and the quality excellent. i live 2 hours from a store, i would either order up at least one size or try them on in store.")</f>
        <v>I ordered these in my usual size and could barely get them on. they fit ike tight leggings. they have spandex that is comfortable and they will probably stretch as you wear them,. i exchanged for the next size up, because the style is great for year -round and the quality excellent. i live 2 hours from a store, i would either order up at least one size or try them on in store.</v>
      </c>
      <c r="F118" s="8">
        <f>IFERROR(__xludf.DUMMYFUNCTION("""COMPUTED_VALUE"""),3.0)</f>
        <v>3</v>
      </c>
      <c r="G118" s="8">
        <f>IFERROR(__xludf.DUMMYFUNCTION("""COMPUTED_VALUE"""),1.0)</f>
        <v>1</v>
      </c>
      <c r="H118" s="8">
        <f>IFERROR(__xludf.DUMMYFUNCTION("""COMPUTED_VALUE"""),15.0)</f>
        <v>15</v>
      </c>
      <c r="I118" s="8" t="str">
        <f>IFERROR(__xludf.DUMMYFUNCTION("""COMPUTED_VALUE"""),"General")</f>
        <v>General</v>
      </c>
      <c r="J118" s="8" t="str">
        <f>IFERROR(__xludf.DUMMYFUNCTION("""COMPUTED_VALUE"""),"Bottoms")</f>
        <v>Bottoms</v>
      </c>
      <c r="K118" s="8" t="str">
        <f>IFERROR(__xludf.DUMMYFUNCTION("""COMPUTED_VALUE"""),"Jeans")</f>
        <v>Jeans</v>
      </c>
      <c r="L118" s="8" t="str">
        <f t="shared" si="1"/>
        <v>Size issue----</v>
      </c>
    </row>
    <row r="119">
      <c r="A119" s="8">
        <f>IFERROR(__xludf.DUMMYFUNCTION("""COMPUTED_VALUE"""),1910.0)</f>
        <v>1910</v>
      </c>
      <c r="B119" s="8">
        <f>IFERROR(__xludf.DUMMYFUNCTION("""COMPUTED_VALUE"""),1146.0)</f>
        <v>1146</v>
      </c>
      <c r="C119" s="8">
        <f>IFERROR(__xludf.DUMMYFUNCTION("""COMPUTED_VALUE"""),66.0)</f>
        <v>66</v>
      </c>
      <c r="D119" s="8" t="str">
        <f>IFERROR(__xludf.DUMMYFUNCTION("""COMPUTED_VALUE"""),"Odd fit")</f>
        <v>Odd fit</v>
      </c>
      <c r="E119" s="15" t="str">
        <f>IFERROR(__xludf.DUMMYFUNCTION("""COMPUTED_VALUE"""),"I was excited to try something by this designer and decided to order size large. unfortunately, this top just looked very odd. cute from the front but it wings out in the back where the sleeves meet the arms. the fabric makes an odd poof in that area. i d"&amp;"o have a large bust and it didn't pull anywhere in the front. i expected it to be soft and drapey but the cotton feels very coarse and doesn't drape well. it covered my behind in back. unfortunately it made me look wide from the side view. i hav")</f>
        <v>I was excited to try something by this designer and decided to order size large. unfortunately, this top just looked very odd. cute from the front but it wings out in the back where the sleeves meet the arms. the fabric makes an odd poof in that area. i do have a large bust and it didn't pull anywhere in the front. i expected it to be soft and drapey but the cotton feels very coarse and doesn't drape well. it covered my behind in back. unfortunately it made me look wide from the side view. i hav</v>
      </c>
      <c r="F119" s="8">
        <f>IFERROR(__xludf.DUMMYFUNCTION("""COMPUTED_VALUE"""),3.0)</f>
        <v>3</v>
      </c>
      <c r="G119" s="8">
        <f>IFERROR(__xludf.DUMMYFUNCTION("""COMPUTED_VALUE"""),1.0)</f>
        <v>1</v>
      </c>
      <c r="H119" s="8">
        <f>IFERROR(__xludf.DUMMYFUNCTION("""COMPUTED_VALUE"""),10.0)</f>
        <v>10</v>
      </c>
      <c r="I119" s="8" t="str">
        <f>IFERROR(__xludf.DUMMYFUNCTION("""COMPUTED_VALUE"""),"General")</f>
        <v>General</v>
      </c>
      <c r="J119" s="8" t="str">
        <f>IFERROR(__xludf.DUMMYFUNCTION("""COMPUTED_VALUE"""),"Trend")</f>
        <v>Trend</v>
      </c>
      <c r="K119" s="8" t="str">
        <f>IFERROR(__xludf.DUMMYFUNCTION("""COMPUTED_VALUE"""),"Trend")</f>
        <v>Trend</v>
      </c>
      <c r="L119" s="8" t="str">
        <f t="shared" si="1"/>
        <v>Size issue--Style issue--</v>
      </c>
    </row>
    <row r="120">
      <c r="A120" s="8">
        <f>IFERROR(__xludf.DUMMYFUNCTION("""COMPUTED_VALUE"""),1932.0)</f>
        <v>1932</v>
      </c>
      <c r="B120" s="8">
        <f>IFERROR(__xludf.DUMMYFUNCTION("""COMPUTED_VALUE"""),860.0)</f>
        <v>860</v>
      </c>
      <c r="C120" s="8">
        <f>IFERROR(__xludf.DUMMYFUNCTION("""COMPUTED_VALUE"""),50.0)</f>
        <v>50</v>
      </c>
      <c r="D120" s="8" t="str">
        <f>IFERROR(__xludf.DUMMYFUNCTION("""COMPUTED_VALUE"""),"Sizing is off")</f>
        <v>Sizing is off</v>
      </c>
      <c r="E120" s="15" t="str">
        <f>IFERROR(__xludf.DUMMYFUNCTION("""COMPUTED_VALUE"""),"I like the feel and color of this blouse. however, i was very disappointed with the sizing. i usually wear medium so i ordered medium for this blouse, it fits way too big. it is a bummer because the ""curve"" is not even visible when i wear it.")</f>
        <v>I like the feel and color of this blouse. however, i was very disappointed with the sizing. i usually wear medium so i ordered medium for this blouse, it fits way too big. it is a bummer because the "curve" is not even visible when i wear it.</v>
      </c>
      <c r="F120" s="8">
        <f>IFERROR(__xludf.DUMMYFUNCTION("""COMPUTED_VALUE"""),3.0)</f>
        <v>3</v>
      </c>
      <c r="G120" s="8">
        <f>IFERROR(__xludf.DUMMYFUNCTION("""COMPUTED_VALUE"""),1.0)</f>
        <v>1</v>
      </c>
      <c r="H120" s="8">
        <f>IFERROR(__xludf.DUMMYFUNCTION("""COMPUTED_VALUE"""),0.0)</f>
        <v>0</v>
      </c>
      <c r="I120" s="8" t="str">
        <f>IFERROR(__xludf.DUMMYFUNCTION("""COMPUTED_VALUE"""),"General")</f>
        <v>General</v>
      </c>
      <c r="J120" s="8" t="str">
        <f>IFERROR(__xludf.DUMMYFUNCTION("""COMPUTED_VALUE"""),"Tops")</f>
        <v>Tops</v>
      </c>
      <c r="K120" s="8" t="str">
        <f>IFERROR(__xludf.DUMMYFUNCTION("""COMPUTED_VALUE"""),"Knits")</f>
        <v>Knits</v>
      </c>
      <c r="L120" s="8" t="str">
        <f t="shared" si="1"/>
        <v>Size issue----</v>
      </c>
    </row>
    <row r="121">
      <c r="A121" s="8">
        <f>IFERROR(__xludf.DUMMYFUNCTION("""COMPUTED_VALUE"""),1961.0)</f>
        <v>1961</v>
      </c>
      <c r="B121" s="8">
        <f>IFERROR(__xludf.DUMMYFUNCTION("""COMPUTED_VALUE"""),1009.0)</f>
        <v>1009</v>
      </c>
      <c r="C121" s="8">
        <f>IFERROR(__xludf.DUMMYFUNCTION("""COMPUTED_VALUE"""),39.0)</f>
        <v>39</v>
      </c>
      <c r="D121" s="8" t="str">
        <f>IFERROR(__xludf.DUMMYFUNCTION("""COMPUTED_VALUE"""),"Good idea, wrong color.")</f>
        <v>Good idea, wrong color.</v>
      </c>
      <c r="E121" s="15" t="str">
        <f>IFERROR(__xludf.DUMMYFUNCTION("""COMPUTED_VALUE"""),"Cute design with interesting details. i felt it ran a bit large. i'm 5'8"", 135 lbs, an 8 was too big and baggy. my biggest complaint with this skirt is the color. it's just not flattering.")</f>
        <v>Cute design with interesting details. i felt it ran a bit large. i'm 5'8", 135 lbs, an 8 was too big and baggy. my biggest complaint with this skirt is the color. it's just not flattering.</v>
      </c>
      <c r="F121" s="8">
        <f>IFERROR(__xludf.DUMMYFUNCTION("""COMPUTED_VALUE"""),3.0)</f>
        <v>3</v>
      </c>
      <c r="G121" s="8">
        <f>IFERROR(__xludf.DUMMYFUNCTION("""COMPUTED_VALUE"""),1.0)</f>
        <v>1</v>
      </c>
      <c r="H121" s="8">
        <f>IFERROR(__xludf.DUMMYFUNCTION("""COMPUTED_VALUE"""),0.0)</f>
        <v>0</v>
      </c>
      <c r="I121" s="8" t="str">
        <f>IFERROR(__xludf.DUMMYFUNCTION("""COMPUTED_VALUE"""),"General Petite")</f>
        <v>General Petite</v>
      </c>
      <c r="J121" s="8" t="str">
        <f>IFERROR(__xludf.DUMMYFUNCTION("""COMPUTED_VALUE"""),"Bottoms")</f>
        <v>Bottoms</v>
      </c>
      <c r="K121" s="8" t="str">
        <f>IFERROR(__xludf.DUMMYFUNCTION("""COMPUTED_VALUE"""),"Skirts")</f>
        <v>Skirts</v>
      </c>
      <c r="L121" s="8" t="str">
        <f t="shared" si="1"/>
        <v>Size issue--Style issue--</v>
      </c>
    </row>
    <row r="122">
      <c r="A122" s="8">
        <f>IFERROR(__xludf.DUMMYFUNCTION("""COMPUTED_VALUE"""),2002.0)</f>
        <v>2002</v>
      </c>
      <c r="B122" s="8">
        <f>IFERROR(__xludf.DUMMYFUNCTION("""COMPUTED_VALUE"""),1044.0)</f>
        <v>1044</v>
      </c>
      <c r="C122" s="8">
        <f>IFERROR(__xludf.DUMMYFUNCTION("""COMPUTED_VALUE"""),34.0)</f>
        <v>34</v>
      </c>
      <c r="D122" s="8" t="str">
        <f>IFERROR(__xludf.DUMMYFUNCTION("""COMPUTED_VALUE"""),"Recommended for certain body types")</f>
        <v>Recommended for certain body types</v>
      </c>
      <c r="E122" s="15" t="str">
        <f>IFERROR(__xludf.DUMMYFUNCTION("""COMPUTED_VALUE"""),"Other reviews are correct. but this has potential to look as good as on the model - structure and quality of the cotton are very flattering. makes legs look miles long. however this fits very tight, allows no room for extra tummy, hips, booty, or thighs. "&amp;"i ordered a s (i'm usually a 4) - was able to get it on (step into it from the top), but felt a little self conscious about how tight the fit was. if there was an m, would have definitely sized up, as i really liked the look.")</f>
        <v>Other reviews are correct. but this has potential to look as good as on the model - structure and quality of the cotton are very flattering. makes legs look miles long. however this fits very tight, allows no room for extra tummy, hips, booty, or thighs. i ordered a s (i'm usually a 4) - was able to get it on (step into it from the top), but felt a little self conscious about how tight the fit was. if there was an m, would have definitely sized up, as i really liked the look.</v>
      </c>
      <c r="F122" s="8">
        <f>IFERROR(__xludf.DUMMYFUNCTION("""COMPUTED_VALUE"""),3.0)</f>
        <v>3</v>
      </c>
      <c r="G122" s="8">
        <f>IFERROR(__xludf.DUMMYFUNCTION("""COMPUTED_VALUE"""),1.0)</f>
        <v>1</v>
      </c>
      <c r="H122" s="8">
        <f>IFERROR(__xludf.DUMMYFUNCTION("""COMPUTED_VALUE"""),2.0)</f>
        <v>2</v>
      </c>
      <c r="I122" s="8" t="str">
        <f>IFERROR(__xludf.DUMMYFUNCTION("""COMPUTED_VALUE"""),"General")</f>
        <v>General</v>
      </c>
      <c r="J122" s="8" t="str">
        <f>IFERROR(__xludf.DUMMYFUNCTION("""COMPUTED_VALUE"""),"Bottoms")</f>
        <v>Bottoms</v>
      </c>
      <c r="K122" s="8" t="str">
        <f>IFERROR(__xludf.DUMMYFUNCTION("""COMPUTED_VALUE"""),"Pants")</f>
        <v>Pants</v>
      </c>
      <c r="L122" s="8" t="str">
        <f t="shared" si="1"/>
        <v>Size issue----Matching Awareness issue</v>
      </c>
    </row>
    <row r="123">
      <c r="A123" s="8">
        <f>IFERROR(__xludf.DUMMYFUNCTION("""COMPUTED_VALUE"""),2007.0)</f>
        <v>2007</v>
      </c>
      <c r="B123" s="8">
        <f>IFERROR(__xludf.DUMMYFUNCTION("""COMPUTED_VALUE"""),1095.0)</f>
        <v>1095</v>
      </c>
      <c r="C123" s="8">
        <f>IFERROR(__xludf.DUMMYFUNCTION("""COMPUTED_VALUE"""),53.0)</f>
        <v>53</v>
      </c>
      <c r="D123" s="8" t="str">
        <f>IFERROR(__xludf.DUMMYFUNCTION("""COMPUTED_VALUE"""),"In agreement with other reviewers...")</f>
        <v>In agreement with other reviewers...</v>
      </c>
      <c r="E123" s="15" t="str">
        <f>IFERROR(__xludf.DUMMYFUNCTION("""COMPUTED_VALUE"""),"This is a beautiful dress with unfortunate design flaws at the bodice of the dress. the fit at hips and length is perfect, falling just to my knee (i'm 5'5"" 142 lbs.) and grazing my hips. in that regard the fit is spectacular. but the bodice seems cut ve"&amp;"ry oddly, which would require tayloring to correct. the armholes are large and flared at the bottom which leaves 'wings' just under the arms that stick out. since this dress has a side zip, to correct that would seem a major undertaking. the stra")</f>
        <v>This is a beautiful dress with unfortunate design flaws at the bodice of the dress. the fit at hips and length is perfect, falling just to my knee (i'm 5'5" 142 lbs.) and grazing my hips. in that regard the fit is spectacular. but the bodice seems cut very oddly, which would require tayloring to correct. the armholes are large and flared at the bottom which leaves 'wings' just under the arms that stick out. since this dress has a side zip, to correct that would seem a major undertaking. the stra</v>
      </c>
      <c r="F123" s="8">
        <f>IFERROR(__xludf.DUMMYFUNCTION("""COMPUTED_VALUE"""),3.0)</f>
        <v>3</v>
      </c>
      <c r="G123" s="8">
        <f>IFERROR(__xludf.DUMMYFUNCTION("""COMPUTED_VALUE"""),1.0)</f>
        <v>1</v>
      </c>
      <c r="H123" s="8">
        <f>IFERROR(__xludf.DUMMYFUNCTION("""COMPUTED_VALUE"""),0.0)</f>
        <v>0</v>
      </c>
      <c r="I123" s="8" t="str">
        <f>IFERROR(__xludf.DUMMYFUNCTION("""COMPUTED_VALUE"""),"General Petite")</f>
        <v>General Petite</v>
      </c>
      <c r="J123" s="8" t="str">
        <f>IFERROR(__xludf.DUMMYFUNCTION("""COMPUTED_VALUE"""),"Dresses")</f>
        <v>Dresses</v>
      </c>
      <c r="K123" s="8" t="str">
        <f>IFERROR(__xludf.DUMMYFUNCTION("""COMPUTED_VALUE"""),"Dresses")</f>
        <v>Dresses</v>
      </c>
      <c r="L123" s="8" t="str">
        <f t="shared" si="1"/>
        <v>Size issue-Fabric issue-Style issue--</v>
      </c>
    </row>
    <row r="124">
      <c r="A124" s="8">
        <f>IFERROR(__xludf.DUMMYFUNCTION("""COMPUTED_VALUE"""),2033.0)</f>
        <v>2033</v>
      </c>
      <c r="B124" s="8">
        <f>IFERROR(__xludf.DUMMYFUNCTION("""COMPUTED_VALUE"""),1079.0)</f>
        <v>1079</v>
      </c>
      <c r="C124" s="8">
        <f>IFERROR(__xludf.DUMMYFUNCTION("""COMPUTED_VALUE"""),47.0)</f>
        <v>47</v>
      </c>
      <c r="D124" s="8" t="str">
        <f>IFERROR(__xludf.DUMMYFUNCTION("""COMPUTED_VALUE"""),"Very well made - runs large!")</f>
        <v>Very well made - runs large!</v>
      </c>
      <c r="E124" s="15" t="str">
        <f>IFERROR(__xludf.DUMMYFUNCTION("""COMPUTED_VALUE"""),"This dress is adorable and well made. this brand runs on the large side. i ordered an xs and the tag says 'p"" on it. it's not petite. it ran large through the hips and will need alteration. i'm keeping it because it is really cute and is well made. the m"&amp;"aterial is knit and soft - very comfortable. i'm surprised nobody has reviewed this item. i probably will not buy this brand again only because it runs large.")</f>
        <v>This dress is adorable and well made. this brand runs on the large side. i ordered an xs and the tag says 'p" on it. it's not petite. it ran large through the hips and will need alteration. i'm keeping it because it is really cute and is well made. the material is knit and soft - very comfortable. i'm surprised nobody has reviewed this item. i probably will not buy this brand again only because it runs large.</v>
      </c>
      <c r="F124" s="8">
        <f>IFERROR(__xludf.DUMMYFUNCTION("""COMPUTED_VALUE"""),3.0)</f>
        <v>3</v>
      </c>
      <c r="G124" s="8">
        <f>IFERROR(__xludf.DUMMYFUNCTION("""COMPUTED_VALUE"""),1.0)</f>
        <v>1</v>
      </c>
      <c r="H124" s="8">
        <f>IFERROR(__xludf.DUMMYFUNCTION("""COMPUTED_VALUE"""),1.0)</f>
        <v>1</v>
      </c>
      <c r="I124" s="8" t="str">
        <f>IFERROR(__xludf.DUMMYFUNCTION("""COMPUTED_VALUE"""),"General")</f>
        <v>General</v>
      </c>
      <c r="J124" s="8" t="str">
        <f>IFERROR(__xludf.DUMMYFUNCTION("""COMPUTED_VALUE"""),"Dresses")</f>
        <v>Dresses</v>
      </c>
      <c r="K124" s="8" t="str">
        <f>IFERROR(__xludf.DUMMYFUNCTION("""COMPUTED_VALUE"""),"Dresses")</f>
        <v>Dresses</v>
      </c>
      <c r="L124" s="8" t="str">
        <f t="shared" si="1"/>
        <v>Size issue-Fabric issue---</v>
      </c>
    </row>
    <row r="125">
      <c r="A125" s="8">
        <f>IFERROR(__xludf.DUMMYFUNCTION("""COMPUTED_VALUE"""),2037.0)</f>
        <v>2037</v>
      </c>
      <c r="B125" s="8">
        <f>IFERROR(__xludf.DUMMYFUNCTION("""COMPUTED_VALUE"""),815.0)</f>
        <v>815</v>
      </c>
      <c r="C125" s="8">
        <f>IFERROR(__xludf.DUMMYFUNCTION("""COMPUTED_VALUE"""),60.0)</f>
        <v>60</v>
      </c>
      <c r="D125" s="8"/>
      <c r="E125" s="15" t="str">
        <f>IFERROR(__xludf.DUMMYFUNCTION("""COMPUTED_VALUE"""),"I thought the quality of the fabric was good and liked the idea of wearing it, either with opening in front or back. it was a little larger then i was expecting and i wish it had a closure, (hook and eye or snap) at the top. it has three places in the bac"&amp;"k to tie together and when i tied them in a bow they came loose easily. overall glad i bought it.")</f>
        <v>I thought the quality of the fabric was good and liked the idea of wearing it, either with opening in front or back. it was a little larger then i was expecting and i wish it had a closure, (hook and eye or snap) at the top. it has three places in the back to tie together and when i tied them in a bow they came loose easily. overall glad i bought it.</v>
      </c>
      <c r="F125" s="8">
        <f>IFERROR(__xludf.DUMMYFUNCTION("""COMPUTED_VALUE"""),3.0)</f>
        <v>3</v>
      </c>
      <c r="G125" s="8">
        <f>IFERROR(__xludf.DUMMYFUNCTION("""COMPUTED_VALUE"""),1.0)</f>
        <v>1</v>
      </c>
      <c r="H125" s="8">
        <f>IFERROR(__xludf.DUMMYFUNCTION("""COMPUTED_VALUE"""),0.0)</f>
        <v>0</v>
      </c>
      <c r="I125" s="8" t="str">
        <f>IFERROR(__xludf.DUMMYFUNCTION("""COMPUTED_VALUE"""),"General Petite")</f>
        <v>General Petite</v>
      </c>
      <c r="J125" s="8" t="str">
        <f>IFERROR(__xludf.DUMMYFUNCTION("""COMPUTED_VALUE"""),"Tops")</f>
        <v>Tops</v>
      </c>
      <c r="K125" s="8" t="str">
        <f>IFERROR(__xludf.DUMMYFUNCTION("""COMPUTED_VALUE"""),"Blouses")</f>
        <v>Blouses</v>
      </c>
      <c r="L125" s="8" t="str">
        <f t="shared" si="1"/>
        <v>Size issue--Style issue--</v>
      </c>
    </row>
    <row r="126">
      <c r="A126" s="8">
        <f>IFERROR(__xludf.DUMMYFUNCTION("""COMPUTED_VALUE"""),2119.0)</f>
        <v>2119</v>
      </c>
      <c r="B126" s="8">
        <f>IFERROR(__xludf.DUMMYFUNCTION("""COMPUTED_VALUE"""),862.0)</f>
        <v>862</v>
      </c>
      <c r="C126" s="8">
        <f>IFERROR(__xludf.DUMMYFUNCTION("""COMPUTED_VALUE"""),84.0)</f>
        <v>84</v>
      </c>
      <c r="D126" s="8" t="str">
        <f>IFERROR(__xludf.DUMMYFUNCTION("""COMPUTED_VALUE"""),"Wanted to love")</f>
        <v>Wanted to love</v>
      </c>
      <c r="E126" s="15" t="str">
        <f>IFERROR(__xludf.DUMMYFUNCTION("""COMPUTED_VALUE"""),"I wanted to love this top. the color is wonderful in the pink and the material is silky soft. it is huge though, i am a 34 dd and bought my usual small! i am going to exchange for an xs and am hoping it fits.")</f>
        <v>I wanted to love this top. the color is wonderful in the pink and the material is silky soft. it is huge though, i am a 34 dd and bought my usual small! i am going to exchange for an xs and am hoping it fits.</v>
      </c>
      <c r="F126" s="8">
        <f>IFERROR(__xludf.DUMMYFUNCTION("""COMPUTED_VALUE"""),3.0)</f>
        <v>3</v>
      </c>
      <c r="G126" s="8">
        <f>IFERROR(__xludf.DUMMYFUNCTION("""COMPUTED_VALUE"""),1.0)</f>
        <v>1</v>
      </c>
      <c r="H126" s="8">
        <f>IFERROR(__xludf.DUMMYFUNCTION("""COMPUTED_VALUE"""),1.0)</f>
        <v>1</v>
      </c>
      <c r="I126" s="8" t="str">
        <f>IFERROR(__xludf.DUMMYFUNCTION("""COMPUTED_VALUE"""),"General")</f>
        <v>General</v>
      </c>
      <c r="J126" s="8" t="str">
        <f>IFERROR(__xludf.DUMMYFUNCTION("""COMPUTED_VALUE"""),"Tops")</f>
        <v>Tops</v>
      </c>
      <c r="K126" s="8" t="str">
        <f>IFERROR(__xludf.DUMMYFUNCTION("""COMPUTED_VALUE"""),"Knits")</f>
        <v>Knits</v>
      </c>
      <c r="L126" s="8" t="str">
        <f t="shared" si="1"/>
        <v>Size issue-Fabric issue---</v>
      </c>
    </row>
    <row r="127">
      <c r="A127" s="8">
        <f>IFERROR(__xludf.DUMMYFUNCTION("""COMPUTED_VALUE"""),2133.0)</f>
        <v>2133</v>
      </c>
      <c r="B127" s="8">
        <f>IFERROR(__xludf.DUMMYFUNCTION("""COMPUTED_VALUE"""),896.0)</f>
        <v>896</v>
      </c>
      <c r="C127" s="8">
        <f>IFERROR(__xludf.DUMMYFUNCTION("""COMPUTED_VALUE"""),42.0)</f>
        <v>42</v>
      </c>
      <c r="D127" s="8" t="str">
        <f>IFERROR(__xludf.DUMMYFUNCTION("""COMPUTED_VALUE"""),"Just ok")</f>
        <v>Just ok</v>
      </c>
      <c r="E127" s="15" t="str">
        <f>IFERROR(__xludf.DUMMYFUNCTION("""COMPUTED_VALUE"""),"I usually wear petite which this was not so a little big for me. but nice color and good quality, but pricey for what it is. it's more like a $45 sweater not $100+")</f>
        <v>I usually wear petite which this was not so a little big for me. but nice color and good quality, but pricey for what it is. it's more like a $45 sweater not $100+</v>
      </c>
      <c r="F127" s="8">
        <f>IFERROR(__xludf.DUMMYFUNCTION("""COMPUTED_VALUE"""),3.0)</f>
        <v>3</v>
      </c>
      <c r="G127" s="8">
        <f>IFERROR(__xludf.DUMMYFUNCTION("""COMPUTED_VALUE"""),1.0)</f>
        <v>1</v>
      </c>
      <c r="H127" s="8">
        <f>IFERROR(__xludf.DUMMYFUNCTION("""COMPUTED_VALUE"""),2.0)</f>
        <v>2</v>
      </c>
      <c r="I127" s="8" t="str">
        <f>IFERROR(__xludf.DUMMYFUNCTION("""COMPUTED_VALUE"""),"General")</f>
        <v>General</v>
      </c>
      <c r="J127" s="8" t="str">
        <f>IFERROR(__xludf.DUMMYFUNCTION("""COMPUTED_VALUE"""),"Tops")</f>
        <v>Tops</v>
      </c>
      <c r="K127" s="8" t="str">
        <f>IFERROR(__xludf.DUMMYFUNCTION("""COMPUTED_VALUE"""),"Fine gauge")</f>
        <v>Fine gauge</v>
      </c>
      <c r="L127" s="8" t="str">
        <f t="shared" si="1"/>
        <v>Size issue-Fabric issue--Price issue-</v>
      </c>
    </row>
    <row r="128">
      <c r="A128" s="8">
        <f>IFERROR(__xludf.DUMMYFUNCTION("""COMPUTED_VALUE"""),2205.0)</f>
        <v>2205</v>
      </c>
      <c r="B128" s="8">
        <f>IFERROR(__xludf.DUMMYFUNCTION("""COMPUTED_VALUE"""),1086.0)</f>
        <v>1086</v>
      </c>
      <c r="C128" s="8">
        <f>IFERROR(__xludf.DUMMYFUNCTION("""COMPUTED_VALUE"""),44.0)</f>
        <v>44</v>
      </c>
      <c r="D128" s="8" t="str">
        <f>IFERROR(__xludf.DUMMYFUNCTION("""COMPUTED_VALUE"""),"Only suits smaller chest")</f>
        <v>Only suits smaller chest</v>
      </c>
      <c r="E128" s="15" t="str">
        <f>IFERROR(__xludf.DUMMYFUNCTION("""COMPUTED_VALUE"""),"If you have any cleavage this dress will look awful. the ties drop pretty low &amp; look trashy over cleavage. recommend otherwise - good fabric cool look")</f>
        <v>If you have any cleavage this dress will look awful. the ties drop pretty low &amp; look trashy over cleavage. recommend otherwise - good fabric cool look</v>
      </c>
      <c r="F128" s="8">
        <f>IFERROR(__xludf.DUMMYFUNCTION("""COMPUTED_VALUE"""),2.0)</f>
        <v>2</v>
      </c>
      <c r="G128" s="8">
        <f>IFERROR(__xludf.DUMMYFUNCTION("""COMPUTED_VALUE"""),1.0)</f>
        <v>1</v>
      </c>
      <c r="H128" s="8">
        <f>IFERROR(__xludf.DUMMYFUNCTION("""COMPUTED_VALUE"""),1.0)</f>
        <v>1</v>
      </c>
      <c r="I128" s="8" t="str">
        <f>IFERROR(__xludf.DUMMYFUNCTION("""COMPUTED_VALUE"""),"General Petite")</f>
        <v>General Petite</v>
      </c>
      <c r="J128" s="8" t="str">
        <f>IFERROR(__xludf.DUMMYFUNCTION("""COMPUTED_VALUE"""),"Dresses")</f>
        <v>Dresses</v>
      </c>
      <c r="K128" s="8" t="str">
        <f>IFERROR(__xludf.DUMMYFUNCTION("""COMPUTED_VALUE"""),"Dresses")</f>
        <v>Dresses</v>
      </c>
      <c r="L128" s="8" t="str">
        <f t="shared" si="1"/>
        <v>----</v>
      </c>
    </row>
    <row r="129">
      <c r="A129" s="8">
        <f>IFERROR(__xludf.DUMMYFUNCTION("""COMPUTED_VALUE"""),2206.0)</f>
        <v>2206</v>
      </c>
      <c r="B129" s="8">
        <f>IFERROR(__xludf.DUMMYFUNCTION("""COMPUTED_VALUE"""),1102.0)</f>
        <v>1102</v>
      </c>
      <c r="C129" s="8">
        <f>IFERROR(__xludf.DUMMYFUNCTION("""COMPUTED_VALUE"""),57.0)</f>
        <v>57</v>
      </c>
      <c r="D129" s="8"/>
      <c r="E129" s="15" t="str">
        <f>IFERROR(__xludf.DUMMYFUNCTION("""COMPUTED_VALUE"""),"What i liked:
1. midweight fabric. it's not lined and when i read polyester in the description, i was worried that it might be thin, but this is a stretchy midweight fabric.
2. pretty pretty print
what i did not like:
1. i don't know what dress the model"&amp;" is wearing, but this was an empire waist dress on me. i'm 5'7"". because it was empire waist, the long hem makes this look like a maternity dress on me.
2. the sleeves are cut oddly. they look too wide for the dress, even on this model.
3")</f>
        <v>What i liked:
1. midweight fabric. it's not lined and when i read polyester in the description, i was worried that it might be thin, but this is a stretchy midweight fabric.
2. pretty pretty print
what i did not like:
1. i don't know what dress the model is wearing, but this was an empire waist dress on me. i'm 5'7". because it was empire waist, the long hem makes this look like a maternity dress on me.
2. the sleeves are cut oddly. they look too wide for the dress, even on this model.
3</v>
      </c>
      <c r="F129" s="8">
        <f>IFERROR(__xludf.DUMMYFUNCTION("""COMPUTED_VALUE"""),3.0)</f>
        <v>3</v>
      </c>
      <c r="G129" s="8">
        <f>IFERROR(__xludf.DUMMYFUNCTION("""COMPUTED_VALUE"""),1.0)</f>
        <v>1</v>
      </c>
      <c r="H129" s="8">
        <f>IFERROR(__xludf.DUMMYFUNCTION("""COMPUTED_VALUE"""),11.0)</f>
        <v>11</v>
      </c>
      <c r="I129" s="8" t="str">
        <f>IFERROR(__xludf.DUMMYFUNCTION("""COMPUTED_VALUE"""),"General Petite")</f>
        <v>General Petite</v>
      </c>
      <c r="J129" s="8" t="str">
        <f>IFERROR(__xludf.DUMMYFUNCTION("""COMPUTED_VALUE"""),"Dresses")</f>
        <v>Dresses</v>
      </c>
      <c r="K129" s="8" t="str">
        <f>IFERROR(__xludf.DUMMYFUNCTION("""COMPUTED_VALUE"""),"Dresses")</f>
        <v>Dresses</v>
      </c>
      <c r="L129" s="8" t="str">
        <f t="shared" si="1"/>
        <v>Size issue----Matching Awareness issue</v>
      </c>
    </row>
  </sheetData>
  <autoFilter ref="$A$1:$L$129"/>
  <conditionalFormatting sqref="A1:K129">
    <cfRule type="containsBlanks" dxfId="1" priority="1">
      <formula>LEN(TRIM(A1))=0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9.75"/>
    <col customWidth="1" min="3" max="3" width="4.0"/>
    <col customWidth="1" min="4" max="4" width="12.88"/>
    <col customWidth="1" min="5" max="5" width="28.75"/>
    <col customWidth="1" min="6" max="6" width="5.88"/>
    <col customWidth="1" min="7" max="7" width="9.38"/>
    <col customWidth="1" min="8" max="8" width="10.75"/>
    <col customWidth="1" min="9" max="9" width="7.5"/>
    <col customWidth="1" min="10" max="10" width="11.25"/>
    <col customWidth="1" min="11" max="11" width="8.38"/>
    <col customWidth="1" min="12" max="12" width="14.5"/>
  </cols>
  <sheetData>
    <row r="1">
      <c r="A1" s="16" t="str">
        <f>IFERROR(__xludf.DUMMYFUNCTION("query(Data!A1:K2208,""SELECT A, B, C, D, E, F, G, H, I, J, K WHERE G=0"",1)"),"Operation_id")</f>
        <v>Operation_id</v>
      </c>
      <c r="B1" s="16" t="str">
        <f>IFERROR(__xludf.DUMMYFUNCTION("""COMPUTED_VALUE"""),"Clothing_ID")</f>
        <v>Clothing_ID</v>
      </c>
      <c r="C1" s="16" t="str">
        <f>IFERROR(__xludf.DUMMYFUNCTION("""COMPUTED_VALUE"""),"Age")</f>
        <v>Age</v>
      </c>
      <c r="D1" s="16" t="str">
        <f>IFERROR(__xludf.DUMMYFUNCTION("""COMPUTED_VALUE"""),"Title")</f>
        <v>Title</v>
      </c>
      <c r="E1" s="16" t="str">
        <f>IFERROR(__xludf.DUMMYFUNCTION("""COMPUTED_VALUE"""),"Review_Text")</f>
        <v>Review_Text</v>
      </c>
      <c r="F1" s="16" t="str">
        <f>IFERROR(__xludf.DUMMYFUNCTION("""COMPUTED_VALUE"""),"Rating")</f>
        <v>Rating</v>
      </c>
      <c r="G1" s="16" t="str">
        <f>IFERROR(__xludf.DUMMYFUNCTION("""COMPUTED_VALUE"""),"Recommended_IND")</f>
        <v>Recommended_IND</v>
      </c>
      <c r="H1" s="16" t="str">
        <f>IFERROR(__xludf.DUMMYFUNCTION("""COMPUTED_VALUE"""),"Positive_Feedback_Count")</f>
        <v>Positive_Feedback_Count</v>
      </c>
      <c r="I1" s="16" t="str">
        <f>IFERROR(__xludf.DUMMYFUNCTION("""COMPUTED_VALUE"""),"Division_Name")</f>
        <v>Division_Name</v>
      </c>
      <c r="J1" s="16" t="str">
        <f>IFERROR(__xludf.DUMMYFUNCTION("""COMPUTED_VALUE"""),"Department_Name")</f>
        <v>Department_Name</v>
      </c>
      <c r="K1" s="16" t="str">
        <f>IFERROR(__xludf.DUMMYFUNCTION("""COMPUTED_VALUE"""),"Class_Name")</f>
        <v>Class_Name</v>
      </c>
      <c r="L1" s="17" t="s">
        <v>3757</v>
      </c>
      <c r="M1" s="15"/>
      <c r="N1" s="15"/>
      <c r="O1" s="15"/>
      <c r="P1" s="15"/>
      <c r="Q1" s="15"/>
      <c r="R1" s="15"/>
      <c r="S1" s="15"/>
      <c r="T1" s="15"/>
      <c r="U1" s="15"/>
      <c r="V1" s="15"/>
      <c r="W1" s="15"/>
      <c r="X1" s="15"/>
    </row>
    <row r="2">
      <c r="A2" s="8">
        <f>IFERROR(__xludf.DUMMYFUNCTION("""COMPUTED_VALUE"""),2.0)</f>
        <v>2</v>
      </c>
      <c r="B2" s="8">
        <f>IFERROR(__xludf.DUMMYFUNCTION("""COMPUTED_VALUE"""),1077.0)</f>
        <v>1077</v>
      </c>
      <c r="C2" s="8">
        <f>IFERROR(__xludf.DUMMYFUNCTION("""COMPUTED_VALUE"""),60.0)</f>
        <v>60</v>
      </c>
      <c r="D2" s="8" t="str">
        <f>IFERROR(__xludf.DUMMYFUNCTION("""COMPUTED_VALUE"""),"Some major design flaws")</f>
        <v>Some major design flaws</v>
      </c>
      <c r="E2" s="15" t="str">
        <f>IFERROR(__xludf.DUMMYFUNCTION("""COMPUTED_VALUE"""),"I had such high hopes for this dress and really wanted it to work for me. i initially ordered the petite small (my usual size) but i found this to be outrageously small. so small in fact that i could not zip it up! i reordered it in petite medium, which w"&amp;"as just ok. overall, the top half was comfortable and fit nicely, but the bottom half had a very tight under layer and several somewhat cheap (net) over layers. imo, a major design flaw was the net over layer sewn directly into the zipper - it c")</f>
        <v>I had such high hopes for this dress and really wanted it to work for me. i initially ordered the petite small (my usual size) but i found this to be outrageously small. so small in fact that i could not zip it up! i reordered it in petite medium, which was just ok. overall, the top half was comfortable and fit nicely, but the bottom half had a very tight under layer and several somewhat cheap (net) over layers. imo, a major design flaw was the net over layer sewn directly into the zipper - it c</v>
      </c>
      <c r="F2" s="8">
        <f>IFERROR(__xludf.DUMMYFUNCTION("""COMPUTED_VALUE"""),3.0)</f>
        <v>3</v>
      </c>
      <c r="G2" s="8">
        <f>IFERROR(__xludf.DUMMYFUNCTION("""COMPUTED_VALUE"""),0.0)</f>
        <v>0</v>
      </c>
      <c r="H2" s="8">
        <f>IFERROR(__xludf.DUMMYFUNCTION("""COMPUTED_VALUE"""),0.0)</f>
        <v>0</v>
      </c>
      <c r="I2" s="8" t="str">
        <f>IFERROR(__xludf.DUMMYFUNCTION("""COMPUTED_VALUE"""),"General")</f>
        <v>General</v>
      </c>
      <c r="J2" s="8" t="str">
        <f>IFERROR(__xludf.DUMMYFUNCTION("""COMPUTED_VALUE"""),"Dresses")</f>
        <v>Dresses</v>
      </c>
      <c r="K2" s="8" t="str">
        <f>IFERROR(__xludf.DUMMYFUNCTION("""COMPUTED_VALUE"""),"Dresses")</f>
        <v>Dresses</v>
      </c>
      <c r="L2" s="8" t="str">
        <f t="shared" ref="L2:L560" si="1">if($E2&gt;0,join("-",if(or(isnumber(match("*so*large*",$E2,0)),,isnumber(match("*large*",$E2,0)),isnumber(match("*big*me*",$E2,0)),isnumber(match("*small*",$E2,0)),isnumber(match("*tight*",$E2,0)),isnumber(match("n't*fit*",$E2,0)),isnumber(match("*size*",$E2,0)),isnumber(match("*not*fit*",$E2,0)),isnumber(match("*large*chest*",$E2,0)),isnumber(match("*smal*chest*",$E2,0)),isnumber(match("*smal*sleeve*",$E2,0)),isnumber(match("*large*sleeve*",$E2,0)),isnumber(match("*long*sleeve*",$E2,0)),isnumber(match("*sleeve*",$E2,0)),isnumber(match("*long*",$E2,0)),isnumber(match("*short*",$E2,0)),isnumber(match("*longer*",$E2,0)),isnumber(match("*shorter*",$E2,0)),isnumber(match("*wide*",$E2,0)),isnumber(match("*narrow*",$E2,0)),isnumber(match("*very*short*",$E2,0)),isnumber(match("*boxy*",$E2,0)),isnumber(match("*very*long*",$E2,0))),"Size issue",""),if(or(isnumber(match("*ich*",$E2,0)),isnumber(match("*problem*fabric*",$E2,0)),isnumber(match("subpar*",$E2,0)),isnumber(match("*felted*",$E2,0)),isnumber(match("*hole*",$E2,0)),isnumber(match("*bad*fabric*",$E2,0)),isnumber(match("*material*",$E2,0))),"Fabric issue",""),if(or(isnumber(match("*bad*styl*",$E2,0)),isnumber(match("*un*ravel*",$E2,0)),isnumber(match("*not*styl*",$E2,0)),isnumber(match("*cheap*",$E2,0)),isnumber(match("*uder*layer*",$E2,0)),isnumber(match("*design*",$E2,0)),isnumber(match("*loose*",$E2,0))),"Style issue",""),if(or(isnumber(match("*pricey*",$E2,0)),isnumber(match("*over*price*",$E2,0)),isnumber(match("*expensive*",$E2,0)),isnumber(match("*high*price*",$E2,0))),"Price issue",""),if(isnumber(match("*model*",$E2,0)),"Matching Awareness issue","")),"")</f>
        <v>Size issue-Fabric issue-Style issue--</v>
      </c>
    </row>
    <row r="3">
      <c r="A3" s="8">
        <f>IFERROR(__xludf.DUMMYFUNCTION("""COMPUTED_VALUE"""),5.0)</f>
        <v>5</v>
      </c>
      <c r="B3" s="8">
        <f>IFERROR(__xludf.DUMMYFUNCTION("""COMPUTED_VALUE"""),1080.0)</f>
        <v>1080</v>
      </c>
      <c r="C3" s="8">
        <f>IFERROR(__xludf.DUMMYFUNCTION("""COMPUTED_VALUE"""),49.0)</f>
        <v>49</v>
      </c>
      <c r="D3" s="8" t="str">
        <f>IFERROR(__xludf.DUMMYFUNCTION("""COMPUTED_VALUE"""),"Not for the very petite")</f>
        <v>Not for the very petite</v>
      </c>
      <c r="E3" s="15" t="str">
        <f>IFERROR(__xludf.DUMMYFUNCTION("""COMPUTED_VALUE"""),"I love tracy reese dresses, but this one is not for the very petite. i am just under 5 feet tall and usually wear a 0p in this brand. this dress was very pretty out of the package but its a lot of dress. the skirt is long and very full so it overwhelmed m"&amp;"y small frame. not a stranger to alterations, shortening and narrowing the skirt would take away from the embellishment of the garment. i love the color and the idea of the style but it just did not work on me. i returned this dress.")</f>
        <v>I love tracy reese dresses, but this one is not for the very petite. i am just under 5 feet tall and usually wear a 0p in this brand. this dress was very pretty out of the package but its a lot of dress. the skirt is long and very full so it overwhelmed my small frame. not a stranger to alterations, shortening and narrowing the skirt would take away from the embellishment of the garment. i love the color and the idea of the style but it just did not work on me. i returned this dress.</v>
      </c>
      <c r="F3" s="8">
        <f>IFERROR(__xludf.DUMMYFUNCTION("""COMPUTED_VALUE"""),2.0)</f>
        <v>2</v>
      </c>
      <c r="G3" s="8">
        <f>IFERROR(__xludf.DUMMYFUNCTION("""COMPUTED_VALUE"""),0.0)</f>
        <v>0</v>
      </c>
      <c r="H3" s="8">
        <f>IFERROR(__xludf.DUMMYFUNCTION("""COMPUTED_VALUE"""),4.0)</f>
        <v>4</v>
      </c>
      <c r="I3" s="8" t="str">
        <f>IFERROR(__xludf.DUMMYFUNCTION("""COMPUTED_VALUE"""),"General")</f>
        <v>General</v>
      </c>
      <c r="J3" s="8" t="str">
        <f>IFERROR(__xludf.DUMMYFUNCTION("""COMPUTED_VALUE"""),"Dresses")</f>
        <v>Dresses</v>
      </c>
      <c r="K3" s="8" t="str">
        <f>IFERROR(__xludf.DUMMYFUNCTION("""COMPUTED_VALUE"""),"Dresses")</f>
        <v>Dresses</v>
      </c>
      <c r="L3" s="8" t="str">
        <f t="shared" si="1"/>
        <v>Size issue--Style issue--</v>
      </c>
    </row>
    <row r="4">
      <c r="A4" s="8">
        <f>IFERROR(__xludf.DUMMYFUNCTION("""COMPUTED_VALUE"""),10.0)</f>
        <v>10</v>
      </c>
      <c r="B4" s="8">
        <f>IFERROR(__xludf.DUMMYFUNCTION("""COMPUTED_VALUE"""),1077.0)</f>
        <v>1077</v>
      </c>
      <c r="C4" s="8">
        <f>IFERROR(__xludf.DUMMYFUNCTION("""COMPUTED_VALUE"""),53.0)</f>
        <v>53</v>
      </c>
      <c r="D4" s="8" t="str">
        <f>IFERROR(__xludf.DUMMYFUNCTION("""COMPUTED_VALUE"""),"Dress looks like it's made of cheap material")</f>
        <v>Dress looks like it's made of cheap material</v>
      </c>
      <c r="E4" s="15" t="str">
        <f>IFERROR(__xludf.DUMMYFUNCTION("""COMPUTED_VALUE"""),"Dress runs small esp where the zipper area runs. i ordered the sp which typically fits me and it was very tight! the material on the top looks and feels very cheap that even just pulling on it will cause it to rip the fabric. pretty disappointed as it was"&amp;" going to be my christmas dress this year! needless to say it will be going back.")</f>
        <v>Dress runs small esp where the zipper area runs. i ordered the sp which typically fits me and it was very tight! the material on the top looks and feels very cheap that even just pulling on it will cause it to rip the fabric. pretty disappointed as it was going to be my christmas dress this year! needless to say it will be going back.</v>
      </c>
      <c r="F4" s="8">
        <f>IFERROR(__xludf.DUMMYFUNCTION("""COMPUTED_VALUE"""),3.0)</f>
        <v>3</v>
      </c>
      <c r="G4" s="8">
        <f>IFERROR(__xludf.DUMMYFUNCTION("""COMPUTED_VALUE"""),0.0)</f>
        <v>0</v>
      </c>
      <c r="H4" s="8">
        <f>IFERROR(__xludf.DUMMYFUNCTION("""COMPUTED_VALUE"""),14.0)</f>
        <v>14</v>
      </c>
      <c r="I4" s="8" t="str">
        <f>IFERROR(__xludf.DUMMYFUNCTION("""COMPUTED_VALUE"""),"General")</f>
        <v>General</v>
      </c>
      <c r="J4" s="8" t="str">
        <f>IFERROR(__xludf.DUMMYFUNCTION("""COMPUTED_VALUE"""),"Dresses")</f>
        <v>Dresses</v>
      </c>
      <c r="K4" s="8" t="str">
        <f>IFERROR(__xludf.DUMMYFUNCTION("""COMPUTED_VALUE"""),"Dresses")</f>
        <v>Dresses</v>
      </c>
      <c r="L4" s="8" t="str">
        <f t="shared" si="1"/>
        <v>Size issue-Fabric issue-Style issue--</v>
      </c>
    </row>
    <row r="5">
      <c r="A5" s="8">
        <f>IFERROR(__xludf.DUMMYFUNCTION("""COMPUTED_VALUE"""),22.0)</f>
        <v>22</v>
      </c>
      <c r="B5" s="8">
        <f>IFERROR(__xludf.DUMMYFUNCTION("""COMPUTED_VALUE"""),1077.0)</f>
        <v>1077</v>
      </c>
      <c r="C5" s="8">
        <f>IFERROR(__xludf.DUMMYFUNCTION("""COMPUTED_VALUE"""),31.0)</f>
        <v>31</v>
      </c>
      <c r="D5" s="8" t="str">
        <f>IFERROR(__xludf.DUMMYFUNCTION("""COMPUTED_VALUE"""),"Not what it looks like")</f>
        <v>Not what it looks like</v>
      </c>
      <c r="E5" s="15" t="str">
        <f>IFERROR(__xludf.DUMMYFUNCTION("""COMPUTED_VALUE"""),"First of all, this is not pullover styling. there is a side zipper. i wouldn't have purchased it if i knew there was a side zipper because i have a large bust and side zippers are next to impossible for me.
second of all, the tulle feels and looks cheap "&amp;"and the slip has an awkward tight shape underneath.
not at all what is looks like or is described as. sadly will be returning, but i'm sure i will find something to exchange it for!")</f>
        <v>First of all, this is not pullover styling. there is a side zipper. i wouldn't have purchased it if i knew there was a side zipper because i have a large bust and side zippers are next to impossible for me.
second of all, the tulle feels and looks cheap and the slip has an awkward tight shape underneath.
not at all what is looks like or is described as. sadly will be returning, but i'm sure i will find something to exchange it for!</v>
      </c>
      <c r="F5" s="8">
        <f>IFERROR(__xludf.DUMMYFUNCTION("""COMPUTED_VALUE"""),2.0)</f>
        <v>2</v>
      </c>
      <c r="G5" s="8">
        <f>IFERROR(__xludf.DUMMYFUNCTION("""COMPUTED_VALUE"""),0.0)</f>
        <v>0</v>
      </c>
      <c r="H5" s="8">
        <f>IFERROR(__xludf.DUMMYFUNCTION("""COMPUTED_VALUE"""),7.0)</f>
        <v>7</v>
      </c>
      <c r="I5" s="8" t="str">
        <f>IFERROR(__xludf.DUMMYFUNCTION("""COMPUTED_VALUE"""),"General")</f>
        <v>General</v>
      </c>
      <c r="J5" s="8" t="str">
        <f>IFERROR(__xludf.DUMMYFUNCTION("""COMPUTED_VALUE"""),"Dresses")</f>
        <v>Dresses</v>
      </c>
      <c r="K5" s="8" t="str">
        <f>IFERROR(__xludf.DUMMYFUNCTION("""COMPUTED_VALUE"""),"Dresses")</f>
        <v>Dresses</v>
      </c>
      <c r="L5" s="8" t="str">
        <f t="shared" si="1"/>
        <v>Size issue--Style issue--</v>
      </c>
    </row>
    <row r="6">
      <c r="A6" s="8">
        <f>IFERROR(__xludf.DUMMYFUNCTION("""COMPUTED_VALUE"""),25.0)</f>
        <v>25</v>
      </c>
      <c r="B6" s="8">
        <f>IFERROR(__xludf.DUMMYFUNCTION("""COMPUTED_VALUE"""),697.0)</f>
        <v>697</v>
      </c>
      <c r="C6" s="8">
        <f>IFERROR(__xludf.DUMMYFUNCTION("""COMPUTED_VALUE"""),31.0)</f>
        <v>31</v>
      </c>
      <c r="D6" s="8" t="str">
        <f>IFERROR(__xludf.DUMMYFUNCTION("""COMPUTED_VALUE"""),"Falls flat")</f>
        <v>Falls flat</v>
      </c>
      <c r="E6" s="15" t="str">
        <f>IFERROR(__xludf.DUMMYFUNCTION("""COMPUTED_VALUE"""),"Loved the material, but i didnt really look at how long the dress was before i purchased both a large and a medium. im 5'5"" and there was atleast 5"" of material at my feet. the gaps in the front are much wider than they look. felt like the dress just fe"&amp;"ll flat. both were returned. im usually a large and the med fit better. 36d 30 in jeans")</f>
        <v>Loved the material, but i didnt really look at how long the dress was before i purchased both a large and a medium. im 5'5" and there was atleast 5" of material at my feet. the gaps in the front are much wider than they look. felt like the dress just fell flat. both were returned. im usually a large and the med fit better. 36d 30 in jeans</v>
      </c>
      <c r="F6" s="8">
        <f>IFERROR(__xludf.DUMMYFUNCTION("""COMPUTED_VALUE"""),3.0)</f>
        <v>3</v>
      </c>
      <c r="G6" s="8">
        <f>IFERROR(__xludf.DUMMYFUNCTION("""COMPUTED_VALUE"""),0.0)</f>
        <v>0</v>
      </c>
      <c r="H6" s="8">
        <f>IFERROR(__xludf.DUMMYFUNCTION("""COMPUTED_VALUE"""),0.0)</f>
        <v>0</v>
      </c>
      <c r="I6" s="8" t="str">
        <f>IFERROR(__xludf.DUMMYFUNCTION("""COMPUTED_VALUE"""),"Initmates")</f>
        <v>Initmates</v>
      </c>
      <c r="J6" s="8" t="str">
        <f>IFERROR(__xludf.DUMMYFUNCTION("""COMPUTED_VALUE"""),"Intimate")</f>
        <v>Intimate</v>
      </c>
      <c r="K6" s="8" t="str">
        <f>IFERROR(__xludf.DUMMYFUNCTION("""COMPUTED_VALUE"""),"Lounge")</f>
        <v>Lounge</v>
      </c>
      <c r="L6" s="8" t="str">
        <f t="shared" si="1"/>
        <v>Size issue-Fabric issue---</v>
      </c>
    </row>
    <row r="7">
      <c r="A7" s="8">
        <f>IFERROR(__xludf.DUMMYFUNCTION("""COMPUTED_VALUE"""),26.0)</f>
        <v>26</v>
      </c>
      <c r="B7" s="8">
        <f>IFERROR(__xludf.DUMMYFUNCTION("""COMPUTED_VALUE"""),949.0)</f>
        <v>949</v>
      </c>
      <c r="C7" s="8">
        <f>IFERROR(__xludf.DUMMYFUNCTION("""COMPUTED_VALUE"""),33.0)</f>
        <v>33</v>
      </c>
      <c r="D7" s="8" t="str">
        <f>IFERROR(__xludf.DUMMYFUNCTION("""COMPUTED_VALUE"""),"Huge disappointment")</f>
        <v>Huge disappointment</v>
      </c>
      <c r="E7" s="15" t="str">
        <f>IFERROR(__xludf.DUMMYFUNCTION("""COMPUTED_VALUE"""),"I have been waiting for this sweater coat to ship for weeks and i was so excited for it to arrive. this coat is not true to size and made me look short and squat. the sleeves are very wide (although long). as a light weight fall coat the sleeves don't nee"&amp;"d to be as wide because you wouldn't be layerng too much underneath. the buttons need to be moved at least three inches in for a nicer fit. i thought about redoing the buttons myself but the sleeves looked even more out of proportion with a tigh")</f>
        <v>I have been waiting for this sweater coat to ship for weeks and i was so excited for it to arrive. this coat is not true to size and made me look short and squat. the sleeves are very wide (although long). as a light weight fall coat the sleeves don't need to be as wide because you wouldn't be layerng too much underneath. the buttons need to be moved at least three inches in for a nicer fit. i thought about redoing the buttons myself but the sleeves looked even more out of proportion with a tigh</v>
      </c>
      <c r="F7" s="8">
        <f>IFERROR(__xludf.DUMMYFUNCTION("""COMPUTED_VALUE"""),2.0)</f>
        <v>2</v>
      </c>
      <c r="G7" s="8">
        <f>IFERROR(__xludf.DUMMYFUNCTION("""COMPUTED_VALUE"""),0.0)</f>
        <v>0</v>
      </c>
      <c r="H7" s="8">
        <f>IFERROR(__xludf.DUMMYFUNCTION("""COMPUTED_VALUE"""),0.0)</f>
        <v>0</v>
      </c>
      <c r="I7" s="8" t="str">
        <f>IFERROR(__xludf.DUMMYFUNCTION("""COMPUTED_VALUE"""),"General")</f>
        <v>General</v>
      </c>
      <c r="J7" s="8" t="str">
        <f>IFERROR(__xludf.DUMMYFUNCTION("""COMPUTED_VALUE"""),"Tops")</f>
        <v>Tops</v>
      </c>
      <c r="K7" s="8" t="str">
        <f>IFERROR(__xludf.DUMMYFUNCTION("""COMPUTED_VALUE"""),"Sweaters")</f>
        <v>Sweaters</v>
      </c>
      <c r="L7" s="8" t="str">
        <f t="shared" si="1"/>
        <v>Size issue----</v>
      </c>
    </row>
    <row r="8">
      <c r="A8" s="8">
        <f>IFERROR(__xludf.DUMMYFUNCTION("""COMPUTED_VALUE"""),33.0)</f>
        <v>33</v>
      </c>
      <c r="B8" s="8">
        <f>IFERROR(__xludf.DUMMYFUNCTION("""COMPUTED_VALUE"""),949.0)</f>
        <v>949</v>
      </c>
      <c r="C8" s="8">
        <f>IFERROR(__xludf.DUMMYFUNCTION("""COMPUTED_VALUE"""),36.0)</f>
        <v>36</v>
      </c>
      <c r="D8" s="8" t="str">
        <f>IFERROR(__xludf.DUMMYFUNCTION("""COMPUTED_VALUE"""),"Mehh")</f>
        <v>Mehh</v>
      </c>
      <c r="E8" s="15" t="str">
        <f>IFERROR(__xludf.DUMMYFUNCTION("""COMPUTED_VALUE"""),"I ordered this 3 months ago, and it finally came off back order. a huge disappointment. the fit wasn&amp;#39;t so much the issue for me. the quality of the wool is subpar. someone else mentioned a &amp;quot;felted wool&amp;quot;...i guess, is that what you call it?  "&amp;"it does literally feel like felt! super thin, itchy, doesn&amp;#39;t drape very well, and feels cheap (made in china). i got it on sale, but still not worth what i paid. definitely going back.")</f>
        <v>I ordered this 3 months ago, and it finally came off back order. a huge disappointment. the fit wasn&amp;#39;t so much the issue for me. the quality of the wool is subpar. someone else mentioned a &amp;quot;felted wool&amp;quot;...i guess, is that what you call it?  it does literally feel like felt! super thin, itchy, doesn&amp;#39;t drape very well, and feels cheap (made in china). i got it on sale, but still not worth what i paid. definitely going back.</v>
      </c>
      <c r="F8" s="8">
        <f>IFERROR(__xludf.DUMMYFUNCTION("""COMPUTED_VALUE"""),2.0)</f>
        <v>2</v>
      </c>
      <c r="G8" s="8">
        <f>IFERROR(__xludf.DUMMYFUNCTION("""COMPUTED_VALUE"""),0.0)</f>
        <v>0</v>
      </c>
      <c r="H8" s="8">
        <f>IFERROR(__xludf.DUMMYFUNCTION("""COMPUTED_VALUE"""),0.0)</f>
        <v>0</v>
      </c>
      <c r="I8" s="8" t="str">
        <f>IFERROR(__xludf.DUMMYFUNCTION("""COMPUTED_VALUE"""),"General")</f>
        <v>General</v>
      </c>
      <c r="J8" s="8" t="str">
        <f>IFERROR(__xludf.DUMMYFUNCTION("""COMPUTED_VALUE"""),"Tops")</f>
        <v>Tops</v>
      </c>
      <c r="K8" s="8" t="str">
        <f>IFERROR(__xludf.DUMMYFUNCTION("""COMPUTED_VALUE"""),"Sweaters")</f>
        <v>Sweaters</v>
      </c>
      <c r="L8" s="8" t="str">
        <f t="shared" si="1"/>
        <v>-Fabric issue-Style issue--</v>
      </c>
    </row>
    <row r="9">
      <c r="A9" s="8">
        <f>IFERROR(__xludf.DUMMYFUNCTION("""COMPUTED_VALUE"""),56.0)</f>
        <v>56</v>
      </c>
      <c r="B9" s="8">
        <f>IFERROR(__xludf.DUMMYFUNCTION("""COMPUTED_VALUE"""),368.0)</f>
        <v>368</v>
      </c>
      <c r="C9" s="8">
        <f>IFERROR(__xludf.DUMMYFUNCTION("""COMPUTED_VALUE"""),33.0)</f>
        <v>33</v>
      </c>
      <c r="D9" s="8"/>
      <c r="E9" s="15" t="str">
        <f>IFERROR(__xludf.DUMMYFUNCTION("""COMPUTED_VALUE"""),"I am pregnant and i thought this would be a great sleep bra. it's soft and fits okay, but it has zero support or shape. i would only buy if you are a b cup or smaller and can get away without support. if i would have seen this is the store, i would have p"&amp;"assed over it. however, i was too lazy to return so i am wearing it. it's comfortable so that's a redeeming quality. i would not recommend for larger chested ladies, though!")</f>
        <v>I am pregnant and i thought this would be a great sleep bra. it's soft and fits okay, but it has zero support or shape. i would only buy if you are a b cup or smaller and can get away without support. if i would have seen this is the store, i would have passed over it. however, i was too lazy to return so i am wearing it. it's comfortable so that's a redeeming quality. i would not recommend for larger chested ladies, though!</v>
      </c>
      <c r="F9" s="8">
        <f>IFERROR(__xludf.DUMMYFUNCTION("""COMPUTED_VALUE"""),2.0)</f>
        <v>2</v>
      </c>
      <c r="G9" s="8">
        <f>IFERROR(__xludf.DUMMYFUNCTION("""COMPUTED_VALUE"""),0.0)</f>
        <v>0</v>
      </c>
      <c r="H9" s="8">
        <f>IFERROR(__xludf.DUMMYFUNCTION("""COMPUTED_VALUE"""),3.0)</f>
        <v>3</v>
      </c>
      <c r="I9" s="8" t="str">
        <f>IFERROR(__xludf.DUMMYFUNCTION("""COMPUTED_VALUE"""),"Initmates")</f>
        <v>Initmates</v>
      </c>
      <c r="J9" s="8" t="str">
        <f>IFERROR(__xludf.DUMMYFUNCTION("""COMPUTED_VALUE"""),"Intimate")</f>
        <v>Intimate</v>
      </c>
      <c r="K9" s="8" t="str">
        <f>IFERROR(__xludf.DUMMYFUNCTION("""COMPUTED_VALUE"""),"Intimates")</f>
        <v>Intimates</v>
      </c>
      <c r="L9" s="8" t="str">
        <f t="shared" si="1"/>
        <v>Size issue----</v>
      </c>
    </row>
    <row r="10">
      <c r="A10" s="8">
        <f>IFERROR(__xludf.DUMMYFUNCTION("""COMPUTED_VALUE"""),57.0)</f>
        <v>57</v>
      </c>
      <c r="B10" s="8">
        <f>IFERROR(__xludf.DUMMYFUNCTION("""COMPUTED_VALUE"""),862.0)</f>
        <v>862</v>
      </c>
      <c r="C10" s="8">
        <f>IFERROR(__xludf.DUMMYFUNCTION("""COMPUTED_VALUE"""),31.0)</f>
        <v>31</v>
      </c>
      <c r="D10" s="8" t="str">
        <f>IFERROR(__xludf.DUMMYFUNCTION("""COMPUTED_VALUE"""),"Boring front, great back")</f>
        <v>Boring front, great back</v>
      </c>
      <c r="E10" s="15" t="str">
        <f>IFERROR(__xludf.DUMMYFUNCTION("""COMPUTED_VALUE"""),"This tank fit well and i loved the ruffle in the back and how it layed. but the front was not a good look and i will be retuning it.")</f>
        <v>This tank fit well and i loved the ruffle in the back and how it layed. but the front was not a good look and i will be retuning it.</v>
      </c>
      <c r="F10" s="8">
        <f>IFERROR(__xludf.DUMMYFUNCTION("""COMPUTED_VALUE"""),3.0)</f>
        <v>3</v>
      </c>
      <c r="G10" s="8">
        <f>IFERROR(__xludf.DUMMYFUNCTION("""COMPUTED_VALUE"""),0.0)</f>
        <v>0</v>
      </c>
      <c r="H10" s="8">
        <f>IFERROR(__xludf.DUMMYFUNCTION("""COMPUTED_VALUE"""),0.0)</f>
        <v>0</v>
      </c>
      <c r="I10" s="8" t="str">
        <f>IFERROR(__xludf.DUMMYFUNCTION("""COMPUTED_VALUE"""),"General")</f>
        <v>General</v>
      </c>
      <c r="J10" s="8" t="str">
        <f>IFERROR(__xludf.DUMMYFUNCTION("""COMPUTED_VALUE"""),"Tops")</f>
        <v>Tops</v>
      </c>
      <c r="K10" s="8" t="str">
        <f>IFERROR(__xludf.DUMMYFUNCTION("""COMPUTED_VALUE"""),"Knits")</f>
        <v>Knits</v>
      </c>
      <c r="L10" s="8" t="str">
        <f t="shared" si="1"/>
        <v>----</v>
      </c>
    </row>
    <row r="11">
      <c r="A11" s="8">
        <f>IFERROR(__xludf.DUMMYFUNCTION("""COMPUTED_VALUE"""),61.0)</f>
        <v>61</v>
      </c>
      <c r="B11" s="8">
        <f>IFERROR(__xludf.DUMMYFUNCTION("""COMPUTED_VALUE"""),368.0)</f>
        <v>368</v>
      </c>
      <c r="C11" s="8">
        <f>IFERROR(__xludf.DUMMYFUNCTION("""COMPUTED_VALUE"""),36.0)</f>
        <v>36</v>
      </c>
      <c r="D11" s="8" t="str">
        <f>IFERROR(__xludf.DUMMYFUNCTION("""COMPUTED_VALUE"""),"Itchy tags")</f>
        <v>Itchy tags</v>
      </c>
      <c r="E11" s="15" t="str">
        <f>IFERROR(__xludf.DUMMYFUNCTION("""COMPUTED_VALUE"""),"3 tags sewn in, 2 small (about 1'' long) and 1 huge (about 2'' x 3''). very itchy so i cut them out. then the thread left behind was plasticy and even more itchy! how can you make an intimates item with such itchy tags? not comfortable at all! also - i lo"&amp;"ve bralettes and wear them all the time including to work. i am a b cup. however, this one is so thin and flimsy that it gives no support even to a b cup - so for me this would only be a lounging bralette - if it wasn't so itchy!")</f>
        <v>3 tags sewn in, 2 small (about 1'' long) and 1 huge (about 2'' x 3''). very itchy so i cut them out. then the thread left behind was plasticy and even more itchy! how can you make an intimates item with such itchy tags? not comfortable at all! also - i love bralettes and wear them all the time including to work. i am a b cup. however, this one is so thin and flimsy that it gives no support even to a b cup - so for me this would only be a lounging bralette - if it wasn't so itchy!</v>
      </c>
      <c r="F11" s="8">
        <f>IFERROR(__xludf.DUMMYFUNCTION("""COMPUTED_VALUE"""),1.0)</f>
        <v>1</v>
      </c>
      <c r="G11" s="8">
        <f>IFERROR(__xludf.DUMMYFUNCTION("""COMPUTED_VALUE"""),0.0)</f>
        <v>0</v>
      </c>
      <c r="H11" s="8">
        <f>IFERROR(__xludf.DUMMYFUNCTION("""COMPUTED_VALUE"""),0.0)</f>
        <v>0</v>
      </c>
      <c r="I11" s="8" t="str">
        <f>IFERROR(__xludf.DUMMYFUNCTION("""COMPUTED_VALUE"""),"Initmates")</f>
        <v>Initmates</v>
      </c>
      <c r="J11" s="8" t="str">
        <f>IFERROR(__xludf.DUMMYFUNCTION("""COMPUTED_VALUE"""),"Intimate")</f>
        <v>Intimate</v>
      </c>
      <c r="K11" s="8" t="str">
        <f>IFERROR(__xludf.DUMMYFUNCTION("""COMPUTED_VALUE"""),"Intimates")</f>
        <v>Intimates</v>
      </c>
      <c r="L11" s="8" t="str">
        <f t="shared" si="1"/>
        <v>Size issue----</v>
      </c>
    </row>
    <row r="12">
      <c r="A12" s="8">
        <f>IFERROR(__xludf.DUMMYFUNCTION("""COMPUTED_VALUE"""),68.0)</f>
        <v>68</v>
      </c>
      <c r="B12" s="8">
        <f>IFERROR(__xludf.DUMMYFUNCTION("""COMPUTED_VALUE"""),862.0)</f>
        <v>862</v>
      </c>
      <c r="C12" s="8">
        <f>IFERROR(__xludf.DUMMYFUNCTION("""COMPUTED_VALUE"""),37.0)</f>
        <v>37</v>
      </c>
      <c r="D12" s="8" t="str">
        <f>IFERROR(__xludf.DUMMYFUNCTION("""COMPUTED_VALUE"""),"I wanted to love this top...")</f>
        <v>I wanted to love this top...</v>
      </c>
      <c r="E12" s="15" t="str">
        <f>IFERROR(__xludf.DUMMYFUNCTION("""COMPUTED_VALUE"""),"I really loved this top online and wanted to love it in person. it is soft and the patter is okay in person. the neckline is higher than i am used to. also, there are two buttons in the back that must be unbuttoned in order to wear the top. it is difficul"&amp;"t to button them behind your neck with the top on. unfortunately i had to return this item...")</f>
        <v>I really loved this top online and wanted to love it in person. it is soft and the patter is okay in person. the neckline is higher than i am used to. also, there are two buttons in the back that must be unbuttoned in order to wear the top. it is difficult to button them behind your neck with the top on. unfortunately i had to return this item...</v>
      </c>
      <c r="F12" s="8">
        <f>IFERROR(__xludf.DUMMYFUNCTION("""COMPUTED_VALUE"""),2.0)</f>
        <v>2</v>
      </c>
      <c r="G12" s="8">
        <f>IFERROR(__xludf.DUMMYFUNCTION("""COMPUTED_VALUE"""),0.0)</f>
        <v>0</v>
      </c>
      <c r="H12" s="8">
        <f>IFERROR(__xludf.DUMMYFUNCTION("""COMPUTED_VALUE"""),0.0)</f>
        <v>0</v>
      </c>
      <c r="I12" s="8" t="str">
        <f>IFERROR(__xludf.DUMMYFUNCTION("""COMPUTED_VALUE"""),"General")</f>
        <v>General</v>
      </c>
      <c r="J12" s="8" t="str">
        <f>IFERROR(__xludf.DUMMYFUNCTION("""COMPUTED_VALUE"""),"Tops")</f>
        <v>Tops</v>
      </c>
      <c r="K12" s="8" t="str">
        <f>IFERROR(__xludf.DUMMYFUNCTION("""COMPUTED_VALUE"""),"Knits")</f>
        <v>Knits</v>
      </c>
      <c r="L12" s="8" t="str">
        <f t="shared" si="1"/>
        <v>----</v>
      </c>
    </row>
    <row r="13">
      <c r="A13" s="8">
        <f>IFERROR(__xludf.DUMMYFUNCTION("""COMPUTED_VALUE"""),69.0)</f>
        <v>69</v>
      </c>
      <c r="B13" s="8">
        <f>IFERROR(__xludf.DUMMYFUNCTION("""COMPUTED_VALUE"""),1078.0)</f>
        <v>1078</v>
      </c>
      <c r="C13" s="8">
        <f>IFERROR(__xludf.DUMMYFUNCTION("""COMPUTED_VALUE"""),56.0)</f>
        <v>56</v>
      </c>
      <c r="D13" s="8" t="str">
        <f>IFERROR(__xludf.DUMMYFUNCTION("""COMPUTED_VALUE"""),"Great summer fabric!")</f>
        <v>Great summer fabric!</v>
      </c>
      <c r="E13" s="15" t="str">
        <f>IFERROR(__xludf.DUMMYFUNCTION("""COMPUTED_VALUE"""),"I really wanted this to work. alas, it had a strange fit for me. the straps would not stay up, and it had a weird fit under the breast. it worked standing up, but the minute i sat down it fell off my shoulders. the fabric was beautiful! and i loved that i"&amp;"t had pockets.")</f>
        <v>I really wanted this to work. alas, it had a strange fit for me. the straps would not stay up, and it had a weird fit under the breast. it worked standing up, but the minute i sat down it fell off my shoulders. the fabric was beautiful! and i loved that it had pockets.</v>
      </c>
      <c r="F13" s="8">
        <f>IFERROR(__xludf.DUMMYFUNCTION("""COMPUTED_VALUE"""),3.0)</f>
        <v>3</v>
      </c>
      <c r="G13" s="8">
        <f>IFERROR(__xludf.DUMMYFUNCTION("""COMPUTED_VALUE"""),0.0)</f>
        <v>0</v>
      </c>
      <c r="H13" s="8">
        <f>IFERROR(__xludf.DUMMYFUNCTION("""COMPUTED_VALUE"""),1.0)</f>
        <v>1</v>
      </c>
      <c r="I13" s="8" t="str">
        <f>IFERROR(__xludf.DUMMYFUNCTION("""COMPUTED_VALUE"""),"General Petite")</f>
        <v>General Petite</v>
      </c>
      <c r="J13" s="8" t="str">
        <f>IFERROR(__xludf.DUMMYFUNCTION("""COMPUTED_VALUE"""),"Dresses")</f>
        <v>Dresses</v>
      </c>
      <c r="K13" s="8" t="str">
        <f>IFERROR(__xludf.DUMMYFUNCTION("""COMPUTED_VALUE"""),"Dresses")</f>
        <v>Dresses</v>
      </c>
      <c r="L13" s="8" t="str">
        <f t="shared" si="1"/>
        <v>Size issue----</v>
      </c>
    </row>
    <row r="14">
      <c r="A14" s="8">
        <f>IFERROR(__xludf.DUMMYFUNCTION("""COMPUTED_VALUE"""),71.0)</f>
        <v>71</v>
      </c>
      <c r="B14" s="8">
        <f>IFERROR(__xludf.DUMMYFUNCTION("""COMPUTED_VALUE"""),822.0)</f>
        <v>822</v>
      </c>
      <c r="C14" s="8">
        <f>IFERROR(__xludf.DUMMYFUNCTION("""COMPUTED_VALUE"""),36.0)</f>
        <v>36</v>
      </c>
      <c r="D14" s="8" t="str">
        <f>IFERROR(__xludf.DUMMYFUNCTION("""COMPUTED_VALUE"""),"Short and boxy")</f>
        <v>Short and boxy</v>
      </c>
      <c r="E14" s="15" t="str">
        <f>IFERROR(__xludf.DUMMYFUNCTION("""COMPUTED_VALUE"""),"Why do designers keep making crop tops??!! i can't imagine this would be flattering on anyone, especially someone average height and well endowed on top. i looked like a football player. the pattern and fabric are gorgeous, so if you are like 4' tall and "&amp;"super tiny and can fit xxs this may work? i am between a 6-8 and fit a small and it was huge on me and almost was bigger at the bottom than the top. such a weird cut. there is a cami underneath so if it rides up that will show but that is so 80s")</f>
        <v>Why do designers keep making crop tops??!! i can't imagine this would be flattering on anyone, especially someone average height and well endowed on top. i looked like a football player. the pattern and fabric are gorgeous, so if you are like 4' tall and super tiny and can fit xxs this may work? i am between a 6-8 and fit a small and it was huge on me and almost was bigger at the bottom than the top. such a weird cut. there is a cami underneath so if it rides up that will show but that is so 80s</v>
      </c>
      <c r="F14" s="8">
        <f>IFERROR(__xludf.DUMMYFUNCTION("""COMPUTED_VALUE"""),2.0)</f>
        <v>2</v>
      </c>
      <c r="G14" s="8">
        <f>IFERROR(__xludf.DUMMYFUNCTION("""COMPUTED_VALUE"""),0.0)</f>
        <v>0</v>
      </c>
      <c r="H14" s="8">
        <f>IFERROR(__xludf.DUMMYFUNCTION("""COMPUTED_VALUE"""),0.0)</f>
        <v>0</v>
      </c>
      <c r="I14" s="8" t="str">
        <f>IFERROR(__xludf.DUMMYFUNCTION("""COMPUTED_VALUE"""),"General")</f>
        <v>General</v>
      </c>
      <c r="J14" s="8" t="str">
        <f>IFERROR(__xludf.DUMMYFUNCTION("""COMPUTED_VALUE"""),"Tops")</f>
        <v>Tops</v>
      </c>
      <c r="K14" s="8" t="str">
        <f>IFERROR(__xludf.DUMMYFUNCTION("""COMPUTED_VALUE"""),"Blouses")</f>
        <v>Blouses</v>
      </c>
      <c r="L14" s="8" t="str">
        <f t="shared" si="1"/>
        <v>Size issue--Style issue--</v>
      </c>
    </row>
    <row r="15">
      <c r="A15" s="8">
        <f>IFERROR(__xludf.DUMMYFUNCTION("""COMPUTED_VALUE"""),77.0)</f>
        <v>77</v>
      </c>
      <c r="B15" s="8">
        <f>IFERROR(__xludf.DUMMYFUNCTION("""COMPUTED_VALUE"""),850.0)</f>
        <v>850</v>
      </c>
      <c r="C15" s="8">
        <f>IFERROR(__xludf.DUMMYFUNCTION("""COMPUTED_VALUE"""),28.0)</f>
        <v>28</v>
      </c>
      <c r="D15" s="8" t="str">
        <f>IFERROR(__xludf.DUMMYFUNCTION("""COMPUTED_VALUE"""),"Zipper broke")</f>
        <v>Zipper broke</v>
      </c>
      <c r="E15" s="15" t="str">
        <f>IFERROR(__xludf.DUMMYFUNCTION("""COMPUTED_VALUE"""),"The zipper broke on this piece the first time i wore it. very disappointing since i love the design. i'm actually going to try to replace the zipper myself with something stronger, but annoying that it's come to that.")</f>
        <v>The zipper broke on this piece the first time i wore it. very disappointing since i love the design. i'm actually going to try to replace the zipper myself with something stronger, but annoying that it's come to that.</v>
      </c>
      <c r="F15" s="8">
        <f>IFERROR(__xludf.DUMMYFUNCTION("""COMPUTED_VALUE"""),2.0)</f>
        <v>2</v>
      </c>
      <c r="G15" s="8">
        <f>IFERROR(__xludf.DUMMYFUNCTION("""COMPUTED_VALUE"""),0.0)</f>
        <v>0</v>
      </c>
      <c r="H15" s="8">
        <f>IFERROR(__xludf.DUMMYFUNCTION("""COMPUTED_VALUE"""),0.0)</f>
        <v>0</v>
      </c>
      <c r="I15" s="8" t="str">
        <f>IFERROR(__xludf.DUMMYFUNCTION("""COMPUTED_VALUE"""),"General Petite")</f>
        <v>General Petite</v>
      </c>
      <c r="J15" s="8" t="str">
        <f>IFERROR(__xludf.DUMMYFUNCTION("""COMPUTED_VALUE"""),"Tops")</f>
        <v>Tops</v>
      </c>
      <c r="K15" s="8" t="str">
        <f>IFERROR(__xludf.DUMMYFUNCTION("""COMPUTED_VALUE"""),"Blouses")</f>
        <v>Blouses</v>
      </c>
      <c r="L15" s="8" t="str">
        <f t="shared" si="1"/>
        <v>--Style issue--</v>
      </c>
    </row>
    <row r="16">
      <c r="A16" s="8">
        <f>IFERROR(__xludf.DUMMYFUNCTION("""COMPUTED_VALUE"""),85.0)</f>
        <v>85</v>
      </c>
      <c r="B16" s="8">
        <f>IFERROR(__xludf.DUMMYFUNCTION("""COMPUTED_VALUE"""),866.0)</f>
        <v>866</v>
      </c>
      <c r="C16" s="8">
        <f>IFERROR(__xludf.DUMMYFUNCTION("""COMPUTED_VALUE"""),58.0)</f>
        <v>58</v>
      </c>
      <c r="D16" s="8"/>
      <c r="E16" s="15" t="str">
        <f>IFERROR(__xludf.DUMMYFUNCTION("""COMPUTED_VALUE"""),"I was really hoping to like this, but it did not look the way it does on the model, at least not on me. the sharkbite hem is much more pronounced and looser. the one in the photo looks like it was pinned back. i am 5'8"" and usually wear a medium or large"&amp;". i got a medium and there was a lot more material on the bottom half than the photo shows. it made me look bigger and was not flattering. material has a nice weave but it's thin and delicate. i bought the (holly) deep olive and the blue. colors")</f>
        <v>I was really hoping to like this, but it did not look the way it does on the model, at least not on me. the sharkbite hem is much more pronounced and looser. the one in the photo looks like it was pinned back. i am 5'8" and usually wear a medium or large. i got a medium and there was a lot more material on the bottom half than the photo shows. it made me look bigger and was not flattering. material has a nice weave but it's thin and delicate. i bought the (holly) deep olive and the blue. colors</v>
      </c>
      <c r="F16" s="8">
        <f>IFERROR(__xludf.DUMMYFUNCTION("""COMPUTED_VALUE"""),1.0)</f>
        <v>1</v>
      </c>
      <c r="G16" s="8">
        <f>IFERROR(__xludf.DUMMYFUNCTION("""COMPUTED_VALUE"""),0.0)</f>
        <v>0</v>
      </c>
      <c r="H16" s="8">
        <f>IFERROR(__xludf.DUMMYFUNCTION("""COMPUTED_VALUE"""),2.0)</f>
        <v>2</v>
      </c>
      <c r="I16" s="8" t="str">
        <f>IFERROR(__xludf.DUMMYFUNCTION("""COMPUTED_VALUE"""),"General Petite")</f>
        <v>General Petite</v>
      </c>
      <c r="J16" s="8" t="str">
        <f>IFERROR(__xludf.DUMMYFUNCTION("""COMPUTED_VALUE"""),"Tops")</f>
        <v>Tops</v>
      </c>
      <c r="K16" s="8" t="str">
        <f>IFERROR(__xludf.DUMMYFUNCTION("""COMPUTED_VALUE"""),"Knits")</f>
        <v>Knits</v>
      </c>
      <c r="L16" s="8" t="str">
        <f t="shared" si="1"/>
        <v>Size issue-Fabric issue-Style issue--Matching Awareness issue</v>
      </c>
    </row>
    <row r="17">
      <c r="A17" s="8">
        <f>IFERROR(__xludf.DUMMYFUNCTION("""COMPUTED_VALUE"""),88.0)</f>
        <v>88</v>
      </c>
      <c r="B17" s="8">
        <f>IFERROR(__xludf.DUMMYFUNCTION("""COMPUTED_VALUE"""),845.0)</f>
        <v>845</v>
      </c>
      <c r="C17" s="8">
        <f>IFERROR(__xludf.DUMMYFUNCTION("""COMPUTED_VALUE"""),38.0)</f>
        <v>38</v>
      </c>
      <c r="D17" s="8" t="str">
        <f>IFERROR(__xludf.DUMMYFUNCTION("""COMPUTED_VALUE"""),"Huge")</f>
        <v>Huge</v>
      </c>
      <c r="E17" s="15" t="str">
        <f>IFERROR(__xludf.DUMMYFUNCTION("""COMPUTED_VALUE"""),"Really cute piece, but it's huge. i ordered an xxs petite and it was unfortunately extremely wide and not flattering. returning.")</f>
        <v>Really cute piece, but it's huge. i ordered an xxs petite and it was unfortunately extremely wide and not flattering. returning.</v>
      </c>
      <c r="F17" s="8">
        <f>IFERROR(__xludf.DUMMYFUNCTION("""COMPUTED_VALUE"""),2.0)</f>
        <v>2</v>
      </c>
      <c r="G17" s="8">
        <f>IFERROR(__xludf.DUMMYFUNCTION("""COMPUTED_VALUE"""),0.0)</f>
        <v>0</v>
      </c>
      <c r="H17" s="8">
        <f>IFERROR(__xludf.DUMMYFUNCTION("""COMPUTED_VALUE"""),4.0)</f>
        <v>4</v>
      </c>
      <c r="I17" s="8" t="str">
        <f>IFERROR(__xludf.DUMMYFUNCTION("""COMPUTED_VALUE"""),"General Petite")</f>
        <v>General Petite</v>
      </c>
      <c r="J17" s="8" t="str">
        <f>IFERROR(__xludf.DUMMYFUNCTION("""COMPUTED_VALUE"""),"Tops")</f>
        <v>Tops</v>
      </c>
      <c r="K17" s="8" t="str">
        <f>IFERROR(__xludf.DUMMYFUNCTION("""COMPUTED_VALUE"""),"Blouses")</f>
        <v>Blouses</v>
      </c>
      <c r="L17" s="8" t="str">
        <f t="shared" si="1"/>
        <v>Size issue----</v>
      </c>
    </row>
    <row r="18">
      <c r="A18" s="8">
        <f>IFERROR(__xludf.DUMMYFUNCTION("""COMPUTED_VALUE"""),96.0)</f>
        <v>96</v>
      </c>
      <c r="B18" s="8">
        <f>IFERROR(__xludf.DUMMYFUNCTION("""COMPUTED_VALUE"""),845.0)</f>
        <v>845</v>
      </c>
      <c r="C18" s="8">
        <f>IFERROR(__xludf.DUMMYFUNCTION("""COMPUTED_VALUE"""),44.0)</f>
        <v>44</v>
      </c>
      <c r="D18" s="8"/>
      <c r="E18" s="15" t="str">
        <f>IFERROR(__xludf.DUMMYFUNCTION("""COMPUTED_VALUE"""),"I usually wear a medium and bought a small. it fit ok, but had no shape and was not flattering. i love baby doll dresses and tops, but this was a tent. my daughter saw me try it on and said ""that's a piece of tablecloth."" it's going back.")</f>
        <v>I usually wear a medium and bought a small. it fit ok, but had no shape and was not flattering. i love baby doll dresses and tops, but this was a tent. my daughter saw me try it on and said "that's a piece of tablecloth." it's going back.</v>
      </c>
      <c r="F18" s="8">
        <f>IFERROR(__xludf.DUMMYFUNCTION("""COMPUTED_VALUE"""),1.0)</f>
        <v>1</v>
      </c>
      <c r="G18" s="8">
        <f>IFERROR(__xludf.DUMMYFUNCTION("""COMPUTED_VALUE"""),0.0)</f>
        <v>0</v>
      </c>
      <c r="H18" s="8">
        <f>IFERROR(__xludf.DUMMYFUNCTION("""COMPUTED_VALUE"""),0.0)</f>
        <v>0</v>
      </c>
      <c r="I18" s="8" t="str">
        <f>IFERROR(__xludf.DUMMYFUNCTION("""COMPUTED_VALUE"""),"General Petite")</f>
        <v>General Petite</v>
      </c>
      <c r="J18" s="8" t="str">
        <f>IFERROR(__xludf.DUMMYFUNCTION("""COMPUTED_VALUE"""),"Tops")</f>
        <v>Tops</v>
      </c>
      <c r="K18" s="8" t="str">
        <f>IFERROR(__xludf.DUMMYFUNCTION("""COMPUTED_VALUE"""),"Blouses")</f>
        <v>Blouses</v>
      </c>
      <c r="L18" s="8" t="str">
        <f t="shared" si="1"/>
        <v>Size issue----</v>
      </c>
    </row>
    <row r="19">
      <c r="A19" s="8">
        <f>IFERROR(__xludf.DUMMYFUNCTION("""COMPUTED_VALUE"""),97.0)</f>
        <v>97</v>
      </c>
      <c r="B19" s="8">
        <f>IFERROR(__xludf.DUMMYFUNCTION("""COMPUTED_VALUE"""),861.0)</f>
        <v>861</v>
      </c>
      <c r="C19" s="8">
        <f>IFERROR(__xludf.DUMMYFUNCTION("""COMPUTED_VALUE"""),44.0)</f>
        <v>44</v>
      </c>
      <c r="D19" s="8" t="str">
        <f>IFERROR(__xludf.DUMMYFUNCTION("""COMPUTED_VALUE"""),"Huge")</f>
        <v>Huge</v>
      </c>
      <c r="E19" s="15" t="str">
        <f>IFERROR(__xludf.DUMMYFUNCTION("""COMPUTED_VALUE"""),"I was very excited to order this top in red xs. so cute, but it was huge, shapeless and support thin! it had to go back. i should've looked at other reviews.")</f>
        <v>I was very excited to order this top in red xs. so cute, but it was huge, shapeless and support thin! it had to go back. i should've looked at other reviews.</v>
      </c>
      <c r="F19" s="8">
        <f>IFERROR(__xludf.DUMMYFUNCTION("""COMPUTED_VALUE"""),1.0)</f>
        <v>1</v>
      </c>
      <c r="G19" s="8">
        <f>IFERROR(__xludf.DUMMYFUNCTION("""COMPUTED_VALUE"""),0.0)</f>
        <v>0</v>
      </c>
      <c r="H19" s="8">
        <f>IFERROR(__xludf.DUMMYFUNCTION("""COMPUTED_VALUE"""),0.0)</f>
        <v>0</v>
      </c>
      <c r="I19" s="8" t="str">
        <f>IFERROR(__xludf.DUMMYFUNCTION("""COMPUTED_VALUE"""),"General Petite")</f>
        <v>General Petite</v>
      </c>
      <c r="J19" s="8" t="str">
        <f>IFERROR(__xludf.DUMMYFUNCTION("""COMPUTED_VALUE"""),"Tops")</f>
        <v>Tops</v>
      </c>
      <c r="K19" s="8" t="str">
        <f>IFERROR(__xludf.DUMMYFUNCTION("""COMPUTED_VALUE"""),"Knits")</f>
        <v>Knits</v>
      </c>
      <c r="L19" s="8" t="str">
        <f t="shared" si="1"/>
        <v>----</v>
      </c>
    </row>
    <row r="20">
      <c r="A20" s="8">
        <f>IFERROR(__xludf.DUMMYFUNCTION("""COMPUTED_VALUE"""),99.0)</f>
        <v>99</v>
      </c>
      <c r="B20" s="8">
        <f>IFERROR(__xludf.DUMMYFUNCTION("""COMPUTED_VALUE"""),861.0)</f>
        <v>861</v>
      </c>
      <c r="C20" s="8">
        <f>IFERROR(__xludf.DUMMYFUNCTION("""COMPUTED_VALUE"""),33.0)</f>
        <v>33</v>
      </c>
      <c r="D20" s="8" t="str">
        <f>IFERROR(__xludf.DUMMYFUNCTION("""COMPUTED_VALUE"""),"Pernette henley")</f>
        <v>Pernette henley</v>
      </c>
      <c r="E20" s="15" t="str">
        <f>IFERROR(__xludf.DUMMYFUNCTION("""COMPUTED_VALUE"""),"I am in need of easy comfortable tops for everyday wear. i bought this top mostly because of the cute buttons. when i received it, it looked exactly as it does in the picture online, however, the buttons kept slipping out of their homes because the holes "&amp;"were slightly too big. the shirt fit but was just a tad snug near the upper arms, which would stretch and loosen up throughout the day. it's definitely a comfortable shirt, but it felt more like a pajama top. it's going back.")</f>
        <v>I am in need of easy comfortable tops for everyday wear. i bought this top mostly because of the cute buttons. when i received it, it looked exactly as it does in the picture online, however, the buttons kept slipping out of their homes because the holes were slightly too big. the shirt fit but was just a tad snug near the upper arms, which would stretch and loosen up throughout the day. it's definitely a comfortable shirt, but it felt more like a pajama top. it's going back.</v>
      </c>
      <c r="F20" s="8">
        <f>IFERROR(__xludf.DUMMYFUNCTION("""COMPUTED_VALUE"""),3.0)</f>
        <v>3</v>
      </c>
      <c r="G20" s="8">
        <f>IFERROR(__xludf.DUMMYFUNCTION("""COMPUTED_VALUE"""),0.0)</f>
        <v>0</v>
      </c>
      <c r="H20" s="8">
        <f>IFERROR(__xludf.DUMMYFUNCTION("""COMPUTED_VALUE"""),17.0)</f>
        <v>17</v>
      </c>
      <c r="I20" s="8" t="str">
        <f>IFERROR(__xludf.DUMMYFUNCTION("""COMPUTED_VALUE"""),"General Petite")</f>
        <v>General Petite</v>
      </c>
      <c r="J20" s="8" t="str">
        <f>IFERROR(__xludf.DUMMYFUNCTION("""COMPUTED_VALUE"""),"Tops")</f>
        <v>Tops</v>
      </c>
      <c r="K20" s="8" t="str">
        <f>IFERROR(__xludf.DUMMYFUNCTION("""COMPUTED_VALUE"""),"Knits")</f>
        <v>Knits</v>
      </c>
      <c r="L20" s="8" t="str">
        <f t="shared" si="1"/>
        <v>-Fabric issue-Style issue--</v>
      </c>
    </row>
    <row r="21">
      <c r="A21" s="8">
        <f>IFERROR(__xludf.DUMMYFUNCTION("""COMPUTED_VALUE"""),103.0)</f>
        <v>103</v>
      </c>
      <c r="B21" s="8">
        <f>IFERROR(__xludf.DUMMYFUNCTION("""COMPUTED_VALUE"""),822.0)</f>
        <v>822</v>
      </c>
      <c r="C21" s="8">
        <f>IFERROR(__xludf.DUMMYFUNCTION("""COMPUTED_VALUE"""),23.0)</f>
        <v>23</v>
      </c>
      <c r="D21" s="8" t="str">
        <f>IFERROR(__xludf.DUMMYFUNCTION("""COMPUTED_VALUE"""),"Not a fan")</f>
        <v>Not a fan</v>
      </c>
      <c r="E21" s="15" t="str">
        <f>IFERROR(__xludf.DUMMYFUNCTION("""COMPUTED_VALUE"""),"The fabric felt cheap and i didn't find it to be a flattering top. for reference i am wearing a medium in the photos and my measurements are 38-30-40.")</f>
        <v>The fabric felt cheap and i didn't find it to be a flattering top. for reference i am wearing a medium in the photos and my measurements are 38-30-40.</v>
      </c>
      <c r="F21" s="8">
        <f>IFERROR(__xludf.DUMMYFUNCTION("""COMPUTED_VALUE"""),2.0)</f>
        <v>2</v>
      </c>
      <c r="G21" s="8">
        <f>IFERROR(__xludf.DUMMYFUNCTION("""COMPUTED_VALUE"""),0.0)</f>
        <v>0</v>
      </c>
      <c r="H21" s="8">
        <f>IFERROR(__xludf.DUMMYFUNCTION("""COMPUTED_VALUE"""),9.0)</f>
        <v>9</v>
      </c>
      <c r="I21" s="8" t="str">
        <f>IFERROR(__xludf.DUMMYFUNCTION("""COMPUTED_VALUE"""),"General")</f>
        <v>General</v>
      </c>
      <c r="J21" s="8" t="str">
        <f>IFERROR(__xludf.DUMMYFUNCTION("""COMPUTED_VALUE"""),"Tops")</f>
        <v>Tops</v>
      </c>
      <c r="K21" s="8" t="str">
        <f>IFERROR(__xludf.DUMMYFUNCTION("""COMPUTED_VALUE"""),"Blouses")</f>
        <v>Blouses</v>
      </c>
      <c r="L21" s="8" t="str">
        <f t="shared" si="1"/>
        <v>--Style issue--</v>
      </c>
    </row>
    <row r="22">
      <c r="A22" s="8">
        <f>IFERROR(__xludf.DUMMYFUNCTION("""COMPUTED_VALUE"""),104.0)</f>
        <v>104</v>
      </c>
      <c r="B22" s="8">
        <f>IFERROR(__xludf.DUMMYFUNCTION("""COMPUTED_VALUE"""),863.0)</f>
        <v>863</v>
      </c>
      <c r="C22" s="8">
        <f>IFERROR(__xludf.DUMMYFUNCTION("""COMPUTED_VALUE"""),51.0)</f>
        <v>51</v>
      </c>
      <c r="D22" s="8"/>
      <c r="E22" s="15" t="str">
        <f>IFERROR(__xludf.DUMMYFUNCTION("""COMPUTED_VALUE"""),"Runs big and looked unflattering. i am petite, might work on someone taller.")</f>
        <v>Runs big and looked unflattering. i am petite, might work on someone taller.</v>
      </c>
      <c r="F22" s="8">
        <f>IFERROR(__xludf.DUMMYFUNCTION("""COMPUTED_VALUE"""),2.0)</f>
        <v>2</v>
      </c>
      <c r="G22" s="8">
        <f>IFERROR(__xludf.DUMMYFUNCTION("""COMPUTED_VALUE"""),0.0)</f>
        <v>0</v>
      </c>
      <c r="H22" s="8">
        <f>IFERROR(__xludf.DUMMYFUNCTION("""COMPUTED_VALUE"""),0.0)</f>
        <v>0</v>
      </c>
      <c r="I22" s="8" t="str">
        <f>IFERROR(__xludf.DUMMYFUNCTION("""COMPUTED_VALUE"""),"General")</f>
        <v>General</v>
      </c>
      <c r="J22" s="8" t="str">
        <f>IFERROR(__xludf.DUMMYFUNCTION("""COMPUTED_VALUE"""),"Tops")</f>
        <v>Tops</v>
      </c>
      <c r="K22" s="8" t="str">
        <f>IFERROR(__xludf.DUMMYFUNCTION("""COMPUTED_VALUE"""),"Knits")</f>
        <v>Knits</v>
      </c>
      <c r="L22" s="8" t="str">
        <f t="shared" si="1"/>
        <v>Size issue----</v>
      </c>
    </row>
    <row r="23">
      <c r="A23" s="8">
        <f>IFERROR(__xludf.DUMMYFUNCTION("""COMPUTED_VALUE"""),110.0)</f>
        <v>110</v>
      </c>
      <c r="B23" s="8">
        <f>IFERROR(__xludf.DUMMYFUNCTION("""COMPUTED_VALUE"""),861.0)</f>
        <v>861</v>
      </c>
      <c r="C23" s="8">
        <f>IFERROR(__xludf.DUMMYFUNCTION("""COMPUTED_VALUE"""),44.0)</f>
        <v>44</v>
      </c>
      <c r="D23" s="8" t="str">
        <f>IFERROR(__xludf.DUMMYFUNCTION("""COMPUTED_VALUE"""),"Poor quality")</f>
        <v>Poor quality</v>
      </c>
      <c r="E23" s="15" t="str">
        <f>IFERROR(__xludf.DUMMYFUNCTION("""COMPUTED_VALUE"""),"This is so thin and poor quality. especially for the price. it felt like a thin pajama top. the buttons are terrible little shell buttons. this could not have been returned faster.")</f>
        <v>This is so thin and poor quality. especially for the price. it felt like a thin pajama top. the buttons are terrible little shell buttons. this could not have been returned faster.</v>
      </c>
      <c r="F23" s="8">
        <f>IFERROR(__xludf.DUMMYFUNCTION("""COMPUTED_VALUE"""),1.0)</f>
        <v>1</v>
      </c>
      <c r="G23" s="8">
        <f>IFERROR(__xludf.DUMMYFUNCTION("""COMPUTED_VALUE"""),0.0)</f>
        <v>0</v>
      </c>
      <c r="H23" s="8">
        <f>IFERROR(__xludf.DUMMYFUNCTION("""COMPUTED_VALUE"""),11.0)</f>
        <v>11</v>
      </c>
      <c r="I23" s="8" t="str">
        <f>IFERROR(__xludf.DUMMYFUNCTION("""COMPUTED_VALUE"""),"General Petite")</f>
        <v>General Petite</v>
      </c>
      <c r="J23" s="8" t="str">
        <f>IFERROR(__xludf.DUMMYFUNCTION("""COMPUTED_VALUE"""),"Tops")</f>
        <v>Tops</v>
      </c>
      <c r="K23" s="8" t="str">
        <f>IFERROR(__xludf.DUMMYFUNCTION("""COMPUTED_VALUE"""),"Knits")</f>
        <v>Knits</v>
      </c>
      <c r="L23" s="8" t="str">
        <f t="shared" si="1"/>
        <v>----</v>
      </c>
    </row>
    <row r="24">
      <c r="A24" s="8">
        <f>IFERROR(__xludf.DUMMYFUNCTION("""COMPUTED_VALUE"""),114.0)</f>
        <v>114</v>
      </c>
      <c r="B24" s="8">
        <f>IFERROR(__xludf.DUMMYFUNCTION("""COMPUTED_VALUE"""),1082.0)</f>
        <v>1082</v>
      </c>
      <c r="C24" s="8">
        <f>IFERROR(__xludf.DUMMYFUNCTION("""COMPUTED_VALUE"""),32.0)</f>
        <v>32</v>
      </c>
      <c r="D24" s="8" t="str">
        <f>IFERROR(__xludf.DUMMYFUNCTION("""COMPUTED_VALUE"""),"Disappointing quality")</f>
        <v>Disappointing quality</v>
      </c>
      <c r="E24" s="15" t="str">
        <f>IFERROR(__xludf.DUMMYFUNCTION("""COMPUTED_VALUE"""),"The design/shape of the dress are quite flattering, flirty and feminine. but.... there is no way that the dress i received is new. the color is a faded washed out red and there are black stains all over the belt area. there is no tag... the fabric looks d"&amp;"roopy and laundered and is not crisp, stiff or new. i am very disappointed by the quality of the item that i received. undoubtedly this one is going back.
dear retailer - please make sure that you do not send pre-owend clothing articles to")</f>
        <v>The design/shape of the dress are quite flattering, flirty and feminine. but.... there is no way that the dress i received is new. the color is a faded washed out red and there are black stains all over the belt area. there is no tag... the fabric looks droopy and laundered and is not crisp, stiff or new. i am very disappointed by the quality of the item that i received. undoubtedly this one is going back.
dear retailer - please make sure that you do not send pre-owend clothing articles to</v>
      </c>
      <c r="F24" s="8">
        <f>IFERROR(__xludf.DUMMYFUNCTION("""COMPUTED_VALUE"""),2.0)</f>
        <v>2</v>
      </c>
      <c r="G24" s="8">
        <f>IFERROR(__xludf.DUMMYFUNCTION("""COMPUTED_VALUE"""),0.0)</f>
        <v>0</v>
      </c>
      <c r="H24" s="8">
        <f>IFERROR(__xludf.DUMMYFUNCTION("""COMPUTED_VALUE"""),0.0)</f>
        <v>0</v>
      </c>
      <c r="I24" s="8" t="str">
        <f>IFERROR(__xludf.DUMMYFUNCTION("""COMPUTED_VALUE"""),"General")</f>
        <v>General</v>
      </c>
      <c r="J24" s="8" t="str">
        <f>IFERROR(__xludf.DUMMYFUNCTION("""COMPUTED_VALUE"""),"Dresses")</f>
        <v>Dresses</v>
      </c>
      <c r="K24" s="8" t="str">
        <f>IFERROR(__xludf.DUMMYFUNCTION("""COMPUTED_VALUE"""),"Dresses")</f>
        <v>Dresses</v>
      </c>
      <c r="L24" s="8" t="str">
        <f t="shared" si="1"/>
        <v>--Style issue--</v>
      </c>
    </row>
    <row r="25">
      <c r="A25" s="8">
        <f>IFERROR(__xludf.DUMMYFUNCTION("""COMPUTED_VALUE"""),118.0)</f>
        <v>118</v>
      </c>
      <c r="B25" s="8">
        <f>IFERROR(__xludf.DUMMYFUNCTION("""COMPUTED_VALUE"""),850.0)</f>
        <v>850</v>
      </c>
      <c r="C25" s="8">
        <f>IFERROR(__xludf.DUMMYFUNCTION("""COMPUTED_VALUE"""),37.0)</f>
        <v>37</v>
      </c>
      <c r="D25" s="8" t="str">
        <f>IFERROR(__xludf.DUMMYFUNCTION("""COMPUTED_VALUE"""),"Awkward fitting")</f>
        <v>Awkward fitting</v>
      </c>
      <c r="E25" s="15" t="str">
        <f>IFERROR(__xludf.DUMMYFUNCTION("""COMPUTED_VALUE"""),"First, the fabric is beautiful and lovely for spring and summer. i really wanted to like this top, but the fitting is so awkward for me. i typically where a 0/xs, and sized up in the shirt to a size 2. it was very tight and pulled funny across the chest ("&amp;"size 32/a). i also found the cut at the shoulders very narrow (need a strapless bra) and made it look unflattering overall. had to return this one back to the store.")</f>
        <v>First, the fabric is beautiful and lovely for spring and summer. i really wanted to like this top, but the fitting is so awkward for me. i typically where a 0/xs, and sized up in the shirt to a size 2. it was very tight and pulled funny across the chest (size 32/a). i also found the cut at the shoulders very narrow (need a strapless bra) and made it look unflattering overall. had to return this one back to the store.</v>
      </c>
      <c r="F25" s="8">
        <f>IFERROR(__xludf.DUMMYFUNCTION("""COMPUTED_VALUE"""),2.0)</f>
        <v>2</v>
      </c>
      <c r="G25" s="8">
        <f>IFERROR(__xludf.DUMMYFUNCTION("""COMPUTED_VALUE"""),0.0)</f>
        <v>0</v>
      </c>
      <c r="H25" s="8">
        <f>IFERROR(__xludf.DUMMYFUNCTION("""COMPUTED_VALUE"""),0.0)</f>
        <v>0</v>
      </c>
      <c r="I25" s="8" t="str">
        <f>IFERROR(__xludf.DUMMYFUNCTION("""COMPUTED_VALUE"""),"General")</f>
        <v>General</v>
      </c>
      <c r="J25" s="8" t="str">
        <f>IFERROR(__xludf.DUMMYFUNCTION("""COMPUTED_VALUE"""),"Tops")</f>
        <v>Tops</v>
      </c>
      <c r="K25" s="8" t="str">
        <f>IFERROR(__xludf.DUMMYFUNCTION("""COMPUTED_VALUE"""),"Blouses")</f>
        <v>Blouses</v>
      </c>
      <c r="L25" s="8" t="str">
        <f t="shared" si="1"/>
        <v>Size issue----</v>
      </c>
    </row>
    <row r="26">
      <c r="A26" s="8">
        <f>IFERROR(__xludf.DUMMYFUNCTION("""COMPUTED_VALUE"""),124.0)</f>
        <v>124</v>
      </c>
      <c r="B26" s="8">
        <f>IFERROR(__xludf.DUMMYFUNCTION("""COMPUTED_VALUE"""),923.0)</f>
        <v>923</v>
      </c>
      <c r="C26" s="8">
        <f>IFERROR(__xludf.DUMMYFUNCTION("""COMPUTED_VALUE"""),50.0)</f>
        <v>50</v>
      </c>
      <c r="D26" s="8" t="str">
        <f>IFERROR(__xludf.DUMMYFUNCTION("""COMPUTED_VALUE"""),"Lovely top, not lovely shape")</f>
        <v>Lovely top, not lovely shape</v>
      </c>
      <c r="E26" s="15" t="str">
        <f>IFERROR(__xludf.DUMMYFUNCTION("""COMPUTED_VALUE"""),"I was so excited to try out this top since it was such a bargain and neutral. unfortunately, the shape is ""a"" line and accentuates the hip area a bit more than i find flattering. so, it will be returned.")</f>
        <v>I was so excited to try out this top since it was such a bargain and neutral. unfortunately, the shape is "a" line and accentuates the hip area a bit more than i find flattering. so, it will be returned.</v>
      </c>
      <c r="F26" s="8">
        <f>IFERROR(__xludf.DUMMYFUNCTION("""COMPUTED_VALUE"""),3.0)</f>
        <v>3</v>
      </c>
      <c r="G26" s="8">
        <f>IFERROR(__xludf.DUMMYFUNCTION("""COMPUTED_VALUE"""),0.0)</f>
        <v>0</v>
      </c>
      <c r="H26" s="8">
        <f>IFERROR(__xludf.DUMMYFUNCTION("""COMPUTED_VALUE"""),2.0)</f>
        <v>2</v>
      </c>
      <c r="I26" s="8" t="str">
        <f>IFERROR(__xludf.DUMMYFUNCTION("""COMPUTED_VALUE"""),"General")</f>
        <v>General</v>
      </c>
      <c r="J26" s="8" t="str">
        <f>IFERROR(__xludf.DUMMYFUNCTION("""COMPUTED_VALUE"""),"Tops")</f>
        <v>Tops</v>
      </c>
      <c r="K26" s="8" t="str">
        <f>IFERROR(__xludf.DUMMYFUNCTION("""COMPUTED_VALUE"""),"Sweaters")</f>
        <v>Sweaters</v>
      </c>
      <c r="L26" s="8" t="str">
        <f t="shared" si="1"/>
        <v>----</v>
      </c>
    </row>
    <row r="27">
      <c r="A27" s="8">
        <f>IFERROR(__xludf.DUMMYFUNCTION("""COMPUTED_VALUE"""),144.0)</f>
        <v>144</v>
      </c>
      <c r="B27" s="8">
        <f>IFERROR(__xludf.DUMMYFUNCTION("""COMPUTED_VALUE"""),829.0)</f>
        <v>829</v>
      </c>
      <c r="C27" s="8">
        <f>IFERROR(__xludf.DUMMYFUNCTION("""COMPUTED_VALUE"""),39.0)</f>
        <v>39</v>
      </c>
      <c r="D27" s="8" t="str">
        <f>IFERROR(__xludf.DUMMYFUNCTION("""COMPUTED_VALUE"""),"Beautiful, but scratchy")</f>
        <v>Beautiful, but scratchy</v>
      </c>
      <c r="E27" s="15" t="str">
        <f>IFERROR(__xludf.DUMMYFUNCTION("""COMPUTED_VALUE"""),"My firned tried this on and her first comment was ""take it off, it is scratchy"", so i didn't bother trying it on. it is, however, beautiful, if you are not sensitive to scratchy material.
fit was true to size.")</f>
        <v>My firned tried this on and her first comment was "take it off, it is scratchy", so i didn't bother trying it on. it is, however, beautiful, if you are not sensitive to scratchy material.
fit was true to size.</v>
      </c>
      <c r="F27" s="8">
        <f>IFERROR(__xludf.DUMMYFUNCTION("""COMPUTED_VALUE"""),3.0)</f>
        <v>3</v>
      </c>
      <c r="G27" s="8">
        <f>IFERROR(__xludf.DUMMYFUNCTION("""COMPUTED_VALUE"""),0.0)</f>
        <v>0</v>
      </c>
      <c r="H27" s="8">
        <f>IFERROR(__xludf.DUMMYFUNCTION("""COMPUTED_VALUE"""),9.0)</f>
        <v>9</v>
      </c>
      <c r="I27" s="8" t="str">
        <f>IFERROR(__xludf.DUMMYFUNCTION("""COMPUTED_VALUE"""),"General")</f>
        <v>General</v>
      </c>
      <c r="J27" s="8" t="str">
        <f>IFERROR(__xludf.DUMMYFUNCTION("""COMPUTED_VALUE"""),"Tops")</f>
        <v>Tops</v>
      </c>
      <c r="K27" s="8" t="str">
        <f>IFERROR(__xludf.DUMMYFUNCTION("""COMPUTED_VALUE"""),"Blouses")</f>
        <v>Blouses</v>
      </c>
      <c r="L27" s="8" t="str">
        <f t="shared" si="1"/>
        <v>Size issue-Fabric issue---</v>
      </c>
    </row>
    <row r="28">
      <c r="A28" s="8">
        <f>IFERROR(__xludf.DUMMYFUNCTION("""COMPUTED_VALUE"""),152.0)</f>
        <v>152</v>
      </c>
      <c r="B28" s="8">
        <f>IFERROR(__xludf.DUMMYFUNCTION("""COMPUTED_VALUE"""),829.0)</f>
        <v>829</v>
      </c>
      <c r="C28" s="8">
        <f>IFERROR(__xludf.DUMMYFUNCTION("""COMPUTED_VALUE"""),53.0)</f>
        <v>53</v>
      </c>
      <c r="D28" s="8" t="str">
        <f>IFERROR(__xludf.DUMMYFUNCTION("""COMPUTED_VALUE"""),"Not impressed...")</f>
        <v>Not impressed...</v>
      </c>
      <c r="E28" s="15" t="str">
        <f>IFERROR(__xludf.DUMMYFUNCTION("""COMPUTED_VALUE"""),"Not keeping this one. the fabric is a bit tacky-looking in person, the cut is odd and it's just not me. fit is fine and there are snaps to keep the neckline flat and shaped, the colors are as shown and it is a good length (falls to top of hip). i simply d"&amp;"id not like it. too metallic looking maybe...")</f>
        <v>Not keeping this one. the fabric is a bit tacky-looking in person, the cut is odd and it's just not me. fit is fine and there are snaps to keep the neckline flat and shaped, the colors are as shown and it is a good length (falls to top of hip). i simply did not like it. too metallic looking maybe...</v>
      </c>
      <c r="F28" s="8">
        <f>IFERROR(__xludf.DUMMYFUNCTION("""COMPUTED_VALUE"""),3.0)</f>
        <v>3</v>
      </c>
      <c r="G28" s="8">
        <f>IFERROR(__xludf.DUMMYFUNCTION("""COMPUTED_VALUE"""),0.0)</f>
        <v>0</v>
      </c>
      <c r="H28" s="8">
        <f>IFERROR(__xludf.DUMMYFUNCTION("""COMPUTED_VALUE"""),0.0)</f>
        <v>0</v>
      </c>
      <c r="I28" s="8" t="str">
        <f>IFERROR(__xludf.DUMMYFUNCTION("""COMPUTED_VALUE"""),"General")</f>
        <v>General</v>
      </c>
      <c r="J28" s="8" t="str">
        <f>IFERROR(__xludf.DUMMYFUNCTION("""COMPUTED_VALUE"""),"Tops")</f>
        <v>Tops</v>
      </c>
      <c r="K28" s="8" t="str">
        <f>IFERROR(__xludf.DUMMYFUNCTION("""COMPUTED_VALUE"""),"Blouses")</f>
        <v>Blouses</v>
      </c>
      <c r="L28" s="8" t="str">
        <f t="shared" si="1"/>
        <v>Size issue----</v>
      </c>
    </row>
    <row r="29">
      <c r="A29" s="8">
        <f>IFERROR(__xludf.DUMMYFUNCTION("""COMPUTED_VALUE"""),157.0)</f>
        <v>157</v>
      </c>
      <c r="B29" s="8">
        <f>IFERROR(__xludf.DUMMYFUNCTION("""COMPUTED_VALUE"""),523.0)</f>
        <v>523</v>
      </c>
      <c r="C29" s="8">
        <f>IFERROR(__xludf.DUMMYFUNCTION("""COMPUTED_VALUE"""),43.0)</f>
        <v>43</v>
      </c>
      <c r="D29" s="8" t="str">
        <f>IFERROR(__xludf.DUMMYFUNCTION("""COMPUTED_VALUE"""),"Australian sizing!!")</f>
        <v>Australian sizing!!</v>
      </c>
      <c r="E29" s="15" t="str">
        <f>IFERROR(__xludf.DUMMYFUNCTION("""COMPUTED_VALUE"""),"So  disappointed that no where in the limiting did it mention this suit is australian in size!! i ordered the 10 (i'm usually an 8 but that was sold out) and the suit arrives and doesn't even fir over my hips. -- the label clearly says 10 australian us 6!"&amp;"  gutted that i have to return this suit because of this sizing issue.  the suit looks to be well made and the design is adorable of it only for.")</f>
        <v>So  disappointed that no where in the limiting did it mention this suit is australian in size!! i ordered the 10 (i'm usually an 8 but that was sold out) and the suit arrives and doesn't even fir over my hips. -- the label clearly says 10 australian us 6!  gutted that i have to return this suit because of this sizing issue.  the suit looks to be well made and the design is adorable of it only for.</v>
      </c>
      <c r="F29" s="8">
        <f>IFERROR(__xludf.DUMMYFUNCTION("""COMPUTED_VALUE"""),3.0)</f>
        <v>3</v>
      </c>
      <c r="G29" s="8">
        <f>IFERROR(__xludf.DUMMYFUNCTION("""COMPUTED_VALUE"""),0.0)</f>
        <v>0</v>
      </c>
      <c r="H29" s="8">
        <f>IFERROR(__xludf.DUMMYFUNCTION("""COMPUTED_VALUE"""),2.0)</f>
        <v>2</v>
      </c>
      <c r="I29" s="8" t="str">
        <f>IFERROR(__xludf.DUMMYFUNCTION("""COMPUTED_VALUE"""),"Initmates")</f>
        <v>Initmates</v>
      </c>
      <c r="J29" s="8" t="str">
        <f>IFERROR(__xludf.DUMMYFUNCTION("""COMPUTED_VALUE"""),"Intimate")</f>
        <v>Intimate</v>
      </c>
      <c r="K29" s="8" t="str">
        <f>IFERROR(__xludf.DUMMYFUNCTION("""COMPUTED_VALUE"""),"Swim")</f>
        <v>Swim</v>
      </c>
      <c r="L29" s="8" t="str">
        <f t="shared" si="1"/>
        <v>Size issue--Style issue--</v>
      </c>
    </row>
    <row r="30">
      <c r="A30" s="8">
        <f>IFERROR(__xludf.DUMMYFUNCTION("""COMPUTED_VALUE"""),161.0)</f>
        <v>161</v>
      </c>
      <c r="B30" s="8">
        <f>IFERROR(__xludf.DUMMYFUNCTION("""COMPUTED_VALUE"""),829.0)</f>
        <v>829</v>
      </c>
      <c r="C30" s="8">
        <f>IFERROR(__xludf.DUMMYFUNCTION("""COMPUTED_VALUE"""),52.0)</f>
        <v>52</v>
      </c>
      <c r="D30" s="8" t="str">
        <f>IFERROR(__xludf.DUMMYFUNCTION("""COMPUTED_VALUE"""),"Scratchy, uncomfortable top")</f>
        <v>Scratchy, uncomfortable top</v>
      </c>
      <c r="E30" s="15" t="str">
        <f>IFERROR(__xludf.DUMMYFUNCTION("""COMPUTED_VALUE"""),"The title says it all....this fabric of this top is both the best and worst part of the design. the colors are vibrant and the combination of materials (shoulder is a knit, sweater-like navy fabric) is interesting. however, that is where the positive comm"&amp;"ents end on this one. the top is so scratchy,, stiff, and, frankly, uncomfortable. i cannot imagine wanting to wear it. it could benefit from a lining, and that might have solved the problem of scratchy, itchy fabric.
the stiff fabric of the bo")</f>
        <v>The title says it all....this fabric of this top is both the best and worst part of the design. the colors are vibrant and the combination of materials (shoulder is a knit, sweater-like navy fabric) is interesting. however, that is where the positive comments end on this one. the top is so scratchy,, stiff, and, frankly, uncomfortable. i cannot imagine wanting to wear it. it could benefit from a lining, and that might have solved the problem of scratchy, itchy fabric.
the stiff fabric of the bo</v>
      </c>
      <c r="F30" s="8">
        <f>IFERROR(__xludf.DUMMYFUNCTION("""COMPUTED_VALUE"""),1.0)</f>
        <v>1</v>
      </c>
      <c r="G30" s="8">
        <f>IFERROR(__xludf.DUMMYFUNCTION("""COMPUTED_VALUE"""),0.0)</f>
        <v>0</v>
      </c>
      <c r="H30" s="8">
        <f>IFERROR(__xludf.DUMMYFUNCTION("""COMPUTED_VALUE"""),8.0)</f>
        <v>8</v>
      </c>
      <c r="I30" s="8" t="str">
        <f>IFERROR(__xludf.DUMMYFUNCTION("""COMPUTED_VALUE"""),"General Petite")</f>
        <v>General Petite</v>
      </c>
      <c r="J30" s="8" t="str">
        <f>IFERROR(__xludf.DUMMYFUNCTION("""COMPUTED_VALUE"""),"Tops")</f>
        <v>Tops</v>
      </c>
      <c r="K30" s="8" t="str">
        <f>IFERROR(__xludf.DUMMYFUNCTION("""COMPUTED_VALUE"""),"Blouses")</f>
        <v>Blouses</v>
      </c>
      <c r="L30" s="8" t="str">
        <f t="shared" si="1"/>
        <v>Size issue-Fabric issue-Style issue--</v>
      </c>
    </row>
    <row r="31">
      <c r="A31" s="8">
        <f>IFERROR(__xludf.DUMMYFUNCTION("""COMPUTED_VALUE"""),165.0)</f>
        <v>165</v>
      </c>
      <c r="B31" s="8">
        <f>IFERROR(__xludf.DUMMYFUNCTION("""COMPUTED_VALUE"""),829.0)</f>
        <v>829</v>
      </c>
      <c r="C31" s="8">
        <f>IFERROR(__xludf.DUMMYFUNCTION("""COMPUTED_VALUE"""),35.0)</f>
        <v>35</v>
      </c>
      <c r="D31" s="8"/>
      <c r="E31" s="15"/>
      <c r="F31" s="8">
        <f>IFERROR(__xludf.DUMMYFUNCTION("""COMPUTED_VALUE"""),3.0)</f>
        <v>3</v>
      </c>
      <c r="G31" s="8">
        <f>IFERROR(__xludf.DUMMYFUNCTION("""COMPUTED_VALUE"""),0.0)</f>
        <v>0</v>
      </c>
      <c r="H31" s="8">
        <f>IFERROR(__xludf.DUMMYFUNCTION("""COMPUTED_VALUE"""),0.0)</f>
        <v>0</v>
      </c>
      <c r="I31" s="8" t="str">
        <f>IFERROR(__xludf.DUMMYFUNCTION("""COMPUTED_VALUE"""),"General Petite")</f>
        <v>General Petite</v>
      </c>
      <c r="J31" s="8" t="str">
        <f>IFERROR(__xludf.DUMMYFUNCTION("""COMPUTED_VALUE"""),"Tops")</f>
        <v>Tops</v>
      </c>
      <c r="K31" s="8" t="str">
        <f>IFERROR(__xludf.DUMMYFUNCTION("""COMPUTED_VALUE"""),"Blouses")</f>
        <v>Blouses</v>
      </c>
      <c r="L31" s="8" t="str">
        <f t="shared" si="1"/>
        <v/>
      </c>
    </row>
    <row r="32">
      <c r="A32" s="8">
        <f>IFERROR(__xludf.DUMMYFUNCTION("""COMPUTED_VALUE"""),178.0)</f>
        <v>178</v>
      </c>
      <c r="B32" s="8">
        <f>IFERROR(__xludf.DUMMYFUNCTION("""COMPUTED_VALUE"""),1094.0)</f>
        <v>1094</v>
      </c>
      <c r="C32" s="8">
        <f>IFERROR(__xludf.DUMMYFUNCTION("""COMPUTED_VALUE"""),35.0)</f>
        <v>35</v>
      </c>
      <c r="D32" s="8" t="str">
        <f>IFERROR(__xludf.DUMMYFUNCTION("""COMPUTED_VALUE"""),"Not for me")</f>
        <v>Not for me</v>
      </c>
      <c r="E32" s="15" t="str">
        <f>IFERROR(__xludf.DUMMYFUNCTION("""COMPUTED_VALUE"""),"The colors are vivid and perfectly autumnal but the fit is a mess. it was overall too large, the waistline curves up in the front and then falls into small pleats which was maternityish, the waistband was thicker than the dress and sat away from my body a"&amp;"nd the material was a cheapish poly. had the outer dress been made from the same material as the lining, i would have liked it better. the modesty closure was a plus but the dress was already unraveling when i took it out. #returned")</f>
        <v>The colors are vivid and perfectly autumnal but the fit is a mess. it was overall too large, the waistline curves up in the front and then falls into small pleats which was maternityish, the waistband was thicker than the dress and sat away from my body and the material was a cheapish poly. had the outer dress been made from the same material as the lining, i would have liked it better. the modesty closure was a plus but the dress was already unraveling when i took it out. #returned</v>
      </c>
      <c r="F32" s="8">
        <f>IFERROR(__xludf.DUMMYFUNCTION("""COMPUTED_VALUE"""),2.0)</f>
        <v>2</v>
      </c>
      <c r="G32" s="8">
        <f>IFERROR(__xludf.DUMMYFUNCTION("""COMPUTED_VALUE"""),0.0)</f>
        <v>0</v>
      </c>
      <c r="H32" s="8">
        <f>IFERROR(__xludf.DUMMYFUNCTION("""COMPUTED_VALUE"""),0.0)</f>
        <v>0</v>
      </c>
      <c r="I32" s="8" t="str">
        <f>IFERROR(__xludf.DUMMYFUNCTION("""COMPUTED_VALUE"""),"General Petite")</f>
        <v>General Petite</v>
      </c>
      <c r="J32" s="8" t="str">
        <f>IFERROR(__xludf.DUMMYFUNCTION("""COMPUTED_VALUE"""),"Dresses")</f>
        <v>Dresses</v>
      </c>
      <c r="K32" s="8" t="str">
        <f>IFERROR(__xludf.DUMMYFUNCTION("""COMPUTED_VALUE"""),"Dresses")</f>
        <v>Dresses</v>
      </c>
      <c r="L32" s="8" t="str">
        <f t="shared" si="1"/>
        <v>Size issue-Fabric issue-Style issue--</v>
      </c>
    </row>
    <row r="33">
      <c r="A33" s="8">
        <f>IFERROR(__xludf.DUMMYFUNCTION("""COMPUTED_VALUE"""),184.0)</f>
        <v>184</v>
      </c>
      <c r="B33" s="8">
        <f>IFERROR(__xludf.DUMMYFUNCTION("""COMPUTED_VALUE"""),895.0)</f>
        <v>895</v>
      </c>
      <c r="C33" s="8">
        <f>IFERROR(__xludf.DUMMYFUNCTION("""COMPUTED_VALUE"""),33.0)</f>
        <v>33</v>
      </c>
      <c r="D33" s="8" t="str">
        <f>IFERROR(__xludf.DUMMYFUNCTION("""COMPUTED_VALUE"""),"Not as pictured.")</f>
        <v>Not as pictured.</v>
      </c>
      <c r="E33" s="15" t="str">
        <f>IFERROR(__xludf.DUMMYFUNCTION("""COMPUTED_VALUE"""),"Online, this looks like a great sweater. i ordered an xxsp and found that this sweater is much wider in the middle than pictured. in fact, i'm pretty sure they pinned the shirt in the back for the picture to make it appear slimmer. unfortunately, this swe"&amp;"ater will not work for me, as i am an hourglass shape and this shirt makes me look 20 pounds heavier.")</f>
        <v>Online, this looks like a great sweater. i ordered an xxsp and found that this sweater is much wider in the middle than pictured. in fact, i'm pretty sure they pinned the shirt in the back for the picture to make it appear slimmer. unfortunately, this sweater will not work for me, as i am an hourglass shape and this shirt makes me look 20 pounds heavier.</v>
      </c>
      <c r="F33" s="8">
        <f>IFERROR(__xludf.DUMMYFUNCTION("""COMPUTED_VALUE"""),2.0)</f>
        <v>2</v>
      </c>
      <c r="G33" s="8">
        <f>IFERROR(__xludf.DUMMYFUNCTION("""COMPUTED_VALUE"""),0.0)</f>
        <v>0</v>
      </c>
      <c r="H33" s="8">
        <f>IFERROR(__xludf.DUMMYFUNCTION("""COMPUTED_VALUE"""),8.0)</f>
        <v>8</v>
      </c>
      <c r="I33" s="8" t="str">
        <f>IFERROR(__xludf.DUMMYFUNCTION("""COMPUTED_VALUE"""),"General")</f>
        <v>General</v>
      </c>
      <c r="J33" s="8" t="str">
        <f>IFERROR(__xludf.DUMMYFUNCTION("""COMPUTED_VALUE"""),"Tops")</f>
        <v>Tops</v>
      </c>
      <c r="K33" s="8" t="str">
        <f>IFERROR(__xludf.DUMMYFUNCTION("""COMPUTED_VALUE"""),"Fine gauge")</f>
        <v>Fine gauge</v>
      </c>
      <c r="L33" s="8" t="str">
        <f t="shared" si="1"/>
        <v>Size issue----</v>
      </c>
    </row>
    <row r="34">
      <c r="A34" s="8">
        <f>IFERROR(__xludf.DUMMYFUNCTION("""COMPUTED_VALUE"""),185.0)</f>
        <v>185</v>
      </c>
      <c r="B34" s="8">
        <f>IFERROR(__xludf.DUMMYFUNCTION("""COMPUTED_VALUE"""),895.0)</f>
        <v>895</v>
      </c>
      <c r="C34" s="8">
        <f>IFERROR(__xludf.DUMMYFUNCTION("""COMPUTED_VALUE"""),35.0)</f>
        <v>35</v>
      </c>
      <c r="D34" s="8" t="str">
        <f>IFERROR(__xludf.DUMMYFUNCTION("""COMPUTED_VALUE"""),"Fits strange, flimsy material")</f>
        <v>Fits strange, flimsy material</v>
      </c>
      <c r="E34" s="15" t="str">
        <f>IFERROR(__xludf.DUMMYFUNCTION("""COMPUTED_VALUE"""),"I was worried about this item when i ordered it because of how it looks in the picture, but i had wishful thinking. i should have gone with my gut! this shirt does not have the same quality as all my other retailer purchases. it is see-through and flimsy."&amp;" the bottom is just like the picture, it hangs in an odd rumpled way. the top is very flattering though, so it's a shame! if the bottom fit nicer like their other products i could have gotten away with wearing a cami under it to make up for the qu")</f>
        <v>I was worried about this item when i ordered it because of how it looks in the picture, but i had wishful thinking. i should have gone with my gut! this shirt does not have the same quality as all my other retailer purchases. it is see-through and flimsy. the bottom is just like the picture, it hangs in an odd rumpled way. the top is very flattering though, so it's a shame! if the bottom fit nicer like their other products i could have gotten away with wearing a cami under it to make up for the qu</v>
      </c>
      <c r="F34" s="8">
        <f>IFERROR(__xludf.DUMMYFUNCTION("""COMPUTED_VALUE"""),2.0)</f>
        <v>2</v>
      </c>
      <c r="G34" s="8">
        <f>IFERROR(__xludf.DUMMYFUNCTION("""COMPUTED_VALUE"""),0.0)</f>
        <v>0</v>
      </c>
      <c r="H34" s="8">
        <f>IFERROR(__xludf.DUMMYFUNCTION("""COMPUTED_VALUE"""),0.0)</f>
        <v>0</v>
      </c>
      <c r="I34" s="8" t="str">
        <f>IFERROR(__xludf.DUMMYFUNCTION("""COMPUTED_VALUE"""),"General")</f>
        <v>General</v>
      </c>
      <c r="J34" s="8" t="str">
        <f>IFERROR(__xludf.DUMMYFUNCTION("""COMPUTED_VALUE"""),"Tops")</f>
        <v>Tops</v>
      </c>
      <c r="K34" s="8" t="str">
        <f>IFERROR(__xludf.DUMMYFUNCTION("""COMPUTED_VALUE"""),"Fine gauge")</f>
        <v>Fine gauge</v>
      </c>
      <c r="L34" s="8" t="str">
        <f t="shared" si="1"/>
        <v>Size issue----</v>
      </c>
    </row>
    <row r="35">
      <c r="A35" s="8">
        <f>IFERROR(__xludf.DUMMYFUNCTION("""COMPUTED_VALUE"""),191.0)</f>
        <v>191</v>
      </c>
      <c r="B35" s="8">
        <f>IFERROR(__xludf.DUMMYFUNCTION("""COMPUTED_VALUE"""),895.0)</f>
        <v>895</v>
      </c>
      <c r="C35" s="8">
        <f>IFERROR(__xludf.DUMMYFUNCTION("""COMPUTED_VALUE"""),52.0)</f>
        <v>52</v>
      </c>
      <c r="D35" s="8" t="str">
        <f>IFERROR(__xludf.DUMMYFUNCTION("""COMPUTED_VALUE"""),"Nice but too thin")</f>
        <v>Nice but too thin</v>
      </c>
      <c r="E35" s="15" t="str">
        <f>IFERROR(__xludf.DUMMYFUNCTION("""COMPUTED_VALUE"""),"I was minimally torn over whether to return this but ultimately it's going back because the knit is just too thin. i thought it would be cozy and be of normal sweater weight but it's not. and because it's so light, the swing effect doesn't really come off"&amp;". nothing special.")</f>
        <v>I was minimally torn over whether to return this but ultimately it's going back because the knit is just too thin. i thought it would be cozy and be of normal sweater weight but it's not. and because it's so light, the swing effect doesn't really come off. nothing special.</v>
      </c>
      <c r="F35" s="8">
        <f>IFERROR(__xludf.DUMMYFUNCTION("""COMPUTED_VALUE"""),2.0)</f>
        <v>2</v>
      </c>
      <c r="G35" s="8">
        <f>IFERROR(__xludf.DUMMYFUNCTION("""COMPUTED_VALUE"""),0.0)</f>
        <v>0</v>
      </c>
      <c r="H35" s="8">
        <f>IFERROR(__xludf.DUMMYFUNCTION("""COMPUTED_VALUE"""),3.0)</f>
        <v>3</v>
      </c>
      <c r="I35" s="8" t="str">
        <f>IFERROR(__xludf.DUMMYFUNCTION("""COMPUTED_VALUE"""),"General Petite")</f>
        <v>General Petite</v>
      </c>
      <c r="J35" s="8" t="str">
        <f>IFERROR(__xludf.DUMMYFUNCTION("""COMPUTED_VALUE"""),"Tops")</f>
        <v>Tops</v>
      </c>
      <c r="K35" s="8" t="str">
        <f>IFERROR(__xludf.DUMMYFUNCTION("""COMPUTED_VALUE"""),"Fine gauge")</f>
        <v>Fine gauge</v>
      </c>
      <c r="L35" s="8" t="str">
        <f t="shared" si="1"/>
        <v>----</v>
      </c>
    </row>
    <row r="36">
      <c r="A36" s="8">
        <f>IFERROR(__xludf.DUMMYFUNCTION("""COMPUTED_VALUE"""),199.0)</f>
        <v>199</v>
      </c>
      <c r="B36" s="8">
        <f>IFERROR(__xludf.DUMMYFUNCTION("""COMPUTED_VALUE"""),1020.0)</f>
        <v>1020</v>
      </c>
      <c r="C36" s="8">
        <f>IFERROR(__xludf.DUMMYFUNCTION("""COMPUTED_VALUE"""),49.0)</f>
        <v>49</v>
      </c>
      <c r="D36" s="8" t="str">
        <f>IFERROR(__xludf.DUMMYFUNCTION("""COMPUTED_VALUE"""),"Poor quality")</f>
        <v>Poor quality</v>
      </c>
      <c r="E36" s="15" t="str">
        <f>IFERROR(__xludf.DUMMYFUNCTION("""COMPUTED_VALUE"""),"This skirt looks exactly as pictured and fits great. i purchased it a few weeks ago and got lots of compliments on it. however, on the third wear, the side zipper split wide open. needless to say, it was returned.")</f>
        <v>This skirt looks exactly as pictured and fits great. i purchased it a few weeks ago and got lots of compliments on it. however, on the third wear, the side zipper split wide open. needless to say, it was returned.</v>
      </c>
      <c r="F36" s="8">
        <f>IFERROR(__xludf.DUMMYFUNCTION("""COMPUTED_VALUE"""),3.0)</f>
        <v>3</v>
      </c>
      <c r="G36" s="8">
        <f>IFERROR(__xludf.DUMMYFUNCTION("""COMPUTED_VALUE"""),0.0)</f>
        <v>0</v>
      </c>
      <c r="H36" s="8">
        <f>IFERROR(__xludf.DUMMYFUNCTION("""COMPUTED_VALUE"""),0.0)</f>
        <v>0</v>
      </c>
      <c r="I36" s="8" t="str">
        <f>IFERROR(__xludf.DUMMYFUNCTION("""COMPUTED_VALUE"""),"General Petite")</f>
        <v>General Petite</v>
      </c>
      <c r="J36" s="8" t="str">
        <f>IFERROR(__xludf.DUMMYFUNCTION("""COMPUTED_VALUE"""),"Bottoms")</f>
        <v>Bottoms</v>
      </c>
      <c r="K36" s="8" t="str">
        <f>IFERROR(__xludf.DUMMYFUNCTION("""COMPUTED_VALUE"""),"Skirts")</f>
        <v>Skirts</v>
      </c>
      <c r="L36" s="8" t="str">
        <f t="shared" si="1"/>
        <v>Size issue----</v>
      </c>
    </row>
    <row r="37">
      <c r="A37" s="8">
        <f>IFERROR(__xludf.DUMMYFUNCTION("""COMPUTED_VALUE"""),200.0)</f>
        <v>200</v>
      </c>
      <c r="B37" s="8">
        <f>IFERROR(__xludf.DUMMYFUNCTION("""COMPUTED_VALUE"""),895.0)</f>
        <v>895</v>
      </c>
      <c r="C37" s="8">
        <f>IFERROR(__xludf.DUMMYFUNCTION("""COMPUTED_VALUE"""),43.0)</f>
        <v>43</v>
      </c>
      <c r="D37" s="8" t="str">
        <f>IFERROR(__xludf.DUMMYFUNCTION("""COMPUTED_VALUE"""),"Huuuuge")</f>
        <v>Huuuuge</v>
      </c>
      <c r="E37" s="15" t="str">
        <f>IFERROR(__xludf.DUMMYFUNCTION("""COMPUTED_VALUE"""),"Dang, i got a small and was still swimming in it. it's made of the fabric that increasingly seems to be the fabric of choice for all things t-shirty- soft and thin-ish, a bit translucent. i'd rather wait for something more formfitting and flattering- back"&amp;" it went.")</f>
        <v>Dang, i got a small and was still swimming in it. it's made of the fabric that increasingly seems to be the fabric of choice for all things t-shirty- soft and thin-ish, a bit translucent. i'd rather wait for something more formfitting and flattering- back it went.</v>
      </c>
      <c r="F37" s="8">
        <f>IFERROR(__xludf.DUMMYFUNCTION("""COMPUTED_VALUE"""),3.0)</f>
        <v>3</v>
      </c>
      <c r="G37" s="8">
        <f>IFERROR(__xludf.DUMMYFUNCTION("""COMPUTED_VALUE"""),0.0)</f>
        <v>0</v>
      </c>
      <c r="H37" s="8">
        <f>IFERROR(__xludf.DUMMYFUNCTION("""COMPUTED_VALUE"""),0.0)</f>
        <v>0</v>
      </c>
      <c r="I37" s="8" t="str">
        <f>IFERROR(__xludf.DUMMYFUNCTION("""COMPUTED_VALUE"""),"General")</f>
        <v>General</v>
      </c>
      <c r="J37" s="8" t="str">
        <f>IFERROR(__xludf.DUMMYFUNCTION("""COMPUTED_VALUE"""),"Tops")</f>
        <v>Tops</v>
      </c>
      <c r="K37" s="8" t="str">
        <f>IFERROR(__xludf.DUMMYFUNCTION("""COMPUTED_VALUE"""),"Fine gauge")</f>
        <v>Fine gauge</v>
      </c>
      <c r="L37" s="8" t="str">
        <f t="shared" si="1"/>
        <v>Size issue----</v>
      </c>
    </row>
    <row r="38">
      <c r="A38" s="8">
        <f>IFERROR(__xludf.DUMMYFUNCTION("""COMPUTED_VALUE"""),202.0)</f>
        <v>202</v>
      </c>
      <c r="B38" s="8">
        <f>IFERROR(__xludf.DUMMYFUNCTION("""COMPUTED_VALUE"""),895.0)</f>
        <v>895</v>
      </c>
      <c r="C38" s="8">
        <f>IFERROR(__xludf.DUMMYFUNCTION("""COMPUTED_VALUE"""),36.0)</f>
        <v>36</v>
      </c>
      <c r="D38" s="8" t="str">
        <f>IFERROR(__xludf.DUMMYFUNCTION("""COMPUTED_VALUE"""),"Not worth cost")</f>
        <v>Not worth cost</v>
      </c>
      <c r="E38" s="15" t="str">
        <f>IFERROR(__xludf.DUMMYFUNCTION("""COMPUTED_VALUE"""),"Bought this item on sale and was very disappointed in the quality for the cost. fabric feels cheap, like it will snag easily and will stretch out quickly. did not flatter the female form- felt like a burlap sack. gorgeous blue color but not worth the pric"&amp;"e tag. returned it.")</f>
        <v>Bought this item on sale and was very disappointed in the quality for the cost. fabric feels cheap, like it will snag easily and will stretch out quickly. did not flatter the female form- felt like a burlap sack. gorgeous blue color but not worth the price tag. returned it.</v>
      </c>
      <c r="F38" s="8">
        <f>IFERROR(__xludf.DUMMYFUNCTION("""COMPUTED_VALUE"""),3.0)</f>
        <v>3</v>
      </c>
      <c r="G38" s="8">
        <f>IFERROR(__xludf.DUMMYFUNCTION("""COMPUTED_VALUE"""),0.0)</f>
        <v>0</v>
      </c>
      <c r="H38" s="8">
        <f>IFERROR(__xludf.DUMMYFUNCTION("""COMPUTED_VALUE"""),0.0)</f>
        <v>0</v>
      </c>
      <c r="I38" s="8" t="str">
        <f>IFERROR(__xludf.DUMMYFUNCTION("""COMPUTED_VALUE"""),"General")</f>
        <v>General</v>
      </c>
      <c r="J38" s="8" t="str">
        <f>IFERROR(__xludf.DUMMYFUNCTION("""COMPUTED_VALUE"""),"Tops")</f>
        <v>Tops</v>
      </c>
      <c r="K38" s="8" t="str">
        <f>IFERROR(__xludf.DUMMYFUNCTION("""COMPUTED_VALUE"""),"Fine gauge")</f>
        <v>Fine gauge</v>
      </c>
      <c r="L38" s="8" t="str">
        <f t="shared" si="1"/>
        <v>--Style issue--</v>
      </c>
    </row>
    <row r="39">
      <c r="A39" s="8">
        <f>IFERROR(__xludf.DUMMYFUNCTION("""COMPUTED_VALUE"""),204.0)</f>
        <v>204</v>
      </c>
      <c r="B39" s="8">
        <f>IFERROR(__xludf.DUMMYFUNCTION("""COMPUTED_VALUE"""),828.0)</f>
        <v>828</v>
      </c>
      <c r="C39" s="8">
        <f>IFERROR(__xludf.DUMMYFUNCTION("""COMPUTED_VALUE"""),56.0)</f>
        <v>56</v>
      </c>
      <c r="D39" s="8" t="str">
        <f>IFERROR(__xludf.DUMMYFUNCTION("""COMPUTED_VALUE"""),"Too big")</f>
        <v>Too big</v>
      </c>
      <c r="E39" s="15" t="str">
        <f>IFERROR(__xludf.DUMMYFUNCTION("""COMPUTED_VALUE"""),"I loved this top; it reminded me of one i have from retailer from circa 2008 in black and white; however, on this one, the chest area is too big, in both the 14 and 16, and i even found myself tugging downward on the fabric to keep it in place because the"&amp;" waist is elastic and also too big. i probably need a size 12, but then i fear it would be too short-waisted on me, for i am 5'10"". unfortunately, it is not for me. also, the sleeves are much bigger and flouncier than they appear in the photo on t")</f>
        <v>I loved this top; it reminded me of one i have from retailer from circa 2008 in black and white; however, on this one, the chest area is too big, in both the 14 and 16, and i even found myself tugging downward on the fabric to keep it in place because the waist is elastic and also too big. i probably need a size 12, but then i fear it would be too short-waisted on me, for i am 5'10". unfortunately, it is not for me. also, the sleeves are much bigger and flouncier than they appear in the photo on t</v>
      </c>
      <c r="F39" s="8">
        <f>IFERROR(__xludf.DUMMYFUNCTION("""COMPUTED_VALUE"""),4.0)</f>
        <v>4</v>
      </c>
      <c r="G39" s="8">
        <f>IFERROR(__xludf.DUMMYFUNCTION("""COMPUTED_VALUE"""),0.0)</f>
        <v>0</v>
      </c>
      <c r="H39" s="8">
        <f>IFERROR(__xludf.DUMMYFUNCTION("""COMPUTED_VALUE"""),4.0)</f>
        <v>4</v>
      </c>
      <c r="I39" s="8" t="str">
        <f>IFERROR(__xludf.DUMMYFUNCTION("""COMPUTED_VALUE"""),"General")</f>
        <v>General</v>
      </c>
      <c r="J39" s="8" t="str">
        <f>IFERROR(__xludf.DUMMYFUNCTION("""COMPUTED_VALUE"""),"Tops")</f>
        <v>Tops</v>
      </c>
      <c r="K39" s="8" t="str">
        <f>IFERROR(__xludf.DUMMYFUNCTION("""COMPUTED_VALUE"""),"Blouses")</f>
        <v>Blouses</v>
      </c>
      <c r="L39" s="8" t="str">
        <f t="shared" si="1"/>
        <v>Size issue----</v>
      </c>
    </row>
    <row r="40">
      <c r="A40" s="8">
        <f>IFERROR(__xludf.DUMMYFUNCTION("""COMPUTED_VALUE"""),205.0)</f>
        <v>205</v>
      </c>
      <c r="B40" s="8">
        <f>IFERROR(__xludf.DUMMYFUNCTION("""COMPUTED_VALUE"""),1020.0)</f>
        <v>1020</v>
      </c>
      <c r="C40" s="8">
        <f>IFERROR(__xludf.DUMMYFUNCTION("""COMPUTED_VALUE"""),48.0)</f>
        <v>48</v>
      </c>
      <c r="D40" s="8" t="str">
        <f>IFERROR(__xludf.DUMMYFUNCTION("""COMPUTED_VALUE"""),"Runs small too bad....")</f>
        <v>Runs small too bad....</v>
      </c>
      <c r="E40" s="15" t="str">
        <f>IFERROR(__xludf.DUMMYFUNCTION("""COMPUTED_VALUE"""),"I love the rich deep color and the style but once again this brand runs really small in the waist. i am normally a 8/10 in retailer skirts and the size 10 was tight at the waist enough so i could not button it and feel comfortable. the quality is ok, some"&amp;"thing i feel i would see at another type of discount store. for me this skirt did not work but the color and softness of the fabric was a plus.")</f>
        <v>I love the rich deep color and the style but once again this brand runs really small in the waist. i am normally a 8/10 in retailer skirts and the size 10 was tight at the waist enough so i could not button it and feel comfortable. the quality is ok, something i feel i would see at another type of discount store. for me this skirt did not work but the color and softness of the fabric was a plus.</v>
      </c>
      <c r="F40" s="8">
        <f>IFERROR(__xludf.DUMMYFUNCTION("""COMPUTED_VALUE"""),3.0)</f>
        <v>3</v>
      </c>
      <c r="G40" s="8">
        <f>IFERROR(__xludf.DUMMYFUNCTION("""COMPUTED_VALUE"""),0.0)</f>
        <v>0</v>
      </c>
      <c r="H40" s="8">
        <f>IFERROR(__xludf.DUMMYFUNCTION("""COMPUTED_VALUE"""),9.0)</f>
        <v>9</v>
      </c>
      <c r="I40" s="8" t="str">
        <f>IFERROR(__xludf.DUMMYFUNCTION("""COMPUTED_VALUE"""),"General Petite")</f>
        <v>General Petite</v>
      </c>
      <c r="J40" s="8" t="str">
        <f>IFERROR(__xludf.DUMMYFUNCTION("""COMPUTED_VALUE"""),"Bottoms")</f>
        <v>Bottoms</v>
      </c>
      <c r="K40" s="8" t="str">
        <f>IFERROR(__xludf.DUMMYFUNCTION("""COMPUTED_VALUE"""),"Skirts")</f>
        <v>Skirts</v>
      </c>
      <c r="L40" s="8" t="str">
        <f t="shared" si="1"/>
        <v>Size issue-Fabric issue---</v>
      </c>
    </row>
    <row r="41">
      <c r="A41" s="8">
        <f>IFERROR(__xludf.DUMMYFUNCTION("""COMPUTED_VALUE"""),209.0)</f>
        <v>209</v>
      </c>
      <c r="B41" s="8">
        <f>IFERROR(__xludf.DUMMYFUNCTION("""COMPUTED_VALUE"""),862.0)</f>
        <v>862</v>
      </c>
      <c r="C41" s="8">
        <f>IFERROR(__xludf.DUMMYFUNCTION("""COMPUTED_VALUE"""),44.0)</f>
        <v>44</v>
      </c>
      <c r="D41" s="8"/>
      <c r="E41" s="15" t="str">
        <f>IFERROR(__xludf.DUMMYFUNCTION("""COMPUTED_VALUE"""),"Love the fabric of this shirt even though it was thinner than i expected. it is soft to the skin and flattering. however i returned it because it is made for women with long torso and shorter shoulders.")</f>
        <v>Love the fabric of this shirt even though it was thinner than i expected. it is soft to the skin and flattering. however i returned it because it is made for women with long torso and shorter shoulders.</v>
      </c>
      <c r="F41" s="8">
        <f>IFERROR(__xludf.DUMMYFUNCTION("""COMPUTED_VALUE"""),1.0)</f>
        <v>1</v>
      </c>
      <c r="G41" s="8">
        <f>IFERROR(__xludf.DUMMYFUNCTION("""COMPUTED_VALUE"""),0.0)</f>
        <v>0</v>
      </c>
      <c r="H41" s="8">
        <f>IFERROR(__xludf.DUMMYFUNCTION("""COMPUTED_VALUE"""),1.0)</f>
        <v>1</v>
      </c>
      <c r="I41" s="8" t="str">
        <f>IFERROR(__xludf.DUMMYFUNCTION("""COMPUTED_VALUE"""),"General")</f>
        <v>General</v>
      </c>
      <c r="J41" s="8" t="str">
        <f>IFERROR(__xludf.DUMMYFUNCTION("""COMPUTED_VALUE"""),"Tops")</f>
        <v>Tops</v>
      </c>
      <c r="K41" s="8" t="str">
        <f>IFERROR(__xludf.DUMMYFUNCTION("""COMPUTED_VALUE"""),"Knits")</f>
        <v>Knits</v>
      </c>
      <c r="L41" s="8" t="str">
        <f t="shared" si="1"/>
        <v>Size issue----</v>
      </c>
    </row>
    <row r="42">
      <c r="A42" s="8">
        <f>IFERROR(__xludf.DUMMYFUNCTION("""COMPUTED_VALUE"""),214.0)</f>
        <v>214</v>
      </c>
      <c r="B42" s="8">
        <f>IFERROR(__xludf.DUMMYFUNCTION("""COMPUTED_VALUE"""),1020.0)</f>
        <v>1020</v>
      </c>
      <c r="C42" s="8">
        <f>IFERROR(__xludf.DUMMYFUNCTION("""COMPUTED_VALUE"""),67.0)</f>
        <v>67</v>
      </c>
      <c r="D42" s="8" t="str">
        <f>IFERROR(__xludf.DUMMYFUNCTION("""COMPUTED_VALUE"""),"Not as pictured!")</f>
        <v>Not as pictured!</v>
      </c>
      <c r="E42" s="15" t="str">
        <f>IFERROR(__xludf.DUMMYFUNCTION("""COMPUTED_VALUE"""),"The skirt that i received had very little blue or green in it, and was mostly white, yellow and some red. the fit was fine but the quality for the price was not there for me. the lack of quality and the disappointment in the quality equals a return.")</f>
        <v>The skirt that i received had very little blue or green in it, and was mostly white, yellow and some red. the fit was fine but the quality for the price was not there for me. the lack of quality and the disappointment in the quality equals a return.</v>
      </c>
      <c r="F42" s="8">
        <f>IFERROR(__xludf.DUMMYFUNCTION("""COMPUTED_VALUE"""),1.0)</f>
        <v>1</v>
      </c>
      <c r="G42" s="8">
        <f>IFERROR(__xludf.DUMMYFUNCTION("""COMPUTED_VALUE"""),0.0)</f>
        <v>0</v>
      </c>
      <c r="H42" s="8">
        <f>IFERROR(__xludf.DUMMYFUNCTION("""COMPUTED_VALUE"""),17.0)</f>
        <v>17</v>
      </c>
      <c r="I42" s="8" t="str">
        <f>IFERROR(__xludf.DUMMYFUNCTION("""COMPUTED_VALUE"""),"General Petite")</f>
        <v>General Petite</v>
      </c>
      <c r="J42" s="8" t="str">
        <f>IFERROR(__xludf.DUMMYFUNCTION("""COMPUTED_VALUE"""),"Bottoms")</f>
        <v>Bottoms</v>
      </c>
      <c r="K42" s="8" t="str">
        <f>IFERROR(__xludf.DUMMYFUNCTION("""COMPUTED_VALUE"""),"Skirts")</f>
        <v>Skirts</v>
      </c>
      <c r="L42" s="8" t="str">
        <f t="shared" si="1"/>
        <v>----</v>
      </c>
    </row>
    <row r="43">
      <c r="A43" s="8">
        <f>IFERROR(__xludf.DUMMYFUNCTION("""COMPUTED_VALUE"""),216.0)</f>
        <v>216</v>
      </c>
      <c r="B43" s="8">
        <f>IFERROR(__xludf.DUMMYFUNCTION("""COMPUTED_VALUE"""),305.0)</f>
        <v>305</v>
      </c>
      <c r="C43" s="8">
        <f>IFERROR(__xludf.DUMMYFUNCTION("""COMPUTED_VALUE"""),46.0)</f>
        <v>46</v>
      </c>
      <c r="D43" s="8" t="str">
        <f>IFERROR(__xludf.DUMMYFUNCTION("""COMPUTED_VALUE"""),"Very small")</f>
        <v>Very small</v>
      </c>
      <c r="E43" s="15" t="str">
        <f>IFERROR(__xludf.DUMMYFUNCTION("""COMPUTED_VALUE"""),"Bought a large, could barely pull up over my butt. runs extremely small. it's cute but if your not a stick figure, this is not the suit for you.")</f>
        <v>Bought a large, could barely pull up over my butt. runs extremely small. it's cute but if your not a stick figure, this is not the suit for you.</v>
      </c>
      <c r="F43" s="8">
        <f>IFERROR(__xludf.DUMMYFUNCTION("""COMPUTED_VALUE"""),2.0)</f>
        <v>2</v>
      </c>
      <c r="G43" s="8">
        <f>IFERROR(__xludf.DUMMYFUNCTION("""COMPUTED_VALUE"""),0.0)</f>
        <v>0</v>
      </c>
      <c r="H43" s="8">
        <f>IFERROR(__xludf.DUMMYFUNCTION("""COMPUTED_VALUE"""),0.0)</f>
        <v>0</v>
      </c>
      <c r="I43" s="8" t="str">
        <f>IFERROR(__xludf.DUMMYFUNCTION("""COMPUTED_VALUE"""),"Initmates")</f>
        <v>Initmates</v>
      </c>
      <c r="J43" s="8" t="str">
        <f>IFERROR(__xludf.DUMMYFUNCTION("""COMPUTED_VALUE"""),"Intimate")</f>
        <v>Intimate</v>
      </c>
      <c r="K43" s="8" t="str">
        <f>IFERROR(__xludf.DUMMYFUNCTION("""COMPUTED_VALUE"""),"Swim")</f>
        <v>Swim</v>
      </c>
      <c r="L43" s="8" t="str">
        <f t="shared" si="1"/>
        <v>Size issue----</v>
      </c>
    </row>
    <row r="44">
      <c r="A44" s="8">
        <f>IFERROR(__xludf.DUMMYFUNCTION("""COMPUTED_VALUE"""),232.0)</f>
        <v>232</v>
      </c>
      <c r="B44" s="8">
        <f>IFERROR(__xludf.DUMMYFUNCTION("""COMPUTED_VALUE"""),840.0)</f>
        <v>840</v>
      </c>
      <c r="C44" s="8">
        <f>IFERROR(__xludf.DUMMYFUNCTION("""COMPUTED_VALUE"""),37.0)</f>
        <v>37</v>
      </c>
      <c r="D44" s="8" t="str">
        <f>IFERROR(__xludf.DUMMYFUNCTION("""COMPUTED_VALUE"""),"Light &amp; large")</f>
        <v>Light &amp; large</v>
      </c>
      <c r="E44" s="15" t="str">
        <f>IFERROR(__xludf.DUMMYFUNCTION("""COMPUTED_VALUE"""),"The shirt is absolutely cute looking. but that's just that....looks. i'm 5'2"" size 6 &amp; wears m to l top. i tried on the medium in the store, it was rather flowing. i liked it. but i didn't like how it fit on the underarm area. it hung very low. so i orde"&amp;"red a petite m. still the same. plus the store the lighting was dark so i didn't realize how see through the shirt was too. had to return it.")</f>
        <v>The shirt is absolutely cute looking. but that's just that....looks. i'm 5'2" size 6 &amp; wears m to l top. i tried on the medium in the store, it was rather flowing. i liked it. but i didn't like how it fit on the underarm area. it hung very low. so i ordered a petite m. still the same. plus the store the lighting was dark so i didn't realize how see through the shirt was too. had to return it.</v>
      </c>
      <c r="F44" s="8">
        <f>IFERROR(__xludf.DUMMYFUNCTION("""COMPUTED_VALUE"""),2.0)</f>
        <v>2</v>
      </c>
      <c r="G44" s="8">
        <f>IFERROR(__xludf.DUMMYFUNCTION("""COMPUTED_VALUE"""),0.0)</f>
        <v>0</v>
      </c>
      <c r="H44" s="8">
        <f>IFERROR(__xludf.DUMMYFUNCTION("""COMPUTED_VALUE"""),1.0)</f>
        <v>1</v>
      </c>
      <c r="I44" s="8" t="str">
        <f>IFERROR(__xludf.DUMMYFUNCTION("""COMPUTED_VALUE"""),"General")</f>
        <v>General</v>
      </c>
      <c r="J44" s="8" t="str">
        <f>IFERROR(__xludf.DUMMYFUNCTION("""COMPUTED_VALUE"""),"Tops")</f>
        <v>Tops</v>
      </c>
      <c r="K44" s="8" t="str">
        <f>IFERROR(__xludf.DUMMYFUNCTION("""COMPUTED_VALUE"""),"Blouses")</f>
        <v>Blouses</v>
      </c>
      <c r="L44" s="8" t="str">
        <f t="shared" si="1"/>
        <v>Size issue----</v>
      </c>
    </row>
    <row r="45">
      <c r="A45" s="8">
        <f>IFERROR(__xludf.DUMMYFUNCTION("""COMPUTED_VALUE"""),237.0)</f>
        <v>237</v>
      </c>
      <c r="B45" s="8">
        <f>IFERROR(__xludf.DUMMYFUNCTION("""COMPUTED_VALUE"""),1066.0)</f>
        <v>1066</v>
      </c>
      <c r="C45" s="8">
        <f>IFERROR(__xludf.DUMMYFUNCTION("""COMPUTED_VALUE"""),42.0)</f>
        <v>42</v>
      </c>
      <c r="D45" s="8" t="str">
        <f>IFERROR(__xludf.DUMMYFUNCTION("""COMPUTED_VALUE"""),"Not what i expected")</f>
        <v>Not what i expected</v>
      </c>
      <c r="E45" s="15" t="str">
        <f>IFERROR(__xludf.DUMMYFUNCTION("""COMPUTED_VALUE"""),"I have a similar pair of capris from retailer and when i ordered these i thought they were the same in a different color. these are less flattering and i may not keep them.")</f>
        <v>I have a similar pair of capris from retailer and when i ordered these i thought they were the same in a different color. these are less flattering and i may not keep them.</v>
      </c>
      <c r="F45" s="8">
        <f>IFERROR(__xludf.DUMMYFUNCTION("""COMPUTED_VALUE"""),2.0)</f>
        <v>2</v>
      </c>
      <c r="G45" s="8">
        <f>IFERROR(__xludf.DUMMYFUNCTION("""COMPUTED_VALUE"""),0.0)</f>
        <v>0</v>
      </c>
      <c r="H45" s="8">
        <f>IFERROR(__xludf.DUMMYFUNCTION("""COMPUTED_VALUE"""),0.0)</f>
        <v>0</v>
      </c>
      <c r="I45" s="8" t="str">
        <f>IFERROR(__xludf.DUMMYFUNCTION("""COMPUTED_VALUE"""),"General")</f>
        <v>General</v>
      </c>
      <c r="J45" s="8" t="str">
        <f>IFERROR(__xludf.DUMMYFUNCTION("""COMPUTED_VALUE"""),"Bottoms")</f>
        <v>Bottoms</v>
      </c>
      <c r="K45" s="8" t="str">
        <f>IFERROR(__xludf.DUMMYFUNCTION("""COMPUTED_VALUE"""),"Pants")</f>
        <v>Pants</v>
      </c>
      <c r="L45" s="8" t="str">
        <f t="shared" si="1"/>
        <v>----</v>
      </c>
    </row>
    <row r="46">
      <c r="A46" s="8">
        <f>IFERROR(__xludf.DUMMYFUNCTION("""COMPUTED_VALUE"""),239.0)</f>
        <v>239</v>
      </c>
      <c r="B46" s="8">
        <f>IFERROR(__xludf.DUMMYFUNCTION("""COMPUTED_VALUE"""),840.0)</f>
        <v>840</v>
      </c>
      <c r="C46" s="8">
        <f>IFERROR(__xludf.DUMMYFUNCTION("""COMPUTED_VALUE"""),56.0)</f>
        <v>56</v>
      </c>
      <c r="D46" s="8"/>
      <c r="E46" s="15" t="str">
        <f>IFERROR(__xludf.DUMMYFUNCTION("""COMPUTED_VALUE"""),"I love the style of this top, and the longer length would be great with leggings and fitted shorts. it's somewhat fitted on the top yet it's a-line shape gives a full swing at the bottom. the ruffled v-neckline is pretty, and i like the longer length of t"&amp;"he short sleeves. but with all these attributes, unfortunately they cut the armholes really big, so when you put your arms forward, the sleeves pull against your arms. i was trying to decide if i should keep it anyway, but for $98 dollars i thin")</f>
        <v>I love the style of this top, and the longer length would be great with leggings and fitted shorts. it's somewhat fitted on the top yet it's a-line shape gives a full swing at the bottom. the ruffled v-neckline is pretty, and i like the longer length of the short sleeves. but with all these attributes, unfortunately they cut the armholes really big, so when you put your arms forward, the sleeves pull against your arms. i was trying to decide if i should keep it anyway, but for $98 dollars i thin</v>
      </c>
      <c r="F46" s="8">
        <f>IFERROR(__xludf.DUMMYFUNCTION("""COMPUTED_VALUE"""),3.0)</f>
        <v>3</v>
      </c>
      <c r="G46" s="8">
        <f>IFERROR(__xludf.DUMMYFUNCTION("""COMPUTED_VALUE"""),0.0)</f>
        <v>0</v>
      </c>
      <c r="H46" s="8">
        <f>IFERROR(__xludf.DUMMYFUNCTION("""COMPUTED_VALUE"""),20.0)</f>
        <v>20</v>
      </c>
      <c r="I46" s="8" t="str">
        <f>IFERROR(__xludf.DUMMYFUNCTION("""COMPUTED_VALUE"""),"General")</f>
        <v>General</v>
      </c>
      <c r="J46" s="8" t="str">
        <f>IFERROR(__xludf.DUMMYFUNCTION("""COMPUTED_VALUE"""),"Tops")</f>
        <v>Tops</v>
      </c>
      <c r="K46" s="8" t="str">
        <f>IFERROR(__xludf.DUMMYFUNCTION("""COMPUTED_VALUE"""),"Blouses")</f>
        <v>Blouses</v>
      </c>
      <c r="L46" s="8" t="str">
        <f t="shared" si="1"/>
        <v>Size issue-Fabric issue---</v>
      </c>
    </row>
    <row r="47">
      <c r="A47" s="8">
        <f>IFERROR(__xludf.DUMMYFUNCTION("""COMPUTED_VALUE"""),241.0)</f>
        <v>241</v>
      </c>
      <c r="B47" s="8">
        <f>IFERROR(__xludf.DUMMYFUNCTION("""COMPUTED_VALUE"""),647.0)</f>
        <v>647</v>
      </c>
      <c r="C47" s="8">
        <f>IFERROR(__xludf.DUMMYFUNCTION("""COMPUTED_VALUE"""),32.0)</f>
        <v>32</v>
      </c>
      <c r="D47" s="8" t="str">
        <f>IFERROR(__xludf.DUMMYFUNCTION("""COMPUTED_VALUE"""),"Loved this, then washed it twice and it fell apart")</f>
        <v>Loved this, then washed it twice and it fell apart</v>
      </c>
      <c r="E47" s="15" t="str">
        <f>IFERROR(__xludf.DUMMYFUNCTION("""COMPUTED_VALUE"""),"I loved this dress from the moment i tried it on. so flattering to my postpartum body without being a huge tent. soft fabric, and for a white/lightly striped dress, not sheer. i'm bummed because after washing only twice (followed the instructions to wash)"&amp;" on gentle cycle and low tumble dry, holes started appearing everywhere, both on the cream ribbed hem in the front bottom and all across the chest, in the white part of the fabric only (it looks like the black stripes are holding the holes toget")</f>
        <v>I loved this dress from the moment i tried it on. so flattering to my postpartum body without being a huge tent. soft fabric, and for a white/lightly striped dress, not sheer. i'm bummed because after washing only twice (followed the instructions to wash) on gentle cycle and low tumble dry, holes started appearing everywhere, both on the cream ribbed hem in the front bottom and all across the chest, in the white part of the fabric only (it looks like the black stripes are holding the holes toget</v>
      </c>
      <c r="F47" s="8">
        <f>IFERROR(__xludf.DUMMYFUNCTION("""COMPUTED_VALUE"""),1.0)</f>
        <v>1</v>
      </c>
      <c r="G47" s="8">
        <f>IFERROR(__xludf.DUMMYFUNCTION("""COMPUTED_VALUE"""),0.0)</f>
        <v>0</v>
      </c>
      <c r="H47" s="8">
        <f>IFERROR(__xludf.DUMMYFUNCTION("""COMPUTED_VALUE"""),3.0)</f>
        <v>3</v>
      </c>
      <c r="I47" s="8" t="str">
        <f>IFERROR(__xludf.DUMMYFUNCTION("""COMPUTED_VALUE"""),"General Petite")</f>
        <v>General Petite</v>
      </c>
      <c r="J47" s="8" t="str">
        <f>IFERROR(__xludf.DUMMYFUNCTION("""COMPUTED_VALUE"""),"Intimate")</f>
        <v>Intimate</v>
      </c>
      <c r="K47" s="8" t="str">
        <f>IFERROR(__xludf.DUMMYFUNCTION("""COMPUTED_VALUE"""),"Lounge")</f>
        <v>Lounge</v>
      </c>
      <c r="L47" s="8" t="str">
        <f t="shared" si="1"/>
        <v>-Fabric issue---</v>
      </c>
    </row>
    <row r="48">
      <c r="A48" s="8">
        <f>IFERROR(__xludf.DUMMYFUNCTION("""COMPUTED_VALUE"""),258.0)</f>
        <v>258</v>
      </c>
      <c r="B48" s="8">
        <f>IFERROR(__xludf.DUMMYFUNCTION("""COMPUTED_VALUE"""),840.0)</f>
        <v>840</v>
      </c>
      <c r="C48" s="8">
        <f>IFERROR(__xludf.DUMMYFUNCTION("""COMPUTED_VALUE"""),48.0)</f>
        <v>48</v>
      </c>
      <c r="D48" s="8" t="str">
        <f>IFERROR(__xludf.DUMMYFUNCTION("""COMPUTED_VALUE"""),"Fits like a maternity top")</f>
        <v>Fits like a maternity top</v>
      </c>
      <c r="E48" s="15" t="str">
        <f>IFERROR(__xludf.DUMMYFUNCTION("""COMPUTED_VALUE"""),"Fits well through the shoulders and arms, but there is zero waist, and it just looks like a bunch of extra fabric hanging from the top. super cute, but have to return because of that.")</f>
        <v>Fits well through the shoulders and arms, but there is zero waist, and it just looks like a bunch of extra fabric hanging from the top. super cute, but have to return because of that.</v>
      </c>
      <c r="F48" s="8">
        <f>IFERROR(__xludf.DUMMYFUNCTION("""COMPUTED_VALUE"""),3.0)</f>
        <v>3</v>
      </c>
      <c r="G48" s="8">
        <f>IFERROR(__xludf.DUMMYFUNCTION("""COMPUTED_VALUE"""),0.0)</f>
        <v>0</v>
      </c>
      <c r="H48" s="8">
        <f>IFERROR(__xludf.DUMMYFUNCTION("""COMPUTED_VALUE"""),1.0)</f>
        <v>1</v>
      </c>
      <c r="I48" s="8" t="str">
        <f>IFERROR(__xludf.DUMMYFUNCTION("""COMPUTED_VALUE"""),"General")</f>
        <v>General</v>
      </c>
      <c r="J48" s="8" t="str">
        <f>IFERROR(__xludf.DUMMYFUNCTION("""COMPUTED_VALUE"""),"Tops")</f>
        <v>Tops</v>
      </c>
      <c r="K48" s="8" t="str">
        <f>IFERROR(__xludf.DUMMYFUNCTION("""COMPUTED_VALUE"""),"Blouses")</f>
        <v>Blouses</v>
      </c>
      <c r="L48" s="8" t="str">
        <f t="shared" si="1"/>
        <v>----</v>
      </c>
    </row>
    <row r="49">
      <c r="A49" s="8">
        <f>IFERROR(__xludf.DUMMYFUNCTION("""COMPUTED_VALUE"""),262.0)</f>
        <v>262</v>
      </c>
      <c r="B49" s="8">
        <f>IFERROR(__xludf.DUMMYFUNCTION("""COMPUTED_VALUE"""),878.0)</f>
        <v>878</v>
      </c>
      <c r="C49" s="8">
        <f>IFERROR(__xludf.DUMMYFUNCTION("""COMPUTED_VALUE"""),47.0)</f>
        <v>47</v>
      </c>
      <c r="D49" s="8" t="str">
        <f>IFERROR(__xludf.DUMMYFUNCTION("""COMPUTED_VALUE"""),"Cute, but no go!")</f>
        <v>Cute, but no go!</v>
      </c>
      <c r="E49" s="15" t="str">
        <f>IFERROR(__xludf.DUMMYFUNCTION("""COMPUTED_VALUE"""),"I really wanted to love this t and was excited to receive it in the mail. i thought i was being realistic in assuming that is would be somewhat sheer given that there doesn't seem to be a woman's white t on the planet that isn't these days, however it was"&amp;" really sheer. the fit was also short and boxy (this coming from a 5'3 woman who is short-waisted) on the plus size the material is extremely soft and the design is cute. maybe if you are younger and don't mind the sheerness it's worth the gambl")</f>
        <v>I really wanted to love this t and was excited to receive it in the mail. i thought i was being realistic in assuming that is would be somewhat sheer given that there doesn't seem to be a woman's white t on the planet that isn't these days, however it was really sheer. the fit was also short and boxy (this coming from a 5'3 woman who is short-waisted) on the plus size the material is extremely soft and the design is cute. maybe if you are younger and don't mind the sheerness it's worth the gambl</v>
      </c>
      <c r="F49" s="8">
        <f>IFERROR(__xludf.DUMMYFUNCTION("""COMPUTED_VALUE"""),3.0)</f>
        <v>3</v>
      </c>
      <c r="G49" s="8">
        <f>IFERROR(__xludf.DUMMYFUNCTION("""COMPUTED_VALUE"""),0.0)</f>
        <v>0</v>
      </c>
      <c r="H49" s="8">
        <f>IFERROR(__xludf.DUMMYFUNCTION("""COMPUTED_VALUE"""),1.0)</f>
        <v>1</v>
      </c>
      <c r="I49" s="8" t="str">
        <f>IFERROR(__xludf.DUMMYFUNCTION("""COMPUTED_VALUE"""),"General")</f>
        <v>General</v>
      </c>
      <c r="J49" s="8" t="str">
        <f>IFERROR(__xludf.DUMMYFUNCTION("""COMPUTED_VALUE"""),"Tops")</f>
        <v>Tops</v>
      </c>
      <c r="K49" s="8" t="str">
        <f>IFERROR(__xludf.DUMMYFUNCTION("""COMPUTED_VALUE"""),"Knits")</f>
        <v>Knits</v>
      </c>
      <c r="L49" s="8" t="str">
        <f t="shared" si="1"/>
        <v>Size issue-Fabric issue-Style issue--</v>
      </c>
    </row>
    <row r="50">
      <c r="A50" s="8">
        <f>IFERROR(__xludf.DUMMYFUNCTION("""COMPUTED_VALUE"""),286.0)</f>
        <v>286</v>
      </c>
      <c r="B50" s="8">
        <f>IFERROR(__xludf.DUMMYFUNCTION("""COMPUTED_VALUE"""),868.0)</f>
        <v>868</v>
      </c>
      <c r="C50" s="8">
        <f>IFERROR(__xludf.DUMMYFUNCTION("""COMPUTED_VALUE"""),42.0)</f>
        <v>42</v>
      </c>
      <c r="D50" s="8"/>
      <c r="E50" s="15" t="str">
        <f>IFERROR(__xludf.DUMMYFUNCTION("""COMPUTED_VALUE"""),"Like the other reviewer said this top is extremely wide and boxy. it must be pinned in the picture online. it's very frustrating when they do that. thank goodness i didn't pay for shipping! for reference, i'm 5'2 and 135 pounds and bought the xxs, it's go"&amp;"ing back for sure. i'm trying to lose baby weight, not trying to look pregnant!")</f>
        <v>Like the other reviewer said this top is extremely wide and boxy. it must be pinned in the picture online. it's very frustrating when they do that. thank goodness i didn't pay for shipping! for reference, i'm 5'2 and 135 pounds and bought the xxs, it's going back for sure. i'm trying to lose baby weight, not trying to look pregnant!</v>
      </c>
      <c r="F50" s="8">
        <f>IFERROR(__xludf.DUMMYFUNCTION("""COMPUTED_VALUE"""),2.0)</f>
        <v>2</v>
      </c>
      <c r="G50" s="8">
        <f>IFERROR(__xludf.DUMMYFUNCTION("""COMPUTED_VALUE"""),0.0)</f>
        <v>0</v>
      </c>
      <c r="H50" s="8">
        <f>IFERROR(__xludf.DUMMYFUNCTION("""COMPUTED_VALUE"""),1.0)</f>
        <v>1</v>
      </c>
      <c r="I50" s="8" t="str">
        <f>IFERROR(__xludf.DUMMYFUNCTION("""COMPUTED_VALUE"""),"General")</f>
        <v>General</v>
      </c>
      <c r="J50" s="8" t="str">
        <f>IFERROR(__xludf.DUMMYFUNCTION("""COMPUTED_VALUE"""),"Tops")</f>
        <v>Tops</v>
      </c>
      <c r="K50" s="8" t="str">
        <f>IFERROR(__xludf.DUMMYFUNCTION("""COMPUTED_VALUE"""),"Knits")</f>
        <v>Knits</v>
      </c>
      <c r="L50" s="8" t="str">
        <f t="shared" si="1"/>
        <v>Size issue----</v>
      </c>
    </row>
    <row r="51">
      <c r="A51" s="8">
        <f>IFERROR(__xludf.DUMMYFUNCTION("""COMPUTED_VALUE"""),288.0)</f>
        <v>288</v>
      </c>
      <c r="B51" s="8">
        <f>IFERROR(__xludf.DUMMYFUNCTION("""COMPUTED_VALUE"""),878.0)</f>
        <v>878</v>
      </c>
      <c r="C51" s="8">
        <f>IFERROR(__xludf.DUMMYFUNCTION("""COMPUTED_VALUE"""),46.0)</f>
        <v>46</v>
      </c>
      <c r="D51" s="8" t="str">
        <f>IFERROR(__xludf.DUMMYFUNCTION("""COMPUTED_VALUE"""),"Not much structure, boxy...")</f>
        <v>Not much structure, boxy...</v>
      </c>
      <c r="E51" s="15" t="str">
        <f>IFERROR(__xludf.DUMMYFUNCTION("""COMPUTED_VALUE"""),"I wanted to love this sweatshirt, but alas, it is going back. upon opening and unfolding, the first thing i noticed: the dots and not solid. they are sort of distressed looking, with parts of them missing. secondly, it doesn't have a lot of structure. it'"&amp;"s soft and kind of floppy but in a weird way. it's just not flattering on me. it looks more like a pajama top than something i would wear out of the house. for reference, i ordered the 3, and i'm usually a 10/12 in tops.")</f>
        <v>I wanted to love this sweatshirt, but alas, it is going back. upon opening and unfolding, the first thing i noticed: the dots and not solid. they are sort of distressed looking, with parts of them missing. secondly, it doesn't have a lot of structure. it's soft and kind of floppy but in a weird way. it's just not flattering on me. it looks more like a pajama top than something i would wear out of the house. for reference, i ordered the 3, and i'm usually a 10/12 in tops.</v>
      </c>
      <c r="F51" s="8">
        <f>IFERROR(__xludf.DUMMYFUNCTION("""COMPUTED_VALUE"""),2.0)</f>
        <v>2</v>
      </c>
      <c r="G51" s="8">
        <f>IFERROR(__xludf.DUMMYFUNCTION("""COMPUTED_VALUE"""),0.0)</f>
        <v>0</v>
      </c>
      <c r="H51" s="8">
        <f>IFERROR(__xludf.DUMMYFUNCTION("""COMPUTED_VALUE"""),0.0)</f>
        <v>0</v>
      </c>
      <c r="I51" s="8" t="str">
        <f>IFERROR(__xludf.DUMMYFUNCTION("""COMPUTED_VALUE"""),"General")</f>
        <v>General</v>
      </c>
      <c r="J51" s="8" t="str">
        <f>IFERROR(__xludf.DUMMYFUNCTION("""COMPUTED_VALUE"""),"Tops")</f>
        <v>Tops</v>
      </c>
      <c r="K51" s="8" t="str">
        <f>IFERROR(__xludf.DUMMYFUNCTION("""COMPUTED_VALUE"""),"Knits")</f>
        <v>Knits</v>
      </c>
      <c r="L51" s="8" t="str">
        <f t="shared" si="1"/>
        <v>----</v>
      </c>
    </row>
    <row r="52">
      <c r="A52" s="8">
        <f>IFERROR(__xludf.DUMMYFUNCTION("""COMPUTED_VALUE"""),311.0)</f>
        <v>311</v>
      </c>
      <c r="B52" s="8">
        <f>IFERROR(__xludf.DUMMYFUNCTION("""COMPUTED_VALUE"""),1089.0)</f>
        <v>1089</v>
      </c>
      <c r="C52" s="8">
        <f>IFERROR(__xludf.DUMMYFUNCTION("""COMPUTED_VALUE"""),37.0)</f>
        <v>37</v>
      </c>
      <c r="D52" s="8" t="str">
        <f>IFERROR(__xludf.DUMMYFUNCTION("""COMPUTED_VALUE"""),"Runs large and zipper sticks")</f>
        <v>Runs large and zipper sticks</v>
      </c>
      <c r="E52" s="15" t="str">
        <f>IFERROR(__xludf.DUMMYFUNCTION("""COMPUTED_VALUE"""),"Looks beautiful online but has too much material and the zipper catches on the lace. also runs very large, i am normally a small but would need and xs in this dress")</f>
        <v>Looks beautiful online but has too much material and the zipper catches on the lace. also runs very large, i am normally a small but would need and xs in this dress</v>
      </c>
      <c r="F52" s="8">
        <f>IFERROR(__xludf.DUMMYFUNCTION("""COMPUTED_VALUE"""),3.0)</f>
        <v>3</v>
      </c>
      <c r="G52" s="8">
        <f>IFERROR(__xludf.DUMMYFUNCTION("""COMPUTED_VALUE"""),0.0)</f>
        <v>0</v>
      </c>
      <c r="H52" s="8">
        <f>IFERROR(__xludf.DUMMYFUNCTION("""COMPUTED_VALUE"""),6.0)</f>
        <v>6</v>
      </c>
      <c r="I52" s="8" t="str">
        <f>IFERROR(__xludf.DUMMYFUNCTION("""COMPUTED_VALUE"""),"General Petite")</f>
        <v>General Petite</v>
      </c>
      <c r="J52" s="8" t="str">
        <f>IFERROR(__xludf.DUMMYFUNCTION("""COMPUTED_VALUE"""),"Dresses")</f>
        <v>Dresses</v>
      </c>
      <c r="K52" s="8" t="str">
        <f>IFERROR(__xludf.DUMMYFUNCTION("""COMPUTED_VALUE"""),"Dresses")</f>
        <v>Dresses</v>
      </c>
      <c r="L52" s="8" t="str">
        <f t="shared" si="1"/>
        <v>Size issue-Fabric issue---</v>
      </c>
    </row>
    <row r="53">
      <c r="A53" s="8">
        <f>IFERROR(__xludf.DUMMYFUNCTION("""COMPUTED_VALUE"""),312.0)</f>
        <v>312</v>
      </c>
      <c r="B53" s="8">
        <f>IFERROR(__xludf.DUMMYFUNCTION("""COMPUTED_VALUE"""),844.0)</f>
        <v>844</v>
      </c>
      <c r="C53" s="8">
        <f>IFERROR(__xludf.DUMMYFUNCTION("""COMPUTED_VALUE"""),34.0)</f>
        <v>34</v>
      </c>
      <c r="D53" s="8" t="str">
        <f>IFERROR(__xludf.DUMMYFUNCTION("""COMPUTED_VALUE"""),"Very unflattering")</f>
        <v>Very unflattering</v>
      </c>
      <c r="E53" s="15" t="str">
        <f>IFERROR(__xludf.DUMMYFUNCTION("""COMPUTED_VALUE"""),"True to size on the neckline and arms but extremely large and puffy in the torso. very unflattering cut!")</f>
        <v>True to size on the neckline and arms but extremely large and puffy in the torso. very unflattering cut!</v>
      </c>
      <c r="F53" s="8">
        <f>IFERROR(__xludf.DUMMYFUNCTION("""COMPUTED_VALUE"""),3.0)</f>
        <v>3</v>
      </c>
      <c r="G53" s="8">
        <f>IFERROR(__xludf.DUMMYFUNCTION("""COMPUTED_VALUE"""),0.0)</f>
        <v>0</v>
      </c>
      <c r="H53" s="8">
        <f>IFERROR(__xludf.DUMMYFUNCTION("""COMPUTED_VALUE"""),0.0)</f>
        <v>0</v>
      </c>
      <c r="I53" s="8" t="str">
        <f>IFERROR(__xludf.DUMMYFUNCTION("""COMPUTED_VALUE"""),"General Petite")</f>
        <v>General Petite</v>
      </c>
      <c r="J53" s="8" t="str">
        <f>IFERROR(__xludf.DUMMYFUNCTION("""COMPUTED_VALUE"""),"Tops")</f>
        <v>Tops</v>
      </c>
      <c r="K53" s="8" t="str">
        <f>IFERROR(__xludf.DUMMYFUNCTION("""COMPUTED_VALUE"""),"Blouses")</f>
        <v>Blouses</v>
      </c>
      <c r="L53" s="8" t="str">
        <f t="shared" si="1"/>
        <v>Size issue----</v>
      </c>
    </row>
    <row r="54">
      <c r="A54" s="8">
        <f>IFERROR(__xludf.DUMMYFUNCTION("""COMPUTED_VALUE"""),314.0)</f>
        <v>314</v>
      </c>
      <c r="B54" s="8">
        <f>IFERROR(__xludf.DUMMYFUNCTION("""COMPUTED_VALUE"""),836.0)</f>
        <v>836</v>
      </c>
      <c r="C54" s="8">
        <f>IFERROR(__xludf.DUMMYFUNCTION("""COMPUTED_VALUE"""),60.0)</f>
        <v>60</v>
      </c>
      <c r="D54" s="8" t="str">
        <f>IFERROR(__xludf.DUMMYFUNCTION("""COMPUTED_VALUE"""),"Didn't work for me")</f>
        <v>Didn't work for me</v>
      </c>
      <c r="E54" s="15" t="str">
        <f>IFERROR(__xludf.DUMMYFUNCTION("""COMPUTED_VALUE"""),"I thought this top was adorable in the store and online. it just didn't work for me. although it fit, it flares out too much in the front and just wasn't flattering on me. i am 5' 5"" and 128 lbs. and ordered the small.")</f>
        <v>I thought this top was adorable in the store and online. it just didn't work for me. although it fit, it flares out too much in the front and just wasn't flattering on me. i am 5' 5" and 128 lbs. and ordered the small.</v>
      </c>
      <c r="F54" s="8">
        <f>IFERROR(__xludf.DUMMYFUNCTION("""COMPUTED_VALUE"""),3.0)</f>
        <v>3</v>
      </c>
      <c r="G54" s="8">
        <f>IFERROR(__xludf.DUMMYFUNCTION("""COMPUTED_VALUE"""),0.0)</f>
        <v>0</v>
      </c>
      <c r="H54" s="8">
        <f>IFERROR(__xludf.DUMMYFUNCTION("""COMPUTED_VALUE"""),3.0)</f>
        <v>3</v>
      </c>
      <c r="I54" s="8" t="str">
        <f>IFERROR(__xludf.DUMMYFUNCTION("""COMPUTED_VALUE"""),"General")</f>
        <v>General</v>
      </c>
      <c r="J54" s="8" t="str">
        <f>IFERROR(__xludf.DUMMYFUNCTION("""COMPUTED_VALUE"""),"Tops")</f>
        <v>Tops</v>
      </c>
      <c r="K54" s="8" t="str">
        <f>IFERROR(__xludf.DUMMYFUNCTION("""COMPUTED_VALUE"""),"Blouses")</f>
        <v>Blouses</v>
      </c>
      <c r="L54" s="8" t="str">
        <f t="shared" si="1"/>
        <v>Size issue----</v>
      </c>
    </row>
    <row r="55">
      <c r="A55" s="8">
        <f>IFERROR(__xludf.DUMMYFUNCTION("""COMPUTED_VALUE"""),325.0)</f>
        <v>325</v>
      </c>
      <c r="B55" s="8">
        <f>IFERROR(__xludf.DUMMYFUNCTION("""COMPUTED_VALUE"""),844.0)</f>
        <v>844</v>
      </c>
      <c r="C55" s="8">
        <f>IFERROR(__xludf.DUMMYFUNCTION("""COMPUTED_VALUE"""),43.0)</f>
        <v>43</v>
      </c>
      <c r="D55" s="8" t="str">
        <f>IFERROR(__xludf.DUMMYFUNCTION("""COMPUTED_VALUE"""),"Disappointing!")</f>
        <v>Disappointing!</v>
      </c>
      <c r="E55" s="15" t="str">
        <f>IFERROR(__xludf.DUMMYFUNCTION("""COMPUTED_VALUE"""),"Like another reviewer mentioned, this shirt is way too short. i'm only 5'2"" (xs) and there is no way this top would tuck in like on the model. also, the quality isn't great as it's very thin and there are strings hanging from some of the seams in the fro"&amp;"nt. it's a shame b/c the print is really pretty and there is this cute little bicycle charm on the tag which makes it feel more unique. sadly, it's going back!")</f>
        <v>Like another reviewer mentioned, this shirt is way too short. i'm only 5'2" (xs) and there is no way this top would tuck in like on the model. also, the quality isn't great as it's very thin and there are strings hanging from some of the seams in the front. it's a shame b/c the print is really pretty and there is this cute little bicycle charm on the tag which makes it feel more unique. sadly, it's going back!</v>
      </c>
      <c r="F55" s="8">
        <f>IFERROR(__xludf.DUMMYFUNCTION("""COMPUTED_VALUE"""),2.0)</f>
        <v>2</v>
      </c>
      <c r="G55" s="8">
        <f>IFERROR(__xludf.DUMMYFUNCTION("""COMPUTED_VALUE"""),0.0)</f>
        <v>0</v>
      </c>
      <c r="H55" s="8">
        <f>IFERROR(__xludf.DUMMYFUNCTION("""COMPUTED_VALUE"""),0.0)</f>
        <v>0</v>
      </c>
      <c r="I55" s="8" t="str">
        <f>IFERROR(__xludf.DUMMYFUNCTION("""COMPUTED_VALUE"""),"General Petite")</f>
        <v>General Petite</v>
      </c>
      <c r="J55" s="8" t="str">
        <f>IFERROR(__xludf.DUMMYFUNCTION("""COMPUTED_VALUE"""),"Tops")</f>
        <v>Tops</v>
      </c>
      <c r="K55" s="8" t="str">
        <f>IFERROR(__xludf.DUMMYFUNCTION("""COMPUTED_VALUE"""),"Blouses")</f>
        <v>Blouses</v>
      </c>
      <c r="L55" s="8" t="str">
        <f t="shared" si="1"/>
        <v>Size issue-Fabric issue---Matching Awareness issue</v>
      </c>
    </row>
    <row r="56">
      <c r="A56" s="8">
        <f>IFERROR(__xludf.DUMMYFUNCTION("""COMPUTED_VALUE"""),330.0)</f>
        <v>330</v>
      </c>
      <c r="B56" s="8">
        <f>IFERROR(__xludf.DUMMYFUNCTION("""COMPUTED_VALUE"""),844.0)</f>
        <v>844</v>
      </c>
      <c r="C56" s="8">
        <f>IFERROR(__xludf.DUMMYFUNCTION("""COMPUTED_VALUE"""),41.0)</f>
        <v>41</v>
      </c>
      <c r="D56" s="8" t="str">
        <f>IFERROR(__xludf.DUMMYFUNCTION("""COMPUTED_VALUE"""),"Awkward fit")</f>
        <v>Awkward fit</v>
      </c>
      <c r="E56" s="15" t="str">
        <f>IFERROR(__xludf.DUMMYFUNCTION("""COMPUTED_VALUE"""),"I had high hopes for this top. really boxy, short")</f>
        <v>I had high hopes for this top. really boxy, short</v>
      </c>
      <c r="F56" s="8">
        <f>IFERROR(__xludf.DUMMYFUNCTION("""COMPUTED_VALUE"""),3.0)</f>
        <v>3</v>
      </c>
      <c r="G56" s="8">
        <f>IFERROR(__xludf.DUMMYFUNCTION("""COMPUTED_VALUE"""),0.0)</f>
        <v>0</v>
      </c>
      <c r="H56" s="8">
        <f>IFERROR(__xludf.DUMMYFUNCTION("""COMPUTED_VALUE"""),0.0)</f>
        <v>0</v>
      </c>
      <c r="I56" s="8" t="str">
        <f>IFERROR(__xludf.DUMMYFUNCTION("""COMPUTED_VALUE"""),"General Petite")</f>
        <v>General Petite</v>
      </c>
      <c r="J56" s="8" t="str">
        <f>IFERROR(__xludf.DUMMYFUNCTION("""COMPUTED_VALUE"""),"Tops")</f>
        <v>Tops</v>
      </c>
      <c r="K56" s="8" t="str">
        <f>IFERROR(__xludf.DUMMYFUNCTION("""COMPUTED_VALUE"""),"Blouses")</f>
        <v>Blouses</v>
      </c>
      <c r="L56" s="8" t="str">
        <f t="shared" si="1"/>
        <v>Size issue----</v>
      </c>
    </row>
    <row r="57">
      <c r="A57" s="8">
        <f>IFERROR(__xludf.DUMMYFUNCTION("""COMPUTED_VALUE"""),334.0)</f>
        <v>334</v>
      </c>
      <c r="B57" s="8">
        <f>IFERROR(__xludf.DUMMYFUNCTION("""COMPUTED_VALUE"""),844.0)</f>
        <v>844</v>
      </c>
      <c r="C57" s="8">
        <f>IFERROR(__xludf.DUMMYFUNCTION("""COMPUTED_VALUE"""),53.0)</f>
        <v>53</v>
      </c>
      <c r="D57" s="8" t="str">
        <f>IFERROR(__xludf.DUMMYFUNCTION("""COMPUTED_VALUE"""),"Not a good fit")</f>
        <v>Not a good fit</v>
      </c>
      <c r="E57" s="15" t="str">
        <f>IFERROR(__xludf.DUMMYFUNCTION("""COMPUTED_VALUE"""),"This top was way too short (i'm only 5'1) and way too wide. the cut of this top was so wide, it looked like a tent on me. i really wanted to love this top because the material and style (sleeves, ruffle) are beautiful, unfortunately there is something wro"&amp;"ng with the cut. i've have several blouses made by one fine day, which fit nicely, for some reason this top did not. i ordered in my usual s size, even going to an xs would not work because the cut is wrong.")</f>
        <v>This top was way too short (i'm only 5'1) and way too wide. the cut of this top was so wide, it looked like a tent on me. i really wanted to love this top because the material and style (sleeves, ruffle) are beautiful, unfortunately there is something wrong with the cut. i've have several blouses made by one fine day, which fit nicely, for some reason this top did not. i ordered in my usual s size, even going to an xs would not work because the cut is wrong.</v>
      </c>
      <c r="F57" s="8">
        <f>IFERROR(__xludf.DUMMYFUNCTION("""COMPUTED_VALUE"""),1.0)</f>
        <v>1</v>
      </c>
      <c r="G57" s="8">
        <f>IFERROR(__xludf.DUMMYFUNCTION("""COMPUTED_VALUE"""),0.0)</f>
        <v>0</v>
      </c>
      <c r="H57" s="8">
        <f>IFERROR(__xludf.DUMMYFUNCTION("""COMPUTED_VALUE"""),17.0)</f>
        <v>17</v>
      </c>
      <c r="I57" s="8" t="str">
        <f>IFERROR(__xludf.DUMMYFUNCTION("""COMPUTED_VALUE"""),"General Petite")</f>
        <v>General Petite</v>
      </c>
      <c r="J57" s="8" t="str">
        <f>IFERROR(__xludf.DUMMYFUNCTION("""COMPUTED_VALUE"""),"Tops")</f>
        <v>Tops</v>
      </c>
      <c r="K57" s="8" t="str">
        <f>IFERROR(__xludf.DUMMYFUNCTION("""COMPUTED_VALUE"""),"Blouses")</f>
        <v>Blouses</v>
      </c>
      <c r="L57" s="8" t="str">
        <f t="shared" si="1"/>
        <v>Size issue-Fabric issue---</v>
      </c>
    </row>
    <row r="58">
      <c r="A58" s="8">
        <f>IFERROR(__xludf.DUMMYFUNCTION("""COMPUTED_VALUE"""),344.0)</f>
        <v>344</v>
      </c>
      <c r="B58" s="8">
        <f>IFERROR(__xludf.DUMMYFUNCTION("""COMPUTED_VALUE"""),844.0)</f>
        <v>844</v>
      </c>
      <c r="C58" s="8">
        <f>IFERROR(__xludf.DUMMYFUNCTION("""COMPUTED_VALUE"""),44.0)</f>
        <v>44</v>
      </c>
      <c r="D58" s="8"/>
      <c r="E58" s="15" t="str">
        <f>IFERROR(__xludf.DUMMYFUNCTION("""COMPUTED_VALUE"""),"Gorgeous in every way except its length and how it hangs at the bottom. i prefer a shirt i can wear tucked in or out. this one will work well tucked in but not out so i am returning disappointed it was so well done in other particulars.")</f>
        <v>Gorgeous in every way except its length and how it hangs at the bottom. i prefer a shirt i can wear tucked in or out. this one will work well tucked in but not out so i am returning disappointed it was so well done in other particulars.</v>
      </c>
      <c r="F58" s="8">
        <f>IFERROR(__xludf.DUMMYFUNCTION("""COMPUTED_VALUE"""),3.0)</f>
        <v>3</v>
      </c>
      <c r="G58" s="8">
        <f>IFERROR(__xludf.DUMMYFUNCTION("""COMPUTED_VALUE"""),0.0)</f>
        <v>0</v>
      </c>
      <c r="H58" s="8">
        <f>IFERROR(__xludf.DUMMYFUNCTION("""COMPUTED_VALUE"""),2.0)</f>
        <v>2</v>
      </c>
      <c r="I58" s="8" t="str">
        <f>IFERROR(__xludf.DUMMYFUNCTION("""COMPUTED_VALUE"""),"General Petite")</f>
        <v>General Petite</v>
      </c>
      <c r="J58" s="8" t="str">
        <f>IFERROR(__xludf.DUMMYFUNCTION("""COMPUTED_VALUE"""),"Tops")</f>
        <v>Tops</v>
      </c>
      <c r="K58" s="8" t="str">
        <f>IFERROR(__xludf.DUMMYFUNCTION("""COMPUTED_VALUE"""),"Blouses")</f>
        <v>Blouses</v>
      </c>
      <c r="L58" s="8" t="str">
        <f t="shared" si="1"/>
        <v>----</v>
      </c>
    </row>
    <row r="59">
      <c r="A59" s="8">
        <f>IFERROR(__xludf.DUMMYFUNCTION("""COMPUTED_VALUE"""),349.0)</f>
        <v>349</v>
      </c>
      <c r="B59" s="8">
        <f>IFERROR(__xludf.DUMMYFUNCTION("""COMPUTED_VALUE"""),836.0)</f>
        <v>836</v>
      </c>
      <c r="C59" s="8">
        <f>IFERROR(__xludf.DUMMYFUNCTION("""COMPUTED_VALUE"""),27.0)</f>
        <v>27</v>
      </c>
      <c r="D59" s="8" t="str">
        <f>IFERROR(__xludf.DUMMYFUNCTION("""COMPUTED_VALUE"""),"Cute top, but not for me")</f>
        <v>Cute top, but not for me</v>
      </c>
      <c r="E59" s="15" t="str">
        <f>IFERROR(__xludf.DUMMYFUNCTION("""COMPUTED_VALUE"""),"This top light and airy, which is perfect for spring. i'm usually into these types of blouses; however, this didn't quite fit right on me. it's a little too boxy and too low cut in the front for some reason. i loved the design and really wanted to like it"&amp;"... i just didn't love it enough to purchase it.")</f>
        <v>This top light and airy, which is perfect for spring. i'm usually into these types of blouses; however, this didn't quite fit right on me. it's a little too boxy and too low cut in the front for some reason. i loved the design and really wanted to like it... i just didn't love it enough to purchase it.</v>
      </c>
      <c r="F59" s="8">
        <f>IFERROR(__xludf.DUMMYFUNCTION("""COMPUTED_VALUE"""),3.0)</f>
        <v>3</v>
      </c>
      <c r="G59" s="8">
        <f>IFERROR(__xludf.DUMMYFUNCTION("""COMPUTED_VALUE"""),0.0)</f>
        <v>0</v>
      </c>
      <c r="H59" s="8">
        <f>IFERROR(__xludf.DUMMYFUNCTION("""COMPUTED_VALUE"""),15.0)</f>
        <v>15</v>
      </c>
      <c r="I59" s="8" t="str">
        <f>IFERROR(__xludf.DUMMYFUNCTION("""COMPUTED_VALUE"""),"General")</f>
        <v>General</v>
      </c>
      <c r="J59" s="8" t="str">
        <f>IFERROR(__xludf.DUMMYFUNCTION("""COMPUTED_VALUE"""),"Tops")</f>
        <v>Tops</v>
      </c>
      <c r="K59" s="8" t="str">
        <f>IFERROR(__xludf.DUMMYFUNCTION("""COMPUTED_VALUE"""),"Blouses")</f>
        <v>Blouses</v>
      </c>
      <c r="L59" s="8" t="str">
        <f t="shared" si="1"/>
        <v>Size issue-Fabric issue-Style issue--</v>
      </c>
    </row>
    <row r="60">
      <c r="A60" s="8">
        <f>IFERROR(__xludf.DUMMYFUNCTION("""COMPUTED_VALUE"""),350.0)</f>
        <v>350</v>
      </c>
      <c r="B60" s="8">
        <f>IFERROR(__xludf.DUMMYFUNCTION("""COMPUTED_VALUE"""),844.0)</f>
        <v>844</v>
      </c>
      <c r="C60" s="8">
        <f>IFERROR(__xludf.DUMMYFUNCTION("""COMPUTED_VALUE"""),36.0)</f>
        <v>36</v>
      </c>
      <c r="D60" s="8" t="str">
        <f>IFERROR(__xludf.DUMMYFUNCTION("""COMPUTED_VALUE"""),"So disappointed! please fix it!")</f>
        <v>So disappointed! please fix it!</v>
      </c>
      <c r="E60" s="15" t="str">
        <f>IFERROR(__xludf.DUMMYFUNCTION("""COMPUTED_VALUE"""),"This blouse is so beautiful - the collar, sleeves, material...everything except the cut! it was like a tent. it needed to be more tapered, which would be easy to do while still maintaining the beautiful breezy flow, and be about two inches longer.
i had "&amp;"been drooling over this top for awhile and was so disappointed! please fix it and then i will buy again. i am 5'4"", 140lbs and busty...a small was perfect, with the exception of the massive amount of material.")</f>
        <v>This blouse is so beautiful - the collar, sleeves, material...everything except the cut! it was like a tent. it needed to be more tapered, which would be easy to do while still maintaining the beautiful breezy flow, and be about two inches longer.
i had been drooling over this top for awhile and was so disappointed! please fix it and then i will buy again. i am 5'4", 140lbs and busty...a small was perfect, with the exception of the massive amount of material.</v>
      </c>
      <c r="F60" s="8">
        <f>IFERROR(__xludf.DUMMYFUNCTION("""COMPUTED_VALUE"""),2.0)</f>
        <v>2</v>
      </c>
      <c r="G60" s="8">
        <f>IFERROR(__xludf.DUMMYFUNCTION("""COMPUTED_VALUE"""),0.0)</f>
        <v>0</v>
      </c>
      <c r="H60" s="8">
        <f>IFERROR(__xludf.DUMMYFUNCTION("""COMPUTED_VALUE"""),0.0)</f>
        <v>0</v>
      </c>
      <c r="I60" s="8" t="str">
        <f>IFERROR(__xludf.DUMMYFUNCTION("""COMPUTED_VALUE"""),"General Petite")</f>
        <v>General Petite</v>
      </c>
      <c r="J60" s="8" t="str">
        <f>IFERROR(__xludf.DUMMYFUNCTION("""COMPUTED_VALUE"""),"Tops")</f>
        <v>Tops</v>
      </c>
      <c r="K60" s="8" t="str">
        <f>IFERROR(__xludf.DUMMYFUNCTION("""COMPUTED_VALUE"""),"Blouses")</f>
        <v>Blouses</v>
      </c>
      <c r="L60" s="8" t="str">
        <f t="shared" si="1"/>
        <v>Size issue-Fabric issue---</v>
      </c>
    </row>
    <row r="61">
      <c r="A61" s="8">
        <f>IFERROR(__xludf.DUMMYFUNCTION("""COMPUTED_VALUE"""),353.0)</f>
        <v>353</v>
      </c>
      <c r="B61" s="8">
        <f>IFERROR(__xludf.DUMMYFUNCTION("""COMPUTED_VALUE"""),936.0)</f>
        <v>936</v>
      </c>
      <c r="C61" s="8">
        <f>IFERROR(__xludf.DUMMYFUNCTION("""COMPUTED_VALUE"""),32.0)</f>
        <v>32</v>
      </c>
      <c r="D61" s="8" t="str">
        <f>IFERROR(__xludf.DUMMYFUNCTION("""COMPUTED_VALUE"""),"Sweater not a coat")</f>
        <v>Sweater not a coat</v>
      </c>
      <c r="E61" s="15" t="str">
        <f>IFERROR(__xludf.DUMMYFUNCTION("""COMPUTED_VALUE"""),"Not a coat by any means, merely a thin wool boucle like sweater with a cheap thin synthetic lining ---and i also would never want the lining to be seen by anyone if i were to set the sweater on a chair or be helped in putting the thing on. the length and "&amp;"bulk is hard to layer under anything else and isn't pretty enough for a spring coat..sizing is also 2 sizes larger than anticipated.")</f>
        <v>Not a coat by any means, merely a thin wool boucle like sweater with a cheap thin synthetic lining ---and i also would never want the lining to be seen by anyone if i were to set the sweater on a chair or be helped in putting the thing on. the length and bulk is hard to layer under anything else and isn't pretty enough for a spring coat..sizing is also 2 sizes larger than anticipated.</v>
      </c>
      <c r="F61" s="8">
        <f>IFERROR(__xludf.DUMMYFUNCTION("""COMPUTED_VALUE"""),2.0)</f>
        <v>2</v>
      </c>
      <c r="G61" s="8">
        <f>IFERROR(__xludf.DUMMYFUNCTION("""COMPUTED_VALUE"""),0.0)</f>
        <v>0</v>
      </c>
      <c r="H61" s="8">
        <f>IFERROR(__xludf.DUMMYFUNCTION("""COMPUTED_VALUE"""),0.0)</f>
        <v>0</v>
      </c>
      <c r="I61" s="8" t="str">
        <f>IFERROR(__xludf.DUMMYFUNCTION("""COMPUTED_VALUE"""),"General Petite")</f>
        <v>General Petite</v>
      </c>
      <c r="J61" s="8" t="str">
        <f>IFERROR(__xludf.DUMMYFUNCTION("""COMPUTED_VALUE"""),"Tops")</f>
        <v>Tops</v>
      </c>
      <c r="K61" s="8" t="str">
        <f>IFERROR(__xludf.DUMMYFUNCTION("""COMPUTED_VALUE"""),"Sweaters")</f>
        <v>Sweaters</v>
      </c>
      <c r="L61" s="8" t="str">
        <f t="shared" si="1"/>
        <v>Size issue--Style issue--</v>
      </c>
    </row>
    <row r="62">
      <c r="A62" s="8">
        <f>IFERROR(__xludf.DUMMYFUNCTION("""COMPUTED_VALUE"""),356.0)</f>
        <v>356</v>
      </c>
      <c r="B62" s="8">
        <f>IFERROR(__xludf.DUMMYFUNCTION("""COMPUTED_VALUE"""),831.0)</f>
        <v>831</v>
      </c>
      <c r="C62" s="8">
        <f>IFERROR(__xludf.DUMMYFUNCTION("""COMPUTED_VALUE"""),42.0)</f>
        <v>42</v>
      </c>
      <c r="D62" s="8" t="str">
        <f>IFERROR(__xludf.DUMMYFUNCTION("""COMPUTED_VALUE"""),"Could have been cute...")</f>
        <v>Could have been cute...</v>
      </c>
      <c r="E62" s="15" t="str">
        <f>IFERROR(__xludf.DUMMYFUNCTION("""COMPUTED_VALUE"""),"The fabric was nothing special (i usually like a cotton/silk blend woven fabric, but this was stiff feeling) and the pattern was cute. but what made me return it was the fact that 1) the rose gold glitter dots are puffy paint. literally. puffy. paint. and"&amp;" 2) the dots were not quite dry on my top when it arrived. parts of the paint came off on my fingers and the top was stuck to itself because of it. i could barely unfold it.
i'm sure this could have been cute, but who wants a top that looks lik")</f>
        <v>The fabric was nothing special (i usually like a cotton/silk blend woven fabric, but this was stiff feeling) and the pattern was cute. but what made me return it was the fact that 1) the rose gold glitter dots are puffy paint. literally. puffy. paint. and 2) the dots were not quite dry on my top when it arrived. parts of the paint came off on my fingers and the top was stuck to itself because of it. i could barely unfold it.
i'm sure this could have been cute, but who wants a top that looks lik</v>
      </c>
      <c r="F62" s="8">
        <f>IFERROR(__xludf.DUMMYFUNCTION("""COMPUTED_VALUE"""),1.0)</f>
        <v>1</v>
      </c>
      <c r="G62" s="8">
        <f>IFERROR(__xludf.DUMMYFUNCTION("""COMPUTED_VALUE"""),0.0)</f>
        <v>0</v>
      </c>
      <c r="H62" s="8">
        <f>IFERROR(__xludf.DUMMYFUNCTION("""COMPUTED_VALUE"""),6.0)</f>
        <v>6</v>
      </c>
      <c r="I62" s="8" t="str">
        <f>IFERROR(__xludf.DUMMYFUNCTION("""COMPUTED_VALUE"""),"General")</f>
        <v>General</v>
      </c>
      <c r="J62" s="8" t="str">
        <f>IFERROR(__xludf.DUMMYFUNCTION("""COMPUTED_VALUE"""),"Tops")</f>
        <v>Tops</v>
      </c>
      <c r="K62" s="8" t="str">
        <f>IFERROR(__xludf.DUMMYFUNCTION("""COMPUTED_VALUE"""),"Blouses")</f>
        <v>Blouses</v>
      </c>
      <c r="L62" s="8" t="str">
        <f t="shared" si="1"/>
        <v>----</v>
      </c>
    </row>
    <row r="63">
      <c r="A63" s="8">
        <f>IFERROR(__xludf.DUMMYFUNCTION("""COMPUTED_VALUE"""),358.0)</f>
        <v>358</v>
      </c>
      <c r="B63" s="8">
        <f>IFERROR(__xludf.DUMMYFUNCTION("""COMPUTED_VALUE"""),862.0)</f>
        <v>862</v>
      </c>
      <c r="C63" s="8">
        <f>IFERROR(__xludf.DUMMYFUNCTION("""COMPUTED_VALUE"""),34.0)</f>
        <v>34</v>
      </c>
      <c r="D63" s="8" t="str">
        <f>IFERROR(__xludf.DUMMYFUNCTION("""COMPUTED_VALUE"""),"Almost but not quite")</f>
        <v>Almost but not quite</v>
      </c>
      <c r="E63" s="15" t="str">
        <f>IFERROR(__xludf.DUMMYFUNCTION("""COMPUTED_VALUE"""),"This top is good quality and cute. it runs large- i'm usually a medium and needed a small. the reason i will be returning it is because it flares out at the bottom on the black which is very unflattering on. it makes me look wide in the waist or like i'm "&amp;"wearing a maternity top. unfortunate because i really liked everything else about it.")</f>
        <v>This top is good quality and cute. it runs large- i'm usually a medium and needed a small. the reason i will be returning it is because it flares out at the bottom on the black which is very unflattering on. it makes me look wide in the waist or like i'm wearing a maternity top. unfortunate because i really liked everything else about it.</v>
      </c>
      <c r="F63" s="8">
        <f>IFERROR(__xludf.DUMMYFUNCTION("""COMPUTED_VALUE"""),3.0)</f>
        <v>3</v>
      </c>
      <c r="G63" s="8">
        <f>IFERROR(__xludf.DUMMYFUNCTION("""COMPUTED_VALUE"""),0.0)</f>
        <v>0</v>
      </c>
      <c r="H63" s="8">
        <f>IFERROR(__xludf.DUMMYFUNCTION("""COMPUTED_VALUE"""),0.0)</f>
        <v>0</v>
      </c>
      <c r="I63" s="8" t="str">
        <f>IFERROR(__xludf.DUMMYFUNCTION("""COMPUTED_VALUE"""),"General Petite")</f>
        <v>General Petite</v>
      </c>
      <c r="J63" s="8" t="str">
        <f>IFERROR(__xludf.DUMMYFUNCTION("""COMPUTED_VALUE"""),"Tops")</f>
        <v>Tops</v>
      </c>
      <c r="K63" s="8" t="str">
        <f>IFERROR(__xludf.DUMMYFUNCTION("""COMPUTED_VALUE"""),"Knits")</f>
        <v>Knits</v>
      </c>
      <c r="L63" s="8" t="str">
        <f t="shared" si="1"/>
        <v>Size issue-Fabric issue---</v>
      </c>
    </row>
    <row r="64">
      <c r="A64" s="8">
        <f>IFERROR(__xludf.DUMMYFUNCTION("""COMPUTED_VALUE"""),362.0)</f>
        <v>362</v>
      </c>
      <c r="B64" s="8">
        <f>IFERROR(__xludf.DUMMYFUNCTION("""COMPUTED_VALUE"""),836.0)</f>
        <v>836</v>
      </c>
      <c r="C64" s="8">
        <f>IFERROR(__xludf.DUMMYFUNCTION("""COMPUTED_VALUE"""),65.0)</f>
        <v>65</v>
      </c>
      <c r="D64" s="8" t="str">
        <f>IFERROR(__xludf.DUMMYFUNCTION("""COMPUTED_VALUE"""),"Cute but ...")</f>
        <v>Cute but ...</v>
      </c>
      <c r="E64" s="15" t="str">
        <f>IFERROR(__xludf.DUMMYFUNCTION("""COMPUTED_VALUE"""),"This blouse is super cute but oddly sized. i bought a size up and still i squeezed into the top around the bust. the front slit is too low and shows a bit too much cleavage, so this had to go back. i really tried because the fabric is wonderful and the sh"&amp;"irt is light and breezy for summer, i just couldn't make it work
.")</f>
        <v>This blouse is super cute but oddly sized. i bought a size up and still i squeezed into the top around the bust. the front slit is too low and shows a bit too much cleavage, so this had to go back. i really tried because the fabric is wonderful and the shirt is light and breezy for summer, i just couldn't make it work
.</v>
      </c>
      <c r="F64" s="8">
        <f>IFERROR(__xludf.DUMMYFUNCTION("""COMPUTED_VALUE"""),3.0)</f>
        <v>3</v>
      </c>
      <c r="G64" s="8">
        <f>IFERROR(__xludf.DUMMYFUNCTION("""COMPUTED_VALUE"""),0.0)</f>
        <v>0</v>
      </c>
      <c r="H64" s="8">
        <f>IFERROR(__xludf.DUMMYFUNCTION("""COMPUTED_VALUE"""),0.0)</f>
        <v>0</v>
      </c>
      <c r="I64" s="8" t="str">
        <f>IFERROR(__xludf.DUMMYFUNCTION("""COMPUTED_VALUE"""),"General")</f>
        <v>General</v>
      </c>
      <c r="J64" s="8" t="str">
        <f>IFERROR(__xludf.DUMMYFUNCTION("""COMPUTED_VALUE"""),"Tops")</f>
        <v>Tops</v>
      </c>
      <c r="K64" s="8" t="str">
        <f>IFERROR(__xludf.DUMMYFUNCTION("""COMPUTED_VALUE"""),"Blouses")</f>
        <v>Blouses</v>
      </c>
      <c r="L64" s="8" t="str">
        <f t="shared" si="1"/>
        <v>Size issue----</v>
      </c>
    </row>
    <row r="65">
      <c r="A65" s="8">
        <f>IFERROR(__xludf.DUMMYFUNCTION("""COMPUTED_VALUE"""),368.0)</f>
        <v>368</v>
      </c>
      <c r="B65" s="8">
        <f>IFERROR(__xludf.DUMMYFUNCTION("""COMPUTED_VALUE"""),836.0)</f>
        <v>836</v>
      </c>
      <c r="C65" s="8">
        <f>IFERROR(__xludf.DUMMYFUNCTION("""COMPUTED_VALUE"""),29.0)</f>
        <v>29</v>
      </c>
      <c r="D65" s="8"/>
      <c r="E65" s="15" t="str">
        <f>IFERROR(__xludf.DUMMYFUNCTION("""COMPUTED_VALUE"""),"I love maeve and was so excited for this top which looked like an update from a last season favorite. unfortunately the fabric was stiff, it was tight in the chest and went straight down from there. returned.")</f>
        <v>I love maeve and was so excited for this top which looked like an update from a last season favorite. unfortunately the fabric was stiff, it was tight in the chest and went straight down from there. returned.</v>
      </c>
      <c r="F65" s="8">
        <f>IFERROR(__xludf.DUMMYFUNCTION("""COMPUTED_VALUE"""),2.0)</f>
        <v>2</v>
      </c>
      <c r="G65" s="8">
        <f>IFERROR(__xludf.DUMMYFUNCTION("""COMPUTED_VALUE"""),0.0)</f>
        <v>0</v>
      </c>
      <c r="H65" s="8">
        <f>IFERROR(__xludf.DUMMYFUNCTION("""COMPUTED_VALUE"""),0.0)</f>
        <v>0</v>
      </c>
      <c r="I65" s="8" t="str">
        <f>IFERROR(__xludf.DUMMYFUNCTION("""COMPUTED_VALUE"""),"General")</f>
        <v>General</v>
      </c>
      <c r="J65" s="8" t="str">
        <f>IFERROR(__xludf.DUMMYFUNCTION("""COMPUTED_VALUE"""),"Tops")</f>
        <v>Tops</v>
      </c>
      <c r="K65" s="8" t="str">
        <f>IFERROR(__xludf.DUMMYFUNCTION("""COMPUTED_VALUE"""),"Blouses")</f>
        <v>Blouses</v>
      </c>
      <c r="L65" s="8" t="str">
        <f t="shared" si="1"/>
        <v>Size issue-Fabric issue---</v>
      </c>
    </row>
    <row r="66">
      <c r="A66" s="8">
        <f>IFERROR(__xludf.DUMMYFUNCTION("""COMPUTED_VALUE"""),376.0)</f>
        <v>376</v>
      </c>
      <c r="B66" s="8">
        <f>IFERROR(__xludf.DUMMYFUNCTION("""COMPUTED_VALUE"""),862.0)</f>
        <v>862</v>
      </c>
      <c r="C66" s="8">
        <f>IFERROR(__xludf.DUMMYFUNCTION("""COMPUTED_VALUE"""),37.0)</f>
        <v>37</v>
      </c>
      <c r="D66" s="8" t="str">
        <f>IFERROR(__xludf.DUMMYFUNCTION("""COMPUTED_VALUE"""),"Just okay")</f>
        <v>Just okay</v>
      </c>
      <c r="E66" s="15" t="str">
        <f>IFERROR(__xludf.DUMMYFUNCTION("""COMPUTED_VALUE"""),"I was looking for a basic tee, but this one was just ok...the quality is okay, but it us not as soft as i would have liked. unfortunately,  i will be returning this item.")</f>
        <v>I was looking for a basic tee, but this one was just ok...the quality is okay, but it us not as soft as i would have liked. unfortunately,  i will be returning this item.</v>
      </c>
      <c r="F66" s="8">
        <f>IFERROR(__xludf.DUMMYFUNCTION("""COMPUTED_VALUE"""),3.0)</f>
        <v>3</v>
      </c>
      <c r="G66" s="8">
        <f>IFERROR(__xludf.DUMMYFUNCTION("""COMPUTED_VALUE"""),0.0)</f>
        <v>0</v>
      </c>
      <c r="H66" s="8">
        <f>IFERROR(__xludf.DUMMYFUNCTION("""COMPUTED_VALUE"""),0.0)</f>
        <v>0</v>
      </c>
      <c r="I66" s="8" t="str">
        <f>IFERROR(__xludf.DUMMYFUNCTION("""COMPUTED_VALUE"""),"General")</f>
        <v>General</v>
      </c>
      <c r="J66" s="8" t="str">
        <f>IFERROR(__xludf.DUMMYFUNCTION("""COMPUTED_VALUE"""),"Tops")</f>
        <v>Tops</v>
      </c>
      <c r="K66" s="8" t="str">
        <f>IFERROR(__xludf.DUMMYFUNCTION("""COMPUTED_VALUE"""),"Knits")</f>
        <v>Knits</v>
      </c>
      <c r="L66" s="8" t="str">
        <f t="shared" si="1"/>
        <v>----</v>
      </c>
    </row>
    <row r="67">
      <c r="A67" s="8">
        <f>IFERROR(__xludf.DUMMYFUNCTION("""COMPUTED_VALUE"""),381.0)</f>
        <v>381</v>
      </c>
      <c r="B67" s="8">
        <f>IFERROR(__xludf.DUMMYFUNCTION("""COMPUTED_VALUE"""),1104.0)</f>
        <v>1104</v>
      </c>
      <c r="C67" s="8">
        <f>IFERROR(__xludf.DUMMYFUNCTION("""COMPUTED_VALUE"""),59.0)</f>
        <v>59</v>
      </c>
      <c r="D67" s="8" t="str">
        <f>IFERROR(__xludf.DUMMYFUNCTION("""COMPUTED_VALUE"""),"Poor quality")</f>
        <v>Poor quality</v>
      </c>
      <c r="E67" s="15" t="str">
        <f>IFERROR(__xludf.DUMMYFUNCTION("""COMPUTED_VALUE"""),"Disappointed in the quality of the dress. love the style and especially the colors. the fabric of the body of the dress is very very thin and just poorly made. the top bodice is more substantial. not worth the price tag of $148.00. dress does run short.")</f>
        <v>Disappointed in the quality of the dress. love the style and especially the colors. the fabric of the body of the dress is very very thin and just poorly made. the top bodice is more substantial. not worth the price tag of $148.00. dress does run short.</v>
      </c>
      <c r="F67" s="8">
        <f>IFERROR(__xludf.DUMMYFUNCTION("""COMPUTED_VALUE"""),3.0)</f>
        <v>3</v>
      </c>
      <c r="G67" s="8">
        <f>IFERROR(__xludf.DUMMYFUNCTION("""COMPUTED_VALUE"""),0.0)</f>
        <v>0</v>
      </c>
      <c r="H67" s="8">
        <f>IFERROR(__xludf.DUMMYFUNCTION("""COMPUTED_VALUE"""),13.0)</f>
        <v>13</v>
      </c>
      <c r="I67" s="8" t="str">
        <f>IFERROR(__xludf.DUMMYFUNCTION("""COMPUTED_VALUE"""),"General")</f>
        <v>General</v>
      </c>
      <c r="J67" s="8" t="str">
        <f>IFERROR(__xludf.DUMMYFUNCTION("""COMPUTED_VALUE"""),"Dresses")</f>
        <v>Dresses</v>
      </c>
      <c r="K67" s="8" t="str">
        <f>IFERROR(__xludf.DUMMYFUNCTION("""COMPUTED_VALUE"""),"Dresses")</f>
        <v>Dresses</v>
      </c>
      <c r="L67" s="8" t="str">
        <f t="shared" si="1"/>
        <v>Size issue----</v>
      </c>
    </row>
    <row r="68">
      <c r="A68" s="8">
        <f>IFERROR(__xludf.DUMMYFUNCTION("""COMPUTED_VALUE"""),386.0)</f>
        <v>386</v>
      </c>
      <c r="B68" s="8">
        <f>IFERROR(__xludf.DUMMYFUNCTION("""COMPUTED_VALUE"""),995.0)</f>
        <v>995</v>
      </c>
      <c r="C68" s="8">
        <f>IFERROR(__xludf.DUMMYFUNCTION("""COMPUTED_VALUE"""),41.0)</f>
        <v>41</v>
      </c>
      <c r="D68" s="8" t="str">
        <f>IFERROR(__xludf.DUMMYFUNCTION("""COMPUTED_VALUE"""),"Poorly executed")</f>
        <v>Poorly executed</v>
      </c>
      <c r="E68" s="15" t="str">
        <f>IFERROR(__xludf.DUMMYFUNCTION("""COMPUTED_VALUE"""),"This skirt is very short. i ordered my usual xs petite and it was so short that the longest part ended above my ankle. that's quite off because i'm only 5 feet tall, and i wore it pretty low on the hips. it also flares out awkwardly below the knee. there "&amp;"are 2 vertical seems and they exacerbate the jagged appearance of the hem. i was drawn to the edgy style shown in the photo but in person it looks like my 5 year old cut up a skirt. plus, the fabric--while thick and beautiful and stretchy--has a")</f>
        <v>This skirt is very short. i ordered my usual xs petite and it was so short that the longest part ended above my ankle. that's quite off because i'm only 5 feet tall, and i wore it pretty low on the hips. it also flares out awkwardly below the knee. there are 2 vertical seems and they exacerbate the jagged appearance of the hem. i was drawn to the edgy style shown in the photo but in person it looks like my 5 year old cut up a skirt. plus, the fabric--while thick and beautiful and stretchy--has a</v>
      </c>
      <c r="F68" s="8">
        <f>IFERROR(__xludf.DUMMYFUNCTION("""COMPUTED_VALUE"""),2.0)</f>
        <v>2</v>
      </c>
      <c r="G68" s="8">
        <f>IFERROR(__xludf.DUMMYFUNCTION("""COMPUTED_VALUE"""),0.0)</f>
        <v>0</v>
      </c>
      <c r="H68" s="8">
        <f>IFERROR(__xludf.DUMMYFUNCTION("""COMPUTED_VALUE"""),11.0)</f>
        <v>11</v>
      </c>
      <c r="I68" s="8" t="str">
        <f>IFERROR(__xludf.DUMMYFUNCTION("""COMPUTED_VALUE"""),"General")</f>
        <v>General</v>
      </c>
      <c r="J68" s="8" t="str">
        <f>IFERROR(__xludf.DUMMYFUNCTION("""COMPUTED_VALUE"""),"Bottoms")</f>
        <v>Bottoms</v>
      </c>
      <c r="K68" s="8" t="str">
        <f>IFERROR(__xludf.DUMMYFUNCTION("""COMPUTED_VALUE"""),"Skirts")</f>
        <v>Skirts</v>
      </c>
      <c r="L68" s="8" t="str">
        <f t="shared" si="1"/>
        <v>Size issue----</v>
      </c>
    </row>
    <row r="69">
      <c r="A69" s="8">
        <f>IFERROR(__xludf.DUMMYFUNCTION("""COMPUTED_VALUE"""),389.0)</f>
        <v>389</v>
      </c>
      <c r="B69" s="8">
        <f>IFERROR(__xludf.DUMMYFUNCTION("""COMPUTED_VALUE"""),1104.0)</f>
        <v>1104</v>
      </c>
      <c r="C69" s="8">
        <f>IFERROR(__xludf.DUMMYFUNCTION("""COMPUTED_VALUE"""),38.0)</f>
        <v>38</v>
      </c>
      <c r="D69" s="8" t="str">
        <f>IFERROR(__xludf.DUMMYFUNCTION("""COMPUTED_VALUE"""),"Bad quality.")</f>
        <v>Bad quality.</v>
      </c>
      <c r="E69" s="15" t="str">
        <f>IFERROR(__xludf.DUMMYFUNCTION("""COMPUTED_VALUE"""),"I don't normally review my purchases, but i was so amazed at how poorly this dress was made, i couldn't help myself but to post a review. the neck line isn't even hemmed down so it flaps up. the material is thin and feel cheap. this dress isnt even worth "&amp;"$20 in my opinion. i was expecting a well made, good quality dress for the high price tag.")</f>
        <v>I don't normally review my purchases, but i was so amazed at how poorly this dress was made, i couldn't help myself but to post a review. the neck line isn't even hemmed down so it flaps up. the material is thin and feel cheap. this dress isnt even worth $20 in my opinion. i was expecting a well made, good quality dress for the high price tag.</v>
      </c>
      <c r="F69" s="8">
        <f>IFERROR(__xludf.DUMMYFUNCTION("""COMPUTED_VALUE"""),1.0)</f>
        <v>1</v>
      </c>
      <c r="G69" s="8">
        <f>IFERROR(__xludf.DUMMYFUNCTION("""COMPUTED_VALUE"""),0.0)</f>
        <v>0</v>
      </c>
      <c r="H69" s="8">
        <f>IFERROR(__xludf.DUMMYFUNCTION("""COMPUTED_VALUE"""),20.0)</f>
        <v>20</v>
      </c>
      <c r="I69" s="8" t="str">
        <f>IFERROR(__xludf.DUMMYFUNCTION("""COMPUTED_VALUE"""),"General")</f>
        <v>General</v>
      </c>
      <c r="J69" s="8" t="str">
        <f>IFERROR(__xludf.DUMMYFUNCTION("""COMPUTED_VALUE"""),"Dresses")</f>
        <v>Dresses</v>
      </c>
      <c r="K69" s="8" t="str">
        <f>IFERROR(__xludf.DUMMYFUNCTION("""COMPUTED_VALUE"""),"Dresses")</f>
        <v>Dresses</v>
      </c>
      <c r="L69" s="8" t="str">
        <f t="shared" si="1"/>
        <v>-Fabric issue-Style issue-Price issue-</v>
      </c>
    </row>
    <row r="70">
      <c r="A70" s="8">
        <f>IFERROR(__xludf.DUMMYFUNCTION("""COMPUTED_VALUE"""),395.0)</f>
        <v>395</v>
      </c>
      <c r="B70" s="8">
        <f>IFERROR(__xludf.DUMMYFUNCTION("""COMPUTED_VALUE"""),936.0)</f>
        <v>936</v>
      </c>
      <c r="C70" s="8">
        <f>IFERROR(__xludf.DUMMYFUNCTION("""COMPUTED_VALUE"""),33.0)</f>
        <v>33</v>
      </c>
      <c r="D70" s="8" t="str">
        <f>IFERROR(__xludf.DUMMYFUNCTION("""COMPUTED_VALUE"""),"Not sure about this one")</f>
        <v>Not sure about this one</v>
      </c>
      <c r="E70" s="15" t="str">
        <f>IFERROR(__xludf.DUMMYFUNCTION("""COMPUTED_VALUE"""),"I'm surprised other reviewers loved this one so much. it's completely different then how it looks on the model. it's much shorter, which others do mention, but it flares a lot. enough to feel maternity-ish on me. it looks fitted on the model. maybe it's m"&amp;"y shape, i have a short torso and carry weight in my hips. i ordered an xs too. i will say the material
is very nice and it's well made, but it's going back.")</f>
        <v>I'm surprised other reviewers loved this one so much. it's completely different then how it looks on the model. it's much shorter, which others do mention, but it flares a lot. enough to feel maternity-ish on me. it looks fitted on the model. maybe it's my shape, i have a short torso and carry weight in my hips. i ordered an xs too. i will say the material
is very nice and it's well made, but it's going back.</v>
      </c>
      <c r="F70" s="8">
        <f>IFERROR(__xludf.DUMMYFUNCTION("""COMPUTED_VALUE"""),3.0)</f>
        <v>3</v>
      </c>
      <c r="G70" s="8">
        <f>IFERROR(__xludf.DUMMYFUNCTION("""COMPUTED_VALUE"""),0.0)</f>
        <v>0</v>
      </c>
      <c r="H70" s="8">
        <f>IFERROR(__xludf.DUMMYFUNCTION("""COMPUTED_VALUE"""),1.0)</f>
        <v>1</v>
      </c>
      <c r="I70" s="8" t="str">
        <f>IFERROR(__xludf.DUMMYFUNCTION("""COMPUTED_VALUE"""),"General")</f>
        <v>General</v>
      </c>
      <c r="J70" s="8" t="str">
        <f>IFERROR(__xludf.DUMMYFUNCTION("""COMPUTED_VALUE"""),"Tops")</f>
        <v>Tops</v>
      </c>
      <c r="K70" s="8" t="str">
        <f>IFERROR(__xludf.DUMMYFUNCTION("""COMPUTED_VALUE"""),"Sweaters")</f>
        <v>Sweaters</v>
      </c>
      <c r="L70" s="8" t="str">
        <f t="shared" si="1"/>
        <v>Size issue-Fabric issue---Matching Awareness issue</v>
      </c>
    </row>
    <row r="71">
      <c r="A71" s="8">
        <f>IFERROR(__xludf.DUMMYFUNCTION("""COMPUTED_VALUE"""),396.0)</f>
        <v>396</v>
      </c>
      <c r="B71" s="8">
        <f>IFERROR(__xludf.DUMMYFUNCTION("""COMPUTED_VALUE"""),127.0)</f>
        <v>127</v>
      </c>
      <c r="C71" s="8">
        <f>IFERROR(__xludf.DUMMYFUNCTION("""COMPUTED_VALUE"""),40.0)</f>
        <v>40</v>
      </c>
      <c r="D71" s="8" t="str">
        <f>IFERROR(__xludf.DUMMYFUNCTION("""COMPUTED_VALUE"""),"Comfy, but not made to last")</f>
        <v>Comfy, but not made to last</v>
      </c>
      <c r="E71" s="15" t="str">
        <f>IFERROR(__xludf.DUMMYFUNCTION("""COMPUTED_VALUE"""),"This sweater is fine for the casual days. i bought this in cream and i have to say after one wash it looks old. i'm a huge retailer lover and buy a lot of clothes from them. this is just not the best quality and looks tired after a few wears. very soft, b"&amp;"ut poor material. not my favorite purchase.")</f>
        <v>This sweater is fine for the casual days. i bought this in cream and i have to say after one wash it looks old. i'm a huge retailer lover and buy a lot of clothes from them. this is just not the best quality and looks tired after a few wears. very soft, but poor material. not my favorite purchase.</v>
      </c>
      <c r="F71" s="8">
        <f>IFERROR(__xludf.DUMMYFUNCTION("""COMPUTED_VALUE"""),3.0)</f>
        <v>3</v>
      </c>
      <c r="G71" s="8">
        <f>IFERROR(__xludf.DUMMYFUNCTION("""COMPUTED_VALUE"""),0.0)</f>
        <v>0</v>
      </c>
      <c r="H71" s="8">
        <f>IFERROR(__xludf.DUMMYFUNCTION("""COMPUTED_VALUE"""),2.0)</f>
        <v>2</v>
      </c>
      <c r="I71" s="8" t="str">
        <f>IFERROR(__xludf.DUMMYFUNCTION("""COMPUTED_VALUE"""),"General Petite")</f>
        <v>General Petite</v>
      </c>
      <c r="J71" s="8" t="str">
        <f>IFERROR(__xludf.DUMMYFUNCTION("""COMPUTED_VALUE"""),"Intimate")</f>
        <v>Intimate</v>
      </c>
      <c r="K71" s="8" t="str">
        <f>IFERROR(__xludf.DUMMYFUNCTION("""COMPUTED_VALUE"""),"Lounge")</f>
        <v>Lounge</v>
      </c>
      <c r="L71" s="8" t="str">
        <f t="shared" si="1"/>
        <v>-Fabric issue---</v>
      </c>
    </row>
    <row r="72">
      <c r="A72" s="8">
        <f>IFERROR(__xludf.DUMMYFUNCTION("""COMPUTED_VALUE"""),402.0)</f>
        <v>402</v>
      </c>
      <c r="B72" s="8">
        <f>IFERROR(__xludf.DUMMYFUNCTION("""COMPUTED_VALUE"""),1086.0)</f>
        <v>1086</v>
      </c>
      <c r="C72" s="8">
        <f>IFERROR(__xludf.DUMMYFUNCTION("""COMPUTED_VALUE"""),26.0)</f>
        <v>26</v>
      </c>
      <c r="D72" s="8"/>
      <c r="E72" s="15" t="str">
        <f>IFERROR(__xludf.DUMMYFUNCTION("""COMPUTED_VALUE"""),"I really wanted this dress to work out, but i was slightly disappointed in the fabric for the sleeves. the fit was accurate. i'm 5'7 and ordered a 6, however, my husband said it looked too little girl like. i did end up returning it :(")</f>
        <v>I really wanted this dress to work out, but i was slightly disappointed in the fabric for the sleeves. the fit was accurate. i'm 5'7 and ordered a 6, however, my husband said it looked too little girl like. i did end up returning it :(</v>
      </c>
      <c r="F72" s="8">
        <f>IFERROR(__xludf.DUMMYFUNCTION("""COMPUTED_VALUE"""),3.0)</f>
        <v>3</v>
      </c>
      <c r="G72" s="8">
        <f>IFERROR(__xludf.DUMMYFUNCTION("""COMPUTED_VALUE"""),0.0)</f>
        <v>0</v>
      </c>
      <c r="H72" s="8">
        <f>IFERROR(__xludf.DUMMYFUNCTION("""COMPUTED_VALUE"""),9.0)</f>
        <v>9</v>
      </c>
      <c r="I72" s="8" t="str">
        <f>IFERROR(__xludf.DUMMYFUNCTION("""COMPUTED_VALUE"""),"General")</f>
        <v>General</v>
      </c>
      <c r="J72" s="8" t="str">
        <f>IFERROR(__xludf.DUMMYFUNCTION("""COMPUTED_VALUE"""),"Dresses")</f>
        <v>Dresses</v>
      </c>
      <c r="K72" s="8" t="str">
        <f>IFERROR(__xludf.DUMMYFUNCTION("""COMPUTED_VALUE"""),"Dresses")</f>
        <v>Dresses</v>
      </c>
      <c r="L72" s="8" t="str">
        <f t="shared" si="1"/>
        <v>Size issue----</v>
      </c>
    </row>
    <row r="73">
      <c r="A73" s="8">
        <f>IFERROR(__xludf.DUMMYFUNCTION("""COMPUTED_VALUE"""),406.0)</f>
        <v>406</v>
      </c>
      <c r="B73" s="8">
        <f>IFERROR(__xludf.DUMMYFUNCTION("""COMPUTED_VALUE"""),1086.0)</f>
        <v>1086</v>
      </c>
      <c r="C73" s="8">
        <f>IFERROR(__xludf.DUMMYFUNCTION("""COMPUTED_VALUE"""),22.0)</f>
        <v>22</v>
      </c>
      <c r="D73" s="8" t="str">
        <f>IFERROR(__xludf.DUMMYFUNCTION("""COMPUTED_VALUE"""),"Not the best quality")</f>
        <v>Not the best quality</v>
      </c>
      <c r="E73" s="15" t="str">
        <f>IFERROR(__xludf.DUMMYFUNCTION("""COMPUTED_VALUE"""),"I got this dress in hopes of having a really nice winter formal dress. it was not well made at all! the lining didn't line up with the top layer and the waist puffed out in uneven places. i am curvy so a puffy waistline in the last thing i need! the fabri"&amp;"c itself is very nice, but just not well made. i do not recommend this dress.")</f>
        <v>I got this dress in hopes of having a really nice winter formal dress. it was not well made at all! the lining didn't line up with the top layer and the waist puffed out in uneven places. i am curvy so a puffy waistline in the last thing i need! the fabric itself is very nice, but just not well made. i do not recommend this dress.</v>
      </c>
      <c r="F73" s="8">
        <f>IFERROR(__xludf.DUMMYFUNCTION("""COMPUTED_VALUE"""),3.0)</f>
        <v>3</v>
      </c>
      <c r="G73" s="8">
        <f>IFERROR(__xludf.DUMMYFUNCTION("""COMPUTED_VALUE"""),0.0)</f>
        <v>0</v>
      </c>
      <c r="H73" s="8">
        <f>IFERROR(__xludf.DUMMYFUNCTION("""COMPUTED_VALUE"""),3.0)</f>
        <v>3</v>
      </c>
      <c r="I73" s="8" t="str">
        <f>IFERROR(__xludf.DUMMYFUNCTION("""COMPUTED_VALUE"""),"General")</f>
        <v>General</v>
      </c>
      <c r="J73" s="8" t="str">
        <f>IFERROR(__xludf.DUMMYFUNCTION("""COMPUTED_VALUE"""),"Dresses")</f>
        <v>Dresses</v>
      </c>
      <c r="K73" s="8" t="str">
        <f>IFERROR(__xludf.DUMMYFUNCTION("""COMPUTED_VALUE"""),"Dresses")</f>
        <v>Dresses</v>
      </c>
      <c r="L73" s="8" t="str">
        <f t="shared" si="1"/>
        <v>----</v>
      </c>
    </row>
    <row r="74">
      <c r="A74" s="8">
        <f>IFERROR(__xludf.DUMMYFUNCTION("""COMPUTED_VALUE"""),417.0)</f>
        <v>417</v>
      </c>
      <c r="B74" s="8">
        <f>IFERROR(__xludf.DUMMYFUNCTION("""COMPUTED_VALUE"""),1083.0)</f>
        <v>1083</v>
      </c>
      <c r="C74" s="8">
        <f>IFERROR(__xludf.DUMMYFUNCTION("""COMPUTED_VALUE"""),35.0)</f>
        <v>35</v>
      </c>
      <c r="D74" s="8" t="str">
        <f>IFERROR(__xludf.DUMMYFUNCTION("""COMPUTED_VALUE"""),"Flimsy")</f>
        <v>Flimsy</v>
      </c>
      <c r="E74" s="15" t="str">
        <f>IFERROR(__xludf.DUMMYFUNCTION("""COMPUTED_VALUE"""),"I love byron lars dresses, and this design is on-point. the ruffle at the neckline is so pretty, and the dress fits like a dream. however -- the fabric!!! i would have loved it if this dress had a heavier feel. this is, sadly, going back today.")</f>
        <v>I love byron lars dresses, and this design is on-point. the ruffle at the neckline is so pretty, and the dress fits like a dream. however -- the fabric!!! i would have loved it if this dress had a heavier feel. this is, sadly, going back today.</v>
      </c>
      <c r="F74" s="8">
        <f>IFERROR(__xludf.DUMMYFUNCTION("""COMPUTED_VALUE"""),2.0)</f>
        <v>2</v>
      </c>
      <c r="G74" s="8">
        <f>IFERROR(__xludf.DUMMYFUNCTION("""COMPUTED_VALUE"""),0.0)</f>
        <v>0</v>
      </c>
      <c r="H74" s="8">
        <f>IFERROR(__xludf.DUMMYFUNCTION("""COMPUTED_VALUE"""),2.0)</f>
        <v>2</v>
      </c>
      <c r="I74" s="8" t="str">
        <f>IFERROR(__xludf.DUMMYFUNCTION("""COMPUTED_VALUE"""),"General")</f>
        <v>General</v>
      </c>
      <c r="J74" s="8" t="str">
        <f>IFERROR(__xludf.DUMMYFUNCTION("""COMPUTED_VALUE"""),"Dresses")</f>
        <v>Dresses</v>
      </c>
      <c r="K74" s="8" t="str">
        <f>IFERROR(__xludf.DUMMYFUNCTION("""COMPUTED_VALUE"""),"Dresses")</f>
        <v>Dresses</v>
      </c>
      <c r="L74" s="8" t="str">
        <f t="shared" si="1"/>
        <v>--Style issue--</v>
      </c>
    </row>
    <row r="75">
      <c r="A75" s="8">
        <f>IFERROR(__xludf.DUMMYFUNCTION("""COMPUTED_VALUE"""),440.0)</f>
        <v>440</v>
      </c>
      <c r="B75" s="8">
        <f>IFERROR(__xludf.DUMMYFUNCTION("""COMPUTED_VALUE"""),1083.0)</f>
        <v>1083</v>
      </c>
      <c r="C75" s="8">
        <f>IFERROR(__xludf.DUMMYFUNCTION("""COMPUTED_VALUE"""),41.0)</f>
        <v>41</v>
      </c>
      <c r="D75" s="8" t="str">
        <f>IFERROR(__xludf.DUMMYFUNCTION("""COMPUTED_VALUE"""),"Bunches up weirdly in the front")</f>
        <v>Bunches up weirdly in the front</v>
      </c>
      <c r="E75" s="15" t="str">
        <f>IFERROR(__xludf.DUMMYFUNCTION("""COMPUTED_VALUE"""),"I loved this dress as soon as i tried it on, but... it bunched up weird in the front around my hips. i ordered a second size 4, hoping that it would fit better. but same thing. if i tried to go to a size 6 it would be too big every where else. fyi - i'm 5"&amp;"'8"" 129lbs and i'm a runner. it's not like i have a huge backside or anything. my guess is sizing is off. i've tried another of his dresses and it fit perfectly.")</f>
        <v>I loved this dress as soon as i tried it on, but... it bunched up weird in the front around my hips. i ordered a second size 4, hoping that it would fit better. but same thing. if i tried to go to a size 6 it would be too big every where else. fyi - i'm 5'8" 129lbs and i'm a runner. it's not like i have a huge backside or anything. my guess is sizing is off. i've tried another of his dresses and it fit perfectly.</v>
      </c>
      <c r="F75" s="8">
        <f>IFERROR(__xludf.DUMMYFUNCTION("""COMPUTED_VALUE"""),4.0)</f>
        <v>4</v>
      </c>
      <c r="G75" s="8">
        <f>IFERROR(__xludf.DUMMYFUNCTION("""COMPUTED_VALUE"""),0.0)</f>
        <v>0</v>
      </c>
      <c r="H75" s="8">
        <f>IFERROR(__xludf.DUMMYFUNCTION("""COMPUTED_VALUE"""),0.0)</f>
        <v>0</v>
      </c>
      <c r="I75" s="8" t="str">
        <f>IFERROR(__xludf.DUMMYFUNCTION("""COMPUTED_VALUE"""),"General")</f>
        <v>General</v>
      </c>
      <c r="J75" s="8" t="str">
        <f>IFERROR(__xludf.DUMMYFUNCTION("""COMPUTED_VALUE"""),"Dresses")</f>
        <v>Dresses</v>
      </c>
      <c r="K75" s="8" t="str">
        <f>IFERROR(__xludf.DUMMYFUNCTION("""COMPUTED_VALUE"""),"Dresses")</f>
        <v>Dresses</v>
      </c>
      <c r="L75" s="8" t="str">
        <f t="shared" si="1"/>
        <v>Size issue----</v>
      </c>
    </row>
    <row r="76">
      <c r="A76" s="8">
        <f>IFERROR(__xludf.DUMMYFUNCTION("""COMPUTED_VALUE"""),447.0)</f>
        <v>447</v>
      </c>
      <c r="B76" s="8">
        <f>IFERROR(__xludf.DUMMYFUNCTION("""COMPUTED_VALUE"""),872.0)</f>
        <v>872</v>
      </c>
      <c r="C76" s="8">
        <f>IFERROR(__xludf.DUMMYFUNCTION("""COMPUTED_VALUE"""),26.0)</f>
        <v>26</v>
      </c>
      <c r="D76" s="8" t="str">
        <f>IFERROR(__xludf.DUMMYFUNCTION("""COMPUTED_VALUE"""),"Ultimately unimpressed")</f>
        <v>Ultimately unimpressed</v>
      </c>
      <c r="E76" s="15" t="str">
        <f>IFERROR(__xludf.DUMMYFUNCTION("""COMPUTED_VALUE"""),"I really like how this looks on the model, but in real life this top is much tighter. i was hoping for a good layering top and have been playing around with the trend of lace up tops. i bought it without trying on figuring a small would work, but it was m"&amp;"uch too tight and the lace top reminded me of vans shoes. i returned it, a girl much tinier than myself has it and it is very cute on her. so, best works on a model body type figure than someone with even slight hips.")</f>
        <v>I really like how this looks on the model, but in real life this top is much tighter. i was hoping for a good layering top and have been playing around with the trend of lace up tops. i bought it without trying on figuring a small would work, but it was much too tight and the lace top reminded me of vans shoes. i returned it, a girl much tinier than myself has it and it is very cute on her. so, best works on a model body type figure than someone with even slight hips.</v>
      </c>
      <c r="F76" s="8">
        <f>IFERROR(__xludf.DUMMYFUNCTION("""COMPUTED_VALUE"""),3.0)</f>
        <v>3</v>
      </c>
      <c r="G76" s="8">
        <f>IFERROR(__xludf.DUMMYFUNCTION("""COMPUTED_VALUE"""),0.0)</f>
        <v>0</v>
      </c>
      <c r="H76" s="8">
        <f>IFERROR(__xludf.DUMMYFUNCTION("""COMPUTED_VALUE"""),3.0)</f>
        <v>3</v>
      </c>
      <c r="I76" s="8" t="str">
        <f>IFERROR(__xludf.DUMMYFUNCTION("""COMPUTED_VALUE"""),"General")</f>
        <v>General</v>
      </c>
      <c r="J76" s="8" t="str">
        <f>IFERROR(__xludf.DUMMYFUNCTION("""COMPUTED_VALUE"""),"Tops")</f>
        <v>Tops</v>
      </c>
      <c r="K76" s="8" t="str">
        <f>IFERROR(__xludf.DUMMYFUNCTION("""COMPUTED_VALUE"""),"Knits")</f>
        <v>Knits</v>
      </c>
      <c r="L76" s="8" t="str">
        <f t="shared" si="1"/>
        <v>Size issue----Matching Awareness issue</v>
      </c>
    </row>
    <row r="77">
      <c r="A77" s="8">
        <f>IFERROR(__xludf.DUMMYFUNCTION("""COMPUTED_VALUE"""),450.0)</f>
        <v>450</v>
      </c>
      <c r="B77" s="8">
        <f>IFERROR(__xludf.DUMMYFUNCTION("""COMPUTED_VALUE"""),1077.0)</f>
        <v>1077</v>
      </c>
      <c r="C77" s="8">
        <f>IFERROR(__xludf.DUMMYFUNCTION("""COMPUTED_VALUE"""),30.0)</f>
        <v>30</v>
      </c>
      <c r="D77" s="8" t="str">
        <f>IFERROR(__xludf.DUMMYFUNCTION("""COMPUTED_VALUE"""),"Looks fine if you don't move your arms.")</f>
        <v>Looks fine if you don't move your arms.</v>
      </c>
      <c r="E77" s="15" t="str">
        <f>IFERROR(__xludf.DUMMYFUNCTION("""COMPUTED_VALUE"""),"Three strikes and retailer is out for me! i am so disappointed. i really liked this dress and was looking for a fun, distinctive new shift dress. got it, tried it on, took it off, went back to look at the listing online...nowhere does it mention that it h"&amp;"as a drop-seam in the shoulders. i guess you can see it if you zoom in closely on the image, but it's not mentioned in the text. who on god's green earth actually looks good with a drop-shoulder?! it hits every woman under 5'10"" right in the middl")</f>
        <v>Three strikes and retailer is out for me! i am so disappointed. i really liked this dress and was looking for a fun, distinctive new shift dress. got it, tried it on, took it off, went back to look at the listing online...nowhere does it mention that it has a drop-seam in the shoulders. i guess you can see it if you zoom in closely on the image, but it's not mentioned in the text. who on god's green earth actually looks good with a drop-shoulder?! it hits every woman under 5'10" right in the middl</v>
      </c>
      <c r="F77" s="8">
        <f>IFERROR(__xludf.DUMMYFUNCTION("""COMPUTED_VALUE"""),2.0)</f>
        <v>2</v>
      </c>
      <c r="G77" s="8">
        <f>IFERROR(__xludf.DUMMYFUNCTION("""COMPUTED_VALUE"""),0.0)</f>
        <v>0</v>
      </c>
      <c r="H77" s="8">
        <f>IFERROR(__xludf.DUMMYFUNCTION("""COMPUTED_VALUE"""),0.0)</f>
        <v>0</v>
      </c>
      <c r="I77" s="8" t="str">
        <f>IFERROR(__xludf.DUMMYFUNCTION("""COMPUTED_VALUE"""),"General")</f>
        <v>General</v>
      </c>
      <c r="J77" s="8" t="str">
        <f>IFERROR(__xludf.DUMMYFUNCTION("""COMPUTED_VALUE"""),"Dresses")</f>
        <v>Dresses</v>
      </c>
      <c r="K77" s="8" t="str">
        <f>IFERROR(__xludf.DUMMYFUNCTION("""COMPUTED_VALUE"""),"Dresses")</f>
        <v>Dresses</v>
      </c>
      <c r="L77" s="8" t="str">
        <f t="shared" si="1"/>
        <v>----</v>
      </c>
    </row>
    <row r="78">
      <c r="A78" s="8">
        <f>IFERROR(__xludf.DUMMYFUNCTION("""COMPUTED_VALUE"""),462.0)</f>
        <v>462</v>
      </c>
      <c r="B78" s="8">
        <f>IFERROR(__xludf.DUMMYFUNCTION("""COMPUTED_VALUE"""),850.0)</f>
        <v>850</v>
      </c>
      <c r="C78" s="8">
        <f>IFERROR(__xludf.DUMMYFUNCTION("""COMPUTED_VALUE"""),23.0)</f>
        <v>23</v>
      </c>
      <c r="D78" s="8" t="str">
        <f>IFERROR(__xludf.DUMMYFUNCTION("""COMPUTED_VALUE"""),"Great too but not for women who have a large bust.")</f>
        <v>Great too but not for women who have a large bust.</v>
      </c>
      <c r="E78" s="15" t="str">
        <f>IFERROR(__xludf.DUMMYFUNCTION("""COMPUTED_VALUE"""),"It's hard enough for women to find clothing that will make them look as beautiful as they feel but add a bigger bust size (i'm a 36dd) and it makes it this much harder. i ordered this top because of how beautiful it looked on the model and the price. when"&amp;" it arrived i was so excited! retailer does such a beautiful job with the way they handle their items! it was wrapped beautiful and no damage. i ordered a size 8 knowing that my chest could be a potential problem. the too itself is gorgeous! i did")</f>
        <v>It's hard enough for women to find clothing that will make them look as beautiful as they feel but add a bigger bust size (i'm a 36dd) and it makes it this much harder. i ordered this top because of how beautiful it looked on the model and the price. when it arrived i was so excited! retailer does such a beautiful job with the way they handle their items! it was wrapped beautiful and no damage. i ordered a size 8 knowing that my chest could be a potential problem. the too itself is gorgeous! i did</v>
      </c>
      <c r="F78" s="8">
        <f>IFERROR(__xludf.DUMMYFUNCTION("""COMPUTED_VALUE"""),3.0)</f>
        <v>3</v>
      </c>
      <c r="G78" s="8">
        <f>IFERROR(__xludf.DUMMYFUNCTION("""COMPUTED_VALUE"""),0.0)</f>
        <v>0</v>
      </c>
      <c r="H78" s="8">
        <f>IFERROR(__xludf.DUMMYFUNCTION("""COMPUTED_VALUE"""),1.0)</f>
        <v>1</v>
      </c>
      <c r="I78" s="8" t="str">
        <f>IFERROR(__xludf.DUMMYFUNCTION("""COMPUTED_VALUE"""),"General Petite")</f>
        <v>General Petite</v>
      </c>
      <c r="J78" s="8" t="str">
        <f>IFERROR(__xludf.DUMMYFUNCTION("""COMPUTED_VALUE"""),"Tops")</f>
        <v>Tops</v>
      </c>
      <c r="K78" s="8" t="str">
        <f>IFERROR(__xludf.DUMMYFUNCTION("""COMPUTED_VALUE"""),"Blouses")</f>
        <v>Blouses</v>
      </c>
      <c r="L78" s="8" t="str">
        <f t="shared" si="1"/>
        <v>Size issue----Matching Awareness issue</v>
      </c>
    </row>
    <row r="79">
      <c r="A79" s="8">
        <f>IFERROR(__xludf.DUMMYFUNCTION("""COMPUTED_VALUE"""),470.0)</f>
        <v>470</v>
      </c>
      <c r="B79" s="8">
        <f>IFERROR(__xludf.DUMMYFUNCTION("""COMPUTED_VALUE"""),1078.0)</f>
        <v>1078</v>
      </c>
      <c r="C79" s="8">
        <f>IFERROR(__xludf.DUMMYFUNCTION("""COMPUTED_VALUE"""),33.0)</f>
        <v>33</v>
      </c>
      <c r="D79" s="8" t="str">
        <f>IFERROR(__xludf.DUMMYFUNCTION("""COMPUTED_VALUE"""),"Cute, but cheap")</f>
        <v>Cute, but cheap</v>
      </c>
      <c r="E79" s="15" t="str">
        <f>IFERROR(__xludf.DUMMYFUNCTION("""COMPUTED_VALUE"""),"When i first opened this dress and tried it on i thought it was adorable. it is very flattering on my hourglass figure and hides my recent baby weight. the problem is the hem. it was already rolling up when i took it out of the package, and i should have "&amp;"noticed and returned it, but i figured the problem would be easily solved by a good ironing. well, it wasn't, and it gets worse every time i wash the dress. it's like the hem isn't constructed properly.")</f>
        <v>When i first opened this dress and tried it on i thought it was adorable. it is very flattering on my hourglass figure and hides my recent baby weight. the problem is the hem. it was already rolling up when i took it out of the package, and i should have noticed and returned it, but i figured the problem would be easily solved by a good ironing. well, it wasn't, and it gets worse every time i wash the dress. it's like the hem isn't constructed properly.</v>
      </c>
      <c r="F79" s="8">
        <f>IFERROR(__xludf.DUMMYFUNCTION("""COMPUTED_VALUE"""),3.0)</f>
        <v>3</v>
      </c>
      <c r="G79" s="8">
        <f>IFERROR(__xludf.DUMMYFUNCTION("""COMPUTED_VALUE"""),0.0)</f>
        <v>0</v>
      </c>
      <c r="H79" s="8">
        <f>IFERROR(__xludf.DUMMYFUNCTION("""COMPUTED_VALUE"""),0.0)</f>
        <v>0</v>
      </c>
      <c r="I79" s="8" t="str">
        <f>IFERROR(__xludf.DUMMYFUNCTION("""COMPUTED_VALUE"""),"General")</f>
        <v>General</v>
      </c>
      <c r="J79" s="8" t="str">
        <f>IFERROR(__xludf.DUMMYFUNCTION("""COMPUTED_VALUE"""),"Dresses")</f>
        <v>Dresses</v>
      </c>
      <c r="K79" s="8" t="str">
        <f>IFERROR(__xludf.DUMMYFUNCTION("""COMPUTED_VALUE"""),"Dresses")</f>
        <v>Dresses</v>
      </c>
      <c r="L79" s="8" t="str">
        <f t="shared" si="1"/>
        <v>----</v>
      </c>
    </row>
    <row r="80">
      <c r="A80" s="8">
        <f>IFERROR(__xludf.DUMMYFUNCTION("""COMPUTED_VALUE"""),475.0)</f>
        <v>475</v>
      </c>
      <c r="B80" s="8">
        <f>IFERROR(__xludf.DUMMYFUNCTION("""COMPUTED_VALUE"""),862.0)</f>
        <v>862</v>
      </c>
      <c r="C80" s="8">
        <f>IFERROR(__xludf.DUMMYFUNCTION("""COMPUTED_VALUE"""),42.0)</f>
        <v>42</v>
      </c>
      <c r="D80" s="8" t="str">
        <f>IFERROR(__xludf.DUMMYFUNCTION("""COMPUTED_VALUE"""),"Poor quality")</f>
        <v>Poor quality</v>
      </c>
      <c r="E80" s="15" t="str">
        <f>IFERROR(__xludf.DUMMYFUNCTION("""COMPUTED_VALUE"""),"I bought this in the white, size m (140lbs., 5'8"", 34b) because i wanted a baggy fit, which i got, so this is tts. the white is more of an off-white rather than a bright white, which i like because i happen to be looking for an off-white tee. and the sha"&amp;"pe is good--even in a larger size, this tee nips in at the waist.however, the quality of this tee is lacking, as it is the typical, cheap, marled, slightly see-through material that seems to be everywhere these days and the band on the back of th")</f>
        <v>I bought this in the white, size m (140lbs., 5'8", 34b) because i wanted a baggy fit, which i got, so this is tts. the white is more of an off-white rather than a bright white, which i like because i happen to be looking for an off-white tee. and the shape is good--even in a larger size, this tee nips in at the waist.however, the quality of this tee is lacking, as it is the typical, cheap, marled, slightly see-through material that seems to be everywhere these days and the band on the back of th</v>
      </c>
      <c r="F80" s="8">
        <f>IFERROR(__xludf.DUMMYFUNCTION("""COMPUTED_VALUE"""),2.0)</f>
        <v>2</v>
      </c>
      <c r="G80" s="8">
        <f>IFERROR(__xludf.DUMMYFUNCTION("""COMPUTED_VALUE"""),0.0)</f>
        <v>0</v>
      </c>
      <c r="H80" s="8">
        <f>IFERROR(__xludf.DUMMYFUNCTION("""COMPUTED_VALUE"""),2.0)</f>
        <v>2</v>
      </c>
      <c r="I80" s="8" t="str">
        <f>IFERROR(__xludf.DUMMYFUNCTION("""COMPUTED_VALUE"""),"General")</f>
        <v>General</v>
      </c>
      <c r="J80" s="8" t="str">
        <f>IFERROR(__xludf.DUMMYFUNCTION("""COMPUTED_VALUE"""),"Tops")</f>
        <v>Tops</v>
      </c>
      <c r="K80" s="8" t="str">
        <f>IFERROR(__xludf.DUMMYFUNCTION("""COMPUTED_VALUE"""),"Knits")</f>
        <v>Knits</v>
      </c>
      <c r="L80" s="8" t="str">
        <f t="shared" si="1"/>
        <v>Size issue-Fabric issue-Style issue--</v>
      </c>
    </row>
    <row r="81">
      <c r="A81" s="8">
        <f>IFERROR(__xludf.DUMMYFUNCTION("""COMPUTED_VALUE"""),480.0)</f>
        <v>480</v>
      </c>
      <c r="B81" s="8">
        <f>IFERROR(__xludf.DUMMYFUNCTION("""COMPUTED_VALUE"""),1104.0)</f>
        <v>1104</v>
      </c>
      <c r="C81" s="8">
        <f>IFERROR(__xludf.DUMMYFUNCTION("""COMPUTED_VALUE"""),51.0)</f>
        <v>51</v>
      </c>
      <c r="D81" s="8" t="str">
        <f>IFERROR(__xludf.DUMMYFUNCTION("""COMPUTED_VALUE"""),"Not for the busty")</f>
        <v>Not for the busty</v>
      </c>
      <c r="E81" s="15" t="str">
        <f>IFERROR(__xludf.DUMMYFUNCTION("""COMPUTED_VALUE"""),"Nice fabric, very versatile but the knit top and style accentuates your bust. probably not an issue for most but if your a d or up it's more attention than you may want.")</f>
        <v>Nice fabric, very versatile but the knit top and style accentuates your bust. probably not an issue for most but if your a d or up it's more attention than you may want.</v>
      </c>
      <c r="F81" s="8">
        <f>IFERROR(__xludf.DUMMYFUNCTION("""COMPUTED_VALUE"""),3.0)</f>
        <v>3</v>
      </c>
      <c r="G81" s="8">
        <f>IFERROR(__xludf.DUMMYFUNCTION("""COMPUTED_VALUE"""),0.0)</f>
        <v>0</v>
      </c>
      <c r="H81" s="8">
        <f>IFERROR(__xludf.DUMMYFUNCTION("""COMPUTED_VALUE"""),0.0)</f>
        <v>0</v>
      </c>
      <c r="I81" s="8" t="str">
        <f>IFERROR(__xludf.DUMMYFUNCTION("""COMPUTED_VALUE"""),"General")</f>
        <v>General</v>
      </c>
      <c r="J81" s="8" t="str">
        <f>IFERROR(__xludf.DUMMYFUNCTION("""COMPUTED_VALUE"""),"Dresses")</f>
        <v>Dresses</v>
      </c>
      <c r="K81" s="8" t="str">
        <f>IFERROR(__xludf.DUMMYFUNCTION("""COMPUTED_VALUE"""),"Dresses")</f>
        <v>Dresses</v>
      </c>
      <c r="L81" s="8" t="str">
        <f t="shared" si="1"/>
        <v>----</v>
      </c>
    </row>
    <row r="82">
      <c r="A82" s="8">
        <f>IFERROR(__xludf.DUMMYFUNCTION("""COMPUTED_VALUE"""),498.0)</f>
        <v>498</v>
      </c>
      <c r="B82" s="8">
        <f>IFERROR(__xludf.DUMMYFUNCTION("""COMPUTED_VALUE"""),850.0)</f>
        <v>850</v>
      </c>
      <c r="C82" s="8">
        <f>IFERROR(__xludf.DUMMYFUNCTION("""COMPUTED_VALUE"""),33.0)</f>
        <v>33</v>
      </c>
      <c r="D82" s="8" t="str">
        <f>IFERROR(__xludf.DUMMYFUNCTION("""COMPUTED_VALUE"""),"Boxy")</f>
        <v>Boxy</v>
      </c>
      <c r="E82" s="15" t="str">
        <f>IFERROR(__xludf.DUMMYFUNCTION("""COMPUTED_VALUE"""),"Cropped and wide- would look cuter on someone who is more petite. was too wide and cropped for me. very sheer.")</f>
        <v>Cropped and wide- would look cuter on someone who is more petite. was too wide and cropped for me. very sheer.</v>
      </c>
      <c r="F82" s="8">
        <f>IFERROR(__xludf.DUMMYFUNCTION("""COMPUTED_VALUE"""),3.0)</f>
        <v>3</v>
      </c>
      <c r="G82" s="8">
        <f>IFERROR(__xludf.DUMMYFUNCTION("""COMPUTED_VALUE"""),0.0)</f>
        <v>0</v>
      </c>
      <c r="H82" s="8">
        <f>IFERROR(__xludf.DUMMYFUNCTION("""COMPUTED_VALUE"""),0.0)</f>
        <v>0</v>
      </c>
      <c r="I82" s="8" t="str">
        <f>IFERROR(__xludf.DUMMYFUNCTION("""COMPUTED_VALUE"""),"General Petite")</f>
        <v>General Petite</v>
      </c>
      <c r="J82" s="8" t="str">
        <f>IFERROR(__xludf.DUMMYFUNCTION("""COMPUTED_VALUE"""),"Tops")</f>
        <v>Tops</v>
      </c>
      <c r="K82" s="8" t="str">
        <f>IFERROR(__xludf.DUMMYFUNCTION("""COMPUTED_VALUE"""),"Blouses")</f>
        <v>Blouses</v>
      </c>
      <c r="L82" s="8" t="str">
        <f t="shared" si="1"/>
        <v>Size issue----</v>
      </c>
    </row>
    <row r="83">
      <c r="A83" s="8">
        <f>IFERROR(__xludf.DUMMYFUNCTION("""COMPUTED_VALUE"""),499.0)</f>
        <v>499</v>
      </c>
      <c r="B83" s="8">
        <f>IFERROR(__xludf.DUMMYFUNCTION("""COMPUTED_VALUE"""),1078.0)</f>
        <v>1078</v>
      </c>
      <c r="C83" s="8">
        <f>IFERROR(__xludf.DUMMYFUNCTION("""COMPUTED_VALUE"""),36.0)</f>
        <v>36</v>
      </c>
      <c r="D83" s="8" t="str">
        <f>IFERROR(__xludf.DUMMYFUNCTION("""COMPUTED_VALUE"""),"Cute concept, fits weird")</f>
        <v>Cute concept, fits weird</v>
      </c>
      <c r="E83" s="15" t="str">
        <f>IFERROR(__xludf.DUMMYFUNCTION("""COMPUTED_VALUE"""),"The fun colors drew me to this but it sure fit weird. the top was fine but it became a bit tent-like in the waist. the material doesn't feel great either.")</f>
        <v>The fun colors drew me to this but it sure fit weird. the top was fine but it became a bit tent-like in the waist. the material doesn't feel great either.</v>
      </c>
      <c r="F83" s="8">
        <f>IFERROR(__xludf.DUMMYFUNCTION("""COMPUTED_VALUE"""),2.0)</f>
        <v>2</v>
      </c>
      <c r="G83" s="8">
        <f>IFERROR(__xludf.DUMMYFUNCTION("""COMPUTED_VALUE"""),0.0)</f>
        <v>0</v>
      </c>
      <c r="H83" s="8">
        <f>IFERROR(__xludf.DUMMYFUNCTION("""COMPUTED_VALUE"""),1.0)</f>
        <v>1</v>
      </c>
      <c r="I83" s="8" t="str">
        <f>IFERROR(__xludf.DUMMYFUNCTION("""COMPUTED_VALUE"""),"General")</f>
        <v>General</v>
      </c>
      <c r="J83" s="8" t="str">
        <f>IFERROR(__xludf.DUMMYFUNCTION("""COMPUTED_VALUE"""),"Dresses")</f>
        <v>Dresses</v>
      </c>
      <c r="K83" s="8" t="str">
        <f>IFERROR(__xludf.DUMMYFUNCTION("""COMPUTED_VALUE"""),"Dresses")</f>
        <v>Dresses</v>
      </c>
      <c r="L83" s="8" t="str">
        <f t="shared" si="1"/>
        <v>-Fabric issue---</v>
      </c>
    </row>
    <row r="84">
      <c r="A84" s="8">
        <f>IFERROR(__xludf.DUMMYFUNCTION("""COMPUTED_VALUE"""),511.0)</f>
        <v>511</v>
      </c>
      <c r="B84" s="8">
        <f>IFERROR(__xludf.DUMMYFUNCTION("""COMPUTED_VALUE"""),948.0)</f>
        <v>948</v>
      </c>
      <c r="C84" s="8">
        <f>IFERROR(__xludf.DUMMYFUNCTION("""COMPUTED_VALUE"""),60.0)</f>
        <v>60</v>
      </c>
      <c r="D84" s="8" t="str">
        <f>IFERROR(__xludf.DUMMYFUNCTION("""COMPUTED_VALUE"""),"Cropped and itchy")</f>
        <v>Cropped and itchy</v>
      </c>
      <c r="E84" s="15" t="str">
        <f>IFERROR(__xludf.DUMMYFUNCTION("""COMPUTED_VALUE"""),"I'm assuming the model showing the sweater is at least 5'9"", it is slightly cropped on her , but it certainly doesn't look super cropped. i'm 5'4"" and its super cropped on me. even with high waist jeans.
also, it is incredibly itchy. i even tried it wit"&amp;"h a cami under but the itchy wool came right through the cami.
too bad, its a cute design, just needs some tweaking.")</f>
        <v>I'm assuming the model showing the sweater is at least 5'9", it is slightly cropped on her , but it certainly doesn't look super cropped. i'm 5'4" and its super cropped on me. even with high waist jeans.
also, it is incredibly itchy. i even tried it with a cami under but the itchy wool came right through the cami.
too bad, its a cute design, just needs some tweaking.</v>
      </c>
      <c r="F84" s="8">
        <f>IFERROR(__xludf.DUMMYFUNCTION("""COMPUTED_VALUE"""),2.0)</f>
        <v>2</v>
      </c>
      <c r="G84" s="8">
        <f>IFERROR(__xludf.DUMMYFUNCTION("""COMPUTED_VALUE"""),0.0)</f>
        <v>0</v>
      </c>
      <c r="H84" s="8">
        <f>IFERROR(__xludf.DUMMYFUNCTION("""COMPUTED_VALUE"""),2.0)</f>
        <v>2</v>
      </c>
      <c r="I84" s="8" t="str">
        <f>IFERROR(__xludf.DUMMYFUNCTION("""COMPUTED_VALUE"""),"General Petite")</f>
        <v>General Petite</v>
      </c>
      <c r="J84" s="8" t="str">
        <f>IFERROR(__xludf.DUMMYFUNCTION("""COMPUTED_VALUE"""),"Tops")</f>
        <v>Tops</v>
      </c>
      <c r="K84" s="8" t="str">
        <f>IFERROR(__xludf.DUMMYFUNCTION("""COMPUTED_VALUE"""),"Sweaters")</f>
        <v>Sweaters</v>
      </c>
      <c r="L84" s="8" t="str">
        <f t="shared" si="1"/>
        <v>--Style issue--Matching Awareness issue</v>
      </c>
    </row>
    <row r="85">
      <c r="A85" s="8">
        <f>IFERROR(__xludf.DUMMYFUNCTION("""COMPUTED_VALUE"""),518.0)</f>
        <v>518</v>
      </c>
      <c r="B85" s="8">
        <f>IFERROR(__xludf.DUMMYFUNCTION("""COMPUTED_VALUE"""),850.0)</f>
        <v>850</v>
      </c>
      <c r="C85" s="8">
        <f>IFERROR(__xludf.DUMMYFUNCTION("""COMPUTED_VALUE"""),48.0)</f>
        <v>48</v>
      </c>
      <c r="D85" s="8" t="str">
        <f>IFERROR(__xludf.DUMMYFUNCTION("""COMPUTED_VALUE"""),"Weird color and fit")</f>
        <v>Weird color and fit</v>
      </c>
      <c r="E85" s="15" t="str">
        <f>IFERROR(__xludf.DUMMYFUNCTION("""COMPUTED_VALUE"""),"Color is not like photo and fit doesn't work if you're busty")</f>
        <v>Color is not like photo and fit doesn't work if you're busty</v>
      </c>
      <c r="F85" s="8">
        <f>IFERROR(__xludf.DUMMYFUNCTION("""COMPUTED_VALUE"""),2.0)</f>
        <v>2</v>
      </c>
      <c r="G85" s="8">
        <f>IFERROR(__xludf.DUMMYFUNCTION("""COMPUTED_VALUE"""),0.0)</f>
        <v>0</v>
      </c>
      <c r="H85" s="8">
        <f>IFERROR(__xludf.DUMMYFUNCTION("""COMPUTED_VALUE"""),0.0)</f>
        <v>0</v>
      </c>
      <c r="I85" s="8" t="str">
        <f>IFERROR(__xludf.DUMMYFUNCTION("""COMPUTED_VALUE"""),"General Petite")</f>
        <v>General Petite</v>
      </c>
      <c r="J85" s="8" t="str">
        <f>IFERROR(__xludf.DUMMYFUNCTION("""COMPUTED_VALUE"""),"Tops")</f>
        <v>Tops</v>
      </c>
      <c r="K85" s="8" t="str">
        <f>IFERROR(__xludf.DUMMYFUNCTION("""COMPUTED_VALUE"""),"Blouses")</f>
        <v>Blouses</v>
      </c>
      <c r="L85" s="8" t="str">
        <f t="shared" si="1"/>
        <v>Size issue----</v>
      </c>
    </row>
    <row r="86">
      <c r="A86" s="8">
        <f>IFERROR(__xludf.DUMMYFUNCTION("""COMPUTED_VALUE"""),523.0)</f>
        <v>523</v>
      </c>
      <c r="B86" s="8">
        <f>IFERROR(__xludf.DUMMYFUNCTION("""COMPUTED_VALUE"""),1104.0)</f>
        <v>1104</v>
      </c>
      <c r="C86" s="8">
        <f>IFERROR(__xludf.DUMMYFUNCTION("""COMPUTED_VALUE"""),39.0)</f>
        <v>39</v>
      </c>
      <c r="D86" s="8"/>
      <c r="E86" s="15"/>
      <c r="F86" s="8">
        <f>IFERROR(__xludf.DUMMYFUNCTION("""COMPUTED_VALUE"""),1.0)</f>
        <v>1</v>
      </c>
      <c r="G86" s="8">
        <f>IFERROR(__xludf.DUMMYFUNCTION("""COMPUTED_VALUE"""),0.0)</f>
        <v>0</v>
      </c>
      <c r="H86" s="8">
        <f>IFERROR(__xludf.DUMMYFUNCTION("""COMPUTED_VALUE"""),0.0)</f>
        <v>0</v>
      </c>
      <c r="I86" s="8" t="str">
        <f>IFERROR(__xludf.DUMMYFUNCTION("""COMPUTED_VALUE"""),"General")</f>
        <v>General</v>
      </c>
      <c r="J86" s="8" t="str">
        <f>IFERROR(__xludf.DUMMYFUNCTION("""COMPUTED_VALUE"""),"Dresses")</f>
        <v>Dresses</v>
      </c>
      <c r="K86" s="8" t="str">
        <f>IFERROR(__xludf.DUMMYFUNCTION("""COMPUTED_VALUE"""),"Dresses")</f>
        <v>Dresses</v>
      </c>
      <c r="L86" s="8" t="str">
        <f t="shared" si="1"/>
        <v/>
      </c>
    </row>
    <row r="87">
      <c r="A87" s="8">
        <f>IFERROR(__xludf.DUMMYFUNCTION("""COMPUTED_VALUE"""),548.0)</f>
        <v>548</v>
      </c>
      <c r="B87" s="8">
        <f>IFERROR(__xludf.DUMMYFUNCTION("""COMPUTED_VALUE"""),833.0)</f>
        <v>833</v>
      </c>
      <c r="C87" s="8">
        <f>IFERROR(__xludf.DUMMYFUNCTION("""COMPUTED_VALUE"""),45.0)</f>
        <v>45</v>
      </c>
      <c r="D87" s="8" t="str">
        <f>IFERROR(__xludf.DUMMYFUNCTION("""COMPUTED_VALUE"""),"Beautiful blouse but....")</f>
        <v>Beautiful blouse but....</v>
      </c>
      <c r="E87" s="15" t="str">
        <f>IFERROR(__xludf.DUMMYFUNCTION("""COMPUTED_VALUE"""),"Absolutely love this blouse but if your a woman cursed with larger arms for your body size than this is not for you. i couldn't get the lace part of the upper arms past my elbows.
oh well, it's going back!")</f>
        <v>Absolutely love this blouse but if your a woman cursed with larger arms for your body size than this is not for you. i couldn't get the lace part of the upper arms past my elbows.
oh well, it's going back!</v>
      </c>
      <c r="F87" s="8">
        <f>IFERROR(__xludf.DUMMYFUNCTION("""COMPUTED_VALUE"""),3.0)</f>
        <v>3</v>
      </c>
      <c r="G87" s="8">
        <f>IFERROR(__xludf.DUMMYFUNCTION("""COMPUTED_VALUE"""),0.0)</f>
        <v>0</v>
      </c>
      <c r="H87" s="8">
        <f>IFERROR(__xludf.DUMMYFUNCTION("""COMPUTED_VALUE"""),0.0)</f>
        <v>0</v>
      </c>
      <c r="I87" s="8" t="str">
        <f>IFERROR(__xludf.DUMMYFUNCTION("""COMPUTED_VALUE"""),"General")</f>
        <v>General</v>
      </c>
      <c r="J87" s="8" t="str">
        <f>IFERROR(__xludf.DUMMYFUNCTION("""COMPUTED_VALUE"""),"Tops")</f>
        <v>Tops</v>
      </c>
      <c r="K87" s="8" t="str">
        <f>IFERROR(__xludf.DUMMYFUNCTION("""COMPUTED_VALUE"""),"Blouses")</f>
        <v>Blouses</v>
      </c>
      <c r="L87" s="8" t="str">
        <f t="shared" si="1"/>
        <v>Size issue----</v>
      </c>
    </row>
    <row r="88">
      <c r="A88" s="8">
        <f>IFERROR(__xludf.DUMMYFUNCTION("""COMPUTED_VALUE"""),550.0)</f>
        <v>550</v>
      </c>
      <c r="B88" s="8">
        <f>IFERROR(__xludf.DUMMYFUNCTION("""COMPUTED_VALUE"""),1078.0)</f>
        <v>1078</v>
      </c>
      <c r="C88" s="8">
        <f>IFERROR(__xludf.DUMMYFUNCTION("""COMPUTED_VALUE"""),52.0)</f>
        <v>52</v>
      </c>
      <c r="D88" s="8" t="str">
        <f>IFERROR(__xludf.DUMMYFUNCTION("""COMPUTED_VALUE"""),"Not a fan - childish")</f>
        <v>Not a fan - childish</v>
      </c>
      <c r="E88" s="15" t="str">
        <f>IFERROR(__xludf.DUMMYFUNCTION("""COMPUTED_VALUE"""),"I thought that it looked like it belonged on a 15 year-old. i can almost see why they styled the model in what looks like ankle socks....ready for cheerleading. for reference it fits true to size, but is very short. i am 5'2"" and tried on a regular small"&amp;" - it was at least 5 inches above my knee.")</f>
        <v>I thought that it looked like it belonged on a 15 year-old. i can almost see why they styled the model in what looks like ankle socks....ready for cheerleading. for reference it fits true to size, but is very short. i am 5'2" and tried on a regular small - it was at least 5 inches above my knee.</v>
      </c>
      <c r="F88" s="8">
        <f>IFERROR(__xludf.DUMMYFUNCTION("""COMPUTED_VALUE"""),3.0)</f>
        <v>3</v>
      </c>
      <c r="G88" s="8">
        <f>IFERROR(__xludf.DUMMYFUNCTION("""COMPUTED_VALUE"""),0.0)</f>
        <v>0</v>
      </c>
      <c r="H88" s="8">
        <f>IFERROR(__xludf.DUMMYFUNCTION("""COMPUTED_VALUE"""),2.0)</f>
        <v>2</v>
      </c>
      <c r="I88" s="8" t="str">
        <f>IFERROR(__xludf.DUMMYFUNCTION("""COMPUTED_VALUE"""),"General")</f>
        <v>General</v>
      </c>
      <c r="J88" s="8" t="str">
        <f>IFERROR(__xludf.DUMMYFUNCTION("""COMPUTED_VALUE"""),"Dresses")</f>
        <v>Dresses</v>
      </c>
      <c r="K88" s="8" t="str">
        <f>IFERROR(__xludf.DUMMYFUNCTION("""COMPUTED_VALUE"""),"Dresses")</f>
        <v>Dresses</v>
      </c>
      <c r="L88" s="8" t="str">
        <f t="shared" si="1"/>
        <v>Size issue----Matching Awareness issue</v>
      </c>
    </row>
    <row r="89">
      <c r="A89" s="8">
        <f>IFERROR(__xludf.DUMMYFUNCTION("""COMPUTED_VALUE"""),565.0)</f>
        <v>565</v>
      </c>
      <c r="B89" s="8">
        <f>IFERROR(__xludf.DUMMYFUNCTION("""COMPUTED_VALUE"""),833.0)</f>
        <v>833</v>
      </c>
      <c r="C89" s="8">
        <f>IFERROR(__xludf.DUMMYFUNCTION("""COMPUTED_VALUE"""),47.0)</f>
        <v>47</v>
      </c>
      <c r="D89" s="8"/>
      <c r="E89" s="15" t="str">
        <f>IFERROR(__xludf.DUMMYFUNCTION("""COMPUTED_VALUE"""),"This top runs super small in the upper arms, shoulder area..could not even stretch out my arms! ...other then that major problem, the length and body fit were perfect...i am true med and/or large in all retailer tops so i tried sizes 10, 12 and neither wo"&amp;"rked for me due to arm/shoulder fit...disappointed because it really is a beautiful top...")</f>
        <v>This top runs super small in the upper arms, shoulder area..could not even stretch out my arms! ...other then that major problem, the length and body fit were perfect...i am true med and/or large in all retailer tops so i tried sizes 10, 12 and neither worked for me due to arm/shoulder fit...disappointed because it really is a beautiful top...</v>
      </c>
      <c r="F89" s="8">
        <f>IFERROR(__xludf.DUMMYFUNCTION("""COMPUTED_VALUE"""),1.0)</f>
        <v>1</v>
      </c>
      <c r="G89" s="8">
        <f>IFERROR(__xludf.DUMMYFUNCTION("""COMPUTED_VALUE"""),0.0)</f>
        <v>0</v>
      </c>
      <c r="H89" s="8">
        <f>IFERROR(__xludf.DUMMYFUNCTION("""COMPUTED_VALUE"""),12.0)</f>
        <v>12</v>
      </c>
      <c r="I89" s="8" t="str">
        <f>IFERROR(__xludf.DUMMYFUNCTION("""COMPUTED_VALUE"""),"General")</f>
        <v>General</v>
      </c>
      <c r="J89" s="8" t="str">
        <f>IFERROR(__xludf.DUMMYFUNCTION("""COMPUTED_VALUE"""),"Tops")</f>
        <v>Tops</v>
      </c>
      <c r="K89" s="8" t="str">
        <f>IFERROR(__xludf.DUMMYFUNCTION("""COMPUTED_VALUE"""),"Blouses")</f>
        <v>Blouses</v>
      </c>
      <c r="L89" s="8" t="str">
        <f t="shared" si="1"/>
        <v>Size issue----</v>
      </c>
    </row>
    <row r="90">
      <c r="A90" s="8">
        <f>IFERROR(__xludf.DUMMYFUNCTION("""COMPUTED_VALUE"""),574.0)</f>
        <v>574</v>
      </c>
      <c r="B90" s="8">
        <f>IFERROR(__xludf.DUMMYFUNCTION("""COMPUTED_VALUE"""),833.0)</f>
        <v>833</v>
      </c>
      <c r="C90" s="8">
        <f>IFERROR(__xludf.DUMMYFUNCTION("""COMPUTED_VALUE"""),65.0)</f>
        <v>65</v>
      </c>
      <c r="D90" s="8"/>
      <c r="E90" s="15"/>
      <c r="F90" s="8">
        <f>IFERROR(__xludf.DUMMYFUNCTION("""COMPUTED_VALUE"""),1.0)</f>
        <v>1</v>
      </c>
      <c r="G90" s="8">
        <f>IFERROR(__xludf.DUMMYFUNCTION("""COMPUTED_VALUE"""),0.0)</f>
        <v>0</v>
      </c>
      <c r="H90" s="8">
        <f>IFERROR(__xludf.DUMMYFUNCTION("""COMPUTED_VALUE"""),0.0)</f>
        <v>0</v>
      </c>
      <c r="I90" s="8" t="str">
        <f>IFERROR(__xludf.DUMMYFUNCTION("""COMPUTED_VALUE"""),"General")</f>
        <v>General</v>
      </c>
      <c r="J90" s="8" t="str">
        <f>IFERROR(__xludf.DUMMYFUNCTION("""COMPUTED_VALUE"""),"Tops")</f>
        <v>Tops</v>
      </c>
      <c r="K90" s="8" t="str">
        <f>IFERROR(__xludf.DUMMYFUNCTION("""COMPUTED_VALUE"""),"Blouses")</f>
        <v>Blouses</v>
      </c>
      <c r="L90" s="8" t="str">
        <f t="shared" si="1"/>
        <v/>
      </c>
    </row>
    <row r="91">
      <c r="A91" s="8">
        <f>IFERROR(__xludf.DUMMYFUNCTION("""COMPUTED_VALUE"""),578.0)</f>
        <v>578</v>
      </c>
      <c r="B91" s="8">
        <f>IFERROR(__xludf.DUMMYFUNCTION("""COMPUTED_VALUE"""),1094.0)</f>
        <v>1094</v>
      </c>
      <c r="C91" s="8">
        <f>IFERROR(__xludf.DUMMYFUNCTION("""COMPUTED_VALUE"""),42.0)</f>
        <v>42</v>
      </c>
      <c r="D91" s="8" t="str">
        <f>IFERROR(__xludf.DUMMYFUNCTION("""COMPUTED_VALUE"""),"Not for us chesty girls!")</f>
        <v>Not for us chesty girls!</v>
      </c>
      <c r="E91" s="15" t="str">
        <f>IFERROR(__xludf.DUMMYFUNCTION("""COMPUTED_VALUE"""),"Was drawn to this dress in the store. my location had it displayed well (one mannequin with the dress &amp; a jean jacket...another with the faux fur cardigan). the dress is a very vibrant red. but the fit is not for me. i am busty (34c) with a short torso, a"&amp;"nd the dress made me look like dolly pardon on top. but there was a lot of room on the bottom. i tried on a size 6 and felt like i needed a size larger on the top and a size smaller on the bottom. having said that, the material is a very good qu")</f>
        <v>Was drawn to this dress in the store. my location had it displayed well (one mannequin with the dress &amp; a jean jacket...another with the faux fur cardigan). the dress is a very vibrant red. but the fit is not for me. i am busty (34c) with a short torso, and the dress made me look like dolly pardon on top. but there was a lot of room on the bottom. i tried on a size 6 and felt like i needed a size larger on the top and a size smaller on the bottom. having said that, the material is a very good qu</v>
      </c>
      <c r="F91" s="8">
        <f>IFERROR(__xludf.DUMMYFUNCTION("""COMPUTED_VALUE"""),3.0)</f>
        <v>3</v>
      </c>
      <c r="G91" s="8">
        <f>IFERROR(__xludf.DUMMYFUNCTION("""COMPUTED_VALUE"""),0.0)</f>
        <v>0</v>
      </c>
      <c r="H91" s="8">
        <f>IFERROR(__xludf.DUMMYFUNCTION("""COMPUTED_VALUE"""),3.0)</f>
        <v>3</v>
      </c>
      <c r="I91" s="8" t="str">
        <f>IFERROR(__xludf.DUMMYFUNCTION("""COMPUTED_VALUE"""),"General")</f>
        <v>General</v>
      </c>
      <c r="J91" s="8" t="str">
        <f>IFERROR(__xludf.DUMMYFUNCTION("""COMPUTED_VALUE"""),"Dresses")</f>
        <v>Dresses</v>
      </c>
      <c r="K91" s="8" t="str">
        <f>IFERROR(__xludf.DUMMYFUNCTION("""COMPUTED_VALUE"""),"Dresses")</f>
        <v>Dresses</v>
      </c>
      <c r="L91" s="8" t="str">
        <f t="shared" si="1"/>
        <v>Size issue-Fabric issue---</v>
      </c>
    </row>
    <row r="92">
      <c r="A92" s="8">
        <f>IFERROR(__xludf.DUMMYFUNCTION("""COMPUTED_VALUE"""),579.0)</f>
        <v>579</v>
      </c>
      <c r="B92" s="8">
        <f>IFERROR(__xludf.DUMMYFUNCTION("""COMPUTED_VALUE"""),875.0)</f>
        <v>875</v>
      </c>
      <c r="C92" s="8">
        <f>IFERROR(__xludf.DUMMYFUNCTION("""COMPUTED_VALUE"""),34.0)</f>
        <v>34</v>
      </c>
      <c r="D92" s="8" t="str">
        <f>IFERROR(__xludf.DUMMYFUNCTION("""COMPUTED_VALUE"""),"Fit is not cute")</f>
        <v>Fit is not cute</v>
      </c>
      <c r="E92" s="15" t="str">
        <f>IFERROR(__xludf.DUMMYFUNCTION("""COMPUTED_VALUE"""),"I was really excited about this top since i have others from retailer that are similar in styling. unfortunately, it just didn't work out. i am petite with a short torso and ordered my usual size and it was way too short in the front. the top was also box"&amp;"y and didn't sit right. it just wasn't flattering. cute top on the hanger, but just not on me.")</f>
        <v>I was really excited about this top since i have others from retailer that are similar in styling. unfortunately, it just didn't work out. i am petite with a short torso and ordered my usual size and it was way too short in the front. the top was also boxy and didn't sit right. it just wasn't flattering. cute top on the hanger, but just not on me.</v>
      </c>
      <c r="F92" s="8">
        <f>IFERROR(__xludf.DUMMYFUNCTION("""COMPUTED_VALUE"""),2.0)</f>
        <v>2</v>
      </c>
      <c r="G92" s="8">
        <f>IFERROR(__xludf.DUMMYFUNCTION("""COMPUTED_VALUE"""),0.0)</f>
        <v>0</v>
      </c>
      <c r="H92" s="8">
        <f>IFERROR(__xludf.DUMMYFUNCTION("""COMPUTED_VALUE"""),2.0)</f>
        <v>2</v>
      </c>
      <c r="I92" s="8" t="str">
        <f>IFERROR(__xludf.DUMMYFUNCTION("""COMPUTED_VALUE"""),"General")</f>
        <v>General</v>
      </c>
      <c r="J92" s="8" t="str">
        <f>IFERROR(__xludf.DUMMYFUNCTION("""COMPUTED_VALUE"""),"Tops")</f>
        <v>Tops</v>
      </c>
      <c r="K92" s="8" t="str">
        <f>IFERROR(__xludf.DUMMYFUNCTION("""COMPUTED_VALUE"""),"Knits")</f>
        <v>Knits</v>
      </c>
      <c r="L92" s="8" t="str">
        <f t="shared" si="1"/>
        <v>Size issue----</v>
      </c>
    </row>
    <row r="93">
      <c r="A93" s="8">
        <f>IFERROR(__xludf.DUMMYFUNCTION("""COMPUTED_VALUE"""),580.0)</f>
        <v>580</v>
      </c>
      <c r="B93" s="8">
        <f>IFERROR(__xludf.DUMMYFUNCTION("""COMPUTED_VALUE"""),1037.0)</f>
        <v>1037</v>
      </c>
      <c r="C93" s="8">
        <f>IFERROR(__xludf.DUMMYFUNCTION("""COMPUTED_VALUE"""),38.0)</f>
        <v>38</v>
      </c>
      <c r="D93" s="8"/>
      <c r="E93" s="15"/>
      <c r="F93" s="8">
        <f>IFERROR(__xludf.DUMMYFUNCTION("""COMPUTED_VALUE"""),3.0)</f>
        <v>3</v>
      </c>
      <c r="G93" s="8">
        <f>IFERROR(__xludf.DUMMYFUNCTION("""COMPUTED_VALUE"""),0.0)</f>
        <v>0</v>
      </c>
      <c r="H93" s="8">
        <f>IFERROR(__xludf.DUMMYFUNCTION("""COMPUTED_VALUE"""),0.0)</f>
        <v>0</v>
      </c>
      <c r="I93" s="8" t="str">
        <f>IFERROR(__xludf.DUMMYFUNCTION("""COMPUTED_VALUE"""),"General")</f>
        <v>General</v>
      </c>
      <c r="J93" s="8" t="str">
        <f>IFERROR(__xludf.DUMMYFUNCTION("""COMPUTED_VALUE"""),"Bottoms")</f>
        <v>Bottoms</v>
      </c>
      <c r="K93" s="8" t="str">
        <f>IFERROR(__xludf.DUMMYFUNCTION("""COMPUTED_VALUE"""),"Jeans")</f>
        <v>Jeans</v>
      </c>
      <c r="L93" s="8" t="str">
        <f t="shared" si="1"/>
        <v/>
      </c>
    </row>
    <row r="94">
      <c r="A94" s="8">
        <f>IFERROR(__xludf.DUMMYFUNCTION("""COMPUTED_VALUE"""),581.0)</f>
        <v>581</v>
      </c>
      <c r="B94" s="8">
        <f>IFERROR(__xludf.DUMMYFUNCTION("""COMPUTED_VALUE"""),875.0)</f>
        <v>875</v>
      </c>
      <c r="C94" s="8">
        <f>IFERROR(__xludf.DUMMYFUNCTION("""COMPUTED_VALUE"""),29.0)</f>
        <v>29</v>
      </c>
      <c r="D94" s="8" t="str">
        <f>IFERROR(__xludf.DUMMYFUNCTION("""COMPUTED_VALUE"""),"Do not like the front")</f>
        <v>Do not like the front</v>
      </c>
      <c r="E94" s="15" t="str">
        <f>IFERROR(__xludf.DUMMYFUNCTION("""COMPUTED_VALUE"""),"The back of this t-shirt looks cute but the front looks really weird. the material in the back is quite stiff but the grey material is soft, so the front gray area ends up hanging weirdly and looking uneven and messy. i appreciate asymmetrical clothing bu"&amp;"t to me it looked like a patched up rag from the front. it fits true to size.")</f>
        <v>The back of this t-shirt looks cute but the front looks really weird. the material in the back is quite stiff but the grey material is soft, so the front gray area ends up hanging weirdly and looking uneven and messy. i appreciate asymmetrical clothing but to me it looked like a patched up rag from the front. it fits true to size.</v>
      </c>
      <c r="F94" s="8">
        <f>IFERROR(__xludf.DUMMYFUNCTION("""COMPUTED_VALUE"""),2.0)</f>
        <v>2</v>
      </c>
      <c r="G94" s="8">
        <f>IFERROR(__xludf.DUMMYFUNCTION("""COMPUTED_VALUE"""),0.0)</f>
        <v>0</v>
      </c>
      <c r="H94" s="8">
        <f>IFERROR(__xludf.DUMMYFUNCTION("""COMPUTED_VALUE"""),3.0)</f>
        <v>3</v>
      </c>
      <c r="I94" s="8" t="str">
        <f>IFERROR(__xludf.DUMMYFUNCTION("""COMPUTED_VALUE"""),"General")</f>
        <v>General</v>
      </c>
      <c r="J94" s="8" t="str">
        <f>IFERROR(__xludf.DUMMYFUNCTION("""COMPUTED_VALUE"""),"Tops")</f>
        <v>Tops</v>
      </c>
      <c r="K94" s="8" t="str">
        <f>IFERROR(__xludf.DUMMYFUNCTION("""COMPUTED_VALUE"""),"Knits")</f>
        <v>Knits</v>
      </c>
      <c r="L94" s="8" t="str">
        <f t="shared" si="1"/>
        <v>Size issue-Fabric issue---</v>
      </c>
    </row>
    <row r="95">
      <c r="A95" s="8">
        <f>IFERROR(__xludf.DUMMYFUNCTION("""COMPUTED_VALUE"""),582.0)</f>
        <v>582</v>
      </c>
      <c r="B95" s="8">
        <f>IFERROR(__xludf.DUMMYFUNCTION("""COMPUTED_VALUE"""),833.0)</f>
        <v>833</v>
      </c>
      <c r="C95" s="8">
        <f>IFERROR(__xludf.DUMMYFUNCTION("""COMPUTED_VALUE"""),49.0)</f>
        <v>49</v>
      </c>
      <c r="D95" s="8" t="str">
        <f>IFERROR(__xludf.DUMMYFUNCTION("""COMPUTED_VALUE"""),"Not doing anything for me")</f>
        <v>Not doing anything for me</v>
      </c>
      <c r="E95" s="15" t="str">
        <f>IFERROR(__xludf.DUMMYFUNCTION("""COMPUTED_VALUE"""),"Well, this top just did not do anything for me - it's a very conservative style with the high neckline and blousy fit. you'd need to go a little lower in size if you want any of your figure to show through. i guess it might be good for a church function o"&amp;"r some other conservative event, but it was too buttoned-up for my style. i also had a hard time getting it off even though the size i tried on was large for me. i didn't care for the feel of the fabric either, although the lace is nice.")</f>
        <v>Well, this top just did not do anything for me - it's a very conservative style with the high neckline and blousy fit. you'd need to go a little lower in size if you want any of your figure to show through. i guess it might be good for a church function or some other conservative event, but it was too buttoned-up for my style. i also had a hard time getting it off even though the size i tried on was large for me. i didn't care for the feel of the fabric either, although the lace is nice.</v>
      </c>
      <c r="F95" s="8">
        <f>IFERROR(__xludf.DUMMYFUNCTION("""COMPUTED_VALUE"""),3.0)</f>
        <v>3</v>
      </c>
      <c r="G95" s="8">
        <f>IFERROR(__xludf.DUMMYFUNCTION("""COMPUTED_VALUE"""),0.0)</f>
        <v>0</v>
      </c>
      <c r="H95" s="8">
        <f>IFERROR(__xludf.DUMMYFUNCTION("""COMPUTED_VALUE"""),1.0)</f>
        <v>1</v>
      </c>
      <c r="I95" s="8" t="str">
        <f>IFERROR(__xludf.DUMMYFUNCTION("""COMPUTED_VALUE"""),"General")</f>
        <v>General</v>
      </c>
      <c r="J95" s="8" t="str">
        <f>IFERROR(__xludf.DUMMYFUNCTION("""COMPUTED_VALUE"""),"Tops")</f>
        <v>Tops</v>
      </c>
      <c r="K95" s="8" t="str">
        <f>IFERROR(__xludf.DUMMYFUNCTION("""COMPUTED_VALUE"""),"Blouses")</f>
        <v>Blouses</v>
      </c>
      <c r="L95" s="8" t="str">
        <f t="shared" si="1"/>
        <v>Size issue--Style issue--</v>
      </c>
    </row>
    <row r="96">
      <c r="A96" s="8">
        <f>IFERROR(__xludf.DUMMYFUNCTION("""COMPUTED_VALUE"""),583.0)</f>
        <v>583</v>
      </c>
      <c r="B96" s="8">
        <f>IFERROR(__xludf.DUMMYFUNCTION("""COMPUTED_VALUE"""),1060.0)</f>
        <v>1060</v>
      </c>
      <c r="C96" s="8">
        <f>IFERROR(__xludf.DUMMYFUNCTION("""COMPUTED_VALUE"""),39.0)</f>
        <v>39</v>
      </c>
      <c r="D96" s="8" t="str">
        <f>IFERROR(__xludf.DUMMYFUNCTION("""COMPUTED_VALUE"""),"Not for me")</f>
        <v>Not for me</v>
      </c>
      <c r="E96" s="15" t="str">
        <f>IFERROR(__xludf.DUMMYFUNCTION("""COMPUTED_VALUE"""),"Well made. made my hips looks giant. just not my style unfortunately. i'd have to work at preschool or on a ship to pull this off. i'm 5'3 120-123lbssize 6-8. i got the size 6 (not petite cuz they were sold out).")</f>
        <v>Well made. made my hips looks giant. just not my style unfortunately. i'd have to work at preschool or on a ship to pull this off. i'm 5'3 120-123lbssize 6-8. i got the size 6 (not petite cuz they were sold out).</v>
      </c>
      <c r="F96" s="8">
        <f>IFERROR(__xludf.DUMMYFUNCTION("""COMPUTED_VALUE"""),3.0)</f>
        <v>3</v>
      </c>
      <c r="G96" s="8">
        <f>IFERROR(__xludf.DUMMYFUNCTION("""COMPUTED_VALUE"""),0.0)</f>
        <v>0</v>
      </c>
      <c r="H96" s="8">
        <f>IFERROR(__xludf.DUMMYFUNCTION("""COMPUTED_VALUE"""),0.0)</f>
        <v>0</v>
      </c>
      <c r="I96" s="8" t="str">
        <f>IFERROR(__xludf.DUMMYFUNCTION("""COMPUTED_VALUE"""),"General")</f>
        <v>General</v>
      </c>
      <c r="J96" s="8" t="str">
        <f>IFERROR(__xludf.DUMMYFUNCTION("""COMPUTED_VALUE"""),"Bottoms")</f>
        <v>Bottoms</v>
      </c>
      <c r="K96" s="8" t="str">
        <f>IFERROR(__xludf.DUMMYFUNCTION("""COMPUTED_VALUE"""),"Pants")</f>
        <v>Pants</v>
      </c>
      <c r="L96" s="8" t="str">
        <f t="shared" si="1"/>
        <v>Size issue--Style issue--</v>
      </c>
    </row>
    <row r="97">
      <c r="A97" s="8">
        <f>IFERROR(__xludf.DUMMYFUNCTION("""COMPUTED_VALUE"""),588.0)</f>
        <v>588</v>
      </c>
      <c r="B97" s="8">
        <f>IFERROR(__xludf.DUMMYFUNCTION("""COMPUTED_VALUE"""),875.0)</f>
        <v>875</v>
      </c>
      <c r="C97" s="8">
        <f>IFERROR(__xludf.DUMMYFUNCTION("""COMPUTED_VALUE"""),46.0)</f>
        <v>46</v>
      </c>
      <c r="D97" s="8" t="str">
        <f>IFERROR(__xludf.DUMMYFUNCTION("""COMPUTED_VALUE"""),"Awkward style")</f>
        <v>Awkward style</v>
      </c>
      <c r="E97" s="15" t="str">
        <f>IFERROR(__xludf.DUMMYFUNCTION("""COMPUTED_VALUE"""),"Fits very strange. odd cut. does not look well on.")</f>
        <v>Fits very strange. odd cut. does not look well on.</v>
      </c>
      <c r="F97" s="8">
        <f>IFERROR(__xludf.DUMMYFUNCTION("""COMPUTED_VALUE"""),2.0)</f>
        <v>2</v>
      </c>
      <c r="G97" s="8">
        <f>IFERROR(__xludf.DUMMYFUNCTION("""COMPUTED_VALUE"""),0.0)</f>
        <v>0</v>
      </c>
      <c r="H97" s="8">
        <f>IFERROR(__xludf.DUMMYFUNCTION("""COMPUTED_VALUE"""),1.0)</f>
        <v>1</v>
      </c>
      <c r="I97" s="8" t="str">
        <f>IFERROR(__xludf.DUMMYFUNCTION("""COMPUTED_VALUE"""),"General")</f>
        <v>General</v>
      </c>
      <c r="J97" s="8" t="str">
        <f>IFERROR(__xludf.DUMMYFUNCTION("""COMPUTED_VALUE"""),"Tops")</f>
        <v>Tops</v>
      </c>
      <c r="K97" s="8" t="str">
        <f>IFERROR(__xludf.DUMMYFUNCTION("""COMPUTED_VALUE"""),"Knits")</f>
        <v>Knits</v>
      </c>
      <c r="L97" s="8" t="str">
        <f t="shared" si="1"/>
        <v>----</v>
      </c>
    </row>
    <row r="98">
      <c r="A98" s="8">
        <f>IFERROR(__xludf.DUMMYFUNCTION("""COMPUTED_VALUE"""),598.0)</f>
        <v>598</v>
      </c>
      <c r="B98" s="8">
        <f>IFERROR(__xludf.DUMMYFUNCTION("""COMPUTED_VALUE"""),1079.0)</f>
        <v>1079</v>
      </c>
      <c r="C98" s="8">
        <f>IFERROR(__xludf.DUMMYFUNCTION("""COMPUTED_VALUE"""),32.0)</f>
        <v>32</v>
      </c>
      <c r="D98" s="8"/>
      <c r="E98" s="15" t="str">
        <f>IFERROR(__xludf.DUMMYFUNCTION("""COMPUTED_VALUE"""),"My store had this and i was so intrigued with its nearly $400 price tag that i decided to play dress up. the colors in person match the colors online, so that was nice to see consistency. overall though, i feel like a dress of that price would need to mak"&amp;"e me feel like a million bucks, which it did not. most items that fit my slender frame are too short, and this was no exception. the xs fit but i wouldn't be doing much moving, walking or dancing in this dress, which brings me to the question of")</f>
        <v>My store had this and i was so intrigued with its nearly $400 price tag that i decided to play dress up. the colors in person match the colors online, so that was nice to see consistency. overall though, i feel like a dress of that price would need to make me feel like a million bucks, which it did not. most items that fit my slender frame are too short, and this was no exception. the xs fit but i wouldn't be doing much moving, walking or dancing in this dress, which brings me to the question of</v>
      </c>
      <c r="F98" s="8">
        <f>IFERROR(__xludf.DUMMYFUNCTION("""COMPUTED_VALUE"""),3.0)</f>
        <v>3</v>
      </c>
      <c r="G98" s="8">
        <f>IFERROR(__xludf.DUMMYFUNCTION("""COMPUTED_VALUE"""),0.0)</f>
        <v>0</v>
      </c>
      <c r="H98" s="8">
        <f>IFERROR(__xludf.DUMMYFUNCTION("""COMPUTED_VALUE"""),5.0)</f>
        <v>5</v>
      </c>
      <c r="I98" s="8" t="str">
        <f>IFERROR(__xludf.DUMMYFUNCTION("""COMPUTED_VALUE"""),"General")</f>
        <v>General</v>
      </c>
      <c r="J98" s="8" t="str">
        <f>IFERROR(__xludf.DUMMYFUNCTION("""COMPUTED_VALUE"""),"Dresses")</f>
        <v>Dresses</v>
      </c>
      <c r="K98" s="8" t="str">
        <f>IFERROR(__xludf.DUMMYFUNCTION("""COMPUTED_VALUE"""),"Dresses")</f>
        <v>Dresses</v>
      </c>
      <c r="L98" s="8" t="str">
        <f t="shared" si="1"/>
        <v>Size issue-Fabric issue--Price issue-</v>
      </c>
    </row>
    <row r="99">
      <c r="A99" s="8">
        <f>IFERROR(__xludf.DUMMYFUNCTION("""COMPUTED_VALUE"""),603.0)</f>
        <v>603</v>
      </c>
      <c r="B99" s="8">
        <f>IFERROR(__xludf.DUMMYFUNCTION("""COMPUTED_VALUE"""),1037.0)</f>
        <v>1037</v>
      </c>
      <c r="C99" s="8">
        <f>IFERROR(__xludf.DUMMYFUNCTION("""COMPUTED_VALUE"""),42.0)</f>
        <v>42</v>
      </c>
      <c r="D99" s="8" t="str">
        <f>IFERROR(__xludf.DUMMYFUNCTION("""COMPUTED_VALUE"""),"Wanted to love, but sadly will return.")</f>
        <v>Wanted to love, but sadly will return.</v>
      </c>
      <c r="E99" s="15" t="str">
        <f>IFERROR(__xludf.DUMMYFUNCTION("""COMPUTED_VALUE"""),"These run very small!! they are also short, almost like a crop pant. the fit was so weird that i won't even exchange for a bigger size.")</f>
        <v>These run very small!! they are also short, almost like a crop pant. the fit was so weird that i won't even exchange for a bigger size.</v>
      </c>
      <c r="F99" s="8">
        <f>IFERROR(__xludf.DUMMYFUNCTION("""COMPUTED_VALUE"""),1.0)</f>
        <v>1</v>
      </c>
      <c r="G99" s="8">
        <f>IFERROR(__xludf.DUMMYFUNCTION("""COMPUTED_VALUE"""),0.0)</f>
        <v>0</v>
      </c>
      <c r="H99" s="8">
        <f>IFERROR(__xludf.DUMMYFUNCTION("""COMPUTED_VALUE"""),1.0)</f>
        <v>1</v>
      </c>
      <c r="I99" s="8" t="str">
        <f>IFERROR(__xludf.DUMMYFUNCTION("""COMPUTED_VALUE"""),"General")</f>
        <v>General</v>
      </c>
      <c r="J99" s="8" t="str">
        <f>IFERROR(__xludf.DUMMYFUNCTION("""COMPUTED_VALUE"""),"Bottoms")</f>
        <v>Bottoms</v>
      </c>
      <c r="K99" s="8" t="str">
        <f>IFERROR(__xludf.DUMMYFUNCTION("""COMPUTED_VALUE"""),"Jeans")</f>
        <v>Jeans</v>
      </c>
      <c r="L99" s="8" t="str">
        <f t="shared" si="1"/>
        <v>Size issue----</v>
      </c>
    </row>
    <row r="100">
      <c r="A100" s="8">
        <f>IFERROR(__xludf.DUMMYFUNCTION("""COMPUTED_VALUE"""),609.0)</f>
        <v>609</v>
      </c>
      <c r="B100" s="8">
        <f>IFERROR(__xludf.DUMMYFUNCTION("""COMPUTED_VALUE"""),1094.0)</f>
        <v>1094</v>
      </c>
      <c r="C100" s="8">
        <f>IFERROR(__xludf.DUMMYFUNCTION("""COMPUTED_VALUE"""),53.0)</f>
        <v>53</v>
      </c>
      <c r="D100" s="8" t="str">
        <f>IFERROR(__xludf.DUMMYFUNCTION("""COMPUTED_VALUE"""),"Loved in theory")</f>
        <v>Loved in theory</v>
      </c>
      <c r="E100" s="15" t="str">
        <f>IFERROR(__xludf.DUMMYFUNCTION("""COMPUTED_VALUE"""),"I just tried on this dress in the store, in red, and i loved the off the shoulder design. the color is just as pictured online (a light poppy red). the neckline began a few inches below my collarbone and was super flattering. however, the skirt portion of"&amp;" this dress flared awkwardly at the hips, causing my hips to look much wider than they really are (and also disturbing the otherwise clean lines of the dress). it seemed to me that there was too much fabric at the back portion of the skirt than")</f>
        <v>I just tried on this dress in the store, in red, and i loved the off the shoulder design. the color is just as pictured online (a light poppy red). the neckline began a few inches below my collarbone and was super flattering. however, the skirt portion of this dress flared awkwardly at the hips, causing my hips to look much wider than they really are (and also disturbing the otherwise clean lines of the dress). it seemed to me that there was too much fabric at the back portion of the skirt than</v>
      </c>
      <c r="F100" s="8">
        <f>IFERROR(__xludf.DUMMYFUNCTION("""COMPUTED_VALUE"""),3.0)</f>
        <v>3</v>
      </c>
      <c r="G100" s="8">
        <f>IFERROR(__xludf.DUMMYFUNCTION("""COMPUTED_VALUE"""),0.0)</f>
        <v>0</v>
      </c>
      <c r="H100" s="8">
        <f>IFERROR(__xludf.DUMMYFUNCTION("""COMPUTED_VALUE"""),4.0)</f>
        <v>4</v>
      </c>
      <c r="I100" s="8" t="str">
        <f>IFERROR(__xludf.DUMMYFUNCTION("""COMPUTED_VALUE"""),"General")</f>
        <v>General</v>
      </c>
      <c r="J100" s="8" t="str">
        <f>IFERROR(__xludf.DUMMYFUNCTION("""COMPUTED_VALUE"""),"Dresses")</f>
        <v>Dresses</v>
      </c>
      <c r="K100" s="8" t="str">
        <f>IFERROR(__xludf.DUMMYFUNCTION("""COMPUTED_VALUE"""),"Dresses")</f>
        <v>Dresses</v>
      </c>
      <c r="L100" s="8" t="str">
        <f t="shared" si="1"/>
        <v>Size issue--Style issue--</v>
      </c>
    </row>
    <row r="101">
      <c r="A101" s="8">
        <f>IFERROR(__xludf.DUMMYFUNCTION("""COMPUTED_VALUE"""),610.0)</f>
        <v>610</v>
      </c>
      <c r="B101" s="8">
        <f>IFERROR(__xludf.DUMMYFUNCTION("""COMPUTED_VALUE"""),995.0)</f>
        <v>995</v>
      </c>
      <c r="C101" s="8">
        <f>IFERROR(__xludf.DUMMYFUNCTION("""COMPUTED_VALUE"""),34.0)</f>
        <v>34</v>
      </c>
      <c r="D101" s="8" t="str">
        <f>IFERROR(__xludf.DUMMYFUNCTION("""COMPUTED_VALUE"""),"No shape")</f>
        <v>No shape</v>
      </c>
      <c r="E101" s="15" t="str">
        <f>IFERROR(__xludf.DUMMYFUNCTION("""COMPUTED_VALUE"""),"It looks like you are wearing cargo shorts. really unflattering. avoid buying this skirt")</f>
        <v>It looks like you are wearing cargo shorts. really unflattering. avoid buying this skirt</v>
      </c>
      <c r="F101" s="8">
        <f>IFERROR(__xludf.DUMMYFUNCTION("""COMPUTED_VALUE"""),2.0)</f>
        <v>2</v>
      </c>
      <c r="G101" s="8">
        <f>IFERROR(__xludf.DUMMYFUNCTION("""COMPUTED_VALUE"""),0.0)</f>
        <v>0</v>
      </c>
      <c r="H101" s="8">
        <f>IFERROR(__xludf.DUMMYFUNCTION("""COMPUTED_VALUE"""),1.0)</f>
        <v>1</v>
      </c>
      <c r="I101" s="8" t="str">
        <f>IFERROR(__xludf.DUMMYFUNCTION("""COMPUTED_VALUE"""),"General")</f>
        <v>General</v>
      </c>
      <c r="J101" s="8" t="str">
        <f>IFERROR(__xludf.DUMMYFUNCTION("""COMPUTED_VALUE"""),"Bottoms")</f>
        <v>Bottoms</v>
      </c>
      <c r="K101" s="8" t="str">
        <f>IFERROR(__xludf.DUMMYFUNCTION("""COMPUTED_VALUE"""),"Skirts")</f>
        <v>Skirts</v>
      </c>
      <c r="L101" s="8" t="str">
        <f t="shared" si="1"/>
        <v>Size issue----</v>
      </c>
    </row>
    <row r="102">
      <c r="A102" s="8">
        <f>IFERROR(__xludf.DUMMYFUNCTION("""COMPUTED_VALUE"""),632.0)</f>
        <v>632</v>
      </c>
      <c r="B102" s="8">
        <f>IFERROR(__xludf.DUMMYFUNCTION("""COMPUTED_VALUE"""),838.0)</f>
        <v>838</v>
      </c>
      <c r="C102" s="8">
        <f>IFERROR(__xludf.DUMMYFUNCTION("""COMPUTED_VALUE"""),48.0)</f>
        <v>48</v>
      </c>
      <c r="D102" s="8" t="str">
        <f>IFERROR(__xludf.DUMMYFUNCTION("""COMPUTED_VALUE"""),"Boxy and short")</f>
        <v>Boxy and short</v>
      </c>
      <c r="E102" s="15" t="str">
        <f>IFERROR(__xludf.DUMMYFUNCTION("""COMPUTED_VALUE"""),"This top looked super cute online but when it came it was super short and boxy. looked like a tent on me. this one went back the same day it came!")</f>
        <v>This top looked super cute online but when it came it was super short and boxy. looked like a tent on me. this one went back the same day it came!</v>
      </c>
      <c r="F102" s="8">
        <f>IFERROR(__xludf.DUMMYFUNCTION("""COMPUTED_VALUE"""),1.0)</f>
        <v>1</v>
      </c>
      <c r="G102" s="8">
        <f>IFERROR(__xludf.DUMMYFUNCTION("""COMPUTED_VALUE"""),0.0)</f>
        <v>0</v>
      </c>
      <c r="H102" s="8">
        <f>IFERROR(__xludf.DUMMYFUNCTION("""COMPUTED_VALUE"""),3.0)</f>
        <v>3</v>
      </c>
      <c r="I102" s="8" t="str">
        <f>IFERROR(__xludf.DUMMYFUNCTION("""COMPUTED_VALUE"""),"General")</f>
        <v>General</v>
      </c>
      <c r="J102" s="8" t="str">
        <f>IFERROR(__xludf.DUMMYFUNCTION("""COMPUTED_VALUE"""),"Tops")</f>
        <v>Tops</v>
      </c>
      <c r="K102" s="8" t="str">
        <f>IFERROR(__xludf.DUMMYFUNCTION("""COMPUTED_VALUE"""),"Blouses")</f>
        <v>Blouses</v>
      </c>
      <c r="L102" s="8" t="str">
        <f t="shared" si="1"/>
        <v>Size issue----</v>
      </c>
    </row>
    <row r="103">
      <c r="A103" s="8">
        <f>IFERROR(__xludf.DUMMYFUNCTION("""COMPUTED_VALUE"""),634.0)</f>
        <v>634</v>
      </c>
      <c r="B103" s="8">
        <f>IFERROR(__xludf.DUMMYFUNCTION("""COMPUTED_VALUE"""),1059.0)</f>
        <v>1059</v>
      </c>
      <c r="C103" s="8">
        <f>IFERROR(__xludf.DUMMYFUNCTION("""COMPUTED_VALUE"""),42.0)</f>
        <v>42</v>
      </c>
      <c r="D103" s="8" t="str">
        <f>IFERROR(__xludf.DUMMYFUNCTION("""COMPUTED_VALUE"""),"Wanted to love these...but...meh...")</f>
        <v>Wanted to love these...but...meh...</v>
      </c>
      <c r="E103" s="15" t="str">
        <f>IFERROR(__xludf.DUMMYFUNCTION("""COMPUTED_VALUE"""),"Uncertain about sizing i got both the 4 &amp; the 6...both made me look like a no-asser :( neither fit quite right in the leg. both hit at a weird point in my calf, not cute-short, just off. (i'm 5'8"" and 125#) to quote my husband, ""nope. not feeling these."&amp;""" that said, they feel great on, seem to be made well, but are heading back to an retailer near you :( sigh. the quest continues :)")</f>
        <v>Uncertain about sizing i got both the 4 &amp; the 6...both made me look like a no-asser :( neither fit quite right in the leg. both hit at a weird point in my calf, not cute-short, just off. (i'm 5'8" and 125#) to quote my husband, "nope. not feeling these." that said, they feel great on, seem to be made well, but are heading back to an retailer near you :( sigh. the quest continues :)</v>
      </c>
      <c r="F103" s="8">
        <f>IFERROR(__xludf.DUMMYFUNCTION("""COMPUTED_VALUE"""),3.0)</f>
        <v>3</v>
      </c>
      <c r="G103" s="8">
        <f>IFERROR(__xludf.DUMMYFUNCTION("""COMPUTED_VALUE"""),0.0)</f>
        <v>0</v>
      </c>
      <c r="H103" s="8">
        <f>IFERROR(__xludf.DUMMYFUNCTION("""COMPUTED_VALUE"""),1.0)</f>
        <v>1</v>
      </c>
      <c r="I103" s="8" t="str">
        <f>IFERROR(__xludf.DUMMYFUNCTION("""COMPUTED_VALUE"""),"General")</f>
        <v>General</v>
      </c>
      <c r="J103" s="8" t="str">
        <f>IFERROR(__xludf.DUMMYFUNCTION("""COMPUTED_VALUE"""),"Bottoms")</f>
        <v>Bottoms</v>
      </c>
      <c r="K103" s="8" t="str">
        <f>IFERROR(__xludf.DUMMYFUNCTION("""COMPUTED_VALUE"""),"Pants")</f>
        <v>Pants</v>
      </c>
      <c r="L103" s="8" t="str">
        <f t="shared" si="1"/>
        <v>Size issue----</v>
      </c>
    </row>
    <row r="104">
      <c r="A104" s="8">
        <f>IFERROR(__xludf.DUMMYFUNCTION("""COMPUTED_VALUE"""),644.0)</f>
        <v>644</v>
      </c>
      <c r="B104" s="8">
        <f>IFERROR(__xludf.DUMMYFUNCTION("""COMPUTED_VALUE"""),1059.0)</f>
        <v>1059</v>
      </c>
      <c r="C104" s="8">
        <f>IFERROR(__xludf.DUMMYFUNCTION("""COMPUTED_VALUE"""),35.0)</f>
        <v>35</v>
      </c>
      <c r="D104" s="8"/>
      <c r="E104" s="15" t="str">
        <f>IFERROR(__xludf.DUMMYFUNCTION("""COMPUTED_VALUE"""),"I love the fit of these pants -- they're the perfect slim black pants. however, i wore these pants exactly three times before the seams split the middle of the pant in not just one, but multiple places. disappointed by the workmanship/quality of the produ"&amp;"ct, especially since the pants fit amazingly and don't sag like other slim fitting black pants tend to do. i hope retailer will take this into consideration and improve the quality of future iterations of this product.")</f>
        <v>I love the fit of these pants -- they're the perfect slim black pants. however, i wore these pants exactly three times before the seams split the middle of the pant in not just one, but multiple places. disappointed by the workmanship/quality of the product, especially since the pants fit amazingly and don't sag like other slim fitting black pants tend to do. i hope retailer will take this into consideration and improve the quality of future iterations of this product.</v>
      </c>
      <c r="F104" s="8">
        <f>IFERROR(__xludf.DUMMYFUNCTION("""COMPUTED_VALUE"""),2.0)</f>
        <v>2</v>
      </c>
      <c r="G104" s="8">
        <f>IFERROR(__xludf.DUMMYFUNCTION("""COMPUTED_VALUE"""),0.0)</f>
        <v>0</v>
      </c>
      <c r="H104" s="8">
        <f>IFERROR(__xludf.DUMMYFUNCTION("""COMPUTED_VALUE"""),8.0)</f>
        <v>8</v>
      </c>
      <c r="I104" s="8" t="str">
        <f>IFERROR(__xludf.DUMMYFUNCTION("""COMPUTED_VALUE"""),"General")</f>
        <v>General</v>
      </c>
      <c r="J104" s="8" t="str">
        <f>IFERROR(__xludf.DUMMYFUNCTION("""COMPUTED_VALUE"""),"Bottoms")</f>
        <v>Bottoms</v>
      </c>
      <c r="K104" s="8" t="str">
        <f>IFERROR(__xludf.DUMMYFUNCTION("""COMPUTED_VALUE"""),"Pants")</f>
        <v>Pants</v>
      </c>
      <c r="L104" s="8" t="str">
        <f t="shared" si="1"/>
        <v>Size issue----</v>
      </c>
    </row>
    <row r="105">
      <c r="A105" s="8">
        <f>IFERROR(__xludf.DUMMYFUNCTION("""COMPUTED_VALUE"""),646.0)</f>
        <v>646</v>
      </c>
      <c r="B105" s="8">
        <f>IFERROR(__xludf.DUMMYFUNCTION("""COMPUTED_VALUE"""),1059.0)</f>
        <v>1059</v>
      </c>
      <c r="C105" s="8">
        <f>IFERROR(__xludf.DUMMYFUNCTION("""COMPUTED_VALUE"""),37.0)</f>
        <v>37</v>
      </c>
      <c r="D105" s="8" t="str">
        <f>IFERROR(__xludf.DUMMYFUNCTION("""COMPUTED_VALUE"""),"What a waste")</f>
        <v>What a waste</v>
      </c>
      <c r="E105" s="15" t="str">
        <f>IFERROR(__xludf.DUMMYFUNCTION("""COMPUTED_VALUE"""),"I waited three months for these pants. when they finally arrived, i was mostly pleased. they seemed like the staple pant everyone is raving about. and they should have been.
problem one: they bag out. i got one wear out of them before i needed to wash and"&amp;" hang to dry (regained shape then).
problem two: the crotch split! in the front! i'm a teacher. i sincerely hope no one noticed! i read other reviews about this problem and don't know if i got a bad batch or if a similar fate is awaiting other")</f>
        <v>I waited three months for these pants. when they finally arrived, i was mostly pleased. they seemed like the staple pant everyone is raving about. and they should have been.
problem one: they bag out. i got one wear out of them before i needed to wash and hang to dry (regained shape then).
problem two: the crotch split! in the front! i'm a teacher. i sincerely hope no one noticed! i read other reviews about this problem and don't know if i got a bad batch or if a similar fate is awaiting other</v>
      </c>
      <c r="F105" s="8">
        <f>IFERROR(__xludf.DUMMYFUNCTION("""COMPUTED_VALUE"""),1.0)</f>
        <v>1</v>
      </c>
      <c r="G105" s="8">
        <f>IFERROR(__xludf.DUMMYFUNCTION("""COMPUTED_VALUE"""),0.0)</f>
        <v>0</v>
      </c>
      <c r="H105" s="8">
        <f>IFERROR(__xludf.DUMMYFUNCTION("""COMPUTED_VALUE"""),0.0)</f>
        <v>0</v>
      </c>
      <c r="I105" s="8" t="str">
        <f>IFERROR(__xludf.DUMMYFUNCTION("""COMPUTED_VALUE"""),"General")</f>
        <v>General</v>
      </c>
      <c r="J105" s="8" t="str">
        <f>IFERROR(__xludf.DUMMYFUNCTION("""COMPUTED_VALUE"""),"Bottoms")</f>
        <v>Bottoms</v>
      </c>
      <c r="K105" s="8" t="str">
        <f>IFERROR(__xludf.DUMMYFUNCTION("""COMPUTED_VALUE"""),"Pants")</f>
        <v>Pants</v>
      </c>
      <c r="L105" s="8" t="str">
        <f t="shared" si="1"/>
        <v>----</v>
      </c>
    </row>
    <row r="106">
      <c r="A106" s="8">
        <f>IFERROR(__xludf.DUMMYFUNCTION("""COMPUTED_VALUE"""),653.0)</f>
        <v>653</v>
      </c>
      <c r="B106" s="8">
        <f>IFERROR(__xludf.DUMMYFUNCTION("""COMPUTED_VALUE"""),1059.0)</f>
        <v>1059</v>
      </c>
      <c r="C106" s="8">
        <f>IFERROR(__xludf.DUMMYFUNCTION("""COMPUTED_VALUE"""),38.0)</f>
        <v>38</v>
      </c>
      <c r="D106" s="8" t="str">
        <f>IFERROR(__xludf.DUMMYFUNCTION("""COMPUTED_VALUE"""),"Not what i had hoped for...")</f>
        <v>Not what i had hoped for...</v>
      </c>
      <c r="E106" s="15" t="str">
        <f>IFERROR(__xludf.DUMMYFUNCTION("""COMPUTED_VALUE"""),"Like others, i finally received my size 6p black pants after months of waiting.  for starters, these pants run small, so i ordered a size up but still in petite, because i adored the red ones i got this past summer.  when the black pants arrived, they wer"&amp;"e a full three inches shorter than the red ones (which were also 6p), and the fabric did not feel anywhere close to the same quality.  i'm debating ordering the regular length, but i'm not sure i'll bother, based on some of the other reviews.")</f>
        <v>Like others, i finally received my size 6p black pants after months of waiting.  for starters, these pants run small, so i ordered a size up but still in petite, because i adored the red ones i got this past summer.  when the black pants arrived, they were a full three inches shorter than the red ones (which were also 6p), and the fabric did not feel anywhere close to the same quality.  i'm debating ordering the regular length, but i'm not sure i'll bother, based on some of the other reviews.</v>
      </c>
      <c r="F106" s="8">
        <f>IFERROR(__xludf.DUMMYFUNCTION("""COMPUTED_VALUE"""),2.0)</f>
        <v>2</v>
      </c>
      <c r="G106" s="8">
        <f>IFERROR(__xludf.DUMMYFUNCTION("""COMPUTED_VALUE"""),0.0)</f>
        <v>0</v>
      </c>
      <c r="H106" s="8">
        <f>IFERROR(__xludf.DUMMYFUNCTION("""COMPUTED_VALUE"""),0.0)</f>
        <v>0</v>
      </c>
      <c r="I106" s="8" t="str">
        <f>IFERROR(__xludf.DUMMYFUNCTION("""COMPUTED_VALUE"""),"General")</f>
        <v>General</v>
      </c>
      <c r="J106" s="8" t="str">
        <f>IFERROR(__xludf.DUMMYFUNCTION("""COMPUTED_VALUE"""),"Bottoms")</f>
        <v>Bottoms</v>
      </c>
      <c r="K106" s="8" t="str">
        <f>IFERROR(__xludf.DUMMYFUNCTION("""COMPUTED_VALUE"""),"Pants")</f>
        <v>Pants</v>
      </c>
      <c r="L106" s="8" t="str">
        <f t="shared" si="1"/>
        <v>Size issue-Fabric issue---</v>
      </c>
    </row>
    <row r="107">
      <c r="A107" s="8">
        <f>IFERROR(__xludf.DUMMYFUNCTION("""COMPUTED_VALUE"""),657.0)</f>
        <v>657</v>
      </c>
      <c r="B107" s="8">
        <f>IFERROR(__xludf.DUMMYFUNCTION("""COMPUTED_VALUE"""),634.0)</f>
        <v>634</v>
      </c>
      <c r="C107" s="8">
        <f>IFERROR(__xludf.DUMMYFUNCTION("""COMPUTED_VALUE"""),65.0)</f>
        <v>65</v>
      </c>
      <c r="D107" s="8" t="str">
        <f>IFERROR(__xludf.DUMMYFUNCTION("""COMPUTED_VALUE"""),"Loungewear, not outdoor wear")</f>
        <v>Loungewear, not outdoor wear</v>
      </c>
      <c r="E107" s="15" t="str">
        <f>IFERROR(__xludf.DUMMYFUNCTION("""COMPUTED_VALUE"""),"So i recognized the fact that this dress was likely intended more for lounging than for wearing out and about, but i once had a lot of luck with dresses of this price point (and intent) at retailer, so i had hopes. i was just wanting it to be a great addi"&amp;"tion for vacations and beach days, but it's honestly so thin i couldn't even see it working that well for that. it's also cut smaller than i was anticipating judging by the way it fits the model; my usual small was way more bodycon than i was anti")</f>
        <v>So i recognized the fact that this dress was likely intended more for lounging than for wearing out and about, but i once had a lot of luck with dresses of this price point (and intent) at retailer, so i had hopes. i was just wanting it to be a great addition for vacations and beach days, but it's honestly so thin i couldn't even see it working that well for that. it's also cut smaller than i was anticipating judging by the way it fits the model; my usual small was way more bodycon than i was anti</v>
      </c>
      <c r="F107" s="8">
        <f>IFERROR(__xludf.DUMMYFUNCTION("""COMPUTED_VALUE"""),2.0)</f>
        <v>2</v>
      </c>
      <c r="G107" s="8">
        <f>IFERROR(__xludf.DUMMYFUNCTION("""COMPUTED_VALUE"""),0.0)</f>
        <v>0</v>
      </c>
      <c r="H107" s="8">
        <f>IFERROR(__xludf.DUMMYFUNCTION("""COMPUTED_VALUE"""),55.0)</f>
        <v>55</v>
      </c>
      <c r="I107" s="8" t="str">
        <f>IFERROR(__xludf.DUMMYFUNCTION("""COMPUTED_VALUE"""),"General Petite")</f>
        <v>General Petite</v>
      </c>
      <c r="J107" s="8" t="str">
        <f>IFERROR(__xludf.DUMMYFUNCTION("""COMPUTED_VALUE"""),"Intimate")</f>
        <v>Intimate</v>
      </c>
      <c r="K107" s="8" t="str">
        <f>IFERROR(__xludf.DUMMYFUNCTION("""COMPUTED_VALUE"""),"Lounge")</f>
        <v>Lounge</v>
      </c>
      <c r="L107" s="8" t="str">
        <f t="shared" si="1"/>
        <v>Size issue----Matching Awareness issue</v>
      </c>
    </row>
    <row r="108">
      <c r="A108" s="8">
        <f>IFERROR(__xludf.DUMMYFUNCTION("""COMPUTED_VALUE"""),669.0)</f>
        <v>669</v>
      </c>
      <c r="B108" s="8">
        <f>IFERROR(__xludf.DUMMYFUNCTION("""COMPUTED_VALUE"""),838.0)</f>
        <v>838</v>
      </c>
      <c r="C108" s="8">
        <f>IFERROR(__xludf.DUMMYFUNCTION("""COMPUTED_VALUE"""),29.0)</f>
        <v>29</v>
      </c>
      <c r="D108" s="8" t="str">
        <f>IFERROR(__xludf.DUMMYFUNCTION("""COMPUTED_VALUE"""),"Weird fit")</f>
        <v>Weird fit</v>
      </c>
      <c r="E108" s="15" t="str">
        <f>IFERROR(__xludf.DUMMYFUNCTION("""COMPUTED_VALUE"""),"I tried this on in the store and was disappointed because it looked so fresh and vibrant on the hanger. but it's basically cut for model-sized people only. it's short and wide, and if you have any boobs at all it'll make the back pucker. i can't imagine t"&amp;"his will look good on most women.")</f>
        <v>I tried this on in the store and was disappointed because it looked so fresh and vibrant on the hanger. but it's basically cut for model-sized people only. it's short and wide, and if you have any boobs at all it'll make the back pucker. i can't imagine this will look good on most women.</v>
      </c>
      <c r="F108" s="8">
        <f>IFERROR(__xludf.DUMMYFUNCTION("""COMPUTED_VALUE"""),2.0)</f>
        <v>2</v>
      </c>
      <c r="G108" s="8">
        <f>IFERROR(__xludf.DUMMYFUNCTION("""COMPUTED_VALUE"""),0.0)</f>
        <v>0</v>
      </c>
      <c r="H108" s="8">
        <f>IFERROR(__xludf.DUMMYFUNCTION("""COMPUTED_VALUE"""),7.0)</f>
        <v>7</v>
      </c>
      <c r="I108" s="8" t="str">
        <f>IFERROR(__xludf.DUMMYFUNCTION("""COMPUTED_VALUE"""),"General")</f>
        <v>General</v>
      </c>
      <c r="J108" s="8" t="str">
        <f>IFERROR(__xludf.DUMMYFUNCTION("""COMPUTED_VALUE"""),"Tops")</f>
        <v>Tops</v>
      </c>
      <c r="K108" s="8" t="str">
        <f>IFERROR(__xludf.DUMMYFUNCTION("""COMPUTED_VALUE"""),"Blouses")</f>
        <v>Blouses</v>
      </c>
      <c r="L108" s="8" t="str">
        <f t="shared" si="1"/>
        <v>Size issue----Matching Awareness issue</v>
      </c>
    </row>
    <row r="109">
      <c r="A109" s="8">
        <f>IFERROR(__xludf.DUMMYFUNCTION("""COMPUTED_VALUE"""),670.0)</f>
        <v>670</v>
      </c>
      <c r="B109" s="8">
        <f>IFERROR(__xludf.DUMMYFUNCTION("""COMPUTED_VALUE"""),1008.0)</f>
        <v>1008</v>
      </c>
      <c r="C109" s="8">
        <f>IFERROR(__xludf.DUMMYFUNCTION("""COMPUTED_VALUE"""),29.0)</f>
        <v>29</v>
      </c>
      <c r="D109" s="8" t="str">
        <f>IFERROR(__xludf.DUMMYFUNCTION("""COMPUTED_VALUE"""),"Cute but didn't work for me :(")</f>
        <v>Cute but didn't work for me :(</v>
      </c>
      <c r="E109" s="15" t="str">
        <f>IFERROR(__xludf.DUMMYFUNCTION("""COMPUTED_VALUE"""),"I really wanted this skirt to work but it didn't look very flattering on me. a great midi length and very cool pattern, so hopefully will work for others!")</f>
        <v>I really wanted this skirt to work but it didn't look very flattering on me. a great midi length and very cool pattern, so hopefully will work for others!</v>
      </c>
      <c r="F109" s="8">
        <f>IFERROR(__xludf.DUMMYFUNCTION("""COMPUTED_VALUE"""),3.0)</f>
        <v>3</v>
      </c>
      <c r="G109" s="8">
        <f>IFERROR(__xludf.DUMMYFUNCTION("""COMPUTED_VALUE"""),0.0)</f>
        <v>0</v>
      </c>
      <c r="H109" s="8">
        <f>IFERROR(__xludf.DUMMYFUNCTION("""COMPUTED_VALUE"""),0.0)</f>
        <v>0</v>
      </c>
      <c r="I109" s="8" t="str">
        <f>IFERROR(__xludf.DUMMYFUNCTION("""COMPUTED_VALUE"""),"General")</f>
        <v>General</v>
      </c>
      <c r="J109" s="8" t="str">
        <f>IFERROR(__xludf.DUMMYFUNCTION("""COMPUTED_VALUE"""),"Bottoms")</f>
        <v>Bottoms</v>
      </c>
      <c r="K109" s="8" t="str">
        <f>IFERROR(__xludf.DUMMYFUNCTION("""COMPUTED_VALUE"""),"Skirts")</f>
        <v>Skirts</v>
      </c>
      <c r="L109" s="8" t="str">
        <f t="shared" si="1"/>
        <v>----</v>
      </c>
    </row>
    <row r="110">
      <c r="A110" s="8">
        <f>IFERROR(__xludf.DUMMYFUNCTION("""COMPUTED_VALUE"""),675.0)</f>
        <v>675</v>
      </c>
      <c r="B110" s="8">
        <f>IFERROR(__xludf.DUMMYFUNCTION("""COMPUTED_VALUE"""),1059.0)</f>
        <v>1059</v>
      </c>
      <c r="C110" s="8">
        <f>IFERROR(__xludf.DUMMYFUNCTION("""COMPUTED_VALUE"""),34.0)</f>
        <v>34</v>
      </c>
      <c r="D110" s="8" t="str">
        <f>IFERROR(__xludf.DUMMYFUNCTION("""COMPUTED_VALUE"""),"Stretches out")</f>
        <v>Stretches out</v>
      </c>
      <c r="E110" s="15" t="str">
        <f>IFERROR(__xludf.DUMMYFUNCTION("""COMPUTED_VALUE"""),"I am normally between a size 0 and 2, so i ordered these pants in both sizes to make sure i would have a nice pair of black crops to wear to work. the 0 seemed pretty tight all around, so i returned the 0 and kept the 2 even though there was a little bit "&amp;"of room in the waist. of course the size 2 after a few hours of wearing had completely stretched out, was bagging in the crotch area, sliding around on my waist and creasing badly behind the knees. i doubt i will wear these pants more than the o")</f>
        <v>I am normally between a size 0 and 2, so i ordered these pants in both sizes to make sure i would have a nice pair of black crops to wear to work. the 0 seemed pretty tight all around, so i returned the 0 and kept the 2 even though there was a little bit of room in the waist. of course the size 2 after a few hours of wearing had completely stretched out, was bagging in the crotch area, sliding around on my waist and creasing badly behind the knees. i doubt i will wear these pants more than the o</v>
      </c>
      <c r="F110" s="8">
        <f>IFERROR(__xludf.DUMMYFUNCTION("""COMPUTED_VALUE"""),2.0)</f>
        <v>2</v>
      </c>
      <c r="G110" s="8">
        <f>IFERROR(__xludf.DUMMYFUNCTION("""COMPUTED_VALUE"""),0.0)</f>
        <v>0</v>
      </c>
      <c r="H110" s="8">
        <f>IFERROR(__xludf.DUMMYFUNCTION("""COMPUTED_VALUE"""),17.0)</f>
        <v>17</v>
      </c>
      <c r="I110" s="8" t="str">
        <f>IFERROR(__xludf.DUMMYFUNCTION("""COMPUTED_VALUE"""),"General")</f>
        <v>General</v>
      </c>
      <c r="J110" s="8" t="str">
        <f>IFERROR(__xludf.DUMMYFUNCTION("""COMPUTED_VALUE"""),"Bottoms")</f>
        <v>Bottoms</v>
      </c>
      <c r="K110" s="8" t="str">
        <f>IFERROR(__xludf.DUMMYFUNCTION("""COMPUTED_VALUE"""),"Pants")</f>
        <v>Pants</v>
      </c>
      <c r="L110" s="8" t="str">
        <f t="shared" si="1"/>
        <v>Size issue----</v>
      </c>
    </row>
    <row r="111">
      <c r="A111" s="8">
        <f>IFERROR(__xludf.DUMMYFUNCTION("""COMPUTED_VALUE"""),676.0)</f>
        <v>676</v>
      </c>
      <c r="B111" s="8">
        <f>IFERROR(__xludf.DUMMYFUNCTION("""COMPUTED_VALUE"""),1059.0)</f>
        <v>1059</v>
      </c>
      <c r="C111" s="8">
        <f>IFERROR(__xludf.DUMMYFUNCTION("""COMPUTED_VALUE"""),60.0)</f>
        <v>60</v>
      </c>
      <c r="D111" s="8" t="str">
        <f>IFERROR(__xludf.DUMMYFUNCTION("""COMPUTED_VALUE"""),"Great material, awkward length")</f>
        <v>Great material, awkward length</v>
      </c>
      <c r="E111" s="15" t="str">
        <f>IFERROR(__xludf.DUMMYFUNCTION("""COMPUTED_VALUE"""),"The material and construction of the pants are great, but the length is just plain awkward. i'm 5'4"" and the regular came to just above my ankles, and looked as though they had shrunk in the wash in a really bad way. a couple of inches longer and they wo"&amp;"uld've been fine, or i could've gotten them in petite and worn them as true ankle-length pants, but the regular just didn't do it for me. also i'm usually a size 6 (5'4"", 125lbs) and these were a little baggy around the waist and hips.")</f>
        <v>The material and construction of the pants are great, but the length is just plain awkward. i'm 5'4" and the regular came to just above my ankles, and looked as though they had shrunk in the wash in a really bad way. a couple of inches longer and they would've been fine, or i could've gotten them in petite and worn them as true ankle-length pants, but the regular just didn't do it for me. also i'm usually a size 6 (5'4", 125lbs) and these were a little baggy around the waist and hips.</v>
      </c>
      <c r="F111" s="8">
        <f>IFERROR(__xludf.DUMMYFUNCTION("""COMPUTED_VALUE"""),3.0)</f>
        <v>3</v>
      </c>
      <c r="G111" s="8">
        <f>IFERROR(__xludf.DUMMYFUNCTION("""COMPUTED_VALUE"""),0.0)</f>
        <v>0</v>
      </c>
      <c r="H111" s="8">
        <f>IFERROR(__xludf.DUMMYFUNCTION("""COMPUTED_VALUE"""),0.0)</f>
        <v>0</v>
      </c>
      <c r="I111" s="8" t="str">
        <f>IFERROR(__xludf.DUMMYFUNCTION("""COMPUTED_VALUE"""),"General")</f>
        <v>General</v>
      </c>
      <c r="J111" s="8" t="str">
        <f>IFERROR(__xludf.DUMMYFUNCTION("""COMPUTED_VALUE"""),"Bottoms")</f>
        <v>Bottoms</v>
      </c>
      <c r="K111" s="8" t="str">
        <f>IFERROR(__xludf.DUMMYFUNCTION("""COMPUTED_VALUE"""),"Pants")</f>
        <v>Pants</v>
      </c>
      <c r="L111" s="8" t="str">
        <f t="shared" si="1"/>
        <v>Size issue-Fabric issue---</v>
      </c>
    </row>
    <row r="112">
      <c r="A112" s="8">
        <f>IFERROR(__xludf.DUMMYFUNCTION("""COMPUTED_VALUE"""),687.0)</f>
        <v>687</v>
      </c>
      <c r="B112" s="8">
        <f>IFERROR(__xludf.DUMMYFUNCTION("""COMPUTED_VALUE"""),937.0)</f>
        <v>937</v>
      </c>
      <c r="C112" s="8">
        <f>IFERROR(__xludf.DUMMYFUNCTION("""COMPUTED_VALUE"""),36.0)</f>
        <v>36</v>
      </c>
      <c r="D112" s="8" t="str">
        <f>IFERROR(__xludf.DUMMYFUNCTION("""COMPUTED_VALUE"""),"Itchy")</f>
        <v>Itchy</v>
      </c>
      <c r="E112" s="15" t="str">
        <f>IFERROR(__xludf.DUMMYFUNCTION("""COMPUTED_VALUE"""),"This cardigan is very cute in the picture and i really wanted to love it but it just didn't seem worth the price. the material is kind of itchy to me and i wasn't a huge fan of the wide edges in the front. the colour is very nice and feminine.")</f>
        <v>This cardigan is very cute in the picture and i really wanted to love it but it just didn't seem worth the price. the material is kind of itchy to me and i wasn't a huge fan of the wide edges in the front. the colour is very nice and feminine.</v>
      </c>
      <c r="F112" s="8">
        <f>IFERROR(__xludf.DUMMYFUNCTION("""COMPUTED_VALUE"""),3.0)</f>
        <v>3</v>
      </c>
      <c r="G112" s="8">
        <f>IFERROR(__xludf.DUMMYFUNCTION("""COMPUTED_VALUE"""),0.0)</f>
        <v>0</v>
      </c>
      <c r="H112" s="8">
        <f>IFERROR(__xludf.DUMMYFUNCTION("""COMPUTED_VALUE"""),1.0)</f>
        <v>1</v>
      </c>
      <c r="I112" s="8" t="str">
        <f>IFERROR(__xludf.DUMMYFUNCTION("""COMPUTED_VALUE"""),"General")</f>
        <v>General</v>
      </c>
      <c r="J112" s="8" t="str">
        <f>IFERROR(__xludf.DUMMYFUNCTION("""COMPUTED_VALUE"""),"Tops")</f>
        <v>Tops</v>
      </c>
      <c r="K112" s="8" t="str">
        <f>IFERROR(__xludf.DUMMYFUNCTION("""COMPUTED_VALUE"""),"Sweaters")</f>
        <v>Sweaters</v>
      </c>
      <c r="L112" s="8" t="str">
        <f t="shared" si="1"/>
        <v>Size issue-Fabric issue---</v>
      </c>
    </row>
    <row r="113">
      <c r="A113" s="8">
        <f>IFERROR(__xludf.DUMMYFUNCTION("""COMPUTED_VALUE"""),692.0)</f>
        <v>692</v>
      </c>
      <c r="B113" s="8">
        <f>IFERROR(__xludf.DUMMYFUNCTION("""COMPUTED_VALUE"""),1110.0)</f>
        <v>1110</v>
      </c>
      <c r="C113" s="8">
        <f>IFERROR(__xludf.DUMMYFUNCTION("""COMPUTED_VALUE"""),23.0)</f>
        <v>23</v>
      </c>
      <c r="D113" s="8" t="str">
        <f>IFERROR(__xludf.DUMMYFUNCTION("""COMPUTED_VALUE"""),"The worst")</f>
        <v>The worst</v>
      </c>
      <c r="E113" s="15" t="str">
        <f>IFERROR(__xludf.DUMMYFUNCTION("""COMPUTED_VALUE"""),"I don't typically write bad reviews, but this dress is so bad and i want to save someone else from buying it. i read the mostly bad reviews and still purchased anyway (my fault i know). the dress is super stiff ( i know denim can be that way and it is pos"&amp;"sible it would soften up after a few washes). i'm typically a 6/8 and the size small swallowed me, and the xs was big everywhere except through the bust (i ordered both sizes to try). i wouldn't recommend buying this if you are a size 8 or small")</f>
        <v>I don't typically write bad reviews, but this dress is so bad and i want to save someone else from buying it. i read the mostly bad reviews and still purchased anyway (my fault i know). the dress is super stiff ( i know denim can be that way and it is possible it would soften up after a few washes). i'm typically a 6/8 and the size small swallowed me, and the xs was big everywhere except through the bust (i ordered both sizes to try). i wouldn't recommend buying this if you are a size 8 or small</v>
      </c>
      <c r="F113" s="8">
        <f>IFERROR(__xludf.DUMMYFUNCTION("""COMPUTED_VALUE"""),1.0)</f>
        <v>1</v>
      </c>
      <c r="G113" s="8">
        <f>IFERROR(__xludf.DUMMYFUNCTION("""COMPUTED_VALUE"""),0.0)</f>
        <v>0</v>
      </c>
      <c r="H113" s="8">
        <f>IFERROR(__xludf.DUMMYFUNCTION("""COMPUTED_VALUE"""),2.0)</f>
        <v>2</v>
      </c>
      <c r="I113" s="8" t="str">
        <f>IFERROR(__xludf.DUMMYFUNCTION("""COMPUTED_VALUE"""),"General Petite")</f>
        <v>General Petite</v>
      </c>
      <c r="J113" s="8" t="str">
        <f>IFERROR(__xludf.DUMMYFUNCTION("""COMPUTED_VALUE"""),"Dresses")</f>
        <v>Dresses</v>
      </c>
      <c r="K113" s="8" t="str">
        <f>IFERROR(__xludf.DUMMYFUNCTION("""COMPUTED_VALUE"""),"Dresses")</f>
        <v>Dresses</v>
      </c>
      <c r="L113" s="8" t="str">
        <f t="shared" si="1"/>
        <v>Size issue----</v>
      </c>
    </row>
    <row r="114">
      <c r="A114" s="8">
        <f>IFERROR(__xludf.DUMMYFUNCTION("""COMPUTED_VALUE"""),695.0)</f>
        <v>695</v>
      </c>
      <c r="B114" s="8">
        <f>IFERROR(__xludf.DUMMYFUNCTION("""COMPUTED_VALUE"""),873.0)</f>
        <v>873</v>
      </c>
      <c r="C114" s="8">
        <f>IFERROR(__xludf.DUMMYFUNCTION("""COMPUTED_VALUE"""),38.0)</f>
        <v>38</v>
      </c>
      <c r="D114" s="8" t="str">
        <f>IFERROR(__xludf.DUMMYFUNCTION("""COMPUTED_VALUE"""),"Started out perfect")</f>
        <v>Started out perfect</v>
      </c>
      <c r="E114" s="15" t="str">
        <f>IFERROR(__xludf.DUMMYFUNCTION("""COMPUTED_VALUE"""),"Loved the style, ordered my normal m- fit tts though i thought i would potentially taper the sides to make less boxy (with a larger bust and shoulders, boxiness is unflattering). the slight boxiness looked perfect with stretchy, fitted business slacks. mi"&amp;"dday, i held my ipad up to my chest and the velcro from the cover pulled an entire lychnis delicate threads. not just snagged- i had to gently separate the threads from velcro grip. needless to say, it pulled the threads out by at least 1/2 an i")</f>
        <v>Loved the style, ordered my normal m- fit tts though i thought i would potentially taper the sides to make less boxy (with a larger bust and shoulders, boxiness is unflattering). the slight boxiness looked perfect with stretchy, fitted business slacks. midday, i held my ipad up to my chest and the velcro from the cover pulled an entire lychnis delicate threads. not just snagged- i had to gently separate the threads from velcro grip. needless to say, it pulled the threads out by at least 1/2 an i</v>
      </c>
      <c r="F114" s="8">
        <f>IFERROR(__xludf.DUMMYFUNCTION("""COMPUTED_VALUE"""),3.0)</f>
        <v>3</v>
      </c>
      <c r="G114" s="8">
        <f>IFERROR(__xludf.DUMMYFUNCTION("""COMPUTED_VALUE"""),0.0)</f>
        <v>0</v>
      </c>
      <c r="H114" s="8">
        <f>IFERROR(__xludf.DUMMYFUNCTION("""COMPUTED_VALUE"""),1.0)</f>
        <v>1</v>
      </c>
      <c r="I114" s="8" t="str">
        <f>IFERROR(__xludf.DUMMYFUNCTION("""COMPUTED_VALUE"""),"General")</f>
        <v>General</v>
      </c>
      <c r="J114" s="8" t="str">
        <f>IFERROR(__xludf.DUMMYFUNCTION("""COMPUTED_VALUE"""),"Tops")</f>
        <v>Tops</v>
      </c>
      <c r="K114" s="8" t="str">
        <f>IFERROR(__xludf.DUMMYFUNCTION("""COMPUTED_VALUE"""),"Knits")</f>
        <v>Knits</v>
      </c>
      <c r="L114" s="8" t="str">
        <f t="shared" si="1"/>
        <v>Size issue----</v>
      </c>
    </row>
    <row r="115">
      <c r="A115" s="8">
        <f>IFERROR(__xludf.DUMMYFUNCTION("""COMPUTED_VALUE"""),699.0)</f>
        <v>699</v>
      </c>
      <c r="B115" s="8">
        <f>IFERROR(__xludf.DUMMYFUNCTION("""COMPUTED_VALUE"""),1110.0)</f>
        <v>1110</v>
      </c>
      <c r="C115" s="8">
        <f>IFERROR(__xludf.DUMMYFUNCTION("""COMPUTED_VALUE"""),35.0)</f>
        <v>35</v>
      </c>
      <c r="D115" s="8" t="str">
        <f>IFERROR(__xludf.DUMMYFUNCTION("""COMPUTED_VALUE"""),"Runs very small")</f>
        <v>Runs very small</v>
      </c>
      <c r="E115" s="15" t="str">
        <f>IFERROR(__xludf.DUMMYFUNCTION("""COMPUTED_VALUE"""),"Don't buy this dress unless you are normally a medium or larger. order it one or two sizes smaller than your normal size. i ordered an xs and it's more like a medium or large.")</f>
        <v>Don't buy this dress unless you are normally a medium or larger. order it one or two sizes smaller than your normal size. i ordered an xs and it's more like a medium or large.</v>
      </c>
      <c r="F115" s="8">
        <f>IFERROR(__xludf.DUMMYFUNCTION("""COMPUTED_VALUE"""),2.0)</f>
        <v>2</v>
      </c>
      <c r="G115" s="8">
        <f>IFERROR(__xludf.DUMMYFUNCTION("""COMPUTED_VALUE"""),0.0)</f>
        <v>0</v>
      </c>
      <c r="H115" s="8">
        <f>IFERROR(__xludf.DUMMYFUNCTION("""COMPUTED_VALUE"""),11.0)</f>
        <v>11</v>
      </c>
      <c r="I115" s="8" t="str">
        <f>IFERROR(__xludf.DUMMYFUNCTION("""COMPUTED_VALUE"""),"General")</f>
        <v>General</v>
      </c>
      <c r="J115" s="8" t="str">
        <f>IFERROR(__xludf.DUMMYFUNCTION("""COMPUTED_VALUE"""),"Dresses")</f>
        <v>Dresses</v>
      </c>
      <c r="K115" s="8" t="str">
        <f>IFERROR(__xludf.DUMMYFUNCTION("""COMPUTED_VALUE"""),"Dresses")</f>
        <v>Dresses</v>
      </c>
      <c r="L115" s="8" t="str">
        <f t="shared" si="1"/>
        <v>Size issue----</v>
      </c>
    </row>
    <row r="116">
      <c r="A116" s="8">
        <f>IFERROR(__xludf.DUMMYFUNCTION("""COMPUTED_VALUE"""),704.0)</f>
        <v>704</v>
      </c>
      <c r="B116" s="8">
        <f>IFERROR(__xludf.DUMMYFUNCTION("""COMPUTED_VALUE"""),1165.0)</f>
        <v>1165</v>
      </c>
      <c r="C116" s="8">
        <f>IFERROR(__xludf.DUMMYFUNCTION("""COMPUTED_VALUE"""),31.0)</f>
        <v>31</v>
      </c>
      <c r="D116" s="8" t="str">
        <f>IFERROR(__xludf.DUMMYFUNCTION("""COMPUTED_VALUE"""),"Beautiful print, bad fit")</f>
        <v>Beautiful print, bad fit</v>
      </c>
      <c r="E116" s="15" t="str">
        <f>IFERROR(__xludf.DUMMYFUNCTION("""COMPUTED_VALUE"""),"The colors and print are absolutely beautiful and i'm quite heartbroken that this suit just doesn't fit. i don't have a long torso but the v was just so plunging that i wouldn't feel comfortable leaving the backyard lounge chair in this bathing suit. no m"&amp;"atter how much i tied the halter it still revealed a v halfway down to my naval. the strange thing is that there seemed to be too much fabric on top, lots of ruching and thicker straps than i would normally go for, and while i'm only around a b")</f>
        <v>The colors and print are absolutely beautiful and i'm quite heartbroken that this suit just doesn't fit. i don't have a long torso but the v was just so plunging that i wouldn't feel comfortable leaving the backyard lounge chair in this bathing suit. no matter how much i tied the halter it still revealed a v halfway down to my naval. the strange thing is that there seemed to be too much fabric on top, lots of ruching and thicker straps than i would normally go for, and while i'm only around a b</v>
      </c>
      <c r="F116" s="8">
        <f>IFERROR(__xludf.DUMMYFUNCTION("""COMPUTED_VALUE"""),3.0)</f>
        <v>3</v>
      </c>
      <c r="G116" s="8">
        <f>IFERROR(__xludf.DUMMYFUNCTION("""COMPUTED_VALUE"""),0.0)</f>
        <v>0</v>
      </c>
      <c r="H116" s="8">
        <f>IFERROR(__xludf.DUMMYFUNCTION("""COMPUTED_VALUE"""),0.0)</f>
        <v>0</v>
      </c>
      <c r="I116" s="8" t="str">
        <f>IFERROR(__xludf.DUMMYFUNCTION("""COMPUTED_VALUE"""),"Initmates")</f>
        <v>Initmates</v>
      </c>
      <c r="J116" s="8" t="str">
        <f>IFERROR(__xludf.DUMMYFUNCTION("""COMPUTED_VALUE"""),"Intimate")</f>
        <v>Intimate</v>
      </c>
      <c r="K116" s="8" t="str">
        <f>IFERROR(__xludf.DUMMYFUNCTION("""COMPUTED_VALUE"""),"Swim")</f>
        <v>Swim</v>
      </c>
      <c r="L116" s="8" t="str">
        <f t="shared" si="1"/>
        <v>Size issue----</v>
      </c>
    </row>
    <row r="117">
      <c r="A117" s="8">
        <f>IFERROR(__xludf.DUMMYFUNCTION("""COMPUTED_VALUE"""),706.0)</f>
        <v>706</v>
      </c>
      <c r="B117" s="8">
        <f>IFERROR(__xludf.DUMMYFUNCTION("""COMPUTED_VALUE"""),1110.0)</f>
        <v>1110</v>
      </c>
      <c r="C117" s="8">
        <f>IFERROR(__xludf.DUMMYFUNCTION("""COMPUTED_VALUE"""),45.0)</f>
        <v>45</v>
      </c>
      <c r="D117" s="8" t="str">
        <f>IFERROR(__xludf.DUMMYFUNCTION("""COMPUTED_VALUE"""),"Huge dress")</f>
        <v>Huge dress</v>
      </c>
      <c r="E117" s="15" t="str">
        <f>IFERROR(__xludf.DUMMYFUNCTION("""COMPUTED_VALUE"""),"The overall styling was great, and the dress is super-cute, if a little thick (it's made of denim, after all). i ordered a size down from my normal, and even then, i was swimming in it. the worst part, and the aspect that will make me return it, is that t"&amp;"he arm holes hang down so low that i'd have to wear a tank top under the dress. i'm returning it, though it is really cute and i love this brand. the arm holes killed it for me.")</f>
        <v>The overall styling was great, and the dress is super-cute, if a little thick (it's made of denim, after all). i ordered a size down from my normal, and even then, i was swimming in it. the worst part, and the aspect that will make me return it, is that the arm holes hang down so low that i'd have to wear a tank top under the dress. i'm returning it, though it is really cute and i love this brand. the arm holes killed it for me.</v>
      </c>
      <c r="F117" s="8">
        <f>IFERROR(__xludf.DUMMYFUNCTION("""COMPUTED_VALUE"""),2.0)</f>
        <v>2</v>
      </c>
      <c r="G117" s="8">
        <f>IFERROR(__xludf.DUMMYFUNCTION("""COMPUTED_VALUE"""),0.0)</f>
        <v>0</v>
      </c>
      <c r="H117" s="8">
        <f>IFERROR(__xludf.DUMMYFUNCTION("""COMPUTED_VALUE"""),27.0)</f>
        <v>27</v>
      </c>
      <c r="I117" s="8" t="str">
        <f>IFERROR(__xludf.DUMMYFUNCTION("""COMPUTED_VALUE"""),"General")</f>
        <v>General</v>
      </c>
      <c r="J117" s="8" t="str">
        <f>IFERROR(__xludf.DUMMYFUNCTION("""COMPUTED_VALUE"""),"Dresses")</f>
        <v>Dresses</v>
      </c>
      <c r="K117" s="8" t="str">
        <f>IFERROR(__xludf.DUMMYFUNCTION("""COMPUTED_VALUE"""),"Dresses")</f>
        <v>Dresses</v>
      </c>
      <c r="L117" s="8" t="str">
        <f t="shared" si="1"/>
        <v>Size issue-Fabric issue---</v>
      </c>
    </row>
    <row r="118">
      <c r="A118" s="8">
        <f>IFERROR(__xludf.DUMMYFUNCTION("""COMPUTED_VALUE"""),729.0)</f>
        <v>729</v>
      </c>
      <c r="B118" s="8">
        <f>IFERROR(__xludf.DUMMYFUNCTION("""COMPUTED_VALUE"""),1087.0)</f>
        <v>1087</v>
      </c>
      <c r="C118" s="8">
        <f>IFERROR(__xludf.DUMMYFUNCTION("""COMPUTED_VALUE"""),55.0)</f>
        <v>55</v>
      </c>
      <c r="D118" s="8" t="str">
        <f>IFERROR(__xludf.DUMMYFUNCTION("""COMPUTED_VALUE"""),"Surprisingly heavy")</f>
        <v>Surprisingly heavy</v>
      </c>
      <c r="E118" s="15" t="str">
        <f>IFERROR(__xludf.DUMMYFUNCTION("""COMPUTED_VALUE"""),"I wanted to love this dress. the colors are heavenly and it looks light and airy. it isn't, it is very heavy, much too heavy for florida heat. the top layer is a beautiful sand color and while the fabric is nice, the heaviness of the top really weighs the"&amp;" whole dress down. i felt like it added ten pounds to my appearance, easily. back it went, boo hoo. if you are between sizes, i would size down, runs a bit big.")</f>
        <v>I wanted to love this dress. the colors are heavenly and it looks light and airy. it isn't, it is very heavy, much too heavy for florida heat. the top layer is a beautiful sand color and while the fabric is nice, the heaviness of the top really weighs the whole dress down. i felt like it added ten pounds to my appearance, easily. back it went, boo hoo. if you are between sizes, i would size down, runs a bit big.</v>
      </c>
      <c r="F118" s="8">
        <f>IFERROR(__xludf.DUMMYFUNCTION("""COMPUTED_VALUE"""),3.0)</f>
        <v>3</v>
      </c>
      <c r="G118" s="8">
        <f>IFERROR(__xludf.DUMMYFUNCTION("""COMPUTED_VALUE"""),0.0)</f>
        <v>0</v>
      </c>
      <c r="H118" s="8">
        <f>IFERROR(__xludf.DUMMYFUNCTION("""COMPUTED_VALUE"""),2.0)</f>
        <v>2</v>
      </c>
      <c r="I118" s="8" t="str">
        <f>IFERROR(__xludf.DUMMYFUNCTION("""COMPUTED_VALUE"""),"General")</f>
        <v>General</v>
      </c>
      <c r="J118" s="8" t="str">
        <f>IFERROR(__xludf.DUMMYFUNCTION("""COMPUTED_VALUE"""),"Dresses")</f>
        <v>Dresses</v>
      </c>
      <c r="K118" s="8" t="str">
        <f>IFERROR(__xludf.DUMMYFUNCTION("""COMPUTED_VALUE"""),"Dresses")</f>
        <v>Dresses</v>
      </c>
      <c r="L118" s="8" t="str">
        <f t="shared" si="1"/>
        <v>Size issue-Fabric issue---</v>
      </c>
    </row>
    <row r="119">
      <c r="A119" s="8">
        <f>IFERROR(__xludf.DUMMYFUNCTION("""COMPUTED_VALUE"""),735.0)</f>
        <v>735</v>
      </c>
      <c r="B119" s="8">
        <f>IFERROR(__xludf.DUMMYFUNCTION("""COMPUTED_VALUE"""),1165.0)</f>
        <v>1165</v>
      </c>
      <c r="C119" s="8">
        <f>IFERROR(__xludf.DUMMYFUNCTION("""COMPUTED_VALUE"""),29.0)</f>
        <v>29</v>
      </c>
      <c r="D119" s="8" t="str">
        <f>IFERROR(__xludf.DUMMYFUNCTION("""COMPUTED_VALUE"""),"Ok suit")</f>
        <v>Ok suit</v>
      </c>
      <c r="E119" s="15" t="str">
        <f>IFERROR(__xludf.DUMMYFUNCTION("""COMPUTED_VALUE"""),"I think in general it is just hard to buy a bathing suit online, but i really underestimated the v-neck of this suit. i read the reviews and noted it was not recommended for girls with larger size breast. as i'm basically an a cup, i figured i would be fi"&amp;"ne. the top portion basically has no coverage or hold. even when tied very tight, the top still opened making me feel exposed and like my entire breast would fall out of the suit. needless to say my fiancã© was not a fan of the suit either. even")</f>
        <v>I think in general it is just hard to buy a bathing suit online, but i really underestimated the v-neck of this suit. i read the reviews and noted it was not recommended for girls with larger size breast. as i'm basically an a cup, i figured i would be fine. the top portion basically has no coverage or hold. even when tied very tight, the top still opened making me feel exposed and like my entire breast would fall out of the suit. needless to say my fiancã© was not a fan of the suit either. even</v>
      </c>
      <c r="F119" s="8">
        <f>IFERROR(__xludf.DUMMYFUNCTION("""COMPUTED_VALUE"""),3.0)</f>
        <v>3</v>
      </c>
      <c r="G119" s="8">
        <f>IFERROR(__xludf.DUMMYFUNCTION("""COMPUTED_VALUE"""),0.0)</f>
        <v>0</v>
      </c>
      <c r="H119" s="8">
        <f>IFERROR(__xludf.DUMMYFUNCTION("""COMPUTED_VALUE"""),11.0)</f>
        <v>11</v>
      </c>
      <c r="I119" s="8" t="str">
        <f>IFERROR(__xludf.DUMMYFUNCTION("""COMPUTED_VALUE"""),"Initmates")</f>
        <v>Initmates</v>
      </c>
      <c r="J119" s="8" t="str">
        <f>IFERROR(__xludf.DUMMYFUNCTION("""COMPUTED_VALUE"""),"Intimate")</f>
        <v>Intimate</v>
      </c>
      <c r="K119" s="8" t="str">
        <f>IFERROR(__xludf.DUMMYFUNCTION("""COMPUTED_VALUE"""),"Swim")</f>
        <v>Swim</v>
      </c>
      <c r="L119" s="8" t="str">
        <f t="shared" si="1"/>
        <v>Size issue----</v>
      </c>
    </row>
    <row r="120">
      <c r="A120" s="8">
        <f>IFERROR(__xludf.DUMMYFUNCTION("""COMPUTED_VALUE"""),744.0)</f>
        <v>744</v>
      </c>
      <c r="B120" s="8">
        <f>IFERROR(__xludf.DUMMYFUNCTION("""COMPUTED_VALUE"""),937.0)</f>
        <v>937</v>
      </c>
      <c r="C120" s="8">
        <f>IFERROR(__xludf.DUMMYFUNCTION("""COMPUTED_VALUE"""),40.0)</f>
        <v>40</v>
      </c>
      <c r="D120" s="8" t="str">
        <f>IFERROR(__xludf.DUMMYFUNCTION("""COMPUTED_VALUE"""),"Frumpy")</f>
        <v>Frumpy</v>
      </c>
      <c r="E120" s="15" t="str">
        <f>IFERROR(__xludf.DUMMYFUNCTION("""COMPUTED_VALUE"""),"Love the color, but the fit is just odd and frumpy. the sleeves are shorter than the should be. when i lift my arms, the entire sweater gets lifted. going back.")</f>
        <v>Love the color, but the fit is just odd and frumpy. the sleeves are shorter than the should be. when i lift my arms, the entire sweater gets lifted. going back.</v>
      </c>
      <c r="F120" s="8">
        <f>IFERROR(__xludf.DUMMYFUNCTION("""COMPUTED_VALUE"""),3.0)</f>
        <v>3</v>
      </c>
      <c r="G120" s="8">
        <f>IFERROR(__xludf.DUMMYFUNCTION("""COMPUTED_VALUE"""),0.0)</f>
        <v>0</v>
      </c>
      <c r="H120" s="8">
        <f>IFERROR(__xludf.DUMMYFUNCTION("""COMPUTED_VALUE"""),2.0)</f>
        <v>2</v>
      </c>
      <c r="I120" s="8" t="str">
        <f>IFERROR(__xludf.DUMMYFUNCTION("""COMPUTED_VALUE"""),"General")</f>
        <v>General</v>
      </c>
      <c r="J120" s="8" t="str">
        <f>IFERROR(__xludf.DUMMYFUNCTION("""COMPUTED_VALUE"""),"Tops")</f>
        <v>Tops</v>
      </c>
      <c r="K120" s="8" t="str">
        <f>IFERROR(__xludf.DUMMYFUNCTION("""COMPUTED_VALUE"""),"Sweaters")</f>
        <v>Sweaters</v>
      </c>
      <c r="L120" s="8" t="str">
        <f t="shared" si="1"/>
        <v>Size issue----</v>
      </c>
    </row>
    <row r="121">
      <c r="A121" s="8">
        <f>IFERROR(__xludf.DUMMYFUNCTION("""COMPUTED_VALUE"""),745.0)</f>
        <v>745</v>
      </c>
      <c r="B121" s="8">
        <f>IFERROR(__xludf.DUMMYFUNCTION("""COMPUTED_VALUE"""),937.0)</f>
        <v>937</v>
      </c>
      <c r="C121" s="8">
        <f>IFERROR(__xludf.DUMMYFUNCTION("""COMPUTED_VALUE"""),39.0)</f>
        <v>39</v>
      </c>
      <c r="D121" s="8" t="str">
        <f>IFERROR(__xludf.DUMMYFUNCTION("""COMPUTED_VALUE"""),"Stinky sweater!")</f>
        <v>Stinky sweater!</v>
      </c>
      <c r="E121" s="15" t="str">
        <f>IFERROR(__xludf.DUMMYFUNCTION("""COMPUTED_VALUE"""),"Yikes!  quite a smell off of this one- like wet/hot wool.  the color was beautiful, but the sweater is enormous!  strange fit under the arms as well.  this one went back the same day.")</f>
        <v>Yikes!  quite a smell off of this one- like wet/hot wool.  the color was beautiful, but the sweater is enormous!  strange fit under the arms as well.  this one went back the same day.</v>
      </c>
      <c r="F121" s="8">
        <f>IFERROR(__xludf.DUMMYFUNCTION("""COMPUTED_VALUE"""),1.0)</f>
        <v>1</v>
      </c>
      <c r="G121" s="8">
        <f>IFERROR(__xludf.DUMMYFUNCTION("""COMPUTED_VALUE"""),0.0)</f>
        <v>0</v>
      </c>
      <c r="H121" s="8">
        <f>IFERROR(__xludf.DUMMYFUNCTION("""COMPUTED_VALUE"""),0.0)</f>
        <v>0</v>
      </c>
      <c r="I121" s="8" t="str">
        <f>IFERROR(__xludf.DUMMYFUNCTION("""COMPUTED_VALUE"""),"General")</f>
        <v>General</v>
      </c>
      <c r="J121" s="8" t="str">
        <f>IFERROR(__xludf.DUMMYFUNCTION("""COMPUTED_VALUE"""),"Tops")</f>
        <v>Tops</v>
      </c>
      <c r="K121" s="8" t="str">
        <f>IFERROR(__xludf.DUMMYFUNCTION("""COMPUTED_VALUE"""),"Sweaters")</f>
        <v>Sweaters</v>
      </c>
      <c r="L121" s="8" t="str">
        <f t="shared" si="1"/>
        <v>----</v>
      </c>
    </row>
    <row r="122">
      <c r="A122" s="8">
        <f>IFERROR(__xludf.DUMMYFUNCTION("""COMPUTED_VALUE"""),754.0)</f>
        <v>754</v>
      </c>
      <c r="B122" s="8">
        <f>IFERROR(__xludf.DUMMYFUNCTION("""COMPUTED_VALUE"""),1087.0)</f>
        <v>1087</v>
      </c>
      <c r="C122" s="8">
        <f>IFERROR(__xludf.DUMMYFUNCTION("""COMPUTED_VALUE"""),62.0)</f>
        <v>62</v>
      </c>
      <c r="D122" s="8" t="str">
        <f>IFERROR(__xludf.DUMMYFUNCTION("""COMPUTED_VALUE"""),"Perfer beige over pink")</f>
        <v>Perfer beige over pink</v>
      </c>
      <c r="E122" s="15" t="str">
        <f>IFERROR(__xludf.DUMMYFUNCTION("""COMPUTED_VALUE"""),"I had tried this on in the beige &amp; loved it but could not find it in my size so i got it in the pink.
did not look at good as the beige.")</f>
        <v>I had tried this on in the beige &amp; loved it but could not find it in my size so i got it in the pink.
did not look at good as the beige.</v>
      </c>
      <c r="F122" s="8">
        <f>IFERROR(__xludf.DUMMYFUNCTION("""COMPUTED_VALUE"""),3.0)</f>
        <v>3</v>
      </c>
      <c r="G122" s="8">
        <f>IFERROR(__xludf.DUMMYFUNCTION("""COMPUTED_VALUE"""),0.0)</f>
        <v>0</v>
      </c>
      <c r="H122" s="8">
        <f>IFERROR(__xludf.DUMMYFUNCTION("""COMPUTED_VALUE"""),0.0)</f>
        <v>0</v>
      </c>
      <c r="I122" s="8" t="str">
        <f>IFERROR(__xludf.DUMMYFUNCTION("""COMPUTED_VALUE"""),"General")</f>
        <v>General</v>
      </c>
      <c r="J122" s="8" t="str">
        <f>IFERROR(__xludf.DUMMYFUNCTION("""COMPUTED_VALUE"""),"Dresses")</f>
        <v>Dresses</v>
      </c>
      <c r="K122" s="8" t="str">
        <f>IFERROR(__xludf.DUMMYFUNCTION("""COMPUTED_VALUE"""),"Dresses")</f>
        <v>Dresses</v>
      </c>
      <c r="L122" s="8" t="str">
        <f t="shared" si="1"/>
        <v>Size issue----</v>
      </c>
    </row>
    <row r="123">
      <c r="A123" s="8">
        <f>IFERROR(__xludf.DUMMYFUNCTION("""COMPUTED_VALUE"""),755.0)</f>
        <v>755</v>
      </c>
      <c r="B123" s="8">
        <f>IFERROR(__xludf.DUMMYFUNCTION("""COMPUTED_VALUE"""),1087.0)</f>
        <v>1087</v>
      </c>
      <c r="C123" s="8">
        <f>IFERROR(__xludf.DUMMYFUNCTION("""COMPUTED_VALUE"""),43.0)</f>
        <v>43</v>
      </c>
      <c r="D123" s="8" t="str">
        <f>IFERROR(__xludf.DUMMYFUNCTION("""COMPUTED_VALUE"""),"So very disappointed")</f>
        <v>So very disappointed</v>
      </c>
      <c r="E123" s="15" t="str">
        <f>IFERROR(__xludf.DUMMYFUNCTION("""COMPUTED_VALUE"""),"I love retailer and fell in love as soon as i saw this dress online. being 5'10"" i love a quality maxi dress and this one did not disappoint. however, being 5'10"" also means the top sweater overlay hits me way short. it looks ridiculous. i also thought "&amp;"that this was very heavy for a maxi dress and could not imagine wearing it in 80 degree weather. unfortunately after waiting so long for it's arrival this is going back.")</f>
        <v>I love retailer and fell in love as soon as i saw this dress online. being 5'10" i love a quality maxi dress and this one did not disappoint. however, being 5'10" also means the top sweater overlay hits me way short. it looks ridiculous. i also thought that this was very heavy for a maxi dress and could not imagine wearing it in 80 degree weather. unfortunately after waiting so long for it's arrival this is going back.</v>
      </c>
      <c r="F123" s="8">
        <f>IFERROR(__xludf.DUMMYFUNCTION("""COMPUTED_VALUE"""),2.0)</f>
        <v>2</v>
      </c>
      <c r="G123" s="8">
        <f>IFERROR(__xludf.DUMMYFUNCTION("""COMPUTED_VALUE"""),0.0)</f>
        <v>0</v>
      </c>
      <c r="H123" s="8">
        <f>IFERROR(__xludf.DUMMYFUNCTION("""COMPUTED_VALUE"""),2.0)</f>
        <v>2</v>
      </c>
      <c r="I123" s="8" t="str">
        <f>IFERROR(__xludf.DUMMYFUNCTION("""COMPUTED_VALUE"""),"General")</f>
        <v>General</v>
      </c>
      <c r="J123" s="8" t="str">
        <f>IFERROR(__xludf.DUMMYFUNCTION("""COMPUTED_VALUE"""),"Dresses")</f>
        <v>Dresses</v>
      </c>
      <c r="K123" s="8" t="str">
        <f>IFERROR(__xludf.DUMMYFUNCTION("""COMPUTED_VALUE"""),"Dresses")</f>
        <v>Dresses</v>
      </c>
      <c r="L123" s="8" t="str">
        <f t="shared" si="1"/>
        <v>Size issue----</v>
      </c>
    </row>
    <row r="124">
      <c r="A124" s="8">
        <f>IFERROR(__xludf.DUMMYFUNCTION("""COMPUTED_VALUE"""),762.0)</f>
        <v>762</v>
      </c>
      <c r="B124" s="8">
        <f>IFERROR(__xludf.DUMMYFUNCTION("""COMPUTED_VALUE"""),937.0)</f>
        <v>937</v>
      </c>
      <c r="C124" s="8">
        <f>IFERROR(__xludf.DUMMYFUNCTION("""COMPUTED_VALUE"""),37.0)</f>
        <v>37</v>
      </c>
      <c r="D124" s="8" t="str">
        <f>IFERROR(__xludf.DUMMYFUNCTION("""COMPUTED_VALUE"""),"Scratchy")</f>
        <v>Scratchy</v>
      </c>
      <c r="E124" s="15" t="str">
        <f>IFERROR(__xludf.DUMMYFUNCTION("""COMPUTED_VALUE"""),"The sweater is cute, but scratchy.")</f>
        <v>The sweater is cute, but scratchy.</v>
      </c>
      <c r="F124" s="8">
        <f>IFERROR(__xludf.DUMMYFUNCTION("""COMPUTED_VALUE"""),3.0)</f>
        <v>3</v>
      </c>
      <c r="G124" s="8">
        <f>IFERROR(__xludf.DUMMYFUNCTION("""COMPUTED_VALUE"""),0.0)</f>
        <v>0</v>
      </c>
      <c r="H124" s="8">
        <f>IFERROR(__xludf.DUMMYFUNCTION("""COMPUTED_VALUE"""),1.0)</f>
        <v>1</v>
      </c>
      <c r="I124" s="8" t="str">
        <f>IFERROR(__xludf.DUMMYFUNCTION("""COMPUTED_VALUE"""),"General")</f>
        <v>General</v>
      </c>
      <c r="J124" s="8" t="str">
        <f>IFERROR(__xludf.DUMMYFUNCTION("""COMPUTED_VALUE"""),"Tops")</f>
        <v>Tops</v>
      </c>
      <c r="K124" s="8" t="str">
        <f>IFERROR(__xludf.DUMMYFUNCTION("""COMPUTED_VALUE"""),"Sweaters")</f>
        <v>Sweaters</v>
      </c>
      <c r="L124" s="8" t="str">
        <f t="shared" si="1"/>
        <v>----</v>
      </c>
    </row>
    <row r="125">
      <c r="A125" s="8">
        <f>IFERROR(__xludf.DUMMYFUNCTION("""COMPUTED_VALUE"""),763.0)</f>
        <v>763</v>
      </c>
      <c r="B125" s="8">
        <f>IFERROR(__xludf.DUMMYFUNCTION("""COMPUTED_VALUE"""),937.0)</f>
        <v>937</v>
      </c>
      <c r="C125" s="8">
        <f>IFERROR(__xludf.DUMMYFUNCTION("""COMPUTED_VALUE"""),49.0)</f>
        <v>49</v>
      </c>
      <c r="D125" s="8" t="str">
        <f>IFERROR(__xludf.DUMMYFUNCTION("""COMPUTED_VALUE"""),"Cute, but didnt love")</f>
        <v>Cute, but didnt love</v>
      </c>
      <c r="E125" s="15" t="str">
        <f>IFERROR(__xludf.DUMMYFUNCTION("""COMPUTED_VALUE"""),"It was cute. i didn't keep it because it wasn't soft and hung a bit different than pictured. i thought it would be softer material. it was itchy")</f>
        <v>It was cute. i didn't keep it because it wasn't soft and hung a bit different than pictured. i thought it would be softer material. it was itchy</v>
      </c>
      <c r="F125" s="8">
        <f>IFERROR(__xludf.DUMMYFUNCTION("""COMPUTED_VALUE"""),3.0)</f>
        <v>3</v>
      </c>
      <c r="G125" s="8">
        <f>IFERROR(__xludf.DUMMYFUNCTION("""COMPUTED_VALUE"""),0.0)</f>
        <v>0</v>
      </c>
      <c r="H125" s="8">
        <f>IFERROR(__xludf.DUMMYFUNCTION("""COMPUTED_VALUE"""),0.0)</f>
        <v>0</v>
      </c>
      <c r="I125" s="8" t="str">
        <f>IFERROR(__xludf.DUMMYFUNCTION("""COMPUTED_VALUE"""),"General")</f>
        <v>General</v>
      </c>
      <c r="J125" s="8" t="str">
        <f>IFERROR(__xludf.DUMMYFUNCTION("""COMPUTED_VALUE"""),"Tops")</f>
        <v>Tops</v>
      </c>
      <c r="K125" s="8" t="str">
        <f>IFERROR(__xludf.DUMMYFUNCTION("""COMPUTED_VALUE"""),"Sweaters")</f>
        <v>Sweaters</v>
      </c>
      <c r="L125" s="8" t="str">
        <f t="shared" si="1"/>
        <v>-Fabric issue---</v>
      </c>
    </row>
    <row r="126">
      <c r="A126" s="8">
        <f>IFERROR(__xludf.DUMMYFUNCTION("""COMPUTED_VALUE"""),767.0)</f>
        <v>767</v>
      </c>
      <c r="B126" s="8">
        <f>IFERROR(__xludf.DUMMYFUNCTION("""COMPUTED_VALUE"""),1087.0)</f>
        <v>1087</v>
      </c>
      <c r="C126" s="8">
        <f>IFERROR(__xludf.DUMMYFUNCTION("""COMPUTED_VALUE"""),36.0)</f>
        <v>36</v>
      </c>
      <c r="D126" s="8" t="str">
        <f>IFERROR(__xludf.DUMMYFUNCTION("""COMPUTED_VALUE"""),"Gorgeous on the hanger but not for me")</f>
        <v>Gorgeous on the hanger but not for me</v>
      </c>
      <c r="E126" s="15" t="str">
        <f>IFERROR(__xludf.DUMMYFUNCTION("""COMPUTED_VALUE"""),"I was so in love with this dress when i saw it in the store but so disappointed when i put it on. i am 5'10"" with curves and usually buy a large in dresses. this dress looked like a sack on me. the top was way too big and loose making the dress a boxy cu"&amp;"t rather than a maxi cut like i was expecting. the dress is lovely to look at on the hanger and feels good on but i don't think it flatters hourglass figures. it was the right length for me unlike many other reviewers. 
obviously, based off the")</f>
        <v>I was so in love with this dress when i saw it in the store but so disappointed when i put it on. i am 5'10" with curves and usually buy a large in dresses. this dress looked like a sack on me. the top was way too big and loose making the dress a boxy cut rather than a maxi cut like i was expecting. the dress is lovely to look at on the hanger and feels good on but i don't think it flatters hourglass figures. it was the right length for me unlike many other reviewers. 
obviously, based off the</v>
      </c>
      <c r="F126" s="8">
        <f>IFERROR(__xludf.DUMMYFUNCTION("""COMPUTED_VALUE"""),3.0)</f>
        <v>3</v>
      </c>
      <c r="G126" s="8">
        <f>IFERROR(__xludf.DUMMYFUNCTION("""COMPUTED_VALUE"""),0.0)</f>
        <v>0</v>
      </c>
      <c r="H126" s="8">
        <f>IFERROR(__xludf.DUMMYFUNCTION("""COMPUTED_VALUE"""),2.0)</f>
        <v>2</v>
      </c>
      <c r="I126" s="8" t="str">
        <f>IFERROR(__xludf.DUMMYFUNCTION("""COMPUTED_VALUE"""),"General")</f>
        <v>General</v>
      </c>
      <c r="J126" s="8" t="str">
        <f>IFERROR(__xludf.DUMMYFUNCTION("""COMPUTED_VALUE"""),"Dresses")</f>
        <v>Dresses</v>
      </c>
      <c r="K126" s="8" t="str">
        <f>IFERROR(__xludf.DUMMYFUNCTION("""COMPUTED_VALUE"""),"Dresses")</f>
        <v>Dresses</v>
      </c>
      <c r="L126" s="8" t="str">
        <f t="shared" si="1"/>
        <v>Size issue--Style issue--</v>
      </c>
    </row>
    <row r="127">
      <c r="A127" s="8">
        <f>IFERROR(__xludf.DUMMYFUNCTION("""COMPUTED_VALUE"""),768.0)</f>
        <v>768</v>
      </c>
      <c r="B127" s="8">
        <f>IFERROR(__xludf.DUMMYFUNCTION("""COMPUTED_VALUE"""),937.0)</f>
        <v>937</v>
      </c>
      <c r="C127" s="8">
        <f>IFERROR(__xludf.DUMMYFUNCTION("""COMPUTED_VALUE"""),46.0)</f>
        <v>46</v>
      </c>
      <c r="D127" s="8" t="str">
        <f>IFERROR(__xludf.DUMMYFUNCTION("""COMPUTED_VALUE"""),"Primula cocoon cardi")</f>
        <v>Primula cocoon cardi</v>
      </c>
      <c r="E127" s="15" t="str">
        <f>IFERROR(__xludf.DUMMYFUNCTION("""COMPUTED_VALUE"""),"This is huge. i understand that's the style, but it looked like i was wearing my husband's size xxl. i tried to imagine a really cold day when all that extra fabric would be nice... but then it started to itch, and itch and itch!")</f>
        <v>This is huge. i understand that's the style, but it looked like i was wearing my husband's size xxl. i tried to imagine a really cold day when all that extra fabric would be nice... but then it started to itch, and itch and itch!</v>
      </c>
      <c r="F127" s="8">
        <f>IFERROR(__xludf.DUMMYFUNCTION("""COMPUTED_VALUE"""),2.0)</f>
        <v>2</v>
      </c>
      <c r="G127" s="8">
        <f>IFERROR(__xludf.DUMMYFUNCTION("""COMPUTED_VALUE"""),0.0)</f>
        <v>0</v>
      </c>
      <c r="H127" s="8">
        <f>IFERROR(__xludf.DUMMYFUNCTION("""COMPUTED_VALUE"""),4.0)</f>
        <v>4</v>
      </c>
      <c r="I127" s="8" t="str">
        <f>IFERROR(__xludf.DUMMYFUNCTION("""COMPUTED_VALUE"""),"General")</f>
        <v>General</v>
      </c>
      <c r="J127" s="8" t="str">
        <f>IFERROR(__xludf.DUMMYFUNCTION("""COMPUTED_VALUE"""),"Tops")</f>
        <v>Tops</v>
      </c>
      <c r="K127" s="8" t="str">
        <f>IFERROR(__xludf.DUMMYFUNCTION("""COMPUTED_VALUE"""),"Sweaters")</f>
        <v>Sweaters</v>
      </c>
      <c r="L127" s="8" t="str">
        <f t="shared" si="1"/>
        <v>Size issue----</v>
      </c>
    </row>
    <row r="128">
      <c r="A128" s="8">
        <f>IFERROR(__xludf.DUMMYFUNCTION("""COMPUTED_VALUE"""),769.0)</f>
        <v>769</v>
      </c>
      <c r="B128" s="8">
        <f>IFERROR(__xludf.DUMMYFUNCTION("""COMPUTED_VALUE"""),937.0)</f>
        <v>937</v>
      </c>
      <c r="C128" s="8">
        <f>IFERROR(__xludf.DUMMYFUNCTION("""COMPUTED_VALUE"""),32.0)</f>
        <v>32</v>
      </c>
      <c r="D128" s="8" t="str">
        <f>IFERROR(__xludf.DUMMYFUNCTION("""COMPUTED_VALUE"""),"Not for me")</f>
        <v>Not for me</v>
      </c>
      <c r="E128" s="15" t="str">
        <f>IFERROR(__xludf.DUMMYFUNCTION("""COMPUTED_VALUE"""),"The fit is not as shown on the website. will be returning.")</f>
        <v>The fit is not as shown on the website. will be returning.</v>
      </c>
      <c r="F128" s="8">
        <f>IFERROR(__xludf.DUMMYFUNCTION("""COMPUTED_VALUE"""),1.0)</f>
        <v>1</v>
      </c>
      <c r="G128" s="8">
        <f>IFERROR(__xludf.DUMMYFUNCTION("""COMPUTED_VALUE"""),0.0)</f>
        <v>0</v>
      </c>
      <c r="H128" s="8">
        <f>IFERROR(__xludf.DUMMYFUNCTION("""COMPUTED_VALUE"""),0.0)</f>
        <v>0</v>
      </c>
      <c r="I128" s="8" t="str">
        <f>IFERROR(__xludf.DUMMYFUNCTION("""COMPUTED_VALUE"""),"General")</f>
        <v>General</v>
      </c>
      <c r="J128" s="8" t="str">
        <f>IFERROR(__xludf.DUMMYFUNCTION("""COMPUTED_VALUE"""),"Tops")</f>
        <v>Tops</v>
      </c>
      <c r="K128" s="8" t="str">
        <f>IFERROR(__xludf.DUMMYFUNCTION("""COMPUTED_VALUE"""),"Sweaters")</f>
        <v>Sweaters</v>
      </c>
      <c r="L128" s="8" t="str">
        <f t="shared" si="1"/>
        <v>----</v>
      </c>
    </row>
    <row r="129">
      <c r="A129" s="8">
        <f>IFERROR(__xludf.DUMMYFUNCTION("""COMPUTED_VALUE"""),773.0)</f>
        <v>773</v>
      </c>
      <c r="B129" s="8">
        <f>IFERROR(__xludf.DUMMYFUNCTION("""COMPUTED_VALUE"""),1087.0)</f>
        <v>1087</v>
      </c>
      <c r="C129" s="8">
        <f>IFERROR(__xludf.DUMMYFUNCTION("""COMPUTED_VALUE"""),38.0)</f>
        <v>38</v>
      </c>
      <c r="D129" s="8" t="str">
        <f>IFERROR(__xludf.DUMMYFUNCTION("""COMPUTED_VALUE"""),"Awful if you have any sort of curves!")</f>
        <v>Awful if you have any sort of curves!</v>
      </c>
      <c r="E129" s="15" t="str">
        <f>IFERROR(__xludf.DUMMYFUNCTION("""COMPUTED_VALUE"""),"I am floored by the amount of positive reviews on this dress! when i received it, it looked nothing like it does on the model. the bottom looked like dirty sand and was completely wrinkled. if you have anything above a c cup, the top looks completely unfl"&amp;"attering. i looked so top heavy in this dress! definitely not worth the price. so disappointed.")</f>
        <v>I am floored by the amount of positive reviews on this dress! when i received it, it looked nothing like it does on the model. the bottom looked like dirty sand and was completely wrinkled. if you have anything above a c cup, the top looks completely unflattering. i looked so top heavy in this dress! definitely not worth the price. so disappointed.</v>
      </c>
      <c r="F129" s="8">
        <f>IFERROR(__xludf.DUMMYFUNCTION("""COMPUTED_VALUE"""),2.0)</f>
        <v>2</v>
      </c>
      <c r="G129" s="8">
        <f>IFERROR(__xludf.DUMMYFUNCTION("""COMPUTED_VALUE"""),0.0)</f>
        <v>0</v>
      </c>
      <c r="H129" s="8">
        <f>IFERROR(__xludf.DUMMYFUNCTION("""COMPUTED_VALUE"""),2.0)</f>
        <v>2</v>
      </c>
      <c r="I129" s="8" t="str">
        <f>IFERROR(__xludf.DUMMYFUNCTION("""COMPUTED_VALUE"""),"General")</f>
        <v>General</v>
      </c>
      <c r="J129" s="8" t="str">
        <f>IFERROR(__xludf.DUMMYFUNCTION("""COMPUTED_VALUE"""),"Dresses")</f>
        <v>Dresses</v>
      </c>
      <c r="K129" s="8" t="str">
        <f>IFERROR(__xludf.DUMMYFUNCTION("""COMPUTED_VALUE"""),"Dresses")</f>
        <v>Dresses</v>
      </c>
      <c r="L129" s="8" t="str">
        <f t="shared" si="1"/>
        <v>----Matching Awareness issue</v>
      </c>
    </row>
    <row r="130">
      <c r="A130" s="8">
        <f>IFERROR(__xludf.DUMMYFUNCTION("""COMPUTED_VALUE"""),775.0)</f>
        <v>775</v>
      </c>
      <c r="B130" s="8">
        <f>IFERROR(__xludf.DUMMYFUNCTION("""COMPUTED_VALUE"""),1110.0)</f>
        <v>1110</v>
      </c>
      <c r="C130" s="8">
        <f>IFERROR(__xludf.DUMMYFUNCTION("""COMPUTED_VALUE"""),35.0)</f>
        <v>35</v>
      </c>
      <c r="D130" s="8" t="str">
        <f>IFERROR(__xludf.DUMMYFUNCTION("""COMPUTED_VALUE"""),"Armholes huge")</f>
        <v>Armholes huge</v>
      </c>
      <c r="E130" s="15" t="str">
        <f>IFERROR(__xludf.DUMMYFUNCTION("""COMPUTED_VALUE"""),"This didn't work for me. im normally a m (8/10). got this in xs. that was the correct size for me, i believe. however, the armholes were huge. husband said the top of the dress looked like the autobots symbol from transformers and he wanted me to keep it."&amp;" but, i sent it back.")</f>
        <v>This didn't work for me. im normally a m (8/10). got this in xs. that was the correct size for me, i believe. however, the armholes were huge. husband said the top of the dress looked like the autobots symbol from transformers and he wanted me to keep it. but, i sent it back.</v>
      </c>
      <c r="F130" s="8">
        <f>IFERROR(__xludf.DUMMYFUNCTION("""COMPUTED_VALUE"""),2.0)</f>
        <v>2</v>
      </c>
      <c r="G130" s="8">
        <f>IFERROR(__xludf.DUMMYFUNCTION("""COMPUTED_VALUE"""),0.0)</f>
        <v>0</v>
      </c>
      <c r="H130" s="8">
        <f>IFERROR(__xludf.DUMMYFUNCTION("""COMPUTED_VALUE"""),0.0)</f>
        <v>0</v>
      </c>
      <c r="I130" s="8" t="str">
        <f>IFERROR(__xludf.DUMMYFUNCTION("""COMPUTED_VALUE"""),"General Petite")</f>
        <v>General Petite</v>
      </c>
      <c r="J130" s="8" t="str">
        <f>IFERROR(__xludf.DUMMYFUNCTION("""COMPUTED_VALUE"""),"Dresses")</f>
        <v>Dresses</v>
      </c>
      <c r="K130" s="8" t="str">
        <f>IFERROR(__xludf.DUMMYFUNCTION("""COMPUTED_VALUE"""),"Dresses")</f>
        <v>Dresses</v>
      </c>
      <c r="L130" s="8" t="str">
        <f t="shared" si="1"/>
        <v>Size issue-Fabric issue---</v>
      </c>
    </row>
    <row r="131">
      <c r="A131" s="8">
        <f>IFERROR(__xludf.DUMMYFUNCTION("""COMPUTED_VALUE"""),780.0)</f>
        <v>780</v>
      </c>
      <c r="B131" s="8">
        <f>IFERROR(__xludf.DUMMYFUNCTION("""COMPUTED_VALUE"""),1072.0)</f>
        <v>1072</v>
      </c>
      <c r="C131" s="8">
        <f>IFERROR(__xludf.DUMMYFUNCTION("""COMPUTED_VALUE"""),56.0)</f>
        <v>56</v>
      </c>
      <c r="D131" s="8" t="str">
        <f>IFERROR(__xludf.DUMMYFUNCTION("""COMPUTED_VALUE"""),"No slip and totally sheer dress")</f>
        <v>No slip and totally sheer dress</v>
      </c>
      <c r="E131" s="15" t="str">
        <f>IFERROR(__xludf.DUMMYFUNCTION("""COMPUTED_VALUE"""),"I just received this in the mail today. first of all there was no slip included and the fabric is totally sheer. the description says ""viscose lining"" so i assume there was a slip and from the picture it looks like it was a beige color. second of all, i"&amp;"t was obviously sent from a store where they lost the slip and it was squished into the smallest possible retailer envelope. the fabric is beautiful but the dress is humongous like the previous reviewers said. i ordered a size smaller than us")</f>
        <v>I just received this in the mail today. first of all there was no slip included and the fabric is totally sheer. the description says "viscose lining" so i assume there was a slip and from the picture it looks like it was a beige color. second of all, it was obviously sent from a store where they lost the slip and it was squished into the smallest possible retailer envelope. the fabric is beautiful but the dress is humongous like the previous reviewers said. i ordered a size smaller than us</v>
      </c>
      <c r="F131" s="8">
        <f>IFERROR(__xludf.DUMMYFUNCTION("""COMPUTED_VALUE"""),2.0)</f>
        <v>2</v>
      </c>
      <c r="G131" s="8">
        <f>IFERROR(__xludf.DUMMYFUNCTION("""COMPUTED_VALUE"""),0.0)</f>
        <v>0</v>
      </c>
      <c r="H131" s="8">
        <f>IFERROR(__xludf.DUMMYFUNCTION("""COMPUTED_VALUE"""),0.0)</f>
        <v>0</v>
      </c>
      <c r="I131" s="8" t="str">
        <f>IFERROR(__xludf.DUMMYFUNCTION("""COMPUTED_VALUE"""),"General")</f>
        <v>General</v>
      </c>
      <c r="J131" s="8" t="str">
        <f>IFERROR(__xludf.DUMMYFUNCTION("""COMPUTED_VALUE"""),"Dresses")</f>
        <v>Dresses</v>
      </c>
      <c r="K131" s="8" t="str">
        <f>IFERROR(__xludf.DUMMYFUNCTION("""COMPUTED_VALUE"""),"Dresses")</f>
        <v>Dresses</v>
      </c>
      <c r="L131" s="8" t="str">
        <f t="shared" si="1"/>
        <v>Size issue----</v>
      </c>
    </row>
    <row r="132">
      <c r="A132" s="8">
        <f>IFERROR(__xludf.DUMMYFUNCTION("""COMPUTED_VALUE"""),782.0)</f>
        <v>782</v>
      </c>
      <c r="B132" s="8">
        <f>IFERROR(__xludf.DUMMYFUNCTION("""COMPUTED_VALUE"""),945.0)</f>
        <v>945</v>
      </c>
      <c r="C132" s="8">
        <f>IFERROR(__xludf.DUMMYFUNCTION("""COMPUTED_VALUE"""),53.0)</f>
        <v>53</v>
      </c>
      <c r="D132" s="8" t="str">
        <f>IFERROR(__xludf.DUMMYFUNCTION("""COMPUTED_VALUE"""),"Ordinary for the price")</f>
        <v>Ordinary for the price</v>
      </c>
      <c r="E132" s="15" t="str">
        <f>IFERROR(__xludf.DUMMYFUNCTION("""COMPUTED_VALUE"""),"I was so excited to order this sweater but was so disappointed when it came. the knit is somewhat stiff and the sleeves are not as bell shaped as pictured on the model. overall i would of kept it if it were much less money, for the price it is just an ord"&amp;"inary sweater with no style.")</f>
        <v>I was so excited to order this sweater but was so disappointed when it came. the knit is somewhat stiff and the sleeves are not as bell shaped as pictured on the model. overall i would of kept it if it were much less money, for the price it is just an ordinary sweater with no style.</v>
      </c>
      <c r="F132" s="8">
        <f>IFERROR(__xludf.DUMMYFUNCTION("""COMPUTED_VALUE"""),1.0)</f>
        <v>1</v>
      </c>
      <c r="G132" s="8">
        <f>IFERROR(__xludf.DUMMYFUNCTION("""COMPUTED_VALUE"""),0.0)</f>
        <v>0</v>
      </c>
      <c r="H132" s="8">
        <f>IFERROR(__xludf.DUMMYFUNCTION("""COMPUTED_VALUE"""),12.0)</f>
        <v>12</v>
      </c>
      <c r="I132" s="8" t="str">
        <f>IFERROR(__xludf.DUMMYFUNCTION("""COMPUTED_VALUE"""),"General")</f>
        <v>General</v>
      </c>
      <c r="J132" s="8" t="str">
        <f>IFERROR(__xludf.DUMMYFUNCTION("""COMPUTED_VALUE"""),"Tops")</f>
        <v>Tops</v>
      </c>
      <c r="K132" s="8" t="str">
        <f>IFERROR(__xludf.DUMMYFUNCTION("""COMPUTED_VALUE"""),"Sweaters")</f>
        <v>Sweaters</v>
      </c>
      <c r="L132" s="8" t="str">
        <f t="shared" si="1"/>
        <v>Size issue--Style issue-Price issue-Matching Awareness issue</v>
      </c>
    </row>
    <row r="133">
      <c r="A133" s="8">
        <f>IFERROR(__xludf.DUMMYFUNCTION("""COMPUTED_VALUE"""),783.0)</f>
        <v>783</v>
      </c>
      <c r="B133" s="8">
        <f>IFERROR(__xludf.DUMMYFUNCTION("""COMPUTED_VALUE"""),895.0)</f>
        <v>895</v>
      </c>
      <c r="C133" s="8">
        <f>IFERROR(__xludf.DUMMYFUNCTION("""COMPUTED_VALUE"""),47.0)</f>
        <v>47</v>
      </c>
      <c r="D133" s="8" t="str">
        <f>IFERROR(__xludf.DUMMYFUNCTION("""COMPUTED_VALUE"""),"Didn't work on my pear shape")</f>
        <v>Didn't work on my pear shape</v>
      </c>
      <c r="E133" s="15" t="str">
        <f>IFERROR(__xludf.DUMMYFUNCTION("""COMPUTED_VALUE"""),"After reading the reviews i decided to give this a try, but it just didn't work on me. i'm 5'8, smaller on top, and usually wear m in retailer sizes. this was ok in the shoulder and arm area but a little too snug for me in the hips. also, the diagonal str"&amp;"iping made my boobs disappear and the pattern at the bottom emphasized my tummy and rear. not exactly the look i was going for. back it goes.")</f>
        <v>After reading the reviews i decided to give this a try, but it just didn't work on me. i'm 5'8, smaller on top, and usually wear m in retailer sizes. this was ok in the shoulder and arm area but a little too snug for me in the hips. also, the diagonal striping made my boobs disappear and the pattern at the bottom emphasized my tummy and rear. not exactly the look i was going for. back it goes.</v>
      </c>
      <c r="F133" s="8">
        <f>IFERROR(__xludf.DUMMYFUNCTION("""COMPUTED_VALUE"""),3.0)</f>
        <v>3</v>
      </c>
      <c r="G133" s="8">
        <f>IFERROR(__xludf.DUMMYFUNCTION("""COMPUTED_VALUE"""),0.0)</f>
        <v>0</v>
      </c>
      <c r="H133" s="8">
        <f>IFERROR(__xludf.DUMMYFUNCTION("""COMPUTED_VALUE"""),0.0)</f>
        <v>0</v>
      </c>
      <c r="I133" s="8" t="str">
        <f>IFERROR(__xludf.DUMMYFUNCTION("""COMPUTED_VALUE"""),"General")</f>
        <v>General</v>
      </c>
      <c r="J133" s="8" t="str">
        <f>IFERROR(__xludf.DUMMYFUNCTION("""COMPUTED_VALUE"""),"Tops")</f>
        <v>Tops</v>
      </c>
      <c r="K133" s="8" t="str">
        <f>IFERROR(__xludf.DUMMYFUNCTION("""COMPUTED_VALUE"""),"Fine gauge")</f>
        <v>Fine gauge</v>
      </c>
      <c r="L133" s="8" t="str">
        <f t="shared" si="1"/>
        <v>Size issue----</v>
      </c>
    </row>
    <row r="134">
      <c r="A134" s="8">
        <f>IFERROR(__xludf.DUMMYFUNCTION("""COMPUTED_VALUE"""),787.0)</f>
        <v>787</v>
      </c>
      <c r="B134" s="8">
        <f>IFERROR(__xludf.DUMMYFUNCTION("""COMPUTED_VALUE"""),805.0)</f>
        <v>805</v>
      </c>
      <c r="C134" s="8">
        <f>IFERROR(__xludf.DUMMYFUNCTION("""COMPUTED_VALUE"""),43.0)</f>
        <v>43</v>
      </c>
      <c r="D134" s="8" t="str">
        <f>IFERROR(__xludf.DUMMYFUNCTION("""COMPUTED_VALUE"""),"Sheet")</f>
        <v>Sheet</v>
      </c>
      <c r="E134" s="15" t="str">
        <f>IFERROR(__xludf.DUMMYFUNCTION("""COMPUTED_VALUE"""),"Love the shape and cut of this top but it is so sheer you could see my belly button through it. if it was a dark color i would buy it. wore my regular size small. i'm 5'5""130lbs  and 32dd.")</f>
        <v>Love the shape and cut of this top but it is so sheer you could see my belly button through it. if it was a dark color i would buy it. wore my regular size small. i'm 5'5"130lbs  and 32dd.</v>
      </c>
      <c r="F134" s="8">
        <f>IFERROR(__xludf.DUMMYFUNCTION("""COMPUTED_VALUE"""),3.0)</f>
        <v>3</v>
      </c>
      <c r="G134" s="8">
        <f>IFERROR(__xludf.DUMMYFUNCTION("""COMPUTED_VALUE"""),0.0)</f>
        <v>0</v>
      </c>
      <c r="H134" s="8">
        <f>IFERROR(__xludf.DUMMYFUNCTION("""COMPUTED_VALUE"""),2.0)</f>
        <v>2</v>
      </c>
      <c r="I134" s="8" t="str">
        <f>IFERROR(__xludf.DUMMYFUNCTION("""COMPUTED_VALUE"""),"Initmates")</f>
        <v>Initmates</v>
      </c>
      <c r="J134" s="8" t="str">
        <f>IFERROR(__xludf.DUMMYFUNCTION("""COMPUTED_VALUE"""),"Intimate")</f>
        <v>Intimate</v>
      </c>
      <c r="K134" s="8" t="str">
        <f>IFERROR(__xludf.DUMMYFUNCTION("""COMPUTED_VALUE"""),"Lounge")</f>
        <v>Lounge</v>
      </c>
      <c r="L134" s="8" t="str">
        <f t="shared" si="1"/>
        <v>Size issue----</v>
      </c>
    </row>
    <row r="135">
      <c r="A135" s="8">
        <f>IFERROR(__xludf.DUMMYFUNCTION("""COMPUTED_VALUE"""),793.0)</f>
        <v>793</v>
      </c>
      <c r="B135" s="8">
        <f>IFERROR(__xludf.DUMMYFUNCTION("""COMPUTED_VALUE"""),945.0)</f>
        <v>945</v>
      </c>
      <c r="C135" s="8">
        <f>IFERROR(__xludf.DUMMYFUNCTION("""COMPUTED_VALUE"""),43.0)</f>
        <v>43</v>
      </c>
      <c r="D135" s="8" t="str">
        <f>IFERROR(__xludf.DUMMYFUNCTION("""COMPUTED_VALUE"""),"If only it looked like the photo.....")</f>
        <v>If only it looked like the photo.....</v>
      </c>
      <c r="E135" s="15" t="str">
        <f>IFERROR(__xludf.DUMMYFUNCTION("""COMPUTED_VALUE"""),"This sweater was a big let down. i am 5'2"" so i ordered it in a petite. it was so short that if i lifted my arms, you'd see my bra!! there is no way i could wear it without something under it- even with high waisted bottoms. and the bell sleeves look not"&amp;"hing like the pic. the entire sleeve is just wide, and it continues with little increase into the cuff. it is just short and boxy. it is going back for sure.")</f>
        <v>This sweater was a big let down. i am 5'2" so i ordered it in a petite. it was so short that if i lifted my arms, you'd see my bra!! there is no way i could wear it without something under it- even with high waisted bottoms. and the bell sleeves look nothing like the pic. the entire sleeve is just wide, and it continues with little increase into the cuff. it is just short and boxy. it is going back for sure.</v>
      </c>
      <c r="F135" s="8">
        <f>IFERROR(__xludf.DUMMYFUNCTION("""COMPUTED_VALUE"""),1.0)</f>
        <v>1</v>
      </c>
      <c r="G135" s="8">
        <f>IFERROR(__xludf.DUMMYFUNCTION("""COMPUTED_VALUE"""),0.0)</f>
        <v>0</v>
      </c>
      <c r="H135" s="8">
        <f>IFERROR(__xludf.DUMMYFUNCTION("""COMPUTED_VALUE"""),8.0)</f>
        <v>8</v>
      </c>
      <c r="I135" s="8" t="str">
        <f>IFERROR(__xludf.DUMMYFUNCTION("""COMPUTED_VALUE"""),"General")</f>
        <v>General</v>
      </c>
      <c r="J135" s="8" t="str">
        <f>IFERROR(__xludf.DUMMYFUNCTION("""COMPUTED_VALUE"""),"Tops")</f>
        <v>Tops</v>
      </c>
      <c r="K135" s="8" t="str">
        <f>IFERROR(__xludf.DUMMYFUNCTION("""COMPUTED_VALUE"""),"Sweaters")</f>
        <v>Sweaters</v>
      </c>
      <c r="L135" s="8" t="str">
        <f t="shared" si="1"/>
        <v>Size issue----</v>
      </c>
    </row>
    <row r="136">
      <c r="A136" s="8">
        <f>IFERROR(__xludf.DUMMYFUNCTION("""COMPUTED_VALUE"""),794.0)</f>
        <v>794</v>
      </c>
      <c r="B136" s="8">
        <f>IFERROR(__xludf.DUMMYFUNCTION("""COMPUTED_VALUE"""),833.0)</f>
        <v>833</v>
      </c>
      <c r="C136" s="8">
        <f>IFERROR(__xludf.DUMMYFUNCTION("""COMPUTED_VALUE"""),42.0)</f>
        <v>42</v>
      </c>
      <c r="D136" s="8" t="str">
        <f>IFERROR(__xludf.DUMMYFUNCTION("""COMPUTED_VALUE"""),"Not as pretty in person")</f>
        <v>Not as pretty in person</v>
      </c>
      <c r="E136" s="15" t="str">
        <f>IFERROR(__xludf.DUMMYFUNCTION("""COMPUTED_VALUE"""),"I was excited to see this top in person, but once i got a close up look at it (and also tried it on) i was disappointed. first, the color is much more persimmon orangey in person and that's a hard color to pull off for a lot of people. it just pulls any p"&amp;"ink or red in your skin and highlights it. 
second, the top was poorly finished. i had to pick up two to try on because the lace was wonky across the front of the first one i grabbed. so much so that the lace was puckered because it had been")</f>
        <v>I was excited to see this top in person, but once i got a close up look at it (and also tried it on) i was disappointed. first, the color is much more persimmon orangey in person and that's a hard color to pull off for a lot of people. it just pulls any pink or red in your skin and highlights it. 
second, the top was poorly finished. i had to pick up two to try on because the lace was wonky across the front of the first one i grabbed. so much so that the lace was puckered because it had been</v>
      </c>
      <c r="F136" s="8">
        <f>IFERROR(__xludf.DUMMYFUNCTION("""COMPUTED_VALUE"""),3.0)</f>
        <v>3</v>
      </c>
      <c r="G136" s="8">
        <f>IFERROR(__xludf.DUMMYFUNCTION("""COMPUTED_VALUE"""),0.0)</f>
        <v>0</v>
      </c>
      <c r="H136" s="8">
        <f>IFERROR(__xludf.DUMMYFUNCTION("""COMPUTED_VALUE"""),12.0)</f>
        <v>12</v>
      </c>
      <c r="I136" s="8" t="str">
        <f>IFERROR(__xludf.DUMMYFUNCTION("""COMPUTED_VALUE"""),"General Petite")</f>
        <v>General Petite</v>
      </c>
      <c r="J136" s="8" t="str">
        <f>IFERROR(__xludf.DUMMYFUNCTION("""COMPUTED_VALUE"""),"Tops")</f>
        <v>Tops</v>
      </c>
      <c r="K136" s="8" t="str">
        <f>IFERROR(__xludf.DUMMYFUNCTION("""COMPUTED_VALUE"""),"Blouses")</f>
        <v>Blouses</v>
      </c>
      <c r="L136" s="8" t="str">
        <f t="shared" si="1"/>
        <v>----</v>
      </c>
    </row>
    <row r="137">
      <c r="A137" s="8">
        <f>IFERROR(__xludf.DUMMYFUNCTION("""COMPUTED_VALUE"""),806.0)</f>
        <v>806</v>
      </c>
      <c r="B137" s="8">
        <f>IFERROR(__xludf.DUMMYFUNCTION("""COMPUTED_VALUE"""),895.0)</f>
        <v>895</v>
      </c>
      <c r="C137" s="8">
        <f>IFERROR(__xludf.DUMMYFUNCTION("""COMPUTED_VALUE"""),50.0)</f>
        <v>50</v>
      </c>
      <c r="D137" s="8" t="str">
        <f>IFERROR(__xludf.DUMMYFUNCTION("""COMPUTED_VALUE"""),"Wanted to love it - but . . .")</f>
        <v>Wanted to love it - but . . .</v>
      </c>
      <c r="E137" s="15" t="str">
        <f>IFERROR(__xludf.DUMMYFUNCTION("""COMPUTED_VALUE"""),"I wanted to love this. however, the fit was funky and the colors were muted. this is definitely something you must try on in the store. too risky to buy online due to weird fit.")</f>
        <v>I wanted to love this. however, the fit was funky and the colors were muted. this is definitely something you must try on in the store. too risky to buy online due to weird fit.</v>
      </c>
      <c r="F137" s="8">
        <f>IFERROR(__xludf.DUMMYFUNCTION("""COMPUTED_VALUE"""),2.0)</f>
        <v>2</v>
      </c>
      <c r="G137" s="8">
        <f>IFERROR(__xludf.DUMMYFUNCTION("""COMPUTED_VALUE"""),0.0)</f>
        <v>0</v>
      </c>
      <c r="H137" s="8">
        <f>IFERROR(__xludf.DUMMYFUNCTION("""COMPUTED_VALUE"""),0.0)</f>
        <v>0</v>
      </c>
      <c r="I137" s="8" t="str">
        <f>IFERROR(__xludf.DUMMYFUNCTION("""COMPUTED_VALUE"""),"General")</f>
        <v>General</v>
      </c>
      <c r="J137" s="8" t="str">
        <f>IFERROR(__xludf.DUMMYFUNCTION("""COMPUTED_VALUE"""),"Tops")</f>
        <v>Tops</v>
      </c>
      <c r="K137" s="8" t="str">
        <f>IFERROR(__xludf.DUMMYFUNCTION("""COMPUTED_VALUE"""),"Fine gauge")</f>
        <v>Fine gauge</v>
      </c>
      <c r="L137" s="8" t="str">
        <f t="shared" si="1"/>
        <v>----</v>
      </c>
    </row>
    <row r="138">
      <c r="A138" s="8">
        <f>IFERROR(__xludf.DUMMYFUNCTION("""COMPUTED_VALUE"""),807.0)</f>
        <v>807</v>
      </c>
      <c r="B138" s="8">
        <f>IFERROR(__xludf.DUMMYFUNCTION("""COMPUTED_VALUE"""),886.0)</f>
        <v>886</v>
      </c>
      <c r="C138" s="8">
        <f>IFERROR(__xludf.DUMMYFUNCTION("""COMPUTED_VALUE"""),23.0)</f>
        <v>23</v>
      </c>
      <c r="D138" s="8" t="str">
        <f>IFERROR(__xludf.DUMMYFUNCTION("""COMPUTED_VALUE"""),"Shrinks!!!")</f>
        <v>Shrinks!!!</v>
      </c>
      <c r="E138" s="15" t="str">
        <f>IFERROR(__xludf.DUMMYFUNCTION("""COMPUTED_VALUE"""),"Ladies this top shrinks!!! i am very disappointed, i was in love with this top and the first time i washed it it shrunk a significant amount. i did not use a dryer, i laid this piece out to dry as i do with the majority of my knit tops and it shrunk. it i"&amp;"s a lot shorter and much tighter, especially in my arms. if you love this top i might suggest buying a size up and washing it to fit.")</f>
        <v>Ladies this top shrinks!!! i am very disappointed, i was in love with this top and the first time i washed it it shrunk a significant amount. i did not use a dryer, i laid this piece out to dry as i do with the majority of my knit tops and it shrunk. it is a lot shorter and much tighter, especially in my arms. if you love this top i might suggest buying a size up and washing it to fit.</v>
      </c>
      <c r="F138" s="8">
        <f>IFERROR(__xludf.DUMMYFUNCTION("""COMPUTED_VALUE"""),2.0)</f>
        <v>2</v>
      </c>
      <c r="G138" s="8">
        <f>IFERROR(__xludf.DUMMYFUNCTION("""COMPUTED_VALUE"""),0.0)</f>
        <v>0</v>
      </c>
      <c r="H138" s="8">
        <f>IFERROR(__xludf.DUMMYFUNCTION("""COMPUTED_VALUE"""),14.0)</f>
        <v>14</v>
      </c>
      <c r="I138" s="8" t="str">
        <f>IFERROR(__xludf.DUMMYFUNCTION("""COMPUTED_VALUE"""),"General Petite")</f>
        <v>General Petite</v>
      </c>
      <c r="J138" s="8" t="str">
        <f>IFERROR(__xludf.DUMMYFUNCTION("""COMPUTED_VALUE"""),"Tops")</f>
        <v>Tops</v>
      </c>
      <c r="K138" s="8" t="str">
        <f>IFERROR(__xludf.DUMMYFUNCTION("""COMPUTED_VALUE"""),"Knits")</f>
        <v>Knits</v>
      </c>
      <c r="L138" s="8" t="str">
        <f t="shared" si="1"/>
        <v>Size issue----</v>
      </c>
    </row>
    <row r="139">
      <c r="A139" s="8">
        <f>IFERROR(__xludf.DUMMYFUNCTION("""COMPUTED_VALUE"""),813.0)</f>
        <v>813</v>
      </c>
      <c r="B139" s="8">
        <f>IFERROR(__xludf.DUMMYFUNCTION("""COMPUTED_VALUE"""),895.0)</f>
        <v>895</v>
      </c>
      <c r="C139" s="8">
        <f>IFERROR(__xludf.DUMMYFUNCTION("""COMPUTED_VALUE"""),48.0)</f>
        <v>48</v>
      </c>
      <c r="D139" s="8" t="str">
        <f>IFERROR(__xludf.DUMMYFUNCTION("""COMPUTED_VALUE"""),"Very plain on the front")</f>
        <v>Very plain on the front</v>
      </c>
      <c r="E139" s="15" t="str">
        <f>IFERROR(__xludf.DUMMYFUNCTION("""COMPUTED_VALUE"""),"This sweater looks soft and flowy on the model, but in the store it is rather stiff lace in the back and very plain in the front. i did not like the ribbing on the front bottom of the sweater because it pulled in places and didn't lie flat. way too expens"&amp;"ive for what you are getting.")</f>
        <v>This sweater looks soft and flowy on the model, but in the store it is rather stiff lace in the back and very plain in the front. i did not like the ribbing on the front bottom of the sweater because it pulled in places and didn't lie flat. way too expensive for what you are getting.</v>
      </c>
      <c r="F139" s="8">
        <f>IFERROR(__xludf.DUMMYFUNCTION("""COMPUTED_VALUE"""),3.0)</f>
        <v>3</v>
      </c>
      <c r="G139" s="8">
        <f>IFERROR(__xludf.DUMMYFUNCTION("""COMPUTED_VALUE"""),0.0)</f>
        <v>0</v>
      </c>
      <c r="H139" s="8">
        <f>IFERROR(__xludf.DUMMYFUNCTION("""COMPUTED_VALUE"""),2.0)</f>
        <v>2</v>
      </c>
      <c r="I139" s="8" t="str">
        <f>IFERROR(__xludf.DUMMYFUNCTION("""COMPUTED_VALUE"""),"General")</f>
        <v>General</v>
      </c>
      <c r="J139" s="8" t="str">
        <f>IFERROR(__xludf.DUMMYFUNCTION("""COMPUTED_VALUE"""),"Tops")</f>
        <v>Tops</v>
      </c>
      <c r="K139" s="8" t="str">
        <f>IFERROR(__xludf.DUMMYFUNCTION("""COMPUTED_VALUE"""),"Fine gauge")</f>
        <v>Fine gauge</v>
      </c>
      <c r="L139" s="8" t="str">
        <f t="shared" si="1"/>
        <v>---Price issue-Matching Awareness issue</v>
      </c>
    </row>
    <row r="140">
      <c r="A140" s="8">
        <f>IFERROR(__xludf.DUMMYFUNCTION("""COMPUTED_VALUE"""),814.0)</f>
        <v>814</v>
      </c>
      <c r="B140" s="8">
        <f>IFERROR(__xludf.DUMMYFUNCTION("""COMPUTED_VALUE"""),886.0)</f>
        <v>886</v>
      </c>
      <c r="C140" s="8">
        <f>IFERROR(__xludf.DUMMYFUNCTION("""COMPUTED_VALUE"""),34.0)</f>
        <v>34</v>
      </c>
      <c r="D140" s="8" t="str">
        <f>IFERROR(__xludf.DUMMYFUNCTION("""COMPUTED_VALUE"""),"Might be great if you have a bun in the oven!")</f>
        <v>Might be great if you have a bun in the oven!</v>
      </c>
      <c r="E140" s="15" t="str">
        <f>IFERROR(__xludf.DUMMYFUNCTION("""COMPUTED_VALUE"""),"Again, bought this while wearing my retailer colored glasses. i loved the flowiness and color of the dark pink, and was convinced in the dressing room that this top made me look like a chic goddess, mid-vacation on the amalfi coast. i tried it on at home,"&amp;" and it straight up looked like i was wearing a maternity top. since i'm not with child, this one's going back!")</f>
        <v>Again, bought this while wearing my retailer colored glasses. i loved the flowiness and color of the dark pink, and was convinced in the dressing room that this top made me look like a chic goddess, mid-vacation on the amalfi coast. i tried it on at home, and it straight up looked like i was wearing a maternity top. since i'm not with child, this one's going back!</v>
      </c>
      <c r="F140" s="8">
        <f>IFERROR(__xludf.DUMMYFUNCTION("""COMPUTED_VALUE"""),2.0)</f>
        <v>2</v>
      </c>
      <c r="G140" s="8">
        <f>IFERROR(__xludf.DUMMYFUNCTION("""COMPUTED_VALUE"""),0.0)</f>
        <v>0</v>
      </c>
      <c r="H140" s="8">
        <f>IFERROR(__xludf.DUMMYFUNCTION("""COMPUTED_VALUE"""),0.0)</f>
        <v>0</v>
      </c>
      <c r="I140" s="8" t="str">
        <f>IFERROR(__xludf.DUMMYFUNCTION("""COMPUTED_VALUE"""),"General Petite")</f>
        <v>General Petite</v>
      </c>
      <c r="J140" s="8" t="str">
        <f>IFERROR(__xludf.DUMMYFUNCTION("""COMPUTED_VALUE"""),"Tops")</f>
        <v>Tops</v>
      </c>
      <c r="K140" s="8" t="str">
        <f>IFERROR(__xludf.DUMMYFUNCTION("""COMPUTED_VALUE"""),"Knits")</f>
        <v>Knits</v>
      </c>
      <c r="L140" s="8" t="str">
        <f t="shared" si="1"/>
        <v>----</v>
      </c>
    </row>
    <row r="141">
      <c r="A141" s="8">
        <f>IFERROR(__xludf.DUMMYFUNCTION("""COMPUTED_VALUE"""),815.0)</f>
        <v>815</v>
      </c>
      <c r="B141" s="8">
        <f>IFERROR(__xludf.DUMMYFUNCTION("""COMPUTED_VALUE"""),895.0)</f>
        <v>895</v>
      </c>
      <c r="C141" s="8">
        <f>IFERROR(__xludf.DUMMYFUNCTION("""COMPUTED_VALUE"""),42.0)</f>
        <v>42</v>
      </c>
      <c r="D141" s="8" t="str">
        <f>IFERROR(__xludf.DUMMYFUNCTION("""COMPUTED_VALUE"""),"Pretty but just okay when worn.")</f>
        <v>Pretty but just okay when worn.</v>
      </c>
      <c r="E141" s="15" t="str">
        <f>IFERROR(__xludf.DUMMYFUNCTION("""COMPUTED_VALUE"""),"I love the back detail but doesn't feel that comfortable on. i bought in green. it's fitted so get size larger if you plan to layer up. i'm 107 and bought xs size. i should have ordered the s.")</f>
        <v>I love the back detail but doesn't feel that comfortable on. i bought in green. it's fitted so get size larger if you plan to layer up. i'm 107 and bought xs size. i should have ordered the s.</v>
      </c>
      <c r="F141" s="8">
        <f>IFERROR(__xludf.DUMMYFUNCTION("""COMPUTED_VALUE"""),3.0)</f>
        <v>3</v>
      </c>
      <c r="G141" s="8">
        <f>IFERROR(__xludf.DUMMYFUNCTION("""COMPUTED_VALUE"""),0.0)</f>
        <v>0</v>
      </c>
      <c r="H141" s="8">
        <f>IFERROR(__xludf.DUMMYFUNCTION("""COMPUTED_VALUE"""),0.0)</f>
        <v>0</v>
      </c>
      <c r="I141" s="8" t="str">
        <f>IFERROR(__xludf.DUMMYFUNCTION("""COMPUTED_VALUE"""),"General")</f>
        <v>General</v>
      </c>
      <c r="J141" s="8" t="str">
        <f>IFERROR(__xludf.DUMMYFUNCTION("""COMPUTED_VALUE"""),"Tops")</f>
        <v>Tops</v>
      </c>
      <c r="K141" s="8" t="str">
        <f>IFERROR(__xludf.DUMMYFUNCTION("""COMPUTED_VALUE"""),"Fine gauge")</f>
        <v>Fine gauge</v>
      </c>
      <c r="L141" s="8" t="str">
        <f t="shared" si="1"/>
        <v>Size issue----</v>
      </c>
    </row>
    <row r="142">
      <c r="A142" s="8">
        <f>IFERROR(__xludf.DUMMYFUNCTION("""COMPUTED_VALUE"""),818.0)</f>
        <v>818</v>
      </c>
      <c r="B142" s="8">
        <f>IFERROR(__xludf.DUMMYFUNCTION("""COMPUTED_VALUE"""),886.0)</f>
        <v>886</v>
      </c>
      <c r="C142" s="8">
        <f>IFERROR(__xludf.DUMMYFUNCTION("""COMPUTED_VALUE"""),43.0)</f>
        <v>43</v>
      </c>
      <c r="D142" s="8" t="str">
        <f>IFERROR(__xludf.DUMMYFUNCTION("""COMPUTED_VALUE"""),"Not a great design")</f>
        <v>Not a great design</v>
      </c>
      <c r="E142" s="15" t="str">
        <f>IFERROR(__xludf.DUMMYFUNCTION("""COMPUTED_VALUE"""),"This shirt is not a good look for a gal with hips. the fit at the top is tight (i ordered a small) but there is so much material at the bottom and if you are a little taller (i am 5'7), it hits at a place that is not flattering. i was hoping for something"&amp;" that hung straight down and would be good with leggings. this is not it...also the material is a little stiffer then i was expecting.")</f>
        <v>This shirt is not a good look for a gal with hips. the fit at the top is tight (i ordered a small) but there is so much material at the bottom and if you are a little taller (i am 5'7), it hits at a place that is not flattering. i was hoping for something that hung straight down and would be good with leggings. this is not it...also the material is a little stiffer then i was expecting.</v>
      </c>
      <c r="F142" s="8">
        <f>IFERROR(__xludf.DUMMYFUNCTION("""COMPUTED_VALUE"""),2.0)</f>
        <v>2</v>
      </c>
      <c r="G142" s="8">
        <f>IFERROR(__xludf.DUMMYFUNCTION("""COMPUTED_VALUE"""),0.0)</f>
        <v>0</v>
      </c>
      <c r="H142" s="8">
        <f>IFERROR(__xludf.DUMMYFUNCTION("""COMPUTED_VALUE"""),0.0)</f>
        <v>0</v>
      </c>
      <c r="I142" s="8" t="str">
        <f>IFERROR(__xludf.DUMMYFUNCTION("""COMPUTED_VALUE"""),"General Petite")</f>
        <v>General Petite</v>
      </c>
      <c r="J142" s="8" t="str">
        <f>IFERROR(__xludf.DUMMYFUNCTION("""COMPUTED_VALUE"""),"Tops")</f>
        <v>Tops</v>
      </c>
      <c r="K142" s="8" t="str">
        <f>IFERROR(__xludf.DUMMYFUNCTION("""COMPUTED_VALUE"""),"Knits")</f>
        <v>Knits</v>
      </c>
      <c r="L142" s="8" t="str">
        <f t="shared" si="1"/>
        <v>Size issue-Fabric issue---</v>
      </c>
    </row>
    <row r="143">
      <c r="A143" s="8">
        <f>IFERROR(__xludf.DUMMYFUNCTION("""COMPUTED_VALUE"""),825.0)</f>
        <v>825</v>
      </c>
      <c r="B143" s="8">
        <f>IFERROR(__xludf.DUMMYFUNCTION("""COMPUTED_VALUE"""),886.0)</f>
        <v>886</v>
      </c>
      <c r="C143" s="8">
        <f>IFERROR(__xludf.DUMMYFUNCTION("""COMPUTED_VALUE"""),39.0)</f>
        <v>39</v>
      </c>
      <c r="D143" s="8" t="str">
        <f>IFERROR(__xludf.DUMMYFUNCTION("""COMPUTED_VALUE"""),"Weird shape.")</f>
        <v>Weird shape.</v>
      </c>
      <c r="E143" s="15" t="str">
        <f>IFERROR(__xludf.DUMMYFUNCTION("""COMPUTED_VALUE"""),"After seeing this on anthto's facebook page i was so excited to order. i ended up going to a store and trying on. i couldn't believe it was the same shirts when i first saw it. i thought this ran quite big. and the shape was odd. lots of material in the m"&amp;"iddle. i am a mom of 3 young kids and didn't want people to think #4 was on the way.")</f>
        <v>After seeing this on anthto's facebook page i was so excited to order. i ended up going to a store and trying on. i couldn't believe it was the same shirts when i first saw it. i thought this ran quite big. and the shape was odd. lots of material in the middle. i am a mom of 3 young kids and didn't want people to think #4 was on the way.</v>
      </c>
      <c r="F143" s="8">
        <f>IFERROR(__xludf.DUMMYFUNCTION("""COMPUTED_VALUE"""),2.0)</f>
        <v>2</v>
      </c>
      <c r="G143" s="8">
        <f>IFERROR(__xludf.DUMMYFUNCTION("""COMPUTED_VALUE"""),0.0)</f>
        <v>0</v>
      </c>
      <c r="H143" s="8">
        <f>IFERROR(__xludf.DUMMYFUNCTION("""COMPUTED_VALUE"""),15.0)</f>
        <v>15</v>
      </c>
      <c r="I143" s="8" t="str">
        <f>IFERROR(__xludf.DUMMYFUNCTION("""COMPUTED_VALUE"""),"General Petite")</f>
        <v>General Petite</v>
      </c>
      <c r="J143" s="8" t="str">
        <f>IFERROR(__xludf.DUMMYFUNCTION("""COMPUTED_VALUE"""),"Tops")</f>
        <v>Tops</v>
      </c>
      <c r="K143" s="8" t="str">
        <f>IFERROR(__xludf.DUMMYFUNCTION("""COMPUTED_VALUE"""),"Knits")</f>
        <v>Knits</v>
      </c>
      <c r="L143" s="8" t="str">
        <f t="shared" si="1"/>
        <v>-Fabric issue---</v>
      </c>
    </row>
    <row r="144">
      <c r="A144" s="8">
        <f>IFERROR(__xludf.DUMMYFUNCTION("""COMPUTED_VALUE"""),826.0)</f>
        <v>826</v>
      </c>
      <c r="B144" s="8">
        <f>IFERROR(__xludf.DUMMYFUNCTION("""COMPUTED_VALUE"""),895.0)</f>
        <v>895</v>
      </c>
      <c r="C144" s="8">
        <f>IFERROR(__xludf.DUMMYFUNCTION("""COMPUTED_VALUE"""),54.0)</f>
        <v>54</v>
      </c>
      <c r="D144" s="8" t="str">
        <f>IFERROR(__xludf.DUMMYFUNCTION("""COMPUTED_VALUE"""),"Boxy")</f>
        <v>Boxy</v>
      </c>
      <c r="E144" s="15" t="str">
        <f>IFERROR(__xludf.DUMMYFUNCTION("""COMPUTED_VALUE"""),"I ordered this sweater in black and thought it was a pretty design and something different in a cardigan. when i tried it on, it was an odd fit and very boxy and unflattering. i wanted to like it and keep it, but i knew i would not wear it so, unfortunate"&amp;"ly, it went back.")</f>
        <v>I ordered this sweater in black and thought it was a pretty design and something different in a cardigan. when i tried it on, it was an odd fit and very boxy and unflattering. i wanted to like it and keep it, but i knew i would not wear it so, unfortunately, it went back.</v>
      </c>
      <c r="F144" s="8">
        <f>IFERROR(__xludf.DUMMYFUNCTION("""COMPUTED_VALUE"""),3.0)</f>
        <v>3</v>
      </c>
      <c r="G144" s="8">
        <f>IFERROR(__xludf.DUMMYFUNCTION("""COMPUTED_VALUE"""),0.0)</f>
        <v>0</v>
      </c>
      <c r="H144" s="8">
        <f>IFERROR(__xludf.DUMMYFUNCTION("""COMPUTED_VALUE"""),0.0)</f>
        <v>0</v>
      </c>
      <c r="I144" s="8" t="str">
        <f>IFERROR(__xludf.DUMMYFUNCTION("""COMPUTED_VALUE"""),"General")</f>
        <v>General</v>
      </c>
      <c r="J144" s="8" t="str">
        <f>IFERROR(__xludf.DUMMYFUNCTION("""COMPUTED_VALUE"""),"Tops")</f>
        <v>Tops</v>
      </c>
      <c r="K144" s="8" t="str">
        <f>IFERROR(__xludf.DUMMYFUNCTION("""COMPUTED_VALUE"""),"Fine gauge")</f>
        <v>Fine gauge</v>
      </c>
      <c r="L144" s="8" t="str">
        <f t="shared" si="1"/>
        <v>Size issue--Style issue--</v>
      </c>
    </row>
    <row r="145">
      <c r="A145" s="8">
        <f>IFERROR(__xludf.DUMMYFUNCTION("""COMPUTED_VALUE"""),828.0)</f>
        <v>828</v>
      </c>
      <c r="B145" s="8">
        <f>IFERROR(__xludf.DUMMYFUNCTION("""COMPUTED_VALUE"""),886.0)</f>
        <v>886</v>
      </c>
      <c r="C145" s="8">
        <f>IFERROR(__xludf.DUMMYFUNCTION("""COMPUTED_VALUE"""),46.0)</f>
        <v>46</v>
      </c>
      <c r="D145" s="8" t="str">
        <f>IFERROR(__xludf.DUMMYFUNCTION("""COMPUTED_VALUE"""),"Too long, poor quality")</f>
        <v>Too long, poor quality</v>
      </c>
      <c r="E145" s="15" t="str">
        <f>IFERROR(__xludf.DUMMYFUNCTION("""COMPUTED_VALUE"""),"I ordered the pink in size xl. the color was pretty. the problem is the material was too thin and tight. it ran at least a size smaller than shown in the photos online.")</f>
        <v>I ordered the pink in size xl. the color was pretty. the problem is the material was too thin and tight. it ran at least a size smaller than shown in the photos online.</v>
      </c>
      <c r="F145" s="8">
        <f>IFERROR(__xludf.DUMMYFUNCTION("""COMPUTED_VALUE"""),3.0)</f>
        <v>3</v>
      </c>
      <c r="G145" s="8">
        <f>IFERROR(__xludf.DUMMYFUNCTION("""COMPUTED_VALUE"""),0.0)</f>
        <v>0</v>
      </c>
      <c r="H145" s="8">
        <f>IFERROR(__xludf.DUMMYFUNCTION("""COMPUTED_VALUE"""),0.0)</f>
        <v>0</v>
      </c>
      <c r="I145" s="8" t="str">
        <f>IFERROR(__xludf.DUMMYFUNCTION("""COMPUTED_VALUE"""),"General Petite")</f>
        <v>General Petite</v>
      </c>
      <c r="J145" s="8" t="str">
        <f>IFERROR(__xludf.DUMMYFUNCTION("""COMPUTED_VALUE"""),"Tops")</f>
        <v>Tops</v>
      </c>
      <c r="K145" s="8" t="str">
        <f>IFERROR(__xludf.DUMMYFUNCTION("""COMPUTED_VALUE"""),"Knits")</f>
        <v>Knits</v>
      </c>
      <c r="L145" s="8" t="str">
        <f t="shared" si="1"/>
        <v>Size issue-Fabric issue---</v>
      </c>
    </row>
    <row r="146">
      <c r="A146" s="8">
        <f>IFERROR(__xludf.DUMMYFUNCTION("""COMPUTED_VALUE"""),830.0)</f>
        <v>830</v>
      </c>
      <c r="B146" s="8">
        <f>IFERROR(__xludf.DUMMYFUNCTION("""COMPUTED_VALUE"""),895.0)</f>
        <v>895</v>
      </c>
      <c r="C146" s="8">
        <f>IFERROR(__xludf.DUMMYFUNCTION("""COMPUTED_VALUE"""),59.0)</f>
        <v>59</v>
      </c>
      <c r="D146" s="8" t="str">
        <f>IFERROR(__xludf.DUMMYFUNCTION("""COMPUTED_VALUE"""),"Gold thread")</f>
        <v>Gold thread</v>
      </c>
      <c r="E146" s="15" t="str">
        <f>IFERROR(__xludf.DUMMYFUNCTION("""COMPUTED_VALUE"""),"This is a very pretty sweater, a bit boxy and short but cute. i am 5'1"" and ordered the regular xs in black. the thing i did not like about this sweater was the gold thread through the back lace. i would have kept this if it was plain black lace. just di"&amp;"d not like that look.")</f>
        <v>This is a very pretty sweater, a bit boxy and short but cute. i am 5'1" and ordered the regular xs in black. the thing i did not like about this sweater was the gold thread through the back lace. i would have kept this if it was plain black lace. just did not like that look.</v>
      </c>
      <c r="F146" s="8">
        <f>IFERROR(__xludf.DUMMYFUNCTION("""COMPUTED_VALUE"""),2.0)</f>
        <v>2</v>
      </c>
      <c r="G146" s="8">
        <f>IFERROR(__xludf.DUMMYFUNCTION("""COMPUTED_VALUE"""),0.0)</f>
        <v>0</v>
      </c>
      <c r="H146" s="8">
        <f>IFERROR(__xludf.DUMMYFUNCTION("""COMPUTED_VALUE"""),2.0)</f>
        <v>2</v>
      </c>
      <c r="I146" s="8" t="str">
        <f>IFERROR(__xludf.DUMMYFUNCTION("""COMPUTED_VALUE"""),"General")</f>
        <v>General</v>
      </c>
      <c r="J146" s="8" t="str">
        <f>IFERROR(__xludf.DUMMYFUNCTION("""COMPUTED_VALUE"""),"Tops")</f>
        <v>Tops</v>
      </c>
      <c r="K146" s="8" t="str">
        <f>IFERROR(__xludf.DUMMYFUNCTION("""COMPUTED_VALUE"""),"Fine gauge")</f>
        <v>Fine gauge</v>
      </c>
      <c r="L146" s="8" t="str">
        <f t="shared" si="1"/>
        <v>Size issue----</v>
      </c>
    </row>
    <row r="147">
      <c r="A147" s="8">
        <f>IFERROR(__xludf.DUMMYFUNCTION("""COMPUTED_VALUE"""),835.0)</f>
        <v>835</v>
      </c>
      <c r="B147" s="8">
        <f>IFERROR(__xludf.DUMMYFUNCTION("""COMPUTED_VALUE"""),895.0)</f>
        <v>895</v>
      </c>
      <c r="C147" s="8">
        <f>IFERROR(__xludf.DUMMYFUNCTION("""COMPUTED_VALUE"""),35.0)</f>
        <v>35</v>
      </c>
      <c r="D147" s="8" t="str">
        <f>IFERROR(__xludf.DUMMYFUNCTION("""COMPUTED_VALUE"""),"Not for tall ladies")</f>
        <v>Not for tall ladies</v>
      </c>
      <c r="E147" s="15" t="str">
        <f>IFERROR(__xludf.DUMMYFUNCTION("""COMPUTED_VALUE"""),"This sweater is a cute design but did not work for me. i am 5'9"" and this is way to short/cropped and looks awkward. the quality was so so, it looked stretched out in the front. it's getting returned.")</f>
        <v>This sweater is a cute design but did not work for me. i am 5'9" and this is way to short/cropped and looks awkward. the quality was so so, it looked stretched out in the front. it's getting returned.</v>
      </c>
      <c r="F147" s="8">
        <f>IFERROR(__xludf.DUMMYFUNCTION("""COMPUTED_VALUE"""),2.0)</f>
        <v>2</v>
      </c>
      <c r="G147" s="8">
        <f>IFERROR(__xludf.DUMMYFUNCTION("""COMPUTED_VALUE"""),0.0)</f>
        <v>0</v>
      </c>
      <c r="H147" s="8">
        <f>IFERROR(__xludf.DUMMYFUNCTION("""COMPUTED_VALUE"""),1.0)</f>
        <v>1</v>
      </c>
      <c r="I147" s="8" t="str">
        <f>IFERROR(__xludf.DUMMYFUNCTION("""COMPUTED_VALUE"""),"General")</f>
        <v>General</v>
      </c>
      <c r="J147" s="8" t="str">
        <f>IFERROR(__xludf.DUMMYFUNCTION("""COMPUTED_VALUE"""),"Tops")</f>
        <v>Tops</v>
      </c>
      <c r="K147" s="8" t="str">
        <f>IFERROR(__xludf.DUMMYFUNCTION("""COMPUTED_VALUE"""),"Fine gauge")</f>
        <v>Fine gauge</v>
      </c>
      <c r="L147" s="8" t="str">
        <f t="shared" si="1"/>
        <v>Size issue--Style issue--</v>
      </c>
    </row>
    <row r="148">
      <c r="A148" s="8">
        <f>IFERROR(__xludf.DUMMYFUNCTION("""COMPUTED_VALUE"""),836.0)</f>
        <v>836</v>
      </c>
      <c r="B148" s="8">
        <f>IFERROR(__xludf.DUMMYFUNCTION("""COMPUTED_VALUE"""),886.0)</f>
        <v>886</v>
      </c>
      <c r="C148" s="8">
        <f>IFERROR(__xludf.DUMMYFUNCTION("""COMPUTED_VALUE"""),61.0)</f>
        <v>61</v>
      </c>
      <c r="D148" s="8" t="str">
        <f>IFERROR(__xludf.DUMMYFUNCTION("""COMPUTED_VALUE"""),"Lokka tunic")</f>
        <v>Lokka tunic</v>
      </c>
      <c r="E148" s="15" t="str">
        <f>IFERROR(__xludf.DUMMYFUNCTION("""COMPUTED_VALUE"""),"Beautiful top, loved the color but shoulders were totally messed up and not sure if it was from
hanging at store or the way it was sewn.")</f>
        <v>Beautiful top, loved the color but shoulders were totally messed up and not sure if it was from
hanging at store or the way it was sewn.</v>
      </c>
      <c r="F148" s="8">
        <f>IFERROR(__xludf.DUMMYFUNCTION("""COMPUTED_VALUE"""),2.0)</f>
        <v>2</v>
      </c>
      <c r="G148" s="8">
        <f>IFERROR(__xludf.DUMMYFUNCTION("""COMPUTED_VALUE"""),0.0)</f>
        <v>0</v>
      </c>
      <c r="H148" s="8">
        <f>IFERROR(__xludf.DUMMYFUNCTION("""COMPUTED_VALUE"""),0.0)</f>
        <v>0</v>
      </c>
      <c r="I148" s="8" t="str">
        <f>IFERROR(__xludf.DUMMYFUNCTION("""COMPUTED_VALUE"""),"General Petite")</f>
        <v>General Petite</v>
      </c>
      <c r="J148" s="8" t="str">
        <f>IFERROR(__xludf.DUMMYFUNCTION("""COMPUTED_VALUE"""),"Tops")</f>
        <v>Tops</v>
      </c>
      <c r="K148" s="8" t="str">
        <f>IFERROR(__xludf.DUMMYFUNCTION("""COMPUTED_VALUE"""),"Knits")</f>
        <v>Knits</v>
      </c>
      <c r="L148" s="8" t="str">
        <f t="shared" si="1"/>
        <v>----</v>
      </c>
    </row>
    <row r="149">
      <c r="A149" s="8">
        <f>IFERROR(__xludf.DUMMYFUNCTION("""COMPUTED_VALUE"""),837.0)</f>
        <v>837</v>
      </c>
      <c r="B149" s="8">
        <f>IFERROR(__xludf.DUMMYFUNCTION("""COMPUTED_VALUE"""),886.0)</f>
        <v>886</v>
      </c>
      <c r="C149" s="8">
        <f>IFERROR(__xludf.DUMMYFUNCTION("""COMPUTED_VALUE"""),34.0)</f>
        <v>34</v>
      </c>
      <c r="D149" s="8"/>
      <c r="E149" s="15" t="str">
        <f>IFERROR(__xludf.DUMMYFUNCTION("""COMPUTED_VALUE"""),"I ordered this in two colors, in my regular size. i washed and laid flat to dry....it shrunk like crazy. i held the one i washed up to the other unworn/unwashed one and it was at least two inches shorter. they may both be going back. i am so sad.")</f>
        <v>I ordered this in two colors, in my regular size. i washed and laid flat to dry....it shrunk like crazy. i held the one i washed up to the other unworn/unwashed one and it was at least two inches shorter. they may both be going back. i am so sad.</v>
      </c>
      <c r="F149" s="8">
        <f>IFERROR(__xludf.DUMMYFUNCTION("""COMPUTED_VALUE"""),4.0)</f>
        <v>4</v>
      </c>
      <c r="G149" s="8">
        <f>IFERROR(__xludf.DUMMYFUNCTION("""COMPUTED_VALUE"""),0.0)</f>
        <v>0</v>
      </c>
      <c r="H149" s="8">
        <f>IFERROR(__xludf.DUMMYFUNCTION("""COMPUTED_VALUE"""),6.0)</f>
        <v>6</v>
      </c>
      <c r="I149" s="8" t="str">
        <f>IFERROR(__xludf.DUMMYFUNCTION("""COMPUTED_VALUE"""),"General Petite")</f>
        <v>General Petite</v>
      </c>
      <c r="J149" s="8" t="str">
        <f>IFERROR(__xludf.DUMMYFUNCTION("""COMPUTED_VALUE"""),"Tops")</f>
        <v>Tops</v>
      </c>
      <c r="K149" s="8" t="str">
        <f>IFERROR(__xludf.DUMMYFUNCTION("""COMPUTED_VALUE"""),"Knits")</f>
        <v>Knits</v>
      </c>
      <c r="L149" s="8" t="str">
        <f t="shared" si="1"/>
        <v>Size issue----</v>
      </c>
    </row>
    <row r="150">
      <c r="A150" s="8">
        <f>IFERROR(__xludf.DUMMYFUNCTION("""COMPUTED_VALUE"""),838.0)</f>
        <v>838</v>
      </c>
      <c r="B150" s="8">
        <f>IFERROR(__xludf.DUMMYFUNCTION("""COMPUTED_VALUE"""),886.0)</f>
        <v>886</v>
      </c>
      <c r="C150" s="8">
        <f>IFERROR(__xludf.DUMMYFUNCTION("""COMPUTED_VALUE"""),55.0)</f>
        <v>55</v>
      </c>
      <c r="D150" s="8"/>
      <c r="E150" s="15" t="str">
        <f>IFERROR(__xludf.DUMMYFUNCTION("""COMPUTED_VALUE"""),"I purchased this top in blue and liked it so i ordered the red color. i hated the way the second one fit. i'm concerned the blue will not wear well after seeing the way the second one looked!")</f>
        <v>I purchased this top in blue and liked it so i ordered the red color. i hated the way the second one fit. i'm concerned the blue will not wear well after seeing the way the second one looked!</v>
      </c>
      <c r="F150" s="8">
        <f>IFERROR(__xludf.DUMMYFUNCTION("""COMPUTED_VALUE"""),2.0)</f>
        <v>2</v>
      </c>
      <c r="G150" s="8">
        <f>IFERROR(__xludf.DUMMYFUNCTION("""COMPUTED_VALUE"""),0.0)</f>
        <v>0</v>
      </c>
      <c r="H150" s="8">
        <f>IFERROR(__xludf.DUMMYFUNCTION("""COMPUTED_VALUE"""),0.0)</f>
        <v>0</v>
      </c>
      <c r="I150" s="8" t="str">
        <f>IFERROR(__xludf.DUMMYFUNCTION("""COMPUTED_VALUE"""),"General Petite")</f>
        <v>General Petite</v>
      </c>
      <c r="J150" s="8" t="str">
        <f>IFERROR(__xludf.DUMMYFUNCTION("""COMPUTED_VALUE"""),"Tops")</f>
        <v>Tops</v>
      </c>
      <c r="K150" s="8" t="str">
        <f>IFERROR(__xludf.DUMMYFUNCTION("""COMPUTED_VALUE"""),"Knits")</f>
        <v>Knits</v>
      </c>
      <c r="L150" s="8" t="str">
        <f t="shared" si="1"/>
        <v>----</v>
      </c>
    </row>
    <row r="151">
      <c r="A151" s="8">
        <f>IFERROR(__xludf.DUMMYFUNCTION("""COMPUTED_VALUE"""),842.0)</f>
        <v>842</v>
      </c>
      <c r="B151" s="8">
        <f>IFERROR(__xludf.DUMMYFUNCTION("""COMPUTED_VALUE"""),975.0)</f>
        <v>975</v>
      </c>
      <c r="C151" s="8">
        <f>IFERROR(__xludf.DUMMYFUNCTION("""COMPUTED_VALUE"""),28.0)</f>
        <v>28</v>
      </c>
      <c r="D151" s="8" t="str">
        <f>IFERROR(__xludf.DUMMYFUNCTION("""COMPUTED_VALUE"""),"Love but poorly made")</f>
        <v>Love but poorly made</v>
      </c>
      <c r="E151" s="15" t="str">
        <f>IFERROR(__xludf.DUMMYFUNCTION("""COMPUTED_VALUE"""),"You guys, i love this so much! however, within one hour of wearing it, the back seam completely ripped. it fit me perfectly... sadly i&amp;#39;ll have to return the damaged item. really sad it&amp;#39;s all sold out too!")</f>
        <v>You guys, i love this so much! however, within one hour of wearing it, the back seam completely ripped. it fit me perfectly... sadly i&amp;#39;ll have to return the damaged item. really sad it&amp;#39;s all sold out too!</v>
      </c>
      <c r="F151" s="8">
        <f>IFERROR(__xludf.DUMMYFUNCTION("""COMPUTED_VALUE"""),3.0)</f>
        <v>3</v>
      </c>
      <c r="G151" s="8">
        <f>IFERROR(__xludf.DUMMYFUNCTION("""COMPUTED_VALUE"""),0.0)</f>
        <v>0</v>
      </c>
      <c r="H151" s="8">
        <f>IFERROR(__xludf.DUMMYFUNCTION("""COMPUTED_VALUE"""),0.0)</f>
        <v>0</v>
      </c>
      <c r="I151" s="8" t="str">
        <f>IFERROR(__xludf.DUMMYFUNCTION("""COMPUTED_VALUE"""),"General")</f>
        <v>General</v>
      </c>
      <c r="J151" s="8" t="str">
        <f>IFERROR(__xludf.DUMMYFUNCTION("""COMPUTED_VALUE"""),"Jackets")</f>
        <v>Jackets</v>
      </c>
      <c r="K151" s="8" t="str">
        <f>IFERROR(__xludf.DUMMYFUNCTION("""COMPUTED_VALUE"""),"Jackets")</f>
        <v>Jackets</v>
      </c>
      <c r="L151" s="8" t="str">
        <f t="shared" si="1"/>
        <v>----</v>
      </c>
    </row>
    <row r="152">
      <c r="A152" s="8">
        <f>IFERROR(__xludf.DUMMYFUNCTION("""COMPUTED_VALUE"""),847.0)</f>
        <v>847</v>
      </c>
      <c r="B152" s="8">
        <f>IFERROR(__xludf.DUMMYFUNCTION("""COMPUTED_VALUE"""),1060.0)</f>
        <v>1060</v>
      </c>
      <c r="C152" s="8">
        <f>IFERROR(__xludf.DUMMYFUNCTION("""COMPUTED_VALUE"""),49.0)</f>
        <v>49</v>
      </c>
      <c r="D152" s="8"/>
      <c r="E152" s="15" t="str">
        <f>IFERROR(__xludf.DUMMYFUNCTION("""COMPUTED_VALUE"""),"Oh elevenses, i love your pants..the fabrics, the details, the length. i've found elevenses to be classic work pants. reliable, professional, well made. these are none of those things. the cardinal trousers are thin and the rise feels much higher that's i"&amp;"t appears in the picture. the red pair are thin, stretchy and cheap. both pairs have to go back. i'm truly sad.")</f>
        <v>Oh elevenses, i love your pants..the fabrics, the details, the length. i've found elevenses to be classic work pants. reliable, professional, well made. these are none of those things. the cardinal trousers are thin and the rise feels much higher that's it appears in the picture. the red pair are thin, stretchy and cheap. both pairs have to go back. i'm truly sad.</v>
      </c>
      <c r="F152" s="8">
        <f>IFERROR(__xludf.DUMMYFUNCTION("""COMPUTED_VALUE"""),1.0)</f>
        <v>1</v>
      </c>
      <c r="G152" s="8">
        <f>IFERROR(__xludf.DUMMYFUNCTION("""COMPUTED_VALUE"""),0.0)</f>
        <v>0</v>
      </c>
      <c r="H152" s="8">
        <f>IFERROR(__xludf.DUMMYFUNCTION("""COMPUTED_VALUE"""),7.0)</f>
        <v>7</v>
      </c>
      <c r="I152" s="8" t="str">
        <f>IFERROR(__xludf.DUMMYFUNCTION("""COMPUTED_VALUE"""),"General Petite")</f>
        <v>General Petite</v>
      </c>
      <c r="J152" s="8" t="str">
        <f>IFERROR(__xludf.DUMMYFUNCTION("""COMPUTED_VALUE"""),"Bottoms")</f>
        <v>Bottoms</v>
      </c>
      <c r="K152" s="8" t="str">
        <f>IFERROR(__xludf.DUMMYFUNCTION("""COMPUTED_VALUE"""),"Pants")</f>
        <v>Pants</v>
      </c>
      <c r="L152" s="8" t="str">
        <f t="shared" si="1"/>
        <v>--Style issue--</v>
      </c>
    </row>
    <row r="153">
      <c r="A153" s="8">
        <f>IFERROR(__xludf.DUMMYFUNCTION("""COMPUTED_VALUE"""),858.0)</f>
        <v>858</v>
      </c>
      <c r="B153" s="8">
        <f>IFERROR(__xludf.DUMMYFUNCTION("""COMPUTED_VALUE"""),895.0)</f>
        <v>895</v>
      </c>
      <c r="C153" s="8">
        <f>IFERROR(__xludf.DUMMYFUNCTION("""COMPUTED_VALUE"""),29.0)</f>
        <v>29</v>
      </c>
      <c r="D153" s="8" t="str">
        <f>IFERROR(__xludf.DUMMYFUNCTION("""COMPUTED_VALUE"""),"Funky seams")</f>
        <v>Funky seams</v>
      </c>
      <c r="E153" s="15" t="str">
        <f>IFERROR(__xludf.DUMMYFUNCTION("""COMPUTED_VALUE"""),"Love the design and the gold color, but the seams between knit and lace were a little weird and bunched/weren't smooth. maybe the one i tried on just needed to be ironed or something...")</f>
        <v>Love the design and the gold color, but the seams between knit and lace were a little weird and bunched/weren't smooth. maybe the one i tried on just needed to be ironed or something...</v>
      </c>
      <c r="F153" s="8">
        <f>IFERROR(__xludf.DUMMYFUNCTION("""COMPUTED_VALUE"""),3.0)</f>
        <v>3</v>
      </c>
      <c r="G153" s="8">
        <f>IFERROR(__xludf.DUMMYFUNCTION("""COMPUTED_VALUE"""),0.0)</f>
        <v>0</v>
      </c>
      <c r="H153" s="8">
        <f>IFERROR(__xludf.DUMMYFUNCTION("""COMPUTED_VALUE"""),1.0)</f>
        <v>1</v>
      </c>
      <c r="I153" s="8" t="str">
        <f>IFERROR(__xludf.DUMMYFUNCTION("""COMPUTED_VALUE"""),"General Petite")</f>
        <v>General Petite</v>
      </c>
      <c r="J153" s="8" t="str">
        <f>IFERROR(__xludf.DUMMYFUNCTION("""COMPUTED_VALUE"""),"Tops")</f>
        <v>Tops</v>
      </c>
      <c r="K153" s="8" t="str">
        <f>IFERROR(__xludf.DUMMYFUNCTION("""COMPUTED_VALUE"""),"Fine gauge")</f>
        <v>Fine gauge</v>
      </c>
      <c r="L153" s="8" t="str">
        <f t="shared" si="1"/>
        <v>--Style issue--</v>
      </c>
    </row>
    <row r="154">
      <c r="A154" s="8">
        <f>IFERROR(__xludf.DUMMYFUNCTION("""COMPUTED_VALUE"""),866.0)</f>
        <v>866</v>
      </c>
      <c r="B154" s="8">
        <f>IFERROR(__xludf.DUMMYFUNCTION("""COMPUTED_VALUE"""),1060.0)</f>
        <v>1060</v>
      </c>
      <c r="C154" s="8">
        <f>IFERROR(__xludf.DUMMYFUNCTION("""COMPUTED_VALUE"""),38.0)</f>
        <v>38</v>
      </c>
      <c r="D154" s="8" t="str">
        <f>IFERROR(__xludf.DUMMYFUNCTION("""COMPUTED_VALUE"""),"Not worth the $$")</f>
        <v>Not worth the $$</v>
      </c>
      <c r="E154" s="15" t="str">
        <f>IFERROR(__xludf.DUMMYFUNCTION("""COMPUTED_VALUE"""),"I loved the cut of these pants and the button accent on the pockets. however, the material was quite thin and the quality was not great- there were multiple snags along the seams. additionally, at 5'8, 130lbs i was swimming in the size 4. i would have tri"&amp;"ed sizing down if the quality was better.")</f>
        <v>I loved the cut of these pants and the button accent on the pockets. however, the material was quite thin and the quality was not great- there were multiple snags along the seams. additionally, at 5'8, 130lbs i was swimming in the size 4. i would have tried sizing down if the quality was better.</v>
      </c>
      <c r="F154" s="8">
        <f>IFERROR(__xludf.DUMMYFUNCTION("""COMPUTED_VALUE"""),2.0)</f>
        <v>2</v>
      </c>
      <c r="G154" s="8">
        <f>IFERROR(__xludf.DUMMYFUNCTION("""COMPUTED_VALUE"""),0.0)</f>
        <v>0</v>
      </c>
      <c r="H154" s="8">
        <f>IFERROR(__xludf.DUMMYFUNCTION("""COMPUTED_VALUE"""),17.0)</f>
        <v>17</v>
      </c>
      <c r="I154" s="8" t="str">
        <f>IFERROR(__xludf.DUMMYFUNCTION("""COMPUTED_VALUE"""),"General Petite")</f>
        <v>General Petite</v>
      </c>
      <c r="J154" s="8" t="str">
        <f>IFERROR(__xludf.DUMMYFUNCTION("""COMPUTED_VALUE"""),"Bottoms")</f>
        <v>Bottoms</v>
      </c>
      <c r="K154" s="8" t="str">
        <f>IFERROR(__xludf.DUMMYFUNCTION("""COMPUTED_VALUE"""),"Pants")</f>
        <v>Pants</v>
      </c>
      <c r="L154" s="8" t="str">
        <f t="shared" si="1"/>
        <v>Size issue-Fabric issue---</v>
      </c>
    </row>
    <row r="155">
      <c r="A155" s="8">
        <f>IFERROR(__xludf.DUMMYFUNCTION("""COMPUTED_VALUE"""),873.0)</f>
        <v>873</v>
      </c>
      <c r="B155" s="8">
        <f>IFERROR(__xludf.DUMMYFUNCTION("""COMPUTED_VALUE"""),823.0)</f>
        <v>823</v>
      </c>
      <c r="C155" s="8">
        <f>IFERROR(__xludf.DUMMYFUNCTION("""COMPUTED_VALUE"""),39.0)</f>
        <v>39</v>
      </c>
      <c r="D155" s="8" t="str">
        <f>IFERROR(__xludf.DUMMYFUNCTION("""COMPUTED_VALUE"""),"Huge arm holes")</f>
        <v>Huge arm holes</v>
      </c>
      <c r="E155" s="15" t="str">
        <f>IFERROR(__xludf.DUMMYFUNCTION("""COMPUTED_VALUE"""),"Why is it so difficult to find a shirt that doesn't expose half of my bra if i lift my arm? 
this is cute (beyond the arm hole issue) but overpriced. going back.")</f>
        <v>Why is it so difficult to find a shirt that doesn't expose half of my bra if i lift my arm? 
this is cute (beyond the arm hole issue) but overpriced. going back.</v>
      </c>
      <c r="F155" s="8">
        <f>IFERROR(__xludf.DUMMYFUNCTION("""COMPUTED_VALUE"""),2.0)</f>
        <v>2</v>
      </c>
      <c r="G155" s="8">
        <f>IFERROR(__xludf.DUMMYFUNCTION("""COMPUTED_VALUE"""),0.0)</f>
        <v>0</v>
      </c>
      <c r="H155" s="8">
        <f>IFERROR(__xludf.DUMMYFUNCTION("""COMPUTED_VALUE"""),11.0)</f>
        <v>11</v>
      </c>
      <c r="I155" s="8" t="str">
        <f>IFERROR(__xludf.DUMMYFUNCTION("""COMPUTED_VALUE"""),"General Petite")</f>
        <v>General Petite</v>
      </c>
      <c r="J155" s="8" t="str">
        <f>IFERROR(__xludf.DUMMYFUNCTION("""COMPUTED_VALUE"""),"Tops")</f>
        <v>Tops</v>
      </c>
      <c r="K155" s="8" t="str">
        <f>IFERROR(__xludf.DUMMYFUNCTION("""COMPUTED_VALUE"""),"Blouses")</f>
        <v>Blouses</v>
      </c>
      <c r="L155" s="8" t="str">
        <f t="shared" si="1"/>
        <v>-Fabric issue--Price issue-</v>
      </c>
    </row>
    <row r="156">
      <c r="A156" s="8">
        <f>IFERROR(__xludf.DUMMYFUNCTION("""COMPUTED_VALUE"""),874.0)</f>
        <v>874</v>
      </c>
      <c r="B156" s="8">
        <f>IFERROR(__xludf.DUMMYFUNCTION("""COMPUTED_VALUE"""),1055.0)</f>
        <v>1055</v>
      </c>
      <c r="C156" s="8">
        <f>IFERROR(__xludf.DUMMYFUNCTION("""COMPUTED_VALUE"""),29.0)</f>
        <v>29</v>
      </c>
      <c r="D156" s="8" t="str">
        <f>IFERROR(__xludf.DUMMYFUNCTION("""COMPUTED_VALUE"""),"Looks can be deceiving")</f>
        <v>Looks can be deceiving</v>
      </c>
      <c r="E156" s="15" t="str">
        <f>IFERROR(__xludf.DUMMYFUNCTION("""COMPUTED_VALUE"""),"I wanted these culottes to work so much! the fabric is gorgeous, but the size i ordered didn't fit. i'm normally a size 28 in pants, and i ordered a size 8. it was way too tight and made me look like i had a pooch in the zipper area. not what i wanted it "&amp;"to be. had to return them unfortunately.")</f>
        <v>I wanted these culottes to work so much! the fabric is gorgeous, but the size i ordered didn't fit. i'm normally a size 28 in pants, and i ordered a size 8. it was way too tight and made me look like i had a pooch in the zipper area. not what i wanted it to be. had to return them unfortunately.</v>
      </c>
      <c r="F156" s="8">
        <f>IFERROR(__xludf.DUMMYFUNCTION("""COMPUTED_VALUE"""),2.0)</f>
        <v>2</v>
      </c>
      <c r="G156" s="8">
        <f>IFERROR(__xludf.DUMMYFUNCTION("""COMPUTED_VALUE"""),0.0)</f>
        <v>0</v>
      </c>
      <c r="H156" s="8">
        <f>IFERROR(__xludf.DUMMYFUNCTION("""COMPUTED_VALUE"""),0.0)</f>
        <v>0</v>
      </c>
      <c r="I156" s="8" t="str">
        <f>IFERROR(__xludf.DUMMYFUNCTION("""COMPUTED_VALUE"""),"General Petite")</f>
        <v>General Petite</v>
      </c>
      <c r="J156" s="8" t="str">
        <f>IFERROR(__xludf.DUMMYFUNCTION("""COMPUTED_VALUE"""),"Bottoms")</f>
        <v>Bottoms</v>
      </c>
      <c r="K156" s="8" t="str">
        <f>IFERROR(__xludf.DUMMYFUNCTION("""COMPUTED_VALUE"""),"Pants")</f>
        <v>Pants</v>
      </c>
      <c r="L156" s="8" t="str">
        <f t="shared" si="1"/>
        <v>Size issue----</v>
      </c>
    </row>
    <row r="157">
      <c r="A157" s="8">
        <f>IFERROR(__xludf.DUMMYFUNCTION("""COMPUTED_VALUE"""),880.0)</f>
        <v>880</v>
      </c>
      <c r="B157" s="8">
        <f>IFERROR(__xludf.DUMMYFUNCTION("""COMPUTED_VALUE"""),1081.0)</f>
        <v>1081</v>
      </c>
      <c r="C157" s="8">
        <f>IFERROR(__xludf.DUMMYFUNCTION("""COMPUTED_VALUE"""),50.0)</f>
        <v>50</v>
      </c>
      <c r="D157" s="8" t="str">
        <f>IFERROR(__xludf.DUMMYFUNCTION("""COMPUTED_VALUE"""),"So wanted to love it...")</f>
        <v>So wanted to love it...</v>
      </c>
      <c r="E157" s="15" t="str">
        <f>IFERROR(__xludf.DUMMYFUNCTION("""COMPUTED_VALUE"""),"Ditto what the first reviewer said, unfortunately. i was so looking forward to receiving this dress but the one received is not the one in the photos. the graphics are fantastic - still love the boats- but the top is not the same and they've added a fabri"&amp;"c belt to the finished dress. the fit was perfect except for gapping under the arms (similar, i suspect, to what the first reviewer reported). i was also surprised by the fabric. based on the photos i was expecting something light and semi trans")</f>
        <v>Ditto what the first reviewer said, unfortunately. i was so looking forward to receiving this dress but the one received is not the one in the photos. the graphics are fantastic - still love the boats- but the top is not the same and they've added a fabric belt to the finished dress. the fit was perfect except for gapping under the arms (similar, i suspect, to what the first reviewer reported). i was also surprised by the fabric. based on the photos i was expecting something light and semi trans</v>
      </c>
      <c r="F157" s="8">
        <f>IFERROR(__xludf.DUMMYFUNCTION("""COMPUTED_VALUE"""),2.0)</f>
        <v>2</v>
      </c>
      <c r="G157" s="8">
        <f>IFERROR(__xludf.DUMMYFUNCTION("""COMPUTED_VALUE"""),0.0)</f>
        <v>0</v>
      </c>
      <c r="H157" s="8">
        <f>IFERROR(__xludf.DUMMYFUNCTION("""COMPUTED_VALUE"""),4.0)</f>
        <v>4</v>
      </c>
      <c r="I157" s="8" t="str">
        <f>IFERROR(__xludf.DUMMYFUNCTION("""COMPUTED_VALUE"""),"General")</f>
        <v>General</v>
      </c>
      <c r="J157" s="8" t="str">
        <f>IFERROR(__xludf.DUMMYFUNCTION("""COMPUTED_VALUE"""),"Dresses")</f>
        <v>Dresses</v>
      </c>
      <c r="K157" s="8" t="str">
        <f>IFERROR(__xludf.DUMMYFUNCTION("""COMPUTED_VALUE"""),"Dresses")</f>
        <v>Dresses</v>
      </c>
      <c r="L157" s="8" t="str">
        <f t="shared" si="1"/>
        <v>Size issue----</v>
      </c>
    </row>
    <row r="158">
      <c r="A158" s="8">
        <f>IFERROR(__xludf.DUMMYFUNCTION("""COMPUTED_VALUE"""),883.0)</f>
        <v>883</v>
      </c>
      <c r="B158" s="8">
        <f>IFERROR(__xludf.DUMMYFUNCTION("""COMPUTED_VALUE"""),1055.0)</f>
        <v>1055</v>
      </c>
      <c r="C158" s="8">
        <f>IFERROR(__xludf.DUMMYFUNCTION("""COMPUTED_VALUE"""),43.0)</f>
        <v>43</v>
      </c>
      <c r="D158" s="8" t="str">
        <f>IFERROR(__xludf.DUMMYFUNCTION("""COMPUTED_VALUE"""),"Not for big girls :(")</f>
        <v>Not for big girls :(</v>
      </c>
      <c r="E158" s="15" t="str">
        <f>IFERROR(__xludf.DUMMYFUNCTION("""COMPUTED_VALUE"""),"Quality is fantastic but i feel like a 14 would have barely made it's way around one leg! this pant is way small in terms of sizing and not a style fit for anyone over a 6. a lot of fabric in the legs. nice pant but not for this girl!")</f>
        <v>Quality is fantastic but i feel like a 14 would have barely made it's way around one leg! this pant is way small in terms of sizing and not a style fit for anyone over a 6. a lot of fabric in the legs. nice pant but not for this girl!</v>
      </c>
      <c r="F158" s="8">
        <f>IFERROR(__xludf.DUMMYFUNCTION("""COMPUTED_VALUE"""),2.0)</f>
        <v>2</v>
      </c>
      <c r="G158" s="8">
        <f>IFERROR(__xludf.DUMMYFUNCTION("""COMPUTED_VALUE"""),0.0)</f>
        <v>0</v>
      </c>
      <c r="H158" s="8">
        <f>IFERROR(__xludf.DUMMYFUNCTION("""COMPUTED_VALUE"""),11.0)</f>
        <v>11</v>
      </c>
      <c r="I158" s="8" t="str">
        <f>IFERROR(__xludf.DUMMYFUNCTION("""COMPUTED_VALUE"""),"General Petite")</f>
        <v>General Petite</v>
      </c>
      <c r="J158" s="8" t="str">
        <f>IFERROR(__xludf.DUMMYFUNCTION("""COMPUTED_VALUE"""),"Bottoms")</f>
        <v>Bottoms</v>
      </c>
      <c r="K158" s="8" t="str">
        <f>IFERROR(__xludf.DUMMYFUNCTION("""COMPUTED_VALUE"""),"Pants")</f>
        <v>Pants</v>
      </c>
      <c r="L158" s="8" t="str">
        <f t="shared" si="1"/>
        <v>Size issue--Style issue--</v>
      </c>
    </row>
    <row r="159">
      <c r="A159" s="8">
        <f>IFERROR(__xludf.DUMMYFUNCTION("""COMPUTED_VALUE"""),886.0)</f>
        <v>886</v>
      </c>
      <c r="B159" s="8">
        <f>IFERROR(__xludf.DUMMYFUNCTION("""COMPUTED_VALUE"""),1086.0)</f>
        <v>1086</v>
      </c>
      <c r="C159" s="8">
        <f>IFERROR(__xludf.DUMMYFUNCTION("""COMPUTED_VALUE"""),44.0)</f>
        <v>44</v>
      </c>
      <c r="D159" s="8" t="str">
        <f>IFERROR(__xludf.DUMMYFUNCTION("""COMPUTED_VALUE"""),"Maybe one i got it's not right?")</f>
        <v>Maybe one i got it's not right?</v>
      </c>
      <c r="E159" s="15" t="str">
        <f>IFERROR(__xludf.DUMMYFUNCTION("""COMPUTED_VALUE"""),"Got the small petite. length is perfect, love the color, super comfy, very pretty. the problem is that you cannot wear a bra because under the armpits is so low that either shows your bra (a lot) or if u wear sans bra you may show your breasts (it's loose"&amp;" all around on top, so very easy to show everything. if i adjust the straps it works but then the waist goes up and it looks like i have a belly. i'm taking to a seamstress to see if she can take in under armpits, if not it's going back. i'm 5',")</f>
        <v>Got the small petite. length is perfect, love the color, super comfy, very pretty. the problem is that you cannot wear a bra because under the armpits is so low that either shows your bra (a lot) or if u wear sans bra you may show your breasts (it's loose all around on top, so very easy to show everything. if i adjust the straps it works but then the waist goes up and it looks like i have a belly. i'm taking to a seamstress to see if she can take in under armpits, if not it's going back. i'm 5',</v>
      </c>
      <c r="F159" s="8">
        <f>IFERROR(__xludf.DUMMYFUNCTION("""COMPUTED_VALUE"""),4.0)</f>
        <v>4</v>
      </c>
      <c r="G159" s="8">
        <f>IFERROR(__xludf.DUMMYFUNCTION("""COMPUTED_VALUE"""),0.0)</f>
        <v>0</v>
      </c>
      <c r="H159" s="8">
        <f>IFERROR(__xludf.DUMMYFUNCTION("""COMPUTED_VALUE"""),3.0)</f>
        <v>3</v>
      </c>
      <c r="I159" s="8" t="str">
        <f>IFERROR(__xludf.DUMMYFUNCTION("""COMPUTED_VALUE"""),"General")</f>
        <v>General</v>
      </c>
      <c r="J159" s="8" t="str">
        <f>IFERROR(__xludf.DUMMYFUNCTION("""COMPUTED_VALUE"""),"Dresses")</f>
        <v>Dresses</v>
      </c>
      <c r="K159" s="8" t="str">
        <f>IFERROR(__xludf.DUMMYFUNCTION("""COMPUTED_VALUE"""),"Dresses")</f>
        <v>Dresses</v>
      </c>
      <c r="L159" s="8" t="str">
        <f t="shared" si="1"/>
        <v>Size issue--Style issue--</v>
      </c>
    </row>
    <row r="160">
      <c r="A160" s="8">
        <f>IFERROR(__xludf.DUMMYFUNCTION("""COMPUTED_VALUE"""),887.0)</f>
        <v>887</v>
      </c>
      <c r="B160" s="8">
        <f>IFERROR(__xludf.DUMMYFUNCTION("""COMPUTED_VALUE"""),1055.0)</f>
        <v>1055</v>
      </c>
      <c r="C160" s="8">
        <f>IFERROR(__xludf.DUMMYFUNCTION("""COMPUTED_VALUE"""),63.0)</f>
        <v>63</v>
      </c>
      <c r="D160" s="8"/>
      <c r="E160" s="15" t="str">
        <f>IFERROR(__xludf.DUMMYFUNCTION("""COMPUTED_VALUE"""),"These run small (i am 110 and got a size 4), they were a tad tight on top. the waist fit but felt a little too snug, short from waist to crotch and then bloomed out in a nice but stiff ish material. they are a dark blue animal print. i felt like bozo the "&amp;"clown goes to the jungle. they looked so silly i had to laugh. even with the 20% off, these are going back. not even comfortable to lounge around the house in never mind being seen by anyone in person!")</f>
        <v>These run small (i am 110 and got a size 4), they were a tad tight on top. the waist fit but felt a little too snug, short from waist to crotch and then bloomed out in a nice but stiff ish material. they are a dark blue animal print. i felt like bozo the clown goes to the jungle. they looked so silly i had to laugh. even with the 20% off, these are going back. not even comfortable to lounge around the house in never mind being seen by anyone in person!</v>
      </c>
      <c r="F160" s="8">
        <f>IFERROR(__xludf.DUMMYFUNCTION("""COMPUTED_VALUE"""),2.0)</f>
        <v>2</v>
      </c>
      <c r="G160" s="8">
        <f>IFERROR(__xludf.DUMMYFUNCTION("""COMPUTED_VALUE"""),0.0)</f>
        <v>0</v>
      </c>
      <c r="H160" s="8">
        <f>IFERROR(__xludf.DUMMYFUNCTION("""COMPUTED_VALUE"""),0.0)</f>
        <v>0</v>
      </c>
      <c r="I160" s="8" t="str">
        <f>IFERROR(__xludf.DUMMYFUNCTION("""COMPUTED_VALUE"""),"General Petite")</f>
        <v>General Petite</v>
      </c>
      <c r="J160" s="8" t="str">
        <f>IFERROR(__xludf.DUMMYFUNCTION("""COMPUTED_VALUE"""),"Bottoms")</f>
        <v>Bottoms</v>
      </c>
      <c r="K160" s="8" t="str">
        <f>IFERROR(__xludf.DUMMYFUNCTION("""COMPUTED_VALUE"""),"Pants")</f>
        <v>Pants</v>
      </c>
      <c r="L160" s="8" t="str">
        <f t="shared" si="1"/>
        <v>Size issue-Fabric issue---</v>
      </c>
    </row>
    <row r="161">
      <c r="A161" s="8">
        <f>IFERROR(__xludf.DUMMYFUNCTION("""COMPUTED_VALUE"""),889.0)</f>
        <v>889</v>
      </c>
      <c r="B161" s="8">
        <f>IFERROR(__xludf.DUMMYFUNCTION("""COMPUTED_VALUE"""),1081.0)</f>
        <v>1081</v>
      </c>
      <c r="C161" s="8">
        <f>IFERROR(__xludf.DUMMYFUNCTION("""COMPUTED_VALUE"""),42.0)</f>
        <v>42</v>
      </c>
      <c r="D161" s="8" t="str">
        <f>IFERROR(__xludf.DUMMYFUNCTION("""COMPUTED_VALUE"""),"Different dresses")</f>
        <v>Different dresses</v>
      </c>
      <c r="E161" s="15" t="str">
        <f>IFERROR(__xludf.DUMMYFUNCTION("""COMPUTED_VALUE"""),"I loved the photo of this dress. upon examination of the dress (and trying it on) after receiving in the mail, the dress shown online is nothing like the dress i received save for the pattern. the dress i received has a side zip as well as a belt and no p"&amp;"leats on the top. the bottom is also cut straight across not as it appears in the photo. turns out it is not as flattering as it should appear.")</f>
        <v>I loved the photo of this dress. upon examination of the dress (and trying it on) after receiving in the mail, the dress shown online is nothing like the dress i received save for the pattern. the dress i received has a side zip as well as a belt and no pleats on the top. the bottom is also cut straight across not as it appears in the photo. turns out it is not as flattering as it should appear.</v>
      </c>
      <c r="F161" s="8">
        <f>IFERROR(__xludf.DUMMYFUNCTION("""COMPUTED_VALUE"""),1.0)</f>
        <v>1</v>
      </c>
      <c r="G161" s="8">
        <f>IFERROR(__xludf.DUMMYFUNCTION("""COMPUTED_VALUE"""),0.0)</f>
        <v>0</v>
      </c>
      <c r="H161" s="8">
        <f>IFERROR(__xludf.DUMMYFUNCTION("""COMPUTED_VALUE"""),4.0)</f>
        <v>4</v>
      </c>
      <c r="I161" s="8" t="str">
        <f>IFERROR(__xludf.DUMMYFUNCTION("""COMPUTED_VALUE"""),"General")</f>
        <v>General</v>
      </c>
      <c r="J161" s="8" t="str">
        <f>IFERROR(__xludf.DUMMYFUNCTION("""COMPUTED_VALUE"""),"Dresses")</f>
        <v>Dresses</v>
      </c>
      <c r="K161" s="8" t="str">
        <f>IFERROR(__xludf.DUMMYFUNCTION("""COMPUTED_VALUE"""),"Dresses")</f>
        <v>Dresses</v>
      </c>
      <c r="L161" s="8" t="str">
        <f t="shared" si="1"/>
        <v>----</v>
      </c>
    </row>
    <row r="162">
      <c r="A162" s="8">
        <f>IFERROR(__xludf.DUMMYFUNCTION("""COMPUTED_VALUE"""),899.0)</f>
        <v>899</v>
      </c>
      <c r="B162" s="8">
        <f>IFERROR(__xludf.DUMMYFUNCTION("""COMPUTED_VALUE"""),1066.0)</f>
        <v>1066</v>
      </c>
      <c r="C162" s="8">
        <f>IFERROR(__xludf.DUMMYFUNCTION("""COMPUTED_VALUE"""),48.0)</f>
        <v>48</v>
      </c>
      <c r="D162" s="8"/>
      <c r="E162" s="15" t="str">
        <f>IFERROR(__xludf.DUMMYFUNCTION("""COMPUTED_VALUE"""),"I ordered these in my usual pilcro petite size 6. they were impossible to button, which is interesting 'cause i also ordered the pilcro wide leg chinos in the same size and they fit perfectly, as usual. but it ended up being ok because i don't care for th"&amp;"e speckled, slightly rough material or the contrasting piping. back they go!")</f>
        <v>I ordered these in my usual pilcro petite size 6. they were impossible to button, which is interesting 'cause i also ordered the pilcro wide leg chinos in the same size and they fit perfectly, as usual. but it ended up being ok because i don't care for the speckled, slightly rough material or the contrasting piping. back they go!</v>
      </c>
      <c r="F162" s="8">
        <f>IFERROR(__xludf.DUMMYFUNCTION("""COMPUTED_VALUE"""),4.0)</f>
        <v>4</v>
      </c>
      <c r="G162" s="8">
        <f>IFERROR(__xludf.DUMMYFUNCTION("""COMPUTED_VALUE"""),0.0)</f>
        <v>0</v>
      </c>
      <c r="H162" s="8">
        <f>IFERROR(__xludf.DUMMYFUNCTION("""COMPUTED_VALUE"""),2.0)</f>
        <v>2</v>
      </c>
      <c r="I162" s="8" t="str">
        <f>IFERROR(__xludf.DUMMYFUNCTION("""COMPUTED_VALUE"""),"General")</f>
        <v>General</v>
      </c>
      <c r="J162" s="8" t="str">
        <f>IFERROR(__xludf.DUMMYFUNCTION("""COMPUTED_VALUE"""),"Bottoms")</f>
        <v>Bottoms</v>
      </c>
      <c r="K162" s="8" t="str">
        <f>IFERROR(__xludf.DUMMYFUNCTION("""COMPUTED_VALUE"""),"Pants")</f>
        <v>Pants</v>
      </c>
      <c r="L162" s="8" t="str">
        <f t="shared" si="1"/>
        <v>Size issue-Fabric issue---</v>
      </c>
    </row>
    <row r="163">
      <c r="A163" s="8">
        <f>IFERROR(__xludf.DUMMYFUNCTION("""COMPUTED_VALUE"""),901.0)</f>
        <v>901</v>
      </c>
      <c r="B163" s="8">
        <f>IFERROR(__xludf.DUMMYFUNCTION("""COMPUTED_VALUE"""),1025.0)</f>
        <v>1025</v>
      </c>
      <c r="C163" s="8">
        <f>IFERROR(__xludf.DUMMYFUNCTION("""COMPUTED_VALUE"""),30.0)</f>
        <v>30</v>
      </c>
      <c r="D163" s="8" t="str">
        <f>IFERROR(__xludf.DUMMYFUNCTION("""COMPUTED_VALUE"""),"Not petite inseam...")</f>
        <v>Not petite inseam...</v>
      </c>
      <c r="E163" s="15" t="str">
        <f>IFERROR(__xludf.DUMMYFUNCTION("""COMPUTED_VALUE"""),"I was excited to see these jeans since they came in petite sizes and had a short inseam... unfortunately after ordering/returning several pairs, i found out that these are actually not petite jeans. please beware that if you are ordering these for the sho"&amp;"rter inseam, they are actually 28 in... not 24 in as in the description. other than the inseam issues, they fit like typical paige denim.")</f>
        <v>I was excited to see these jeans since they came in petite sizes and had a short inseam... unfortunately after ordering/returning several pairs, i found out that these are actually not petite jeans. please beware that if you are ordering these for the shorter inseam, they are actually 28 in... not 24 in as in the description. other than the inseam issues, they fit like typical paige denim.</v>
      </c>
      <c r="F163" s="8">
        <f>IFERROR(__xludf.DUMMYFUNCTION("""COMPUTED_VALUE"""),1.0)</f>
        <v>1</v>
      </c>
      <c r="G163" s="8">
        <f>IFERROR(__xludf.DUMMYFUNCTION("""COMPUTED_VALUE"""),0.0)</f>
        <v>0</v>
      </c>
      <c r="H163" s="8">
        <f>IFERROR(__xludf.DUMMYFUNCTION("""COMPUTED_VALUE"""),1.0)</f>
        <v>1</v>
      </c>
      <c r="I163" s="8" t="str">
        <f>IFERROR(__xludf.DUMMYFUNCTION("""COMPUTED_VALUE"""),"General")</f>
        <v>General</v>
      </c>
      <c r="J163" s="8" t="str">
        <f>IFERROR(__xludf.DUMMYFUNCTION("""COMPUTED_VALUE"""),"Bottoms")</f>
        <v>Bottoms</v>
      </c>
      <c r="K163" s="8" t="str">
        <f>IFERROR(__xludf.DUMMYFUNCTION("""COMPUTED_VALUE"""),"Jeans")</f>
        <v>Jeans</v>
      </c>
      <c r="L163" s="8" t="str">
        <f t="shared" si="1"/>
        <v>Size issue----</v>
      </c>
    </row>
    <row r="164">
      <c r="A164" s="8">
        <f>IFERROR(__xludf.DUMMYFUNCTION("""COMPUTED_VALUE"""),902.0)</f>
        <v>902</v>
      </c>
      <c r="B164" s="8">
        <f>IFERROR(__xludf.DUMMYFUNCTION("""COMPUTED_VALUE"""),832.0)</f>
        <v>832</v>
      </c>
      <c r="C164" s="8">
        <f>IFERROR(__xludf.DUMMYFUNCTION("""COMPUTED_VALUE"""),40.0)</f>
        <v>40</v>
      </c>
      <c r="D164" s="8" t="str">
        <f>IFERROR(__xludf.DUMMYFUNCTION("""COMPUTED_VALUE"""),"Frayed bottom hem.....")</f>
        <v>Frayed bottom hem.....</v>
      </c>
      <c r="E164" s="15" t="str">
        <f>IFERROR(__xludf.DUMMYFUNCTION("""COMPUTED_VALUE"""),"This top is super cute, however the bottom hem is all frayed....couldn't really tell that from the pictures. the ""flutter"" sleeves are too big...looks funny with the fraying...runs a little large as well. loved the color! perfect with white denim!")</f>
        <v>This top is super cute, however the bottom hem is all frayed....couldn't really tell that from the pictures. the "flutter" sleeves are too big...looks funny with the fraying...runs a little large as well. loved the color! perfect with white denim!</v>
      </c>
      <c r="F164" s="8">
        <f>IFERROR(__xludf.DUMMYFUNCTION("""COMPUTED_VALUE"""),3.0)</f>
        <v>3</v>
      </c>
      <c r="G164" s="8">
        <f>IFERROR(__xludf.DUMMYFUNCTION("""COMPUTED_VALUE"""),0.0)</f>
        <v>0</v>
      </c>
      <c r="H164" s="8">
        <f>IFERROR(__xludf.DUMMYFUNCTION("""COMPUTED_VALUE"""),3.0)</f>
        <v>3</v>
      </c>
      <c r="I164" s="8" t="str">
        <f>IFERROR(__xludf.DUMMYFUNCTION("""COMPUTED_VALUE"""),"General")</f>
        <v>General</v>
      </c>
      <c r="J164" s="8" t="str">
        <f>IFERROR(__xludf.DUMMYFUNCTION("""COMPUTED_VALUE"""),"Tops")</f>
        <v>Tops</v>
      </c>
      <c r="K164" s="8" t="str">
        <f>IFERROR(__xludf.DUMMYFUNCTION("""COMPUTED_VALUE"""),"Blouses")</f>
        <v>Blouses</v>
      </c>
      <c r="L164" s="8" t="str">
        <f t="shared" si="1"/>
        <v>Size issue----</v>
      </c>
    </row>
    <row r="165">
      <c r="A165" s="8">
        <f>IFERROR(__xludf.DUMMYFUNCTION("""COMPUTED_VALUE"""),903.0)</f>
        <v>903</v>
      </c>
      <c r="B165" s="8">
        <f>IFERROR(__xludf.DUMMYFUNCTION("""COMPUTED_VALUE"""),861.0)</f>
        <v>861</v>
      </c>
      <c r="C165" s="8">
        <f>IFERROR(__xludf.DUMMYFUNCTION("""COMPUTED_VALUE"""),48.0)</f>
        <v>48</v>
      </c>
      <c r="D165" s="8" t="str">
        <f>IFERROR(__xludf.DUMMYFUNCTION("""COMPUTED_VALUE"""),"This is not red!")</f>
        <v>This is not red!</v>
      </c>
      <c r="E165" s="15" t="str">
        <f>IFERROR(__xludf.DUMMYFUNCTION("""COMPUTED_VALUE"""),"I was looking for a shirt of this style. i thought it was very cute, but it is not ""red' as advertised. it is really a brick orange-y color, which is definitely not what i wanted. very disappointed. sent it right back.")</f>
        <v>I was looking for a shirt of this style. i thought it was very cute, but it is not "red' as advertised. it is really a brick orange-y color, which is definitely not what i wanted. very disappointed. sent it right back.</v>
      </c>
      <c r="F165" s="8">
        <f>IFERROR(__xludf.DUMMYFUNCTION("""COMPUTED_VALUE"""),3.0)</f>
        <v>3</v>
      </c>
      <c r="G165" s="8">
        <f>IFERROR(__xludf.DUMMYFUNCTION("""COMPUTED_VALUE"""),0.0)</f>
        <v>0</v>
      </c>
      <c r="H165" s="8">
        <f>IFERROR(__xludf.DUMMYFUNCTION("""COMPUTED_VALUE"""),0.0)</f>
        <v>0</v>
      </c>
      <c r="I165" s="8" t="str">
        <f>IFERROR(__xludf.DUMMYFUNCTION("""COMPUTED_VALUE"""),"General")</f>
        <v>General</v>
      </c>
      <c r="J165" s="8" t="str">
        <f>IFERROR(__xludf.DUMMYFUNCTION("""COMPUTED_VALUE"""),"Tops")</f>
        <v>Tops</v>
      </c>
      <c r="K165" s="8" t="str">
        <f>IFERROR(__xludf.DUMMYFUNCTION("""COMPUTED_VALUE"""),"Knits")</f>
        <v>Knits</v>
      </c>
      <c r="L165" s="8" t="str">
        <f t="shared" si="1"/>
        <v>-Fabric issue---</v>
      </c>
    </row>
    <row r="166">
      <c r="A166" s="8">
        <f>IFERROR(__xludf.DUMMYFUNCTION("""COMPUTED_VALUE"""),914.0)</f>
        <v>914</v>
      </c>
      <c r="B166" s="8">
        <f>IFERROR(__xludf.DUMMYFUNCTION("""COMPUTED_VALUE"""),80.0)</f>
        <v>80</v>
      </c>
      <c r="C166" s="8">
        <f>IFERROR(__xludf.DUMMYFUNCTION("""COMPUTED_VALUE"""),47.0)</f>
        <v>47</v>
      </c>
      <c r="D166" s="8" t="str">
        <f>IFERROR(__xludf.DUMMYFUNCTION("""COMPUTED_VALUE"""),"Size and function")</f>
        <v>Size and function</v>
      </c>
      <c r="E166" s="15" t="str">
        <f>IFERROR(__xludf.DUMMYFUNCTION("""COMPUTED_VALUE"""),"Too big and it's not secure enough to wear for swimming.")</f>
        <v>Too big and it's not secure enough to wear for swimming.</v>
      </c>
      <c r="F166" s="8">
        <f>IFERROR(__xludf.DUMMYFUNCTION("""COMPUTED_VALUE"""),2.0)</f>
        <v>2</v>
      </c>
      <c r="G166" s="8">
        <f>IFERROR(__xludf.DUMMYFUNCTION("""COMPUTED_VALUE"""),0.0)</f>
        <v>0</v>
      </c>
      <c r="H166" s="8">
        <f>IFERROR(__xludf.DUMMYFUNCTION("""COMPUTED_VALUE"""),0.0)</f>
        <v>0</v>
      </c>
      <c r="I166" s="8" t="str">
        <f>IFERROR(__xludf.DUMMYFUNCTION("""COMPUTED_VALUE"""),"Initmates")</f>
        <v>Initmates</v>
      </c>
      <c r="J166" s="8" t="str">
        <f>IFERROR(__xludf.DUMMYFUNCTION("""COMPUTED_VALUE"""),"Intimate")</f>
        <v>Intimate</v>
      </c>
      <c r="K166" s="8" t="str">
        <f>IFERROR(__xludf.DUMMYFUNCTION("""COMPUTED_VALUE"""),"Swim")</f>
        <v>Swim</v>
      </c>
      <c r="L166" s="8" t="str">
        <f t="shared" si="1"/>
        <v>----</v>
      </c>
    </row>
    <row r="167">
      <c r="A167" s="8">
        <f>IFERROR(__xludf.DUMMYFUNCTION("""COMPUTED_VALUE"""),915.0)</f>
        <v>915</v>
      </c>
      <c r="B167" s="8">
        <f>IFERROR(__xludf.DUMMYFUNCTION("""COMPUTED_VALUE"""),1008.0)</f>
        <v>1008</v>
      </c>
      <c r="C167" s="8">
        <f>IFERROR(__xludf.DUMMYFUNCTION("""COMPUTED_VALUE"""),67.0)</f>
        <v>67</v>
      </c>
      <c r="D167" s="8" t="str">
        <f>IFERROR(__xludf.DUMMYFUNCTION("""COMPUTED_VALUE"""),"Looks better on line")</f>
        <v>Looks better on line</v>
      </c>
      <c r="E167" s="15" t="str">
        <f>IFERROR(__xludf.DUMMYFUNCTION("""COMPUTED_VALUE"""),"I received this skirt today and was very disappointed. i don't know what i expected but it is not as i thought. even though the quality is very good and the fit is true to size, i may return it. the fabric of the skirt is just too busy, at least for me. i"&amp;" am just uncertain and even though i have many tops, the colors are just not matching. white looks better than any colored top with this particular print. i am going to try it on one more time and make a definite decision.")</f>
        <v>I received this skirt today and was very disappointed. i don't know what i expected but it is not as i thought. even though the quality is very good and the fit is true to size, i may return it. the fabric of the skirt is just too busy, at least for me. i am just uncertain and even though i have many tops, the colors are just not matching. white looks better than any colored top with this particular print. i am going to try it on one more time and make a definite decision.</v>
      </c>
      <c r="F167" s="8">
        <f>IFERROR(__xludf.DUMMYFUNCTION("""COMPUTED_VALUE"""),3.0)</f>
        <v>3</v>
      </c>
      <c r="G167" s="8">
        <f>IFERROR(__xludf.DUMMYFUNCTION("""COMPUTED_VALUE"""),0.0)</f>
        <v>0</v>
      </c>
      <c r="H167" s="8">
        <f>IFERROR(__xludf.DUMMYFUNCTION("""COMPUTED_VALUE"""),1.0)</f>
        <v>1</v>
      </c>
      <c r="I167" s="8" t="str">
        <f>IFERROR(__xludf.DUMMYFUNCTION("""COMPUTED_VALUE"""),"General Petite")</f>
        <v>General Petite</v>
      </c>
      <c r="J167" s="8" t="str">
        <f>IFERROR(__xludf.DUMMYFUNCTION("""COMPUTED_VALUE"""),"Bottoms")</f>
        <v>Bottoms</v>
      </c>
      <c r="K167" s="8" t="str">
        <f>IFERROR(__xludf.DUMMYFUNCTION("""COMPUTED_VALUE"""),"Skirts")</f>
        <v>Skirts</v>
      </c>
      <c r="L167" s="8" t="str">
        <f t="shared" si="1"/>
        <v>Size issue----</v>
      </c>
    </row>
    <row r="168">
      <c r="A168" s="8">
        <f>IFERROR(__xludf.DUMMYFUNCTION("""COMPUTED_VALUE"""),927.0)</f>
        <v>927</v>
      </c>
      <c r="B168" s="8">
        <f>IFERROR(__xludf.DUMMYFUNCTION("""COMPUTED_VALUE"""),1008.0)</f>
        <v>1008</v>
      </c>
      <c r="C168" s="8">
        <f>IFERROR(__xludf.DUMMYFUNCTION("""COMPUTED_VALUE"""),50.0)</f>
        <v>50</v>
      </c>
      <c r="D168" s="8" t="str">
        <f>IFERROR(__xludf.DUMMYFUNCTION("""COMPUTED_VALUE"""),"Lovely prints")</f>
        <v>Lovely prints</v>
      </c>
      <c r="E168" s="15" t="str">
        <f>IFERROR(__xludf.DUMMYFUNCTION("""COMPUTED_VALUE"""),"I saw this skirt online and went to the store immediately to try on. i was a bit disappointed. the size is tts but the prints were prettier online. the material is ok. the regular is long so probably won't look good on a shorter person
if it is still avai"&amp;"lable when the price comes down, i might buy it.")</f>
        <v>I saw this skirt online and went to the store immediately to try on. i was a bit disappointed. the size is tts but the prints were prettier online. the material is ok. the regular is long so probably won't look good on a shorter person
if it is still available when the price comes down, i might buy it.</v>
      </c>
      <c r="F168" s="8">
        <f>IFERROR(__xludf.DUMMYFUNCTION("""COMPUTED_VALUE"""),3.0)</f>
        <v>3</v>
      </c>
      <c r="G168" s="8">
        <f>IFERROR(__xludf.DUMMYFUNCTION("""COMPUTED_VALUE"""),0.0)</f>
        <v>0</v>
      </c>
      <c r="H168" s="8">
        <f>IFERROR(__xludf.DUMMYFUNCTION("""COMPUTED_VALUE"""),0.0)</f>
        <v>0</v>
      </c>
      <c r="I168" s="8" t="str">
        <f>IFERROR(__xludf.DUMMYFUNCTION("""COMPUTED_VALUE"""),"General Petite")</f>
        <v>General Petite</v>
      </c>
      <c r="J168" s="8" t="str">
        <f>IFERROR(__xludf.DUMMYFUNCTION("""COMPUTED_VALUE"""),"Bottoms")</f>
        <v>Bottoms</v>
      </c>
      <c r="K168" s="8" t="str">
        <f>IFERROR(__xludf.DUMMYFUNCTION("""COMPUTED_VALUE"""),"Skirts")</f>
        <v>Skirts</v>
      </c>
      <c r="L168" s="8" t="str">
        <f t="shared" si="1"/>
        <v>Size issue-Fabric issue---</v>
      </c>
    </row>
    <row r="169">
      <c r="A169" s="8">
        <f>IFERROR(__xludf.DUMMYFUNCTION("""COMPUTED_VALUE"""),934.0)</f>
        <v>934</v>
      </c>
      <c r="B169" s="8">
        <f>IFERROR(__xludf.DUMMYFUNCTION("""COMPUTED_VALUE"""),1066.0)</f>
        <v>1066</v>
      </c>
      <c r="C169" s="8">
        <f>IFERROR(__xludf.DUMMYFUNCTION("""COMPUTED_VALUE"""),60.0)</f>
        <v>60</v>
      </c>
      <c r="D169" s="8" t="str">
        <f>IFERROR(__xludf.DUMMYFUNCTION("""COMPUTED_VALUE"""),"Funky fit")</f>
        <v>Funky fit</v>
      </c>
      <c r="E169" s="15" t="str">
        <f>IFERROR(__xludf.DUMMYFUNCTION("""COMPUTED_VALUE"""),"I found these to fit odd. i am also use to wearing the skinny jeans so trying a wide leg was a bit weird anyway. the placement of the pockets and the way it hit my waist was awkward and not flattering. i am usually a 8/10 and the 8 fit but just did not lo"&amp;"ok good.")</f>
        <v>I found these to fit odd. i am also use to wearing the skinny jeans so trying a wide leg was a bit weird anyway. the placement of the pockets and the way it hit my waist was awkward and not flattering. i am usually a 8/10 and the 8 fit but just did not look good.</v>
      </c>
      <c r="F169" s="8">
        <f>IFERROR(__xludf.DUMMYFUNCTION("""COMPUTED_VALUE"""),3.0)</f>
        <v>3</v>
      </c>
      <c r="G169" s="8">
        <f>IFERROR(__xludf.DUMMYFUNCTION("""COMPUTED_VALUE"""),0.0)</f>
        <v>0</v>
      </c>
      <c r="H169" s="8">
        <f>IFERROR(__xludf.DUMMYFUNCTION("""COMPUTED_VALUE"""),0.0)</f>
        <v>0</v>
      </c>
      <c r="I169" s="8" t="str">
        <f>IFERROR(__xludf.DUMMYFUNCTION("""COMPUTED_VALUE"""),"General")</f>
        <v>General</v>
      </c>
      <c r="J169" s="8" t="str">
        <f>IFERROR(__xludf.DUMMYFUNCTION("""COMPUTED_VALUE"""),"Bottoms")</f>
        <v>Bottoms</v>
      </c>
      <c r="K169" s="8" t="str">
        <f>IFERROR(__xludf.DUMMYFUNCTION("""COMPUTED_VALUE"""),"Pants")</f>
        <v>Pants</v>
      </c>
      <c r="L169" s="8" t="str">
        <f t="shared" si="1"/>
        <v>Size issue----</v>
      </c>
    </row>
    <row r="170">
      <c r="A170" s="8">
        <f>IFERROR(__xludf.DUMMYFUNCTION("""COMPUTED_VALUE"""),937.0)</f>
        <v>937</v>
      </c>
      <c r="B170" s="8">
        <f>IFERROR(__xludf.DUMMYFUNCTION("""COMPUTED_VALUE"""),1094.0)</f>
        <v>1094</v>
      </c>
      <c r="C170" s="8">
        <f>IFERROR(__xludf.DUMMYFUNCTION("""COMPUTED_VALUE"""),27.0)</f>
        <v>27</v>
      </c>
      <c r="D170" s="8" t="str">
        <f>IFERROR(__xludf.DUMMYFUNCTION("""COMPUTED_VALUE"""),"Pretty, but already piling")</f>
        <v>Pretty, but already piling</v>
      </c>
      <c r="E170" s="15" t="str">
        <f>IFERROR(__xludf.DUMMYFUNCTION("""COMPUTED_VALUE"""),"I loved this dress and it fit great on me: 5'7, 115 lbs, wore an xs. it was a little tighter than i wish, but the s would have been too loose. unfortunately, when i received the dress the arms were already pilling. it is made of a mix of polyester, and wh"&amp;"ile it's machine washable (yay), i can imagine this dress would be pilling very easily, and i wish the fabric was a higher quality for the price, so i returned it.")</f>
        <v>I loved this dress and it fit great on me: 5'7, 115 lbs, wore an xs. it was a little tighter than i wish, but the s would have been too loose. unfortunately, when i received the dress the arms were already pilling. it is made of a mix of polyester, and while it's machine washable (yay), i can imagine this dress would be pilling very easily, and i wish the fabric was a higher quality for the price, so i returned it.</v>
      </c>
      <c r="F170" s="8">
        <f>IFERROR(__xludf.DUMMYFUNCTION("""COMPUTED_VALUE"""),3.0)</f>
        <v>3</v>
      </c>
      <c r="G170" s="8">
        <f>IFERROR(__xludf.DUMMYFUNCTION("""COMPUTED_VALUE"""),0.0)</f>
        <v>0</v>
      </c>
      <c r="H170" s="8">
        <f>IFERROR(__xludf.DUMMYFUNCTION("""COMPUTED_VALUE"""),0.0)</f>
        <v>0</v>
      </c>
      <c r="I170" s="8" t="str">
        <f>IFERROR(__xludf.DUMMYFUNCTION("""COMPUTED_VALUE"""),"General")</f>
        <v>General</v>
      </c>
      <c r="J170" s="8" t="str">
        <f>IFERROR(__xludf.DUMMYFUNCTION("""COMPUTED_VALUE"""),"Dresses")</f>
        <v>Dresses</v>
      </c>
      <c r="K170" s="8" t="str">
        <f>IFERROR(__xludf.DUMMYFUNCTION("""COMPUTED_VALUE"""),"Dresses")</f>
        <v>Dresses</v>
      </c>
      <c r="L170" s="8" t="str">
        <f t="shared" si="1"/>
        <v>Size issue--Style issue-Price issue-</v>
      </c>
    </row>
    <row r="171">
      <c r="A171" s="8">
        <f>IFERROR(__xludf.DUMMYFUNCTION("""COMPUTED_VALUE"""),942.0)</f>
        <v>942</v>
      </c>
      <c r="B171" s="8">
        <f>IFERROR(__xludf.DUMMYFUNCTION("""COMPUTED_VALUE"""),1094.0)</f>
        <v>1094</v>
      </c>
      <c r="C171" s="8">
        <f>IFERROR(__xludf.DUMMYFUNCTION("""COMPUTED_VALUE"""),46.0)</f>
        <v>46</v>
      </c>
      <c r="D171" s="8" t="str">
        <f>IFERROR(__xludf.DUMMYFUNCTION("""COMPUTED_VALUE"""),"Cute, but no sale")</f>
        <v>Cute, but no sale</v>
      </c>
      <c r="E171" s="15" t="str">
        <f>IFERROR(__xludf.DUMMYFUNCTION("""COMPUTED_VALUE"""),"The dress arrived with a few snags and the fabric already pilling. the fabric will only get worse with wear. return. cute concept; poor fabric quality.")</f>
        <v>The dress arrived with a few snags and the fabric already pilling. the fabric will only get worse with wear. return. cute concept; poor fabric quality.</v>
      </c>
      <c r="F171" s="8">
        <f>IFERROR(__xludf.DUMMYFUNCTION("""COMPUTED_VALUE"""),2.0)</f>
        <v>2</v>
      </c>
      <c r="G171" s="8">
        <f>IFERROR(__xludf.DUMMYFUNCTION("""COMPUTED_VALUE"""),0.0)</f>
        <v>0</v>
      </c>
      <c r="H171" s="8">
        <f>IFERROR(__xludf.DUMMYFUNCTION("""COMPUTED_VALUE"""),0.0)</f>
        <v>0</v>
      </c>
      <c r="I171" s="8" t="str">
        <f>IFERROR(__xludf.DUMMYFUNCTION("""COMPUTED_VALUE"""),"General")</f>
        <v>General</v>
      </c>
      <c r="J171" s="8" t="str">
        <f>IFERROR(__xludf.DUMMYFUNCTION("""COMPUTED_VALUE"""),"Dresses")</f>
        <v>Dresses</v>
      </c>
      <c r="K171" s="8" t="str">
        <f>IFERROR(__xludf.DUMMYFUNCTION("""COMPUTED_VALUE"""),"Dresses")</f>
        <v>Dresses</v>
      </c>
      <c r="L171" s="8" t="str">
        <f t="shared" si="1"/>
        <v>----</v>
      </c>
    </row>
    <row r="172">
      <c r="A172" s="8">
        <f>IFERROR(__xludf.DUMMYFUNCTION("""COMPUTED_VALUE"""),943.0)</f>
        <v>943</v>
      </c>
      <c r="B172" s="8">
        <f>IFERROR(__xludf.DUMMYFUNCTION("""COMPUTED_VALUE"""),154.0)</f>
        <v>154</v>
      </c>
      <c r="C172" s="8">
        <f>IFERROR(__xludf.DUMMYFUNCTION("""COMPUTED_VALUE"""),35.0)</f>
        <v>35</v>
      </c>
      <c r="D172" s="8" t="str">
        <f>IFERROR(__xludf.DUMMYFUNCTION("""COMPUTED_VALUE"""),"Pretty pattern, weird texture")</f>
        <v>Pretty pattern, weird texture</v>
      </c>
      <c r="E172" s="15" t="str">
        <f>IFERROR(__xludf.DUMMYFUNCTION("""COMPUTED_VALUE"""),"I love the design and pattern of this top. it runs big so an xs was roomy on me but still cute. the neck is wide. i returned it bc the material of the top isn't for me. the texture is too soft.")</f>
        <v>I love the design and pattern of this top. it runs big so an xs was roomy on me but still cute. the neck is wide. i returned it bc the material of the top isn't for me. the texture is too soft.</v>
      </c>
      <c r="F172" s="8">
        <f>IFERROR(__xludf.DUMMYFUNCTION("""COMPUTED_VALUE"""),4.0)</f>
        <v>4</v>
      </c>
      <c r="G172" s="8">
        <f>IFERROR(__xludf.DUMMYFUNCTION("""COMPUTED_VALUE"""),0.0)</f>
        <v>0</v>
      </c>
      <c r="H172" s="8">
        <f>IFERROR(__xludf.DUMMYFUNCTION("""COMPUTED_VALUE"""),0.0)</f>
        <v>0</v>
      </c>
      <c r="I172" s="8" t="str">
        <f>IFERROR(__xludf.DUMMYFUNCTION("""COMPUTED_VALUE"""),"Initmates")</f>
        <v>Initmates</v>
      </c>
      <c r="J172" s="8" t="str">
        <f>IFERROR(__xludf.DUMMYFUNCTION("""COMPUTED_VALUE"""),"Intimate")</f>
        <v>Intimate</v>
      </c>
      <c r="K172" s="8" t="str">
        <f>IFERROR(__xludf.DUMMYFUNCTION("""COMPUTED_VALUE"""),"Sleep")</f>
        <v>Sleep</v>
      </c>
      <c r="L172" s="8" t="str">
        <f t="shared" si="1"/>
        <v>Size issue-Fabric issue-Style issue--</v>
      </c>
    </row>
    <row r="173">
      <c r="A173" s="8">
        <f>IFERROR(__xludf.DUMMYFUNCTION("""COMPUTED_VALUE"""),945.0)</f>
        <v>945</v>
      </c>
      <c r="B173" s="8">
        <f>IFERROR(__xludf.DUMMYFUNCTION("""COMPUTED_VALUE"""),1094.0)</f>
        <v>1094</v>
      </c>
      <c r="C173" s="8">
        <f>IFERROR(__xludf.DUMMYFUNCTION("""COMPUTED_VALUE"""),39.0)</f>
        <v>39</v>
      </c>
      <c r="D173" s="8" t="str">
        <f>IFERROR(__xludf.DUMMYFUNCTION("""COMPUTED_VALUE"""),"Not flattering on")</f>
        <v>Not flattering on</v>
      </c>
      <c r="E173" s="15" t="str">
        <f>IFERROR(__xludf.DUMMYFUNCTION("""COMPUTED_VALUE"""),"I was so excited when this dress went on sale.  it is very soft and the print is so distinctive.  it is super comfy but not slimming or flattering at all.  i am a curvy girl,  wear a medium 8/10 and this made me look so wide!  the skirt is quit full,  a s"&amp;"mall would have fit but the top was tight.  so disappointing.")</f>
        <v>I was so excited when this dress went on sale.  it is very soft and the print is so distinctive.  it is super comfy but not slimming or flattering at all.  i am a curvy girl,  wear a medium 8/10 and this made me look so wide!  the skirt is quit full,  a small would have fit but the top was tight.  so disappointing.</v>
      </c>
      <c r="F173" s="8">
        <f>IFERROR(__xludf.DUMMYFUNCTION("""COMPUTED_VALUE"""),3.0)</f>
        <v>3</v>
      </c>
      <c r="G173" s="8">
        <f>IFERROR(__xludf.DUMMYFUNCTION("""COMPUTED_VALUE"""),0.0)</f>
        <v>0</v>
      </c>
      <c r="H173" s="8">
        <f>IFERROR(__xludf.DUMMYFUNCTION("""COMPUTED_VALUE"""),0.0)</f>
        <v>0</v>
      </c>
      <c r="I173" s="8" t="str">
        <f>IFERROR(__xludf.DUMMYFUNCTION("""COMPUTED_VALUE"""),"General")</f>
        <v>General</v>
      </c>
      <c r="J173" s="8" t="str">
        <f>IFERROR(__xludf.DUMMYFUNCTION("""COMPUTED_VALUE"""),"Dresses")</f>
        <v>Dresses</v>
      </c>
      <c r="K173" s="8" t="str">
        <f>IFERROR(__xludf.DUMMYFUNCTION("""COMPUTED_VALUE"""),"Dresses")</f>
        <v>Dresses</v>
      </c>
      <c r="L173" s="8" t="str">
        <f t="shared" si="1"/>
        <v>Size issue----</v>
      </c>
    </row>
    <row r="174">
      <c r="A174" s="8">
        <f>IFERROR(__xludf.DUMMYFUNCTION("""COMPUTED_VALUE"""),948.0)</f>
        <v>948</v>
      </c>
      <c r="B174" s="8">
        <f>IFERROR(__xludf.DUMMYFUNCTION("""COMPUTED_VALUE"""),154.0)</f>
        <v>154</v>
      </c>
      <c r="C174" s="8">
        <f>IFERROR(__xludf.DUMMYFUNCTION("""COMPUTED_VALUE"""),40.0)</f>
        <v>40</v>
      </c>
      <c r="D174" s="8" t="str">
        <f>IFERROR(__xludf.DUMMYFUNCTION("""COMPUTED_VALUE"""),"Shorter than expected")</f>
        <v>Shorter than expected</v>
      </c>
      <c r="E174" s="15" t="str">
        <f>IFERROR(__xludf.DUMMYFUNCTION("""COMPUTED_VALUE"""),"After reading the reviews i placed an order because it was the only top that caught my eye on the entire price downs. lately all my usual l/10 sizes from retailer turn out huge so i ordered a size smaller from what i usually wear. all would have been ok i"&amp;"f the top wasn't so darn short. for reference i'm 6 ft tall, 160 lb. it's weird that this top looks completely the opposite of the model on the photo, from a loose looking fit with longer sleeves looking like a stylized sweatshirt that is not what")</f>
        <v>After reading the reviews i placed an order because it was the only top that caught my eye on the entire price downs. lately all my usual l/10 sizes from retailer turn out huge so i ordered a size smaller from what i usually wear. all would have been ok if the top wasn't so darn short. for reference i'm 6 ft tall, 160 lb. it's weird that this top looks completely the opposite of the model on the photo, from a loose looking fit with longer sleeves looking like a stylized sweatshirt that is not what</v>
      </c>
      <c r="F174" s="8">
        <f>IFERROR(__xludf.DUMMYFUNCTION("""COMPUTED_VALUE"""),2.0)</f>
        <v>2</v>
      </c>
      <c r="G174" s="8">
        <f>IFERROR(__xludf.DUMMYFUNCTION("""COMPUTED_VALUE"""),0.0)</f>
        <v>0</v>
      </c>
      <c r="H174" s="8">
        <f>IFERROR(__xludf.DUMMYFUNCTION("""COMPUTED_VALUE"""),4.0)</f>
        <v>4</v>
      </c>
      <c r="I174" s="8" t="str">
        <f>IFERROR(__xludf.DUMMYFUNCTION("""COMPUTED_VALUE"""),"Initmates")</f>
        <v>Initmates</v>
      </c>
      <c r="J174" s="8" t="str">
        <f>IFERROR(__xludf.DUMMYFUNCTION("""COMPUTED_VALUE"""),"Intimate")</f>
        <v>Intimate</v>
      </c>
      <c r="K174" s="8" t="str">
        <f>IFERROR(__xludf.DUMMYFUNCTION("""COMPUTED_VALUE"""),"Sleep")</f>
        <v>Sleep</v>
      </c>
      <c r="L174" s="8" t="str">
        <f t="shared" si="1"/>
        <v>Size issue--Style issue--Matching Awareness issue</v>
      </c>
    </row>
    <row r="175">
      <c r="A175" s="8">
        <f>IFERROR(__xludf.DUMMYFUNCTION("""COMPUTED_VALUE"""),955.0)</f>
        <v>955</v>
      </c>
      <c r="B175" s="8">
        <f>IFERROR(__xludf.DUMMYFUNCTION("""COMPUTED_VALUE"""),936.0)</f>
        <v>936</v>
      </c>
      <c r="C175" s="8">
        <f>IFERROR(__xludf.DUMMYFUNCTION("""COMPUTED_VALUE"""),31.0)</f>
        <v>31</v>
      </c>
      <c r="D175" s="8" t="str">
        <f>IFERROR(__xludf.DUMMYFUNCTION("""COMPUTED_VALUE"""),"Shapeless")</f>
        <v>Shapeless</v>
      </c>
      <c r="E175" s="15" t="str">
        <f>IFERROR(__xludf.DUMMYFUNCTION("""COMPUTED_VALUE"""),"5'1'' 43-31-43. i really wanted to love this coat: the material is nice, the green color is dark and rich, it has a hood. however, the cut is bad for me (and probably a lot of other people). the shoulders were cut too wide and impeded movement, and the bu"&amp;"st and hips were cut too tight, overall it was just boxy. i have another boiled wool coat that i bought at retailer about 7 years ago and though it's cut oversize like this one, it has a much fuller sweep, so the proportions still seem right. also")</f>
        <v>5'1'' 43-31-43. i really wanted to love this coat: the material is nice, the green color is dark and rich, it has a hood. however, the cut is bad for me (and probably a lot of other people). the shoulders were cut too wide and impeded movement, and the bust and hips were cut too tight, overall it was just boxy. i have another boiled wool coat that i bought at retailer about 7 years ago and though it's cut oversize like this one, it has a much fuller sweep, so the proportions still seem right. also</v>
      </c>
      <c r="F175" s="8">
        <f>IFERROR(__xludf.DUMMYFUNCTION("""COMPUTED_VALUE"""),3.0)</f>
        <v>3</v>
      </c>
      <c r="G175" s="8">
        <f>IFERROR(__xludf.DUMMYFUNCTION("""COMPUTED_VALUE"""),0.0)</f>
        <v>0</v>
      </c>
      <c r="H175" s="8">
        <f>IFERROR(__xludf.DUMMYFUNCTION("""COMPUTED_VALUE"""),1.0)</f>
        <v>1</v>
      </c>
      <c r="I175" s="8" t="str">
        <f>IFERROR(__xludf.DUMMYFUNCTION("""COMPUTED_VALUE"""),"General")</f>
        <v>General</v>
      </c>
      <c r="J175" s="8" t="str">
        <f>IFERROR(__xludf.DUMMYFUNCTION("""COMPUTED_VALUE"""),"Tops")</f>
        <v>Tops</v>
      </c>
      <c r="K175" s="8" t="str">
        <f>IFERROR(__xludf.DUMMYFUNCTION("""COMPUTED_VALUE"""),"Sweaters")</f>
        <v>Sweaters</v>
      </c>
      <c r="L175" s="8" t="str">
        <f t="shared" si="1"/>
        <v>Size issue-Fabric issue---</v>
      </c>
    </row>
    <row r="176">
      <c r="A176" s="8">
        <f>IFERROR(__xludf.DUMMYFUNCTION("""COMPUTED_VALUE"""),963.0)</f>
        <v>963</v>
      </c>
      <c r="B176" s="8">
        <f>IFERROR(__xludf.DUMMYFUNCTION("""COMPUTED_VALUE"""),1033.0)</f>
        <v>1033</v>
      </c>
      <c r="C176" s="8">
        <f>IFERROR(__xludf.DUMMYFUNCTION("""COMPUTED_VALUE"""),37.0)</f>
        <v>37</v>
      </c>
      <c r="D176" s="8" t="str">
        <f>IFERROR(__xludf.DUMMYFUNCTION("""COMPUTED_VALUE"""),"Disappointing fit!")</f>
        <v>Disappointing fit!</v>
      </c>
      <c r="E176" s="15" t="str">
        <f>IFERROR(__xludf.DUMMYFUNCTION("""COMPUTED_VALUE"""),"I originally got these in a 29 petite and thought they fit great right out of the bag (i'm usually a 6/8).. and within an hour of wearing them (to retailer, actually), the knees had gotten so baggy that they looked absolutely ridiculous; i've never had je"&amp;"ans do this. the salesperson at retailer agreed that they seemed very odd. i exchanged for a 28p at her suggestion, and i just hate them. i'd say the smaller size seems every so slightly small, but nothing major - but the waist actually folds over a")</f>
        <v>I originally got these in a 29 petite and thought they fit great right out of the bag (i'm usually a 6/8).. and within an hour of wearing them (to retailer, actually), the knees had gotten so baggy that they looked absolutely ridiculous; i've never had jeans do this. the salesperson at retailer agreed that they seemed very odd. i exchanged for a 28p at her suggestion, and i just hate them. i'd say the smaller size seems every so slightly small, but nothing major - but the waist actually folds over a</v>
      </c>
      <c r="F176" s="8">
        <f>IFERROR(__xludf.DUMMYFUNCTION("""COMPUTED_VALUE"""),2.0)</f>
        <v>2</v>
      </c>
      <c r="G176" s="8">
        <f>IFERROR(__xludf.DUMMYFUNCTION("""COMPUTED_VALUE"""),0.0)</f>
        <v>0</v>
      </c>
      <c r="H176" s="8">
        <f>IFERROR(__xludf.DUMMYFUNCTION("""COMPUTED_VALUE"""),0.0)</f>
        <v>0</v>
      </c>
      <c r="I176" s="8" t="str">
        <f>IFERROR(__xludf.DUMMYFUNCTION("""COMPUTED_VALUE"""),"General Petite")</f>
        <v>General Petite</v>
      </c>
      <c r="J176" s="8" t="str">
        <f>IFERROR(__xludf.DUMMYFUNCTION("""COMPUTED_VALUE"""),"Bottoms")</f>
        <v>Bottoms</v>
      </c>
      <c r="K176" s="8" t="str">
        <f>IFERROR(__xludf.DUMMYFUNCTION("""COMPUTED_VALUE"""),"Jeans")</f>
        <v>Jeans</v>
      </c>
      <c r="L176" s="8" t="str">
        <f t="shared" si="1"/>
        <v>Size issue----</v>
      </c>
    </row>
    <row r="177">
      <c r="A177" s="8">
        <f>IFERROR(__xludf.DUMMYFUNCTION("""COMPUTED_VALUE"""),965.0)</f>
        <v>965</v>
      </c>
      <c r="B177" s="8">
        <f>IFERROR(__xludf.DUMMYFUNCTION("""COMPUTED_VALUE"""),1140.0)</f>
        <v>1140</v>
      </c>
      <c r="C177" s="8">
        <f>IFERROR(__xludf.DUMMYFUNCTION("""COMPUTED_VALUE"""),36.0)</f>
        <v>36</v>
      </c>
      <c r="D177" s="8"/>
      <c r="E177" s="15" t="str">
        <f>IFERROR(__xludf.DUMMYFUNCTION("""COMPUTED_VALUE"""),"This skirt is not what i was expecting at all. for starters it runs large, i expected it to sit at the natural waist and it is definitely made to do so, but it was a good two inches too big and therefore wouldn't lay flat and gaped at the front. no bueno."&amp;" my biggest gripe, though, is that the color looks nothing like it does in the picture. they have it paired with an ivory top and the two look like they match so well but do not be fooled, the background color of this skirt is not even close to")</f>
        <v>This skirt is not what i was expecting at all. for starters it runs large, i expected it to sit at the natural waist and it is definitely made to do so, but it was a good two inches too big and therefore wouldn't lay flat and gaped at the front. no bueno. my biggest gripe, though, is that the color looks nothing like it does in the picture. they have it paired with an ivory top and the two look like they match so well but do not be fooled, the background color of this skirt is not even close to</v>
      </c>
      <c r="F177" s="8">
        <f>IFERROR(__xludf.DUMMYFUNCTION("""COMPUTED_VALUE"""),3.0)</f>
        <v>3</v>
      </c>
      <c r="G177" s="8">
        <f>IFERROR(__xludf.DUMMYFUNCTION("""COMPUTED_VALUE"""),0.0)</f>
        <v>0</v>
      </c>
      <c r="H177" s="8">
        <f>IFERROR(__xludf.DUMMYFUNCTION("""COMPUTED_VALUE"""),3.0)</f>
        <v>3</v>
      </c>
      <c r="I177" s="8" t="str">
        <f>IFERROR(__xludf.DUMMYFUNCTION("""COMPUTED_VALUE"""),"General Petite")</f>
        <v>General Petite</v>
      </c>
      <c r="J177" s="8" t="str">
        <f>IFERROR(__xludf.DUMMYFUNCTION("""COMPUTED_VALUE"""),"Trend")</f>
        <v>Trend</v>
      </c>
      <c r="K177" s="8" t="str">
        <f>IFERROR(__xludf.DUMMYFUNCTION("""COMPUTED_VALUE"""),"Trend")</f>
        <v>Trend</v>
      </c>
      <c r="L177" s="8" t="str">
        <f t="shared" si="1"/>
        <v>Size issue----</v>
      </c>
    </row>
    <row r="178">
      <c r="A178" s="8">
        <f>IFERROR(__xludf.DUMMYFUNCTION("""COMPUTED_VALUE"""),967.0)</f>
        <v>967</v>
      </c>
      <c r="B178" s="8">
        <f>IFERROR(__xludf.DUMMYFUNCTION("""COMPUTED_VALUE"""),1047.0)</f>
        <v>1047</v>
      </c>
      <c r="C178" s="8">
        <f>IFERROR(__xludf.DUMMYFUNCTION("""COMPUTED_VALUE"""),43.0)</f>
        <v>43</v>
      </c>
      <c r="D178" s="8" t="str">
        <f>IFERROR(__xludf.DUMMYFUNCTION("""COMPUTED_VALUE"""),"The fabric is heavy")</f>
        <v>The fabric is heavy</v>
      </c>
      <c r="E178" s="15" t="str">
        <f>IFERROR(__xludf.DUMMYFUNCTION("""COMPUTED_VALUE"""),"I wanted to love these pants, but they were larger than i expected and the fabric is very heavy. almost like a thick sweater.")</f>
        <v>I wanted to love these pants, but they were larger than i expected and the fabric is very heavy. almost like a thick sweater.</v>
      </c>
      <c r="F178" s="8">
        <f>IFERROR(__xludf.DUMMYFUNCTION("""COMPUTED_VALUE"""),3.0)</f>
        <v>3</v>
      </c>
      <c r="G178" s="8">
        <f>IFERROR(__xludf.DUMMYFUNCTION("""COMPUTED_VALUE"""),0.0)</f>
        <v>0</v>
      </c>
      <c r="H178" s="8">
        <f>IFERROR(__xludf.DUMMYFUNCTION("""COMPUTED_VALUE"""),0.0)</f>
        <v>0</v>
      </c>
      <c r="I178" s="8" t="str">
        <f>IFERROR(__xludf.DUMMYFUNCTION("""COMPUTED_VALUE"""),"General")</f>
        <v>General</v>
      </c>
      <c r="J178" s="8" t="str">
        <f>IFERROR(__xludf.DUMMYFUNCTION("""COMPUTED_VALUE"""),"Bottoms")</f>
        <v>Bottoms</v>
      </c>
      <c r="K178" s="8" t="str">
        <f>IFERROR(__xludf.DUMMYFUNCTION("""COMPUTED_VALUE"""),"Pants")</f>
        <v>Pants</v>
      </c>
      <c r="L178" s="8" t="str">
        <f t="shared" si="1"/>
        <v>Size issue----</v>
      </c>
    </row>
    <row r="179">
      <c r="A179" s="8">
        <f>IFERROR(__xludf.DUMMYFUNCTION("""COMPUTED_VALUE"""),972.0)</f>
        <v>972</v>
      </c>
      <c r="B179" s="8">
        <f>IFERROR(__xludf.DUMMYFUNCTION("""COMPUTED_VALUE"""),1094.0)</f>
        <v>1094</v>
      </c>
      <c r="C179" s="8">
        <f>IFERROR(__xludf.DUMMYFUNCTION("""COMPUTED_VALUE"""),67.0)</f>
        <v>67</v>
      </c>
      <c r="D179" s="8"/>
      <c r="E179" s="15" t="str">
        <f>IFERROR(__xludf.DUMMYFUNCTION("""COMPUTED_VALUE"""),"Very cheap looking material. looks cheap to cost $158.")</f>
        <v>Very cheap looking material. looks cheap to cost $158.</v>
      </c>
      <c r="F179" s="8">
        <f>IFERROR(__xludf.DUMMYFUNCTION("""COMPUTED_VALUE"""),1.0)</f>
        <v>1</v>
      </c>
      <c r="G179" s="8">
        <f>IFERROR(__xludf.DUMMYFUNCTION("""COMPUTED_VALUE"""),0.0)</f>
        <v>0</v>
      </c>
      <c r="H179" s="8">
        <f>IFERROR(__xludf.DUMMYFUNCTION("""COMPUTED_VALUE"""),1.0)</f>
        <v>1</v>
      </c>
      <c r="I179" s="8" t="str">
        <f>IFERROR(__xludf.DUMMYFUNCTION("""COMPUTED_VALUE"""),"General")</f>
        <v>General</v>
      </c>
      <c r="J179" s="8" t="str">
        <f>IFERROR(__xludf.DUMMYFUNCTION("""COMPUTED_VALUE"""),"Dresses")</f>
        <v>Dresses</v>
      </c>
      <c r="K179" s="8" t="str">
        <f>IFERROR(__xludf.DUMMYFUNCTION("""COMPUTED_VALUE"""),"Dresses")</f>
        <v>Dresses</v>
      </c>
      <c r="L179" s="8" t="str">
        <f t="shared" si="1"/>
        <v>-Fabric issue-Style issue--</v>
      </c>
    </row>
    <row r="180">
      <c r="A180" s="8">
        <f>IFERROR(__xludf.DUMMYFUNCTION("""COMPUTED_VALUE"""),980.0)</f>
        <v>980</v>
      </c>
      <c r="B180" s="8">
        <f>IFERROR(__xludf.DUMMYFUNCTION("""COMPUTED_VALUE"""),1094.0)</f>
        <v>1094</v>
      </c>
      <c r="C180" s="8">
        <f>IFERROR(__xludf.DUMMYFUNCTION("""COMPUTED_VALUE"""),36.0)</f>
        <v>36</v>
      </c>
      <c r="D180" s="8" t="str">
        <f>IFERROR(__xludf.DUMMYFUNCTION("""COMPUTED_VALUE"""),"Washed out looking")</f>
        <v>Washed out looking</v>
      </c>
      <c r="E180" s="15" t="str">
        <f>IFERROR(__xludf.DUMMYFUNCTION("""COMPUTED_VALUE"""),"The colors in this dress are much less vibrant in person. the scoop of the neckline is very wide and deep. i know others have posted that this is a great dress for work, but not in my workplace.")</f>
        <v>The colors in this dress are much less vibrant in person. the scoop of the neckline is very wide and deep. i know others have posted that this is a great dress for work, but not in my workplace.</v>
      </c>
      <c r="F180" s="8">
        <f>IFERROR(__xludf.DUMMYFUNCTION("""COMPUTED_VALUE"""),3.0)</f>
        <v>3</v>
      </c>
      <c r="G180" s="8">
        <f>IFERROR(__xludf.DUMMYFUNCTION("""COMPUTED_VALUE"""),0.0)</f>
        <v>0</v>
      </c>
      <c r="H180" s="8">
        <f>IFERROR(__xludf.DUMMYFUNCTION("""COMPUTED_VALUE"""),0.0)</f>
        <v>0</v>
      </c>
      <c r="I180" s="8" t="str">
        <f>IFERROR(__xludf.DUMMYFUNCTION("""COMPUTED_VALUE"""),"General")</f>
        <v>General</v>
      </c>
      <c r="J180" s="8" t="str">
        <f>IFERROR(__xludf.DUMMYFUNCTION("""COMPUTED_VALUE"""),"Dresses")</f>
        <v>Dresses</v>
      </c>
      <c r="K180" s="8" t="str">
        <f>IFERROR(__xludf.DUMMYFUNCTION("""COMPUTED_VALUE"""),"Dresses")</f>
        <v>Dresses</v>
      </c>
      <c r="L180" s="8" t="str">
        <f t="shared" si="1"/>
        <v>Size issue----</v>
      </c>
    </row>
    <row r="181">
      <c r="A181" s="8">
        <f>IFERROR(__xludf.DUMMYFUNCTION("""COMPUTED_VALUE"""),992.0)</f>
        <v>992</v>
      </c>
      <c r="B181" s="8">
        <f>IFERROR(__xludf.DUMMYFUNCTION("""COMPUTED_VALUE"""),878.0)</f>
        <v>878</v>
      </c>
      <c r="C181" s="8">
        <f>IFERROR(__xludf.DUMMYFUNCTION("""COMPUTED_VALUE"""),69.0)</f>
        <v>69</v>
      </c>
      <c r="D181" s="8"/>
      <c r="E181" s="15" t="str">
        <f>IFERROR(__xludf.DUMMYFUNCTION("""COMPUTED_VALUE"""),"I really like the sundry brand. however. this is thin and to me out of character for an retailer tee. it look adorable in picture. however the coloring is way off. the navy is almost black it's so dark and the kaki stripe is a green. it's nothing like i h"&amp;"ad hoped it would be. fabric in very thin and more like a pajama top. so disappointed. it will go back. i do not make it a habit to bash a product. however with tax, shipping and 83.00 price tag. 103.11 is absolutely terrible.")</f>
        <v>I really like the sundry brand. however. this is thin and to me out of character for an retailer tee. it look adorable in picture. however the coloring is way off. the navy is almost black it's so dark and the kaki stripe is a green. it's nothing like i had hoped it would be. fabric in very thin and more like a pajama top. so disappointed. it will go back. i do not make it a habit to bash a product. however with tax, shipping and 83.00 price tag. 103.11 is absolutely terrible.</v>
      </c>
      <c r="F181" s="8">
        <f>IFERROR(__xludf.DUMMYFUNCTION("""COMPUTED_VALUE"""),3.0)</f>
        <v>3</v>
      </c>
      <c r="G181" s="8">
        <f>IFERROR(__xludf.DUMMYFUNCTION("""COMPUTED_VALUE"""),0.0)</f>
        <v>0</v>
      </c>
      <c r="H181" s="8">
        <f>IFERROR(__xludf.DUMMYFUNCTION("""COMPUTED_VALUE"""),15.0)</f>
        <v>15</v>
      </c>
      <c r="I181" s="8" t="str">
        <f>IFERROR(__xludf.DUMMYFUNCTION("""COMPUTED_VALUE"""),"General Petite")</f>
        <v>General Petite</v>
      </c>
      <c r="J181" s="8" t="str">
        <f>IFERROR(__xludf.DUMMYFUNCTION("""COMPUTED_VALUE"""),"Tops")</f>
        <v>Tops</v>
      </c>
      <c r="K181" s="8" t="str">
        <f>IFERROR(__xludf.DUMMYFUNCTION("""COMPUTED_VALUE"""),"Knits")</f>
        <v>Knits</v>
      </c>
      <c r="L181" s="8" t="str">
        <f t="shared" si="1"/>
        <v>----</v>
      </c>
    </row>
    <row r="182">
      <c r="A182" s="8">
        <f>IFERROR(__xludf.DUMMYFUNCTION("""COMPUTED_VALUE"""),993.0)</f>
        <v>993</v>
      </c>
      <c r="B182" s="8">
        <f>IFERROR(__xludf.DUMMYFUNCTION("""COMPUTED_VALUE"""),1094.0)</f>
        <v>1094</v>
      </c>
      <c r="C182" s="8">
        <f>IFERROR(__xludf.DUMMYFUNCTION("""COMPUTED_VALUE"""),48.0)</f>
        <v>48</v>
      </c>
      <c r="D182" s="8" t="str">
        <f>IFERROR(__xludf.DUMMYFUNCTION("""COMPUTED_VALUE"""),"Comfortable but not exciting")</f>
        <v>Comfortable but not exciting</v>
      </c>
      <c r="E182" s="15" t="str">
        <f>IFERROR(__xludf.DUMMYFUNCTION("""COMPUTED_VALUE"""),"This is a comfortable sweater dress, and the quality of the material seems good. the solid blue strip down the front makes it look very bland. i think it would need some dressing up with a necklace or scarf. i decided to pass.")</f>
        <v>This is a comfortable sweater dress, and the quality of the material seems good. the solid blue strip down the front makes it look very bland. i think it would need some dressing up with a necklace or scarf. i decided to pass.</v>
      </c>
      <c r="F182" s="8">
        <f>IFERROR(__xludf.DUMMYFUNCTION("""COMPUTED_VALUE"""),3.0)</f>
        <v>3</v>
      </c>
      <c r="G182" s="8">
        <f>IFERROR(__xludf.DUMMYFUNCTION("""COMPUTED_VALUE"""),0.0)</f>
        <v>0</v>
      </c>
      <c r="H182" s="8">
        <f>IFERROR(__xludf.DUMMYFUNCTION("""COMPUTED_VALUE"""),0.0)</f>
        <v>0</v>
      </c>
      <c r="I182" s="8" t="str">
        <f>IFERROR(__xludf.DUMMYFUNCTION("""COMPUTED_VALUE"""),"General")</f>
        <v>General</v>
      </c>
      <c r="J182" s="8" t="str">
        <f>IFERROR(__xludf.DUMMYFUNCTION("""COMPUTED_VALUE"""),"Dresses")</f>
        <v>Dresses</v>
      </c>
      <c r="K182" s="8" t="str">
        <f>IFERROR(__xludf.DUMMYFUNCTION("""COMPUTED_VALUE"""),"Dresses")</f>
        <v>Dresses</v>
      </c>
      <c r="L182" s="8" t="str">
        <f t="shared" si="1"/>
        <v>-Fabric issue---</v>
      </c>
    </row>
    <row r="183">
      <c r="A183" s="8">
        <f>IFERROR(__xludf.DUMMYFUNCTION("""COMPUTED_VALUE"""),994.0)</f>
        <v>994</v>
      </c>
      <c r="B183" s="8">
        <f>IFERROR(__xludf.DUMMYFUNCTION("""COMPUTED_VALUE"""),936.0)</f>
        <v>936</v>
      </c>
      <c r="C183" s="8">
        <f>IFERROR(__xludf.DUMMYFUNCTION("""COMPUTED_VALUE"""),41.0)</f>
        <v>41</v>
      </c>
      <c r="D183" s="8"/>
      <c r="E183" s="15" t="str">
        <f>IFERROR(__xludf.DUMMYFUNCTION("""COMPUTED_VALUE"""),"I ordered this in the orange color from online. they were sold out of petite so i ordered medium (regular). i liked it, but just not flattering. i am 5'2"" and the coat was too big. sleeves were past my hands. i think because i'm ""curvy"" the straight cu"&amp;"t of coat would not have looked good on me in a size small. it was a nice coat, just not for me.")</f>
        <v>I ordered this in the orange color from online. they were sold out of petite so i ordered medium (regular). i liked it, but just not flattering. i am 5'2" and the coat was too big. sleeves were past my hands. i think because i'm "curvy" the straight cut of coat would not have looked good on me in a size small. it was a nice coat, just not for me.</v>
      </c>
      <c r="F183" s="8">
        <f>IFERROR(__xludf.DUMMYFUNCTION("""COMPUTED_VALUE"""),3.0)</f>
        <v>3</v>
      </c>
      <c r="G183" s="8">
        <f>IFERROR(__xludf.DUMMYFUNCTION("""COMPUTED_VALUE"""),0.0)</f>
        <v>0</v>
      </c>
      <c r="H183" s="8">
        <f>IFERROR(__xludf.DUMMYFUNCTION("""COMPUTED_VALUE"""),0.0)</f>
        <v>0</v>
      </c>
      <c r="I183" s="8" t="str">
        <f>IFERROR(__xludf.DUMMYFUNCTION("""COMPUTED_VALUE"""),"General")</f>
        <v>General</v>
      </c>
      <c r="J183" s="8" t="str">
        <f>IFERROR(__xludf.DUMMYFUNCTION("""COMPUTED_VALUE"""),"Tops")</f>
        <v>Tops</v>
      </c>
      <c r="K183" s="8" t="str">
        <f>IFERROR(__xludf.DUMMYFUNCTION("""COMPUTED_VALUE"""),"Sweaters")</f>
        <v>Sweaters</v>
      </c>
      <c r="L183" s="8" t="str">
        <f t="shared" si="1"/>
        <v>Size issue----</v>
      </c>
    </row>
    <row r="184">
      <c r="A184" s="8">
        <f>IFERROR(__xludf.DUMMYFUNCTION("""COMPUTED_VALUE"""),1003.0)</f>
        <v>1003</v>
      </c>
      <c r="B184" s="8">
        <f>IFERROR(__xludf.DUMMYFUNCTION("""COMPUTED_VALUE"""),936.0)</f>
        <v>936</v>
      </c>
      <c r="C184" s="8">
        <f>IFERROR(__xludf.DUMMYFUNCTION("""COMPUTED_VALUE"""),35.0)</f>
        <v>35</v>
      </c>
      <c r="D184" s="8" t="str">
        <f>IFERROR(__xludf.DUMMYFUNCTION("""COMPUTED_VALUE"""),"Too much for this sweater")</f>
        <v>Too much for this sweater</v>
      </c>
      <c r="E184" s="15" t="str">
        <f>IFERROR(__xludf.DUMMYFUNCTION("""COMPUTED_VALUE"""),"Im 5'1"" and about 110lbs. ordered the small because i do have some curves- it was huge- more like a large and didnt have much structure at all. the wool was very soft and stretchy. and like others have said- kinda orange- not true coral color. it fit me "&amp;"like a throw blanket- its going back for sure. might purchase again if the petite xs is back in stock and on sale- this should def be under $100.")</f>
        <v>Im 5'1" and about 110lbs. ordered the small because i do have some curves- it was huge- more like a large and didnt have much structure at all. the wool was very soft and stretchy. and like others have said- kinda orange- not true coral color. it fit me like a throw blanket- its going back for sure. might purchase again if the petite xs is back in stock and on sale- this should def be under $100.</v>
      </c>
      <c r="F184" s="8">
        <f>IFERROR(__xludf.DUMMYFUNCTION("""COMPUTED_VALUE"""),3.0)</f>
        <v>3</v>
      </c>
      <c r="G184" s="8">
        <f>IFERROR(__xludf.DUMMYFUNCTION("""COMPUTED_VALUE"""),0.0)</f>
        <v>0</v>
      </c>
      <c r="H184" s="8">
        <f>IFERROR(__xludf.DUMMYFUNCTION("""COMPUTED_VALUE"""),0.0)</f>
        <v>0</v>
      </c>
      <c r="I184" s="8" t="str">
        <f>IFERROR(__xludf.DUMMYFUNCTION("""COMPUTED_VALUE"""),"General")</f>
        <v>General</v>
      </c>
      <c r="J184" s="8" t="str">
        <f>IFERROR(__xludf.DUMMYFUNCTION("""COMPUTED_VALUE"""),"Tops")</f>
        <v>Tops</v>
      </c>
      <c r="K184" s="8" t="str">
        <f>IFERROR(__xludf.DUMMYFUNCTION("""COMPUTED_VALUE"""),"Sweaters")</f>
        <v>Sweaters</v>
      </c>
      <c r="L184" s="8" t="str">
        <f t="shared" si="1"/>
        <v>Size issue----</v>
      </c>
    </row>
    <row r="185">
      <c r="A185" s="8">
        <f>IFERROR(__xludf.DUMMYFUNCTION("""COMPUTED_VALUE"""),1022.0)</f>
        <v>1022</v>
      </c>
      <c r="B185" s="8">
        <f>IFERROR(__xludf.DUMMYFUNCTION("""COMPUTED_VALUE"""),854.0)</f>
        <v>854</v>
      </c>
      <c r="C185" s="8">
        <f>IFERROR(__xludf.DUMMYFUNCTION("""COMPUTED_VALUE"""),59.0)</f>
        <v>59</v>
      </c>
      <c r="D185" s="8" t="str">
        <f>IFERROR(__xludf.DUMMYFUNCTION("""COMPUTED_VALUE"""),"Misleading picture!")</f>
        <v>Misleading picture!</v>
      </c>
      <c r="E185" s="15" t="str">
        <f>IFERROR(__xludf.DUMMYFUNCTION("""COMPUTED_VALUE"""),"The top i received was large, really long in length, pockets in the front along the seam, and lots of volume in the back without any princess seams to give it shape. the id #'s matched, but that's about it. returned!")</f>
        <v>The top i received was large, really long in length, pockets in the front along the seam, and lots of volume in the back without any princess seams to give it shape. the id #'s matched, but that's about it. returned!</v>
      </c>
      <c r="F185" s="8">
        <f>IFERROR(__xludf.DUMMYFUNCTION("""COMPUTED_VALUE"""),1.0)</f>
        <v>1</v>
      </c>
      <c r="G185" s="8">
        <f>IFERROR(__xludf.DUMMYFUNCTION("""COMPUTED_VALUE"""),0.0)</f>
        <v>0</v>
      </c>
      <c r="H185" s="8">
        <f>IFERROR(__xludf.DUMMYFUNCTION("""COMPUTED_VALUE"""),1.0)</f>
        <v>1</v>
      </c>
      <c r="I185" s="8" t="str">
        <f>IFERROR(__xludf.DUMMYFUNCTION("""COMPUTED_VALUE"""),"General Petite")</f>
        <v>General Petite</v>
      </c>
      <c r="J185" s="8" t="str">
        <f>IFERROR(__xludf.DUMMYFUNCTION("""COMPUTED_VALUE"""),"Tops")</f>
        <v>Tops</v>
      </c>
      <c r="K185" s="8" t="str">
        <f>IFERROR(__xludf.DUMMYFUNCTION("""COMPUTED_VALUE"""),"Knits")</f>
        <v>Knits</v>
      </c>
      <c r="L185" s="8" t="str">
        <f t="shared" si="1"/>
        <v>Size issue----</v>
      </c>
    </row>
    <row r="186">
      <c r="A186" s="8">
        <f>IFERROR(__xludf.DUMMYFUNCTION("""COMPUTED_VALUE"""),1046.0)</f>
        <v>1046</v>
      </c>
      <c r="B186" s="8">
        <f>IFERROR(__xludf.DUMMYFUNCTION("""COMPUTED_VALUE"""),949.0)</f>
        <v>949</v>
      </c>
      <c r="C186" s="8">
        <f>IFERROR(__xludf.DUMMYFUNCTION("""COMPUTED_VALUE"""),43.0)</f>
        <v>43</v>
      </c>
      <c r="D186" s="8"/>
      <c r="E186" s="15"/>
      <c r="F186" s="8">
        <f>IFERROR(__xludf.DUMMYFUNCTION("""COMPUTED_VALUE"""),2.0)</f>
        <v>2</v>
      </c>
      <c r="G186" s="8">
        <f>IFERROR(__xludf.DUMMYFUNCTION("""COMPUTED_VALUE"""),0.0)</f>
        <v>0</v>
      </c>
      <c r="H186" s="8">
        <f>IFERROR(__xludf.DUMMYFUNCTION("""COMPUTED_VALUE"""),0.0)</f>
        <v>0</v>
      </c>
      <c r="I186" s="8" t="str">
        <f>IFERROR(__xludf.DUMMYFUNCTION("""COMPUTED_VALUE"""),"General")</f>
        <v>General</v>
      </c>
      <c r="J186" s="8" t="str">
        <f>IFERROR(__xludf.DUMMYFUNCTION("""COMPUTED_VALUE"""),"Tops")</f>
        <v>Tops</v>
      </c>
      <c r="K186" s="8" t="str">
        <f>IFERROR(__xludf.DUMMYFUNCTION("""COMPUTED_VALUE"""),"Sweaters")</f>
        <v>Sweaters</v>
      </c>
      <c r="L186" s="8" t="str">
        <f t="shared" si="1"/>
        <v/>
      </c>
    </row>
    <row r="187">
      <c r="A187" s="8">
        <f>IFERROR(__xludf.DUMMYFUNCTION("""COMPUTED_VALUE"""),1047.0)</f>
        <v>1047</v>
      </c>
      <c r="B187" s="8">
        <f>IFERROR(__xludf.DUMMYFUNCTION("""COMPUTED_VALUE"""),873.0)</f>
        <v>873</v>
      </c>
      <c r="C187" s="8">
        <f>IFERROR(__xludf.DUMMYFUNCTION("""COMPUTED_VALUE"""),50.0)</f>
        <v>50</v>
      </c>
      <c r="D187" s="8" t="str">
        <f>IFERROR(__xludf.DUMMYFUNCTION("""COMPUTED_VALUE"""),"Large and very wide!")</f>
        <v>Large and very wide!</v>
      </c>
      <c r="E187" s="15" t="str">
        <f>IFERROR(__xludf.DUMMYFUNCTION("""COMPUTED_VALUE"""),"I ordered this in a small petite and medium petite , and i am a huge fan of a*k. i put tried on the sp. while it fit, it was very long, even for a petite. what i hated about it was that the piping on the top made me look very wide. even a long necklace wo"&amp;"uldn't help deter the look. on a positive side, the blue was a very nice, cool color. i am usually a small to medium in a*k (6-8 in tops) and the small fit well in the arms/bodice, just too much fabric for me. returning!")</f>
        <v>I ordered this in a small petite and medium petite , and i am a huge fan of a*k. i put tried on the sp. while it fit, it was very long, even for a petite. what i hated about it was that the piping on the top made me look very wide. even a long necklace wouldn't help deter the look. on a positive side, the blue was a very nice, cool color. i am usually a small to medium in a*k (6-8 in tops) and the small fit well in the arms/bodice, just too much fabric for me. returning!</v>
      </c>
      <c r="F187" s="8">
        <f>IFERROR(__xludf.DUMMYFUNCTION("""COMPUTED_VALUE"""),2.0)</f>
        <v>2</v>
      </c>
      <c r="G187" s="8">
        <f>IFERROR(__xludf.DUMMYFUNCTION("""COMPUTED_VALUE"""),0.0)</f>
        <v>0</v>
      </c>
      <c r="H187" s="8">
        <f>IFERROR(__xludf.DUMMYFUNCTION("""COMPUTED_VALUE"""),13.0)</f>
        <v>13</v>
      </c>
      <c r="I187" s="8" t="str">
        <f>IFERROR(__xludf.DUMMYFUNCTION("""COMPUTED_VALUE"""),"General")</f>
        <v>General</v>
      </c>
      <c r="J187" s="8" t="str">
        <f>IFERROR(__xludf.DUMMYFUNCTION("""COMPUTED_VALUE"""),"Tops")</f>
        <v>Tops</v>
      </c>
      <c r="K187" s="8" t="str">
        <f>IFERROR(__xludf.DUMMYFUNCTION("""COMPUTED_VALUE"""),"Knits")</f>
        <v>Knits</v>
      </c>
      <c r="L187" s="8" t="str">
        <f t="shared" si="1"/>
        <v>Size issue----</v>
      </c>
    </row>
    <row r="188">
      <c r="A188" s="8">
        <f>IFERROR(__xludf.DUMMYFUNCTION("""COMPUTED_VALUE"""),1052.0)</f>
        <v>1052</v>
      </c>
      <c r="B188" s="8">
        <f>IFERROR(__xludf.DUMMYFUNCTION("""COMPUTED_VALUE"""),873.0)</f>
        <v>873</v>
      </c>
      <c r="C188" s="8">
        <f>IFERROR(__xludf.DUMMYFUNCTION("""COMPUTED_VALUE"""),69.0)</f>
        <v>69</v>
      </c>
      <c r="D188" s="8" t="str">
        <f>IFERROR(__xludf.DUMMYFUNCTION("""COMPUTED_VALUE"""),"Quality &amp; cut")</f>
        <v>Quality &amp; cut</v>
      </c>
      <c r="E188" s="15" t="str">
        <f>IFERROR(__xludf.DUMMYFUNCTION("""COMPUTED_VALUE"""),"My perspective is as a sewer so i'm more picky perhaps. this top is poorly made. the fabric pattern is crooked or not consistent in each piece. sewers do this to save $ - squeezing the pieces on the fabric. it looks sloppy. the cut is very full; the botto"&amp;"m edge measures 104"" around. for my figure, curvey, at 5'6"" and 150lbs, this top is not flattering it looks maternity. perhaps best on a slim figure and with leggings.")</f>
        <v>My perspective is as a sewer so i'm more picky perhaps. this top is poorly made. the fabric pattern is crooked or not consistent in each piece. sewers do this to save $ - squeezing the pieces on the fabric. it looks sloppy. the cut is very full; the bottom edge measures 104" around. for my figure, curvey, at 5'6" and 150lbs, this top is not flattering it looks maternity. perhaps best on a slim figure and with leggings.</v>
      </c>
      <c r="F188" s="8">
        <f>IFERROR(__xludf.DUMMYFUNCTION("""COMPUTED_VALUE"""),1.0)</f>
        <v>1</v>
      </c>
      <c r="G188" s="8">
        <f>IFERROR(__xludf.DUMMYFUNCTION("""COMPUTED_VALUE"""),0.0)</f>
        <v>0</v>
      </c>
      <c r="H188" s="8">
        <f>IFERROR(__xludf.DUMMYFUNCTION("""COMPUTED_VALUE"""),2.0)</f>
        <v>2</v>
      </c>
      <c r="I188" s="8" t="str">
        <f>IFERROR(__xludf.DUMMYFUNCTION("""COMPUTED_VALUE"""),"General")</f>
        <v>General</v>
      </c>
      <c r="J188" s="8" t="str">
        <f>IFERROR(__xludf.DUMMYFUNCTION("""COMPUTED_VALUE"""),"Tops")</f>
        <v>Tops</v>
      </c>
      <c r="K188" s="8" t="str">
        <f>IFERROR(__xludf.DUMMYFUNCTION("""COMPUTED_VALUE"""),"Knits")</f>
        <v>Knits</v>
      </c>
      <c r="L188" s="8" t="str">
        <f t="shared" si="1"/>
        <v>----</v>
      </c>
    </row>
    <row r="189">
      <c r="A189" s="8">
        <f>IFERROR(__xludf.DUMMYFUNCTION("""COMPUTED_VALUE"""),1057.0)</f>
        <v>1057</v>
      </c>
      <c r="B189" s="8">
        <f>IFERROR(__xludf.DUMMYFUNCTION("""COMPUTED_VALUE"""),873.0)</f>
        <v>873</v>
      </c>
      <c r="C189" s="8">
        <f>IFERROR(__xludf.DUMMYFUNCTION("""COMPUTED_VALUE"""),71.0)</f>
        <v>71</v>
      </c>
      <c r="D189" s="8" t="str">
        <f>IFERROR(__xludf.DUMMYFUNCTION("""COMPUTED_VALUE"""),"Pretty but not for me")</f>
        <v>Pretty but not for me</v>
      </c>
      <c r="E189" s="15" t="str">
        <f>IFERROR(__xludf.DUMMYFUNCTION("""COMPUTED_VALUE"""),"This top reminded me of a maternity top. cute, but better suited for someone smaller chested.")</f>
        <v>This top reminded me of a maternity top. cute, but better suited for someone smaller chested.</v>
      </c>
      <c r="F189" s="8">
        <f>IFERROR(__xludf.DUMMYFUNCTION("""COMPUTED_VALUE"""),3.0)</f>
        <v>3</v>
      </c>
      <c r="G189" s="8">
        <f>IFERROR(__xludf.DUMMYFUNCTION("""COMPUTED_VALUE"""),0.0)</f>
        <v>0</v>
      </c>
      <c r="H189" s="8">
        <f>IFERROR(__xludf.DUMMYFUNCTION("""COMPUTED_VALUE"""),0.0)</f>
        <v>0</v>
      </c>
      <c r="I189" s="8" t="str">
        <f>IFERROR(__xludf.DUMMYFUNCTION("""COMPUTED_VALUE"""),"General")</f>
        <v>General</v>
      </c>
      <c r="J189" s="8" t="str">
        <f>IFERROR(__xludf.DUMMYFUNCTION("""COMPUTED_VALUE"""),"Tops")</f>
        <v>Tops</v>
      </c>
      <c r="K189" s="8" t="str">
        <f>IFERROR(__xludf.DUMMYFUNCTION("""COMPUTED_VALUE"""),"Knits")</f>
        <v>Knits</v>
      </c>
      <c r="L189" s="8" t="str">
        <f t="shared" si="1"/>
        <v>Size issue----</v>
      </c>
    </row>
    <row r="190">
      <c r="A190" s="8">
        <f>IFERROR(__xludf.DUMMYFUNCTION("""COMPUTED_VALUE"""),1061.0)</f>
        <v>1061</v>
      </c>
      <c r="B190" s="8">
        <f>IFERROR(__xludf.DUMMYFUNCTION("""COMPUTED_VALUE"""),909.0)</f>
        <v>909</v>
      </c>
      <c r="C190" s="8">
        <f>IFERROR(__xludf.DUMMYFUNCTION("""COMPUTED_VALUE"""),46.0)</f>
        <v>46</v>
      </c>
      <c r="D190" s="8" t="str">
        <f>IFERROR(__xludf.DUMMYFUNCTION("""COMPUTED_VALUE"""),"Farm animal pullover")</f>
        <v>Farm animal pullover</v>
      </c>
      <c r="E190" s="15" t="str">
        <f>IFERROR(__xludf.DUMMYFUNCTION("""COMPUTED_VALUE"""),"Wanted to love this sweater for its beautiful colors and cute graphic, but the fit is uncomfortably small and it is so itchy i was yelling, ""get it off"" in the fitting room. bummer.")</f>
        <v>Wanted to love this sweater for its beautiful colors and cute graphic, but the fit is uncomfortably small and it is so itchy i was yelling, "get it off" in the fitting room. bummer.</v>
      </c>
      <c r="F190" s="8">
        <f>IFERROR(__xludf.DUMMYFUNCTION("""COMPUTED_VALUE"""),2.0)</f>
        <v>2</v>
      </c>
      <c r="G190" s="8">
        <f>IFERROR(__xludf.DUMMYFUNCTION("""COMPUTED_VALUE"""),0.0)</f>
        <v>0</v>
      </c>
      <c r="H190" s="8">
        <f>IFERROR(__xludf.DUMMYFUNCTION("""COMPUTED_VALUE"""),0.0)</f>
        <v>0</v>
      </c>
      <c r="I190" s="8" t="str">
        <f>IFERROR(__xludf.DUMMYFUNCTION("""COMPUTED_VALUE"""),"General")</f>
        <v>General</v>
      </c>
      <c r="J190" s="8" t="str">
        <f>IFERROR(__xludf.DUMMYFUNCTION("""COMPUTED_VALUE"""),"Tops")</f>
        <v>Tops</v>
      </c>
      <c r="K190" s="8" t="str">
        <f>IFERROR(__xludf.DUMMYFUNCTION("""COMPUTED_VALUE"""),"Fine gauge")</f>
        <v>Fine gauge</v>
      </c>
      <c r="L190" s="8" t="str">
        <f t="shared" si="1"/>
        <v>Size issue----</v>
      </c>
    </row>
    <row r="191">
      <c r="A191" s="8">
        <f>IFERROR(__xludf.DUMMYFUNCTION("""COMPUTED_VALUE"""),1072.0)</f>
        <v>1072</v>
      </c>
      <c r="B191" s="8">
        <f>IFERROR(__xludf.DUMMYFUNCTION("""COMPUTED_VALUE"""),1099.0)</f>
        <v>1099</v>
      </c>
      <c r="C191" s="8">
        <f>IFERROR(__xludf.DUMMYFUNCTION("""COMPUTED_VALUE"""),57.0)</f>
        <v>57</v>
      </c>
      <c r="D191" s="8" t="str">
        <f>IFERROR(__xludf.DUMMYFUNCTION("""COMPUTED_VALUE"""),"Paisley silk maxi dress")</f>
        <v>Paisley silk maxi dress</v>
      </c>
      <c r="E191" s="15" t="str">
        <f>IFERROR(__xludf.DUMMYFUNCTION("""COMPUTED_VALUE"""),"Beautiful dress but have to return. way too big &amp; long for me. medium is the size i wear but i think i would need an extra small.")</f>
        <v>Beautiful dress but have to return. way too big &amp; long for me. medium is the size i wear but i think i would need an extra small.</v>
      </c>
      <c r="F191" s="8">
        <f>IFERROR(__xludf.DUMMYFUNCTION("""COMPUTED_VALUE"""),2.0)</f>
        <v>2</v>
      </c>
      <c r="G191" s="8">
        <f>IFERROR(__xludf.DUMMYFUNCTION("""COMPUTED_VALUE"""),0.0)</f>
        <v>0</v>
      </c>
      <c r="H191" s="8">
        <f>IFERROR(__xludf.DUMMYFUNCTION("""COMPUTED_VALUE"""),6.0)</f>
        <v>6</v>
      </c>
      <c r="I191" s="8" t="str">
        <f>IFERROR(__xludf.DUMMYFUNCTION("""COMPUTED_VALUE"""),"General Petite")</f>
        <v>General Petite</v>
      </c>
      <c r="J191" s="8" t="str">
        <f>IFERROR(__xludf.DUMMYFUNCTION("""COMPUTED_VALUE"""),"Dresses")</f>
        <v>Dresses</v>
      </c>
      <c r="K191" s="8" t="str">
        <f>IFERROR(__xludf.DUMMYFUNCTION("""COMPUTED_VALUE"""),"Dresses")</f>
        <v>Dresses</v>
      </c>
      <c r="L191" s="8" t="str">
        <f t="shared" si="1"/>
        <v>Size issue----</v>
      </c>
    </row>
    <row r="192">
      <c r="A192" s="8">
        <f>IFERROR(__xludf.DUMMYFUNCTION("""COMPUTED_VALUE"""),1078.0)</f>
        <v>1078</v>
      </c>
      <c r="B192" s="8">
        <f>IFERROR(__xludf.DUMMYFUNCTION("""COMPUTED_VALUE"""),1001.0)</f>
        <v>1001</v>
      </c>
      <c r="C192" s="8">
        <f>IFERROR(__xludf.DUMMYFUNCTION("""COMPUTED_VALUE"""),39.0)</f>
        <v>39</v>
      </c>
      <c r="D192" s="8" t="str">
        <f>IFERROR(__xludf.DUMMYFUNCTION("""COMPUTED_VALUE"""),"Runs big, great material but not as pictured")</f>
        <v>Runs big, great material but not as pictured</v>
      </c>
      <c r="E192" s="15" t="str">
        <f>IFERROR(__xludf.DUMMYFUNCTION("""COMPUTED_VALUE"""),"I agree with the other reviewers that this runs big. unfortunately there is nothing smaller than an xs so this is going back. i love the lyocell material, i have another skirt with this material and wanted to love this as well but it is too big and with t"&amp;"he drawstring pulled tight to fit it doesn't look right. it is not as pictured as well. the skirt i received is a medium blue denim, not the lovely light blue as pictured, another reason why i am returning.")</f>
        <v>I agree with the other reviewers that this runs big. unfortunately there is nothing smaller than an xs so this is going back. i love the lyocell material, i have another skirt with this material and wanted to love this as well but it is too big and with the drawstring pulled tight to fit it doesn't look right. it is not as pictured as well. the skirt i received is a medium blue denim, not the lovely light blue as pictured, another reason why i am returning.</v>
      </c>
      <c r="F192" s="8">
        <f>IFERROR(__xludf.DUMMYFUNCTION("""COMPUTED_VALUE"""),2.0)</f>
        <v>2</v>
      </c>
      <c r="G192" s="8">
        <f>IFERROR(__xludf.DUMMYFUNCTION("""COMPUTED_VALUE"""),0.0)</f>
        <v>0</v>
      </c>
      <c r="H192" s="8">
        <f>IFERROR(__xludf.DUMMYFUNCTION("""COMPUTED_VALUE"""),1.0)</f>
        <v>1</v>
      </c>
      <c r="I192" s="8" t="str">
        <f>IFERROR(__xludf.DUMMYFUNCTION("""COMPUTED_VALUE"""),"General")</f>
        <v>General</v>
      </c>
      <c r="J192" s="8" t="str">
        <f>IFERROR(__xludf.DUMMYFUNCTION("""COMPUTED_VALUE"""),"Bottoms")</f>
        <v>Bottoms</v>
      </c>
      <c r="K192" s="8" t="str">
        <f>IFERROR(__xludf.DUMMYFUNCTION("""COMPUTED_VALUE"""),"Skirts")</f>
        <v>Skirts</v>
      </c>
      <c r="L192" s="8" t="str">
        <f t="shared" si="1"/>
        <v>Size issue-Fabric issue---</v>
      </c>
    </row>
    <row r="193">
      <c r="A193" s="8">
        <f>IFERROR(__xludf.DUMMYFUNCTION("""COMPUTED_VALUE"""),1089.0)</f>
        <v>1089</v>
      </c>
      <c r="B193" s="8">
        <f>IFERROR(__xludf.DUMMYFUNCTION("""COMPUTED_VALUE"""),829.0)</f>
        <v>829</v>
      </c>
      <c r="C193" s="8">
        <f>IFERROR(__xludf.DUMMYFUNCTION("""COMPUTED_VALUE"""),26.0)</f>
        <v>26</v>
      </c>
      <c r="D193" s="8" t="str">
        <f>IFERROR(__xludf.DUMMYFUNCTION("""COMPUTED_VALUE"""),"Great color, not so great tailoring")</f>
        <v>Great color, not so great tailoring</v>
      </c>
      <c r="E193" s="15" t="str">
        <f>IFERROR(__xludf.DUMMYFUNCTION("""COMPUTED_VALUE"""),"I was really looking forward to receiving this blouse in the mail. the color was beautiful in person and the photo does not show the nice beading around the neck. that being said, i was so disappointed in the fit. i ordered a size 00 and the arm length wa"&amp;"s way too long yet the body of the shirt was way too cropped. cropped enough where you could see skin on the sides. made no sense! hoping to order a few more sizes to see if i can find the right fit. order up for length, down for arm length ...")</f>
        <v>I was really looking forward to receiving this blouse in the mail. the color was beautiful in person and the photo does not show the nice beading around the neck. that being said, i was so disappointed in the fit. i ordered a size 00 and the arm length was way too long yet the body of the shirt was way too cropped. cropped enough where you could see skin on the sides. made no sense! hoping to order a few more sizes to see if i can find the right fit. order up for length, down for arm length ...</v>
      </c>
      <c r="F193" s="8">
        <f>IFERROR(__xludf.DUMMYFUNCTION("""COMPUTED_VALUE"""),2.0)</f>
        <v>2</v>
      </c>
      <c r="G193" s="8">
        <f>IFERROR(__xludf.DUMMYFUNCTION("""COMPUTED_VALUE"""),0.0)</f>
        <v>0</v>
      </c>
      <c r="H193" s="8">
        <f>IFERROR(__xludf.DUMMYFUNCTION("""COMPUTED_VALUE"""),9.0)</f>
        <v>9</v>
      </c>
      <c r="I193" s="8" t="str">
        <f>IFERROR(__xludf.DUMMYFUNCTION("""COMPUTED_VALUE"""),"General Petite")</f>
        <v>General Petite</v>
      </c>
      <c r="J193" s="8" t="str">
        <f>IFERROR(__xludf.DUMMYFUNCTION("""COMPUTED_VALUE"""),"Tops")</f>
        <v>Tops</v>
      </c>
      <c r="K193" s="8" t="str">
        <f>IFERROR(__xludf.DUMMYFUNCTION("""COMPUTED_VALUE"""),"Blouses")</f>
        <v>Blouses</v>
      </c>
      <c r="L193" s="8" t="str">
        <f t="shared" si="1"/>
        <v>Size issue----</v>
      </c>
    </row>
    <row r="194">
      <c r="A194" s="8">
        <f>IFERROR(__xludf.DUMMYFUNCTION("""COMPUTED_VALUE"""),1091.0)</f>
        <v>1091</v>
      </c>
      <c r="B194" s="8">
        <f>IFERROR(__xludf.DUMMYFUNCTION("""COMPUTED_VALUE"""),868.0)</f>
        <v>868</v>
      </c>
      <c r="C194" s="8">
        <f>IFERROR(__xludf.DUMMYFUNCTION("""COMPUTED_VALUE"""),29.0)</f>
        <v>29</v>
      </c>
      <c r="D194" s="8" t="str">
        <f>IFERROR(__xludf.DUMMYFUNCTION("""COMPUTED_VALUE"""),"I wanted to love this shirt.")</f>
        <v>I wanted to love this shirt.</v>
      </c>
      <c r="E194" s="15" t="str">
        <f>IFERROR(__xludf.DUMMYFUNCTION("""COMPUTED_VALUE"""),"I order this shirt because it looked like a shirt you could dress up or down. when i got it the shirt was really wrinkled. therefore, i knew it would have to ironed a lot. it was quite boxy and was shorter in the front then in the back. i didn't realize t"&amp;"hat this shirt was two different fabrics. overall i think this shirt would be more flattering on a woman that was petite.")</f>
        <v>I order this shirt because it looked like a shirt you could dress up or down. when i got it the shirt was really wrinkled. therefore, i knew it would have to ironed a lot. it was quite boxy and was shorter in the front then in the back. i didn't realize that this shirt was two different fabrics. overall i think this shirt would be more flattering on a woman that was petite.</v>
      </c>
      <c r="F194" s="8">
        <f>IFERROR(__xludf.DUMMYFUNCTION("""COMPUTED_VALUE"""),3.0)</f>
        <v>3</v>
      </c>
      <c r="G194" s="8">
        <f>IFERROR(__xludf.DUMMYFUNCTION("""COMPUTED_VALUE"""),0.0)</f>
        <v>0</v>
      </c>
      <c r="H194" s="8">
        <f>IFERROR(__xludf.DUMMYFUNCTION("""COMPUTED_VALUE"""),0.0)</f>
        <v>0</v>
      </c>
      <c r="I194" s="8" t="str">
        <f>IFERROR(__xludf.DUMMYFUNCTION("""COMPUTED_VALUE"""),"General")</f>
        <v>General</v>
      </c>
      <c r="J194" s="8" t="str">
        <f>IFERROR(__xludf.DUMMYFUNCTION("""COMPUTED_VALUE"""),"Tops")</f>
        <v>Tops</v>
      </c>
      <c r="K194" s="8" t="str">
        <f>IFERROR(__xludf.DUMMYFUNCTION("""COMPUTED_VALUE"""),"Knits")</f>
        <v>Knits</v>
      </c>
      <c r="L194" s="8" t="str">
        <f t="shared" si="1"/>
        <v>Size issue----</v>
      </c>
    </row>
    <row r="195">
      <c r="A195" s="8">
        <f>IFERROR(__xludf.DUMMYFUNCTION("""COMPUTED_VALUE"""),1098.0)</f>
        <v>1098</v>
      </c>
      <c r="B195" s="8">
        <f>IFERROR(__xludf.DUMMYFUNCTION("""COMPUTED_VALUE"""),831.0)</f>
        <v>831</v>
      </c>
      <c r="C195" s="8">
        <f>IFERROR(__xludf.DUMMYFUNCTION("""COMPUTED_VALUE"""),54.0)</f>
        <v>54</v>
      </c>
      <c r="D195" s="8" t="str">
        <f>IFERROR(__xludf.DUMMYFUNCTION("""COMPUTED_VALUE"""),"Shrinks")</f>
        <v>Shrinks</v>
      </c>
      <c r="E195" s="15" t="str">
        <f>IFERROR(__xludf.DUMMYFUNCTION("""COMPUTED_VALUE"""),"I loved this blouse when i got it and wore it before washing. it fit really well and was flattering. the only time i laundered it i hand- washed it in cold water and hung it to dry. the blouse shrunk at least a full size and in awkward places. the sleeves"&amp;" are now tight and way too short. the overall length shortened by at least 2 inches. the top is so tight in the bust now that the buttons popped open. i'm very disappointed and surprised.i will be returning it as it is unwearable as is.")</f>
        <v>I loved this blouse when i got it and wore it before washing. it fit really well and was flattering. the only time i laundered it i hand- washed it in cold water and hung it to dry. the blouse shrunk at least a full size and in awkward places. the sleeves are now tight and way too short. the overall length shortened by at least 2 inches. the top is so tight in the bust now that the buttons popped open. i'm very disappointed and surprised.i will be returning it as it is unwearable as is.</v>
      </c>
      <c r="F195" s="8">
        <f>IFERROR(__xludf.DUMMYFUNCTION("""COMPUTED_VALUE"""),1.0)</f>
        <v>1</v>
      </c>
      <c r="G195" s="8">
        <f>IFERROR(__xludf.DUMMYFUNCTION("""COMPUTED_VALUE"""),0.0)</f>
        <v>0</v>
      </c>
      <c r="H195" s="8">
        <f>IFERROR(__xludf.DUMMYFUNCTION("""COMPUTED_VALUE"""),0.0)</f>
        <v>0</v>
      </c>
      <c r="I195" s="8" t="str">
        <f>IFERROR(__xludf.DUMMYFUNCTION("""COMPUTED_VALUE"""),"General")</f>
        <v>General</v>
      </c>
      <c r="J195" s="8" t="str">
        <f>IFERROR(__xludf.DUMMYFUNCTION("""COMPUTED_VALUE"""),"Tops")</f>
        <v>Tops</v>
      </c>
      <c r="K195" s="8" t="str">
        <f>IFERROR(__xludf.DUMMYFUNCTION("""COMPUTED_VALUE"""),"Blouses")</f>
        <v>Blouses</v>
      </c>
      <c r="L195" s="8" t="str">
        <f t="shared" si="1"/>
        <v>Size issue----</v>
      </c>
    </row>
    <row r="196">
      <c r="A196" s="8">
        <f>IFERROR(__xludf.DUMMYFUNCTION("""COMPUTED_VALUE"""),1099.0)</f>
        <v>1099</v>
      </c>
      <c r="B196" s="8">
        <f>IFERROR(__xludf.DUMMYFUNCTION("""COMPUTED_VALUE"""),815.0)</f>
        <v>815</v>
      </c>
      <c r="C196" s="8">
        <f>IFERROR(__xludf.DUMMYFUNCTION("""COMPUTED_VALUE"""),63.0)</f>
        <v>63</v>
      </c>
      <c r="D196" s="8"/>
      <c r="E196" s="15" t="str">
        <f>IFERROR(__xludf.DUMMYFUNCTION("""COMPUTED_VALUE"""),"This bunches up too much, and the fabric is even more see through than i expected (so even with a tank top under it, it's not a good look for work). even unbuttoned at the top, i could barely get this over my head!  this one is going back.")</f>
        <v>This bunches up too much, and the fabric is even more see through than i expected (so even with a tank top under it, it's not a good look for work). even unbuttoned at the top, i could barely get this over my head!  this one is going back.</v>
      </c>
      <c r="F196" s="8">
        <f>IFERROR(__xludf.DUMMYFUNCTION("""COMPUTED_VALUE"""),2.0)</f>
        <v>2</v>
      </c>
      <c r="G196" s="8">
        <f>IFERROR(__xludf.DUMMYFUNCTION("""COMPUTED_VALUE"""),0.0)</f>
        <v>0</v>
      </c>
      <c r="H196" s="8">
        <f>IFERROR(__xludf.DUMMYFUNCTION("""COMPUTED_VALUE"""),0.0)</f>
        <v>0</v>
      </c>
      <c r="I196" s="8" t="str">
        <f>IFERROR(__xludf.DUMMYFUNCTION("""COMPUTED_VALUE"""),"General Petite")</f>
        <v>General Petite</v>
      </c>
      <c r="J196" s="8" t="str">
        <f>IFERROR(__xludf.DUMMYFUNCTION("""COMPUTED_VALUE"""),"Tops")</f>
        <v>Tops</v>
      </c>
      <c r="K196" s="8" t="str">
        <f>IFERROR(__xludf.DUMMYFUNCTION("""COMPUTED_VALUE"""),"Blouses")</f>
        <v>Blouses</v>
      </c>
      <c r="L196" s="8" t="str">
        <f t="shared" si="1"/>
        <v>----</v>
      </c>
    </row>
    <row r="197">
      <c r="A197" s="8">
        <f>IFERROR(__xludf.DUMMYFUNCTION("""COMPUTED_VALUE"""),1105.0)</f>
        <v>1105</v>
      </c>
      <c r="B197" s="8">
        <f>IFERROR(__xludf.DUMMYFUNCTION("""COMPUTED_VALUE"""),1076.0)</f>
        <v>1076</v>
      </c>
      <c r="C197" s="8">
        <f>IFERROR(__xludf.DUMMYFUNCTION("""COMPUTED_VALUE"""),43.0)</f>
        <v>43</v>
      </c>
      <c r="D197" s="8" t="str">
        <f>IFERROR(__xludf.DUMMYFUNCTION("""COMPUTED_VALUE"""),"Poor quality")</f>
        <v>Poor quality</v>
      </c>
      <c r="E197" s="15" t="str">
        <f>IFERROR(__xludf.DUMMYFUNCTION("""COMPUTED_VALUE"""),"There is no way this is worth the price. i was deeply disappointed when it arrived. the material is thin and feels cheap. i love the design, and anna sui, but this is just so overpriced.")</f>
        <v>There is no way this is worth the price. i was deeply disappointed when it arrived. the material is thin and feels cheap. i love the design, and anna sui, but this is just so overpriced.</v>
      </c>
      <c r="F197" s="8">
        <f>IFERROR(__xludf.DUMMYFUNCTION("""COMPUTED_VALUE"""),1.0)</f>
        <v>1</v>
      </c>
      <c r="G197" s="8">
        <f>IFERROR(__xludf.DUMMYFUNCTION("""COMPUTED_VALUE"""),0.0)</f>
        <v>0</v>
      </c>
      <c r="H197" s="8">
        <f>IFERROR(__xludf.DUMMYFUNCTION("""COMPUTED_VALUE"""),4.0)</f>
        <v>4</v>
      </c>
      <c r="I197" s="8" t="str">
        <f>IFERROR(__xludf.DUMMYFUNCTION("""COMPUTED_VALUE"""),"General")</f>
        <v>General</v>
      </c>
      <c r="J197" s="8" t="str">
        <f>IFERROR(__xludf.DUMMYFUNCTION("""COMPUTED_VALUE"""),"Dresses")</f>
        <v>Dresses</v>
      </c>
      <c r="K197" s="8" t="str">
        <f>IFERROR(__xludf.DUMMYFUNCTION("""COMPUTED_VALUE"""),"Dresses")</f>
        <v>Dresses</v>
      </c>
      <c r="L197" s="8" t="str">
        <f t="shared" si="1"/>
        <v>-Fabric issue-Style issue-Price issue-</v>
      </c>
    </row>
    <row r="198">
      <c r="A198" s="8">
        <f>IFERROR(__xludf.DUMMYFUNCTION("""COMPUTED_VALUE"""),1106.0)</f>
        <v>1106</v>
      </c>
      <c r="B198" s="8">
        <f>IFERROR(__xludf.DUMMYFUNCTION("""COMPUTED_VALUE"""),815.0)</f>
        <v>815</v>
      </c>
      <c r="C198" s="8">
        <f>IFERROR(__xludf.DUMMYFUNCTION("""COMPUTED_VALUE"""),37.0)</f>
        <v>37</v>
      </c>
      <c r="D198" s="8" t="str">
        <f>IFERROR(__xludf.DUMMYFUNCTION("""COMPUTED_VALUE"""),"Wanted to love her")</f>
        <v>Wanted to love her</v>
      </c>
      <c r="E198" s="15" t="str">
        <f>IFERROR(__xludf.DUMMYFUNCTION("""COMPUTED_VALUE"""),"Beautiful victorian look blouse. runs large and overly blousy on me.")</f>
        <v>Beautiful victorian look blouse. runs large and overly blousy on me.</v>
      </c>
      <c r="F198" s="8">
        <f>IFERROR(__xludf.DUMMYFUNCTION("""COMPUTED_VALUE"""),3.0)</f>
        <v>3</v>
      </c>
      <c r="G198" s="8">
        <f>IFERROR(__xludf.DUMMYFUNCTION("""COMPUTED_VALUE"""),0.0)</f>
        <v>0</v>
      </c>
      <c r="H198" s="8">
        <f>IFERROR(__xludf.DUMMYFUNCTION("""COMPUTED_VALUE"""),6.0)</f>
        <v>6</v>
      </c>
      <c r="I198" s="8" t="str">
        <f>IFERROR(__xludf.DUMMYFUNCTION("""COMPUTED_VALUE"""),"General Petite")</f>
        <v>General Petite</v>
      </c>
      <c r="J198" s="8" t="str">
        <f>IFERROR(__xludf.DUMMYFUNCTION("""COMPUTED_VALUE"""),"Tops")</f>
        <v>Tops</v>
      </c>
      <c r="K198" s="8" t="str">
        <f>IFERROR(__xludf.DUMMYFUNCTION("""COMPUTED_VALUE"""),"Blouses")</f>
        <v>Blouses</v>
      </c>
      <c r="L198" s="8" t="str">
        <f t="shared" si="1"/>
        <v>Size issue----</v>
      </c>
    </row>
    <row r="199">
      <c r="A199" s="8">
        <f>IFERROR(__xludf.DUMMYFUNCTION("""COMPUTED_VALUE"""),1111.0)</f>
        <v>1111</v>
      </c>
      <c r="B199" s="8">
        <f>IFERROR(__xludf.DUMMYFUNCTION("""COMPUTED_VALUE"""),1068.0)</f>
        <v>1068</v>
      </c>
      <c r="C199" s="8">
        <f>IFERROR(__xludf.DUMMYFUNCTION("""COMPUTED_VALUE"""),65.0)</f>
        <v>65</v>
      </c>
      <c r="D199" s="8" t="str">
        <f>IFERROR(__xludf.DUMMYFUNCTION("""COMPUTED_VALUE"""),"Cute pant")</f>
        <v>Cute pant</v>
      </c>
      <c r="E199" s="15" t="str">
        <f>IFERROR(__xludf.DUMMYFUNCTION("""COMPUTED_VALUE"""),"Unfortunately i had to size down twice with there pants. great feel, they're soft and the grey is a soft color.")</f>
        <v>Unfortunately i had to size down twice with there pants. great feel, they're soft and the grey is a soft color.</v>
      </c>
      <c r="F199" s="8">
        <f>IFERROR(__xludf.DUMMYFUNCTION("""COMPUTED_VALUE"""),3.0)</f>
        <v>3</v>
      </c>
      <c r="G199" s="8">
        <f>IFERROR(__xludf.DUMMYFUNCTION("""COMPUTED_VALUE"""),0.0)</f>
        <v>0</v>
      </c>
      <c r="H199" s="8">
        <f>IFERROR(__xludf.DUMMYFUNCTION("""COMPUTED_VALUE"""),1.0)</f>
        <v>1</v>
      </c>
      <c r="I199" s="8" t="str">
        <f>IFERROR(__xludf.DUMMYFUNCTION("""COMPUTED_VALUE"""),"General")</f>
        <v>General</v>
      </c>
      <c r="J199" s="8" t="str">
        <f>IFERROR(__xludf.DUMMYFUNCTION("""COMPUTED_VALUE"""),"Bottoms")</f>
        <v>Bottoms</v>
      </c>
      <c r="K199" s="8" t="str">
        <f>IFERROR(__xludf.DUMMYFUNCTION("""COMPUTED_VALUE"""),"Pants")</f>
        <v>Pants</v>
      </c>
      <c r="L199" s="8" t="str">
        <f t="shared" si="1"/>
        <v>Size issue----</v>
      </c>
    </row>
    <row r="200">
      <c r="A200" s="8">
        <f>IFERROR(__xludf.DUMMYFUNCTION("""COMPUTED_VALUE"""),1112.0)</f>
        <v>1112</v>
      </c>
      <c r="B200" s="8">
        <f>IFERROR(__xludf.DUMMYFUNCTION("""COMPUTED_VALUE"""),1020.0)</f>
        <v>1020</v>
      </c>
      <c r="C200" s="8">
        <f>IFERROR(__xludf.DUMMYFUNCTION("""COMPUTED_VALUE"""),62.0)</f>
        <v>62</v>
      </c>
      <c r="D200" s="8" t="str">
        <f>IFERROR(__xludf.DUMMYFUNCTION("""COMPUTED_VALUE"""),"Gorgeous fabric")</f>
        <v>Gorgeous fabric</v>
      </c>
      <c r="E200" s="15" t="str">
        <f>IFERROR(__xludf.DUMMYFUNCTION("""COMPUTED_VALUE"""),"The fabric is so beautiful that i am tempted to buy in a large size and have re-made. the waist is tiny. the hips are wide. when it goes to half price, i may be tempted to take it to my favorite alterations lady. the fabric is that exceptionally beautiful"&amp;".")</f>
        <v>The fabric is so beautiful that i am tempted to buy in a large size and have re-made. the waist is tiny. the hips are wide. when it goes to half price, i may be tempted to take it to my favorite alterations lady. the fabric is that exceptionally beautiful.</v>
      </c>
      <c r="F200" s="8">
        <f>IFERROR(__xludf.DUMMYFUNCTION("""COMPUTED_VALUE"""),3.0)</f>
        <v>3</v>
      </c>
      <c r="G200" s="8">
        <f>IFERROR(__xludf.DUMMYFUNCTION("""COMPUTED_VALUE"""),0.0)</f>
        <v>0</v>
      </c>
      <c r="H200" s="8">
        <f>IFERROR(__xludf.DUMMYFUNCTION("""COMPUTED_VALUE"""),4.0)</f>
        <v>4</v>
      </c>
      <c r="I200" s="8" t="str">
        <f>IFERROR(__xludf.DUMMYFUNCTION("""COMPUTED_VALUE"""),"General")</f>
        <v>General</v>
      </c>
      <c r="J200" s="8" t="str">
        <f>IFERROR(__xludf.DUMMYFUNCTION("""COMPUTED_VALUE"""),"Bottoms")</f>
        <v>Bottoms</v>
      </c>
      <c r="K200" s="8" t="str">
        <f>IFERROR(__xludf.DUMMYFUNCTION("""COMPUTED_VALUE"""),"Skirts")</f>
        <v>Skirts</v>
      </c>
      <c r="L200" s="8" t="str">
        <f t="shared" si="1"/>
        <v>Size issue----</v>
      </c>
    </row>
    <row r="201">
      <c r="A201" s="8">
        <f>IFERROR(__xludf.DUMMYFUNCTION("""COMPUTED_VALUE"""),1114.0)</f>
        <v>1114</v>
      </c>
      <c r="B201" s="8">
        <f>IFERROR(__xludf.DUMMYFUNCTION("""COMPUTED_VALUE"""),1020.0)</f>
        <v>1020</v>
      </c>
      <c r="C201" s="8">
        <f>IFERROR(__xludf.DUMMYFUNCTION("""COMPUTED_VALUE"""),47.0)</f>
        <v>47</v>
      </c>
      <c r="D201" s="8" t="str">
        <f>IFERROR(__xludf.DUMMYFUNCTION("""COMPUTED_VALUE"""),"Great fabric but really bad shape")</f>
        <v>Great fabric but really bad shape</v>
      </c>
      <c r="E201" s="15" t="str">
        <f>IFERROR(__xludf.DUMMYFUNCTION("""COMPUTED_VALUE"""),"If i could sew, i'd take the fabric from this skirt and make it into a different shape (after ordering a bigger size). the fabric is just as it appears online -- totally gorgeous with almost a quilted feel to it. however, this thickness means the skirt st"&amp;"icks out like something judy jetson would wear. it's also too small in my go-to skirt size (and i order a lot at retailer). the waist and hips are small (making the skirt too short as well), but the bottom flares out ridiculously. i ordered two of")</f>
        <v>If i could sew, i'd take the fabric from this skirt and make it into a different shape (after ordering a bigger size). the fabric is just as it appears online -- totally gorgeous with almost a quilted feel to it. however, this thickness means the skirt sticks out like something judy jetson would wear. it's also too small in my go-to skirt size (and i order a lot at retailer). the waist and hips are small (making the skirt too short as well), but the bottom flares out ridiculously. i ordered two of</v>
      </c>
      <c r="F201" s="8">
        <f>IFERROR(__xludf.DUMMYFUNCTION("""COMPUTED_VALUE"""),1.0)</f>
        <v>1</v>
      </c>
      <c r="G201" s="8">
        <f>IFERROR(__xludf.DUMMYFUNCTION("""COMPUTED_VALUE"""),0.0)</f>
        <v>0</v>
      </c>
      <c r="H201" s="8">
        <f>IFERROR(__xludf.DUMMYFUNCTION("""COMPUTED_VALUE"""),6.0)</f>
        <v>6</v>
      </c>
      <c r="I201" s="8" t="str">
        <f>IFERROR(__xludf.DUMMYFUNCTION("""COMPUTED_VALUE"""),"General")</f>
        <v>General</v>
      </c>
      <c r="J201" s="8" t="str">
        <f>IFERROR(__xludf.DUMMYFUNCTION("""COMPUTED_VALUE"""),"Bottoms")</f>
        <v>Bottoms</v>
      </c>
      <c r="K201" s="8" t="str">
        <f>IFERROR(__xludf.DUMMYFUNCTION("""COMPUTED_VALUE"""),"Skirts")</f>
        <v>Skirts</v>
      </c>
      <c r="L201" s="8" t="str">
        <f t="shared" si="1"/>
        <v>Size issue----</v>
      </c>
    </row>
    <row r="202">
      <c r="A202" s="8">
        <f>IFERROR(__xludf.DUMMYFUNCTION("""COMPUTED_VALUE"""),1117.0)</f>
        <v>1117</v>
      </c>
      <c r="B202" s="8">
        <f>IFERROR(__xludf.DUMMYFUNCTION("""COMPUTED_VALUE"""),831.0)</f>
        <v>831</v>
      </c>
      <c r="C202" s="8">
        <f>IFERROR(__xludf.DUMMYFUNCTION("""COMPUTED_VALUE"""),40.0)</f>
        <v>40</v>
      </c>
      <c r="D202" s="8" t="str">
        <f>IFERROR(__xludf.DUMMYFUNCTION("""COMPUTED_VALUE"""),"Beautiful top, but it shrank substantially!")</f>
        <v>Beautiful top, but it shrank substantially!</v>
      </c>
      <c r="E202" s="15" t="str">
        <f>IFERROR(__xludf.DUMMYFUNCTION("""COMPUTED_VALUE"""),"This top is gorgeous in both detail in color. it fit great and true to size, but then i hand washed it as instructed on the label and it shrank substantially to the point that it's now too short and needs to be returned.")</f>
        <v>This top is gorgeous in both detail in color. it fit great and true to size, but then i hand washed it as instructed on the label and it shrank substantially to the point that it's now too short and needs to be returned.</v>
      </c>
      <c r="F202" s="8">
        <f>IFERROR(__xludf.DUMMYFUNCTION("""COMPUTED_VALUE"""),3.0)</f>
        <v>3</v>
      </c>
      <c r="G202" s="8">
        <f>IFERROR(__xludf.DUMMYFUNCTION("""COMPUTED_VALUE"""),0.0)</f>
        <v>0</v>
      </c>
      <c r="H202" s="8">
        <f>IFERROR(__xludf.DUMMYFUNCTION("""COMPUTED_VALUE"""),17.0)</f>
        <v>17</v>
      </c>
      <c r="I202" s="8" t="str">
        <f>IFERROR(__xludf.DUMMYFUNCTION("""COMPUTED_VALUE"""),"General")</f>
        <v>General</v>
      </c>
      <c r="J202" s="8" t="str">
        <f>IFERROR(__xludf.DUMMYFUNCTION("""COMPUTED_VALUE"""),"Tops")</f>
        <v>Tops</v>
      </c>
      <c r="K202" s="8" t="str">
        <f>IFERROR(__xludf.DUMMYFUNCTION("""COMPUTED_VALUE"""),"Blouses")</f>
        <v>Blouses</v>
      </c>
      <c r="L202" s="8" t="str">
        <f t="shared" si="1"/>
        <v>Size issue----</v>
      </c>
    </row>
    <row r="203">
      <c r="A203" s="8">
        <f>IFERROR(__xludf.DUMMYFUNCTION("""COMPUTED_VALUE"""),1119.0)</f>
        <v>1119</v>
      </c>
      <c r="B203" s="8">
        <f>IFERROR(__xludf.DUMMYFUNCTION("""COMPUTED_VALUE"""),1089.0)</f>
        <v>1089</v>
      </c>
      <c r="C203" s="8">
        <f>IFERROR(__xludf.DUMMYFUNCTION("""COMPUTED_VALUE"""),49.0)</f>
        <v>49</v>
      </c>
      <c r="D203" s="8" t="str">
        <f>IFERROR(__xludf.DUMMYFUNCTION("""COMPUTED_VALUE"""),"Cute dress but poor design")</f>
        <v>Cute dress but poor design</v>
      </c>
      <c r="E203" s="15" t="str">
        <f>IFERROR(__xludf.DUMMYFUNCTION("""COMPUTED_VALUE"""),"I loved the color and design of this dress but needed to return it because it fit so poorly. the arm holes are entirely too big -- so big that alternations couldn't fix it. maybe it's because i am petite but i think it may be a design flaw.")</f>
        <v>I loved the color and design of this dress but needed to return it because it fit so poorly. the arm holes are entirely too big -- so big that alternations couldn't fix it. maybe it's because i am petite but i think it may be a design flaw.</v>
      </c>
      <c r="F203" s="8">
        <f>IFERROR(__xludf.DUMMYFUNCTION("""COMPUTED_VALUE"""),2.0)</f>
        <v>2</v>
      </c>
      <c r="G203" s="8">
        <f>IFERROR(__xludf.DUMMYFUNCTION("""COMPUTED_VALUE"""),0.0)</f>
        <v>0</v>
      </c>
      <c r="H203" s="8">
        <f>IFERROR(__xludf.DUMMYFUNCTION("""COMPUTED_VALUE"""),4.0)</f>
        <v>4</v>
      </c>
      <c r="I203" s="8" t="str">
        <f>IFERROR(__xludf.DUMMYFUNCTION("""COMPUTED_VALUE"""),"General Petite")</f>
        <v>General Petite</v>
      </c>
      <c r="J203" s="8" t="str">
        <f>IFERROR(__xludf.DUMMYFUNCTION("""COMPUTED_VALUE"""),"Dresses")</f>
        <v>Dresses</v>
      </c>
      <c r="K203" s="8" t="str">
        <f>IFERROR(__xludf.DUMMYFUNCTION("""COMPUTED_VALUE"""),"Dresses")</f>
        <v>Dresses</v>
      </c>
      <c r="L203" s="8" t="str">
        <f t="shared" si="1"/>
        <v>-Fabric issue-Style issue--</v>
      </c>
    </row>
    <row r="204">
      <c r="A204" s="8">
        <f>IFERROR(__xludf.DUMMYFUNCTION("""COMPUTED_VALUE"""),1121.0)</f>
        <v>1121</v>
      </c>
      <c r="B204" s="8">
        <f>IFERROR(__xludf.DUMMYFUNCTION("""COMPUTED_VALUE"""),777.0)</f>
        <v>777</v>
      </c>
      <c r="C204" s="8">
        <f>IFERROR(__xludf.DUMMYFUNCTION("""COMPUTED_VALUE"""),31.0)</f>
        <v>31</v>
      </c>
      <c r="D204" s="8" t="str">
        <f>IFERROR(__xludf.DUMMYFUNCTION("""COMPUTED_VALUE"""),"So sad")</f>
        <v>So sad</v>
      </c>
      <c r="E204" s="15" t="str">
        <f>IFERROR(__xludf.DUMMYFUNCTION("""COMPUTED_VALUE"""),"The print on these leggings is so cool but they are completely see-through. i mean seriously, seriously see-through.")</f>
        <v>The print on these leggings is so cool but they are completely see-through. i mean seriously, seriously see-through.</v>
      </c>
      <c r="F204" s="8">
        <f>IFERROR(__xludf.DUMMYFUNCTION("""COMPUTED_VALUE"""),1.0)</f>
        <v>1</v>
      </c>
      <c r="G204" s="8">
        <f>IFERROR(__xludf.DUMMYFUNCTION("""COMPUTED_VALUE"""),0.0)</f>
        <v>0</v>
      </c>
      <c r="H204" s="8">
        <f>IFERROR(__xludf.DUMMYFUNCTION("""COMPUTED_VALUE"""),0.0)</f>
        <v>0</v>
      </c>
      <c r="I204" s="8" t="str">
        <f>IFERROR(__xludf.DUMMYFUNCTION("""COMPUTED_VALUE"""),"Initmates")</f>
        <v>Initmates</v>
      </c>
      <c r="J204" s="8" t="str">
        <f>IFERROR(__xludf.DUMMYFUNCTION("""COMPUTED_VALUE"""),"Intimate")</f>
        <v>Intimate</v>
      </c>
      <c r="K204" s="8" t="str">
        <f>IFERROR(__xludf.DUMMYFUNCTION("""COMPUTED_VALUE"""),"Lounge")</f>
        <v>Lounge</v>
      </c>
      <c r="L204" s="8" t="str">
        <f t="shared" si="1"/>
        <v>----</v>
      </c>
    </row>
    <row r="205">
      <c r="A205" s="8">
        <f>IFERROR(__xludf.DUMMYFUNCTION("""COMPUTED_VALUE"""),1122.0)</f>
        <v>1122</v>
      </c>
      <c r="B205" s="8">
        <f>IFERROR(__xludf.DUMMYFUNCTION("""COMPUTED_VALUE"""),860.0)</f>
        <v>860</v>
      </c>
      <c r="C205" s="8">
        <f>IFERROR(__xludf.DUMMYFUNCTION("""COMPUTED_VALUE"""),41.0)</f>
        <v>41</v>
      </c>
      <c r="D205" s="8" t="str">
        <f>IFERROR(__xludf.DUMMYFUNCTION("""COMPUTED_VALUE"""),"Wanted to love it!")</f>
        <v>Wanted to love it!</v>
      </c>
      <c r="E205" s="15" t="str">
        <f>IFERROR(__xludf.DUMMYFUNCTION("""COMPUTED_VALUE"""),"Was so excited for this top! loved the embroidered detail and the teal green color. i got it in a medium and it was swimming on me. it also had a maternity type feel since there is a lot more material (making it look blousy) than showing on the model (the"&amp;"y must have pinned it back in the stock photo).
sadly, it's going back.")</f>
        <v>Was so excited for this top! loved the embroidered detail and the teal green color. i got it in a medium and it was swimming on me. it also had a maternity type feel since there is a lot more material (making it look blousy) than showing on the model (they must have pinned it back in the stock photo).
sadly, it's going back.</v>
      </c>
      <c r="F205" s="8">
        <f>IFERROR(__xludf.DUMMYFUNCTION("""COMPUTED_VALUE"""),3.0)</f>
        <v>3</v>
      </c>
      <c r="G205" s="8">
        <f>IFERROR(__xludf.DUMMYFUNCTION("""COMPUTED_VALUE"""),0.0)</f>
        <v>0</v>
      </c>
      <c r="H205" s="8">
        <f>IFERROR(__xludf.DUMMYFUNCTION("""COMPUTED_VALUE"""),5.0)</f>
        <v>5</v>
      </c>
      <c r="I205" s="8" t="str">
        <f>IFERROR(__xludf.DUMMYFUNCTION("""COMPUTED_VALUE"""),"General Petite")</f>
        <v>General Petite</v>
      </c>
      <c r="J205" s="8" t="str">
        <f>IFERROR(__xludf.DUMMYFUNCTION("""COMPUTED_VALUE"""),"Tops")</f>
        <v>Tops</v>
      </c>
      <c r="K205" s="8" t="str">
        <f>IFERROR(__xludf.DUMMYFUNCTION("""COMPUTED_VALUE"""),"Knits")</f>
        <v>Knits</v>
      </c>
      <c r="L205" s="8" t="str">
        <f t="shared" si="1"/>
        <v>-Fabric issue---Matching Awareness issue</v>
      </c>
    </row>
    <row r="206">
      <c r="A206" s="8">
        <f>IFERROR(__xludf.DUMMYFUNCTION("""COMPUTED_VALUE"""),1133.0)</f>
        <v>1133</v>
      </c>
      <c r="B206" s="8">
        <f>IFERROR(__xludf.DUMMYFUNCTION("""COMPUTED_VALUE"""),777.0)</f>
        <v>777</v>
      </c>
      <c r="C206" s="8">
        <f>IFERROR(__xludf.DUMMYFUNCTION("""COMPUTED_VALUE"""),36.0)</f>
        <v>36</v>
      </c>
      <c r="D206" s="8" t="str">
        <f>IFERROR(__xludf.DUMMYFUNCTION("""COMPUTED_VALUE"""),"Not what i thought")</f>
        <v>Not what i thought</v>
      </c>
      <c r="E206" s="15" t="str">
        <f>IFERROR(__xludf.DUMMYFUNCTION("""COMPUTED_VALUE"""),"These leggings were way longer and darker then appeared on model. 
they also were see through or beige color when stretched across hip.
especially for the high cost, there are much better althleisure leggings on the market.")</f>
        <v>These leggings were way longer and darker then appeared on model. 
they also were see through or beige color when stretched across hip.
especially for the high cost, there are much better althleisure leggings on the market.</v>
      </c>
      <c r="F206" s="8">
        <f>IFERROR(__xludf.DUMMYFUNCTION("""COMPUTED_VALUE"""),3.0)</f>
        <v>3</v>
      </c>
      <c r="G206" s="8">
        <f>IFERROR(__xludf.DUMMYFUNCTION("""COMPUTED_VALUE"""),0.0)</f>
        <v>0</v>
      </c>
      <c r="H206" s="8">
        <f>IFERROR(__xludf.DUMMYFUNCTION("""COMPUTED_VALUE"""),1.0)</f>
        <v>1</v>
      </c>
      <c r="I206" s="8" t="str">
        <f>IFERROR(__xludf.DUMMYFUNCTION("""COMPUTED_VALUE"""),"Initmates")</f>
        <v>Initmates</v>
      </c>
      <c r="J206" s="8" t="str">
        <f>IFERROR(__xludf.DUMMYFUNCTION("""COMPUTED_VALUE"""),"Intimate")</f>
        <v>Intimate</v>
      </c>
      <c r="K206" s="8" t="str">
        <f>IFERROR(__xludf.DUMMYFUNCTION("""COMPUTED_VALUE"""),"Lounge")</f>
        <v>Lounge</v>
      </c>
      <c r="L206" s="8" t="str">
        <f t="shared" si="1"/>
        <v>Size issue----Matching Awareness issue</v>
      </c>
    </row>
    <row r="207">
      <c r="A207" s="8">
        <f>IFERROR(__xludf.DUMMYFUNCTION("""COMPUTED_VALUE"""),1135.0)</f>
        <v>1135</v>
      </c>
      <c r="B207" s="8">
        <f>IFERROR(__xludf.DUMMYFUNCTION("""COMPUTED_VALUE"""),1068.0)</f>
        <v>1068</v>
      </c>
      <c r="C207" s="8">
        <f>IFERROR(__xludf.DUMMYFUNCTION("""COMPUTED_VALUE"""),42.0)</f>
        <v>42</v>
      </c>
      <c r="D207" s="8" t="str">
        <f>IFERROR(__xludf.DUMMYFUNCTION("""COMPUTED_VALUE"""),"Stretch out a whole size")</f>
        <v>Stretch out a whole size</v>
      </c>
      <c r="E207" s="15" t="str">
        <f>IFERROR(__xludf.DUMMYFUNCTION("""COMPUTED_VALUE"""),"First, the good parts: these are adorable in person and (i think) the colors are prettier in person than in the pictures. the green isn't too army green, it's a pretty nice mellow neutral that you could wear with reds, whites, blues, pinks...virtually any"&amp;" color.
the tencel fabric is super soft and comfortable and the drape is nice. they do seem to run a little large, so i'd size down if you're between sizes.
and now, sadly, the bad: these stretch out virtually an entire size after just about a")</f>
        <v>First, the good parts: these are adorable in person and (i think) the colors are prettier in person than in the pictures. the green isn't too army green, it's a pretty nice mellow neutral that you could wear with reds, whites, blues, pinks...virtually any color.
the tencel fabric is super soft and comfortable and the drape is nice. they do seem to run a little large, so i'd size down if you're between sizes.
and now, sadly, the bad: these stretch out virtually an entire size after just about a</v>
      </c>
      <c r="F207" s="8">
        <f>IFERROR(__xludf.DUMMYFUNCTION("""COMPUTED_VALUE"""),2.0)</f>
        <v>2</v>
      </c>
      <c r="G207" s="8">
        <f>IFERROR(__xludf.DUMMYFUNCTION("""COMPUTED_VALUE"""),0.0)</f>
        <v>0</v>
      </c>
      <c r="H207" s="8">
        <f>IFERROR(__xludf.DUMMYFUNCTION("""COMPUTED_VALUE"""),30.0)</f>
        <v>30</v>
      </c>
      <c r="I207" s="8" t="str">
        <f>IFERROR(__xludf.DUMMYFUNCTION("""COMPUTED_VALUE"""),"General")</f>
        <v>General</v>
      </c>
      <c r="J207" s="8" t="str">
        <f>IFERROR(__xludf.DUMMYFUNCTION("""COMPUTED_VALUE"""),"Bottoms")</f>
        <v>Bottoms</v>
      </c>
      <c r="K207" s="8" t="str">
        <f>IFERROR(__xludf.DUMMYFUNCTION("""COMPUTED_VALUE"""),"Pants")</f>
        <v>Pants</v>
      </c>
      <c r="L207" s="8" t="str">
        <f t="shared" si="1"/>
        <v>Size issue----</v>
      </c>
    </row>
    <row r="208">
      <c r="A208" s="8">
        <f>IFERROR(__xludf.DUMMYFUNCTION("""COMPUTED_VALUE"""),1139.0)</f>
        <v>1139</v>
      </c>
      <c r="B208" s="8">
        <f>IFERROR(__xludf.DUMMYFUNCTION("""COMPUTED_VALUE"""),1020.0)</f>
        <v>1020</v>
      </c>
      <c r="C208" s="8">
        <f>IFERROR(__xludf.DUMMYFUNCTION("""COMPUTED_VALUE"""),59.0)</f>
        <v>59</v>
      </c>
      <c r="D208" s="8" t="str">
        <f>IFERROR(__xludf.DUMMYFUNCTION("""COMPUTED_VALUE"""),"Shape problem")</f>
        <v>Shape problem</v>
      </c>
      <c r="E208" s="15" t="str">
        <f>IFERROR(__xludf.DUMMYFUNCTION("""COMPUTED_VALUE"""),"This is a beautiful fabric and the skirt is so nice. what is wrong is the cut of the skirt. one side bells out more than the other, giving it an off center look from the front. my legs were not centered.")</f>
        <v>This is a beautiful fabric and the skirt is so nice. what is wrong is the cut of the skirt. one side bells out more than the other, giving it an off center look from the front. my legs were not centered.</v>
      </c>
      <c r="F208" s="8">
        <f>IFERROR(__xludf.DUMMYFUNCTION("""COMPUTED_VALUE"""),3.0)</f>
        <v>3</v>
      </c>
      <c r="G208" s="8">
        <f>IFERROR(__xludf.DUMMYFUNCTION("""COMPUTED_VALUE"""),0.0)</f>
        <v>0</v>
      </c>
      <c r="H208" s="8">
        <f>IFERROR(__xludf.DUMMYFUNCTION("""COMPUTED_VALUE"""),6.0)</f>
        <v>6</v>
      </c>
      <c r="I208" s="8" t="str">
        <f>IFERROR(__xludf.DUMMYFUNCTION("""COMPUTED_VALUE"""),"General Petite")</f>
        <v>General Petite</v>
      </c>
      <c r="J208" s="8" t="str">
        <f>IFERROR(__xludf.DUMMYFUNCTION("""COMPUTED_VALUE"""),"Bottoms")</f>
        <v>Bottoms</v>
      </c>
      <c r="K208" s="8" t="str">
        <f>IFERROR(__xludf.DUMMYFUNCTION("""COMPUTED_VALUE"""),"Skirts")</f>
        <v>Skirts</v>
      </c>
      <c r="L208" s="8" t="str">
        <f t="shared" si="1"/>
        <v>----</v>
      </c>
    </row>
    <row r="209">
      <c r="A209" s="8">
        <f>IFERROR(__xludf.DUMMYFUNCTION("""COMPUTED_VALUE"""),1140.0)</f>
        <v>1140</v>
      </c>
      <c r="B209" s="8">
        <f>IFERROR(__xludf.DUMMYFUNCTION("""COMPUTED_VALUE"""),1089.0)</f>
        <v>1089</v>
      </c>
      <c r="C209" s="8">
        <f>IFERROR(__xludf.DUMMYFUNCTION("""COMPUTED_VALUE"""),56.0)</f>
        <v>56</v>
      </c>
      <c r="D209" s="8" t="str">
        <f>IFERROR(__xludf.DUMMYFUNCTION("""COMPUTED_VALUE"""),"Gorgeous - but.......")</f>
        <v>Gorgeous - but.......</v>
      </c>
      <c r="E209" s="15" t="str">
        <f>IFERROR(__xludf.DUMMYFUNCTION("""COMPUTED_VALUE"""),"I so wanted to love this dress! the fabric is gorgeous the styling beautiful and the construction is great - however, the armholes are cut too generously. i am 5'4"", 138 pounds and 36d. i ordered the black in a size 10. it fit me perfectly everywhere but"&amp;" the armholes. even with an undergarment, too much is exposed. i am sadly returning this.")</f>
        <v>I so wanted to love this dress! the fabric is gorgeous the styling beautiful and the construction is great - however, the armholes are cut too generously. i am 5'4", 138 pounds and 36d. i ordered the black in a size 10. it fit me perfectly everywhere but the armholes. even with an undergarment, too much is exposed. i am sadly returning this.</v>
      </c>
      <c r="F209" s="8">
        <f>IFERROR(__xludf.DUMMYFUNCTION("""COMPUTED_VALUE"""),3.0)</f>
        <v>3</v>
      </c>
      <c r="G209" s="8">
        <f>IFERROR(__xludf.DUMMYFUNCTION("""COMPUTED_VALUE"""),0.0)</f>
        <v>0</v>
      </c>
      <c r="H209" s="8">
        <f>IFERROR(__xludf.DUMMYFUNCTION("""COMPUTED_VALUE"""),4.0)</f>
        <v>4</v>
      </c>
      <c r="I209" s="8" t="str">
        <f>IFERROR(__xludf.DUMMYFUNCTION("""COMPUTED_VALUE"""),"General Petite")</f>
        <v>General Petite</v>
      </c>
      <c r="J209" s="8" t="str">
        <f>IFERROR(__xludf.DUMMYFUNCTION("""COMPUTED_VALUE"""),"Dresses")</f>
        <v>Dresses</v>
      </c>
      <c r="K209" s="8" t="str">
        <f>IFERROR(__xludf.DUMMYFUNCTION("""COMPUTED_VALUE"""),"Dresses")</f>
        <v>Dresses</v>
      </c>
      <c r="L209" s="8" t="str">
        <f t="shared" si="1"/>
        <v>Size issue-Fabric issue---</v>
      </c>
    </row>
    <row r="210">
      <c r="A210" s="8">
        <f>IFERROR(__xludf.DUMMYFUNCTION("""COMPUTED_VALUE"""),1141.0)</f>
        <v>1141</v>
      </c>
      <c r="B210" s="8">
        <f>IFERROR(__xludf.DUMMYFUNCTION("""COMPUTED_VALUE"""),1068.0)</f>
        <v>1068</v>
      </c>
      <c r="C210" s="8">
        <f>IFERROR(__xludf.DUMMYFUNCTION("""COMPUTED_VALUE"""),63.0)</f>
        <v>63</v>
      </c>
      <c r="D210" s="8"/>
      <c r="E210" s="15" t="str">
        <f>IFERROR(__xludf.DUMMYFUNCTION("""COMPUTED_VALUE"""),"Hei hei is my favorite line. i am a medium in all of the pants i have ever purchased from this brand.
i ordered these in the green and they arrived today. they fit me as if they were an xxl. i have a similar pair in rust from last summer so i assumed that"&amp;" they would be the same. 
obviously they are going back tomorrow . i'm very disappointed, they are a nice looking jogger and the color is pretty.")</f>
        <v>Hei hei is my favorite line. i am a medium in all of the pants i have ever purchased from this brand.
i ordered these in the green and they arrived today. they fit me as if they were an xxl. i have a similar pair in rust from last summer so i assumed that they would be the same. 
obviously they are going back tomorrow . i'm very disappointed, they are a nice looking jogger and the color is pretty.</v>
      </c>
      <c r="F210" s="8">
        <f>IFERROR(__xludf.DUMMYFUNCTION("""COMPUTED_VALUE"""),2.0)</f>
        <v>2</v>
      </c>
      <c r="G210" s="8">
        <f>IFERROR(__xludf.DUMMYFUNCTION("""COMPUTED_VALUE"""),0.0)</f>
        <v>0</v>
      </c>
      <c r="H210" s="8">
        <f>IFERROR(__xludf.DUMMYFUNCTION("""COMPUTED_VALUE"""),0.0)</f>
        <v>0</v>
      </c>
      <c r="I210" s="8" t="str">
        <f>IFERROR(__xludf.DUMMYFUNCTION("""COMPUTED_VALUE"""),"General")</f>
        <v>General</v>
      </c>
      <c r="J210" s="8" t="str">
        <f>IFERROR(__xludf.DUMMYFUNCTION("""COMPUTED_VALUE"""),"Bottoms")</f>
        <v>Bottoms</v>
      </c>
      <c r="K210" s="8" t="str">
        <f>IFERROR(__xludf.DUMMYFUNCTION("""COMPUTED_VALUE"""),"Pants")</f>
        <v>Pants</v>
      </c>
      <c r="L210" s="8" t="str">
        <f t="shared" si="1"/>
        <v>----</v>
      </c>
    </row>
    <row r="211">
      <c r="A211" s="8">
        <f>IFERROR(__xludf.DUMMYFUNCTION("""COMPUTED_VALUE"""),1142.0)</f>
        <v>1142</v>
      </c>
      <c r="B211" s="8">
        <f>IFERROR(__xludf.DUMMYFUNCTION("""COMPUTED_VALUE"""),1089.0)</f>
        <v>1089</v>
      </c>
      <c r="C211" s="8">
        <f>IFERROR(__xludf.DUMMYFUNCTION("""COMPUTED_VALUE"""),48.0)</f>
        <v>48</v>
      </c>
      <c r="D211" s="8" t="str">
        <f>IFERROR(__xludf.DUMMYFUNCTION("""COMPUTED_VALUE"""),"Just average")</f>
        <v>Just average</v>
      </c>
      <c r="E211" s="15" t="str">
        <f>IFERROR(__xludf.DUMMYFUNCTION("""COMPUTED_VALUE"""),"First of all, the label on this dress is maeve, not nue by shani. second, i just wasn't impressed. the fabric is cool...it has a sort of embossed look to it and it's somewhat shiny, which sets it apart in a good way. but the cut is just boring. the top fe"&amp;"lt dowdy to me...overall, i was underwhelmed by this dress and returned it.")</f>
        <v>First of all, the label on this dress is maeve, not nue by shani. second, i just wasn't impressed. the fabric is cool...it has a sort of embossed look to it and it's somewhat shiny, which sets it apart in a good way. but the cut is just boring. the top felt dowdy to me...overall, i was underwhelmed by this dress and returned it.</v>
      </c>
      <c r="F211" s="8">
        <f>IFERROR(__xludf.DUMMYFUNCTION("""COMPUTED_VALUE"""),3.0)</f>
        <v>3</v>
      </c>
      <c r="G211" s="8">
        <f>IFERROR(__xludf.DUMMYFUNCTION("""COMPUTED_VALUE"""),0.0)</f>
        <v>0</v>
      </c>
      <c r="H211" s="8">
        <f>IFERROR(__xludf.DUMMYFUNCTION("""COMPUTED_VALUE"""),8.0)</f>
        <v>8</v>
      </c>
      <c r="I211" s="8" t="str">
        <f>IFERROR(__xludf.DUMMYFUNCTION("""COMPUTED_VALUE"""),"General Petite")</f>
        <v>General Petite</v>
      </c>
      <c r="J211" s="8" t="str">
        <f>IFERROR(__xludf.DUMMYFUNCTION("""COMPUTED_VALUE"""),"Dresses")</f>
        <v>Dresses</v>
      </c>
      <c r="K211" s="8" t="str">
        <f>IFERROR(__xludf.DUMMYFUNCTION("""COMPUTED_VALUE"""),"Dresses")</f>
        <v>Dresses</v>
      </c>
      <c r="L211" s="8" t="str">
        <f t="shared" si="1"/>
        <v>-Fabric issue---</v>
      </c>
    </row>
    <row r="212">
      <c r="A212" s="8">
        <f>IFERROR(__xludf.DUMMYFUNCTION("""COMPUTED_VALUE"""),1143.0)</f>
        <v>1143</v>
      </c>
      <c r="B212" s="8">
        <f>IFERROR(__xludf.DUMMYFUNCTION("""COMPUTED_VALUE"""),860.0)</f>
        <v>860</v>
      </c>
      <c r="C212" s="8">
        <f>IFERROR(__xludf.DUMMYFUNCTION("""COMPUTED_VALUE"""),32.0)</f>
        <v>32</v>
      </c>
      <c r="D212" s="8" t="str">
        <f>IFERROR(__xludf.DUMMYFUNCTION("""COMPUTED_VALUE"""),"Maternity top")</f>
        <v>Maternity top</v>
      </c>
      <c r="E212" s="15" t="str">
        <f>IFERROR(__xludf.DUMMYFUNCTION("""COMPUTED_VALUE"""),"I was really wanting a nice white summer blouse to pair with patterned skirts. unfortunately, this fell short as it was huge. not only was it big, it flared at the bottom. it would be perfect if i was sporting a baby bump, but not what i am going for righ"&amp;"t now. if the tank was a bit slimmer i would have kept it as a tunic.i'm sad that i'll have to return it.")</f>
        <v>I was really wanting a nice white summer blouse to pair with patterned skirts. unfortunately, this fell short as it was huge. not only was it big, it flared at the bottom. it would be perfect if i was sporting a baby bump, but not what i am going for right now. if the tank was a bit slimmer i would have kept it as a tunic.i'm sad that i'll have to return it.</v>
      </c>
      <c r="F212" s="8">
        <f>IFERROR(__xludf.DUMMYFUNCTION("""COMPUTED_VALUE"""),2.0)</f>
        <v>2</v>
      </c>
      <c r="G212" s="8">
        <f>IFERROR(__xludf.DUMMYFUNCTION("""COMPUTED_VALUE"""),0.0)</f>
        <v>0</v>
      </c>
      <c r="H212" s="8">
        <f>IFERROR(__xludf.DUMMYFUNCTION("""COMPUTED_VALUE"""),1.0)</f>
        <v>1</v>
      </c>
      <c r="I212" s="8" t="str">
        <f>IFERROR(__xludf.DUMMYFUNCTION("""COMPUTED_VALUE"""),"General Petite")</f>
        <v>General Petite</v>
      </c>
      <c r="J212" s="8" t="str">
        <f>IFERROR(__xludf.DUMMYFUNCTION("""COMPUTED_VALUE"""),"Tops")</f>
        <v>Tops</v>
      </c>
      <c r="K212" s="8" t="str">
        <f>IFERROR(__xludf.DUMMYFUNCTION("""COMPUTED_VALUE"""),"Knits")</f>
        <v>Knits</v>
      </c>
      <c r="L212" s="8" t="str">
        <f t="shared" si="1"/>
        <v>Size issue----</v>
      </c>
    </row>
    <row r="213">
      <c r="A213" s="8">
        <f>IFERROR(__xludf.DUMMYFUNCTION("""COMPUTED_VALUE"""),1147.0)</f>
        <v>1147</v>
      </c>
      <c r="B213" s="8">
        <f>IFERROR(__xludf.DUMMYFUNCTION("""COMPUTED_VALUE"""),197.0)</f>
        <v>197</v>
      </c>
      <c r="C213" s="8">
        <f>IFERROR(__xludf.DUMMYFUNCTION("""COMPUTED_VALUE"""),46.0)</f>
        <v>46</v>
      </c>
      <c r="D213" s="8" t="str">
        <f>IFERROR(__xludf.DUMMYFUNCTION("""COMPUTED_VALUE"""),"L space chloe top")</f>
        <v>L space chloe top</v>
      </c>
      <c r="E213" s="15" t="str">
        <f>IFERROR(__xludf.DUMMYFUNCTION("""COMPUTED_VALUE"""),"L space is frustrating. i wear a 0/2 top but with 32d's i tried a large in this bikini top because from past experience with l space they run small. there's just zero support. the tie design helps secure the girls in place, but also flattens them out if y"&amp;"ou tie it tight enough so you don't spill out.")</f>
        <v>L space is frustrating. i wear a 0/2 top but with 32d's i tried a large in this bikini top because from past experience with l space they run small. there's just zero support. the tie design helps secure the girls in place, but also flattens them out if you tie it tight enough so you don't spill out.</v>
      </c>
      <c r="F213" s="8">
        <f>IFERROR(__xludf.DUMMYFUNCTION("""COMPUTED_VALUE"""),3.0)</f>
        <v>3</v>
      </c>
      <c r="G213" s="8">
        <f>IFERROR(__xludf.DUMMYFUNCTION("""COMPUTED_VALUE"""),0.0)</f>
        <v>0</v>
      </c>
      <c r="H213" s="8">
        <f>IFERROR(__xludf.DUMMYFUNCTION("""COMPUTED_VALUE"""),0.0)</f>
        <v>0</v>
      </c>
      <c r="I213" s="8" t="str">
        <f>IFERROR(__xludf.DUMMYFUNCTION("""COMPUTED_VALUE"""),"Initmates")</f>
        <v>Initmates</v>
      </c>
      <c r="J213" s="8" t="str">
        <f>IFERROR(__xludf.DUMMYFUNCTION("""COMPUTED_VALUE"""),"Intimate")</f>
        <v>Intimate</v>
      </c>
      <c r="K213" s="8" t="str">
        <f>IFERROR(__xludf.DUMMYFUNCTION("""COMPUTED_VALUE"""),"Swim")</f>
        <v>Swim</v>
      </c>
      <c r="L213" s="8" t="str">
        <f t="shared" si="1"/>
        <v>Size issue--Style issue--</v>
      </c>
    </row>
    <row r="214">
      <c r="A214" s="8">
        <f>IFERROR(__xludf.DUMMYFUNCTION("""COMPUTED_VALUE"""),1149.0)</f>
        <v>1149</v>
      </c>
      <c r="B214" s="8">
        <f>IFERROR(__xludf.DUMMYFUNCTION("""COMPUTED_VALUE"""),1068.0)</f>
        <v>1068</v>
      </c>
      <c r="C214" s="8">
        <f>IFERROR(__xludf.DUMMYFUNCTION("""COMPUTED_VALUE"""),35.0)</f>
        <v>35</v>
      </c>
      <c r="D214" s="8" t="str">
        <f>IFERROR(__xludf.DUMMYFUNCTION("""COMPUTED_VALUE"""),"Fine for a fitness class")</f>
        <v>Fine for a fitness class</v>
      </c>
      <c r="E214" s="15" t="str">
        <f>IFERROR(__xludf.DUMMYFUNCTION("""COMPUTED_VALUE"""),"These were a little baggier than expected and the petite size ran long.")</f>
        <v>These were a little baggier than expected and the petite size ran long.</v>
      </c>
      <c r="F214" s="8">
        <f>IFERROR(__xludf.DUMMYFUNCTION("""COMPUTED_VALUE"""),3.0)</f>
        <v>3</v>
      </c>
      <c r="G214" s="8">
        <f>IFERROR(__xludf.DUMMYFUNCTION("""COMPUTED_VALUE"""),0.0)</f>
        <v>0</v>
      </c>
      <c r="H214" s="8">
        <f>IFERROR(__xludf.DUMMYFUNCTION("""COMPUTED_VALUE"""),0.0)</f>
        <v>0</v>
      </c>
      <c r="I214" s="8" t="str">
        <f>IFERROR(__xludf.DUMMYFUNCTION("""COMPUTED_VALUE"""),"General")</f>
        <v>General</v>
      </c>
      <c r="J214" s="8" t="str">
        <f>IFERROR(__xludf.DUMMYFUNCTION("""COMPUTED_VALUE"""),"Bottoms")</f>
        <v>Bottoms</v>
      </c>
      <c r="K214" s="8" t="str">
        <f>IFERROR(__xludf.DUMMYFUNCTION("""COMPUTED_VALUE"""),"Pants")</f>
        <v>Pants</v>
      </c>
      <c r="L214" s="8" t="str">
        <f t="shared" si="1"/>
        <v>Size issue----</v>
      </c>
    </row>
    <row r="215">
      <c r="A215" s="8">
        <f>IFERROR(__xludf.DUMMYFUNCTION("""COMPUTED_VALUE"""),1156.0)</f>
        <v>1156</v>
      </c>
      <c r="B215" s="8">
        <f>IFERROR(__xludf.DUMMYFUNCTION("""COMPUTED_VALUE"""),1094.0)</f>
        <v>1094</v>
      </c>
      <c r="C215" s="8">
        <f>IFERROR(__xludf.DUMMYFUNCTION("""COMPUTED_VALUE"""),39.0)</f>
        <v>39</v>
      </c>
      <c r="D215" s="8" t="str">
        <f>IFERROR(__xludf.DUMMYFUNCTION("""COMPUTED_VALUE"""),"Disappointed")</f>
        <v>Disappointed</v>
      </c>
      <c r="E215" s="15" t="str">
        <f>IFERROR(__xludf.DUMMYFUNCTION("""COMPUTED_VALUE"""),"I fell in love with this dress the instant i saw it. but was disappointed when i received it. first was the color. i chose the green and it wasn't what i thought. it was a very unnatural shade of artificial grass. when my husband saw it in the package he "&amp;"thought i had ordered a cheap grass hula skirt. the color was that bad. the fit was the next problem. this dress would have fit nicely if they had just added a side zip and made the top more fitted. the top was loose and that added to the flowy")</f>
        <v>I fell in love with this dress the instant i saw it. but was disappointed when i received it. first was the color. i chose the green and it wasn't what i thought. it was a very unnatural shade of artificial grass. when my husband saw it in the package he thought i had ordered a cheap grass hula skirt. the color was that bad. the fit was the next problem. this dress would have fit nicely if they had just added a side zip and made the top more fitted. the top was loose and that added to the flowy</v>
      </c>
      <c r="F215" s="8">
        <f>IFERROR(__xludf.DUMMYFUNCTION("""COMPUTED_VALUE"""),3.0)</f>
        <v>3</v>
      </c>
      <c r="G215" s="8">
        <f>IFERROR(__xludf.DUMMYFUNCTION("""COMPUTED_VALUE"""),0.0)</f>
        <v>0</v>
      </c>
      <c r="H215" s="8">
        <f>IFERROR(__xludf.DUMMYFUNCTION("""COMPUTED_VALUE"""),55.0)</f>
        <v>55</v>
      </c>
      <c r="I215" s="8" t="str">
        <f>IFERROR(__xludf.DUMMYFUNCTION("""COMPUTED_VALUE"""),"General Petite")</f>
        <v>General Petite</v>
      </c>
      <c r="J215" s="8" t="str">
        <f>IFERROR(__xludf.DUMMYFUNCTION("""COMPUTED_VALUE"""),"Dresses")</f>
        <v>Dresses</v>
      </c>
      <c r="K215" s="8" t="str">
        <f>IFERROR(__xludf.DUMMYFUNCTION("""COMPUTED_VALUE"""),"Dresses")</f>
        <v>Dresses</v>
      </c>
      <c r="L215" s="8" t="str">
        <f t="shared" si="1"/>
        <v>--Style issue--</v>
      </c>
    </row>
    <row r="216">
      <c r="A216" s="8">
        <f>IFERROR(__xludf.DUMMYFUNCTION("""COMPUTED_VALUE"""),1159.0)</f>
        <v>1159</v>
      </c>
      <c r="B216" s="8">
        <f>IFERROR(__xludf.DUMMYFUNCTION("""COMPUTED_VALUE"""),235.0)</f>
        <v>235</v>
      </c>
      <c r="C216" s="8">
        <f>IFERROR(__xludf.DUMMYFUNCTION("""COMPUTED_VALUE"""),32.0)</f>
        <v>32</v>
      </c>
      <c r="D216" s="8" t="str">
        <f>IFERROR(__xludf.DUMMYFUNCTION("""COMPUTED_VALUE"""),"Not sure what body type this suit is designed for")</f>
        <v>Not sure what body type this suit is designed for</v>
      </c>
      <c r="E216" s="15" t="str">
        <f>IFERROR(__xludf.DUMMYFUNCTION("""COMPUTED_VALUE"""),"I was so excited to splurge on a mara hoffman suit and was sorely disappointed when i received this suit in the mail. i'm petite and fairly curvy, so i knew it would likely be a little long in the torso but the whole suit was so oddly shaped, i couldn't i"&amp;"magine anyone it would fit. the square shape in between the halter pieces is awkward, and the pieces that are supposed to hold your chest are super wide and loose.")</f>
        <v>I was so excited to splurge on a mara hoffman suit and was sorely disappointed when i received this suit in the mail. i'm petite and fairly curvy, so i knew it would likely be a little long in the torso but the whole suit was so oddly shaped, i couldn't imagine anyone it would fit. the square shape in between the halter pieces is awkward, and the pieces that are supposed to hold your chest are super wide and loose.</v>
      </c>
      <c r="F216" s="8">
        <f>IFERROR(__xludf.DUMMYFUNCTION("""COMPUTED_VALUE"""),1.0)</f>
        <v>1</v>
      </c>
      <c r="G216" s="8">
        <f>IFERROR(__xludf.DUMMYFUNCTION("""COMPUTED_VALUE"""),0.0)</f>
        <v>0</v>
      </c>
      <c r="H216" s="8">
        <f>IFERROR(__xludf.DUMMYFUNCTION("""COMPUTED_VALUE"""),0.0)</f>
        <v>0</v>
      </c>
      <c r="I216" s="8" t="str">
        <f>IFERROR(__xludf.DUMMYFUNCTION("""COMPUTED_VALUE"""),"Initmates")</f>
        <v>Initmates</v>
      </c>
      <c r="J216" s="8" t="str">
        <f>IFERROR(__xludf.DUMMYFUNCTION("""COMPUTED_VALUE"""),"Intimate")</f>
        <v>Intimate</v>
      </c>
      <c r="K216" s="8" t="str">
        <f>IFERROR(__xludf.DUMMYFUNCTION("""COMPUTED_VALUE"""),"Swim")</f>
        <v>Swim</v>
      </c>
      <c r="L216" s="8" t="str">
        <f t="shared" si="1"/>
        <v>Size issue-Fabric issue-Style issue--</v>
      </c>
    </row>
    <row r="217">
      <c r="A217" s="8">
        <f>IFERROR(__xludf.DUMMYFUNCTION("""COMPUTED_VALUE"""),1163.0)</f>
        <v>1163</v>
      </c>
      <c r="B217" s="8">
        <f>IFERROR(__xludf.DUMMYFUNCTION("""COMPUTED_VALUE"""),1060.0)</f>
        <v>1060</v>
      </c>
      <c r="C217" s="8">
        <f>IFERROR(__xludf.DUMMYFUNCTION("""COMPUTED_VALUE"""),48.0)</f>
        <v>48</v>
      </c>
      <c r="D217" s="8" t="str">
        <f>IFERROR(__xludf.DUMMYFUNCTION("""COMPUTED_VALUE"""),"Loved but both in my store had quality issues")</f>
        <v>Loved but both in my store had quality issues</v>
      </c>
      <c r="E217" s="15" t="str">
        <f>IFERROR(__xludf.DUMMYFUNCTION("""COMPUTED_VALUE"""),"I really wanted this. they had two size small in my local retailer, both were damaged. so disappointing. i don't want to pay shipping for one that hopefully isn't damaged:( in the last year i've had multiple quality control issues with retailer. makes me "&amp;"gun shy. not sure i'm getting what i pay for anymore.")</f>
        <v>I really wanted this. they had two size small in my local retailer, both were damaged. so disappointing. i don't want to pay shipping for one that hopefully isn't damaged:( in the last year i've had multiple quality control issues with retailer. makes me gun shy. not sure i'm getting what i pay for anymore.</v>
      </c>
      <c r="F217" s="8">
        <f>IFERROR(__xludf.DUMMYFUNCTION("""COMPUTED_VALUE"""),4.0)</f>
        <v>4</v>
      </c>
      <c r="G217" s="8">
        <f>IFERROR(__xludf.DUMMYFUNCTION("""COMPUTED_VALUE"""),0.0)</f>
        <v>0</v>
      </c>
      <c r="H217" s="8">
        <f>IFERROR(__xludf.DUMMYFUNCTION("""COMPUTED_VALUE"""),10.0)</f>
        <v>10</v>
      </c>
      <c r="I217" s="8" t="str">
        <f>IFERROR(__xludf.DUMMYFUNCTION("""COMPUTED_VALUE"""),"General Petite")</f>
        <v>General Petite</v>
      </c>
      <c r="J217" s="8" t="str">
        <f>IFERROR(__xludf.DUMMYFUNCTION("""COMPUTED_VALUE"""),"Bottoms")</f>
        <v>Bottoms</v>
      </c>
      <c r="K217" s="8" t="str">
        <f>IFERROR(__xludf.DUMMYFUNCTION("""COMPUTED_VALUE"""),"Pants")</f>
        <v>Pants</v>
      </c>
      <c r="L217" s="8" t="str">
        <f t="shared" si="1"/>
        <v>Size issue----</v>
      </c>
    </row>
    <row r="218">
      <c r="A218" s="8">
        <f>IFERROR(__xludf.DUMMYFUNCTION("""COMPUTED_VALUE"""),1167.0)</f>
        <v>1167</v>
      </c>
      <c r="B218" s="8">
        <f>IFERROR(__xludf.DUMMYFUNCTION("""COMPUTED_VALUE"""),1060.0)</f>
        <v>1060</v>
      </c>
      <c r="C218" s="8">
        <f>IFERROR(__xludf.DUMMYFUNCTION("""COMPUTED_VALUE"""),41.0)</f>
        <v>41</v>
      </c>
      <c r="D218" s="8"/>
      <c r="E218" s="15" t="str">
        <f>IFERROR(__xludf.DUMMYFUNCTION("""COMPUTED_VALUE"""),"This would be perfect if only it were lined!!!! i have a high waist and hourglass shape so jumpers are very hard to find that fit my body type. this is a perfect fit for my body shape and when on, it looks like a lovely dress. however, it is not lined and"&amp;" the material is very light and ivory so you see everything. you can't wear a slip so that leaves the option of some sort of bodysuit if you don't want to show the world what you have. i am very tired of all of the light colored clothing not bei")</f>
        <v>This would be perfect if only it were lined!!!! i have a high waist and hourglass shape so jumpers are very hard to find that fit my body type. this is a perfect fit for my body shape and when on, it looks like a lovely dress. however, it is not lined and the material is very light and ivory so you see everything. you can't wear a slip so that leaves the option of some sort of bodysuit if you don't want to show the world what you have. i am very tired of all of the light colored clothing not bei</v>
      </c>
      <c r="F218" s="8">
        <f>IFERROR(__xludf.DUMMYFUNCTION("""COMPUTED_VALUE"""),3.0)</f>
        <v>3</v>
      </c>
      <c r="G218" s="8">
        <f>IFERROR(__xludf.DUMMYFUNCTION("""COMPUTED_VALUE"""),0.0)</f>
        <v>0</v>
      </c>
      <c r="H218" s="8">
        <f>IFERROR(__xludf.DUMMYFUNCTION("""COMPUTED_VALUE"""),71.0)</f>
        <v>71</v>
      </c>
      <c r="I218" s="8" t="str">
        <f>IFERROR(__xludf.DUMMYFUNCTION("""COMPUTED_VALUE"""),"General Petite")</f>
        <v>General Petite</v>
      </c>
      <c r="J218" s="8" t="str">
        <f>IFERROR(__xludf.DUMMYFUNCTION("""COMPUTED_VALUE"""),"Bottoms")</f>
        <v>Bottoms</v>
      </c>
      <c r="K218" s="8" t="str">
        <f>IFERROR(__xludf.DUMMYFUNCTION("""COMPUTED_VALUE"""),"Pants")</f>
        <v>Pants</v>
      </c>
      <c r="L218" s="8" t="str">
        <f t="shared" si="1"/>
        <v>-Fabric issue---</v>
      </c>
    </row>
    <row r="219">
      <c r="A219" s="8">
        <f>IFERROR(__xludf.DUMMYFUNCTION("""COMPUTED_VALUE"""),1175.0)</f>
        <v>1175</v>
      </c>
      <c r="B219" s="8">
        <f>IFERROR(__xludf.DUMMYFUNCTION("""COMPUTED_VALUE"""),235.0)</f>
        <v>235</v>
      </c>
      <c r="C219" s="8">
        <f>IFERROR(__xludf.DUMMYFUNCTION("""COMPUTED_VALUE"""),28.0)</f>
        <v>28</v>
      </c>
      <c r="D219" s="8"/>
      <c r="E219" s="15" t="str">
        <f>IFERROR(__xludf.DUMMYFUNCTION("""COMPUTED_VALUE"""),"I have been dying to try a mara hoffman bathing suit, so i went for this one. unfortunately, the design of the bathing suit is not like what they sent me. the middle where the tops meets the bottom, is squared off, not like that v that it looks like in th"&amp;"is photo. it also makes for major side boob/sagging on each side. i was very disappointed.")</f>
        <v>I have been dying to try a mara hoffman bathing suit, so i went for this one. unfortunately, the design of the bathing suit is not like what they sent me. the middle where the tops meets the bottom, is squared off, not like that v that it looks like in this photo. it also makes for major side boob/sagging on each side. i was very disappointed.</v>
      </c>
      <c r="F219" s="8">
        <f>IFERROR(__xludf.DUMMYFUNCTION("""COMPUTED_VALUE"""),2.0)</f>
        <v>2</v>
      </c>
      <c r="G219" s="8">
        <f>IFERROR(__xludf.DUMMYFUNCTION("""COMPUTED_VALUE"""),0.0)</f>
        <v>0</v>
      </c>
      <c r="H219" s="8">
        <f>IFERROR(__xludf.DUMMYFUNCTION("""COMPUTED_VALUE"""),2.0)</f>
        <v>2</v>
      </c>
      <c r="I219" s="8" t="str">
        <f>IFERROR(__xludf.DUMMYFUNCTION("""COMPUTED_VALUE"""),"Initmates")</f>
        <v>Initmates</v>
      </c>
      <c r="J219" s="8" t="str">
        <f>IFERROR(__xludf.DUMMYFUNCTION("""COMPUTED_VALUE"""),"Intimate")</f>
        <v>Intimate</v>
      </c>
      <c r="K219" s="8" t="str">
        <f>IFERROR(__xludf.DUMMYFUNCTION("""COMPUTED_VALUE"""),"Swim")</f>
        <v>Swim</v>
      </c>
      <c r="L219" s="8" t="str">
        <f t="shared" si="1"/>
        <v>--Style issue--</v>
      </c>
    </row>
    <row r="220">
      <c r="A220" s="8">
        <f>IFERROR(__xludf.DUMMYFUNCTION("""COMPUTED_VALUE"""),1176.0)</f>
        <v>1176</v>
      </c>
      <c r="B220" s="8">
        <f>IFERROR(__xludf.DUMMYFUNCTION("""COMPUTED_VALUE"""),1072.0)</f>
        <v>1072</v>
      </c>
      <c r="C220" s="8">
        <f>IFERROR(__xludf.DUMMYFUNCTION("""COMPUTED_VALUE"""),29.0)</f>
        <v>29</v>
      </c>
      <c r="D220" s="8" t="str">
        <f>IFERROR(__xludf.DUMMYFUNCTION("""COMPUTED_VALUE"""),"Pretty, but not great")</f>
        <v>Pretty, but not great</v>
      </c>
      <c r="E220" s="15" t="str">
        <f>IFERROR(__xludf.DUMMYFUNCTION("""COMPUTED_VALUE"""),"This dress was pretty but had a weird fit. the waist droops down in the middle instead of going straight across, which i found unflattering. i ended up returning it.")</f>
        <v>This dress was pretty but had a weird fit. the waist droops down in the middle instead of going straight across, which i found unflattering. i ended up returning it.</v>
      </c>
      <c r="F220" s="8">
        <f>IFERROR(__xludf.DUMMYFUNCTION("""COMPUTED_VALUE"""),3.0)</f>
        <v>3</v>
      </c>
      <c r="G220" s="8">
        <f>IFERROR(__xludf.DUMMYFUNCTION("""COMPUTED_VALUE"""),0.0)</f>
        <v>0</v>
      </c>
      <c r="H220" s="8">
        <f>IFERROR(__xludf.DUMMYFUNCTION("""COMPUTED_VALUE"""),4.0)</f>
        <v>4</v>
      </c>
      <c r="I220" s="8" t="str">
        <f>IFERROR(__xludf.DUMMYFUNCTION("""COMPUTED_VALUE"""),"General")</f>
        <v>General</v>
      </c>
      <c r="J220" s="8" t="str">
        <f>IFERROR(__xludf.DUMMYFUNCTION("""COMPUTED_VALUE"""),"Dresses")</f>
        <v>Dresses</v>
      </c>
      <c r="K220" s="8" t="str">
        <f>IFERROR(__xludf.DUMMYFUNCTION("""COMPUTED_VALUE"""),"Dresses")</f>
        <v>Dresses</v>
      </c>
      <c r="L220" s="8" t="str">
        <f t="shared" si="1"/>
        <v>-Fabric issue---</v>
      </c>
    </row>
    <row r="221">
      <c r="A221" s="8">
        <f>IFERROR(__xludf.DUMMYFUNCTION("""COMPUTED_VALUE"""),1181.0)</f>
        <v>1181</v>
      </c>
      <c r="B221" s="8">
        <f>IFERROR(__xludf.DUMMYFUNCTION("""COMPUTED_VALUE"""),1072.0)</f>
        <v>1072</v>
      </c>
      <c r="C221" s="8">
        <f>IFERROR(__xludf.DUMMYFUNCTION("""COMPUTED_VALUE"""),43.0)</f>
        <v>43</v>
      </c>
      <c r="D221" s="8" t="str">
        <f>IFERROR(__xludf.DUMMYFUNCTION("""COMPUTED_VALUE"""),"Awkward")</f>
        <v>Awkward</v>
      </c>
      <c r="E221" s="15" t="str">
        <f>IFERROR(__xludf.DUMMYFUNCTION("""COMPUTED_VALUE"""),"I really wanted to like his dress, but it was a big miss. big big miss. look at the way the skirt is attached to the dress in the photo. it goes up high on the sides leaving a short bodice. the sequined patterns hit right at my breasts, so it looked like "&amp;"glittery bra cups on the front. the back glittery pattern looked like bird wings on my back. it was far shorter than i expected. overall, it looked like i was desperately trying to be a sexy angel or fairy. bad bad bad.")</f>
        <v>I really wanted to like his dress, but it was a big miss. big big miss. look at the way the skirt is attached to the dress in the photo. it goes up high on the sides leaving a short bodice. the sequined patterns hit right at my breasts, so it looked like glittery bra cups on the front. the back glittery pattern looked like bird wings on my back. it was far shorter than i expected. overall, it looked like i was desperately trying to be a sexy angel or fairy. bad bad bad.</v>
      </c>
      <c r="F221" s="8">
        <f>IFERROR(__xludf.DUMMYFUNCTION("""COMPUTED_VALUE"""),3.0)</f>
        <v>3</v>
      </c>
      <c r="G221" s="8">
        <f>IFERROR(__xludf.DUMMYFUNCTION("""COMPUTED_VALUE"""),0.0)</f>
        <v>0</v>
      </c>
      <c r="H221" s="8">
        <f>IFERROR(__xludf.DUMMYFUNCTION("""COMPUTED_VALUE"""),5.0)</f>
        <v>5</v>
      </c>
      <c r="I221" s="8" t="str">
        <f>IFERROR(__xludf.DUMMYFUNCTION("""COMPUTED_VALUE"""),"General")</f>
        <v>General</v>
      </c>
      <c r="J221" s="8" t="str">
        <f>IFERROR(__xludf.DUMMYFUNCTION("""COMPUTED_VALUE"""),"Dresses")</f>
        <v>Dresses</v>
      </c>
      <c r="K221" s="8" t="str">
        <f>IFERROR(__xludf.DUMMYFUNCTION("""COMPUTED_VALUE"""),"Dresses")</f>
        <v>Dresses</v>
      </c>
      <c r="L221" s="8" t="str">
        <f t="shared" si="1"/>
        <v>Size issue----</v>
      </c>
    </row>
    <row r="222">
      <c r="A222" s="8">
        <f>IFERROR(__xludf.DUMMYFUNCTION("""COMPUTED_VALUE"""),1182.0)</f>
        <v>1182</v>
      </c>
      <c r="B222" s="8">
        <f>IFERROR(__xludf.DUMMYFUNCTION("""COMPUTED_VALUE"""),1060.0)</f>
        <v>1060</v>
      </c>
      <c r="C222" s="8">
        <f>IFERROR(__xludf.DUMMYFUNCTION("""COMPUTED_VALUE"""),21.0)</f>
        <v>21</v>
      </c>
      <c r="D222" s="8"/>
      <c r="E222" s="15" t="str">
        <f>IFERROR(__xludf.DUMMYFUNCTION("""COMPUTED_VALUE"""),"Great fabric but unfortunately it did not look good on me. maybe on a tall person, i'm only 5'4"". really wanted to like this...")</f>
        <v>Great fabric but unfortunately it did not look good on me. maybe on a tall person, i'm only 5'4". really wanted to like this...</v>
      </c>
      <c r="F222" s="8">
        <f>IFERROR(__xludf.DUMMYFUNCTION("""COMPUTED_VALUE"""),3.0)</f>
        <v>3</v>
      </c>
      <c r="G222" s="8">
        <f>IFERROR(__xludf.DUMMYFUNCTION("""COMPUTED_VALUE"""),0.0)</f>
        <v>0</v>
      </c>
      <c r="H222" s="8">
        <f>IFERROR(__xludf.DUMMYFUNCTION("""COMPUTED_VALUE"""),0.0)</f>
        <v>0</v>
      </c>
      <c r="I222" s="8" t="str">
        <f>IFERROR(__xludf.DUMMYFUNCTION("""COMPUTED_VALUE"""),"General Petite")</f>
        <v>General Petite</v>
      </c>
      <c r="J222" s="8" t="str">
        <f>IFERROR(__xludf.DUMMYFUNCTION("""COMPUTED_VALUE"""),"Bottoms")</f>
        <v>Bottoms</v>
      </c>
      <c r="K222" s="8" t="str">
        <f>IFERROR(__xludf.DUMMYFUNCTION("""COMPUTED_VALUE"""),"Pants")</f>
        <v>Pants</v>
      </c>
      <c r="L222" s="8" t="str">
        <f t="shared" si="1"/>
        <v>----</v>
      </c>
    </row>
    <row r="223">
      <c r="A223" s="8">
        <f>IFERROR(__xludf.DUMMYFUNCTION("""COMPUTED_VALUE"""),1187.0)</f>
        <v>1187</v>
      </c>
      <c r="B223" s="8">
        <f>IFERROR(__xludf.DUMMYFUNCTION("""COMPUTED_VALUE"""),1060.0)</f>
        <v>1060</v>
      </c>
      <c r="C223" s="8">
        <f>IFERROR(__xludf.DUMMYFUNCTION("""COMPUTED_VALUE"""),27.0)</f>
        <v>27</v>
      </c>
      <c r="D223" s="8" t="str">
        <f>IFERROR(__xludf.DUMMYFUNCTION("""COMPUTED_VALUE"""),"Not what i expected")</f>
        <v>Not what i expected</v>
      </c>
      <c r="E223" s="15" t="str">
        <f>IFERROR(__xludf.DUMMYFUNCTION("""COMPUTED_VALUE"""),"I was disappointed with this jumpsuit. when i first saw it in the store, i thought i was going to love it. when i tried it on, the first issue is the fabric is too sheer. i could completely see the outline of my underwear and bra. it also runs way too big"&amp;"! i know the bottom is supposed to be loose and flowy, but the waist needs to be more tapered to off set that, and it's so baggy. the arm holes are also cut very low, so when you lift your arms you can see most of your bra on the sides 
i wante")</f>
        <v>I was disappointed with this jumpsuit. when i first saw it in the store, i thought i was going to love it. when i tried it on, the first issue is the fabric is too sheer. i could completely see the outline of my underwear and bra. it also runs way too big! i know the bottom is supposed to be loose and flowy, but the waist needs to be more tapered to off set that, and it's so baggy. the arm holes are also cut very low, so when you lift your arms you can see most of your bra on the sides 
i wante</v>
      </c>
      <c r="F223" s="8">
        <f>IFERROR(__xludf.DUMMYFUNCTION("""COMPUTED_VALUE"""),3.0)</f>
        <v>3</v>
      </c>
      <c r="G223" s="8">
        <f>IFERROR(__xludf.DUMMYFUNCTION("""COMPUTED_VALUE"""),0.0)</f>
        <v>0</v>
      </c>
      <c r="H223" s="8">
        <f>IFERROR(__xludf.DUMMYFUNCTION("""COMPUTED_VALUE"""),4.0)</f>
        <v>4</v>
      </c>
      <c r="I223" s="8" t="str">
        <f>IFERROR(__xludf.DUMMYFUNCTION("""COMPUTED_VALUE"""),"General Petite")</f>
        <v>General Petite</v>
      </c>
      <c r="J223" s="8" t="str">
        <f>IFERROR(__xludf.DUMMYFUNCTION("""COMPUTED_VALUE"""),"Bottoms")</f>
        <v>Bottoms</v>
      </c>
      <c r="K223" s="8" t="str">
        <f>IFERROR(__xludf.DUMMYFUNCTION("""COMPUTED_VALUE"""),"Pants")</f>
        <v>Pants</v>
      </c>
      <c r="L223" s="8" t="str">
        <f t="shared" si="1"/>
        <v>-Fabric issue-Style issue--</v>
      </c>
    </row>
    <row r="224">
      <c r="A224" s="8">
        <f>IFERROR(__xludf.DUMMYFUNCTION("""COMPUTED_VALUE"""),1191.0)</f>
        <v>1191</v>
      </c>
      <c r="B224" s="8">
        <f>IFERROR(__xludf.DUMMYFUNCTION("""COMPUTED_VALUE"""),1094.0)</f>
        <v>1094</v>
      </c>
      <c r="C224" s="8">
        <f>IFERROR(__xludf.DUMMYFUNCTION("""COMPUTED_VALUE"""),33.0)</f>
        <v>33</v>
      </c>
      <c r="D224" s="8" t="str">
        <f>IFERROR(__xludf.DUMMYFUNCTION("""COMPUTED_VALUE"""),"Odd shape")</f>
        <v>Odd shape</v>
      </c>
      <c r="E224" s="15" t="str">
        <f>IFERROR(__xludf.DUMMYFUNCTION("""COMPUTED_VALUE"""),"This was so unflattering. the bust was too high so it hit me weird on the boobs. the green was a beautiful, vibrant color but the fabric is so delicate that one wrong move would cause a snag.")</f>
        <v>This was so unflattering. the bust was too high so it hit me weird on the boobs. the green was a beautiful, vibrant color but the fabric is so delicate that one wrong move would cause a snag.</v>
      </c>
      <c r="F224" s="8">
        <f>IFERROR(__xludf.DUMMYFUNCTION("""COMPUTED_VALUE"""),2.0)</f>
        <v>2</v>
      </c>
      <c r="G224" s="8">
        <f>IFERROR(__xludf.DUMMYFUNCTION("""COMPUTED_VALUE"""),0.0)</f>
        <v>0</v>
      </c>
      <c r="H224" s="8">
        <f>IFERROR(__xludf.DUMMYFUNCTION("""COMPUTED_VALUE"""),0.0)</f>
        <v>0</v>
      </c>
      <c r="I224" s="8" t="str">
        <f>IFERROR(__xludf.DUMMYFUNCTION("""COMPUTED_VALUE"""),"General")</f>
        <v>General</v>
      </c>
      <c r="J224" s="8" t="str">
        <f>IFERROR(__xludf.DUMMYFUNCTION("""COMPUTED_VALUE"""),"Dresses")</f>
        <v>Dresses</v>
      </c>
      <c r="K224" s="8" t="str">
        <f>IFERROR(__xludf.DUMMYFUNCTION("""COMPUTED_VALUE"""),"Dresses")</f>
        <v>Dresses</v>
      </c>
      <c r="L224" s="8" t="str">
        <f t="shared" si="1"/>
        <v>----</v>
      </c>
    </row>
    <row r="225">
      <c r="A225" s="8">
        <f>IFERROR(__xludf.DUMMYFUNCTION("""COMPUTED_VALUE"""),1192.0)</f>
        <v>1192</v>
      </c>
      <c r="B225" s="8">
        <f>IFERROR(__xludf.DUMMYFUNCTION("""COMPUTED_VALUE"""),1082.0)</f>
        <v>1082</v>
      </c>
      <c r="C225" s="8">
        <f>IFERROR(__xludf.DUMMYFUNCTION("""COMPUTED_VALUE"""),53.0)</f>
        <v>53</v>
      </c>
      <c r="D225" s="8" t="str">
        <f>IFERROR(__xludf.DUMMYFUNCTION("""COMPUTED_VALUE"""),"Didn't try it on")</f>
        <v>Didn't try it on</v>
      </c>
      <c r="E225" s="15" t="str">
        <f>IFERROR(__xludf.DUMMYFUNCTION("""COMPUTED_VALUE"""),"I opened the package and the dress is two pieces. it is the skirt part with an orange cami top that the sweater goes over. the sweater was too short for me, as i am busty and would not work. i ordered my normal size and the band around the rib cage did no"&amp;"t go from side to side so i didn't try it on.")</f>
        <v>I opened the package and the dress is two pieces. it is the skirt part with an orange cami top that the sweater goes over. the sweater was too short for me, as i am busty and would not work. i ordered my normal size and the band around the rib cage did not go from side to side so i didn't try it on.</v>
      </c>
      <c r="F225" s="8">
        <f>IFERROR(__xludf.DUMMYFUNCTION("""COMPUTED_VALUE"""),2.0)</f>
        <v>2</v>
      </c>
      <c r="G225" s="8">
        <f>IFERROR(__xludf.DUMMYFUNCTION("""COMPUTED_VALUE"""),0.0)</f>
        <v>0</v>
      </c>
      <c r="H225" s="8">
        <f>IFERROR(__xludf.DUMMYFUNCTION("""COMPUTED_VALUE"""),0.0)</f>
        <v>0</v>
      </c>
      <c r="I225" s="8" t="str">
        <f>IFERROR(__xludf.DUMMYFUNCTION("""COMPUTED_VALUE"""),"General Petite")</f>
        <v>General Petite</v>
      </c>
      <c r="J225" s="8" t="str">
        <f>IFERROR(__xludf.DUMMYFUNCTION("""COMPUTED_VALUE"""),"Dresses")</f>
        <v>Dresses</v>
      </c>
      <c r="K225" s="8" t="str">
        <f>IFERROR(__xludf.DUMMYFUNCTION("""COMPUTED_VALUE"""),"Dresses")</f>
        <v>Dresses</v>
      </c>
      <c r="L225" s="8" t="str">
        <f t="shared" si="1"/>
        <v>Size issue----</v>
      </c>
    </row>
    <row r="226">
      <c r="A226" s="8">
        <f>IFERROR(__xludf.DUMMYFUNCTION("""COMPUTED_VALUE"""),1196.0)</f>
        <v>1196</v>
      </c>
      <c r="B226" s="8">
        <f>IFERROR(__xludf.DUMMYFUNCTION("""COMPUTED_VALUE"""),1110.0)</f>
        <v>1110</v>
      </c>
      <c r="C226" s="8">
        <f>IFERROR(__xludf.DUMMYFUNCTION("""COMPUTED_VALUE"""),38.0)</f>
        <v>38</v>
      </c>
      <c r="D226" s="8" t="str">
        <f>IFERROR(__xludf.DUMMYFUNCTION("""COMPUTED_VALUE"""),"Huge")</f>
        <v>Huge</v>
      </c>
      <c r="E226" s="15" t="str">
        <f>IFERROR(__xludf.DUMMYFUNCTION("""COMPUTED_VALUE"""),"I am 5'-7"" and 135 lbs, i bought a medium petite as i wanted the dress to hit at my knees, instead of midi. this dress is easily 2 sizes bigger than expected. the pattern was not flattering on my although i'm sure it would be for others. i was happy with"&amp;" the length...")</f>
        <v>I am 5'-7" and 135 lbs, i bought a medium petite as i wanted the dress to hit at my knees, instead of midi. this dress is easily 2 sizes bigger than expected. the pattern was not flattering on my although i'm sure it would be for others. i was happy with the length...</v>
      </c>
      <c r="F226" s="8">
        <f>IFERROR(__xludf.DUMMYFUNCTION("""COMPUTED_VALUE"""),3.0)</f>
        <v>3</v>
      </c>
      <c r="G226" s="8">
        <f>IFERROR(__xludf.DUMMYFUNCTION("""COMPUTED_VALUE"""),0.0)</f>
        <v>0</v>
      </c>
      <c r="H226" s="8">
        <f>IFERROR(__xludf.DUMMYFUNCTION("""COMPUTED_VALUE"""),1.0)</f>
        <v>1</v>
      </c>
      <c r="I226" s="8" t="str">
        <f>IFERROR(__xludf.DUMMYFUNCTION("""COMPUTED_VALUE"""),"General")</f>
        <v>General</v>
      </c>
      <c r="J226" s="8" t="str">
        <f>IFERROR(__xludf.DUMMYFUNCTION("""COMPUTED_VALUE"""),"Dresses")</f>
        <v>Dresses</v>
      </c>
      <c r="K226" s="8" t="str">
        <f>IFERROR(__xludf.DUMMYFUNCTION("""COMPUTED_VALUE"""),"Dresses")</f>
        <v>Dresses</v>
      </c>
      <c r="L226" s="8" t="str">
        <f t="shared" si="1"/>
        <v>Size issue----</v>
      </c>
    </row>
    <row r="227">
      <c r="A227" s="8">
        <f>IFERROR(__xludf.DUMMYFUNCTION("""COMPUTED_VALUE"""),1205.0)</f>
        <v>1205</v>
      </c>
      <c r="B227" s="8">
        <f>IFERROR(__xludf.DUMMYFUNCTION("""COMPUTED_VALUE"""),1094.0)</f>
        <v>1094</v>
      </c>
      <c r="C227" s="8">
        <f>IFERROR(__xludf.DUMMYFUNCTION("""COMPUTED_VALUE"""),29.0)</f>
        <v>29</v>
      </c>
      <c r="D227" s="8"/>
      <c r="E227" s="15" t="str">
        <f>IFERROR(__xludf.DUMMYFUNCTION("""COMPUTED_VALUE"""),"I really wanted to love this dress. i bought it for a photoshoot that will be outdoors, and thought that the green color would be perfect. it is well made, but the fabric is lighter than expected. the biggest issues was the size. i am 5'7"" and typically "&amp;"a size ten. i ordered the ten and it fit like a 14-16. it was huge. if you order this, i would say size down two sizes.")</f>
        <v>I really wanted to love this dress. i bought it for a photoshoot that will be outdoors, and thought that the green color would be perfect. it is well made, but the fabric is lighter than expected. the biggest issues was the size. i am 5'7" and typically a size ten. i ordered the ten and it fit like a 14-16. it was huge. if you order this, i would say size down two sizes.</v>
      </c>
      <c r="F227" s="8">
        <f>IFERROR(__xludf.DUMMYFUNCTION("""COMPUTED_VALUE"""),2.0)</f>
        <v>2</v>
      </c>
      <c r="G227" s="8">
        <f>IFERROR(__xludf.DUMMYFUNCTION("""COMPUTED_VALUE"""),0.0)</f>
        <v>0</v>
      </c>
      <c r="H227" s="8">
        <f>IFERROR(__xludf.DUMMYFUNCTION("""COMPUTED_VALUE"""),10.0)</f>
        <v>10</v>
      </c>
      <c r="I227" s="8" t="str">
        <f>IFERROR(__xludf.DUMMYFUNCTION("""COMPUTED_VALUE"""),"General")</f>
        <v>General</v>
      </c>
      <c r="J227" s="8" t="str">
        <f>IFERROR(__xludf.DUMMYFUNCTION("""COMPUTED_VALUE"""),"Dresses")</f>
        <v>Dresses</v>
      </c>
      <c r="K227" s="8" t="str">
        <f>IFERROR(__xludf.DUMMYFUNCTION("""COMPUTED_VALUE"""),"Dresses")</f>
        <v>Dresses</v>
      </c>
      <c r="L227" s="8" t="str">
        <f t="shared" si="1"/>
        <v>Size issue----</v>
      </c>
    </row>
    <row r="228">
      <c r="A228" s="8">
        <f>IFERROR(__xludf.DUMMYFUNCTION("""COMPUTED_VALUE"""),1207.0)</f>
        <v>1207</v>
      </c>
      <c r="B228" s="8">
        <f>IFERROR(__xludf.DUMMYFUNCTION("""COMPUTED_VALUE"""),1072.0)</f>
        <v>1072</v>
      </c>
      <c r="C228" s="8">
        <f>IFERROR(__xludf.DUMMYFUNCTION("""COMPUTED_VALUE"""),36.0)</f>
        <v>36</v>
      </c>
      <c r="D228" s="8" t="str">
        <f>IFERROR(__xludf.DUMMYFUNCTION("""COMPUTED_VALUE"""),"Pretty dress but oddly cut in the middle")</f>
        <v>Pretty dress but oddly cut in the middle</v>
      </c>
      <c r="E228" s="15" t="str">
        <f>IFERROR(__xludf.DUMMYFUNCTION("""COMPUTED_VALUE"""),"This dress is beautiful and would make an excellent party dress for winter. it is well made and the details are pretty. however the waist is cut in sort of a scallop shape, so it is higher on the sizes and dips down in the middle over the stomach. i wear "&amp;"a size l or 10 in dresses at retailer, and it just did not flatter my body type at all. for a thinner, narrow silhouette, i suppose it would look better, like it does on the model. i had to return it.")</f>
        <v>This dress is beautiful and would make an excellent party dress for winter. it is well made and the details are pretty. however the waist is cut in sort of a scallop shape, so it is higher on the sizes and dips down in the middle over the stomach. i wear a size l or 10 in dresses at retailer, and it just did not flatter my body type at all. for a thinner, narrow silhouette, i suppose it would look better, like it does on the model. i had to return it.</v>
      </c>
      <c r="F228" s="8">
        <f>IFERROR(__xludf.DUMMYFUNCTION("""COMPUTED_VALUE"""),4.0)</f>
        <v>4</v>
      </c>
      <c r="G228" s="8">
        <f>IFERROR(__xludf.DUMMYFUNCTION("""COMPUTED_VALUE"""),0.0)</f>
        <v>0</v>
      </c>
      <c r="H228" s="8">
        <f>IFERROR(__xludf.DUMMYFUNCTION("""COMPUTED_VALUE"""),6.0)</f>
        <v>6</v>
      </c>
      <c r="I228" s="8" t="str">
        <f>IFERROR(__xludf.DUMMYFUNCTION("""COMPUTED_VALUE"""),"General")</f>
        <v>General</v>
      </c>
      <c r="J228" s="8" t="str">
        <f>IFERROR(__xludf.DUMMYFUNCTION("""COMPUTED_VALUE"""),"Dresses")</f>
        <v>Dresses</v>
      </c>
      <c r="K228" s="8" t="str">
        <f>IFERROR(__xludf.DUMMYFUNCTION("""COMPUTED_VALUE"""),"Dresses")</f>
        <v>Dresses</v>
      </c>
      <c r="L228" s="8" t="str">
        <f t="shared" si="1"/>
        <v>Size issue----Matching Awareness issue</v>
      </c>
    </row>
    <row r="229">
      <c r="A229" s="8">
        <f>IFERROR(__xludf.DUMMYFUNCTION("""COMPUTED_VALUE"""),1223.0)</f>
        <v>1223</v>
      </c>
      <c r="B229" s="8">
        <f>IFERROR(__xludf.DUMMYFUNCTION("""COMPUTED_VALUE"""),868.0)</f>
        <v>868</v>
      </c>
      <c r="C229" s="8">
        <f>IFERROR(__xludf.DUMMYFUNCTION("""COMPUTED_VALUE"""),43.0)</f>
        <v>43</v>
      </c>
      <c r="D229" s="8" t="str">
        <f>IFERROR(__xludf.DUMMYFUNCTION("""COMPUTED_VALUE"""),"Wide")</f>
        <v>Wide</v>
      </c>
      <c r="E229" s="15" t="str">
        <f>IFERROR(__xludf.DUMMYFUNCTION("""COMPUTED_VALUE"""),"I'm 5""0"" and weigh 105 lbs. i purchased the xxs and it was super-wide, and big all over. it looked like a pregnancy top and did not lay as nicely as shown on the model. also, not shown on the model is the front is short and the back is very long. this w"&amp;"ould work better on a taller person. i just find it odd that a xxs is still too big. the quality of the fabric and the print is good and the lace-up in the back is cute.")</f>
        <v>I'm 5"0" and weigh 105 lbs. i purchased the xxs and it was super-wide, and big all over. it looked like a pregnancy top and did not lay as nicely as shown on the model. also, not shown on the model is the front is short and the back is very long. this would work better on a taller person. i just find it odd that a xxs is still too big. the quality of the fabric and the print is good and the lace-up in the back is cute.</v>
      </c>
      <c r="F229" s="8">
        <f>IFERROR(__xludf.DUMMYFUNCTION("""COMPUTED_VALUE"""),2.0)</f>
        <v>2</v>
      </c>
      <c r="G229" s="8">
        <f>IFERROR(__xludf.DUMMYFUNCTION("""COMPUTED_VALUE"""),0.0)</f>
        <v>0</v>
      </c>
      <c r="H229" s="8">
        <f>IFERROR(__xludf.DUMMYFUNCTION("""COMPUTED_VALUE"""),7.0)</f>
        <v>7</v>
      </c>
      <c r="I229" s="8" t="str">
        <f>IFERROR(__xludf.DUMMYFUNCTION("""COMPUTED_VALUE"""),"General")</f>
        <v>General</v>
      </c>
      <c r="J229" s="8" t="str">
        <f>IFERROR(__xludf.DUMMYFUNCTION("""COMPUTED_VALUE"""),"Tops")</f>
        <v>Tops</v>
      </c>
      <c r="K229" s="8" t="str">
        <f>IFERROR(__xludf.DUMMYFUNCTION("""COMPUTED_VALUE"""),"Knits")</f>
        <v>Knits</v>
      </c>
      <c r="L229" s="8" t="str">
        <f t="shared" si="1"/>
        <v>Size issue----Matching Awareness issue</v>
      </c>
    </row>
    <row r="230">
      <c r="A230" s="8">
        <f>IFERROR(__xludf.DUMMYFUNCTION("""COMPUTED_VALUE"""),1229.0)</f>
        <v>1229</v>
      </c>
      <c r="B230" s="8">
        <f>IFERROR(__xludf.DUMMYFUNCTION("""COMPUTED_VALUE"""),850.0)</f>
        <v>850</v>
      </c>
      <c r="C230" s="8">
        <f>IFERROR(__xludf.DUMMYFUNCTION("""COMPUTED_VALUE"""),23.0)</f>
        <v>23</v>
      </c>
      <c r="D230" s="8" t="str">
        <f>IFERROR(__xludf.DUMMYFUNCTION("""COMPUTED_VALUE"""),"Not flattering")</f>
        <v>Not flattering</v>
      </c>
      <c r="E230" s="15" t="str">
        <f>IFERROR(__xludf.DUMMYFUNCTION("""COMPUTED_VALUE"""),"I've been eyeing this top up in the floral pattern for a while and finally ordered it when i had 15% off. i really don't think it's worth the price and it's not very flattering. i think it would look better on someone less busty - it seemed to accent my b"&amp;"ust. it's definitely not my favorite piece and unfortunately i will be returning.")</f>
        <v>I've been eyeing this top up in the floral pattern for a while and finally ordered it when i had 15% off. i really don't think it's worth the price and it's not very flattering. i think it would look better on someone less busty - it seemed to accent my bust. it's definitely not my favorite piece and unfortunately i will be returning.</v>
      </c>
      <c r="F230" s="8">
        <f>IFERROR(__xludf.DUMMYFUNCTION("""COMPUTED_VALUE"""),3.0)</f>
        <v>3</v>
      </c>
      <c r="G230" s="8">
        <f>IFERROR(__xludf.DUMMYFUNCTION("""COMPUTED_VALUE"""),0.0)</f>
        <v>0</v>
      </c>
      <c r="H230" s="8">
        <f>IFERROR(__xludf.DUMMYFUNCTION("""COMPUTED_VALUE"""),0.0)</f>
        <v>0</v>
      </c>
      <c r="I230" s="8" t="str">
        <f>IFERROR(__xludf.DUMMYFUNCTION("""COMPUTED_VALUE"""),"General Petite")</f>
        <v>General Petite</v>
      </c>
      <c r="J230" s="8" t="str">
        <f>IFERROR(__xludf.DUMMYFUNCTION("""COMPUTED_VALUE"""),"Tops")</f>
        <v>Tops</v>
      </c>
      <c r="K230" s="8" t="str">
        <f>IFERROR(__xludf.DUMMYFUNCTION("""COMPUTED_VALUE"""),"Blouses")</f>
        <v>Blouses</v>
      </c>
      <c r="L230" s="8" t="str">
        <f t="shared" si="1"/>
        <v>----</v>
      </c>
    </row>
    <row r="231">
      <c r="A231" s="8">
        <f>IFERROR(__xludf.DUMMYFUNCTION("""COMPUTED_VALUE"""),1233.0)</f>
        <v>1233</v>
      </c>
      <c r="B231" s="8">
        <f>IFERROR(__xludf.DUMMYFUNCTION("""COMPUTED_VALUE"""),1095.0)</f>
        <v>1095</v>
      </c>
      <c r="C231" s="8">
        <f>IFERROR(__xludf.DUMMYFUNCTION("""COMPUTED_VALUE"""),46.0)</f>
        <v>46</v>
      </c>
      <c r="D231" s="8" t="str">
        <f>IFERROR(__xludf.DUMMYFUNCTION("""COMPUTED_VALUE"""),"Way cuter in the photo")</f>
        <v>Way cuter in the photo</v>
      </c>
      <c r="E231" s="15" t="str">
        <f>IFERROR(__xludf.DUMMYFUNCTION("""COMPUTED_VALUE"""),"It looks great on the model but not on me. on me, it looked more like a sack of potatoes. the fabric is unexpected for the style in my opinion. it is very thick. i'll be returning it because it is not flattering on me.")</f>
        <v>It looks great on the model but not on me. on me, it looked more like a sack of potatoes. the fabric is unexpected for the style in my opinion. it is very thick. i'll be returning it because it is not flattering on me.</v>
      </c>
      <c r="F231" s="8">
        <f>IFERROR(__xludf.DUMMYFUNCTION("""COMPUTED_VALUE"""),3.0)</f>
        <v>3</v>
      </c>
      <c r="G231" s="8">
        <f>IFERROR(__xludf.DUMMYFUNCTION("""COMPUTED_VALUE"""),0.0)</f>
        <v>0</v>
      </c>
      <c r="H231" s="8">
        <f>IFERROR(__xludf.DUMMYFUNCTION("""COMPUTED_VALUE"""),0.0)</f>
        <v>0</v>
      </c>
      <c r="I231" s="8" t="str">
        <f>IFERROR(__xludf.DUMMYFUNCTION("""COMPUTED_VALUE"""),"General")</f>
        <v>General</v>
      </c>
      <c r="J231" s="8" t="str">
        <f>IFERROR(__xludf.DUMMYFUNCTION("""COMPUTED_VALUE"""),"Dresses")</f>
        <v>Dresses</v>
      </c>
      <c r="K231" s="8" t="str">
        <f>IFERROR(__xludf.DUMMYFUNCTION("""COMPUTED_VALUE"""),"Dresses")</f>
        <v>Dresses</v>
      </c>
      <c r="L231" s="8" t="str">
        <f t="shared" si="1"/>
        <v>--Style issue--Matching Awareness issue</v>
      </c>
    </row>
    <row r="232">
      <c r="A232" s="8">
        <f>IFERROR(__xludf.DUMMYFUNCTION("""COMPUTED_VALUE"""),1235.0)</f>
        <v>1235</v>
      </c>
      <c r="B232" s="8">
        <f>IFERROR(__xludf.DUMMYFUNCTION("""COMPUTED_VALUE"""),1095.0)</f>
        <v>1095</v>
      </c>
      <c r="C232" s="8">
        <f>IFERROR(__xludf.DUMMYFUNCTION("""COMPUTED_VALUE"""),37.0)</f>
        <v>37</v>
      </c>
      <c r="D232" s="8" t="str">
        <f>IFERROR(__xludf.DUMMYFUNCTION("""COMPUTED_VALUE"""),"Frumpy")</f>
        <v>Frumpy</v>
      </c>
      <c r="E232" s="15" t="str">
        <f>IFERROR(__xludf.DUMMYFUNCTION("""COMPUTED_VALUE"""),"This dress looked gorgeous in the monthly catalog. ordered in hopes to wear in easter. i felt it was frumpy and just ok. color was pretty but overall; i didn't love it like i hoped to.")</f>
        <v>This dress looked gorgeous in the monthly catalog. ordered in hopes to wear in easter. i felt it was frumpy and just ok. color was pretty but overall; i didn't love it like i hoped to.</v>
      </c>
      <c r="F232" s="8">
        <f>IFERROR(__xludf.DUMMYFUNCTION("""COMPUTED_VALUE"""),2.0)</f>
        <v>2</v>
      </c>
      <c r="G232" s="8">
        <f>IFERROR(__xludf.DUMMYFUNCTION("""COMPUTED_VALUE"""),0.0)</f>
        <v>0</v>
      </c>
      <c r="H232" s="8">
        <f>IFERROR(__xludf.DUMMYFUNCTION("""COMPUTED_VALUE"""),0.0)</f>
        <v>0</v>
      </c>
      <c r="I232" s="8" t="str">
        <f>IFERROR(__xludf.DUMMYFUNCTION("""COMPUTED_VALUE"""),"General")</f>
        <v>General</v>
      </c>
      <c r="J232" s="8" t="str">
        <f>IFERROR(__xludf.DUMMYFUNCTION("""COMPUTED_VALUE"""),"Dresses")</f>
        <v>Dresses</v>
      </c>
      <c r="K232" s="8" t="str">
        <f>IFERROR(__xludf.DUMMYFUNCTION("""COMPUTED_VALUE"""),"Dresses")</f>
        <v>Dresses</v>
      </c>
      <c r="L232" s="8" t="str">
        <f t="shared" si="1"/>
        <v>----</v>
      </c>
    </row>
    <row r="233">
      <c r="A233" s="8">
        <f>IFERROR(__xludf.DUMMYFUNCTION("""COMPUTED_VALUE"""),1238.0)</f>
        <v>1238</v>
      </c>
      <c r="B233" s="8">
        <f>IFERROR(__xludf.DUMMYFUNCTION("""COMPUTED_VALUE"""),850.0)</f>
        <v>850</v>
      </c>
      <c r="C233" s="8">
        <f>IFERROR(__xludf.DUMMYFUNCTION("""COMPUTED_VALUE"""),60.0)</f>
        <v>60</v>
      </c>
      <c r="D233" s="8" t="str">
        <f>IFERROR(__xludf.DUMMYFUNCTION("""COMPUTED_VALUE"""),"Not so flattering top")</f>
        <v>Not so flattering top</v>
      </c>
      <c r="E233" s="15" t="str">
        <f>IFERROR(__xludf.DUMMYFUNCTION("""COMPUTED_VALUE"""),"I had reservations about this top based on other reviews, but it looked cute on the model so i took my chances. i have an athletic build--not model-thin, but not dumpy either--and this top made me look very frumpy and matronly. the sleeves were especially"&amp;" unflattering. i purchased it in an ps and might have done better with a pxs.")</f>
        <v>I had reservations about this top based on other reviews, but it looked cute on the model so i took my chances. i have an athletic build--not model-thin, but not dumpy either--and this top made me look very frumpy and matronly. the sleeves were especially unflattering. i purchased it in an ps and might have done better with a pxs.</v>
      </c>
      <c r="F233" s="8">
        <f>IFERROR(__xludf.DUMMYFUNCTION("""COMPUTED_VALUE"""),3.0)</f>
        <v>3</v>
      </c>
      <c r="G233" s="8">
        <f>IFERROR(__xludf.DUMMYFUNCTION("""COMPUTED_VALUE"""),0.0)</f>
        <v>0</v>
      </c>
      <c r="H233" s="8">
        <f>IFERROR(__xludf.DUMMYFUNCTION("""COMPUTED_VALUE"""),0.0)</f>
        <v>0</v>
      </c>
      <c r="I233" s="8" t="str">
        <f>IFERROR(__xludf.DUMMYFUNCTION("""COMPUTED_VALUE"""),"General Petite")</f>
        <v>General Petite</v>
      </c>
      <c r="J233" s="8" t="str">
        <f>IFERROR(__xludf.DUMMYFUNCTION("""COMPUTED_VALUE"""),"Tops")</f>
        <v>Tops</v>
      </c>
      <c r="K233" s="8" t="str">
        <f>IFERROR(__xludf.DUMMYFUNCTION("""COMPUTED_VALUE"""),"Blouses")</f>
        <v>Blouses</v>
      </c>
      <c r="L233" s="8" t="str">
        <f t="shared" si="1"/>
        <v>Size issue----Matching Awareness issue</v>
      </c>
    </row>
    <row r="234">
      <c r="A234" s="8">
        <f>IFERROR(__xludf.DUMMYFUNCTION("""COMPUTED_VALUE"""),1240.0)</f>
        <v>1240</v>
      </c>
      <c r="B234" s="8">
        <f>IFERROR(__xludf.DUMMYFUNCTION("""COMPUTED_VALUE"""),875.0)</f>
        <v>875</v>
      </c>
      <c r="C234" s="8">
        <f>IFERROR(__xludf.DUMMYFUNCTION("""COMPUTED_VALUE"""),46.0)</f>
        <v>46</v>
      </c>
      <c r="D234" s="8" t="str">
        <f>IFERROR(__xludf.DUMMYFUNCTION("""COMPUTED_VALUE"""),"Too much fabric")</f>
        <v>Too much fabric</v>
      </c>
      <c r="E234" s="15" t="str">
        <f>IFERROR(__xludf.DUMMYFUNCTION("""COMPUTED_VALUE"""),"I usually wear a size xs or s in retailer tops, ordered this top in an s and it was so wide on the sides and huge it fit like a tent.  not even remotely flattering.  i thought about ordering it in an xs, however, i could tell the xs was still going to hav"&amp;"e way too much fabric.  back it goes.")</f>
        <v>I usually wear a size xs or s in retailer tops, ordered this top in an s and it was so wide on the sides and huge it fit like a tent.  not even remotely flattering.  i thought about ordering it in an xs, however, i could tell the xs was still going to have way too much fabric.  back it goes.</v>
      </c>
      <c r="F234" s="8">
        <f>IFERROR(__xludf.DUMMYFUNCTION("""COMPUTED_VALUE"""),1.0)</f>
        <v>1</v>
      </c>
      <c r="G234" s="8">
        <f>IFERROR(__xludf.DUMMYFUNCTION("""COMPUTED_VALUE"""),0.0)</f>
        <v>0</v>
      </c>
      <c r="H234" s="8">
        <f>IFERROR(__xludf.DUMMYFUNCTION("""COMPUTED_VALUE"""),0.0)</f>
        <v>0</v>
      </c>
      <c r="I234" s="8" t="str">
        <f>IFERROR(__xludf.DUMMYFUNCTION("""COMPUTED_VALUE"""),"General")</f>
        <v>General</v>
      </c>
      <c r="J234" s="8" t="str">
        <f>IFERROR(__xludf.DUMMYFUNCTION("""COMPUTED_VALUE"""),"Tops")</f>
        <v>Tops</v>
      </c>
      <c r="K234" s="8" t="str">
        <f>IFERROR(__xludf.DUMMYFUNCTION("""COMPUTED_VALUE"""),"Knits")</f>
        <v>Knits</v>
      </c>
      <c r="L234" s="8" t="str">
        <f t="shared" si="1"/>
        <v>Size issue----</v>
      </c>
    </row>
    <row r="235">
      <c r="A235" s="8">
        <f>IFERROR(__xludf.DUMMYFUNCTION("""COMPUTED_VALUE"""),1257.0)</f>
        <v>1257</v>
      </c>
      <c r="B235" s="8">
        <f>IFERROR(__xludf.DUMMYFUNCTION("""COMPUTED_VALUE"""),850.0)</f>
        <v>850</v>
      </c>
      <c r="C235" s="8">
        <f>IFERROR(__xludf.DUMMYFUNCTION("""COMPUTED_VALUE"""),36.0)</f>
        <v>36</v>
      </c>
      <c r="D235" s="8" t="str">
        <f>IFERROR(__xludf.DUMMYFUNCTION("""COMPUTED_VALUE"""),"Wanted to love...")</f>
        <v>Wanted to love...</v>
      </c>
      <c r="E235" s="15" t="str">
        <f>IFERROR(__xludf.DUMMYFUNCTION("""COMPUTED_VALUE"""),"I wanted to love this top, but it unfortunately did not work for me. the material has a nice weight and feel to it, and while i love the pattern, the shape leaves something to be desired. the cap sleeves were a little tight on my arms, and the cut of the "&amp;"sleeves made my arms look big. the body of this shirt reminded me of a loose maternity top. for reference, i am 5'10"" 140 lbs and typically a size 6. i wear a small in retailer clothes, and got a small in this top. i think an xs would have been to")</f>
        <v>I wanted to love this top, but it unfortunately did not work for me. the material has a nice weight and feel to it, and while i love the pattern, the shape leaves something to be desired. the cap sleeves were a little tight on my arms, and the cut of the sleeves made my arms look big. the body of this shirt reminded me of a loose maternity top. for reference, i am 5'10" 140 lbs and typically a size 6. i wear a small in retailer clothes, and got a small in this top. i think an xs would have been to</v>
      </c>
      <c r="F235" s="8">
        <f>IFERROR(__xludf.DUMMYFUNCTION("""COMPUTED_VALUE"""),2.0)</f>
        <v>2</v>
      </c>
      <c r="G235" s="8">
        <f>IFERROR(__xludf.DUMMYFUNCTION("""COMPUTED_VALUE"""),0.0)</f>
        <v>0</v>
      </c>
      <c r="H235" s="8">
        <f>IFERROR(__xludf.DUMMYFUNCTION("""COMPUTED_VALUE"""),35.0)</f>
        <v>35</v>
      </c>
      <c r="I235" s="8" t="str">
        <f>IFERROR(__xludf.DUMMYFUNCTION("""COMPUTED_VALUE"""),"General Petite")</f>
        <v>General Petite</v>
      </c>
      <c r="J235" s="8" t="str">
        <f>IFERROR(__xludf.DUMMYFUNCTION("""COMPUTED_VALUE"""),"Tops")</f>
        <v>Tops</v>
      </c>
      <c r="K235" s="8" t="str">
        <f>IFERROR(__xludf.DUMMYFUNCTION("""COMPUTED_VALUE"""),"Blouses")</f>
        <v>Blouses</v>
      </c>
      <c r="L235" s="8" t="str">
        <f t="shared" si="1"/>
        <v>Size issue-Fabric issue-Style issue--</v>
      </c>
    </row>
    <row r="236">
      <c r="A236" s="8">
        <f>IFERROR(__xludf.DUMMYFUNCTION("""COMPUTED_VALUE"""),1265.0)</f>
        <v>1265</v>
      </c>
      <c r="B236" s="8">
        <f>IFERROR(__xludf.DUMMYFUNCTION("""COMPUTED_VALUE"""),1095.0)</f>
        <v>1095</v>
      </c>
      <c r="C236" s="8">
        <f>IFERROR(__xludf.DUMMYFUNCTION("""COMPUTED_VALUE"""),63.0)</f>
        <v>63</v>
      </c>
      <c r="D236" s="8" t="str">
        <f>IFERROR(__xludf.DUMMYFUNCTION("""COMPUTED_VALUE"""),"Not as pictured")</f>
        <v>Not as pictured</v>
      </c>
      <c r="E236" s="15" t="str">
        <f>IFERROR(__xludf.DUMMYFUNCTION("""COMPUTED_VALUE"""),"I ordered this dress in the blood orange and have a few complaints. while it appears to be made with quality, it runs really large. also, in the picture the fabric appears to have a sheen and be somewhat dressy. the actual fabric is just flat cotton. it's"&amp;" a very casual dress, not as dressy as pictured. it's also quite shapeless on. i'm returning it.")</f>
        <v>I ordered this dress in the blood orange and have a few complaints. while it appears to be made with quality, it runs really large. also, in the picture the fabric appears to have a sheen and be somewhat dressy. the actual fabric is just flat cotton. it's a very casual dress, not as dressy as pictured. it's also quite shapeless on. i'm returning it.</v>
      </c>
      <c r="F236" s="8">
        <f>IFERROR(__xludf.DUMMYFUNCTION("""COMPUTED_VALUE"""),2.0)</f>
        <v>2</v>
      </c>
      <c r="G236" s="8">
        <f>IFERROR(__xludf.DUMMYFUNCTION("""COMPUTED_VALUE"""),0.0)</f>
        <v>0</v>
      </c>
      <c r="H236" s="8">
        <f>IFERROR(__xludf.DUMMYFUNCTION("""COMPUTED_VALUE"""),1.0)</f>
        <v>1</v>
      </c>
      <c r="I236" s="8" t="str">
        <f>IFERROR(__xludf.DUMMYFUNCTION("""COMPUTED_VALUE"""),"General")</f>
        <v>General</v>
      </c>
      <c r="J236" s="8" t="str">
        <f>IFERROR(__xludf.DUMMYFUNCTION("""COMPUTED_VALUE"""),"Dresses")</f>
        <v>Dresses</v>
      </c>
      <c r="K236" s="8" t="str">
        <f>IFERROR(__xludf.DUMMYFUNCTION("""COMPUTED_VALUE"""),"Dresses")</f>
        <v>Dresses</v>
      </c>
      <c r="L236" s="8" t="str">
        <f t="shared" si="1"/>
        <v>Size issue----</v>
      </c>
    </row>
    <row r="237">
      <c r="A237" s="8">
        <f>IFERROR(__xludf.DUMMYFUNCTION("""COMPUTED_VALUE"""),1267.0)</f>
        <v>1267</v>
      </c>
      <c r="B237" s="8">
        <f>IFERROR(__xludf.DUMMYFUNCTION("""COMPUTED_VALUE"""),1095.0)</f>
        <v>1095</v>
      </c>
      <c r="C237" s="8">
        <f>IFERROR(__xludf.DUMMYFUNCTION("""COMPUTED_VALUE"""),27.0)</f>
        <v>27</v>
      </c>
      <c r="D237" s="8" t="str">
        <f>IFERROR(__xludf.DUMMYFUNCTION("""COMPUTED_VALUE"""),"Disappointing")</f>
        <v>Disappointing</v>
      </c>
      <c r="E237" s="15" t="str">
        <f>IFERROR(__xludf.DUMMYFUNCTION("""COMPUTED_VALUE"""),"This dress was not what i had hoped! from the online pictures, i had high hopes, but the fit was really wonky and the material seemed cheap. the arm holes were too big and made the dress seem more like a bathing suit cover up than a classy summer dress. n"&amp;"eedless to say, it's going back!")</f>
        <v>This dress was not what i had hoped! from the online pictures, i had high hopes, but the fit was really wonky and the material seemed cheap. the arm holes were too big and made the dress seem more like a bathing suit cover up than a classy summer dress. needless to say, it's going back!</v>
      </c>
      <c r="F237" s="8">
        <f>IFERROR(__xludf.DUMMYFUNCTION("""COMPUTED_VALUE"""),2.0)</f>
        <v>2</v>
      </c>
      <c r="G237" s="8">
        <f>IFERROR(__xludf.DUMMYFUNCTION("""COMPUTED_VALUE"""),0.0)</f>
        <v>0</v>
      </c>
      <c r="H237" s="8">
        <f>IFERROR(__xludf.DUMMYFUNCTION("""COMPUTED_VALUE"""),3.0)</f>
        <v>3</v>
      </c>
      <c r="I237" s="8" t="str">
        <f>IFERROR(__xludf.DUMMYFUNCTION("""COMPUTED_VALUE"""),"General")</f>
        <v>General</v>
      </c>
      <c r="J237" s="8" t="str">
        <f>IFERROR(__xludf.DUMMYFUNCTION("""COMPUTED_VALUE"""),"Dresses")</f>
        <v>Dresses</v>
      </c>
      <c r="K237" s="8" t="str">
        <f>IFERROR(__xludf.DUMMYFUNCTION("""COMPUTED_VALUE"""),"Dresses")</f>
        <v>Dresses</v>
      </c>
      <c r="L237" s="8" t="str">
        <f t="shared" si="1"/>
        <v>Size issue-Fabric issue-Style issue--</v>
      </c>
    </row>
    <row r="238">
      <c r="A238" s="8">
        <f>IFERROR(__xludf.DUMMYFUNCTION("""COMPUTED_VALUE"""),1272.0)</f>
        <v>1272</v>
      </c>
      <c r="B238" s="8">
        <f>IFERROR(__xludf.DUMMYFUNCTION("""COMPUTED_VALUE"""),850.0)</f>
        <v>850</v>
      </c>
      <c r="C238" s="8">
        <f>IFERROR(__xludf.DUMMYFUNCTION("""COMPUTED_VALUE"""),33.0)</f>
        <v>33</v>
      </c>
      <c r="D238" s="8" t="str">
        <f>IFERROR(__xludf.DUMMYFUNCTION("""COMPUTED_VALUE"""),"Pretty top poor fit")</f>
        <v>Pretty top poor fit</v>
      </c>
      <c r="E238" s="15" t="str">
        <f>IFERROR(__xludf.DUMMYFUNCTION("""COMPUTED_VALUE"""),"I loved this top in the blue and wanted so badly for it to fit however it was very unflattering on my 5'7"" frame. the bottom hemline is straight across all around whereas i thought it was longer in the back. i could see this looking great on a really pet"&amp;"ite frame. runs large, xs fit however wasn't flattering")</f>
        <v>I loved this top in the blue and wanted so badly for it to fit however it was very unflattering on my 5'7" frame. the bottom hemline is straight across all around whereas i thought it was longer in the back. i could see this looking great on a really petite frame. runs large, xs fit however wasn't flattering</v>
      </c>
      <c r="F238" s="8">
        <f>IFERROR(__xludf.DUMMYFUNCTION("""COMPUTED_VALUE"""),3.0)</f>
        <v>3</v>
      </c>
      <c r="G238" s="8">
        <f>IFERROR(__xludf.DUMMYFUNCTION("""COMPUTED_VALUE"""),0.0)</f>
        <v>0</v>
      </c>
      <c r="H238" s="8">
        <f>IFERROR(__xludf.DUMMYFUNCTION("""COMPUTED_VALUE"""),2.0)</f>
        <v>2</v>
      </c>
      <c r="I238" s="8" t="str">
        <f>IFERROR(__xludf.DUMMYFUNCTION("""COMPUTED_VALUE"""),"General")</f>
        <v>General</v>
      </c>
      <c r="J238" s="8" t="str">
        <f>IFERROR(__xludf.DUMMYFUNCTION("""COMPUTED_VALUE"""),"Tops")</f>
        <v>Tops</v>
      </c>
      <c r="K238" s="8" t="str">
        <f>IFERROR(__xludf.DUMMYFUNCTION("""COMPUTED_VALUE"""),"Blouses")</f>
        <v>Blouses</v>
      </c>
      <c r="L238" s="8" t="str">
        <f t="shared" si="1"/>
        <v>Size issue----</v>
      </c>
    </row>
    <row r="239">
      <c r="A239" s="8">
        <f>IFERROR(__xludf.DUMMYFUNCTION("""COMPUTED_VALUE"""),1273.0)</f>
        <v>1273</v>
      </c>
      <c r="B239" s="8">
        <f>IFERROR(__xludf.DUMMYFUNCTION("""COMPUTED_VALUE"""),850.0)</f>
        <v>850</v>
      </c>
      <c r="C239" s="8">
        <f>IFERROR(__xludf.DUMMYFUNCTION("""COMPUTED_VALUE"""),34.0)</f>
        <v>34</v>
      </c>
      <c r="D239" s="8" t="str">
        <f>IFERROR(__xludf.DUMMYFUNCTION("""COMPUTED_VALUE"""),"Avoid if you're curvy...")</f>
        <v>Avoid if you're curvy...</v>
      </c>
      <c r="E239" s="15" t="str">
        <f>IFERROR(__xludf.DUMMYFUNCTION("""COMPUTED_VALUE"""),"Didn't work on this curvy gal.
sizing up would have helped with the button gaps, but the flowy shape of the blouse would have looked too maternity on a larger size.
major pass.")</f>
        <v>Didn't work on this curvy gal.
sizing up would have helped with the button gaps, but the flowy shape of the blouse would have looked too maternity on a larger size.
major pass.</v>
      </c>
      <c r="F239" s="8">
        <f>IFERROR(__xludf.DUMMYFUNCTION("""COMPUTED_VALUE"""),2.0)</f>
        <v>2</v>
      </c>
      <c r="G239" s="8">
        <f>IFERROR(__xludf.DUMMYFUNCTION("""COMPUTED_VALUE"""),0.0)</f>
        <v>0</v>
      </c>
      <c r="H239" s="8">
        <f>IFERROR(__xludf.DUMMYFUNCTION("""COMPUTED_VALUE"""),0.0)</f>
        <v>0</v>
      </c>
      <c r="I239" s="8" t="str">
        <f>IFERROR(__xludf.DUMMYFUNCTION("""COMPUTED_VALUE"""),"General")</f>
        <v>General</v>
      </c>
      <c r="J239" s="8" t="str">
        <f>IFERROR(__xludf.DUMMYFUNCTION("""COMPUTED_VALUE"""),"Tops")</f>
        <v>Tops</v>
      </c>
      <c r="K239" s="8" t="str">
        <f>IFERROR(__xludf.DUMMYFUNCTION("""COMPUTED_VALUE"""),"Blouses")</f>
        <v>Blouses</v>
      </c>
      <c r="L239" s="8" t="str">
        <f t="shared" si="1"/>
        <v>Size issue----</v>
      </c>
    </row>
    <row r="240">
      <c r="A240" s="8">
        <f>IFERROR(__xludf.DUMMYFUNCTION("""COMPUTED_VALUE"""),1279.0)</f>
        <v>1279</v>
      </c>
      <c r="B240" s="8">
        <f>IFERROR(__xludf.DUMMYFUNCTION("""COMPUTED_VALUE"""),850.0)</f>
        <v>850</v>
      </c>
      <c r="C240" s="8">
        <f>IFERROR(__xludf.DUMMYFUNCTION("""COMPUTED_VALUE"""),32.0)</f>
        <v>32</v>
      </c>
      <c r="D240" s="8" t="str">
        <f>IFERROR(__xludf.DUMMYFUNCTION("""COMPUTED_VALUE"""),"Awful fit")</f>
        <v>Awful fit</v>
      </c>
      <c r="E240" s="15" t="str">
        <f>IFERROR(__xludf.DUMMYFUNCTION("""COMPUTED_VALUE"""),"Wanted to like this top but it looks terrible and does not lay right. the bust line is not tight enough to contrast the rest of the top being flowy. does not give any shape to the body. do not recommend for anyone with a medium to large chest.")</f>
        <v>Wanted to like this top but it looks terrible and does not lay right. the bust line is not tight enough to contrast the rest of the top being flowy. does not give any shape to the body. do not recommend for anyone with a medium to large chest.</v>
      </c>
      <c r="F240" s="8">
        <f>IFERROR(__xludf.DUMMYFUNCTION("""COMPUTED_VALUE"""),2.0)</f>
        <v>2</v>
      </c>
      <c r="G240" s="8">
        <f>IFERROR(__xludf.DUMMYFUNCTION("""COMPUTED_VALUE"""),0.0)</f>
        <v>0</v>
      </c>
      <c r="H240" s="8">
        <f>IFERROR(__xludf.DUMMYFUNCTION("""COMPUTED_VALUE"""),0.0)</f>
        <v>0</v>
      </c>
      <c r="I240" s="8" t="str">
        <f>IFERROR(__xludf.DUMMYFUNCTION("""COMPUTED_VALUE"""),"General")</f>
        <v>General</v>
      </c>
      <c r="J240" s="8" t="str">
        <f>IFERROR(__xludf.DUMMYFUNCTION("""COMPUTED_VALUE"""),"Tops")</f>
        <v>Tops</v>
      </c>
      <c r="K240" s="8" t="str">
        <f>IFERROR(__xludf.DUMMYFUNCTION("""COMPUTED_VALUE"""),"Blouses")</f>
        <v>Blouses</v>
      </c>
      <c r="L240" s="8" t="str">
        <f t="shared" si="1"/>
        <v>Size issue----</v>
      </c>
    </row>
    <row r="241">
      <c r="A241" s="8">
        <f>IFERROR(__xludf.DUMMYFUNCTION("""COMPUTED_VALUE"""),1288.0)</f>
        <v>1288</v>
      </c>
      <c r="B241" s="8">
        <f>IFERROR(__xludf.DUMMYFUNCTION("""COMPUTED_VALUE"""),850.0)</f>
        <v>850</v>
      </c>
      <c r="C241" s="8">
        <f>IFERROR(__xludf.DUMMYFUNCTION("""COMPUTED_VALUE"""),39.0)</f>
        <v>39</v>
      </c>
      <c r="D241" s="8" t="str">
        <f>IFERROR(__xludf.DUMMYFUNCTION("""COMPUTED_VALUE"""),"Cute, but not on me!")</f>
        <v>Cute, but not on me!</v>
      </c>
      <c r="E241" s="15" t="str">
        <f>IFERROR(__xludf.DUMMYFUNCTION("""COMPUTED_VALUE"""),"I read all the reviews and was hoping that this top would work for me, but it did not. i ordered a size smaller than usual and it was still way too big. it was not flattering at all on my curvy frame. overall, it looked more like a maternity top on me the"&amp;"n anything else! if you're tall and slender, i think this top would work!")</f>
        <v>I read all the reviews and was hoping that this top would work for me, but it did not. i ordered a size smaller than usual and it was still way too big. it was not flattering at all on my curvy frame. overall, it looked more like a maternity top on me then anything else! if you're tall and slender, i think this top would work!</v>
      </c>
      <c r="F241" s="8">
        <f>IFERROR(__xludf.DUMMYFUNCTION("""COMPUTED_VALUE"""),2.0)</f>
        <v>2</v>
      </c>
      <c r="G241" s="8">
        <f>IFERROR(__xludf.DUMMYFUNCTION("""COMPUTED_VALUE"""),0.0)</f>
        <v>0</v>
      </c>
      <c r="H241" s="8">
        <f>IFERROR(__xludf.DUMMYFUNCTION("""COMPUTED_VALUE"""),0.0)</f>
        <v>0</v>
      </c>
      <c r="I241" s="8" t="str">
        <f>IFERROR(__xludf.DUMMYFUNCTION("""COMPUTED_VALUE"""),"General")</f>
        <v>General</v>
      </c>
      <c r="J241" s="8" t="str">
        <f>IFERROR(__xludf.DUMMYFUNCTION("""COMPUTED_VALUE"""),"Tops")</f>
        <v>Tops</v>
      </c>
      <c r="K241" s="8" t="str">
        <f>IFERROR(__xludf.DUMMYFUNCTION("""COMPUTED_VALUE"""),"Blouses")</f>
        <v>Blouses</v>
      </c>
      <c r="L241" s="8" t="str">
        <f t="shared" si="1"/>
        <v>Size issue----</v>
      </c>
    </row>
    <row r="242">
      <c r="A242" s="8">
        <f>IFERROR(__xludf.DUMMYFUNCTION("""COMPUTED_VALUE"""),1300.0)</f>
        <v>1300</v>
      </c>
      <c r="B242" s="8">
        <f>IFERROR(__xludf.DUMMYFUNCTION("""COMPUTED_VALUE"""),850.0)</f>
        <v>850</v>
      </c>
      <c r="C242" s="8">
        <f>IFERROR(__xludf.DUMMYFUNCTION("""COMPUTED_VALUE"""),65.0)</f>
        <v>65</v>
      </c>
      <c r="D242" s="8" t="str">
        <f>IFERROR(__xludf.DUMMYFUNCTION("""COMPUTED_VALUE"""),"Wanted to love")</f>
        <v>Wanted to love</v>
      </c>
      <c r="E242" s="15" t="str">
        <f>IFERROR(__xludf.DUMMYFUNCTION("""COMPUTED_VALUE"""),"I bought two, one in white and one in blue print and wore the blue print top once and loved it. then i washed it according to the instructions on the tag (in cold gentle cycle and hung to dry). it shrunk up 4"" in the length and 2"" in the width and now i"&amp;"t doesn't fit at all. also, after one wear, the buttons are coming off (before i even put it in the wash) and it's covered in loose threads. the quality is just not there. i'm going to return both and show the sales lady the difference in size on")</f>
        <v>I bought two, one in white and one in blue print and wore the blue print top once and loved it. then i washed it according to the instructions on the tag (in cold gentle cycle and hung to dry). it shrunk up 4" in the length and 2" in the width and now it doesn't fit at all. also, after one wear, the buttons are coming off (before i even put it in the wash) and it's covered in loose threads. the quality is just not there. i'm going to return both and show the sales lady the difference in size on</v>
      </c>
      <c r="F242" s="8">
        <f>IFERROR(__xludf.DUMMYFUNCTION("""COMPUTED_VALUE"""),2.0)</f>
        <v>2</v>
      </c>
      <c r="G242" s="8">
        <f>IFERROR(__xludf.DUMMYFUNCTION("""COMPUTED_VALUE"""),0.0)</f>
        <v>0</v>
      </c>
      <c r="H242" s="8">
        <f>IFERROR(__xludf.DUMMYFUNCTION("""COMPUTED_VALUE"""),1.0)</f>
        <v>1</v>
      </c>
      <c r="I242" s="8" t="str">
        <f>IFERROR(__xludf.DUMMYFUNCTION("""COMPUTED_VALUE"""),"General")</f>
        <v>General</v>
      </c>
      <c r="J242" s="8" t="str">
        <f>IFERROR(__xludf.DUMMYFUNCTION("""COMPUTED_VALUE"""),"Tops")</f>
        <v>Tops</v>
      </c>
      <c r="K242" s="8" t="str">
        <f>IFERROR(__xludf.DUMMYFUNCTION("""COMPUTED_VALUE"""),"Blouses")</f>
        <v>Blouses</v>
      </c>
      <c r="L242" s="8" t="str">
        <f t="shared" si="1"/>
        <v>Size issue--Style issue--</v>
      </c>
    </row>
    <row r="243">
      <c r="A243" s="8">
        <f>IFERROR(__xludf.DUMMYFUNCTION("""COMPUTED_VALUE"""),1303.0)</f>
        <v>1303</v>
      </c>
      <c r="B243" s="8">
        <f>IFERROR(__xludf.DUMMYFUNCTION("""COMPUTED_VALUE"""),1095.0)</f>
        <v>1095</v>
      </c>
      <c r="C243" s="8">
        <f>IFERROR(__xludf.DUMMYFUNCTION("""COMPUTED_VALUE"""),38.0)</f>
        <v>38</v>
      </c>
      <c r="D243" s="8" t="str">
        <f>IFERROR(__xludf.DUMMYFUNCTION("""COMPUTED_VALUE"""),"Sad sack")</f>
        <v>Sad sack</v>
      </c>
      <c r="E243" s="15" t="str">
        <f>IFERROR(__xludf.DUMMYFUNCTION("""COMPUTED_VALUE"""),"....that's what i look like wearing this dress. a sad, sad, sack. the fabric is less than ideal, and there is no shape to speak of. i love that it has pockets but that's about it. there was just way too much fabric for a petite person. this dress has got "&amp;"to be good on someone, sadly that person was not me.")</f>
        <v>....that's what i look like wearing this dress. a sad, sad, sack. the fabric is less than ideal, and there is no shape to speak of. i love that it has pockets but that's about it. there was just way too much fabric for a petite person. this dress has got to be good on someone, sadly that person was not me.</v>
      </c>
      <c r="F243" s="8">
        <f>IFERROR(__xludf.DUMMYFUNCTION("""COMPUTED_VALUE"""),2.0)</f>
        <v>2</v>
      </c>
      <c r="G243" s="8">
        <f>IFERROR(__xludf.DUMMYFUNCTION("""COMPUTED_VALUE"""),0.0)</f>
        <v>0</v>
      </c>
      <c r="H243" s="8">
        <f>IFERROR(__xludf.DUMMYFUNCTION("""COMPUTED_VALUE"""),0.0)</f>
        <v>0</v>
      </c>
      <c r="I243" s="8" t="str">
        <f>IFERROR(__xludf.DUMMYFUNCTION("""COMPUTED_VALUE"""),"General")</f>
        <v>General</v>
      </c>
      <c r="J243" s="8" t="str">
        <f>IFERROR(__xludf.DUMMYFUNCTION("""COMPUTED_VALUE"""),"Dresses")</f>
        <v>Dresses</v>
      </c>
      <c r="K243" s="8" t="str">
        <f>IFERROR(__xludf.DUMMYFUNCTION("""COMPUTED_VALUE"""),"Dresses")</f>
        <v>Dresses</v>
      </c>
      <c r="L243" s="8" t="str">
        <f t="shared" si="1"/>
        <v>----</v>
      </c>
    </row>
    <row r="244">
      <c r="A244" s="8">
        <f>IFERROR(__xludf.DUMMYFUNCTION("""COMPUTED_VALUE"""),1306.0)</f>
        <v>1306</v>
      </c>
      <c r="B244" s="8">
        <f>IFERROR(__xludf.DUMMYFUNCTION("""COMPUTED_VALUE"""),850.0)</f>
        <v>850</v>
      </c>
      <c r="C244" s="8">
        <f>IFERROR(__xludf.DUMMYFUNCTION("""COMPUTED_VALUE"""),48.0)</f>
        <v>48</v>
      </c>
      <c r="D244" s="8" t="str">
        <f>IFERROR(__xludf.DUMMYFUNCTION("""COMPUTED_VALUE"""),"Fits like maternity")</f>
        <v>Fits like maternity</v>
      </c>
      <c r="E244" s="15" t="str">
        <f>IFERROR(__xludf.DUMMYFUNCTION("""COMPUTED_VALUE"""),"I wanted to love this, was so excited when i ordered it online. the fabric (blue and white) was beautiful, but the cut was bad. it fit me like a maternity top, and made me look like i was 6 months along. i have a feeling that the models had theirs pinned "&amp;"back, in the back, because it does not lay flat like that in front, it has a lot of fabric with no place to go but up and out. returning.")</f>
        <v>I wanted to love this, was so excited when i ordered it online. the fabric (blue and white) was beautiful, but the cut was bad. it fit me like a maternity top, and made me look like i was 6 months along. i have a feeling that the models had theirs pinned back, in the back, because it does not lay flat like that in front, it has a lot of fabric with no place to go but up and out. returning.</v>
      </c>
      <c r="F244" s="8">
        <f>IFERROR(__xludf.DUMMYFUNCTION("""COMPUTED_VALUE"""),2.0)</f>
        <v>2</v>
      </c>
      <c r="G244" s="8">
        <f>IFERROR(__xludf.DUMMYFUNCTION("""COMPUTED_VALUE"""),0.0)</f>
        <v>0</v>
      </c>
      <c r="H244" s="8">
        <f>IFERROR(__xludf.DUMMYFUNCTION("""COMPUTED_VALUE"""),0.0)</f>
        <v>0</v>
      </c>
      <c r="I244" s="8" t="str">
        <f>IFERROR(__xludf.DUMMYFUNCTION("""COMPUTED_VALUE"""),"General")</f>
        <v>General</v>
      </c>
      <c r="J244" s="8" t="str">
        <f>IFERROR(__xludf.DUMMYFUNCTION("""COMPUTED_VALUE"""),"Tops")</f>
        <v>Tops</v>
      </c>
      <c r="K244" s="8" t="str">
        <f>IFERROR(__xludf.DUMMYFUNCTION("""COMPUTED_VALUE"""),"Blouses")</f>
        <v>Blouses</v>
      </c>
      <c r="L244" s="8" t="str">
        <f t="shared" si="1"/>
        <v>Size issue-Fabric issue---Matching Awareness issue</v>
      </c>
    </row>
    <row r="245">
      <c r="A245" s="8">
        <f>IFERROR(__xludf.DUMMYFUNCTION("""COMPUTED_VALUE"""),1327.0)</f>
        <v>1327</v>
      </c>
      <c r="B245" s="8">
        <f>IFERROR(__xludf.DUMMYFUNCTION("""COMPUTED_VALUE"""),1080.0)</f>
        <v>1080</v>
      </c>
      <c r="C245" s="8">
        <f>IFERROR(__xludf.DUMMYFUNCTION("""COMPUTED_VALUE"""),49.0)</f>
        <v>49</v>
      </c>
      <c r="D245" s="8" t="str">
        <f>IFERROR(__xludf.DUMMYFUNCTION("""COMPUTED_VALUE"""),"Beautiful fabric / odd fit")</f>
        <v>Beautiful fabric / odd fit</v>
      </c>
      <c r="E245" s="15" t="str">
        <f>IFERROR(__xludf.DUMMYFUNCTION("""COMPUTED_VALUE"""),"Really wanted to love dress but something was off with fit. fabric is lovely and zipper detail nice unfortunately style was not for me.")</f>
        <v>Really wanted to love dress but something was off with fit. fabric is lovely and zipper detail nice unfortunately style was not for me.</v>
      </c>
      <c r="F245" s="8">
        <f>IFERROR(__xludf.DUMMYFUNCTION("""COMPUTED_VALUE"""),3.0)</f>
        <v>3</v>
      </c>
      <c r="G245" s="8">
        <f>IFERROR(__xludf.DUMMYFUNCTION("""COMPUTED_VALUE"""),0.0)</f>
        <v>0</v>
      </c>
      <c r="H245" s="8">
        <f>IFERROR(__xludf.DUMMYFUNCTION("""COMPUTED_VALUE"""),1.0)</f>
        <v>1</v>
      </c>
      <c r="I245" s="8" t="str">
        <f>IFERROR(__xludf.DUMMYFUNCTION("""COMPUTED_VALUE"""),"General")</f>
        <v>General</v>
      </c>
      <c r="J245" s="8" t="str">
        <f>IFERROR(__xludf.DUMMYFUNCTION("""COMPUTED_VALUE"""),"Dresses")</f>
        <v>Dresses</v>
      </c>
      <c r="K245" s="8" t="str">
        <f>IFERROR(__xludf.DUMMYFUNCTION("""COMPUTED_VALUE"""),"Dresses")</f>
        <v>Dresses</v>
      </c>
      <c r="L245" s="8" t="str">
        <f t="shared" si="1"/>
        <v>----</v>
      </c>
    </row>
    <row r="246">
      <c r="A246" s="8">
        <f>IFERROR(__xludf.DUMMYFUNCTION("""COMPUTED_VALUE"""),1331.0)</f>
        <v>1331</v>
      </c>
      <c r="B246" s="8">
        <f>IFERROR(__xludf.DUMMYFUNCTION("""COMPUTED_VALUE"""),836.0)</f>
        <v>836</v>
      </c>
      <c r="C246" s="8">
        <f>IFERROR(__xludf.DUMMYFUNCTION("""COMPUTED_VALUE"""),48.0)</f>
        <v>48</v>
      </c>
      <c r="D246" s="8" t="str">
        <f>IFERROR(__xludf.DUMMYFUNCTION("""COMPUTED_VALUE"""),"Wanted to love it")</f>
        <v>Wanted to love it</v>
      </c>
      <c r="E246" s="15" t="str">
        <f>IFERROR(__xludf.DUMMYFUNCTION("""COMPUTED_VALUE"""),"An absolutely gorgeous, but poorly fitting blouse. the bottom part is way too billowy and inconsistent with the fitted top half. got it on sale and still returned it.")</f>
        <v>An absolutely gorgeous, but poorly fitting blouse. the bottom part is way too billowy and inconsistent with the fitted top half. got it on sale and still returned it.</v>
      </c>
      <c r="F246" s="8">
        <f>IFERROR(__xludf.DUMMYFUNCTION("""COMPUTED_VALUE"""),2.0)</f>
        <v>2</v>
      </c>
      <c r="G246" s="8">
        <f>IFERROR(__xludf.DUMMYFUNCTION("""COMPUTED_VALUE"""),0.0)</f>
        <v>0</v>
      </c>
      <c r="H246" s="8">
        <f>IFERROR(__xludf.DUMMYFUNCTION("""COMPUTED_VALUE"""),0.0)</f>
        <v>0</v>
      </c>
      <c r="I246" s="8" t="str">
        <f>IFERROR(__xludf.DUMMYFUNCTION("""COMPUTED_VALUE"""),"General")</f>
        <v>General</v>
      </c>
      <c r="J246" s="8" t="str">
        <f>IFERROR(__xludf.DUMMYFUNCTION("""COMPUTED_VALUE"""),"Tops")</f>
        <v>Tops</v>
      </c>
      <c r="K246" s="8" t="str">
        <f>IFERROR(__xludf.DUMMYFUNCTION("""COMPUTED_VALUE"""),"Blouses")</f>
        <v>Blouses</v>
      </c>
      <c r="L246" s="8" t="str">
        <f t="shared" si="1"/>
        <v>----</v>
      </c>
    </row>
    <row r="247">
      <c r="A247" s="8">
        <f>IFERROR(__xludf.DUMMYFUNCTION("""COMPUTED_VALUE"""),1333.0)</f>
        <v>1333</v>
      </c>
      <c r="B247" s="8">
        <f>IFERROR(__xludf.DUMMYFUNCTION("""COMPUTED_VALUE"""),836.0)</f>
        <v>836</v>
      </c>
      <c r="C247" s="8">
        <f>IFERROR(__xludf.DUMMYFUNCTION("""COMPUTED_VALUE"""),25.0)</f>
        <v>25</v>
      </c>
      <c r="D247" s="8" t="str">
        <f>IFERROR(__xludf.DUMMYFUNCTION("""COMPUTED_VALUE"""),"Cute shirt, but not for me")</f>
        <v>Cute shirt, but not for me</v>
      </c>
      <c r="E247" s="15" t="str">
        <f>IFERROR(__xludf.DUMMYFUNCTION("""COMPUTED_VALUE"""),"The blue lace with the white top underneath is very pretty. unfortunately i did not like how billowy it was below the bra line.")</f>
        <v>The blue lace with the white top underneath is very pretty. unfortunately i did not like how billowy it was below the bra line.</v>
      </c>
      <c r="F247" s="8">
        <f>IFERROR(__xludf.DUMMYFUNCTION("""COMPUTED_VALUE"""),5.0)</f>
        <v>5</v>
      </c>
      <c r="G247" s="8">
        <f>IFERROR(__xludf.DUMMYFUNCTION("""COMPUTED_VALUE"""),0.0)</f>
        <v>0</v>
      </c>
      <c r="H247" s="8">
        <f>IFERROR(__xludf.DUMMYFUNCTION("""COMPUTED_VALUE"""),0.0)</f>
        <v>0</v>
      </c>
      <c r="I247" s="8" t="str">
        <f>IFERROR(__xludf.DUMMYFUNCTION("""COMPUTED_VALUE"""),"General")</f>
        <v>General</v>
      </c>
      <c r="J247" s="8" t="str">
        <f>IFERROR(__xludf.DUMMYFUNCTION("""COMPUTED_VALUE"""),"Tops")</f>
        <v>Tops</v>
      </c>
      <c r="K247" s="8" t="str">
        <f>IFERROR(__xludf.DUMMYFUNCTION("""COMPUTED_VALUE"""),"Blouses")</f>
        <v>Blouses</v>
      </c>
      <c r="L247" s="8" t="str">
        <f t="shared" si="1"/>
        <v>----</v>
      </c>
    </row>
    <row r="248">
      <c r="A248" s="8">
        <f>IFERROR(__xludf.DUMMYFUNCTION("""COMPUTED_VALUE"""),1334.0)</f>
        <v>1334</v>
      </c>
      <c r="B248" s="8">
        <f>IFERROR(__xludf.DUMMYFUNCTION("""COMPUTED_VALUE"""),836.0)</f>
        <v>836</v>
      </c>
      <c r="C248" s="8">
        <f>IFERROR(__xludf.DUMMYFUNCTION("""COMPUTED_VALUE"""),31.0)</f>
        <v>31</v>
      </c>
      <c r="D248" s="8" t="str">
        <f>IFERROR(__xludf.DUMMYFUNCTION("""COMPUTED_VALUE"""),"Not as pictured")</f>
        <v>Not as pictured</v>
      </c>
      <c r="E248" s="15" t="str">
        <f>IFERROR(__xludf.DUMMYFUNCTION("""COMPUTED_VALUE"""),"It is definitely pinned back on the model in the photograph. it made my 5 foot frame look short and wide.")</f>
        <v>It is definitely pinned back on the model in the photograph. it made my 5 foot frame look short and wide.</v>
      </c>
      <c r="F248" s="8">
        <f>IFERROR(__xludf.DUMMYFUNCTION("""COMPUTED_VALUE"""),2.0)</f>
        <v>2</v>
      </c>
      <c r="G248" s="8">
        <f>IFERROR(__xludf.DUMMYFUNCTION("""COMPUTED_VALUE"""),0.0)</f>
        <v>0</v>
      </c>
      <c r="H248" s="8">
        <f>IFERROR(__xludf.DUMMYFUNCTION("""COMPUTED_VALUE"""),6.0)</f>
        <v>6</v>
      </c>
      <c r="I248" s="8" t="str">
        <f>IFERROR(__xludf.DUMMYFUNCTION("""COMPUTED_VALUE"""),"General")</f>
        <v>General</v>
      </c>
      <c r="J248" s="8" t="str">
        <f>IFERROR(__xludf.DUMMYFUNCTION("""COMPUTED_VALUE"""),"Tops")</f>
        <v>Tops</v>
      </c>
      <c r="K248" s="8" t="str">
        <f>IFERROR(__xludf.DUMMYFUNCTION("""COMPUTED_VALUE"""),"Blouses")</f>
        <v>Blouses</v>
      </c>
      <c r="L248" s="8" t="str">
        <f t="shared" si="1"/>
        <v>Size issue----Matching Awareness issue</v>
      </c>
    </row>
    <row r="249">
      <c r="A249" s="8">
        <f>IFERROR(__xludf.DUMMYFUNCTION("""COMPUTED_VALUE"""),1335.0)</f>
        <v>1335</v>
      </c>
      <c r="B249" s="8">
        <f>IFERROR(__xludf.DUMMYFUNCTION("""COMPUTED_VALUE"""),1003.0)</f>
        <v>1003</v>
      </c>
      <c r="C249" s="8">
        <f>IFERROR(__xludf.DUMMYFUNCTION("""COMPUTED_VALUE"""),23.0)</f>
        <v>23</v>
      </c>
      <c r="D249" s="8" t="str">
        <f>IFERROR(__xludf.DUMMYFUNCTION("""COMPUTED_VALUE"""),"Not black")</f>
        <v>Not black</v>
      </c>
      <c r="E249" s="15" t="str">
        <f>IFERROR(__xludf.DUMMYFUNCTION("""COMPUTED_VALUE"""),"For reference i am 5'5' 138 lbs with an hourglass figure and my usual small fit perfectly. the problems: 1. this skirt is not black but a charcoal gray/purple. 2. the sipper is reinforces with a stiff boarder on the inside so no matter where i put the wai"&amp;"st it sticks straight out making me look like i have a tail under my skirt. in other words, i had a very pointy butt. also the slit or tulip part of the skirt goes all the way up to the waist, it needed to be tacked to the other part of the skir")</f>
        <v>For reference i am 5'5' 138 lbs with an hourglass figure and my usual small fit perfectly. the problems: 1. this skirt is not black but a charcoal gray/purple. 2. the sipper is reinforces with a stiff boarder on the inside so no matter where i put the waist it sticks straight out making me look like i have a tail under my skirt. in other words, i had a very pointy butt. also the slit or tulip part of the skirt goes all the way up to the waist, it needed to be tacked to the other part of the skir</v>
      </c>
      <c r="F249" s="8">
        <f>IFERROR(__xludf.DUMMYFUNCTION("""COMPUTED_VALUE"""),2.0)</f>
        <v>2</v>
      </c>
      <c r="G249" s="8">
        <f>IFERROR(__xludf.DUMMYFUNCTION("""COMPUTED_VALUE"""),0.0)</f>
        <v>0</v>
      </c>
      <c r="H249" s="8">
        <f>IFERROR(__xludf.DUMMYFUNCTION("""COMPUTED_VALUE"""),2.0)</f>
        <v>2</v>
      </c>
      <c r="I249" s="8" t="str">
        <f>IFERROR(__xludf.DUMMYFUNCTION("""COMPUTED_VALUE"""),"General")</f>
        <v>General</v>
      </c>
      <c r="J249" s="8" t="str">
        <f>IFERROR(__xludf.DUMMYFUNCTION("""COMPUTED_VALUE"""),"Bottoms")</f>
        <v>Bottoms</v>
      </c>
      <c r="K249" s="8" t="str">
        <f>IFERROR(__xludf.DUMMYFUNCTION("""COMPUTED_VALUE"""),"Skirts")</f>
        <v>Skirts</v>
      </c>
      <c r="L249" s="8" t="str">
        <f t="shared" si="1"/>
        <v>Size issue----</v>
      </c>
    </row>
    <row r="250">
      <c r="A250" s="8">
        <f>IFERROR(__xludf.DUMMYFUNCTION("""COMPUTED_VALUE"""),1339.0)</f>
        <v>1339</v>
      </c>
      <c r="B250" s="8">
        <f>IFERROR(__xludf.DUMMYFUNCTION("""COMPUTED_VALUE"""),1022.0)</f>
        <v>1022</v>
      </c>
      <c r="C250" s="8">
        <f>IFERROR(__xludf.DUMMYFUNCTION("""COMPUTED_VALUE"""),40.0)</f>
        <v>40</v>
      </c>
      <c r="D250" s="8" t="str">
        <f>IFERROR(__xludf.DUMMYFUNCTION("""COMPUTED_VALUE"""),"Not the same")</f>
        <v>Not the same</v>
      </c>
      <c r="E250" s="15" t="str">
        <f>IFERROR(__xludf.DUMMYFUNCTION("""COMPUTED_VALUE"""),"I've been buying stevie ankles for years from retailer and been very happy. the past two pairs i bought had a heavy chemical smell, which i imagine is some kind of starch/chemical to keep the denim stiff. with the first pair, after enough washes to get ri"&amp;"d of the bad smell (4), they lost all form and looked terrible since they were washed i couldn't return them. the 2nd pair arrived with the same heavy smell and i returned them. it may be they are made elsewhere now, but it's disappointing.")</f>
        <v>I've been buying stevie ankles for years from retailer and been very happy. the past two pairs i bought had a heavy chemical smell, which i imagine is some kind of starch/chemical to keep the denim stiff. with the first pair, after enough washes to get rid of the bad smell (4), they lost all form and looked terrible since they were washed i couldn't return them. the 2nd pair arrived with the same heavy smell and i returned them. it may be they are made elsewhere now, but it's disappointing.</v>
      </c>
      <c r="F250" s="8">
        <f>IFERROR(__xludf.DUMMYFUNCTION("""COMPUTED_VALUE"""),1.0)</f>
        <v>1</v>
      </c>
      <c r="G250" s="8">
        <f>IFERROR(__xludf.DUMMYFUNCTION("""COMPUTED_VALUE"""),0.0)</f>
        <v>0</v>
      </c>
      <c r="H250" s="8">
        <f>IFERROR(__xludf.DUMMYFUNCTION("""COMPUTED_VALUE"""),0.0)</f>
        <v>0</v>
      </c>
      <c r="I250" s="8" t="str">
        <f>IFERROR(__xludf.DUMMYFUNCTION("""COMPUTED_VALUE"""),"General")</f>
        <v>General</v>
      </c>
      <c r="J250" s="8" t="str">
        <f>IFERROR(__xludf.DUMMYFUNCTION("""COMPUTED_VALUE"""),"Bottoms")</f>
        <v>Bottoms</v>
      </c>
      <c r="K250" s="8" t="str">
        <f>IFERROR(__xludf.DUMMYFUNCTION("""COMPUTED_VALUE"""),"Jeans")</f>
        <v>Jeans</v>
      </c>
      <c r="L250" s="8" t="str">
        <f t="shared" si="1"/>
        <v>-Fabric issue---</v>
      </c>
    </row>
    <row r="251">
      <c r="A251" s="8">
        <f>IFERROR(__xludf.DUMMYFUNCTION("""COMPUTED_VALUE"""),1341.0)</f>
        <v>1341</v>
      </c>
      <c r="B251" s="8">
        <f>IFERROR(__xludf.DUMMYFUNCTION("""COMPUTED_VALUE"""),1098.0)</f>
        <v>1098</v>
      </c>
      <c r="C251" s="8">
        <f>IFERROR(__xludf.DUMMYFUNCTION("""COMPUTED_VALUE"""),37.0)</f>
        <v>37</v>
      </c>
      <c r="D251" s="8" t="str">
        <f>IFERROR(__xludf.DUMMYFUNCTION("""COMPUTED_VALUE"""),"Disappointed")</f>
        <v>Disappointed</v>
      </c>
      <c r="E251" s="15" t="str">
        <f>IFERROR(__xludf.DUMMYFUNCTION("""COMPUTED_VALUE"""),"I'm so incredibly disappointed. the dress is beautiful but the one i received is torn and has multiple strands of beads missing. poor quality control.")</f>
        <v>I'm so incredibly disappointed. the dress is beautiful but the one i received is torn and has multiple strands of beads missing. poor quality control.</v>
      </c>
      <c r="F251" s="8">
        <f>IFERROR(__xludf.DUMMYFUNCTION("""COMPUTED_VALUE"""),1.0)</f>
        <v>1</v>
      </c>
      <c r="G251" s="8">
        <f>IFERROR(__xludf.DUMMYFUNCTION("""COMPUTED_VALUE"""),0.0)</f>
        <v>0</v>
      </c>
      <c r="H251" s="8">
        <f>IFERROR(__xludf.DUMMYFUNCTION("""COMPUTED_VALUE"""),0.0)</f>
        <v>0</v>
      </c>
      <c r="I251" s="8" t="str">
        <f>IFERROR(__xludf.DUMMYFUNCTION("""COMPUTED_VALUE"""),"General")</f>
        <v>General</v>
      </c>
      <c r="J251" s="8" t="str">
        <f>IFERROR(__xludf.DUMMYFUNCTION("""COMPUTED_VALUE"""),"Dresses")</f>
        <v>Dresses</v>
      </c>
      <c r="K251" s="8" t="str">
        <f>IFERROR(__xludf.DUMMYFUNCTION("""COMPUTED_VALUE"""),"Dresses")</f>
        <v>Dresses</v>
      </c>
      <c r="L251" s="8" t="str">
        <f t="shared" si="1"/>
        <v>----</v>
      </c>
    </row>
    <row r="252">
      <c r="A252" s="8">
        <f>IFERROR(__xludf.DUMMYFUNCTION("""COMPUTED_VALUE"""),1347.0)</f>
        <v>1347</v>
      </c>
      <c r="B252" s="8">
        <f>IFERROR(__xludf.DUMMYFUNCTION("""COMPUTED_VALUE"""),946.0)</f>
        <v>946</v>
      </c>
      <c r="C252" s="8">
        <f>IFERROR(__xludf.DUMMYFUNCTION("""COMPUTED_VALUE"""),48.0)</f>
        <v>48</v>
      </c>
      <c r="D252" s="8" t="str">
        <f>IFERROR(__xludf.DUMMYFUNCTION("""COMPUTED_VALUE"""),"Not what i wanted")</f>
        <v>Not what i wanted</v>
      </c>
      <c r="E252" s="15" t="str">
        <f>IFERROR(__xludf.DUMMYFUNCTION("""COMPUTED_VALUE"""),"I am reasonably petite, but i like sweaters very oversized and large, so i ordered this sweater in a large. i was very disappointed when the sweater came because while the sleeves and upper chest area were in large, the length of the sweater did not at al"&amp;"l increase when the size did. because the lower part of the sweater did not increase in size, the sweater ended up looking very awkward, with the chest and sleeves very large and long but then a very tight and short (waist-length) stomach. i do")</f>
        <v>I am reasonably petite, but i like sweaters very oversized and large, so i ordered this sweater in a large. i was very disappointed when the sweater came because while the sleeves and upper chest area were in large, the length of the sweater did not at all increase when the size did. because the lower part of the sweater did not increase in size, the sweater ended up looking very awkward, with the chest and sleeves very large and long but then a very tight and short (waist-length) stomach. i do</v>
      </c>
      <c r="F252" s="8">
        <f>IFERROR(__xludf.DUMMYFUNCTION("""COMPUTED_VALUE"""),2.0)</f>
        <v>2</v>
      </c>
      <c r="G252" s="8">
        <f>IFERROR(__xludf.DUMMYFUNCTION("""COMPUTED_VALUE"""),0.0)</f>
        <v>0</v>
      </c>
      <c r="H252" s="8">
        <f>IFERROR(__xludf.DUMMYFUNCTION("""COMPUTED_VALUE"""),0.0)</f>
        <v>0</v>
      </c>
      <c r="I252" s="8" t="str">
        <f>IFERROR(__xludf.DUMMYFUNCTION("""COMPUTED_VALUE"""),"General")</f>
        <v>General</v>
      </c>
      <c r="J252" s="8" t="str">
        <f>IFERROR(__xludf.DUMMYFUNCTION("""COMPUTED_VALUE"""),"Tops")</f>
        <v>Tops</v>
      </c>
      <c r="K252" s="8" t="str">
        <f>IFERROR(__xludf.DUMMYFUNCTION("""COMPUTED_VALUE"""),"Sweaters")</f>
        <v>Sweaters</v>
      </c>
      <c r="L252" s="8" t="str">
        <f t="shared" si="1"/>
        <v>Size issue----</v>
      </c>
    </row>
    <row r="253">
      <c r="A253" s="8">
        <f>IFERROR(__xludf.DUMMYFUNCTION("""COMPUTED_VALUE"""),1348.0)</f>
        <v>1348</v>
      </c>
      <c r="B253" s="8">
        <f>IFERROR(__xludf.DUMMYFUNCTION("""COMPUTED_VALUE"""),1098.0)</f>
        <v>1098</v>
      </c>
      <c r="C253" s="8">
        <f>IFERROR(__xludf.DUMMYFUNCTION("""COMPUTED_VALUE"""),25.0)</f>
        <v>25</v>
      </c>
      <c r="D253" s="8" t="str">
        <f>IFERROR(__xludf.DUMMYFUNCTION("""COMPUTED_VALUE"""),"Weird boobs")</f>
        <v>Weird boobs</v>
      </c>
      <c r="E253" s="15" t="str">
        <f>IFERROR(__xludf.DUMMYFUNCTION("""COMPUTED_VALUE"""),"I wanted to love this dress, and thought it would be perfect for a barn wedding i have coming up. it was allllllmost right but sadly fell short. the bib that hangs over the bust hits in a really unflattering mid point that makes you look wide. nipple tass"&amp;"els effect. plus i would feel the urge to keep pulling it down. did notice some of the puckering others mentioned but didn't bother me, however, the way the lining and the dress line up at the bottom did. so close, so sad")</f>
        <v>I wanted to love this dress, and thought it would be perfect for a barn wedding i have coming up. it was allllllmost right but sadly fell short. the bib that hangs over the bust hits in a really unflattering mid point that makes you look wide. nipple tassels effect. plus i would feel the urge to keep pulling it down. did notice some of the puckering others mentioned but didn't bother me, however, the way the lining and the dress line up at the bottom did. so close, so sad</v>
      </c>
      <c r="F253" s="8">
        <f>IFERROR(__xludf.DUMMYFUNCTION("""COMPUTED_VALUE"""),3.0)</f>
        <v>3</v>
      </c>
      <c r="G253" s="8">
        <f>IFERROR(__xludf.DUMMYFUNCTION("""COMPUTED_VALUE"""),0.0)</f>
        <v>0</v>
      </c>
      <c r="H253" s="8">
        <f>IFERROR(__xludf.DUMMYFUNCTION("""COMPUTED_VALUE"""),1.0)</f>
        <v>1</v>
      </c>
      <c r="I253" s="8" t="str">
        <f>IFERROR(__xludf.DUMMYFUNCTION("""COMPUTED_VALUE"""),"General")</f>
        <v>General</v>
      </c>
      <c r="J253" s="8" t="str">
        <f>IFERROR(__xludf.DUMMYFUNCTION("""COMPUTED_VALUE"""),"Dresses")</f>
        <v>Dresses</v>
      </c>
      <c r="K253" s="8" t="str">
        <f>IFERROR(__xludf.DUMMYFUNCTION("""COMPUTED_VALUE"""),"Dresses")</f>
        <v>Dresses</v>
      </c>
      <c r="L253" s="8" t="str">
        <f t="shared" si="1"/>
        <v>Size issue----</v>
      </c>
    </row>
    <row r="254">
      <c r="A254" s="8">
        <f>IFERROR(__xludf.DUMMYFUNCTION("""COMPUTED_VALUE"""),1349.0)</f>
        <v>1349</v>
      </c>
      <c r="B254" s="8">
        <f>IFERROR(__xludf.DUMMYFUNCTION("""COMPUTED_VALUE"""),867.0)</f>
        <v>867</v>
      </c>
      <c r="C254" s="8">
        <f>IFERROR(__xludf.DUMMYFUNCTION("""COMPUTED_VALUE"""),28.0)</f>
        <v>28</v>
      </c>
      <c r="D254" s="8" t="str">
        <f>IFERROR(__xludf.DUMMYFUNCTION("""COMPUTED_VALUE"""),"Nothing special")</f>
        <v>Nothing special</v>
      </c>
      <c r="E254" s="15" t="str">
        <f>IFERROR(__xludf.DUMMYFUNCTION("""COMPUTED_VALUE"""),"I ordered the grey/yellow ""here comes the sun"" shirt. it's cute, but it runs quite large and isn't special enough for the price. meh.")</f>
        <v>I ordered the grey/yellow "here comes the sun" shirt. it's cute, but it runs quite large and isn't special enough for the price. meh.</v>
      </c>
      <c r="F254" s="8">
        <f>IFERROR(__xludf.DUMMYFUNCTION("""COMPUTED_VALUE"""),4.0)</f>
        <v>4</v>
      </c>
      <c r="G254" s="8">
        <f>IFERROR(__xludf.DUMMYFUNCTION("""COMPUTED_VALUE"""),0.0)</f>
        <v>0</v>
      </c>
      <c r="H254" s="8">
        <f>IFERROR(__xludf.DUMMYFUNCTION("""COMPUTED_VALUE"""),3.0)</f>
        <v>3</v>
      </c>
      <c r="I254" s="8" t="str">
        <f>IFERROR(__xludf.DUMMYFUNCTION("""COMPUTED_VALUE"""),"General")</f>
        <v>General</v>
      </c>
      <c r="J254" s="8" t="str">
        <f>IFERROR(__xludf.DUMMYFUNCTION("""COMPUTED_VALUE"""),"Tops")</f>
        <v>Tops</v>
      </c>
      <c r="K254" s="8" t="str">
        <f>IFERROR(__xludf.DUMMYFUNCTION("""COMPUTED_VALUE"""),"Knits")</f>
        <v>Knits</v>
      </c>
      <c r="L254" s="8" t="str">
        <f t="shared" si="1"/>
        <v>Size issue----</v>
      </c>
    </row>
    <row r="255">
      <c r="A255" s="8">
        <f>IFERROR(__xludf.DUMMYFUNCTION("""COMPUTED_VALUE"""),1351.0)</f>
        <v>1351</v>
      </c>
      <c r="B255" s="8">
        <f>IFERROR(__xludf.DUMMYFUNCTION("""COMPUTED_VALUE"""),860.0)</f>
        <v>860</v>
      </c>
      <c r="C255" s="8">
        <f>IFERROR(__xludf.DUMMYFUNCTION("""COMPUTED_VALUE"""),46.0)</f>
        <v>46</v>
      </c>
      <c r="D255" s="8" t="str">
        <f>IFERROR(__xludf.DUMMYFUNCTION("""COMPUTED_VALUE"""),"Wish it was longer length")</f>
        <v>Wish it was longer length</v>
      </c>
      <c r="E255" s="15" t="str">
        <f>IFERROR(__xludf.DUMMYFUNCTION("""COMPUTED_VALUE"""),"I ordered the light pink version in size xl. the details of the top and the shade of pink are pretty. but, the shirt fits me much shorter than on the model. i'm not quite 5 ft. 6 inches so it should have worked. the material is thin so i was able to stret"&amp;"ch it out to give more length. it does look stretched-out now though. i washed it and it shrank a bit so i stretched it again. this is a top that i kept to wear under vests. the pretty colors and the softness of the material make it worth keepin")</f>
        <v>I ordered the light pink version in size xl. the details of the top and the shade of pink are pretty. but, the shirt fits me much shorter than on the model. i'm not quite 5 ft. 6 inches so it should have worked. the material is thin so i was able to stretch it out to give more length. it does look stretched-out now though. i washed it and it shrank a bit so i stretched it again. this is a top that i kept to wear under vests. the pretty colors and the softness of the material make it worth keepin</v>
      </c>
      <c r="F255" s="8">
        <f>IFERROR(__xludf.DUMMYFUNCTION("""COMPUTED_VALUE"""),3.0)</f>
        <v>3</v>
      </c>
      <c r="G255" s="8">
        <f>IFERROR(__xludf.DUMMYFUNCTION("""COMPUTED_VALUE"""),0.0)</f>
        <v>0</v>
      </c>
      <c r="H255" s="8">
        <f>IFERROR(__xludf.DUMMYFUNCTION("""COMPUTED_VALUE"""),0.0)</f>
        <v>0</v>
      </c>
      <c r="I255" s="8" t="str">
        <f>IFERROR(__xludf.DUMMYFUNCTION("""COMPUTED_VALUE"""),"General")</f>
        <v>General</v>
      </c>
      <c r="J255" s="8" t="str">
        <f>IFERROR(__xludf.DUMMYFUNCTION("""COMPUTED_VALUE"""),"Tops")</f>
        <v>Tops</v>
      </c>
      <c r="K255" s="8" t="str">
        <f>IFERROR(__xludf.DUMMYFUNCTION("""COMPUTED_VALUE"""),"Knits")</f>
        <v>Knits</v>
      </c>
      <c r="L255" s="8" t="str">
        <f t="shared" si="1"/>
        <v>Size issue-Fabric issue---Matching Awareness issue</v>
      </c>
    </row>
    <row r="256">
      <c r="A256" s="8">
        <f>IFERROR(__xludf.DUMMYFUNCTION("""COMPUTED_VALUE"""),1353.0)</f>
        <v>1353</v>
      </c>
      <c r="B256" s="8">
        <f>IFERROR(__xludf.DUMMYFUNCTION("""COMPUTED_VALUE"""),1098.0)</f>
        <v>1098</v>
      </c>
      <c r="C256" s="8">
        <f>IFERROR(__xludf.DUMMYFUNCTION("""COMPUTED_VALUE"""),61.0)</f>
        <v>61</v>
      </c>
      <c r="D256" s="8" t="str">
        <f>IFERROR(__xludf.DUMMYFUNCTION("""COMPUTED_VALUE"""),"Looks like a babydoll dress")</f>
        <v>Looks like a babydoll dress</v>
      </c>
      <c r="E256" s="15" t="str">
        <f>IFERROR(__xludf.DUMMYFUNCTION("""COMPUTED_VALUE"""),"I wanted to love this dress as it would have been perfect for a wedding i have in october however, the fit was awful;. the dress was heavy with a funky liner. it also had these little black straps around the top of the arm/neck that looked out of place. i"&amp;"t ran true to size but i have a large chest (32dd) and it was pretty fitted around the area but loose everywhere else. 
sadly, dress had to be returned.")</f>
        <v>I wanted to love this dress as it would have been perfect for a wedding i have in october however, the fit was awful;. the dress was heavy with a funky liner. it also had these little black straps around the top of the arm/neck that looked out of place. it ran true to size but i have a large chest (32dd) and it was pretty fitted around the area but loose everywhere else. 
sadly, dress had to be returned.</v>
      </c>
      <c r="F256" s="8">
        <f>IFERROR(__xludf.DUMMYFUNCTION("""COMPUTED_VALUE"""),3.0)</f>
        <v>3</v>
      </c>
      <c r="G256" s="8">
        <f>IFERROR(__xludf.DUMMYFUNCTION("""COMPUTED_VALUE"""),0.0)</f>
        <v>0</v>
      </c>
      <c r="H256" s="8">
        <f>IFERROR(__xludf.DUMMYFUNCTION("""COMPUTED_VALUE"""),0.0)</f>
        <v>0</v>
      </c>
      <c r="I256" s="8" t="str">
        <f>IFERROR(__xludf.DUMMYFUNCTION("""COMPUTED_VALUE"""),"General")</f>
        <v>General</v>
      </c>
      <c r="J256" s="8" t="str">
        <f>IFERROR(__xludf.DUMMYFUNCTION("""COMPUTED_VALUE"""),"Dresses")</f>
        <v>Dresses</v>
      </c>
      <c r="K256" s="8" t="str">
        <f>IFERROR(__xludf.DUMMYFUNCTION("""COMPUTED_VALUE"""),"Dresses")</f>
        <v>Dresses</v>
      </c>
      <c r="L256" s="8" t="str">
        <f t="shared" si="1"/>
        <v>Size issue--Style issue--</v>
      </c>
    </row>
    <row r="257">
      <c r="A257" s="8">
        <f>IFERROR(__xludf.DUMMYFUNCTION("""COMPUTED_VALUE"""),1356.0)</f>
        <v>1356</v>
      </c>
      <c r="B257" s="8">
        <f>IFERROR(__xludf.DUMMYFUNCTION("""COMPUTED_VALUE"""),850.0)</f>
        <v>850</v>
      </c>
      <c r="C257" s="8">
        <f>IFERROR(__xludf.DUMMYFUNCTION("""COMPUTED_VALUE"""),40.0)</f>
        <v>40</v>
      </c>
      <c r="D257" s="8" t="str">
        <f>IFERROR(__xludf.DUMMYFUNCTION("""COMPUTED_VALUE"""),"Love the way it looks, but couldn't keep it")</f>
        <v>Love the way it looks, but couldn't keep it</v>
      </c>
      <c r="E257" s="15" t="str">
        <f>IFERROR(__xludf.DUMMYFUNCTION("""COMPUTED_VALUE"""),"I ordered this blouse online bc i couldn't find it in my local stores once it was on sale. the fabric is so delicate. the cutouts had already frayed and in some places torn. had to return it.")</f>
        <v>I ordered this blouse online bc i couldn't find it in my local stores once it was on sale. the fabric is so delicate. the cutouts had already frayed and in some places torn. had to return it.</v>
      </c>
      <c r="F257" s="8">
        <f>IFERROR(__xludf.DUMMYFUNCTION("""COMPUTED_VALUE"""),2.0)</f>
        <v>2</v>
      </c>
      <c r="G257" s="8">
        <f>IFERROR(__xludf.DUMMYFUNCTION("""COMPUTED_VALUE"""),0.0)</f>
        <v>0</v>
      </c>
      <c r="H257" s="8">
        <f>IFERROR(__xludf.DUMMYFUNCTION("""COMPUTED_VALUE"""),0.0)</f>
        <v>0</v>
      </c>
      <c r="I257" s="8" t="str">
        <f>IFERROR(__xludf.DUMMYFUNCTION("""COMPUTED_VALUE"""),"General")</f>
        <v>General</v>
      </c>
      <c r="J257" s="8" t="str">
        <f>IFERROR(__xludf.DUMMYFUNCTION("""COMPUTED_VALUE"""),"Tops")</f>
        <v>Tops</v>
      </c>
      <c r="K257" s="8" t="str">
        <f>IFERROR(__xludf.DUMMYFUNCTION("""COMPUTED_VALUE"""),"Blouses")</f>
        <v>Blouses</v>
      </c>
      <c r="L257" s="8" t="str">
        <f t="shared" si="1"/>
        <v>----</v>
      </c>
    </row>
    <row r="258">
      <c r="A258" s="8">
        <f>IFERROR(__xludf.DUMMYFUNCTION("""COMPUTED_VALUE"""),1358.0)</f>
        <v>1358</v>
      </c>
      <c r="B258" s="8">
        <f>IFERROR(__xludf.DUMMYFUNCTION("""COMPUTED_VALUE"""),850.0)</f>
        <v>850</v>
      </c>
      <c r="C258" s="8">
        <f>IFERROR(__xludf.DUMMYFUNCTION("""COMPUTED_VALUE"""),33.0)</f>
        <v>33</v>
      </c>
      <c r="D258" s="8"/>
      <c r="E258" s="15" t="str">
        <f>IFERROR(__xludf.DUMMYFUNCTION("""COMPUTED_VALUE"""),"Very disappointed. the cutouts started to rip the first time i wore it. i've only worn it twice and i love it but the cut outs are embarrassing.")</f>
        <v>Very disappointed. the cutouts started to rip the first time i wore it. i've only worn it twice and i love it but the cut outs are embarrassing.</v>
      </c>
      <c r="F258" s="8">
        <f>IFERROR(__xludf.DUMMYFUNCTION("""COMPUTED_VALUE"""),1.0)</f>
        <v>1</v>
      </c>
      <c r="G258" s="8">
        <f>IFERROR(__xludf.DUMMYFUNCTION("""COMPUTED_VALUE"""),0.0)</f>
        <v>0</v>
      </c>
      <c r="H258" s="8">
        <f>IFERROR(__xludf.DUMMYFUNCTION("""COMPUTED_VALUE"""),0.0)</f>
        <v>0</v>
      </c>
      <c r="I258" s="8" t="str">
        <f>IFERROR(__xludf.DUMMYFUNCTION("""COMPUTED_VALUE"""),"General")</f>
        <v>General</v>
      </c>
      <c r="J258" s="8" t="str">
        <f>IFERROR(__xludf.DUMMYFUNCTION("""COMPUTED_VALUE"""),"Tops")</f>
        <v>Tops</v>
      </c>
      <c r="K258" s="8" t="str">
        <f>IFERROR(__xludf.DUMMYFUNCTION("""COMPUTED_VALUE"""),"Blouses")</f>
        <v>Blouses</v>
      </c>
      <c r="L258" s="8" t="str">
        <f t="shared" si="1"/>
        <v>----</v>
      </c>
    </row>
    <row r="259">
      <c r="A259" s="8">
        <f>IFERROR(__xludf.DUMMYFUNCTION("""COMPUTED_VALUE"""),1359.0)</f>
        <v>1359</v>
      </c>
      <c r="B259" s="8">
        <f>IFERROR(__xludf.DUMMYFUNCTION("""COMPUTED_VALUE"""),895.0)</f>
        <v>895</v>
      </c>
      <c r="C259" s="8">
        <f>IFERROR(__xludf.DUMMYFUNCTION("""COMPUTED_VALUE"""),32.0)</f>
        <v>32</v>
      </c>
      <c r="D259" s="8" t="str">
        <f>IFERROR(__xludf.DUMMYFUNCTION("""COMPUTED_VALUE"""),"Not what i expected")</f>
        <v>Not what i expected</v>
      </c>
      <c r="E259" s="15" t="str">
        <f>IFERROR(__xludf.DUMMYFUNCTION("""COMPUTED_VALUE"""),"Huge bummer. this top is definitely a crop/midi-top. plus, it's cream, not white like shown in the photos. i'm returning it today.")</f>
        <v>Huge bummer. this top is definitely a crop/midi-top. plus, it's cream, not white like shown in the photos. i'm returning it today.</v>
      </c>
      <c r="F259" s="8">
        <f>IFERROR(__xludf.DUMMYFUNCTION("""COMPUTED_VALUE"""),2.0)</f>
        <v>2</v>
      </c>
      <c r="G259" s="8">
        <f>IFERROR(__xludf.DUMMYFUNCTION("""COMPUTED_VALUE"""),0.0)</f>
        <v>0</v>
      </c>
      <c r="H259" s="8">
        <f>IFERROR(__xludf.DUMMYFUNCTION("""COMPUTED_VALUE"""),4.0)</f>
        <v>4</v>
      </c>
      <c r="I259" s="8" t="str">
        <f>IFERROR(__xludf.DUMMYFUNCTION("""COMPUTED_VALUE"""),"General Petite")</f>
        <v>General Petite</v>
      </c>
      <c r="J259" s="8" t="str">
        <f>IFERROR(__xludf.DUMMYFUNCTION("""COMPUTED_VALUE"""),"Tops")</f>
        <v>Tops</v>
      </c>
      <c r="K259" s="8" t="str">
        <f>IFERROR(__xludf.DUMMYFUNCTION("""COMPUTED_VALUE"""),"Fine gauge")</f>
        <v>Fine gauge</v>
      </c>
      <c r="L259" s="8" t="str">
        <f t="shared" si="1"/>
        <v>----</v>
      </c>
    </row>
    <row r="260">
      <c r="A260" s="8">
        <f>IFERROR(__xludf.DUMMYFUNCTION("""COMPUTED_VALUE"""),1361.0)</f>
        <v>1361</v>
      </c>
      <c r="B260" s="8">
        <f>IFERROR(__xludf.DUMMYFUNCTION("""COMPUTED_VALUE"""),1098.0)</f>
        <v>1098</v>
      </c>
      <c r="C260" s="8">
        <f>IFERROR(__xludf.DUMMYFUNCTION("""COMPUTED_VALUE"""),69.0)</f>
        <v>69</v>
      </c>
      <c r="D260" s="8"/>
      <c r="E260" s="15" t="str">
        <f>IFERROR(__xludf.DUMMYFUNCTION("""COMPUTED_VALUE"""),"I was so excited to get this dress. i need it for a wedding, and i thought i had hit the jackpot. the dress arrived with a small tear. the seams are puckered and badly seen.  for an almost $300.00 dress, the quality is terrible. i expect better from retai"&amp;"ler. i'm so disappointed.")</f>
        <v>I was so excited to get this dress. i need it for a wedding, and i thought i had hit the jackpot. the dress arrived with a small tear. the seams are puckered and badly seen.  for an almost $300.00 dress, the quality is terrible. i expect better from retailer. i'm so disappointed.</v>
      </c>
      <c r="F260" s="8">
        <f>IFERROR(__xludf.DUMMYFUNCTION("""COMPUTED_VALUE"""),2.0)</f>
        <v>2</v>
      </c>
      <c r="G260" s="8">
        <f>IFERROR(__xludf.DUMMYFUNCTION("""COMPUTED_VALUE"""),0.0)</f>
        <v>0</v>
      </c>
      <c r="H260" s="8">
        <f>IFERROR(__xludf.DUMMYFUNCTION("""COMPUTED_VALUE"""),7.0)</f>
        <v>7</v>
      </c>
      <c r="I260" s="8" t="str">
        <f>IFERROR(__xludf.DUMMYFUNCTION("""COMPUTED_VALUE"""),"General")</f>
        <v>General</v>
      </c>
      <c r="J260" s="8" t="str">
        <f>IFERROR(__xludf.DUMMYFUNCTION("""COMPUTED_VALUE"""),"Dresses")</f>
        <v>Dresses</v>
      </c>
      <c r="K260" s="8" t="str">
        <f>IFERROR(__xludf.DUMMYFUNCTION("""COMPUTED_VALUE"""),"Dresses")</f>
        <v>Dresses</v>
      </c>
      <c r="L260" s="8" t="str">
        <f t="shared" si="1"/>
        <v>Size issue----</v>
      </c>
    </row>
    <row r="261">
      <c r="A261" s="8">
        <f>IFERROR(__xludf.DUMMYFUNCTION("""COMPUTED_VALUE"""),1362.0)</f>
        <v>1362</v>
      </c>
      <c r="B261" s="8">
        <f>IFERROR(__xludf.DUMMYFUNCTION("""COMPUTED_VALUE"""),825.0)</f>
        <v>825</v>
      </c>
      <c r="C261" s="8">
        <f>IFERROR(__xludf.DUMMYFUNCTION("""COMPUTED_VALUE"""),48.0)</f>
        <v>48</v>
      </c>
      <c r="D261" s="8" t="str">
        <f>IFERROR(__xludf.DUMMYFUNCTION("""COMPUTED_VALUE"""),"Odd cut")</f>
        <v>Odd cut</v>
      </c>
      <c r="E261" s="15" t="str">
        <f>IFERROR(__xludf.DUMMYFUNCTION("""COMPUTED_VALUE"""),"This is a very pretty shirt which is too narrow across the back. i need to be able to move my arms freely at work, so this did not work for me. you may be able to size up for a better fit if moving your arms is important to you.")</f>
        <v>This is a very pretty shirt which is too narrow across the back. i need to be able to move my arms freely at work, so this did not work for me. you may be able to size up for a better fit if moving your arms is important to you.</v>
      </c>
      <c r="F261" s="8">
        <f>IFERROR(__xludf.DUMMYFUNCTION("""COMPUTED_VALUE"""),3.0)</f>
        <v>3</v>
      </c>
      <c r="G261" s="8">
        <f>IFERROR(__xludf.DUMMYFUNCTION("""COMPUTED_VALUE"""),0.0)</f>
        <v>0</v>
      </c>
      <c r="H261" s="8">
        <f>IFERROR(__xludf.DUMMYFUNCTION("""COMPUTED_VALUE"""),1.0)</f>
        <v>1</v>
      </c>
      <c r="I261" s="8" t="str">
        <f>IFERROR(__xludf.DUMMYFUNCTION("""COMPUTED_VALUE"""),"General")</f>
        <v>General</v>
      </c>
      <c r="J261" s="8" t="str">
        <f>IFERROR(__xludf.DUMMYFUNCTION("""COMPUTED_VALUE"""),"Tops")</f>
        <v>Tops</v>
      </c>
      <c r="K261" s="8" t="str">
        <f>IFERROR(__xludf.DUMMYFUNCTION("""COMPUTED_VALUE"""),"Blouses")</f>
        <v>Blouses</v>
      </c>
      <c r="L261" s="8" t="str">
        <f t="shared" si="1"/>
        <v>Size issue-Fabric issue---</v>
      </c>
    </row>
    <row r="262">
      <c r="A262" s="8">
        <f>IFERROR(__xludf.DUMMYFUNCTION("""COMPUTED_VALUE"""),1367.0)</f>
        <v>1367</v>
      </c>
      <c r="B262" s="8">
        <f>IFERROR(__xludf.DUMMYFUNCTION("""COMPUTED_VALUE"""),860.0)</f>
        <v>860</v>
      </c>
      <c r="C262" s="8">
        <f>IFERROR(__xludf.DUMMYFUNCTION("""COMPUTED_VALUE"""),40.0)</f>
        <v>40</v>
      </c>
      <c r="D262" s="8" t="str">
        <f>IFERROR(__xludf.DUMMYFUNCTION("""COMPUTED_VALUE"""),"Odd, boxy fit")</f>
        <v>Odd, boxy fit</v>
      </c>
      <c r="E262" s="15" t="str">
        <f>IFERROR(__xludf.DUMMYFUNCTION("""COMPUTED_VALUE"""),"I purchased this shirt in grey. i loved the color and the details, especially the lace on the shoulders. i just found the fit to be off for me. the style certainly calls for a relaxed fit but the small was loose in an unflattering way. had the xs been ava"&amp;"ilable i might have considered exchanging for an xs but the s was already a bit short on me. (strange because although i am not petite, i am fairly short wasted.) i also wasn't in love with the neckline. i will continue my search for a weekend-w")</f>
        <v>I purchased this shirt in grey. i loved the color and the details, especially the lace on the shoulders. i just found the fit to be off for me. the style certainly calls for a relaxed fit but the small was loose in an unflattering way. had the xs been available i might have considered exchanging for an xs but the s was already a bit short on me. (strange because although i am not petite, i am fairly short wasted.) i also wasn't in love with the neckline. i will continue my search for a weekend-w</v>
      </c>
      <c r="F262" s="8">
        <f>IFERROR(__xludf.DUMMYFUNCTION("""COMPUTED_VALUE"""),3.0)</f>
        <v>3</v>
      </c>
      <c r="G262" s="8">
        <f>IFERROR(__xludf.DUMMYFUNCTION("""COMPUTED_VALUE"""),0.0)</f>
        <v>0</v>
      </c>
      <c r="H262" s="8">
        <f>IFERROR(__xludf.DUMMYFUNCTION("""COMPUTED_VALUE"""),0.0)</f>
        <v>0</v>
      </c>
      <c r="I262" s="8" t="str">
        <f>IFERROR(__xludf.DUMMYFUNCTION("""COMPUTED_VALUE"""),"General")</f>
        <v>General</v>
      </c>
      <c r="J262" s="8" t="str">
        <f>IFERROR(__xludf.DUMMYFUNCTION("""COMPUTED_VALUE"""),"Tops")</f>
        <v>Tops</v>
      </c>
      <c r="K262" s="8" t="str">
        <f>IFERROR(__xludf.DUMMYFUNCTION("""COMPUTED_VALUE"""),"Knits")</f>
        <v>Knits</v>
      </c>
      <c r="L262" s="8" t="str">
        <f t="shared" si="1"/>
        <v>Size issue--Style issue--</v>
      </c>
    </row>
    <row r="263">
      <c r="A263" s="8">
        <f>IFERROR(__xludf.DUMMYFUNCTION("""COMPUTED_VALUE"""),1369.0)</f>
        <v>1369</v>
      </c>
      <c r="B263" s="8">
        <f>IFERROR(__xludf.DUMMYFUNCTION("""COMPUTED_VALUE"""),860.0)</f>
        <v>860</v>
      </c>
      <c r="C263" s="8">
        <f>IFERROR(__xludf.DUMMYFUNCTION("""COMPUTED_VALUE"""),40.0)</f>
        <v>40</v>
      </c>
      <c r="D263" s="8" t="str">
        <f>IFERROR(__xludf.DUMMYFUNCTION("""COMPUTED_VALUE"""),"Unflattering")</f>
        <v>Unflattering</v>
      </c>
      <c r="E263" s="15" t="str">
        <f>IFERROR(__xludf.DUMMYFUNCTION("""COMPUTED_VALUE"""),"It's short and wide. not a good combo for anyone who isn't stick thin.")</f>
        <v>It's short and wide. not a good combo for anyone who isn't stick thin.</v>
      </c>
      <c r="F263" s="8">
        <f>IFERROR(__xludf.DUMMYFUNCTION("""COMPUTED_VALUE"""),1.0)</f>
        <v>1</v>
      </c>
      <c r="G263" s="8">
        <f>IFERROR(__xludf.DUMMYFUNCTION("""COMPUTED_VALUE"""),0.0)</f>
        <v>0</v>
      </c>
      <c r="H263" s="8">
        <f>IFERROR(__xludf.DUMMYFUNCTION("""COMPUTED_VALUE"""),7.0)</f>
        <v>7</v>
      </c>
      <c r="I263" s="8" t="str">
        <f>IFERROR(__xludf.DUMMYFUNCTION("""COMPUTED_VALUE"""),"General")</f>
        <v>General</v>
      </c>
      <c r="J263" s="8" t="str">
        <f>IFERROR(__xludf.DUMMYFUNCTION("""COMPUTED_VALUE"""),"Tops")</f>
        <v>Tops</v>
      </c>
      <c r="K263" s="8" t="str">
        <f>IFERROR(__xludf.DUMMYFUNCTION("""COMPUTED_VALUE"""),"Knits")</f>
        <v>Knits</v>
      </c>
      <c r="L263" s="8" t="str">
        <f t="shared" si="1"/>
        <v>Size issue----</v>
      </c>
    </row>
    <row r="264">
      <c r="A264" s="8">
        <f>IFERROR(__xludf.DUMMYFUNCTION("""COMPUTED_VALUE"""),1370.0)</f>
        <v>1370</v>
      </c>
      <c r="B264" s="8">
        <f>IFERROR(__xludf.DUMMYFUNCTION("""COMPUTED_VALUE"""),946.0)</f>
        <v>946</v>
      </c>
      <c r="C264" s="8">
        <f>IFERROR(__xludf.DUMMYFUNCTION("""COMPUTED_VALUE"""),36.0)</f>
        <v>36</v>
      </c>
      <c r="D264" s="8" t="str">
        <f>IFERROR(__xludf.DUMMYFUNCTION("""COMPUTED_VALUE"""),"Umm what is this")</f>
        <v>Umm what is this</v>
      </c>
      <c r="E264" s="15" t="str">
        <f>IFERROR(__xludf.DUMMYFUNCTION("""COMPUTED_VALUE"""),"I wish i had read all the reviews before purchasing. the sweater looked liked everything i would be interested in online. once i pulled it out of the bag, my first thought was how could retailer send me a used, washed and shrunken sweater. it is nothing l"&amp;"ike the picture. it fits like a midriff top, not exaggerating. i'm 5.6, ordered the m, don't waste your shipping money on this.")</f>
        <v>I wish i had read all the reviews before purchasing. the sweater looked liked everything i would be interested in online. once i pulled it out of the bag, my first thought was how could retailer send me a used, washed and shrunken sweater. it is nothing like the picture. it fits like a midriff top, not exaggerating. i'm 5.6, ordered the m, don't waste your shipping money on this.</v>
      </c>
      <c r="F264" s="8">
        <f>IFERROR(__xludf.DUMMYFUNCTION("""COMPUTED_VALUE"""),1.0)</f>
        <v>1</v>
      </c>
      <c r="G264" s="8">
        <f>IFERROR(__xludf.DUMMYFUNCTION("""COMPUTED_VALUE"""),0.0)</f>
        <v>0</v>
      </c>
      <c r="H264" s="8">
        <f>IFERROR(__xludf.DUMMYFUNCTION("""COMPUTED_VALUE"""),1.0)</f>
        <v>1</v>
      </c>
      <c r="I264" s="8" t="str">
        <f>IFERROR(__xludf.DUMMYFUNCTION("""COMPUTED_VALUE"""),"General")</f>
        <v>General</v>
      </c>
      <c r="J264" s="8" t="str">
        <f>IFERROR(__xludf.DUMMYFUNCTION("""COMPUTED_VALUE"""),"Tops")</f>
        <v>Tops</v>
      </c>
      <c r="K264" s="8" t="str">
        <f>IFERROR(__xludf.DUMMYFUNCTION("""COMPUTED_VALUE"""),"Sweaters")</f>
        <v>Sweaters</v>
      </c>
      <c r="L264" s="8" t="str">
        <f t="shared" si="1"/>
        <v>Size issue----</v>
      </c>
    </row>
    <row r="265">
      <c r="A265" s="8">
        <f>IFERROR(__xludf.DUMMYFUNCTION("""COMPUTED_VALUE"""),1371.0)</f>
        <v>1371</v>
      </c>
      <c r="B265" s="8">
        <f>IFERROR(__xludf.DUMMYFUNCTION("""COMPUTED_VALUE"""),946.0)</f>
        <v>946</v>
      </c>
      <c r="C265" s="8">
        <f>IFERROR(__xludf.DUMMYFUNCTION("""COMPUTED_VALUE"""),48.0)</f>
        <v>48</v>
      </c>
      <c r="D265" s="8"/>
      <c r="E265" s="15" t="str">
        <f>IFERROR(__xludf.DUMMYFUNCTION("""COMPUTED_VALUE"""),"I purchased this sweater in a small . nothing on the web site states it has dolman sleeves! it looked sloppy and made my bust disappear! it went back i hate dolman sleeves.")</f>
        <v>I purchased this sweater in a small . nothing on the web site states it has dolman sleeves! it looked sloppy and made my bust disappear! it went back i hate dolman sleeves.</v>
      </c>
      <c r="F265" s="8">
        <f>IFERROR(__xludf.DUMMYFUNCTION("""COMPUTED_VALUE"""),2.0)</f>
        <v>2</v>
      </c>
      <c r="G265" s="8">
        <f>IFERROR(__xludf.DUMMYFUNCTION("""COMPUTED_VALUE"""),0.0)</f>
        <v>0</v>
      </c>
      <c r="H265" s="8">
        <f>IFERROR(__xludf.DUMMYFUNCTION("""COMPUTED_VALUE"""),1.0)</f>
        <v>1</v>
      </c>
      <c r="I265" s="8" t="str">
        <f>IFERROR(__xludf.DUMMYFUNCTION("""COMPUTED_VALUE"""),"General")</f>
        <v>General</v>
      </c>
      <c r="J265" s="8" t="str">
        <f>IFERROR(__xludf.DUMMYFUNCTION("""COMPUTED_VALUE"""),"Tops")</f>
        <v>Tops</v>
      </c>
      <c r="K265" s="8" t="str">
        <f>IFERROR(__xludf.DUMMYFUNCTION("""COMPUTED_VALUE"""),"Sweaters")</f>
        <v>Sweaters</v>
      </c>
      <c r="L265" s="8" t="str">
        <f t="shared" si="1"/>
        <v>Size issue----</v>
      </c>
    </row>
    <row r="266">
      <c r="A266" s="8">
        <f>IFERROR(__xludf.DUMMYFUNCTION("""COMPUTED_VALUE"""),1373.0)</f>
        <v>1373</v>
      </c>
      <c r="B266" s="8">
        <f>IFERROR(__xludf.DUMMYFUNCTION("""COMPUTED_VALUE"""),850.0)</f>
        <v>850</v>
      </c>
      <c r="C266" s="8">
        <f>IFERROR(__xludf.DUMMYFUNCTION("""COMPUTED_VALUE"""),44.0)</f>
        <v>44</v>
      </c>
      <c r="D266" s="8" t="str">
        <f>IFERROR(__xludf.DUMMYFUNCTION("""COMPUTED_VALUE"""),"Very delicate")</f>
        <v>Very delicate</v>
      </c>
      <c r="E266" s="15" t="str">
        <f>IFERROR(__xludf.DUMMYFUNCTION("""COMPUTED_VALUE"""),"Cute top but started disintegrating after two washes. the delicate cutouts in the top tore apart. i machine washed it in the gentle cycle and didn't use the dryer. disappointed to have to discard the top after just buying it.")</f>
        <v>Cute top but started disintegrating after two washes. the delicate cutouts in the top tore apart. i machine washed it in the gentle cycle and didn't use the dryer. disappointed to have to discard the top after just buying it.</v>
      </c>
      <c r="F266" s="8">
        <f>IFERROR(__xludf.DUMMYFUNCTION("""COMPUTED_VALUE"""),1.0)</f>
        <v>1</v>
      </c>
      <c r="G266" s="8">
        <f>IFERROR(__xludf.DUMMYFUNCTION("""COMPUTED_VALUE"""),0.0)</f>
        <v>0</v>
      </c>
      <c r="H266" s="8">
        <f>IFERROR(__xludf.DUMMYFUNCTION("""COMPUTED_VALUE"""),5.0)</f>
        <v>5</v>
      </c>
      <c r="I266" s="8" t="str">
        <f>IFERROR(__xludf.DUMMYFUNCTION("""COMPUTED_VALUE"""),"General")</f>
        <v>General</v>
      </c>
      <c r="J266" s="8" t="str">
        <f>IFERROR(__xludf.DUMMYFUNCTION("""COMPUTED_VALUE"""),"Tops")</f>
        <v>Tops</v>
      </c>
      <c r="K266" s="8" t="str">
        <f>IFERROR(__xludf.DUMMYFUNCTION("""COMPUTED_VALUE"""),"Blouses")</f>
        <v>Blouses</v>
      </c>
      <c r="L266" s="8" t="str">
        <f t="shared" si="1"/>
        <v>----</v>
      </c>
    </row>
    <row r="267">
      <c r="A267" s="8">
        <f>IFERROR(__xludf.DUMMYFUNCTION("""COMPUTED_VALUE"""),1376.0)</f>
        <v>1376</v>
      </c>
      <c r="B267" s="8">
        <f>IFERROR(__xludf.DUMMYFUNCTION("""COMPUTED_VALUE"""),850.0)</f>
        <v>850</v>
      </c>
      <c r="C267" s="8">
        <f>IFERROR(__xludf.DUMMYFUNCTION("""COMPUTED_VALUE"""),43.0)</f>
        <v>43</v>
      </c>
      <c r="D267" s="8" t="str">
        <f>IFERROR(__xludf.DUMMYFUNCTION("""COMPUTED_VALUE"""),"Too delicate")</f>
        <v>Too delicate</v>
      </c>
      <c r="E267" s="15" t="str">
        <f>IFERROR(__xludf.DUMMYFUNCTION("""COMPUTED_VALUE"""),"I received this as a gift. it is a very pretty top, but the material is sooo delicate that the cutout areas were torn in many spots and where it wasn't torn completely you could see it fraying. the sales associate said they get many returns on this item.")</f>
        <v>I received this as a gift. it is a very pretty top, but the material is sooo delicate that the cutout areas were torn in many spots and where it wasn't torn completely you could see it fraying. the sales associate said they get many returns on this item.</v>
      </c>
      <c r="F267" s="8">
        <f>IFERROR(__xludf.DUMMYFUNCTION("""COMPUTED_VALUE"""),1.0)</f>
        <v>1</v>
      </c>
      <c r="G267" s="8">
        <f>IFERROR(__xludf.DUMMYFUNCTION("""COMPUTED_VALUE"""),0.0)</f>
        <v>0</v>
      </c>
      <c r="H267" s="8">
        <f>IFERROR(__xludf.DUMMYFUNCTION("""COMPUTED_VALUE"""),4.0)</f>
        <v>4</v>
      </c>
      <c r="I267" s="8" t="str">
        <f>IFERROR(__xludf.DUMMYFUNCTION("""COMPUTED_VALUE"""),"General")</f>
        <v>General</v>
      </c>
      <c r="J267" s="8" t="str">
        <f>IFERROR(__xludf.DUMMYFUNCTION("""COMPUTED_VALUE"""),"Tops")</f>
        <v>Tops</v>
      </c>
      <c r="K267" s="8" t="str">
        <f>IFERROR(__xludf.DUMMYFUNCTION("""COMPUTED_VALUE"""),"Blouses")</f>
        <v>Blouses</v>
      </c>
      <c r="L267" s="8" t="str">
        <f t="shared" si="1"/>
        <v>-Fabric issue---</v>
      </c>
    </row>
    <row r="268">
      <c r="A268" s="8">
        <f>IFERROR(__xludf.DUMMYFUNCTION("""COMPUTED_VALUE"""),1381.0)</f>
        <v>1381</v>
      </c>
      <c r="B268" s="8">
        <f>IFERROR(__xludf.DUMMYFUNCTION("""COMPUTED_VALUE"""),946.0)</f>
        <v>946</v>
      </c>
      <c r="C268" s="8">
        <f>IFERROR(__xludf.DUMMYFUNCTION("""COMPUTED_VALUE"""),54.0)</f>
        <v>54</v>
      </c>
      <c r="D268" s="8"/>
      <c r="E268" s="15" t="str">
        <f>IFERROR(__xludf.DUMMYFUNCTION("""COMPUTED_VALUE"""),"Although i love the soft feel of the sweater, the zig zag design was very unflattering. also, the length is much shorter than appears in the picture. i will be returning it.")</f>
        <v>Although i love the soft feel of the sweater, the zig zag design was very unflattering. also, the length is much shorter than appears in the picture. i will be returning it.</v>
      </c>
      <c r="F268" s="8">
        <f>IFERROR(__xludf.DUMMYFUNCTION("""COMPUTED_VALUE"""),2.0)</f>
        <v>2</v>
      </c>
      <c r="G268" s="8">
        <f>IFERROR(__xludf.DUMMYFUNCTION("""COMPUTED_VALUE"""),0.0)</f>
        <v>0</v>
      </c>
      <c r="H268" s="8">
        <f>IFERROR(__xludf.DUMMYFUNCTION("""COMPUTED_VALUE"""),0.0)</f>
        <v>0</v>
      </c>
      <c r="I268" s="8" t="str">
        <f>IFERROR(__xludf.DUMMYFUNCTION("""COMPUTED_VALUE"""),"General")</f>
        <v>General</v>
      </c>
      <c r="J268" s="8" t="str">
        <f>IFERROR(__xludf.DUMMYFUNCTION("""COMPUTED_VALUE"""),"Tops")</f>
        <v>Tops</v>
      </c>
      <c r="K268" s="8" t="str">
        <f>IFERROR(__xludf.DUMMYFUNCTION("""COMPUTED_VALUE"""),"Sweaters")</f>
        <v>Sweaters</v>
      </c>
      <c r="L268" s="8" t="str">
        <f t="shared" si="1"/>
        <v>Size issue--Style issue--</v>
      </c>
    </row>
    <row r="269">
      <c r="A269" s="8">
        <f>IFERROR(__xludf.DUMMYFUNCTION("""COMPUTED_VALUE"""),1390.0)</f>
        <v>1390</v>
      </c>
      <c r="B269" s="8">
        <f>IFERROR(__xludf.DUMMYFUNCTION("""COMPUTED_VALUE"""),1083.0)</f>
        <v>1083</v>
      </c>
      <c r="C269" s="8">
        <f>IFERROR(__xludf.DUMMYFUNCTION("""COMPUTED_VALUE"""),38.0)</f>
        <v>38</v>
      </c>
      <c r="D269" s="8" t="str">
        <f>IFERROR(__xludf.DUMMYFUNCTION("""COMPUTED_VALUE"""),"A poor quality dress")</f>
        <v>A poor quality dress</v>
      </c>
      <c r="E269" s="15" t="str">
        <f>IFERROR(__xludf.DUMMYFUNCTION("""COMPUTED_VALUE"""),"For the price of this dress, i was expecting something decent. the style is cute, but nothing more. however, the type of the polyester that the dress is made of.... oh my. it is a thick unpleasant material, that will cling to a body when it is hot. i neve"&amp;"r came across an item at retailer that was made this cheaply.
the tag on the back was hanging at half and the button on the front was ready to come off before i even tried this dress on.
no need to say - it's going back asap.
you should not sel")</f>
        <v>For the price of this dress, i was expecting something decent. the style is cute, but nothing more. however, the type of the polyester that the dress is made of.... oh my. it is a thick unpleasant material, that will cling to a body when it is hot. i never came across an item at retailer that was made this cheaply.
the tag on the back was hanging at half and the button on the front was ready to come off before i even tried this dress on.
no need to say - it's going back asap.
you should not sel</v>
      </c>
      <c r="F269" s="8">
        <f>IFERROR(__xludf.DUMMYFUNCTION("""COMPUTED_VALUE"""),2.0)</f>
        <v>2</v>
      </c>
      <c r="G269" s="8">
        <f>IFERROR(__xludf.DUMMYFUNCTION("""COMPUTED_VALUE"""),0.0)</f>
        <v>0</v>
      </c>
      <c r="H269" s="8">
        <f>IFERROR(__xludf.DUMMYFUNCTION("""COMPUTED_VALUE"""),4.0)</f>
        <v>4</v>
      </c>
      <c r="I269" s="8" t="str">
        <f>IFERROR(__xludf.DUMMYFUNCTION("""COMPUTED_VALUE"""),"General Petite")</f>
        <v>General Petite</v>
      </c>
      <c r="J269" s="8" t="str">
        <f>IFERROR(__xludf.DUMMYFUNCTION("""COMPUTED_VALUE"""),"Dresses")</f>
        <v>Dresses</v>
      </c>
      <c r="K269" s="8" t="str">
        <f>IFERROR(__xludf.DUMMYFUNCTION("""COMPUTED_VALUE"""),"Dresses")</f>
        <v>Dresses</v>
      </c>
      <c r="L269" s="8" t="str">
        <f t="shared" si="1"/>
        <v>-Fabric issue-Style issue--</v>
      </c>
    </row>
    <row r="270">
      <c r="A270" s="8">
        <f>IFERROR(__xludf.DUMMYFUNCTION("""COMPUTED_VALUE"""),1391.0)</f>
        <v>1391</v>
      </c>
      <c r="B270" s="8">
        <f>IFERROR(__xludf.DUMMYFUNCTION("""COMPUTED_VALUE"""),946.0)</f>
        <v>946</v>
      </c>
      <c r="C270" s="8">
        <f>IFERROR(__xludf.DUMMYFUNCTION("""COMPUTED_VALUE"""),43.0)</f>
        <v>43</v>
      </c>
      <c r="D270" s="8" t="str">
        <f>IFERROR(__xludf.DUMMYFUNCTION("""COMPUTED_VALUE"""),"This sweater is short in length")</f>
        <v>This sweater is short in length</v>
      </c>
      <c r="E270" s="15" t="str">
        <f>IFERROR(__xludf.DUMMYFUNCTION("""COMPUTED_VALUE"""),"I have been wanting this sweater and decided to order. when i received it, there was no tag on the product. it was not in a typical clear bag from retailer and it wasn't packaged nicely. it came from reno, nv. most products i order do not get shipped from"&amp;" there. it is short, and i'm 5'1"". most clothes that are short fit me with no problem. this sweater might hit me at the waist, or maybe shorter. i think the color is nice and the sweater is soft but not what i wanted. i am going to return it")</f>
        <v>I have been wanting this sweater and decided to order. when i received it, there was no tag on the product. it was not in a typical clear bag from retailer and it wasn't packaged nicely. it came from reno, nv. most products i order do not get shipped from there. it is short, and i'm 5'1". most clothes that are short fit me with no problem. this sweater might hit me at the waist, or maybe shorter. i think the color is nice and the sweater is soft but not what i wanted. i am going to return it</v>
      </c>
      <c r="F270" s="8">
        <f>IFERROR(__xludf.DUMMYFUNCTION("""COMPUTED_VALUE"""),3.0)</f>
        <v>3</v>
      </c>
      <c r="G270" s="8">
        <f>IFERROR(__xludf.DUMMYFUNCTION("""COMPUTED_VALUE"""),0.0)</f>
        <v>0</v>
      </c>
      <c r="H270" s="8">
        <f>IFERROR(__xludf.DUMMYFUNCTION("""COMPUTED_VALUE"""),1.0)</f>
        <v>1</v>
      </c>
      <c r="I270" s="8" t="str">
        <f>IFERROR(__xludf.DUMMYFUNCTION("""COMPUTED_VALUE"""),"General")</f>
        <v>General</v>
      </c>
      <c r="J270" s="8" t="str">
        <f>IFERROR(__xludf.DUMMYFUNCTION("""COMPUTED_VALUE"""),"Tops")</f>
        <v>Tops</v>
      </c>
      <c r="K270" s="8" t="str">
        <f>IFERROR(__xludf.DUMMYFUNCTION("""COMPUTED_VALUE"""),"Sweaters")</f>
        <v>Sweaters</v>
      </c>
      <c r="L270" s="8" t="str">
        <f t="shared" si="1"/>
        <v>Size issue----</v>
      </c>
    </row>
    <row r="271">
      <c r="A271" s="8">
        <f>IFERROR(__xludf.DUMMYFUNCTION("""COMPUTED_VALUE"""),1409.0)</f>
        <v>1409</v>
      </c>
      <c r="B271" s="8">
        <f>IFERROR(__xludf.DUMMYFUNCTION("""COMPUTED_VALUE"""),837.0)</f>
        <v>837</v>
      </c>
      <c r="C271" s="8">
        <f>IFERROR(__xludf.DUMMYFUNCTION("""COMPUTED_VALUE"""),67.0)</f>
        <v>67</v>
      </c>
      <c r="D271" s="8" t="str">
        <f>IFERROR(__xludf.DUMMYFUNCTION("""COMPUTED_VALUE"""),"Much cuter in the picture")</f>
        <v>Much cuter in the picture</v>
      </c>
      <c r="E271" s="15" t="str">
        <f>IFERROR(__xludf.DUMMYFUNCTION("""COMPUTED_VALUE"""),"This top runs small across the top. i was amazed at the material--polyester, i am sure--because the price was so high. it has a sheer layer underneath, which i think would make it hot in the summer. i love this kind of tank but it just did not look as goo"&amp;"d as it does online.")</f>
        <v>This top runs small across the top. i was amazed at the material--polyester, i am sure--because the price was so high. it has a sheer layer underneath, which i think would make it hot in the summer. i love this kind of tank but it just did not look as good as it does online.</v>
      </c>
      <c r="F271" s="8">
        <f>IFERROR(__xludf.DUMMYFUNCTION("""COMPUTED_VALUE"""),3.0)</f>
        <v>3</v>
      </c>
      <c r="G271" s="8">
        <f>IFERROR(__xludf.DUMMYFUNCTION("""COMPUTED_VALUE"""),0.0)</f>
        <v>0</v>
      </c>
      <c r="H271" s="8">
        <f>IFERROR(__xludf.DUMMYFUNCTION("""COMPUTED_VALUE"""),6.0)</f>
        <v>6</v>
      </c>
      <c r="I271" s="8" t="str">
        <f>IFERROR(__xludf.DUMMYFUNCTION("""COMPUTED_VALUE"""),"General")</f>
        <v>General</v>
      </c>
      <c r="J271" s="8" t="str">
        <f>IFERROR(__xludf.DUMMYFUNCTION("""COMPUTED_VALUE"""),"Tops")</f>
        <v>Tops</v>
      </c>
      <c r="K271" s="8" t="str">
        <f>IFERROR(__xludf.DUMMYFUNCTION("""COMPUTED_VALUE"""),"Blouses")</f>
        <v>Blouses</v>
      </c>
      <c r="L271" s="8" t="str">
        <f t="shared" si="1"/>
        <v>Size issue-Fabric issue---</v>
      </c>
    </row>
    <row r="272">
      <c r="A272" s="8">
        <f>IFERROR(__xludf.DUMMYFUNCTION("""COMPUTED_VALUE"""),1418.0)</f>
        <v>1418</v>
      </c>
      <c r="B272" s="8">
        <f>IFERROR(__xludf.DUMMYFUNCTION("""COMPUTED_VALUE"""),1081.0)</f>
        <v>1081</v>
      </c>
      <c r="C272" s="8">
        <f>IFERROR(__xludf.DUMMYFUNCTION("""COMPUTED_VALUE"""),46.0)</f>
        <v>46</v>
      </c>
      <c r="D272" s="8" t="str">
        <f>IFERROR(__xludf.DUMMYFUNCTION("""COMPUTED_VALUE"""),"Very messy t-shirt")</f>
        <v>Very messy t-shirt</v>
      </c>
      <c r="E272" s="15" t="str">
        <f>IFERROR(__xludf.DUMMYFUNCTION("""COMPUTED_VALUE"""),"I ordered this in the ""plum"" color, which in real life just looks like a very, very dark brown. that would probably be okay, but the dress is actually about 3 inches shorter than the listed measurements. i ordered the regular length, but the shortest pa"&amp;"rt of the hem hits me only about halfway down my thigh...way, way too short. i am 5'5"", for reference. lastly, i think the fabric is just awful quality, especially for this price point. the slight texture makes it want to cling to itself - worn ou")</f>
        <v>I ordered this in the "plum" color, which in real life just looks like a very, very dark brown. that would probably be okay, but the dress is actually about 3 inches shorter than the listed measurements. i ordered the regular length, but the shortest part of the hem hits me only about halfway down my thigh...way, way too short. i am 5'5", for reference. lastly, i think the fabric is just awful quality, especially for this price point. the slight texture makes it want to cling to itself - worn ou</v>
      </c>
      <c r="F272" s="8">
        <f>IFERROR(__xludf.DUMMYFUNCTION("""COMPUTED_VALUE"""),2.0)</f>
        <v>2</v>
      </c>
      <c r="G272" s="8">
        <f>IFERROR(__xludf.DUMMYFUNCTION("""COMPUTED_VALUE"""),0.0)</f>
        <v>0</v>
      </c>
      <c r="H272" s="8">
        <f>IFERROR(__xludf.DUMMYFUNCTION("""COMPUTED_VALUE"""),0.0)</f>
        <v>0</v>
      </c>
      <c r="I272" s="8" t="str">
        <f>IFERROR(__xludf.DUMMYFUNCTION("""COMPUTED_VALUE"""),"General Petite")</f>
        <v>General Petite</v>
      </c>
      <c r="J272" s="8" t="str">
        <f>IFERROR(__xludf.DUMMYFUNCTION("""COMPUTED_VALUE"""),"Dresses")</f>
        <v>Dresses</v>
      </c>
      <c r="K272" s="8" t="str">
        <f>IFERROR(__xludf.DUMMYFUNCTION("""COMPUTED_VALUE"""),"Dresses")</f>
        <v>Dresses</v>
      </c>
      <c r="L272" s="8" t="str">
        <f t="shared" si="1"/>
        <v>Size issue-Fabric issue--Price issue-</v>
      </c>
    </row>
    <row r="273">
      <c r="A273" s="8">
        <f>IFERROR(__xludf.DUMMYFUNCTION("""COMPUTED_VALUE"""),1419.0)</f>
        <v>1419</v>
      </c>
      <c r="B273" s="8">
        <f>IFERROR(__xludf.DUMMYFUNCTION("""COMPUTED_VALUE"""),837.0)</f>
        <v>837</v>
      </c>
      <c r="C273" s="8">
        <f>IFERROR(__xludf.DUMMYFUNCTION("""COMPUTED_VALUE"""),23.0)</f>
        <v>23</v>
      </c>
      <c r="D273" s="8" t="str">
        <f>IFERROR(__xludf.DUMMYFUNCTION("""COMPUTED_VALUE"""),"Down with drycleaning")</f>
        <v>Down with drycleaning</v>
      </c>
      <c r="E273" s="15" t="str">
        <f>IFERROR(__xludf.DUMMYFUNCTION("""COMPUTED_VALUE"""),"The price is high and i have to dry clean this? no thanks.")</f>
        <v>The price is high and i have to dry clean this? no thanks.</v>
      </c>
      <c r="F273" s="8">
        <f>IFERROR(__xludf.DUMMYFUNCTION("""COMPUTED_VALUE"""),2.0)</f>
        <v>2</v>
      </c>
      <c r="G273" s="8">
        <f>IFERROR(__xludf.DUMMYFUNCTION("""COMPUTED_VALUE"""),0.0)</f>
        <v>0</v>
      </c>
      <c r="H273" s="8">
        <f>IFERROR(__xludf.DUMMYFUNCTION("""COMPUTED_VALUE"""),0.0)</f>
        <v>0</v>
      </c>
      <c r="I273" s="8" t="str">
        <f>IFERROR(__xludf.DUMMYFUNCTION("""COMPUTED_VALUE"""),"General")</f>
        <v>General</v>
      </c>
      <c r="J273" s="8" t="str">
        <f>IFERROR(__xludf.DUMMYFUNCTION("""COMPUTED_VALUE"""),"Tops")</f>
        <v>Tops</v>
      </c>
      <c r="K273" s="8" t="str">
        <f>IFERROR(__xludf.DUMMYFUNCTION("""COMPUTED_VALUE"""),"Blouses")</f>
        <v>Blouses</v>
      </c>
      <c r="L273" s="8" t="str">
        <f t="shared" si="1"/>
        <v>----</v>
      </c>
    </row>
    <row r="274">
      <c r="A274" s="8">
        <f>IFERROR(__xludf.DUMMYFUNCTION("""COMPUTED_VALUE"""),1433.0)</f>
        <v>1433</v>
      </c>
      <c r="B274" s="8">
        <f>IFERROR(__xludf.DUMMYFUNCTION("""COMPUTED_VALUE"""),1094.0)</f>
        <v>1094</v>
      </c>
      <c r="C274" s="8">
        <f>IFERROR(__xludf.DUMMYFUNCTION("""COMPUTED_VALUE"""),26.0)</f>
        <v>26</v>
      </c>
      <c r="D274" s="8" t="str">
        <f>IFERROR(__xludf.DUMMYFUNCTION("""COMPUTED_VALUE"""),"Worst purchase ever")</f>
        <v>Worst purchase ever</v>
      </c>
      <c r="E274" s="15" t="str">
        <f>IFERROR(__xludf.DUMMYFUNCTION("""COMPUTED_VALUE"""),"I'm a big retailer buyer- and usually love the dresses, especially the petite xs maxis. this was the worst retailer purchase i have ever made. 
it was humongous and gave me no shape. even if i purchased an xxsp it probably would be the same. i'm small bu"&amp;"t i mean come on- this would only fit a giantess-- which also makes no sense because it's the petite size. 
do not buy. i'm very upset i have to pay the $5.95 return fee since i ordered this.")</f>
        <v>I'm a big retailer buyer- and usually love the dresses, especially the petite xs maxis. this was the worst retailer purchase i have ever made. 
it was humongous and gave me no shape. even if i purchased an xxsp it probably would be the same. i'm small but i mean come on- this would only fit a giantess-- which also makes no sense because it's the petite size. 
do not buy. i'm very upset i have to pay the $5.95 return fee since i ordered this.</v>
      </c>
      <c r="F274" s="8">
        <f>IFERROR(__xludf.DUMMYFUNCTION("""COMPUTED_VALUE"""),1.0)</f>
        <v>1</v>
      </c>
      <c r="G274" s="8">
        <f>IFERROR(__xludf.DUMMYFUNCTION("""COMPUTED_VALUE"""),0.0)</f>
        <v>0</v>
      </c>
      <c r="H274" s="8">
        <f>IFERROR(__xludf.DUMMYFUNCTION("""COMPUTED_VALUE"""),0.0)</f>
        <v>0</v>
      </c>
      <c r="I274" s="8" t="str">
        <f>IFERROR(__xludf.DUMMYFUNCTION("""COMPUTED_VALUE"""),"General")</f>
        <v>General</v>
      </c>
      <c r="J274" s="8" t="str">
        <f>IFERROR(__xludf.DUMMYFUNCTION("""COMPUTED_VALUE"""),"Dresses")</f>
        <v>Dresses</v>
      </c>
      <c r="K274" s="8" t="str">
        <f>IFERROR(__xludf.DUMMYFUNCTION("""COMPUTED_VALUE"""),"Dresses")</f>
        <v>Dresses</v>
      </c>
      <c r="L274" s="8" t="str">
        <f t="shared" si="1"/>
        <v>Size issue-Fabric issue---</v>
      </c>
    </row>
    <row r="275">
      <c r="A275" s="8">
        <f>IFERROR(__xludf.DUMMYFUNCTION("""COMPUTED_VALUE"""),1434.0)</f>
        <v>1434</v>
      </c>
      <c r="B275" s="8">
        <f>IFERROR(__xludf.DUMMYFUNCTION("""COMPUTED_VALUE"""),1094.0)</f>
        <v>1094</v>
      </c>
      <c r="C275" s="8">
        <f>IFERROR(__xludf.DUMMYFUNCTION("""COMPUTED_VALUE"""),59.0)</f>
        <v>59</v>
      </c>
      <c r="D275" s="8" t="str">
        <f>IFERROR(__xludf.DUMMYFUNCTION("""COMPUTED_VALUE"""),"Not good quality")</f>
        <v>Not good quality</v>
      </c>
      <c r="E275" s="15" t="str">
        <f>IFERROR(__xludf.DUMMYFUNCTION("""COMPUTED_VALUE"""),"The dress is just ok. i cannot imagine having paid full price for this. i got it for florida vacation. i put it on to wear to church first and spilled a drop of lavender oil on it and it stained!!!! cant get it out. thats punk for a dress that even on sal"&amp;"e is like. 
sending back")</f>
        <v>The dress is just ok. i cannot imagine having paid full price for this. i got it for florida vacation. i put it on to wear to church first and spilled a drop of lavender oil on it and it stained!!!! cant get it out. thats punk for a dress that even on sale is like. 
sending back</v>
      </c>
      <c r="F275" s="8">
        <f>IFERROR(__xludf.DUMMYFUNCTION("""COMPUTED_VALUE"""),2.0)</f>
        <v>2</v>
      </c>
      <c r="G275" s="8">
        <f>IFERROR(__xludf.DUMMYFUNCTION("""COMPUTED_VALUE"""),0.0)</f>
        <v>0</v>
      </c>
      <c r="H275" s="8">
        <f>IFERROR(__xludf.DUMMYFUNCTION("""COMPUTED_VALUE"""),2.0)</f>
        <v>2</v>
      </c>
      <c r="I275" s="8" t="str">
        <f>IFERROR(__xludf.DUMMYFUNCTION("""COMPUTED_VALUE"""),"General")</f>
        <v>General</v>
      </c>
      <c r="J275" s="8" t="str">
        <f>IFERROR(__xludf.DUMMYFUNCTION("""COMPUTED_VALUE"""),"Dresses")</f>
        <v>Dresses</v>
      </c>
      <c r="K275" s="8" t="str">
        <f>IFERROR(__xludf.DUMMYFUNCTION("""COMPUTED_VALUE"""),"Dresses")</f>
        <v>Dresses</v>
      </c>
      <c r="L275" s="8" t="str">
        <f t="shared" si="1"/>
        <v>----</v>
      </c>
    </row>
    <row r="276">
      <c r="A276" s="8">
        <f>IFERROR(__xludf.DUMMYFUNCTION("""COMPUTED_VALUE"""),1440.0)</f>
        <v>1440</v>
      </c>
      <c r="B276" s="8">
        <f>IFERROR(__xludf.DUMMYFUNCTION("""COMPUTED_VALUE"""),1087.0)</f>
        <v>1087</v>
      </c>
      <c r="C276" s="8">
        <f>IFERROR(__xludf.DUMMYFUNCTION("""COMPUTED_VALUE"""),31.0)</f>
        <v>31</v>
      </c>
      <c r="D276" s="8" t="str">
        <f>IFERROR(__xludf.DUMMYFUNCTION("""COMPUTED_VALUE"""),"Muumuu")</f>
        <v>Muumuu</v>
      </c>
      <c r="E276" s="15" t="str">
        <f>IFERROR(__xludf.DUMMYFUNCTION("""COMPUTED_VALUE"""),"Looks fitted on, but this just turned out to be an oversized muumuu on. the fabric also felt cheap.")</f>
        <v>Looks fitted on, but this just turned out to be an oversized muumuu on. the fabric also felt cheap.</v>
      </c>
      <c r="F276" s="8">
        <f>IFERROR(__xludf.DUMMYFUNCTION("""COMPUTED_VALUE"""),1.0)</f>
        <v>1</v>
      </c>
      <c r="G276" s="8">
        <f>IFERROR(__xludf.DUMMYFUNCTION("""COMPUTED_VALUE"""),0.0)</f>
        <v>0</v>
      </c>
      <c r="H276" s="8">
        <f>IFERROR(__xludf.DUMMYFUNCTION("""COMPUTED_VALUE"""),0.0)</f>
        <v>0</v>
      </c>
      <c r="I276" s="8" t="str">
        <f>IFERROR(__xludf.DUMMYFUNCTION("""COMPUTED_VALUE"""),"General")</f>
        <v>General</v>
      </c>
      <c r="J276" s="8" t="str">
        <f>IFERROR(__xludf.DUMMYFUNCTION("""COMPUTED_VALUE"""),"Dresses")</f>
        <v>Dresses</v>
      </c>
      <c r="K276" s="8" t="str">
        <f>IFERROR(__xludf.DUMMYFUNCTION("""COMPUTED_VALUE"""),"Dresses")</f>
        <v>Dresses</v>
      </c>
      <c r="L276" s="8" t="str">
        <f t="shared" si="1"/>
        <v>Size issue--Style issue--</v>
      </c>
    </row>
    <row r="277">
      <c r="A277" s="8">
        <f>IFERROR(__xludf.DUMMYFUNCTION("""COMPUTED_VALUE"""),1447.0)</f>
        <v>1447</v>
      </c>
      <c r="B277" s="8">
        <f>IFERROR(__xludf.DUMMYFUNCTION("""COMPUTED_VALUE"""),1094.0)</f>
        <v>1094</v>
      </c>
      <c r="C277" s="8">
        <f>IFERROR(__xludf.DUMMYFUNCTION("""COMPUTED_VALUE"""),37.0)</f>
        <v>37</v>
      </c>
      <c r="D277" s="8" t="str">
        <f>IFERROR(__xludf.DUMMYFUNCTION("""COMPUTED_VALUE"""),"Comfortable and pretty")</f>
        <v>Comfortable and pretty</v>
      </c>
      <c r="E277" s="15" t="str">
        <f>IFERROR(__xludf.DUMMYFUNCTION("""COMPUTED_VALUE"""),"I have mixed feelings about this dress. the color is fantastic. not too bright, not too dark. the material is super soft and comfortable and the length was perfect. i did end up returning this item though as no matter which bra i chose, the straps showed."&amp;" it just was not hitting my right on the shoulders. i do not like having my bra straps show or constantly be trying to tuck them away (especially at a wedding or work?). this is what ultimately led me to return the dress ? even though it is beau")</f>
        <v>I have mixed feelings about this dress. the color is fantastic. not too bright, not too dark. the material is super soft and comfortable and the length was perfect. i did end up returning this item though as no matter which bra i chose, the straps showed. it just was not hitting my right on the shoulders. i do not like having my bra straps show or constantly be trying to tuck them away (especially at a wedding or work?). this is what ultimately led me to return the dress ? even though it is beau</v>
      </c>
      <c r="F277" s="8">
        <f>IFERROR(__xludf.DUMMYFUNCTION("""COMPUTED_VALUE"""),3.0)</f>
        <v>3</v>
      </c>
      <c r="G277" s="8">
        <f>IFERROR(__xludf.DUMMYFUNCTION("""COMPUTED_VALUE"""),0.0)</f>
        <v>0</v>
      </c>
      <c r="H277" s="8">
        <f>IFERROR(__xludf.DUMMYFUNCTION("""COMPUTED_VALUE"""),2.0)</f>
        <v>2</v>
      </c>
      <c r="I277" s="8" t="str">
        <f>IFERROR(__xludf.DUMMYFUNCTION("""COMPUTED_VALUE"""),"General")</f>
        <v>General</v>
      </c>
      <c r="J277" s="8" t="str">
        <f>IFERROR(__xludf.DUMMYFUNCTION("""COMPUTED_VALUE"""),"Dresses")</f>
        <v>Dresses</v>
      </c>
      <c r="K277" s="8" t="str">
        <f>IFERROR(__xludf.DUMMYFUNCTION("""COMPUTED_VALUE"""),"Dresses")</f>
        <v>Dresses</v>
      </c>
      <c r="L277" s="8" t="str">
        <f t="shared" si="1"/>
        <v>-Fabric issue---</v>
      </c>
    </row>
    <row r="278">
      <c r="A278" s="8">
        <f>IFERROR(__xludf.DUMMYFUNCTION("""COMPUTED_VALUE"""),1452.0)</f>
        <v>1452</v>
      </c>
      <c r="B278" s="8">
        <f>IFERROR(__xludf.DUMMYFUNCTION("""COMPUTED_VALUE"""),1175.0)</f>
        <v>1175</v>
      </c>
      <c r="C278" s="8">
        <f>IFERROR(__xludf.DUMMYFUNCTION("""COMPUTED_VALUE"""),30.0)</f>
        <v>30</v>
      </c>
      <c r="D278" s="8" t="str">
        <f>IFERROR(__xludf.DUMMYFUNCTION("""COMPUTED_VALUE"""),"Very cute, runs small")</f>
        <v>Very cute, runs small</v>
      </c>
      <c r="E278" s="15" t="str">
        <f>IFERROR(__xludf.DUMMYFUNCTION("""COMPUTED_VALUE"""),"Despite other reviewers comments on size - i really wanted this one to work so i ordered it. i'm typically a size xs and d chest and instead i ordered a small. the body of the sit for well but the cups of the suit i'd said for more for a b. (if i lifted m"&amp;"y arms i would literally come out of it)")</f>
        <v>Despite other reviewers comments on size - i really wanted this one to work so i ordered it. i'm typically a size xs and d chest and instead i ordered a small. the body of the sit for well but the cups of the suit i'd said for more for a b. (if i lifted my arms i would literally come out of it)</v>
      </c>
      <c r="F278" s="8">
        <f>IFERROR(__xludf.DUMMYFUNCTION("""COMPUTED_VALUE"""),3.0)</f>
        <v>3</v>
      </c>
      <c r="G278" s="8">
        <f>IFERROR(__xludf.DUMMYFUNCTION("""COMPUTED_VALUE"""),0.0)</f>
        <v>0</v>
      </c>
      <c r="H278" s="8">
        <f>IFERROR(__xludf.DUMMYFUNCTION("""COMPUTED_VALUE"""),5.0)</f>
        <v>5</v>
      </c>
      <c r="I278" s="8" t="str">
        <f>IFERROR(__xludf.DUMMYFUNCTION("""COMPUTED_VALUE"""),"Initmates")</f>
        <v>Initmates</v>
      </c>
      <c r="J278" s="8" t="str">
        <f>IFERROR(__xludf.DUMMYFUNCTION("""COMPUTED_VALUE"""),"Intimate")</f>
        <v>Intimate</v>
      </c>
      <c r="K278" s="8" t="str">
        <f>IFERROR(__xludf.DUMMYFUNCTION("""COMPUTED_VALUE"""),"Swim")</f>
        <v>Swim</v>
      </c>
      <c r="L278" s="8" t="str">
        <f t="shared" si="1"/>
        <v>Size issue----</v>
      </c>
    </row>
    <row r="279">
      <c r="A279" s="8">
        <f>IFERROR(__xludf.DUMMYFUNCTION("""COMPUTED_VALUE"""),1455.0)</f>
        <v>1455</v>
      </c>
      <c r="B279" s="8">
        <f>IFERROR(__xludf.DUMMYFUNCTION("""COMPUTED_VALUE"""),829.0)</f>
        <v>829</v>
      </c>
      <c r="C279" s="8">
        <f>IFERROR(__xludf.DUMMYFUNCTION("""COMPUTED_VALUE"""),24.0)</f>
        <v>24</v>
      </c>
      <c r="D279" s="8" t="str">
        <f>IFERROR(__xludf.DUMMYFUNCTION("""COMPUTED_VALUE"""),"Cute shirt but really strange design")</f>
        <v>Cute shirt but really strange design</v>
      </c>
      <c r="E279" s="15" t="str">
        <f>IFERROR(__xludf.DUMMYFUNCTION("""COMPUTED_VALUE"""),"This is a nice shirt, but i can't keep it. i ordered a 0 and i do have an athletic build with somewhat wider shoulders given how petite i am (usually wear 00 petite in all pants) and i think this size was perfect (fit across the back perfectly) when you l"&amp;"ift your arms the way it is cut makes it really tight across the chest and shows your stomach. at the same time, the high low styling makes for a really strange shirt-tail in the back. i'm sure this is the trend but it really does not look cute")</f>
        <v>This is a nice shirt, but i can't keep it. i ordered a 0 and i do have an athletic build with somewhat wider shoulders given how petite i am (usually wear 00 petite in all pants) and i think this size was perfect (fit across the back perfectly) when you lift your arms the way it is cut makes it really tight across the chest and shows your stomach. at the same time, the high low styling makes for a really strange shirt-tail in the back. i'm sure this is the trend but it really does not look cute</v>
      </c>
      <c r="F279" s="8">
        <f>IFERROR(__xludf.DUMMYFUNCTION("""COMPUTED_VALUE"""),2.0)</f>
        <v>2</v>
      </c>
      <c r="G279" s="8">
        <f>IFERROR(__xludf.DUMMYFUNCTION("""COMPUTED_VALUE"""),0.0)</f>
        <v>0</v>
      </c>
      <c r="H279" s="8">
        <f>IFERROR(__xludf.DUMMYFUNCTION("""COMPUTED_VALUE"""),3.0)</f>
        <v>3</v>
      </c>
      <c r="I279" s="8" t="str">
        <f>IFERROR(__xludf.DUMMYFUNCTION("""COMPUTED_VALUE"""),"General Petite")</f>
        <v>General Petite</v>
      </c>
      <c r="J279" s="8" t="str">
        <f>IFERROR(__xludf.DUMMYFUNCTION("""COMPUTED_VALUE"""),"Tops")</f>
        <v>Tops</v>
      </c>
      <c r="K279" s="8" t="str">
        <f>IFERROR(__xludf.DUMMYFUNCTION("""COMPUTED_VALUE"""),"Blouses")</f>
        <v>Blouses</v>
      </c>
      <c r="L279" s="8" t="str">
        <f t="shared" si="1"/>
        <v>Size issue----</v>
      </c>
    </row>
    <row r="280">
      <c r="A280" s="8">
        <f>IFERROR(__xludf.DUMMYFUNCTION("""COMPUTED_VALUE"""),1462.0)</f>
        <v>1462</v>
      </c>
      <c r="B280" s="8">
        <f>IFERROR(__xludf.DUMMYFUNCTION("""COMPUTED_VALUE"""),411.0)</f>
        <v>411</v>
      </c>
      <c r="C280" s="8">
        <f>IFERROR(__xludf.DUMMYFUNCTION("""COMPUTED_VALUE"""),29.0)</f>
        <v>29</v>
      </c>
      <c r="D280" s="8" t="str">
        <f>IFERROR(__xludf.DUMMYFUNCTION("""COMPUTED_VALUE"""),"Runs very small")</f>
        <v>Runs very small</v>
      </c>
      <c r="E280" s="15" t="str">
        <f>IFERROR(__xludf.DUMMYFUNCTION("""COMPUTED_VALUE"""),"This bra runs very small, and is hard to get on and off. i think if i went a size up i would be happier.")</f>
        <v>This bra runs very small, and is hard to get on and off. i think if i went a size up i would be happier.</v>
      </c>
      <c r="F280" s="8">
        <f>IFERROR(__xludf.DUMMYFUNCTION("""COMPUTED_VALUE"""),2.0)</f>
        <v>2</v>
      </c>
      <c r="G280" s="8">
        <f>IFERROR(__xludf.DUMMYFUNCTION("""COMPUTED_VALUE"""),0.0)</f>
        <v>0</v>
      </c>
      <c r="H280" s="8">
        <f>IFERROR(__xludf.DUMMYFUNCTION("""COMPUTED_VALUE"""),0.0)</f>
        <v>0</v>
      </c>
      <c r="I280" s="8" t="str">
        <f>IFERROR(__xludf.DUMMYFUNCTION("""COMPUTED_VALUE"""),"Initmates")</f>
        <v>Initmates</v>
      </c>
      <c r="J280" s="8" t="str">
        <f>IFERROR(__xludf.DUMMYFUNCTION("""COMPUTED_VALUE"""),"Intimate")</f>
        <v>Intimate</v>
      </c>
      <c r="K280" s="8" t="str">
        <f>IFERROR(__xludf.DUMMYFUNCTION("""COMPUTED_VALUE"""),"Intimates")</f>
        <v>Intimates</v>
      </c>
      <c r="L280" s="8" t="str">
        <f t="shared" si="1"/>
        <v>Size issue----</v>
      </c>
    </row>
    <row r="281">
      <c r="A281" s="8">
        <f>IFERROR(__xludf.DUMMYFUNCTION("""COMPUTED_VALUE"""),1464.0)</f>
        <v>1464</v>
      </c>
      <c r="B281" s="8">
        <f>IFERROR(__xludf.DUMMYFUNCTION("""COMPUTED_VALUE"""),411.0)</f>
        <v>411</v>
      </c>
      <c r="C281" s="8">
        <f>IFERROR(__xludf.DUMMYFUNCTION("""COMPUTED_VALUE"""),48.0)</f>
        <v>48</v>
      </c>
      <c r="D281" s="8" t="str">
        <f>IFERROR(__xludf.DUMMYFUNCTION("""COMPUTED_VALUE"""),"Good luck getting it on!")</f>
        <v>Good luck getting it on!</v>
      </c>
      <c r="E281" s="15" t="str">
        <f>IFERROR(__xludf.DUMMYFUNCTION("""COMPUTED_VALUE"""),"You have to be a contortionist to get this bra on. it slips over your head and i needed my 8yo daughter to help me pull it down past my elbows. ridiculously impractical. why oh why didn't heather give it a hook and loop closure instead?")</f>
        <v>You have to be a contortionist to get this bra on. it slips over your head and i needed my 8yo daughter to help me pull it down past my elbows. ridiculously impractical. why oh why didn't heather give it a hook and loop closure instead?</v>
      </c>
      <c r="F281" s="8">
        <f>IFERROR(__xludf.DUMMYFUNCTION("""COMPUTED_VALUE"""),2.0)</f>
        <v>2</v>
      </c>
      <c r="G281" s="8">
        <f>IFERROR(__xludf.DUMMYFUNCTION("""COMPUTED_VALUE"""),0.0)</f>
        <v>0</v>
      </c>
      <c r="H281" s="8">
        <f>IFERROR(__xludf.DUMMYFUNCTION("""COMPUTED_VALUE"""),1.0)</f>
        <v>1</v>
      </c>
      <c r="I281" s="8" t="str">
        <f>IFERROR(__xludf.DUMMYFUNCTION("""COMPUTED_VALUE"""),"Initmates")</f>
        <v>Initmates</v>
      </c>
      <c r="J281" s="8" t="str">
        <f>IFERROR(__xludf.DUMMYFUNCTION("""COMPUTED_VALUE"""),"Intimate")</f>
        <v>Intimate</v>
      </c>
      <c r="K281" s="8" t="str">
        <f>IFERROR(__xludf.DUMMYFUNCTION("""COMPUTED_VALUE"""),"Intimates")</f>
        <v>Intimates</v>
      </c>
      <c r="L281" s="8" t="str">
        <f t="shared" si="1"/>
        <v>----</v>
      </c>
    </row>
    <row r="282">
      <c r="A282" s="8">
        <f>IFERROR(__xludf.DUMMYFUNCTION("""COMPUTED_VALUE"""),1467.0)</f>
        <v>1467</v>
      </c>
      <c r="B282" s="8">
        <f>IFERROR(__xludf.DUMMYFUNCTION("""COMPUTED_VALUE"""),829.0)</f>
        <v>829</v>
      </c>
      <c r="C282" s="8">
        <f>IFERROR(__xludf.DUMMYFUNCTION("""COMPUTED_VALUE"""),38.0)</f>
        <v>38</v>
      </c>
      <c r="D282" s="8" t="str">
        <f>IFERROR(__xludf.DUMMYFUNCTION("""COMPUTED_VALUE"""),"Would love the cut but")</f>
        <v>Would love the cut but</v>
      </c>
      <c r="E282" s="15" t="str">
        <f>IFERROR(__xludf.DUMMYFUNCTION("""COMPUTED_VALUE"""),"This was going to be my go to top. i loved the look of the billowy shirt, especially in light blue. when it arrived, i knew it wouldn't work for my body. i'm athletic build with muscular upper arms and a d cup. i tried it on anyway. i really wish it fit. "&amp;"it was snug in the upper arms and pulled a bit in the front. i knew if i ordered a size up the arms would still be tight. it's just the cut of the shirt. this top is best for someone that isn't busty and has slender upper arms.")</f>
        <v>This was going to be my go to top. i loved the look of the billowy shirt, especially in light blue. when it arrived, i knew it wouldn't work for my body. i'm athletic build with muscular upper arms and a d cup. i tried it on anyway. i really wish it fit. it was snug in the upper arms and pulled a bit in the front. i knew if i ordered a size up the arms would still be tight. it's just the cut of the shirt. this top is best for someone that isn't busty and has slender upper arms.</v>
      </c>
      <c r="F282" s="8">
        <f>IFERROR(__xludf.DUMMYFUNCTION("""COMPUTED_VALUE"""),3.0)</f>
        <v>3</v>
      </c>
      <c r="G282" s="8">
        <f>IFERROR(__xludf.DUMMYFUNCTION("""COMPUTED_VALUE"""),0.0)</f>
        <v>0</v>
      </c>
      <c r="H282" s="8">
        <f>IFERROR(__xludf.DUMMYFUNCTION("""COMPUTED_VALUE"""),17.0)</f>
        <v>17</v>
      </c>
      <c r="I282" s="8" t="str">
        <f>IFERROR(__xludf.DUMMYFUNCTION("""COMPUTED_VALUE"""),"General")</f>
        <v>General</v>
      </c>
      <c r="J282" s="8" t="str">
        <f>IFERROR(__xludf.DUMMYFUNCTION("""COMPUTED_VALUE"""),"Tops")</f>
        <v>Tops</v>
      </c>
      <c r="K282" s="8" t="str">
        <f>IFERROR(__xludf.DUMMYFUNCTION("""COMPUTED_VALUE"""),"Blouses")</f>
        <v>Blouses</v>
      </c>
      <c r="L282" s="8" t="str">
        <f t="shared" si="1"/>
        <v>Size issue----</v>
      </c>
    </row>
    <row r="283">
      <c r="A283" s="8">
        <f>IFERROR(__xludf.DUMMYFUNCTION("""COMPUTED_VALUE"""),1470.0)</f>
        <v>1470</v>
      </c>
      <c r="B283" s="8">
        <f>IFERROR(__xludf.DUMMYFUNCTION("""COMPUTED_VALUE"""),1072.0)</f>
        <v>1072</v>
      </c>
      <c r="C283" s="8">
        <f>IFERROR(__xludf.DUMMYFUNCTION("""COMPUTED_VALUE"""),29.0)</f>
        <v>29</v>
      </c>
      <c r="D283" s="8" t="str">
        <f>IFERROR(__xludf.DUMMYFUNCTION("""COMPUTED_VALUE"""),"Top gapes open")</f>
        <v>Top gapes open</v>
      </c>
      <c r="E283" s="15" t="str">
        <f>IFERROR(__xludf.DUMMYFUNCTION("""COMPUTED_VALUE"""),"I was looking for an oversized silhouette but this is more like a beach cover-up. the waist does not have elastic or any structure. the top fabric is crossed over but not sewn closed, and because the fit is so loose it just gaps open. the fabric is nice q"&amp;"uality but i am returning.")</f>
        <v>I was looking for an oversized silhouette but this is more like a beach cover-up. the waist does not have elastic or any structure. the top fabric is crossed over but not sewn closed, and because the fit is so loose it just gaps open. the fabric is nice quality but i am returning.</v>
      </c>
      <c r="F283" s="8">
        <f>IFERROR(__xludf.DUMMYFUNCTION("""COMPUTED_VALUE"""),2.0)</f>
        <v>2</v>
      </c>
      <c r="G283" s="8">
        <f>IFERROR(__xludf.DUMMYFUNCTION("""COMPUTED_VALUE"""),0.0)</f>
        <v>0</v>
      </c>
      <c r="H283" s="8">
        <f>IFERROR(__xludf.DUMMYFUNCTION("""COMPUTED_VALUE"""),2.0)</f>
        <v>2</v>
      </c>
      <c r="I283" s="8" t="str">
        <f>IFERROR(__xludf.DUMMYFUNCTION("""COMPUTED_VALUE"""),"General")</f>
        <v>General</v>
      </c>
      <c r="J283" s="8" t="str">
        <f>IFERROR(__xludf.DUMMYFUNCTION("""COMPUTED_VALUE"""),"Dresses")</f>
        <v>Dresses</v>
      </c>
      <c r="K283" s="8" t="str">
        <f>IFERROR(__xludf.DUMMYFUNCTION("""COMPUTED_VALUE"""),"Dresses")</f>
        <v>Dresses</v>
      </c>
      <c r="L283" s="8" t="str">
        <f t="shared" si="1"/>
        <v>Size issue--Style issue--</v>
      </c>
    </row>
    <row r="284">
      <c r="A284" s="8">
        <f>IFERROR(__xludf.DUMMYFUNCTION("""COMPUTED_VALUE"""),1471.0)</f>
        <v>1471</v>
      </c>
      <c r="B284" s="8">
        <f>IFERROR(__xludf.DUMMYFUNCTION("""COMPUTED_VALUE"""),993.0)</f>
        <v>993</v>
      </c>
      <c r="C284" s="8">
        <f>IFERROR(__xludf.DUMMYFUNCTION("""COMPUTED_VALUE"""),35.0)</f>
        <v>35</v>
      </c>
      <c r="D284" s="8"/>
      <c r="E284" s="15"/>
      <c r="F284" s="8">
        <f>IFERROR(__xludf.DUMMYFUNCTION("""COMPUTED_VALUE"""),3.0)</f>
        <v>3</v>
      </c>
      <c r="G284" s="8">
        <f>IFERROR(__xludf.DUMMYFUNCTION("""COMPUTED_VALUE"""),0.0)</f>
        <v>0</v>
      </c>
      <c r="H284" s="8">
        <f>IFERROR(__xludf.DUMMYFUNCTION("""COMPUTED_VALUE"""),0.0)</f>
        <v>0</v>
      </c>
      <c r="I284" s="8" t="str">
        <f>IFERROR(__xludf.DUMMYFUNCTION("""COMPUTED_VALUE"""),"General Petite")</f>
        <v>General Petite</v>
      </c>
      <c r="J284" s="8" t="str">
        <f>IFERROR(__xludf.DUMMYFUNCTION("""COMPUTED_VALUE"""),"Bottoms")</f>
        <v>Bottoms</v>
      </c>
      <c r="K284" s="8" t="str">
        <f>IFERROR(__xludf.DUMMYFUNCTION("""COMPUTED_VALUE"""),"Skirts")</f>
        <v>Skirts</v>
      </c>
      <c r="L284" s="8" t="str">
        <f t="shared" si="1"/>
        <v/>
      </c>
    </row>
    <row r="285">
      <c r="A285" s="8">
        <f>IFERROR(__xludf.DUMMYFUNCTION("""COMPUTED_VALUE"""),1474.0)</f>
        <v>1474</v>
      </c>
      <c r="B285" s="8">
        <f>IFERROR(__xludf.DUMMYFUNCTION("""COMPUTED_VALUE"""),860.0)</f>
        <v>860</v>
      </c>
      <c r="C285" s="8">
        <f>IFERROR(__xludf.DUMMYFUNCTION("""COMPUTED_VALUE"""),45.0)</f>
        <v>45</v>
      </c>
      <c r="D285" s="8"/>
      <c r="E285" s="15" t="str">
        <f>IFERROR(__xludf.DUMMYFUNCTION("""COMPUTED_VALUE"""),"Saw this on the sale rack and decided to try on. i looked like the dancing hypos in the movie fantasia. i am petite and not heavy but this is for very slim and tall people. too much fabric in the peplum part.")</f>
        <v>Saw this on the sale rack and decided to try on. i looked like the dancing hypos in the movie fantasia. i am petite and not heavy but this is for very slim and tall people. too much fabric in the peplum part.</v>
      </c>
      <c r="F285" s="8">
        <f>IFERROR(__xludf.DUMMYFUNCTION("""COMPUTED_VALUE"""),1.0)</f>
        <v>1</v>
      </c>
      <c r="G285" s="8">
        <f>IFERROR(__xludf.DUMMYFUNCTION("""COMPUTED_VALUE"""),0.0)</f>
        <v>0</v>
      </c>
      <c r="H285" s="8">
        <f>IFERROR(__xludf.DUMMYFUNCTION("""COMPUTED_VALUE"""),2.0)</f>
        <v>2</v>
      </c>
      <c r="I285" s="8" t="str">
        <f>IFERROR(__xludf.DUMMYFUNCTION("""COMPUTED_VALUE"""),"General")</f>
        <v>General</v>
      </c>
      <c r="J285" s="8" t="str">
        <f>IFERROR(__xludf.DUMMYFUNCTION("""COMPUTED_VALUE"""),"Tops")</f>
        <v>Tops</v>
      </c>
      <c r="K285" s="8" t="str">
        <f>IFERROR(__xludf.DUMMYFUNCTION("""COMPUTED_VALUE"""),"Knits")</f>
        <v>Knits</v>
      </c>
      <c r="L285" s="8" t="str">
        <f t="shared" si="1"/>
        <v>----</v>
      </c>
    </row>
    <row r="286">
      <c r="A286" s="8">
        <f>IFERROR(__xludf.DUMMYFUNCTION("""COMPUTED_VALUE"""),1481.0)</f>
        <v>1481</v>
      </c>
      <c r="B286" s="8">
        <f>IFERROR(__xludf.DUMMYFUNCTION("""COMPUTED_VALUE"""),936.0)</f>
        <v>936</v>
      </c>
      <c r="C286" s="8">
        <f>IFERROR(__xludf.DUMMYFUNCTION("""COMPUTED_VALUE"""),39.0)</f>
        <v>39</v>
      </c>
      <c r="D286" s="8"/>
      <c r="E286" s="15" t="str">
        <f>IFERROR(__xludf.DUMMYFUNCTION("""COMPUTED_VALUE"""),"Runs a size big unless you want it really boxy. felt the matl was flimsy and would prob pill soon. turquoise was a pretty color but returning this one.")</f>
        <v>Runs a size big unless you want it really boxy. felt the matl was flimsy and would prob pill soon. turquoise was a pretty color but returning this one.</v>
      </c>
      <c r="F286" s="8">
        <f>IFERROR(__xludf.DUMMYFUNCTION("""COMPUTED_VALUE"""),3.0)</f>
        <v>3</v>
      </c>
      <c r="G286" s="8">
        <f>IFERROR(__xludf.DUMMYFUNCTION("""COMPUTED_VALUE"""),0.0)</f>
        <v>0</v>
      </c>
      <c r="H286" s="8">
        <f>IFERROR(__xludf.DUMMYFUNCTION("""COMPUTED_VALUE"""),0.0)</f>
        <v>0</v>
      </c>
      <c r="I286" s="8" t="str">
        <f>IFERROR(__xludf.DUMMYFUNCTION("""COMPUTED_VALUE"""),"General")</f>
        <v>General</v>
      </c>
      <c r="J286" s="8" t="str">
        <f>IFERROR(__xludf.DUMMYFUNCTION("""COMPUTED_VALUE"""),"Tops")</f>
        <v>Tops</v>
      </c>
      <c r="K286" s="8" t="str">
        <f>IFERROR(__xludf.DUMMYFUNCTION("""COMPUTED_VALUE"""),"Sweaters")</f>
        <v>Sweaters</v>
      </c>
      <c r="L286" s="8" t="str">
        <f t="shared" si="1"/>
        <v>Size issue----</v>
      </c>
    </row>
    <row r="287">
      <c r="A287" s="8">
        <f>IFERROR(__xludf.DUMMYFUNCTION("""COMPUTED_VALUE"""),1482.0)</f>
        <v>1482</v>
      </c>
      <c r="B287" s="8">
        <f>IFERROR(__xludf.DUMMYFUNCTION("""COMPUTED_VALUE"""),1022.0)</f>
        <v>1022</v>
      </c>
      <c r="C287" s="8">
        <f>IFERROR(__xludf.DUMMYFUNCTION("""COMPUTED_VALUE"""),36.0)</f>
        <v>36</v>
      </c>
      <c r="D287" s="8"/>
      <c r="E287" s="15" t="str">
        <f>IFERROR(__xludf.DUMMYFUNCTION("""COMPUTED_VALUE"""),"I ordered these because i loved the wide cut and overall look. but returned them because they fit weird. too tight around the too high waistline (and normally, i like a high waistline). fit ran small. and the overall quality of the fabric wasn't as nice a"&amp;"s i was hoping for. pretty disappointed.")</f>
        <v>I ordered these because i loved the wide cut and overall look. but returned them because they fit weird. too tight around the too high waistline (and normally, i like a high waistline). fit ran small. and the overall quality of the fabric wasn't as nice as i was hoping for. pretty disappointed.</v>
      </c>
      <c r="F287" s="8">
        <f>IFERROR(__xludf.DUMMYFUNCTION("""COMPUTED_VALUE"""),1.0)</f>
        <v>1</v>
      </c>
      <c r="G287" s="8">
        <f>IFERROR(__xludf.DUMMYFUNCTION("""COMPUTED_VALUE"""),0.0)</f>
        <v>0</v>
      </c>
      <c r="H287" s="8">
        <f>IFERROR(__xludf.DUMMYFUNCTION("""COMPUTED_VALUE"""),0.0)</f>
        <v>0</v>
      </c>
      <c r="I287" s="8" t="str">
        <f>IFERROR(__xludf.DUMMYFUNCTION("""COMPUTED_VALUE"""),"General")</f>
        <v>General</v>
      </c>
      <c r="J287" s="8" t="str">
        <f>IFERROR(__xludf.DUMMYFUNCTION("""COMPUTED_VALUE"""),"Bottoms")</f>
        <v>Bottoms</v>
      </c>
      <c r="K287" s="8" t="str">
        <f>IFERROR(__xludf.DUMMYFUNCTION("""COMPUTED_VALUE"""),"Jeans")</f>
        <v>Jeans</v>
      </c>
      <c r="L287" s="8" t="str">
        <f t="shared" si="1"/>
        <v>Size issue----</v>
      </c>
    </row>
    <row r="288">
      <c r="A288" s="8">
        <f>IFERROR(__xludf.DUMMYFUNCTION("""COMPUTED_VALUE"""),1483.0)</f>
        <v>1483</v>
      </c>
      <c r="B288" s="8">
        <f>IFERROR(__xludf.DUMMYFUNCTION("""COMPUTED_VALUE"""),860.0)</f>
        <v>860</v>
      </c>
      <c r="C288" s="8">
        <f>IFERROR(__xludf.DUMMYFUNCTION("""COMPUTED_VALUE"""),31.0)</f>
        <v>31</v>
      </c>
      <c r="D288" s="8" t="str">
        <f>IFERROR(__xludf.DUMMYFUNCTION("""COMPUTED_VALUE"""),"Odd dimensions")</f>
        <v>Odd dimensions</v>
      </c>
      <c r="E288" s="15" t="str">
        <f>IFERROR(__xludf.DUMMYFUNCTION("""COMPUTED_VALUE"""),"I wanted this tank to work so badly! it was a great deal and so beautiful. unfortunately the top fitted portion ends right below my chest then the shirt flares out so i looked like a cupcake. my belly also showed slightly because the shirt is short. if yo"&amp;"u have a short torso, this would work great. if not, unfortunately, its not great - tear")</f>
        <v>I wanted this tank to work so badly! it was a great deal and so beautiful. unfortunately the top fitted portion ends right below my chest then the shirt flares out so i looked like a cupcake. my belly also showed slightly because the shirt is short. if you have a short torso, this would work great. if not, unfortunately, its not great - tear</v>
      </c>
      <c r="F288" s="8">
        <f>IFERROR(__xludf.DUMMYFUNCTION("""COMPUTED_VALUE"""),2.0)</f>
        <v>2</v>
      </c>
      <c r="G288" s="8">
        <f>IFERROR(__xludf.DUMMYFUNCTION("""COMPUTED_VALUE"""),0.0)</f>
        <v>0</v>
      </c>
      <c r="H288" s="8">
        <f>IFERROR(__xludf.DUMMYFUNCTION("""COMPUTED_VALUE"""),0.0)</f>
        <v>0</v>
      </c>
      <c r="I288" s="8" t="str">
        <f>IFERROR(__xludf.DUMMYFUNCTION("""COMPUTED_VALUE"""),"General")</f>
        <v>General</v>
      </c>
      <c r="J288" s="8" t="str">
        <f>IFERROR(__xludf.DUMMYFUNCTION("""COMPUTED_VALUE"""),"Tops")</f>
        <v>Tops</v>
      </c>
      <c r="K288" s="8" t="str">
        <f>IFERROR(__xludf.DUMMYFUNCTION("""COMPUTED_VALUE"""),"Knits")</f>
        <v>Knits</v>
      </c>
      <c r="L288" s="8" t="str">
        <f t="shared" si="1"/>
        <v>Size issue----</v>
      </c>
    </row>
    <row r="289">
      <c r="A289" s="8">
        <f>IFERROR(__xludf.DUMMYFUNCTION("""COMPUTED_VALUE"""),1484.0)</f>
        <v>1484</v>
      </c>
      <c r="B289" s="8">
        <f>IFERROR(__xludf.DUMMYFUNCTION("""COMPUTED_VALUE"""),860.0)</f>
        <v>860</v>
      </c>
      <c r="C289" s="8">
        <f>IFERROR(__xludf.DUMMYFUNCTION("""COMPUTED_VALUE"""),20.0)</f>
        <v>20</v>
      </c>
      <c r="D289" s="8" t="str">
        <f>IFERROR(__xludf.DUMMYFUNCTION("""COMPUTED_VALUE"""),"Not for the well endowed")</f>
        <v>Not for the well endowed</v>
      </c>
      <c r="E289" s="15" t="str">
        <f>IFERROR(__xludf.DUMMYFUNCTION("""COMPUTED_VALUE"""),"I am 5'8 with curvy, muscular body and 36ddd boobs. the ruffle ends up hitting me right below my breasts and creates the look of being about 6 months pregnant. the beading is beautiful and i wish that it fit.")</f>
        <v>I am 5'8 with curvy, muscular body and 36ddd boobs. the ruffle ends up hitting me right below my breasts and creates the look of being about 6 months pregnant. the beading is beautiful and i wish that it fit.</v>
      </c>
      <c r="F289" s="8">
        <f>IFERROR(__xludf.DUMMYFUNCTION("""COMPUTED_VALUE"""),3.0)</f>
        <v>3</v>
      </c>
      <c r="G289" s="8">
        <f>IFERROR(__xludf.DUMMYFUNCTION("""COMPUTED_VALUE"""),0.0)</f>
        <v>0</v>
      </c>
      <c r="H289" s="8">
        <f>IFERROR(__xludf.DUMMYFUNCTION("""COMPUTED_VALUE"""),0.0)</f>
        <v>0</v>
      </c>
      <c r="I289" s="8" t="str">
        <f>IFERROR(__xludf.DUMMYFUNCTION("""COMPUTED_VALUE"""),"General")</f>
        <v>General</v>
      </c>
      <c r="J289" s="8" t="str">
        <f>IFERROR(__xludf.DUMMYFUNCTION("""COMPUTED_VALUE"""),"Tops")</f>
        <v>Tops</v>
      </c>
      <c r="K289" s="8" t="str">
        <f>IFERROR(__xludf.DUMMYFUNCTION("""COMPUTED_VALUE"""),"Knits")</f>
        <v>Knits</v>
      </c>
      <c r="L289" s="8" t="str">
        <f t="shared" si="1"/>
        <v>----</v>
      </c>
    </row>
    <row r="290">
      <c r="A290" s="8">
        <f>IFERROR(__xludf.DUMMYFUNCTION("""COMPUTED_VALUE"""),1496.0)</f>
        <v>1496</v>
      </c>
      <c r="B290" s="8">
        <f>IFERROR(__xludf.DUMMYFUNCTION("""COMPUTED_VALUE"""),860.0)</f>
        <v>860</v>
      </c>
      <c r="C290" s="8">
        <f>IFERROR(__xludf.DUMMYFUNCTION("""COMPUTED_VALUE"""),51.0)</f>
        <v>51</v>
      </c>
      <c r="D290" s="8" t="str">
        <f>IFERROR(__xludf.DUMMYFUNCTION("""COMPUTED_VALUE"""),"I wanted to like this...")</f>
        <v>I wanted to like this...</v>
      </c>
      <c r="E290" s="15" t="str">
        <f>IFERROR(__xludf.DUMMYFUNCTION("""COMPUTED_VALUE"""),"I wanted to like this top so so so so badly. so badly in fact, that after the first size didn't fit, i ordered two other sizes to make sure: xl, l, m. none of them worked i really wanted to like this top. the online photo makes the clothing look so flatte"&amp;"ring and the shirt is just not....at least on me. the shirt online on the model looks slimming and a lot longer than the actual piece of the clothing. the beaded work is very beautiful, but short causing the very poofy peplum to start at the mos")</f>
        <v>I wanted to like this top so so so so badly. so badly in fact, that after the first size didn't fit, i ordered two other sizes to make sure: xl, l, m. none of them worked i really wanted to like this top. the online photo makes the clothing look so flattering and the shirt is just not....at least on me. the shirt online on the model looks slimming and a lot longer than the actual piece of the clothing. the beaded work is very beautiful, but short causing the very poofy peplum to start at the mos</v>
      </c>
      <c r="F290" s="8">
        <f>IFERROR(__xludf.DUMMYFUNCTION("""COMPUTED_VALUE"""),1.0)</f>
        <v>1</v>
      </c>
      <c r="G290" s="8">
        <f>IFERROR(__xludf.DUMMYFUNCTION("""COMPUTED_VALUE"""),0.0)</f>
        <v>0</v>
      </c>
      <c r="H290" s="8">
        <f>IFERROR(__xludf.DUMMYFUNCTION("""COMPUTED_VALUE"""),0.0)</f>
        <v>0</v>
      </c>
      <c r="I290" s="8" t="str">
        <f>IFERROR(__xludf.DUMMYFUNCTION("""COMPUTED_VALUE"""),"General")</f>
        <v>General</v>
      </c>
      <c r="J290" s="8" t="str">
        <f>IFERROR(__xludf.DUMMYFUNCTION("""COMPUTED_VALUE"""),"Tops")</f>
        <v>Tops</v>
      </c>
      <c r="K290" s="8" t="str">
        <f>IFERROR(__xludf.DUMMYFUNCTION("""COMPUTED_VALUE"""),"Knits")</f>
        <v>Knits</v>
      </c>
      <c r="L290" s="8" t="str">
        <f t="shared" si="1"/>
        <v>Size issue----Matching Awareness issue</v>
      </c>
    </row>
    <row r="291">
      <c r="A291" s="8">
        <f>IFERROR(__xludf.DUMMYFUNCTION("""COMPUTED_VALUE"""),1498.0)</f>
        <v>1498</v>
      </c>
      <c r="B291" s="8">
        <f>IFERROR(__xludf.DUMMYFUNCTION("""COMPUTED_VALUE"""),949.0)</f>
        <v>949</v>
      </c>
      <c r="C291" s="8">
        <f>IFERROR(__xludf.DUMMYFUNCTION("""COMPUTED_VALUE"""),27.0)</f>
        <v>27</v>
      </c>
      <c r="D291" s="8" t="str">
        <f>IFERROR(__xludf.DUMMYFUNCTION("""COMPUTED_VALUE"""),"Size down")</f>
        <v>Size down</v>
      </c>
      <c r="E291" s="15" t="str">
        <f>IFERROR(__xludf.DUMMYFUNCTION("""COMPUTED_VALUE"""),"I followed the advice of other reviewers and sized down. however, the jacket was still too large. it fit fine in the arms but the body/width of the jacket was huge. also i found the wool material to be extremely itchy. it might work if you are layering it"&amp;" over long sleeves but still make sure to size down at least one or maybe even two sizes.")</f>
        <v>I followed the advice of other reviewers and sized down. however, the jacket was still too large. it fit fine in the arms but the body/width of the jacket was huge. also i found the wool material to be extremely itchy. it might work if you are layering it over long sleeves but still make sure to size down at least one or maybe even two sizes.</v>
      </c>
      <c r="F291" s="8">
        <f>IFERROR(__xludf.DUMMYFUNCTION("""COMPUTED_VALUE"""),3.0)</f>
        <v>3</v>
      </c>
      <c r="G291" s="8">
        <f>IFERROR(__xludf.DUMMYFUNCTION("""COMPUTED_VALUE"""),0.0)</f>
        <v>0</v>
      </c>
      <c r="H291" s="8">
        <f>IFERROR(__xludf.DUMMYFUNCTION("""COMPUTED_VALUE"""),1.0)</f>
        <v>1</v>
      </c>
      <c r="I291" s="8" t="str">
        <f>IFERROR(__xludf.DUMMYFUNCTION("""COMPUTED_VALUE"""),"General Petite")</f>
        <v>General Petite</v>
      </c>
      <c r="J291" s="8" t="str">
        <f>IFERROR(__xludf.DUMMYFUNCTION("""COMPUTED_VALUE"""),"Tops")</f>
        <v>Tops</v>
      </c>
      <c r="K291" s="8" t="str">
        <f>IFERROR(__xludf.DUMMYFUNCTION("""COMPUTED_VALUE"""),"Sweaters")</f>
        <v>Sweaters</v>
      </c>
      <c r="L291" s="8" t="str">
        <f t="shared" si="1"/>
        <v>Size issue-Fabric issue---</v>
      </c>
    </row>
    <row r="292">
      <c r="A292" s="8">
        <f>IFERROR(__xludf.DUMMYFUNCTION("""COMPUTED_VALUE"""),1503.0)</f>
        <v>1503</v>
      </c>
      <c r="B292" s="8">
        <f>IFERROR(__xludf.DUMMYFUNCTION("""COMPUTED_VALUE"""),1080.0)</f>
        <v>1080</v>
      </c>
      <c r="C292" s="8">
        <f>IFERROR(__xludf.DUMMYFUNCTION("""COMPUTED_VALUE"""),36.0)</f>
        <v>36</v>
      </c>
      <c r="D292" s="8" t="str">
        <f>IFERROR(__xludf.DUMMYFUNCTION("""COMPUTED_VALUE"""),"Bad zipper")</f>
        <v>Bad zipper</v>
      </c>
      <c r="E292" s="15" t="str">
        <f>IFERROR(__xludf.DUMMYFUNCTION("""COMPUTED_VALUE"""),"Beautiful dress with the colors and pleats. i did not have the same problems with the bust area that others did. my biggest complaint is the exposed zipper doesn&amp;#39;t lay flat, even when just hanging on the hanger. when actually on a person the zipper ju"&amp;"ts out. had to be returned!")</f>
        <v>Beautiful dress with the colors and pleats. i did not have the same problems with the bust area that others did. my biggest complaint is the exposed zipper doesn&amp;#39;t lay flat, even when just hanging on the hanger. when actually on a person the zipper juts out. had to be returned!</v>
      </c>
      <c r="F292" s="8">
        <f>IFERROR(__xludf.DUMMYFUNCTION("""COMPUTED_VALUE"""),3.0)</f>
        <v>3</v>
      </c>
      <c r="G292" s="8">
        <f>IFERROR(__xludf.DUMMYFUNCTION("""COMPUTED_VALUE"""),0.0)</f>
        <v>0</v>
      </c>
      <c r="H292" s="8">
        <f>IFERROR(__xludf.DUMMYFUNCTION("""COMPUTED_VALUE"""),0.0)</f>
        <v>0</v>
      </c>
      <c r="I292" s="8" t="str">
        <f>IFERROR(__xludf.DUMMYFUNCTION("""COMPUTED_VALUE"""),"General")</f>
        <v>General</v>
      </c>
      <c r="J292" s="8" t="str">
        <f>IFERROR(__xludf.DUMMYFUNCTION("""COMPUTED_VALUE"""),"Dresses")</f>
        <v>Dresses</v>
      </c>
      <c r="K292" s="8" t="str">
        <f>IFERROR(__xludf.DUMMYFUNCTION("""COMPUTED_VALUE"""),"Dresses")</f>
        <v>Dresses</v>
      </c>
      <c r="L292" s="8" t="str">
        <f t="shared" si="1"/>
        <v>----</v>
      </c>
    </row>
    <row r="293">
      <c r="A293" s="8">
        <f>IFERROR(__xludf.DUMMYFUNCTION("""COMPUTED_VALUE"""),1505.0)</f>
        <v>1505</v>
      </c>
      <c r="B293" s="8">
        <f>IFERROR(__xludf.DUMMYFUNCTION("""COMPUTED_VALUE"""),1098.0)</f>
        <v>1098</v>
      </c>
      <c r="C293" s="8">
        <f>IFERROR(__xludf.DUMMYFUNCTION("""COMPUTED_VALUE"""),34.0)</f>
        <v>34</v>
      </c>
      <c r="D293" s="8" t="str">
        <f>IFERROR(__xludf.DUMMYFUNCTION("""COMPUTED_VALUE"""),"Dissapointed")</f>
        <v>Dissapointed</v>
      </c>
      <c r="E293" s="15" t="str">
        <f>IFERROR(__xludf.DUMMYFUNCTION("""COMPUTED_VALUE"""),"I have to confess i had very high hopes for this dress. i was buying it as a stylish, modern alternative to a business suit. i wanted this dress to work as a piece to deliver presentations in or attend faculty functions. tailored, conservative, and edgy a"&amp;"t the same time. several hundred dollars dress should meet the aforementioned needs, i thought. but it did not. the best description for the dress is ""blah"", average.
the material is textures and crinkly, not slick. the top is cream/ivory color")</f>
        <v>I have to confess i had very high hopes for this dress. i was buying it as a stylish, modern alternative to a business suit. i wanted this dress to work as a piece to deliver presentations in or attend faculty functions. tailored, conservative, and edgy at the same time. several hundred dollars dress should meet the aforementioned needs, i thought. but it did not. the best description for the dress is "blah", average.
the material is textures and crinkly, not slick. the top is cream/ivory color</v>
      </c>
      <c r="F293" s="8">
        <f>IFERROR(__xludf.DUMMYFUNCTION("""COMPUTED_VALUE"""),3.0)</f>
        <v>3</v>
      </c>
      <c r="G293" s="8">
        <f>IFERROR(__xludf.DUMMYFUNCTION("""COMPUTED_VALUE"""),0.0)</f>
        <v>0</v>
      </c>
      <c r="H293" s="8">
        <f>IFERROR(__xludf.DUMMYFUNCTION("""COMPUTED_VALUE"""),4.0)</f>
        <v>4</v>
      </c>
      <c r="I293" s="8" t="str">
        <f>IFERROR(__xludf.DUMMYFUNCTION("""COMPUTED_VALUE"""),"General Petite")</f>
        <v>General Petite</v>
      </c>
      <c r="J293" s="8" t="str">
        <f>IFERROR(__xludf.DUMMYFUNCTION("""COMPUTED_VALUE"""),"Dresses")</f>
        <v>Dresses</v>
      </c>
      <c r="K293" s="8" t="str">
        <f>IFERROR(__xludf.DUMMYFUNCTION("""COMPUTED_VALUE"""),"Dresses")</f>
        <v>Dresses</v>
      </c>
      <c r="L293" s="8" t="str">
        <f t="shared" si="1"/>
        <v>-Fabric issue---</v>
      </c>
    </row>
    <row r="294">
      <c r="A294" s="8">
        <f>IFERROR(__xludf.DUMMYFUNCTION("""COMPUTED_VALUE"""),1508.0)</f>
        <v>1508</v>
      </c>
      <c r="B294" s="8">
        <f>IFERROR(__xludf.DUMMYFUNCTION("""COMPUTED_VALUE"""),863.0)</f>
        <v>863</v>
      </c>
      <c r="C294" s="8">
        <f>IFERROR(__xludf.DUMMYFUNCTION("""COMPUTED_VALUE"""),60.0)</f>
        <v>60</v>
      </c>
      <c r="D294" s="8" t="str">
        <f>IFERROR(__xludf.DUMMYFUNCTION("""COMPUTED_VALUE"""),"Sleeves stretch out")</f>
        <v>Sleeves stretch out</v>
      </c>
      <c r="E294" s="15" t="str">
        <f>IFERROR(__xludf.DUMMYFUNCTION("""COMPUTED_VALUE"""),"I really liked this top when i tried it on but as i wore it the bottom of the sleeves stretched out terrible where they looked worn out from wearing over and over, and since this happened with the first wearing and i paid $88.00 i sent it back. if it hadn"&amp;"'t been for that it's a comfy and cute casual top")</f>
        <v>I really liked this top when i tried it on but as i wore it the bottom of the sleeves stretched out terrible where they looked worn out from wearing over and over, and since this happened with the first wearing and i paid $88.00 i sent it back. if it hadn't been for that it's a comfy and cute casual top</v>
      </c>
      <c r="F294" s="8">
        <f>IFERROR(__xludf.DUMMYFUNCTION("""COMPUTED_VALUE"""),4.0)</f>
        <v>4</v>
      </c>
      <c r="G294" s="8">
        <f>IFERROR(__xludf.DUMMYFUNCTION("""COMPUTED_VALUE"""),0.0)</f>
        <v>0</v>
      </c>
      <c r="H294" s="8">
        <f>IFERROR(__xludf.DUMMYFUNCTION("""COMPUTED_VALUE"""),3.0)</f>
        <v>3</v>
      </c>
      <c r="I294" s="8" t="str">
        <f>IFERROR(__xludf.DUMMYFUNCTION("""COMPUTED_VALUE"""),"General")</f>
        <v>General</v>
      </c>
      <c r="J294" s="8" t="str">
        <f>IFERROR(__xludf.DUMMYFUNCTION("""COMPUTED_VALUE"""),"Tops")</f>
        <v>Tops</v>
      </c>
      <c r="K294" s="8" t="str">
        <f>IFERROR(__xludf.DUMMYFUNCTION("""COMPUTED_VALUE"""),"Knits")</f>
        <v>Knits</v>
      </c>
      <c r="L294" s="8" t="str">
        <f t="shared" si="1"/>
        <v>Size issue----</v>
      </c>
    </row>
    <row r="295">
      <c r="A295" s="8">
        <f>IFERROR(__xludf.DUMMYFUNCTION("""COMPUTED_VALUE"""),1510.0)</f>
        <v>1510</v>
      </c>
      <c r="B295" s="8">
        <f>IFERROR(__xludf.DUMMYFUNCTION("""COMPUTED_VALUE"""),977.0)</f>
        <v>977</v>
      </c>
      <c r="C295" s="8">
        <f>IFERROR(__xludf.DUMMYFUNCTION("""COMPUTED_VALUE"""),31.0)</f>
        <v>31</v>
      </c>
      <c r="D295" s="8" t="str">
        <f>IFERROR(__xludf.DUMMYFUNCTION("""COMPUTED_VALUE"""),"Enormous!!")</f>
        <v>Enormous!!</v>
      </c>
      <c r="E295" s="15" t="str">
        <f>IFERROR(__xludf.DUMMYFUNCTION("""COMPUTED_VALUE"""),"I know this product description says oversized but that's an understatement. i ordered a small and tried it on and i looked like a little kid in their father's jacket. i don't even think an xs would have worked. i'm 5'6"" and about 135 pounds for referenc"&amp;"e. i will say that the embroidery on the back is very cool and this jacket is overall a cool concept but it's just way too big.")</f>
        <v>I know this product description says oversized but that's an understatement. i ordered a small and tried it on and i looked like a little kid in their father's jacket. i don't even think an xs would have worked. i'm 5'6" and about 135 pounds for reference. i will say that the embroidery on the back is very cool and this jacket is overall a cool concept but it's just way too big.</v>
      </c>
      <c r="F295" s="8">
        <f>IFERROR(__xludf.DUMMYFUNCTION("""COMPUTED_VALUE"""),1.0)</f>
        <v>1</v>
      </c>
      <c r="G295" s="8">
        <f>IFERROR(__xludf.DUMMYFUNCTION("""COMPUTED_VALUE"""),0.0)</f>
        <v>0</v>
      </c>
      <c r="H295" s="8">
        <f>IFERROR(__xludf.DUMMYFUNCTION("""COMPUTED_VALUE"""),0.0)</f>
        <v>0</v>
      </c>
      <c r="I295" s="8" t="str">
        <f>IFERROR(__xludf.DUMMYFUNCTION("""COMPUTED_VALUE"""),"General Petite")</f>
        <v>General Petite</v>
      </c>
      <c r="J295" s="8" t="str">
        <f>IFERROR(__xludf.DUMMYFUNCTION("""COMPUTED_VALUE"""),"Jackets")</f>
        <v>Jackets</v>
      </c>
      <c r="K295" s="8" t="str">
        <f>IFERROR(__xludf.DUMMYFUNCTION("""COMPUTED_VALUE"""),"Jackets")</f>
        <v>Jackets</v>
      </c>
      <c r="L295" s="8" t="str">
        <f t="shared" si="1"/>
        <v>Size issue----</v>
      </c>
    </row>
    <row r="296">
      <c r="A296" s="8">
        <f>IFERROR(__xludf.DUMMYFUNCTION("""COMPUTED_VALUE"""),1512.0)</f>
        <v>1512</v>
      </c>
      <c r="B296" s="8">
        <f>IFERROR(__xludf.DUMMYFUNCTION("""COMPUTED_VALUE"""),912.0)</f>
        <v>912</v>
      </c>
      <c r="C296" s="8">
        <f>IFERROR(__xludf.DUMMYFUNCTION("""COMPUTED_VALUE"""),46.0)</f>
        <v>46</v>
      </c>
      <c r="D296" s="8" t="str">
        <f>IFERROR(__xludf.DUMMYFUNCTION("""COMPUTED_VALUE"""),"Haven't washed well")</f>
        <v>Haven't washed well</v>
      </c>
      <c r="E296" s="15" t="str">
        <f>IFERROR(__xludf.DUMMYFUNCTION("""COMPUTED_VALUE"""),"I bought three of these this summer--a mint, ivory, and yellow. when i received them, they looked nice enough in person. i liked the heart motif and the peplum. the problem is the knit was on the cheap side and stretched out. the arms were tighter than i "&amp;"liked but loosened up through the day. but, then the look became more matronly. i wish they had been 3/4 length or a vest. the cheap, outstretched look just didn't work. i ended up donating all of mine after a few wears. they also pilled conside")</f>
        <v>I bought three of these this summer--a mint, ivory, and yellow. when i received them, they looked nice enough in person. i liked the heart motif and the peplum. the problem is the knit was on the cheap side and stretched out. the arms were tighter than i liked but loosened up through the day. but, then the look became more matronly. i wish they had been 3/4 length or a vest. the cheap, outstretched look just didn't work. i ended up donating all of mine after a few wears. they also pilled conside</v>
      </c>
      <c r="F296" s="8">
        <f>IFERROR(__xludf.DUMMYFUNCTION("""COMPUTED_VALUE"""),3.0)</f>
        <v>3</v>
      </c>
      <c r="G296" s="8">
        <f>IFERROR(__xludf.DUMMYFUNCTION("""COMPUTED_VALUE"""),0.0)</f>
        <v>0</v>
      </c>
      <c r="H296" s="8">
        <f>IFERROR(__xludf.DUMMYFUNCTION("""COMPUTED_VALUE"""),0.0)</f>
        <v>0</v>
      </c>
      <c r="I296" s="8" t="str">
        <f>IFERROR(__xludf.DUMMYFUNCTION("""COMPUTED_VALUE"""),"General Petite")</f>
        <v>General Petite</v>
      </c>
      <c r="J296" s="8" t="str">
        <f>IFERROR(__xludf.DUMMYFUNCTION("""COMPUTED_VALUE"""),"Tops")</f>
        <v>Tops</v>
      </c>
      <c r="K296" s="8" t="str">
        <f>IFERROR(__xludf.DUMMYFUNCTION("""COMPUTED_VALUE"""),"Fine gauge")</f>
        <v>Fine gauge</v>
      </c>
      <c r="L296" s="8" t="str">
        <f t="shared" si="1"/>
        <v>Size issue--Style issue--</v>
      </c>
    </row>
    <row r="297">
      <c r="A297" s="8">
        <f>IFERROR(__xludf.DUMMYFUNCTION("""COMPUTED_VALUE"""),1515.0)</f>
        <v>1515</v>
      </c>
      <c r="B297" s="8">
        <f>IFERROR(__xludf.DUMMYFUNCTION("""COMPUTED_VALUE"""),1080.0)</f>
        <v>1080</v>
      </c>
      <c r="C297" s="8">
        <f>IFERROR(__xludf.DUMMYFUNCTION("""COMPUTED_VALUE"""),56.0)</f>
        <v>56</v>
      </c>
      <c r="D297" s="8" t="str">
        <f>IFERROR(__xludf.DUMMYFUNCTION("""COMPUTED_VALUE"""),"Does not fit well but is beautiful")</f>
        <v>Does not fit well but is beautiful</v>
      </c>
      <c r="E297" s="15" t="str">
        <f>IFERROR(__xludf.DUMMYFUNCTION("""COMPUTED_VALUE"""),"This is such a beautiful dress.  but have to return for the reasons others have noted.  the chest does not fit well.")</f>
        <v>This is such a beautiful dress.  but have to return for the reasons others have noted.  the chest does not fit well.</v>
      </c>
      <c r="F297" s="8">
        <f>IFERROR(__xludf.DUMMYFUNCTION("""COMPUTED_VALUE"""),2.0)</f>
        <v>2</v>
      </c>
      <c r="G297" s="8">
        <f>IFERROR(__xludf.DUMMYFUNCTION("""COMPUTED_VALUE"""),0.0)</f>
        <v>0</v>
      </c>
      <c r="H297" s="8">
        <f>IFERROR(__xludf.DUMMYFUNCTION("""COMPUTED_VALUE"""),0.0)</f>
        <v>0</v>
      </c>
      <c r="I297" s="8" t="str">
        <f>IFERROR(__xludf.DUMMYFUNCTION("""COMPUTED_VALUE"""),"General")</f>
        <v>General</v>
      </c>
      <c r="J297" s="8" t="str">
        <f>IFERROR(__xludf.DUMMYFUNCTION("""COMPUTED_VALUE"""),"Dresses")</f>
        <v>Dresses</v>
      </c>
      <c r="K297" s="8" t="str">
        <f>IFERROR(__xludf.DUMMYFUNCTION("""COMPUTED_VALUE"""),"Dresses")</f>
        <v>Dresses</v>
      </c>
      <c r="L297" s="8" t="str">
        <f t="shared" si="1"/>
        <v>Size issue----</v>
      </c>
    </row>
    <row r="298">
      <c r="A298" s="8">
        <f>IFERROR(__xludf.DUMMYFUNCTION("""COMPUTED_VALUE"""),1528.0)</f>
        <v>1528</v>
      </c>
      <c r="B298" s="8">
        <f>IFERROR(__xludf.DUMMYFUNCTION("""COMPUTED_VALUE"""),927.0)</f>
        <v>927</v>
      </c>
      <c r="C298" s="8">
        <f>IFERROR(__xludf.DUMMYFUNCTION("""COMPUTED_VALUE"""),54.0)</f>
        <v>54</v>
      </c>
      <c r="D298" s="8"/>
      <c r="E298" s="15" t="str">
        <f>IFERROR(__xludf.DUMMYFUNCTION("""COMPUTED_VALUE"""),"This vest was of excellent weight but it had very little style. it was like a giant piece of felt was cut out with little thought to design or nuance. not for me.")</f>
        <v>This vest was of excellent weight but it had very little style. it was like a giant piece of felt was cut out with little thought to design or nuance. not for me.</v>
      </c>
      <c r="F298" s="8">
        <f>IFERROR(__xludf.DUMMYFUNCTION("""COMPUTED_VALUE"""),3.0)</f>
        <v>3</v>
      </c>
      <c r="G298" s="8">
        <f>IFERROR(__xludf.DUMMYFUNCTION("""COMPUTED_VALUE"""),0.0)</f>
        <v>0</v>
      </c>
      <c r="H298" s="8">
        <f>IFERROR(__xludf.DUMMYFUNCTION("""COMPUTED_VALUE"""),1.0)</f>
        <v>1</v>
      </c>
      <c r="I298" s="8" t="str">
        <f>IFERROR(__xludf.DUMMYFUNCTION("""COMPUTED_VALUE"""),"General")</f>
        <v>General</v>
      </c>
      <c r="J298" s="8" t="str">
        <f>IFERROR(__xludf.DUMMYFUNCTION("""COMPUTED_VALUE"""),"Tops")</f>
        <v>Tops</v>
      </c>
      <c r="K298" s="8" t="str">
        <f>IFERROR(__xludf.DUMMYFUNCTION("""COMPUTED_VALUE"""),"Sweaters")</f>
        <v>Sweaters</v>
      </c>
      <c r="L298" s="8" t="str">
        <f t="shared" si="1"/>
        <v>--Style issue--</v>
      </c>
    </row>
    <row r="299">
      <c r="A299" s="8">
        <f>IFERROR(__xludf.DUMMYFUNCTION("""COMPUTED_VALUE"""),1545.0)</f>
        <v>1545</v>
      </c>
      <c r="B299" s="8">
        <f>IFERROR(__xludf.DUMMYFUNCTION("""COMPUTED_VALUE"""),947.0)</f>
        <v>947</v>
      </c>
      <c r="C299" s="8">
        <f>IFERROR(__xludf.DUMMYFUNCTION("""COMPUTED_VALUE"""),77.0)</f>
        <v>77</v>
      </c>
      <c r="D299" s="8" t="str">
        <f>IFERROR(__xludf.DUMMYFUNCTION("""COMPUTED_VALUE"""),"Delaney pullover")</f>
        <v>Delaney pullover</v>
      </c>
      <c r="E299" s="15" t="str">
        <f>IFERROR(__xludf.DUMMYFUNCTION("""COMPUTED_VALUE"""),"I ordered a small and it is enormous; i usually wear a size 10. it is short but the fullness in the body and the sleeves made me look like a sumo wrestler. also, it is a very heavy knit which would be great for up north but too bulky for atlanta unless th"&amp;"e temps are in the 40s. i'm sending it back.")</f>
        <v>I ordered a small and it is enormous; i usually wear a size 10. it is short but the fullness in the body and the sleeves made me look like a sumo wrestler. also, it is a very heavy knit which would be great for up north but too bulky for atlanta unless the temps are in the 40s. i'm sending it back.</v>
      </c>
      <c r="F299" s="8">
        <f>IFERROR(__xludf.DUMMYFUNCTION("""COMPUTED_VALUE"""),2.0)</f>
        <v>2</v>
      </c>
      <c r="G299" s="8">
        <f>IFERROR(__xludf.DUMMYFUNCTION("""COMPUTED_VALUE"""),0.0)</f>
        <v>0</v>
      </c>
      <c r="H299" s="8">
        <f>IFERROR(__xludf.DUMMYFUNCTION("""COMPUTED_VALUE"""),1.0)</f>
        <v>1</v>
      </c>
      <c r="I299" s="8" t="str">
        <f>IFERROR(__xludf.DUMMYFUNCTION("""COMPUTED_VALUE"""),"General")</f>
        <v>General</v>
      </c>
      <c r="J299" s="8" t="str">
        <f>IFERROR(__xludf.DUMMYFUNCTION("""COMPUTED_VALUE"""),"Tops")</f>
        <v>Tops</v>
      </c>
      <c r="K299" s="8" t="str">
        <f>IFERROR(__xludf.DUMMYFUNCTION("""COMPUTED_VALUE"""),"Sweaters")</f>
        <v>Sweaters</v>
      </c>
      <c r="L299" s="8" t="str">
        <f t="shared" si="1"/>
        <v>Size issue-Fabric issue---</v>
      </c>
    </row>
    <row r="300">
      <c r="A300" s="8">
        <f>IFERROR(__xludf.DUMMYFUNCTION("""COMPUTED_VALUE"""),1553.0)</f>
        <v>1553</v>
      </c>
      <c r="B300" s="8">
        <f>IFERROR(__xludf.DUMMYFUNCTION("""COMPUTED_VALUE"""),947.0)</f>
        <v>947</v>
      </c>
      <c r="C300" s="8">
        <f>IFERROR(__xludf.DUMMYFUNCTION("""COMPUTED_VALUE"""),45.0)</f>
        <v>45</v>
      </c>
      <c r="D300" s="8" t="str">
        <f>IFERROR(__xludf.DUMMYFUNCTION("""COMPUTED_VALUE"""),"It's a bell")</f>
        <v>It's a bell</v>
      </c>
      <c r="E300" s="15" t="str">
        <f>IFERROR(__xludf.DUMMYFUNCTION("""COMPUTED_VALUE"""),"Lovely knit and so soft, but the bottom curls up underneath, similar to the bell sleeves. runs oversize too, got xs and it's too bulky and unflattering since the bottom doesn't lay flat. returned!")</f>
        <v>Lovely knit and so soft, but the bottom curls up underneath, similar to the bell sleeves. runs oversize too, got xs and it's too bulky and unflattering since the bottom doesn't lay flat. returned!</v>
      </c>
      <c r="F300" s="8">
        <f>IFERROR(__xludf.DUMMYFUNCTION("""COMPUTED_VALUE"""),3.0)</f>
        <v>3</v>
      </c>
      <c r="G300" s="8">
        <f>IFERROR(__xludf.DUMMYFUNCTION("""COMPUTED_VALUE"""),0.0)</f>
        <v>0</v>
      </c>
      <c r="H300" s="8">
        <f>IFERROR(__xludf.DUMMYFUNCTION("""COMPUTED_VALUE"""),1.0)</f>
        <v>1</v>
      </c>
      <c r="I300" s="8" t="str">
        <f>IFERROR(__xludf.DUMMYFUNCTION("""COMPUTED_VALUE"""),"General")</f>
        <v>General</v>
      </c>
      <c r="J300" s="8" t="str">
        <f>IFERROR(__xludf.DUMMYFUNCTION("""COMPUTED_VALUE"""),"Tops")</f>
        <v>Tops</v>
      </c>
      <c r="K300" s="8" t="str">
        <f>IFERROR(__xludf.DUMMYFUNCTION("""COMPUTED_VALUE"""),"Sweaters")</f>
        <v>Sweaters</v>
      </c>
      <c r="L300" s="8" t="str">
        <f t="shared" si="1"/>
        <v>Size issue----</v>
      </c>
    </row>
    <row r="301">
      <c r="A301" s="8">
        <f>IFERROR(__xludf.DUMMYFUNCTION("""COMPUTED_VALUE"""),1569.0)</f>
        <v>1569</v>
      </c>
      <c r="B301" s="8">
        <f>IFERROR(__xludf.DUMMYFUNCTION("""COMPUTED_VALUE"""),1078.0)</f>
        <v>1078</v>
      </c>
      <c r="C301" s="8">
        <f>IFERROR(__xludf.DUMMYFUNCTION("""COMPUTED_VALUE"""),56.0)</f>
        <v>56</v>
      </c>
      <c r="D301" s="8" t="str">
        <f>IFERROR(__xludf.DUMMYFUNCTION("""COMPUTED_VALUE"""),"Wanted to love, but...")</f>
        <v>Wanted to love, but...</v>
      </c>
      <c r="E301" s="15" t="str">
        <f>IFERROR(__xludf.DUMMYFUNCTION("""COMPUTED_VALUE"""),"Tried on this maxi dress recently, hoping i would have a new dress to enjoy but the frabic is just too thin. so sad :(. unfortunately it shows every lump and bump and even wearing spanx while trying on it still showed too much. a full length slip would he"&amp;"lp but i decided to put it back.")</f>
        <v>Tried on this maxi dress recently, hoping i would have a new dress to enjoy but the frabic is just too thin. so sad :(. unfortunately it shows every lump and bump and even wearing spanx while trying on it still showed too much. a full length slip would help but i decided to put it back.</v>
      </c>
      <c r="F301" s="8">
        <f>IFERROR(__xludf.DUMMYFUNCTION("""COMPUTED_VALUE"""),3.0)</f>
        <v>3</v>
      </c>
      <c r="G301" s="8">
        <f>IFERROR(__xludf.DUMMYFUNCTION("""COMPUTED_VALUE"""),0.0)</f>
        <v>0</v>
      </c>
      <c r="H301" s="8">
        <f>IFERROR(__xludf.DUMMYFUNCTION("""COMPUTED_VALUE"""),15.0)</f>
        <v>15</v>
      </c>
      <c r="I301" s="8" t="str">
        <f>IFERROR(__xludf.DUMMYFUNCTION("""COMPUTED_VALUE"""),"General Petite")</f>
        <v>General Petite</v>
      </c>
      <c r="J301" s="8" t="str">
        <f>IFERROR(__xludf.DUMMYFUNCTION("""COMPUTED_VALUE"""),"Dresses")</f>
        <v>Dresses</v>
      </c>
      <c r="K301" s="8" t="str">
        <f>IFERROR(__xludf.DUMMYFUNCTION("""COMPUTED_VALUE"""),"Dresses")</f>
        <v>Dresses</v>
      </c>
      <c r="L301" s="8" t="str">
        <f t="shared" si="1"/>
        <v>----</v>
      </c>
    </row>
    <row r="302">
      <c r="A302" s="8">
        <f>IFERROR(__xludf.DUMMYFUNCTION("""COMPUTED_VALUE"""),1572.0)</f>
        <v>1572</v>
      </c>
      <c r="B302" s="8">
        <f>IFERROR(__xludf.DUMMYFUNCTION("""COMPUTED_VALUE"""),862.0)</f>
        <v>862</v>
      </c>
      <c r="C302" s="8">
        <f>IFERROR(__xludf.DUMMYFUNCTION("""COMPUTED_VALUE"""),48.0)</f>
        <v>48</v>
      </c>
      <c r="D302" s="8" t="str">
        <f>IFERROR(__xludf.DUMMYFUNCTION("""COMPUTED_VALUE"""),"Too low cut")</f>
        <v>Too low cut</v>
      </c>
      <c r="E302" s="15" t="str">
        <f>IFERROR(__xludf.DUMMYFUNCTION("""COMPUTED_VALUE"""),"Gorgeous color and great price, but too low cut and because of the design, a cami's wouldn't work. disappointed")</f>
        <v>Gorgeous color and great price, but too low cut and because of the design, a cami's wouldn't work. disappointed</v>
      </c>
      <c r="F302" s="8">
        <f>IFERROR(__xludf.DUMMYFUNCTION("""COMPUTED_VALUE"""),2.0)</f>
        <v>2</v>
      </c>
      <c r="G302" s="8">
        <f>IFERROR(__xludf.DUMMYFUNCTION("""COMPUTED_VALUE"""),0.0)</f>
        <v>0</v>
      </c>
      <c r="H302" s="8">
        <f>IFERROR(__xludf.DUMMYFUNCTION("""COMPUTED_VALUE"""),1.0)</f>
        <v>1</v>
      </c>
      <c r="I302" s="8" t="str">
        <f>IFERROR(__xludf.DUMMYFUNCTION("""COMPUTED_VALUE"""),"General")</f>
        <v>General</v>
      </c>
      <c r="J302" s="8" t="str">
        <f>IFERROR(__xludf.DUMMYFUNCTION("""COMPUTED_VALUE"""),"Tops")</f>
        <v>Tops</v>
      </c>
      <c r="K302" s="8" t="str">
        <f>IFERROR(__xludf.DUMMYFUNCTION("""COMPUTED_VALUE"""),"Knits")</f>
        <v>Knits</v>
      </c>
      <c r="L302" s="8" t="str">
        <f t="shared" si="1"/>
        <v>--Style issue--</v>
      </c>
    </row>
    <row r="303">
      <c r="A303" s="8">
        <f>IFERROR(__xludf.DUMMYFUNCTION("""COMPUTED_VALUE"""),1576.0)</f>
        <v>1576</v>
      </c>
      <c r="B303" s="8">
        <f>IFERROR(__xludf.DUMMYFUNCTION("""COMPUTED_VALUE"""),864.0)</f>
        <v>864</v>
      </c>
      <c r="C303" s="8">
        <f>IFERROR(__xludf.DUMMYFUNCTION("""COMPUTED_VALUE"""),32.0)</f>
        <v>32</v>
      </c>
      <c r="D303" s="8" t="str">
        <f>IFERROR(__xludf.DUMMYFUNCTION("""COMPUTED_VALUE"""),"Shorter &amp; smaller than picture/ description")</f>
        <v>Shorter &amp; smaller than picture/ description</v>
      </c>
      <c r="E303" s="15" t="str">
        <f>IFERROR(__xludf.DUMMYFUNCTION("""COMPUTED_VALUE"""),"I bought this online. this looked like a sweater that was accidentally shrunk in the dryer, when i received it.
i will be returning this.")</f>
        <v>I bought this online. this looked like a sweater that was accidentally shrunk in the dryer, when i received it.
i will be returning this.</v>
      </c>
      <c r="F303" s="8">
        <f>IFERROR(__xludf.DUMMYFUNCTION("""COMPUTED_VALUE"""),2.0)</f>
        <v>2</v>
      </c>
      <c r="G303" s="8">
        <f>IFERROR(__xludf.DUMMYFUNCTION("""COMPUTED_VALUE"""),0.0)</f>
        <v>0</v>
      </c>
      <c r="H303" s="8">
        <f>IFERROR(__xludf.DUMMYFUNCTION("""COMPUTED_VALUE"""),0.0)</f>
        <v>0</v>
      </c>
      <c r="I303" s="8" t="str">
        <f>IFERROR(__xludf.DUMMYFUNCTION("""COMPUTED_VALUE"""),"General")</f>
        <v>General</v>
      </c>
      <c r="J303" s="8" t="str">
        <f>IFERROR(__xludf.DUMMYFUNCTION("""COMPUTED_VALUE"""),"Tops")</f>
        <v>Tops</v>
      </c>
      <c r="K303" s="8" t="str">
        <f>IFERROR(__xludf.DUMMYFUNCTION("""COMPUTED_VALUE"""),"Knits")</f>
        <v>Knits</v>
      </c>
      <c r="L303" s="8" t="str">
        <f t="shared" si="1"/>
        <v>----</v>
      </c>
    </row>
    <row r="304">
      <c r="A304" s="8">
        <f>IFERROR(__xludf.DUMMYFUNCTION("""COMPUTED_VALUE"""),1600.0)</f>
        <v>1600</v>
      </c>
      <c r="B304" s="8">
        <f>IFERROR(__xludf.DUMMYFUNCTION("""COMPUTED_VALUE"""),1059.0)</f>
        <v>1059</v>
      </c>
      <c r="C304" s="8">
        <f>IFERROR(__xludf.DUMMYFUNCTION("""COMPUTED_VALUE"""),54.0)</f>
        <v>54</v>
      </c>
      <c r="D304" s="8" t="str">
        <f>IFERROR(__xludf.DUMMYFUNCTION("""COMPUTED_VALUE"""),"Wanted to love these but didn't")</f>
        <v>Wanted to love these but didn't</v>
      </c>
      <c r="E304" s="15" t="str">
        <f>IFERROR(__xludf.DUMMYFUNCTION("""COMPUTED_VALUE"""),"I sized up based on other reviews which was good advice. i am typically a size 6 but sized up to a 10. the pants are very unique and i think on the right body type would look amazing. it seems like someone with curves and a small waist might fit these spl"&amp;"endidly...but that's not me. i had some extra material puffing about in the zipper region. i also expected the material to be thicker but found it to be more silky.")</f>
        <v>I sized up based on other reviews which was good advice. i am typically a size 6 but sized up to a 10. the pants are very unique and i think on the right body type would look amazing. it seems like someone with curves and a small waist might fit these splendidly...but that's not me. i had some extra material puffing about in the zipper region. i also expected the material to be thicker but found it to be more silky.</v>
      </c>
      <c r="F304" s="8">
        <f>IFERROR(__xludf.DUMMYFUNCTION("""COMPUTED_VALUE"""),3.0)</f>
        <v>3</v>
      </c>
      <c r="G304" s="8">
        <f>IFERROR(__xludf.DUMMYFUNCTION("""COMPUTED_VALUE"""),0.0)</f>
        <v>0</v>
      </c>
      <c r="H304" s="8">
        <f>IFERROR(__xludf.DUMMYFUNCTION("""COMPUTED_VALUE"""),1.0)</f>
        <v>1</v>
      </c>
      <c r="I304" s="8" t="str">
        <f>IFERROR(__xludf.DUMMYFUNCTION("""COMPUTED_VALUE"""),"General Petite")</f>
        <v>General Petite</v>
      </c>
      <c r="J304" s="8" t="str">
        <f>IFERROR(__xludf.DUMMYFUNCTION("""COMPUTED_VALUE"""),"Bottoms")</f>
        <v>Bottoms</v>
      </c>
      <c r="K304" s="8" t="str">
        <f>IFERROR(__xludf.DUMMYFUNCTION("""COMPUTED_VALUE"""),"Pants")</f>
        <v>Pants</v>
      </c>
      <c r="L304" s="8" t="str">
        <f t="shared" si="1"/>
        <v>Size issue-Fabric issue---</v>
      </c>
    </row>
    <row r="305">
      <c r="A305" s="8">
        <f>IFERROR(__xludf.DUMMYFUNCTION("""COMPUTED_VALUE"""),1602.0)</f>
        <v>1602</v>
      </c>
      <c r="B305" s="8">
        <f>IFERROR(__xludf.DUMMYFUNCTION("""COMPUTED_VALUE"""),1059.0)</f>
        <v>1059</v>
      </c>
      <c r="C305" s="8">
        <f>IFERROR(__xludf.DUMMYFUNCTION("""COMPUTED_VALUE"""),51.0)</f>
        <v>51</v>
      </c>
      <c r="D305" s="8" t="str">
        <f>IFERROR(__xludf.DUMMYFUNCTION("""COMPUTED_VALUE"""),"Maybe not for everyone")</f>
        <v>Maybe not for everyone</v>
      </c>
      <c r="E305" s="15" t="str">
        <f>IFERROR(__xludf.DUMMYFUNCTION("""COMPUTED_VALUE"""),"Got these in the red brick color, and unfortunately had to send them back. these are really cute and i loved the color and pattern, but they ran very small, and the cut between the legs and hips was odd. this may not have been a problem had i gone up at l"&amp;"east one size. best to try them on if possible.")</f>
        <v>Got these in the red brick color, and unfortunately had to send them back. these are really cute and i loved the color and pattern, but they ran very small, and the cut between the legs and hips was odd. this may not have been a problem had i gone up at least one size. best to try them on if possible.</v>
      </c>
      <c r="F305" s="8">
        <f>IFERROR(__xludf.DUMMYFUNCTION("""COMPUTED_VALUE"""),4.0)</f>
        <v>4</v>
      </c>
      <c r="G305" s="8">
        <f>IFERROR(__xludf.DUMMYFUNCTION("""COMPUTED_VALUE"""),0.0)</f>
        <v>0</v>
      </c>
      <c r="H305" s="8">
        <f>IFERROR(__xludf.DUMMYFUNCTION("""COMPUTED_VALUE"""),0.0)</f>
        <v>0</v>
      </c>
      <c r="I305" s="8" t="str">
        <f>IFERROR(__xludf.DUMMYFUNCTION("""COMPUTED_VALUE"""),"General Petite")</f>
        <v>General Petite</v>
      </c>
      <c r="J305" s="8" t="str">
        <f>IFERROR(__xludf.DUMMYFUNCTION("""COMPUTED_VALUE"""),"Bottoms")</f>
        <v>Bottoms</v>
      </c>
      <c r="K305" s="8" t="str">
        <f>IFERROR(__xludf.DUMMYFUNCTION("""COMPUTED_VALUE"""),"Pants")</f>
        <v>Pants</v>
      </c>
      <c r="L305" s="8" t="str">
        <f t="shared" si="1"/>
        <v>Size issue----</v>
      </c>
    </row>
    <row r="306">
      <c r="A306" s="8">
        <f>IFERROR(__xludf.DUMMYFUNCTION("""COMPUTED_VALUE"""),1618.0)</f>
        <v>1618</v>
      </c>
      <c r="B306" s="8">
        <f>IFERROR(__xludf.DUMMYFUNCTION("""COMPUTED_VALUE"""),942.0)</f>
        <v>942</v>
      </c>
      <c r="C306" s="8">
        <f>IFERROR(__xludf.DUMMYFUNCTION("""COMPUTED_VALUE"""),34.0)</f>
        <v>34</v>
      </c>
      <c r="D306" s="8" t="str">
        <f>IFERROR(__xludf.DUMMYFUNCTION("""COMPUTED_VALUE"""),"Great quality and color but boxy and ill-fitting")</f>
        <v>Great quality and color but boxy and ill-fitting</v>
      </c>
      <c r="E306" s="15" t="str">
        <f>IFERROR(__xludf.DUMMYFUNCTION("""COMPUTED_VALUE"""),"I wanted to love this sweater. the photo of the model makes it look so soft and warm. i liked the heavy texture and the extra long sleeves. however, after receiving this sweater i tried it on for less than 1 minute. one look in the mirror was enough to ma"&amp;"ke me take it off and return it asap. the knit quickly expanding from small to large right over the bust, combined with the boxy shape was an atrocious combo. it must have added 30lbs to my physique and made my bust look matronly. yikes! this ma")</f>
        <v>I wanted to love this sweater. the photo of the model makes it look so soft and warm. i liked the heavy texture and the extra long sleeves. however, after receiving this sweater i tried it on for less than 1 minute. one look in the mirror was enough to make me take it off and return it asap. the knit quickly expanding from small to large right over the bust, combined with the boxy shape was an atrocious combo. it must have added 30lbs to my physique and made my bust look matronly. yikes! this ma</v>
      </c>
      <c r="F306" s="8">
        <f>IFERROR(__xludf.DUMMYFUNCTION("""COMPUTED_VALUE"""),2.0)</f>
        <v>2</v>
      </c>
      <c r="G306" s="8">
        <f>IFERROR(__xludf.DUMMYFUNCTION("""COMPUTED_VALUE"""),0.0)</f>
        <v>0</v>
      </c>
      <c r="H306" s="8">
        <f>IFERROR(__xludf.DUMMYFUNCTION("""COMPUTED_VALUE"""),1.0)</f>
        <v>1</v>
      </c>
      <c r="I306" s="8" t="str">
        <f>IFERROR(__xludf.DUMMYFUNCTION("""COMPUTED_VALUE"""),"General")</f>
        <v>General</v>
      </c>
      <c r="J306" s="8" t="str">
        <f>IFERROR(__xludf.DUMMYFUNCTION("""COMPUTED_VALUE"""),"Tops")</f>
        <v>Tops</v>
      </c>
      <c r="K306" s="8" t="str">
        <f>IFERROR(__xludf.DUMMYFUNCTION("""COMPUTED_VALUE"""),"Sweaters")</f>
        <v>Sweaters</v>
      </c>
      <c r="L306" s="8" t="str">
        <f t="shared" si="1"/>
        <v>Size issue----Matching Awareness issue</v>
      </c>
    </row>
    <row r="307">
      <c r="A307" s="8">
        <f>IFERROR(__xludf.DUMMYFUNCTION("""COMPUTED_VALUE"""),1635.0)</f>
        <v>1635</v>
      </c>
      <c r="B307" s="8">
        <f>IFERROR(__xludf.DUMMYFUNCTION("""COMPUTED_VALUE"""),942.0)</f>
        <v>942</v>
      </c>
      <c r="C307" s="8">
        <f>IFERROR(__xludf.DUMMYFUNCTION("""COMPUTED_VALUE"""),38.0)</f>
        <v>38</v>
      </c>
      <c r="D307" s="8" t="str">
        <f>IFERROR(__xludf.DUMMYFUNCTION("""COMPUTED_VALUE"""),"Pretty, but ill fitting")</f>
        <v>Pretty, but ill fitting</v>
      </c>
      <c r="E307" s="15" t="str">
        <f>IFERROR(__xludf.DUMMYFUNCTION("""COMPUTED_VALUE"""),"I loved this sweater when i saw it online and ordered right away. i purchased a s and the fit was very off. the arms were long (which i don't mind) but the sweater was also super heavy and bulky so it was not at all flattering. i really wanted to love it "&amp;"and it seemed to be of good quality but it i had to return it.")</f>
        <v>I loved this sweater when i saw it online and ordered right away. i purchased a s and the fit was very off. the arms were long (which i don't mind) but the sweater was also super heavy and bulky so it was not at all flattering. i really wanted to love it and it seemed to be of good quality but it i had to return it.</v>
      </c>
      <c r="F307" s="8">
        <f>IFERROR(__xludf.DUMMYFUNCTION("""COMPUTED_VALUE"""),2.0)</f>
        <v>2</v>
      </c>
      <c r="G307" s="8">
        <f>IFERROR(__xludf.DUMMYFUNCTION("""COMPUTED_VALUE"""),0.0)</f>
        <v>0</v>
      </c>
      <c r="H307" s="8">
        <f>IFERROR(__xludf.DUMMYFUNCTION("""COMPUTED_VALUE"""),6.0)</f>
        <v>6</v>
      </c>
      <c r="I307" s="8" t="str">
        <f>IFERROR(__xludf.DUMMYFUNCTION("""COMPUTED_VALUE"""),"General")</f>
        <v>General</v>
      </c>
      <c r="J307" s="8" t="str">
        <f>IFERROR(__xludf.DUMMYFUNCTION("""COMPUTED_VALUE"""),"Tops")</f>
        <v>Tops</v>
      </c>
      <c r="K307" s="8" t="str">
        <f>IFERROR(__xludf.DUMMYFUNCTION("""COMPUTED_VALUE"""),"Sweaters")</f>
        <v>Sweaters</v>
      </c>
      <c r="L307" s="8" t="str">
        <f t="shared" si="1"/>
        <v>Size issue-Fabric issue---</v>
      </c>
    </row>
    <row r="308">
      <c r="A308" s="8">
        <f>IFERROR(__xludf.DUMMYFUNCTION("""COMPUTED_VALUE"""),1638.0)</f>
        <v>1638</v>
      </c>
      <c r="B308" s="8">
        <f>IFERROR(__xludf.DUMMYFUNCTION("""COMPUTED_VALUE"""),1051.0)</f>
        <v>1051</v>
      </c>
      <c r="C308" s="8">
        <f>IFERROR(__xludf.DUMMYFUNCTION("""COMPUTED_VALUE"""),34.0)</f>
        <v>34</v>
      </c>
      <c r="D308" s="8" t="str">
        <f>IFERROR(__xludf.DUMMYFUNCTION("""COMPUTED_VALUE"""),"Too big on top")</f>
        <v>Too big on top</v>
      </c>
      <c r="E308" s="15" t="str">
        <f>IFERROR(__xludf.DUMMYFUNCTION("""COMPUTED_VALUE"""),"This just wouldn't lay right on me. the top is really too big. maybe if you're really busty, this is great, but not for me. i know the top is supposed to be a bit blousy, but it was huge and droopy and unflattering (not like in the picture). the arm holes"&amp;" were too big and hung down so you could see my bra, which i really hate and which is way too common lately. the bottom half fit perfectly, so sizing up or down would not have helped. the material is super light and comfy, which i liked very muc")</f>
        <v>This just wouldn't lay right on me. the top is really too big. maybe if you're really busty, this is great, but not for me. i know the top is supposed to be a bit blousy, but it was huge and droopy and unflattering (not like in the picture). the arm holes were too big and hung down so you could see my bra, which i really hate and which is way too common lately. the bottom half fit perfectly, so sizing up or down would not have helped. the material is super light and comfy, which i liked very muc</v>
      </c>
      <c r="F308" s="8">
        <f>IFERROR(__xludf.DUMMYFUNCTION("""COMPUTED_VALUE"""),3.0)</f>
        <v>3</v>
      </c>
      <c r="G308" s="8">
        <f>IFERROR(__xludf.DUMMYFUNCTION("""COMPUTED_VALUE"""),0.0)</f>
        <v>0</v>
      </c>
      <c r="H308" s="8">
        <f>IFERROR(__xludf.DUMMYFUNCTION("""COMPUTED_VALUE"""),1.0)</f>
        <v>1</v>
      </c>
      <c r="I308" s="8" t="str">
        <f>IFERROR(__xludf.DUMMYFUNCTION("""COMPUTED_VALUE"""),"General Petite")</f>
        <v>General Petite</v>
      </c>
      <c r="J308" s="8" t="str">
        <f>IFERROR(__xludf.DUMMYFUNCTION("""COMPUTED_VALUE"""),"Bottoms")</f>
        <v>Bottoms</v>
      </c>
      <c r="K308" s="8" t="str">
        <f>IFERROR(__xludf.DUMMYFUNCTION("""COMPUTED_VALUE"""),"Pants")</f>
        <v>Pants</v>
      </c>
      <c r="L308" s="8" t="str">
        <f t="shared" si="1"/>
        <v>Size issue-Fabric issue---</v>
      </c>
    </row>
    <row r="309">
      <c r="A309" s="8">
        <f>IFERROR(__xludf.DUMMYFUNCTION("""COMPUTED_VALUE"""),1645.0)</f>
        <v>1645</v>
      </c>
      <c r="B309" s="8">
        <f>IFERROR(__xludf.DUMMYFUNCTION("""COMPUTED_VALUE"""),1044.0)</f>
        <v>1044</v>
      </c>
      <c r="C309" s="8">
        <f>IFERROR(__xludf.DUMMYFUNCTION("""COMPUTED_VALUE"""),39.0)</f>
        <v>39</v>
      </c>
      <c r="D309" s="8"/>
      <c r="E309" s="15" t="str">
        <f>IFERROR(__xludf.DUMMYFUNCTION("""COMPUTED_VALUE"""),"Runs large and pocket detail is very prominent. wanted a crisper, trouser-like pant--this is not it!")</f>
        <v>Runs large and pocket detail is very prominent. wanted a crisper, trouser-like pant--this is not it!</v>
      </c>
      <c r="F309" s="8">
        <f>IFERROR(__xludf.DUMMYFUNCTION("""COMPUTED_VALUE"""),3.0)</f>
        <v>3</v>
      </c>
      <c r="G309" s="8">
        <f>IFERROR(__xludf.DUMMYFUNCTION("""COMPUTED_VALUE"""),0.0)</f>
        <v>0</v>
      </c>
      <c r="H309" s="8">
        <f>IFERROR(__xludf.DUMMYFUNCTION("""COMPUTED_VALUE"""),0.0)</f>
        <v>0</v>
      </c>
      <c r="I309" s="8" t="str">
        <f>IFERROR(__xludf.DUMMYFUNCTION("""COMPUTED_VALUE"""),"General")</f>
        <v>General</v>
      </c>
      <c r="J309" s="8" t="str">
        <f>IFERROR(__xludf.DUMMYFUNCTION("""COMPUTED_VALUE"""),"Bottoms")</f>
        <v>Bottoms</v>
      </c>
      <c r="K309" s="8" t="str">
        <f>IFERROR(__xludf.DUMMYFUNCTION("""COMPUTED_VALUE"""),"Pants")</f>
        <v>Pants</v>
      </c>
      <c r="L309" s="8" t="str">
        <f t="shared" si="1"/>
        <v>Size issue----</v>
      </c>
    </row>
    <row r="310">
      <c r="A310" s="8">
        <f>IFERROR(__xludf.DUMMYFUNCTION("""COMPUTED_VALUE"""),1646.0)</f>
        <v>1646</v>
      </c>
      <c r="B310" s="8">
        <f>IFERROR(__xludf.DUMMYFUNCTION("""COMPUTED_VALUE"""),835.0)</f>
        <v>835</v>
      </c>
      <c r="C310" s="8">
        <f>IFERROR(__xludf.DUMMYFUNCTION("""COMPUTED_VALUE"""),32.0)</f>
        <v>32</v>
      </c>
      <c r="D310" s="8" t="str">
        <f>IFERROR(__xludf.DUMMYFUNCTION("""COMPUTED_VALUE"""),"Pirate sleeves")</f>
        <v>Pirate sleeves</v>
      </c>
      <c r="E310" s="15" t="str">
        <f>IFERROR(__xludf.DUMMYFUNCTION("""COMPUTED_VALUE"""),"The beadwork is gorgeous, but the sleeves are so puffy, it looks as though you're wearing shoulder pads. the fabric of the shirt isn't that fabulous either.")</f>
        <v>The beadwork is gorgeous, but the sleeves are so puffy, it looks as though you're wearing shoulder pads. the fabric of the shirt isn't that fabulous either.</v>
      </c>
      <c r="F310" s="8">
        <f>IFERROR(__xludf.DUMMYFUNCTION("""COMPUTED_VALUE"""),1.0)</f>
        <v>1</v>
      </c>
      <c r="G310" s="8">
        <f>IFERROR(__xludf.DUMMYFUNCTION("""COMPUTED_VALUE"""),0.0)</f>
        <v>0</v>
      </c>
      <c r="H310" s="8">
        <f>IFERROR(__xludf.DUMMYFUNCTION("""COMPUTED_VALUE"""),0.0)</f>
        <v>0</v>
      </c>
      <c r="I310" s="8" t="str">
        <f>IFERROR(__xludf.DUMMYFUNCTION("""COMPUTED_VALUE"""),"General Petite")</f>
        <v>General Petite</v>
      </c>
      <c r="J310" s="8" t="str">
        <f>IFERROR(__xludf.DUMMYFUNCTION("""COMPUTED_VALUE"""),"Tops")</f>
        <v>Tops</v>
      </c>
      <c r="K310" s="8" t="str">
        <f>IFERROR(__xludf.DUMMYFUNCTION("""COMPUTED_VALUE"""),"Blouses")</f>
        <v>Blouses</v>
      </c>
      <c r="L310" s="8" t="str">
        <f t="shared" si="1"/>
        <v>Size issue----</v>
      </c>
    </row>
    <row r="311">
      <c r="A311" s="8">
        <f>IFERROR(__xludf.DUMMYFUNCTION("""COMPUTED_VALUE"""),1654.0)</f>
        <v>1654</v>
      </c>
      <c r="B311" s="8">
        <f>IFERROR(__xludf.DUMMYFUNCTION("""COMPUTED_VALUE"""),434.0)</f>
        <v>434</v>
      </c>
      <c r="C311" s="8">
        <f>IFERROR(__xludf.DUMMYFUNCTION("""COMPUTED_VALUE"""),37.0)</f>
        <v>37</v>
      </c>
      <c r="D311" s="8" t="str">
        <f>IFERROR(__xludf.DUMMYFUNCTION("""COMPUTED_VALUE"""),"Nice idea")</f>
        <v>Nice idea</v>
      </c>
      <c r="E311" s="15" t="str">
        <f>IFERROR(__xludf.DUMMYFUNCTION("""COMPUTED_VALUE"""),"The blue was a great color and i like the idea of a reversible top. however the xs was just swimming on me. this looks much more fitted in the pictures. my favorite workout top is from this brand and it is fitted and held up for 6 months. where are the fi"&amp;"tted tops?? i'll keep looking.")</f>
        <v>The blue was a great color and i like the idea of a reversible top. however the xs was just swimming on me. this looks much more fitted in the pictures. my favorite workout top is from this brand and it is fitted and held up for 6 months. where are the fitted tops?? i'll keep looking.</v>
      </c>
      <c r="F311" s="8">
        <f>IFERROR(__xludf.DUMMYFUNCTION("""COMPUTED_VALUE"""),3.0)</f>
        <v>3</v>
      </c>
      <c r="G311" s="8">
        <f>IFERROR(__xludf.DUMMYFUNCTION("""COMPUTED_VALUE"""),0.0)</f>
        <v>0</v>
      </c>
      <c r="H311" s="8">
        <f>IFERROR(__xludf.DUMMYFUNCTION("""COMPUTED_VALUE"""),1.0)</f>
        <v>1</v>
      </c>
      <c r="I311" s="8" t="str">
        <f>IFERROR(__xludf.DUMMYFUNCTION("""COMPUTED_VALUE"""),"Initmates")</f>
        <v>Initmates</v>
      </c>
      <c r="J311" s="8" t="str">
        <f>IFERROR(__xludf.DUMMYFUNCTION("""COMPUTED_VALUE"""),"Intimate")</f>
        <v>Intimate</v>
      </c>
      <c r="K311" s="8" t="str">
        <f>IFERROR(__xludf.DUMMYFUNCTION("""COMPUTED_VALUE"""),"Lounge")</f>
        <v>Lounge</v>
      </c>
      <c r="L311" s="8" t="str">
        <f t="shared" si="1"/>
        <v>----</v>
      </c>
    </row>
    <row r="312">
      <c r="A312" s="8">
        <f>IFERROR(__xludf.DUMMYFUNCTION("""COMPUTED_VALUE"""),1658.0)</f>
        <v>1658</v>
      </c>
      <c r="B312" s="8">
        <f>IFERROR(__xludf.DUMMYFUNCTION("""COMPUTED_VALUE"""),1104.0)</f>
        <v>1104</v>
      </c>
      <c r="C312" s="8">
        <f>IFERROR(__xludf.DUMMYFUNCTION("""COMPUTED_VALUE"""),51.0)</f>
        <v>51</v>
      </c>
      <c r="D312" s="8" t="str">
        <f>IFERROR(__xludf.DUMMYFUNCTION("""COMPUTED_VALUE"""),"Cute but no shape or support up top")</f>
        <v>Cute but no shape or support up top</v>
      </c>
      <c r="E312" s="15" t="str">
        <f>IFERROR(__xludf.DUMMYFUNCTION("""COMPUTED_VALUE"""),"This is not worth $128. it looks cute on but....there is no support in the bust area. just a slight tuck in the fabric -it also is very flowy which is great and it is comfortable but for the price and the thinness and lack of meatiness to the fabric itsel"&amp;"f i cannot recommend and will be returning. i'll look for something else. i haven't bought from retailer in a dogs age and i hope the quality hasn't slipped - i will look for another option.")</f>
        <v>This is not worth $128. it looks cute on but....there is no support in the bust area. just a slight tuck in the fabric -it also is very flowy which is great and it is comfortable but for the price and the thinness and lack of meatiness to the fabric itself i cannot recommend and will be returning. i'll look for something else. i haven't bought from retailer in a dogs age and i hope the quality hasn't slipped - i will look for another option.</v>
      </c>
      <c r="F312" s="8">
        <f>IFERROR(__xludf.DUMMYFUNCTION("""COMPUTED_VALUE"""),3.0)</f>
        <v>3</v>
      </c>
      <c r="G312" s="8">
        <f>IFERROR(__xludf.DUMMYFUNCTION("""COMPUTED_VALUE"""),0.0)</f>
        <v>0</v>
      </c>
      <c r="H312" s="8">
        <f>IFERROR(__xludf.DUMMYFUNCTION("""COMPUTED_VALUE"""),11.0)</f>
        <v>11</v>
      </c>
      <c r="I312" s="8" t="str">
        <f>IFERROR(__xludf.DUMMYFUNCTION("""COMPUTED_VALUE"""),"General Petite")</f>
        <v>General Petite</v>
      </c>
      <c r="J312" s="8" t="str">
        <f>IFERROR(__xludf.DUMMYFUNCTION("""COMPUTED_VALUE"""),"Dresses")</f>
        <v>Dresses</v>
      </c>
      <c r="K312" s="8" t="str">
        <f>IFERROR(__xludf.DUMMYFUNCTION("""COMPUTED_VALUE"""),"Dresses")</f>
        <v>Dresses</v>
      </c>
      <c r="L312" s="8" t="str">
        <f t="shared" si="1"/>
        <v>-Fabric issue---</v>
      </c>
    </row>
    <row r="313">
      <c r="A313" s="8">
        <f>IFERROR(__xludf.DUMMYFUNCTION("""COMPUTED_VALUE"""),1663.0)</f>
        <v>1663</v>
      </c>
      <c r="B313" s="8">
        <f>IFERROR(__xludf.DUMMYFUNCTION("""COMPUTED_VALUE"""),835.0)</f>
        <v>835</v>
      </c>
      <c r="C313" s="8">
        <f>IFERROR(__xludf.DUMMYFUNCTION("""COMPUTED_VALUE"""),27.0)</f>
        <v>27</v>
      </c>
      <c r="D313" s="8" t="str">
        <f>IFERROR(__xludf.DUMMYFUNCTION("""COMPUTED_VALUE"""),"Beautiful details, but not quite right")</f>
        <v>Beautiful details, but not quite right</v>
      </c>
      <c r="E313" s="15" t="str">
        <f>IFERROR(__xludf.DUMMYFUNCTION("""COMPUTED_VALUE"""),"I've been adoring this online and while in store i happened upon this blouse and tried it on. the material was sturdy and the beading oh-so lovely, but on my frame it looked terrible. (i normally wear size m/10 in retailer clothes). as another reviewer me"&amp;"ntioned, this blouse has rather puffy sleeves which aren't evident in the photo of the model. as well, i also didn't love the collar, which doesn't quite lay flat. if i were to buy this i would have to wait for it to go on sale and then get the po")</f>
        <v>I've been adoring this online and while in store i happened upon this blouse and tried it on. the material was sturdy and the beading oh-so lovely, but on my frame it looked terrible. (i normally wear size m/10 in retailer clothes). as another reviewer mentioned, this blouse has rather puffy sleeves which aren't evident in the photo of the model. as well, i also didn't love the collar, which doesn't quite lay flat. if i were to buy this i would have to wait for it to go on sale and then get the po</v>
      </c>
      <c r="F313" s="8">
        <f>IFERROR(__xludf.DUMMYFUNCTION("""COMPUTED_VALUE"""),3.0)</f>
        <v>3</v>
      </c>
      <c r="G313" s="8">
        <f>IFERROR(__xludf.DUMMYFUNCTION("""COMPUTED_VALUE"""),0.0)</f>
        <v>0</v>
      </c>
      <c r="H313" s="8">
        <f>IFERROR(__xludf.DUMMYFUNCTION("""COMPUTED_VALUE"""),0.0)</f>
        <v>0</v>
      </c>
      <c r="I313" s="8" t="str">
        <f>IFERROR(__xludf.DUMMYFUNCTION("""COMPUTED_VALUE"""),"General Petite")</f>
        <v>General Petite</v>
      </c>
      <c r="J313" s="8" t="str">
        <f>IFERROR(__xludf.DUMMYFUNCTION("""COMPUTED_VALUE"""),"Tops")</f>
        <v>Tops</v>
      </c>
      <c r="K313" s="8" t="str">
        <f>IFERROR(__xludf.DUMMYFUNCTION("""COMPUTED_VALUE"""),"Blouses")</f>
        <v>Blouses</v>
      </c>
      <c r="L313" s="8" t="str">
        <f t="shared" si="1"/>
        <v>Size issue-Fabric issue---Matching Awareness issue</v>
      </c>
    </row>
    <row r="314">
      <c r="A314" s="8">
        <f>IFERROR(__xludf.DUMMYFUNCTION("""COMPUTED_VALUE"""),1665.0)</f>
        <v>1665</v>
      </c>
      <c r="B314" s="8">
        <f>IFERROR(__xludf.DUMMYFUNCTION("""COMPUTED_VALUE"""),835.0)</f>
        <v>835</v>
      </c>
      <c r="C314" s="8">
        <f>IFERROR(__xludf.DUMMYFUNCTION("""COMPUTED_VALUE"""),28.0)</f>
        <v>28</v>
      </c>
      <c r="D314" s="8" t="str">
        <f>IFERROR(__xludf.DUMMYFUNCTION("""COMPUTED_VALUE"""),"Maternity top")</f>
        <v>Maternity top</v>
      </c>
      <c r="E314" s="15" t="str">
        <f>IFERROR(__xludf.DUMMYFUNCTION("""COMPUTED_VALUE"""),"Extremely disappointed with this top. it runs extremely large. i'm 5'2, 130 lbs, 34c and usually wear between a 0-2 &amp; xs-s tops at retailer. i ordered a 0 and it looked like a maternity top on me. the bottom half of the top flared out and did not fit clos"&amp;"e to the body at all. fabric was also a gauze-like material that was not soft. unfortunately, i will be returning.")</f>
        <v>Extremely disappointed with this top. it runs extremely large. i'm 5'2, 130 lbs, 34c and usually wear between a 0-2 &amp; xs-s tops at retailer. i ordered a 0 and it looked like a maternity top on me. the bottom half of the top flared out and did not fit close to the body at all. fabric was also a gauze-like material that was not soft. unfortunately, i will be returning.</v>
      </c>
      <c r="F314" s="8">
        <f>IFERROR(__xludf.DUMMYFUNCTION("""COMPUTED_VALUE"""),1.0)</f>
        <v>1</v>
      </c>
      <c r="G314" s="8">
        <f>IFERROR(__xludf.DUMMYFUNCTION("""COMPUTED_VALUE"""),0.0)</f>
        <v>0</v>
      </c>
      <c r="H314" s="8">
        <f>IFERROR(__xludf.DUMMYFUNCTION("""COMPUTED_VALUE"""),4.0)</f>
        <v>4</v>
      </c>
      <c r="I314" s="8" t="str">
        <f>IFERROR(__xludf.DUMMYFUNCTION("""COMPUTED_VALUE"""),"General Petite")</f>
        <v>General Petite</v>
      </c>
      <c r="J314" s="8" t="str">
        <f>IFERROR(__xludf.DUMMYFUNCTION("""COMPUTED_VALUE"""),"Tops")</f>
        <v>Tops</v>
      </c>
      <c r="K314" s="8" t="str">
        <f>IFERROR(__xludf.DUMMYFUNCTION("""COMPUTED_VALUE"""),"Blouses")</f>
        <v>Blouses</v>
      </c>
      <c r="L314" s="8" t="str">
        <f t="shared" si="1"/>
        <v>Size issue-Fabric issue---</v>
      </c>
    </row>
    <row r="315">
      <c r="A315" s="8">
        <f>IFERROR(__xludf.DUMMYFUNCTION("""COMPUTED_VALUE"""),1666.0)</f>
        <v>1666</v>
      </c>
      <c r="B315" s="8">
        <f>IFERROR(__xludf.DUMMYFUNCTION("""COMPUTED_VALUE"""),835.0)</f>
        <v>835</v>
      </c>
      <c r="C315" s="8">
        <f>IFERROR(__xludf.DUMMYFUNCTION("""COMPUTED_VALUE"""),56.0)</f>
        <v>56</v>
      </c>
      <c r="D315" s="8" t="str">
        <f>IFERROR(__xludf.DUMMYFUNCTION("""COMPUTED_VALUE"""),"Why floreat? so perfect, yet so wrong!")</f>
        <v>Why floreat? so perfect, yet so wrong!</v>
      </c>
      <c r="E315" s="15" t="str">
        <f>IFERROR(__xludf.DUMMYFUNCTION("""COMPUTED_VALUE"""),"Tried this lovely with high waste, wide leg, black flowy pants. everything i could hope for and more, but not quite!
size: blindly ordered size 6. i'm usually a small, occasionally xs in retailer brands like floreat and akemi+kin. i'm 5'5"" tall, 130 lbs"&amp;", 34d, 35-29-37, long torso, narrow shoulders, and short arms.
fit: size 6 had just enough space through the bust. the lace edged sleeves were roomy and just reached my wrists. the shoulders were just right. extra fabric ballooned out around t")</f>
        <v>Tried this lovely with high waste, wide leg, black flowy pants. everything i could hope for and more, but not quite!
size: blindly ordered size 6. i'm usually a small, occasionally xs in retailer brands like floreat and akemi+kin. i'm 5'5" tall, 130 lbs, 34d, 35-29-37, long torso, narrow shoulders, and short arms.
fit: size 6 had just enough space through the bust. the lace edged sleeves were roomy and just reached my wrists. the shoulders were just right. extra fabric ballooned out around t</v>
      </c>
      <c r="F315" s="8">
        <f>IFERROR(__xludf.DUMMYFUNCTION("""COMPUTED_VALUE"""),3.0)</f>
        <v>3</v>
      </c>
      <c r="G315" s="8">
        <f>IFERROR(__xludf.DUMMYFUNCTION("""COMPUTED_VALUE"""),0.0)</f>
        <v>0</v>
      </c>
      <c r="H315" s="8">
        <f>IFERROR(__xludf.DUMMYFUNCTION("""COMPUTED_VALUE"""),25.0)</f>
        <v>25</v>
      </c>
      <c r="I315" s="8" t="str">
        <f>IFERROR(__xludf.DUMMYFUNCTION("""COMPUTED_VALUE"""),"General Petite")</f>
        <v>General Petite</v>
      </c>
      <c r="J315" s="8" t="str">
        <f>IFERROR(__xludf.DUMMYFUNCTION("""COMPUTED_VALUE"""),"Tops")</f>
        <v>Tops</v>
      </c>
      <c r="K315" s="8" t="str">
        <f>IFERROR(__xludf.DUMMYFUNCTION("""COMPUTED_VALUE"""),"Blouses")</f>
        <v>Blouses</v>
      </c>
      <c r="L315" s="8" t="str">
        <f t="shared" si="1"/>
        <v>Size issue----</v>
      </c>
    </row>
    <row r="316">
      <c r="A316" s="8">
        <f>IFERROR(__xludf.DUMMYFUNCTION("""COMPUTED_VALUE"""),1678.0)</f>
        <v>1678</v>
      </c>
      <c r="B316" s="8">
        <f>IFERROR(__xludf.DUMMYFUNCTION("""COMPUTED_VALUE"""),878.0)</f>
        <v>878</v>
      </c>
      <c r="C316" s="8">
        <f>IFERROR(__xludf.DUMMYFUNCTION("""COMPUTED_VALUE"""),48.0)</f>
        <v>48</v>
      </c>
      <c r="D316" s="8"/>
      <c r="E316" s="15" t="str">
        <f>IFERROR(__xludf.DUMMYFUNCTION("""COMPUTED_VALUE"""),"Very cute top but runs very very big ! im5 ft 5 in tall, 120 lbs. i ordered the xs but it was so big it looked like a maternity top.. sadly returned the top. otherwise the top was made of good quality fabric.")</f>
        <v>Very cute top but runs very very big ! im5 ft 5 in tall, 120 lbs. i ordered the xs but it was so big it looked like a maternity top.. sadly returned the top. otherwise the top was made of good quality fabric.</v>
      </c>
      <c r="F316" s="8">
        <f>IFERROR(__xludf.DUMMYFUNCTION("""COMPUTED_VALUE"""),2.0)</f>
        <v>2</v>
      </c>
      <c r="G316" s="8">
        <f>IFERROR(__xludf.DUMMYFUNCTION("""COMPUTED_VALUE"""),0.0)</f>
        <v>0</v>
      </c>
      <c r="H316" s="8">
        <f>IFERROR(__xludf.DUMMYFUNCTION("""COMPUTED_VALUE"""),2.0)</f>
        <v>2</v>
      </c>
      <c r="I316" s="8" t="str">
        <f>IFERROR(__xludf.DUMMYFUNCTION("""COMPUTED_VALUE"""),"General")</f>
        <v>General</v>
      </c>
      <c r="J316" s="8" t="str">
        <f>IFERROR(__xludf.DUMMYFUNCTION("""COMPUTED_VALUE"""),"Tops")</f>
        <v>Tops</v>
      </c>
      <c r="K316" s="8" t="str">
        <f>IFERROR(__xludf.DUMMYFUNCTION("""COMPUTED_VALUE"""),"Knits")</f>
        <v>Knits</v>
      </c>
      <c r="L316" s="8" t="str">
        <f t="shared" si="1"/>
        <v>----</v>
      </c>
    </row>
    <row r="317">
      <c r="A317" s="8">
        <f>IFERROR(__xludf.DUMMYFUNCTION("""COMPUTED_VALUE"""),1680.0)</f>
        <v>1680</v>
      </c>
      <c r="B317" s="8">
        <f>IFERROR(__xludf.DUMMYFUNCTION("""COMPUTED_VALUE"""),178.0)</f>
        <v>178</v>
      </c>
      <c r="C317" s="8">
        <f>IFERROR(__xludf.DUMMYFUNCTION("""COMPUTED_VALUE"""),24.0)</f>
        <v>24</v>
      </c>
      <c r="D317" s="8" t="str">
        <f>IFERROR(__xludf.DUMMYFUNCTION("""COMPUTED_VALUE"""),"Very sheer and not as form fitting")</f>
        <v>Very sheer and not as form fitting</v>
      </c>
      <c r="E317" s="15" t="str">
        <f>IFERROR(__xludf.DUMMYFUNCTION("""COMPUTED_VALUE"""),"I have been eyeing this piece for months now! i broke down and bought it when they finally had my size in stock. i am 5 '4 and 110 lbs and have a very small chest so i ordered an xs. i think the top is too baggy for me. yes, the top and bottoms fit overal"&amp;"l, but it doesn't look as nice and form fitting like it does on the model. it is very sheer--which is the thing that discourages me the most. i love the concept of this piece but the execution could use some work, which i am willing to work on s")</f>
        <v>I have been eyeing this piece for months now! i broke down and bought it when they finally had my size in stock. i am 5 '4 and 110 lbs and have a very small chest so i ordered an xs. i think the top is too baggy for me. yes, the top and bottoms fit overall, but it doesn't look as nice and form fitting like it does on the model. it is very sheer--which is the thing that discourages me the most. i love the concept of this piece but the execution could use some work, which i am willing to work on s</v>
      </c>
      <c r="F317" s="8">
        <f>IFERROR(__xludf.DUMMYFUNCTION("""COMPUTED_VALUE"""),3.0)</f>
        <v>3</v>
      </c>
      <c r="G317" s="8">
        <f>IFERROR(__xludf.DUMMYFUNCTION("""COMPUTED_VALUE"""),0.0)</f>
        <v>0</v>
      </c>
      <c r="H317" s="8">
        <f>IFERROR(__xludf.DUMMYFUNCTION("""COMPUTED_VALUE"""),0.0)</f>
        <v>0</v>
      </c>
      <c r="I317" s="8" t="str">
        <f>IFERROR(__xludf.DUMMYFUNCTION("""COMPUTED_VALUE"""),"Initmates")</f>
        <v>Initmates</v>
      </c>
      <c r="J317" s="8" t="str">
        <f>IFERROR(__xludf.DUMMYFUNCTION("""COMPUTED_VALUE"""),"Intimate")</f>
        <v>Intimate</v>
      </c>
      <c r="K317" s="8" t="str">
        <f>IFERROR(__xludf.DUMMYFUNCTION("""COMPUTED_VALUE"""),"Intimates")</f>
        <v>Intimates</v>
      </c>
      <c r="L317" s="8" t="str">
        <f t="shared" si="1"/>
        <v>Size issue-Fabric issue---Matching Awareness issue</v>
      </c>
    </row>
    <row r="318">
      <c r="A318" s="8">
        <f>IFERROR(__xludf.DUMMYFUNCTION("""COMPUTED_VALUE"""),1687.0)</f>
        <v>1687</v>
      </c>
      <c r="B318" s="8">
        <f>IFERROR(__xludf.DUMMYFUNCTION("""COMPUTED_VALUE"""),841.0)</f>
        <v>841</v>
      </c>
      <c r="C318" s="8">
        <f>IFERROR(__xludf.DUMMYFUNCTION("""COMPUTED_VALUE"""),28.0)</f>
        <v>28</v>
      </c>
      <c r="D318" s="8" t="str">
        <f>IFERROR(__xludf.DUMMYFUNCTION("""COMPUTED_VALUE"""),"This top runs very large")</f>
        <v>This top runs very large</v>
      </c>
      <c r="E318" s="15" t="str">
        <f>IFERROR(__xludf.DUMMYFUNCTION("""COMPUTED_VALUE"""),"I expected the waist to be cinched like it appears on the model but it isn't. i ordered the xs and i'm swimming in it (i'm 5'4"" and 120 lb). would suggest ordering a few sizes down to avoid looking like you're wrapped in grandma's table runner.")</f>
        <v>I expected the waist to be cinched like it appears on the model but it isn't. i ordered the xs and i'm swimming in it (i'm 5'4" and 120 lb). would suggest ordering a few sizes down to avoid looking like you're wrapped in grandma's table runner.</v>
      </c>
      <c r="F318" s="8">
        <f>IFERROR(__xludf.DUMMYFUNCTION("""COMPUTED_VALUE"""),3.0)</f>
        <v>3</v>
      </c>
      <c r="G318" s="8">
        <f>IFERROR(__xludf.DUMMYFUNCTION("""COMPUTED_VALUE"""),0.0)</f>
        <v>0</v>
      </c>
      <c r="H318" s="8">
        <f>IFERROR(__xludf.DUMMYFUNCTION("""COMPUTED_VALUE"""),4.0)</f>
        <v>4</v>
      </c>
      <c r="I318" s="8" t="str">
        <f>IFERROR(__xludf.DUMMYFUNCTION("""COMPUTED_VALUE"""),"General")</f>
        <v>General</v>
      </c>
      <c r="J318" s="8" t="str">
        <f>IFERROR(__xludf.DUMMYFUNCTION("""COMPUTED_VALUE"""),"Tops")</f>
        <v>Tops</v>
      </c>
      <c r="K318" s="8" t="str">
        <f>IFERROR(__xludf.DUMMYFUNCTION("""COMPUTED_VALUE"""),"Blouses")</f>
        <v>Blouses</v>
      </c>
      <c r="L318" s="8" t="str">
        <f t="shared" si="1"/>
        <v>Size issue----Matching Awareness issue</v>
      </c>
    </row>
    <row r="319">
      <c r="A319" s="8">
        <f>IFERROR(__xludf.DUMMYFUNCTION("""COMPUTED_VALUE"""),1693.0)</f>
        <v>1693</v>
      </c>
      <c r="B319" s="8">
        <f>IFERROR(__xludf.DUMMYFUNCTION("""COMPUTED_VALUE"""),862.0)</f>
        <v>862</v>
      </c>
      <c r="C319" s="8">
        <f>IFERROR(__xludf.DUMMYFUNCTION("""COMPUTED_VALUE"""),38.0)</f>
        <v>38</v>
      </c>
      <c r="D319" s="8"/>
      <c r="E319" s="15" t="str">
        <f>IFERROR(__xludf.DUMMYFUNCTION("""COMPUTED_VALUE"""),"I really wanted to love this shirt. the fit was great, and the fabric just felt beautiful. luxurious, soft and flowing. but the collar was frayed... in addition, the little keyhole area fabric also had to be carefully handled to make it look smooth and no"&amp;"t like bad workmanship. i put it aside to return it, then this morning went to have another look at it, wanting to talk myself back into it. but i can't overlook the fact i'd be ordering a new shirt that would look time-worn. it may be only this")</f>
        <v>I really wanted to love this shirt. the fit was great, and the fabric just felt beautiful. luxurious, soft and flowing. but the collar was frayed... in addition, the little keyhole area fabric also had to be carefully handled to make it look smooth and not like bad workmanship. i put it aside to return it, then this morning went to have another look at it, wanting to talk myself back into it. but i can't overlook the fact i'd be ordering a new shirt that would look time-worn. it may be only this</v>
      </c>
      <c r="F319" s="8">
        <f>IFERROR(__xludf.DUMMYFUNCTION("""COMPUTED_VALUE"""),2.0)</f>
        <v>2</v>
      </c>
      <c r="G319" s="8">
        <f>IFERROR(__xludf.DUMMYFUNCTION("""COMPUTED_VALUE"""),0.0)</f>
        <v>0</v>
      </c>
      <c r="H319" s="8">
        <f>IFERROR(__xludf.DUMMYFUNCTION("""COMPUTED_VALUE"""),1.0)</f>
        <v>1</v>
      </c>
      <c r="I319" s="8" t="str">
        <f>IFERROR(__xludf.DUMMYFUNCTION("""COMPUTED_VALUE"""),"General")</f>
        <v>General</v>
      </c>
      <c r="J319" s="8" t="str">
        <f>IFERROR(__xludf.DUMMYFUNCTION("""COMPUTED_VALUE"""),"Tops")</f>
        <v>Tops</v>
      </c>
      <c r="K319" s="8" t="str">
        <f>IFERROR(__xludf.DUMMYFUNCTION("""COMPUTED_VALUE"""),"Knits")</f>
        <v>Knits</v>
      </c>
      <c r="L319" s="8" t="str">
        <f t="shared" si="1"/>
        <v>-Fabric issue---</v>
      </c>
    </row>
    <row r="320">
      <c r="A320" s="8">
        <f>IFERROR(__xludf.DUMMYFUNCTION("""COMPUTED_VALUE"""),1694.0)</f>
        <v>1694</v>
      </c>
      <c r="B320" s="8">
        <f>IFERROR(__xludf.DUMMYFUNCTION("""COMPUTED_VALUE"""),899.0)</f>
        <v>899</v>
      </c>
      <c r="C320" s="8">
        <f>IFERROR(__xludf.DUMMYFUNCTION("""COMPUTED_VALUE"""),45.0)</f>
        <v>45</v>
      </c>
      <c r="D320" s="8" t="str">
        <f>IFERROR(__xludf.DUMMYFUNCTION("""COMPUTED_VALUE"""),"Wish it looked as cute in person")</f>
        <v>Wish it looked as cute in person</v>
      </c>
      <c r="E320" s="15" t="str">
        <f>IFERROR(__xludf.DUMMYFUNCTION("""COMPUTED_VALUE"""),"This cardi is cuter in the stock photos. in person, the colors are a bit more drab. stock photos also don't show quite how much of a swing shape this has. it is very soft, though. returned it!")</f>
        <v>This cardi is cuter in the stock photos. in person, the colors are a bit more drab. stock photos also don't show quite how much of a swing shape this has. it is very soft, though. returned it!</v>
      </c>
      <c r="F320" s="8">
        <f>IFERROR(__xludf.DUMMYFUNCTION("""COMPUTED_VALUE"""),2.0)</f>
        <v>2</v>
      </c>
      <c r="G320" s="8">
        <f>IFERROR(__xludf.DUMMYFUNCTION("""COMPUTED_VALUE"""),0.0)</f>
        <v>0</v>
      </c>
      <c r="H320" s="8">
        <f>IFERROR(__xludf.DUMMYFUNCTION("""COMPUTED_VALUE"""),0.0)</f>
        <v>0</v>
      </c>
      <c r="I320" s="8" t="str">
        <f>IFERROR(__xludf.DUMMYFUNCTION("""COMPUTED_VALUE"""),"General Petite")</f>
        <v>General Petite</v>
      </c>
      <c r="J320" s="8" t="str">
        <f>IFERROR(__xludf.DUMMYFUNCTION("""COMPUTED_VALUE"""),"Tops")</f>
        <v>Tops</v>
      </c>
      <c r="K320" s="8" t="str">
        <f>IFERROR(__xludf.DUMMYFUNCTION("""COMPUTED_VALUE"""),"Fine gauge")</f>
        <v>Fine gauge</v>
      </c>
      <c r="L320" s="8" t="str">
        <f t="shared" si="1"/>
        <v>----</v>
      </c>
    </row>
    <row r="321">
      <c r="A321" s="8">
        <f>IFERROR(__xludf.DUMMYFUNCTION("""COMPUTED_VALUE"""),1695.0)</f>
        <v>1695</v>
      </c>
      <c r="B321" s="8">
        <f>IFERROR(__xludf.DUMMYFUNCTION("""COMPUTED_VALUE"""),862.0)</f>
        <v>862</v>
      </c>
      <c r="C321" s="8">
        <f>IFERROR(__xludf.DUMMYFUNCTION("""COMPUTED_VALUE"""),40.0)</f>
        <v>40</v>
      </c>
      <c r="D321" s="8"/>
      <c r="E321" s="15" t="str">
        <f>IFERROR(__xludf.DUMMYFUNCTION("""COMPUTED_VALUE"""),"The material is cheap and looks torn. not as nice as the picture.")</f>
        <v>The material is cheap and looks torn. not as nice as the picture.</v>
      </c>
      <c r="F321" s="8">
        <f>IFERROR(__xludf.DUMMYFUNCTION("""COMPUTED_VALUE"""),1.0)</f>
        <v>1</v>
      </c>
      <c r="G321" s="8">
        <f>IFERROR(__xludf.DUMMYFUNCTION("""COMPUTED_VALUE"""),0.0)</f>
        <v>0</v>
      </c>
      <c r="H321" s="8">
        <f>IFERROR(__xludf.DUMMYFUNCTION("""COMPUTED_VALUE"""),0.0)</f>
        <v>0</v>
      </c>
      <c r="I321" s="8" t="str">
        <f>IFERROR(__xludf.DUMMYFUNCTION("""COMPUTED_VALUE"""),"General")</f>
        <v>General</v>
      </c>
      <c r="J321" s="8" t="str">
        <f>IFERROR(__xludf.DUMMYFUNCTION("""COMPUTED_VALUE"""),"Tops")</f>
        <v>Tops</v>
      </c>
      <c r="K321" s="8" t="str">
        <f>IFERROR(__xludf.DUMMYFUNCTION("""COMPUTED_VALUE"""),"Knits")</f>
        <v>Knits</v>
      </c>
      <c r="L321" s="8" t="str">
        <f t="shared" si="1"/>
        <v>-Fabric issue-Style issue--</v>
      </c>
    </row>
    <row r="322">
      <c r="A322" s="8">
        <f>IFERROR(__xludf.DUMMYFUNCTION("""COMPUTED_VALUE"""),1701.0)</f>
        <v>1701</v>
      </c>
      <c r="B322" s="8">
        <f>IFERROR(__xludf.DUMMYFUNCTION("""COMPUTED_VALUE"""),225.0)</f>
        <v>225</v>
      </c>
      <c r="C322" s="8">
        <f>IFERROR(__xludf.DUMMYFUNCTION("""COMPUTED_VALUE"""),38.0)</f>
        <v>38</v>
      </c>
      <c r="D322" s="8" t="str">
        <f>IFERROR(__xludf.DUMMYFUNCTION("""COMPUTED_VALUE"""),"I wanted to love them")</f>
        <v>I wanted to love them</v>
      </c>
      <c r="E322" s="15" t="str">
        <f>IFERROR(__xludf.DUMMYFUNCTION("""COMPUTED_VALUE"""),"Adorable foxes, i was smitten in the store but the fix is bizarre and the foxes don't come up very high so you're limited in the length you can wear. i bought the m/l based on salesperson advice and i can't imagine trying anything smaller, i usually wear "&amp;"a size s or 4 bottom, these were super snug. back to the store they went.")</f>
        <v>Adorable foxes, i was smitten in the store but the fix is bizarre and the foxes don't come up very high so you're limited in the length you can wear. i bought the m/l based on salesperson advice and i can't imagine trying anything smaller, i usually wear a size s or 4 bottom, these were super snug. back to the store they went.</v>
      </c>
      <c r="F322" s="8">
        <f>IFERROR(__xludf.DUMMYFUNCTION("""COMPUTED_VALUE"""),2.0)</f>
        <v>2</v>
      </c>
      <c r="G322" s="8">
        <f>IFERROR(__xludf.DUMMYFUNCTION("""COMPUTED_VALUE"""),0.0)</f>
        <v>0</v>
      </c>
      <c r="H322" s="8">
        <f>IFERROR(__xludf.DUMMYFUNCTION("""COMPUTED_VALUE"""),0.0)</f>
        <v>0</v>
      </c>
      <c r="I322" s="8" t="str">
        <f>IFERROR(__xludf.DUMMYFUNCTION("""COMPUTED_VALUE"""),"Initmates")</f>
        <v>Initmates</v>
      </c>
      <c r="J322" s="8" t="str">
        <f>IFERROR(__xludf.DUMMYFUNCTION("""COMPUTED_VALUE"""),"Intimate")</f>
        <v>Intimate</v>
      </c>
      <c r="K322" s="8" t="str">
        <f>IFERROR(__xludf.DUMMYFUNCTION("""COMPUTED_VALUE"""),"Legwear")</f>
        <v>Legwear</v>
      </c>
      <c r="L322" s="8" t="str">
        <f t="shared" si="1"/>
        <v>Size issue----</v>
      </c>
    </row>
    <row r="323">
      <c r="A323" s="8">
        <f>IFERROR(__xludf.DUMMYFUNCTION("""COMPUTED_VALUE"""),1708.0)</f>
        <v>1708</v>
      </c>
      <c r="B323" s="8">
        <f>IFERROR(__xludf.DUMMYFUNCTION("""COMPUTED_VALUE"""),899.0)</f>
        <v>899</v>
      </c>
      <c r="C323" s="8">
        <f>IFERROR(__xludf.DUMMYFUNCTION("""COMPUTED_VALUE"""),28.0)</f>
        <v>28</v>
      </c>
      <c r="D323" s="8" t="str">
        <f>IFERROR(__xludf.DUMMYFUNCTION("""COMPUTED_VALUE"""),"Darker in person")</f>
        <v>Darker in person</v>
      </c>
      <c r="E323" s="15" t="str">
        <f>IFERROR(__xludf.DUMMYFUNCTION("""COMPUTED_VALUE"""),"This sweater is thicker and darker than it appears online. i thought it would be more of a blush color, but it's more dark gray and brown. it wasn't that flattering on me as a cardigan. looked a little cuter all buttoned up, but ultimately i am not keepin"&amp;"g because of the color.")</f>
        <v>This sweater is thicker and darker than it appears online. i thought it would be more of a blush color, but it's more dark gray and brown. it wasn't that flattering on me as a cardigan. looked a little cuter all buttoned up, but ultimately i am not keeping because of the color.</v>
      </c>
      <c r="F323" s="8">
        <f>IFERROR(__xludf.DUMMYFUNCTION("""COMPUTED_VALUE"""),3.0)</f>
        <v>3</v>
      </c>
      <c r="G323" s="8">
        <f>IFERROR(__xludf.DUMMYFUNCTION("""COMPUTED_VALUE"""),0.0)</f>
        <v>0</v>
      </c>
      <c r="H323" s="8">
        <f>IFERROR(__xludf.DUMMYFUNCTION("""COMPUTED_VALUE"""),0.0)</f>
        <v>0</v>
      </c>
      <c r="I323" s="8" t="str">
        <f>IFERROR(__xludf.DUMMYFUNCTION("""COMPUTED_VALUE"""),"General Petite")</f>
        <v>General Petite</v>
      </c>
      <c r="J323" s="8" t="str">
        <f>IFERROR(__xludf.DUMMYFUNCTION("""COMPUTED_VALUE"""),"Tops")</f>
        <v>Tops</v>
      </c>
      <c r="K323" s="8" t="str">
        <f>IFERROR(__xludf.DUMMYFUNCTION("""COMPUTED_VALUE"""),"Fine gauge")</f>
        <v>Fine gauge</v>
      </c>
      <c r="L323" s="8" t="str">
        <f t="shared" si="1"/>
        <v>----</v>
      </c>
    </row>
    <row r="324">
      <c r="A324" s="8">
        <f>IFERROR(__xludf.DUMMYFUNCTION("""COMPUTED_VALUE"""),1722.0)</f>
        <v>1722</v>
      </c>
      <c r="B324" s="8">
        <f>IFERROR(__xludf.DUMMYFUNCTION("""COMPUTED_VALUE"""),895.0)</f>
        <v>895</v>
      </c>
      <c r="C324" s="8">
        <f>IFERROR(__xludf.DUMMYFUNCTION("""COMPUTED_VALUE"""),30.0)</f>
        <v>30</v>
      </c>
      <c r="D324" s="8"/>
      <c r="E324" s="15" t="str">
        <f>IFERROR(__xludf.DUMMYFUNCTION("""COMPUTED_VALUE"""),"Nice fabric, great color, would be lovely ... on someone with a straight-and-narrow body type. for ladies with curves, take a pass--too much like maternity wear, and not in that elegantly slouchy kind of way. the straight-up ""is she or isn't she"" kind o"&amp;"f way.")</f>
        <v>Nice fabric, great color, would be lovely ... on someone with a straight-and-narrow body type. for ladies with curves, take a pass--too much like maternity wear, and not in that elegantly slouchy kind of way. the straight-up "is she or isn't she" kind of way.</v>
      </c>
      <c r="F324" s="8">
        <f>IFERROR(__xludf.DUMMYFUNCTION("""COMPUTED_VALUE"""),2.0)</f>
        <v>2</v>
      </c>
      <c r="G324" s="8">
        <f>IFERROR(__xludf.DUMMYFUNCTION("""COMPUTED_VALUE"""),0.0)</f>
        <v>0</v>
      </c>
      <c r="H324" s="8">
        <f>IFERROR(__xludf.DUMMYFUNCTION("""COMPUTED_VALUE"""),0.0)</f>
        <v>0</v>
      </c>
      <c r="I324" s="8" t="str">
        <f>IFERROR(__xludf.DUMMYFUNCTION("""COMPUTED_VALUE"""),"General")</f>
        <v>General</v>
      </c>
      <c r="J324" s="8" t="str">
        <f>IFERROR(__xludf.DUMMYFUNCTION("""COMPUTED_VALUE"""),"Tops")</f>
        <v>Tops</v>
      </c>
      <c r="K324" s="8" t="str">
        <f>IFERROR(__xludf.DUMMYFUNCTION("""COMPUTED_VALUE"""),"Fine gauge")</f>
        <v>Fine gauge</v>
      </c>
      <c r="L324" s="8" t="str">
        <f t="shared" si="1"/>
        <v>Size issue----</v>
      </c>
    </row>
    <row r="325">
      <c r="A325" s="8">
        <f>IFERROR(__xludf.DUMMYFUNCTION("""COMPUTED_VALUE"""),1732.0)</f>
        <v>1732</v>
      </c>
      <c r="B325" s="8">
        <f>IFERROR(__xludf.DUMMYFUNCTION("""COMPUTED_VALUE"""),841.0)</f>
        <v>841</v>
      </c>
      <c r="C325" s="8">
        <f>IFERROR(__xludf.DUMMYFUNCTION("""COMPUTED_VALUE"""),35.0)</f>
        <v>35</v>
      </c>
      <c r="D325" s="8" t="str">
        <f>IFERROR(__xludf.DUMMYFUNCTION("""COMPUTED_VALUE"""),"Does not fit as expected")</f>
        <v>Does not fit as expected</v>
      </c>
      <c r="E325" s="15" t="str">
        <f>IFERROR(__xludf.DUMMYFUNCTION("""COMPUTED_VALUE"""),"Note to photographers: please don't cinch the wait of a blouse to make something look tailored when it isn't. this could have been a real win if it had been more simply executed. i'm petite, way too much fabric. returned.")</f>
        <v>Note to photographers: please don't cinch the wait of a blouse to make something look tailored when it isn't. this could have been a real win if it had been more simply executed. i'm petite, way too much fabric. returned.</v>
      </c>
      <c r="F325" s="8">
        <f>IFERROR(__xludf.DUMMYFUNCTION("""COMPUTED_VALUE"""),2.0)</f>
        <v>2</v>
      </c>
      <c r="G325" s="8">
        <f>IFERROR(__xludf.DUMMYFUNCTION("""COMPUTED_VALUE"""),0.0)</f>
        <v>0</v>
      </c>
      <c r="H325" s="8">
        <f>IFERROR(__xludf.DUMMYFUNCTION("""COMPUTED_VALUE"""),3.0)</f>
        <v>3</v>
      </c>
      <c r="I325" s="8" t="str">
        <f>IFERROR(__xludf.DUMMYFUNCTION("""COMPUTED_VALUE"""),"General")</f>
        <v>General</v>
      </c>
      <c r="J325" s="8" t="str">
        <f>IFERROR(__xludf.DUMMYFUNCTION("""COMPUTED_VALUE"""),"Tops")</f>
        <v>Tops</v>
      </c>
      <c r="K325" s="8" t="str">
        <f>IFERROR(__xludf.DUMMYFUNCTION("""COMPUTED_VALUE"""),"Blouses")</f>
        <v>Blouses</v>
      </c>
      <c r="L325" s="8" t="str">
        <f t="shared" si="1"/>
        <v>----</v>
      </c>
    </row>
    <row r="326">
      <c r="A326" s="8">
        <f>IFERROR(__xludf.DUMMYFUNCTION("""COMPUTED_VALUE"""),1739.0)</f>
        <v>1739</v>
      </c>
      <c r="B326" s="8">
        <f>IFERROR(__xludf.DUMMYFUNCTION("""COMPUTED_VALUE"""),1008.0)</f>
        <v>1008</v>
      </c>
      <c r="C326" s="8">
        <f>IFERROR(__xludf.DUMMYFUNCTION("""COMPUTED_VALUE"""),29.0)</f>
        <v>29</v>
      </c>
      <c r="D326" s="8" t="str">
        <f>IFERROR(__xludf.DUMMYFUNCTION("""COMPUTED_VALUE"""),"Terrible!")</f>
        <v>Terrible!</v>
      </c>
      <c r="E326" s="15" t="str">
        <f>IFERROR(__xludf.DUMMYFUNCTION("""COMPUTED_VALUE"""),"This skirt was horrible on me. it was loose in the waist, tight in the hips and poofed out like crazy at the tiered part on the bottom. the material also felt cheap and clingy. i guess the fit is tts, but it's hard to tell given how strange the cut was.")</f>
        <v>This skirt was horrible on me. it was loose in the waist, tight in the hips and poofed out like crazy at the tiered part on the bottom. the material also felt cheap and clingy. i guess the fit is tts, but it's hard to tell given how strange the cut was.</v>
      </c>
      <c r="F326" s="8">
        <f>IFERROR(__xludf.DUMMYFUNCTION("""COMPUTED_VALUE"""),1.0)</f>
        <v>1</v>
      </c>
      <c r="G326" s="8">
        <f>IFERROR(__xludf.DUMMYFUNCTION("""COMPUTED_VALUE"""),0.0)</f>
        <v>0</v>
      </c>
      <c r="H326" s="8">
        <f>IFERROR(__xludf.DUMMYFUNCTION("""COMPUTED_VALUE"""),2.0)</f>
        <v>2</v>
      </c>
      <c r="I326" s="8" t="str">
        <f>IFERROR(__xludf.DUMMYFUNCTION("""COMPUTED_VALUE"""),"General Petite")</f>
        <v>General Petite</v>
      </c>
      <c r="J326" s="8" t="str">
        <f>IFERROR(__xludf.DUMMYFUNCTION("""COMPUTED_VALUE"""),"Bottoms")</f>
        <v>Bottoms</v>
      </c>
      <c r="K326" s="8" t="str">
        <f>IFERROR(__xludf.DUMMYFUNCTION("""COMPUTED_VALUE"""),"Skirts")</f>
        <v>Skirts</v>
      </c>
      <c r="L326" s="8" t="str">
        <f t="shared" si="1"/>
        <v>Size issue-Fabric issue-Style issue--</v>
      </c>
    </row>
    <row r="327">
      <c r="A327" s="8">
        <f>IFERROR(__xludf.DUMMYFUNCTION("""COMPUTED_VALUE"""),1755.0)</f>
        <v>1755</v>
      </c>
      <c r="B327" s="8">
        <f>IFERROR(__xludf.DUMMYFUNCTION("""COMPUTED_VALUE"""),1095.0)</f>
        <v>1095</v>
      </c>
      <c r="C327" s="8">
        <f>IFERROR(__xludf.DUMMYFUNCTION("""COMPUTED_VALUE"""),27.0)</f>
        <v>27</v>
      </c>
      <c r="D327" s="8" t="str">
        <f>IFERROR(__xludf.DUMMYFUNCTION("""COMPUTED_VALUE"""),"Runs small, stiff top")</f>
        <v>Runs small, stiff top</v>
      </c>
      <c r="E327" s="15" t="str">
        <f>IFERROR(__xludf.DUMMYFUNCTION("""COMPUTED_VALUE"""),"I ordered this in my usual size 0 and couldn't finish zipping up the top, but also couldn't fill in the boobs. i am 5'7, 116 lbs, 32a. it is very cute, but the top was pretty stiff and unless it draped on you correctly, could probably be bothersome. i was"&amp;" disappointed in the quality of the skirt- no lining, simple cotton/polyester. i will probably return, try the size up, but was disappointed compared to how excited i was for it. i did like that it had pockets, and would be a fun dress to wear f")</f>
        <v>I ordered this in my usual size 0 and couldn't finish zipping up the top, but also couldn't fill in the boobs. i am 5'7, 116 lbs, 32a. it is very cute, but the top was pretty stiff and unless it draped on you correctly, could probably be bothersome. i was disappointed in the quality of the skirt- no lining, simple cotton/polyester. i will probably return, try the size up, but was disappointed compared to how excited i was for it. i did like that it had pockets, and would be a fun dress to wear f</v>
      </c>
      <c r="F327" s="8">
        <f>IFERROR(__xludf.DUMMYFUNCTION("""COMPUTED_VALUE"""),4.0)</f>
        <v>4</v>
      </c>
      <c r="G327" s="8">
        <f>IFERROR(__xludf.DUMMYFUNCTION("""COMPUTED_VALUE"""),0.0)</f>
        <v>0</v>
      </c>
      <c r="H327" s="8">
        <f>IFERROR(__xludf.DUMMYFUNCTION("""COMPUTED_VALUE"""),0.0)</f>
        <v>0</v>
      </c>
      <c r="I327" s="8" t="str">
        <f>IFERROR(__xludf.DUMMYFUNCTION("""COMPUTED_VALUE"""),"General Petite")</f>
        <v>General Petite</v>
      </c>
      <c r="J327" s="8" t="str">
        <f>IFERROR(__xludf.DUMMYFUNCTION("""COMPUTED_VALUE"""),"Dresses")</f>
        <v>Dresses</v>
      </c>
      <c r="K327" s="8" t="str">
        <f>IFERROR(__xludf.DUMMYFUNCTION("""COMPUTED_VALUE"""),"Dresses")</f>
        <v>Dresses</v>
      </c>
      <c r="L327" s="8" t="str">
        <f t="shared" si="1"/>
        <v>Size issue----</v>
      </c>
    </row>
    <row r="328">
      <c r="A328" s="8">
        <f>IFERROR(__xludf.DUMMYFUNCTION("""COMPUTED_VALUE"""),1758.0)</f>
        <v>1758</v>
      </c>
      <c r="B328" s="8">
        <f>IFERROR(__xludf.DUMMYFUNCTION("""COMPUTED_VALUE"""),1013.0)</f>
        <v>1013</v>
      </c>
      <c r="C328" s="8">
        <f>IFERROR(__xludf.DUMMYFUNCTION("""COMPUTED_VALUE"""),28.0)</f>
        <v>28</v>
      </c>
      <c r="D328" s="8" t="str">
        <f>IFERROR(__xludf.DUMMYFUNCTION("""COMPUTED_VALUE"""),"Omg! back is see-through!!")</f>
        <v>Omg! back is see-through!!</v>
      </c>
      <c r="E328" s="15" t="str">
        <f>IFERROR(__xludf.DUMMYFUNCTION("""COMPUTED_VALUE"""),"I was so excited about this skirt and pairing it with a cute blouse for the warmer weather. as i took out the skirt out of the package and flipped it around, the back has mesh strips that are see through! there is also no lining to go with this skirt. if "&amp;"you go back to the ""back view"" picture on the website and zoom in closely, you can see the model's black underwear.")</f>
        <v>I was so excited about this skirt and pairing it with a cute blouse for the warmer weather. as i took out the skirt out of the package and flipped it around, the back has mesh strips that are see through! there is also no lining to go with this skirt. if you go back to the "back view" picture on the website and zoom in closely, you can see the model's black underwear.</v>
      </c>
      <c r="F328" s="8">
        <f>IFERROR(__xludf.DUMMYFUNCTION("""COMPUTED_VALUE"""),1.0)</f>
        <v>1</v>
      </c>
      <c r="G328" s="8">
        <f>IFERROR(__xludf.DUMMYFUNCTION("""COMPUTED_VALUE"""),0.0)</f>
        <v>0</v>
      </c>
      <c r="H328" s="8">
        <f>IFERROR(__xludf.DUMMYFUNCTION("""COMPUTED_VALUE"""),1.0)</f>
        <v>1</v>
      </c>
      <c r="I328" s="8" t="str">
        <f>IFERROR(__xludf.DUMMYFUNCTION("""COMPUTED_VALUE"""),"General")</f>
        <v>General</v>
      </c>
      <c r="J328" s="8" t="str">
        <f>IFERROR(__xludf.DUMMYFUNCTION("""COMPUTED_VALUE"""),"Bottoms")</f>
        <v>Bottoms</v>
      </c>
      <c r="K328" s="8" t="str">
        <f>IFERROR(__xludf.DUMMYFUNCTION("""COMPUTED_VALUE"""),"Skirts")</f>
        <v>Skirts</v>
      </c>
      <c r="L328" s="8" t="str">
        <f t="shared" si="1"/>
        <v>----Matching Awareness issue</v>
      </c>
    </row>
    <row r="329">
      <c r="A329" s="8">
        <f>IFERROR(__xludf.DUMMYFUNCTION("""COMPUTED_VALUE"""),1760.0)</f>
        <v>1760</v>
      </c>
      <c r="B329" s="8">
        <f>IFERROR(__xludf.DUMMYFUNCTION("""COMPUTED_VALUE"""),1095.0)</f>
        <v>1095</v>
      </c>
      <c r="C329" s="8">
        <f>IFERROR(__xludf.DUMMYFUNCTION("""COMPUTED_VALUE"""),46.0)</f>
        <v>46</v>
      </c>
      <c r="D329" s="8" t="str">
        <f>IFERROR(__xludf.DUMMYFUNCTION("""COMPUTED_VALUE"""),"Runs very small")</f>
        <v>Runs very small</v>
      </c>
      <c r="E329" s="15" t="str">
        <f>IFERROR(__xludf.DUMMYFUNCTION("""COMPUTED_VALUE"""),"I love the style of this dress, but unfortunately, it runs very small. i normally wear a size 8. i ordered a 10 and the dress was closer to a size 6. disappointed that i had to return it. also, the seams were poorly done and threads hung out everywhere on"&amp;" the hem.")</f>
        <v>I love the style of this dress, but unfortunately, it runs very small. i normally wear a size 8. i ordered a 10 and the dress was closer to a size 6. disappointed that i had to return it. also, the seams were poorly done and threads hung out everywhere on the hem.</v>
      </c>
      <c r="F329" s="8">
        <f>IFERROR(__xludf.DUMMYFUNCTION("""COMPUTED_VALUE"""),3.0)</f>
        <v>3</v>
      </c>
      <c r="G329" s="8">
        <f>IFERROR(__xludf.DUMMYFUNCTION("""COMPUTED_VALUE"""),0.0)</f>
        <v>0</v>
      </c>
      <c r="H329" s="8">
        <f>IFERROR(__xludf.DUMMYFUNCTION("""COMPUTED_VALUE"""),1.0)</f>
        <v>1</v>
      </c>
      <c r="I329" s="8" t="str">
        <f>IFERROR(__xludf.DUMMYFUNCTION("""COMPUTED_VALUE"""),"General Petite")</f>
        <v>General Petite</v>
      </c>
      <c r="J329" s="8" t="str">
        <f>IFERROR(__xludf.DUMMYFUNCTION("""COMPUTED_VALUE"""),"Dresses")</f>
        <v>Dresses</v>
      </c>
      <c r="K329" s="8" t="str">
        <f>IFERROR(__xludf.DUMMYFUNCTION("""COMPUTED_VALUE"""),"Dresses")</f>
        <v>Dresses</v>
      </c>
      <c r="L329" s="8" t="str">
        <f t="shared" si="1"/>
        <v>Size issue----</v>
      </c>
    </row>
    <row r="330">
      <c r="A330" s="8">
        <f>IFERROR(__xludf.DUMMYFUNCTION("""COMPUTED_VALUE"""),1761.0)</f>
        <v>1761</v>
      </c>
      <c r="B330" s="8">
        <f>IFERROR(__xludf.DUMMYFUNCTION("""COMPUTED_VALUE"""),1095.0)</f>
        <v>1095</v>
      </c>
      <c r="C330" s="8">
        <f>IFERROR(__xludf.DUMMYFUNCTION("""COMPUTED_VALUE"""),34.0)</f>
        <v>34</v>
      </c>
      <c r="D330" s="8" t="str">
        <f>IFERROR(__xludf.DUMMYFUNCTION("""COMPUTED_VALUE"""),"Fit works for some and for others")</f>
        <v>Fit works for some and for others</v>
      </c>
      <c r="E330" s="15" t="str">
        <f>IFERROR(__xludf.DUMMYFUNCTION("""COMPUTED_VALUE"""),"This dress did not work for me. i tried it in my bigger size 6 since i am coming off winter weight gain. the dress fit tts but was squishing the breasts like tight bandages. i have smaller chest and the stretch bodycon fabric of the bodice made me look fl"&amp;"at-chested. the straps did not sit flat on shoulders, i assume because they were not pulled tight enough by the chest. the dress was uncomfortable and felt strange on. but i can see how others with more curves on top will love the support of the")</f>
        <v>This dress did not work for me. i tried it in my bigger size 6 since i am coming off winter weight gain. the dress fit tts but was squishing the breasts like tight bandages. i have smaller chest and the stretch bodycon fabric of the bodice made me look flat-chested. the straps did not sit flat on shoulders, i assume because they were not pulled tight enough by the chest. the dress was uncomfortable and felt strange on. but i can see how others with more curves on top will love the support of the</v>
      </c>
      <c r="F330" s="8">
        <f>IFERROR(__xludf.DUMMYFUNCTION("""COMPUTED_VALUE"""),3.0)</f>
        <v>3</v>
      </c>
      <c r="G330" s="8">
        <f>IFERROR(__xludf.DUMMYFUNCTION("""COMPUTED_VALUE"""),0.0)</f>
        <v>0</v>
      </c>
      <c r="H330" s="8">
        <f>IFERROR(__xludf.DUMMYFUNCTION("""COMPUTED_VALUE"""),4.0)</f>
        <v>4</v>
      </c>
      <c r="I330" s="8" t="str">
        <f>IFERROR(__xludf.DUMMYFUNCTION("""COMPUTED_VALUE"""),"General Petite")</f>
        <v>General Petite</v>
      </c>
      <c r="J330" s="8" t="str">
        <f>IFERROR(__xludf.DUMMYFUNCTION("""COMPUTED_VALUE"""),"Dresses")</f>
        <v>Dresses</v>
      </c>
      <c r="K330" s="8" t="str">
        <f>IFERROR(__xludf.DUMMYFUNCTION("""COMPUTED_VALUE"""),"Dresses")</f>
        <v>Dresses</v>
      </c>
      <c r="L330" s="8" t="str">
        <f t="shared" si="1"/>
        <v>Size issue----</v>
      </c>
    </row>
    <row r="331">
      <c r="A331" s="8">
        <f>IFERROR(__xludf.DUMMYFUNCTION("""COMPUTED_VALUE"""),1764.0)</f>
        <v>1764</v>
      </c>
      <c r="B331" s="8">
        <f>IFERROR(__xludf.DUMMYFUNCTION("""COMPUTED_VALUE"""),867.0)</f>
        <v>867</v>
      </c>
      <c r="C331" s="8">
        <f>IFERROR(__xludf.DUMMYFUNCTION("""COMPUTED_VALUE"""),38.0)</f>
        <v>38</v>
      </c>
      <c r="D331" s="8"/>
      <c r="E331" s="15"/>
      <c r="F331" s="8">
        <f>IFERROR(__xludf.DUMMYFUNCTION("""COMPUTED_VALUE"""),3.0)</f>
        <v>3</v>
      </c>
      <c r="G331" s="8">
        <f>IFERROR(__xludf.DUMMYFUNCTION("""COMPUTED_VALUE"""),0.0)</f>
        <v>0</v>
      </c>
      <c r="H331" s="8">
        <f>IFERROR(__xludf.DUMMYFUNCTION("""COMPUTED_VALUE"""),0.0)</f>
        <v>0</v>
      </c>
      <c r="I331" s="8" t="str">
        <f>IFERROR(__xludf.DUMMYFUNCTION("""COMPUTED_VALUE"""),"General")</f>
        <v>General</v>
      </c>
      <c r="J331" s="8" t="str">
        <f>IFERROR(__xludf.DUMMYFUNCTION("""COMPUTED_VALUE"""),"Tops")</f>
        <v>Tops</v>
      </c>
      <c r="K331" s="8" t="str">
        <f>IFERROR(__xludf.DUMMYFUNCTION("""COMPUTED_VALUE"""),"Knits")</f>
        <v>Knits</v>
      </c>
      <c r="L331" s="8" t="str">
        <f t="shared" si="1"/>
        <v/>
      </c>
    </row>
    <row r="332">
      <c r="A332" s="8">
        <f>IFERROR(__xludf.DUMMYFUNCTION("""COMPUTED_VALUE"""),1769.0)</f>
        <v>1769</v>
      </c>
      <c r="B332" s="8">
        <f>IFERROR(__xludf.DUMMYFUNCTION("""COMPUTED_VALUE"""),867.0)</f>
        <v>867</v>
      </c>
      <c r="C332" s="8">
        <f>IFERROR(__xludf.DUMMYFUNCTION("""COMPUTED_VALUE"""),47.0)</f>
        <v>47</v>
      </c>
      <c r="D332" s="8" t="str">
        <f>IFERROR(__xludf.DUMMYFUNCTION("""COMPUTED_VALUE"""),"Not like the photo at all")</f>
        <v>Not like the photo at all</v>
      </c>
      <c r="E332" s="15" t="str">
        <f>IFERROR(__xludf.DUMMYFUNCTION("""COMPUTED_VALUE"""),"I thought from the picture this would be a light floaty top. when it arrived, the fabric was a heavy knit and the neckline sagged very low. on me (granted i'm a pear) the bottom layer hugged my tummy and rear in a very unflattering way. the only thing i l"&amp;"iked was the color. back it went.")</f>
        <v>I thought from the picture this would be a light floaty top. when it arrived, the fabric was a heavy knit and the neckline sagged very low. on me (granted i'm a pear) the bottom layer hugged my tummy and rear in a very unflattering way. the only thing i liked was the color. back it went.</v>
      </c>
      <c r="F332" s="8">
        <f>IFERROR(__xludf.DUMMYFUNCTION("""COMPUTED_VALUE"""),1.0)</f>
        <v>1</v>
      </c>
      <c r="G332" s="8">
        <f>IFERROR(__xludf.DUMMYFUNCTION("""COMPUTED_VALUE"""),0.0)</f>
        <v>0</v>
      </c>
      <c r="H332" s="8">
        <f>IFERROR(__xludf.DUMMYFUNCTION("""COMPUTED_VALUE"""),20.0)</f>
        <v>20</v>
      </c>
      <c r="I332" s="8" t="str">
        <f>IFERROR(__xludf.DUMMYFUNCTION("""COMPUTED_VALUE"""),"General")</f>
        <v>General</v>
      </c>
      <c r="J332" s="8" t="str">
        <f>IFERROR(__xludf.DUMMYFUNCTION("""COMPUTED_VALUE"""),"Tops")</f>
        <v>Tops</v>
      </c>
      <c r="K332" s="8" t="str">
        <f>IFERROR(__xludf.DUMMYFUNCTION("""COMPUTED_VALUE"""),"Knits")</f>
        <v>Knits</v>
      </c>
      <c r="L332" s="8" t="str">
        <f t="shared" si="1"/>
        <v>----</v>
      </c>
    </row>
    <row r="333">
      <c r="A333" s="8">
        <f>IFERROR(__xludf.DUMMYFUNCTION("""COMPUTED_VALUE"""),1770.0)</f>
        <v>1770</v>
      </c>
      <c r="B333" s="8">
        <f>IFERROR(__xludf.DUMMYFUNCTION("""COMPUTED_VALUE"""),867.0)</f>
        <v>867</v>
      </c>
      <c r="C333" s="8">
        <f>IFERROR(__xludf.DUMMYFUNCTION("""COMPUTED_VALUE"""),60.0)</f>
        <v>60</v>
      </c>
      <c r="D333" s="8" t="str">
        <f>IFERROR(__xludf.DUMMYFUNCTION("""COMPUTED_VALUE"""),"Too low and very big armholes!")</f>
        <v>Too low and very big armholes!</v>
      </c>
      <c r="E333" s="15" t="str">
        <f>IFERROR(__xludf.DUMMYFUNCTION("""COMPUTED_VALUE"""),"Tried this on at my local retailer, the red color is pretty but not a ""true"" red. the fabric has a nice weight to it not the usual thin stuff that retailer seems to offer these days. two big problems though- the top is very low cut and i could see it """&amp;"opening"" up to the world! and the armholes are cut so big and low that you could see the sides of my bra, this is a deal-breaker for me, it can't be fixed.")</f>
        <v>Tried this on at my local retailer, the red color is pretty but not a "true" red. the fabric has a nice weight to it not the usual thin stuff that retailer seems to offer these days. two big problems though- the top is very low cut and i could see it "opening" up to the world! and the armholes are cut so big and low that you could see the sides of my bra, this is a deal-breaker for me, it can't be fixed.</v>
      </c>
      <c r="F333" s="8">
        <f>IFERROR(__xludf.DUMMYFUNCTION("""COMPUTED_VALUE"""),2.0)</f>
        <v>2</v>
      </c>
      <c r="G333" s="8">
        <f>IFERROR(__xludf.DUMMYFUNCTION("""COMPUTED_VALUE"""),0.0)</f>
        <v>0</v>
      </c>
      <c r="H333" s="8">
        <f>IFERROR(__xludf.DUMMYFUNCTION("""COMPUTED_VALUE"""),1.0)</f>
        <v>1</v>
      </c>
      <c r="I333" s="8" t="str">
        <f>IFERROR(__xludf.DUMMYFUNCTION("""COMPUTED_VALUE"""),"General")</f>
        <v>General</v>
      </c>
      <c r="J333" s="8" t="str">
        <f>IFERROR(__xludf.DUMMYFUNCTION("""COMPUTED_VALUE"""),"Tops")</f>
        <v>Tops</v>
      </c>
      <c r="K333" s="8" t="str">
        <f>IFERROR(__xludf.DUMMYFUNCTION("""COMPUTED_VALUE"""),"Knits")</f>
        <v>Knits</v>
      </c>
      <c r="L333" s="8" t="str">
        <f t="shared" si="1"/>
        <v>Size issue-Fabric issue---</v>
      </c>
    </row>
    <row r="334">
      <c r="A334" s="8">
        <f>IFERROR(__xludf.DUMMYFUNCTION("""COMPUTED_VALUE"""),1786.0)</f>
        <v>1786</v>
      </c>
      <c r="B334" s="8">
        <f>IFERROR(__xludf.DUMMYFUNCTION("""COMPUTED_VALUE"""),867.0)</f>
        <v>867</v>
      </c>
      <c r="C334" s="8">
        <f>IFERROR(__xludf.DUMMYFUNCTION("""COMPUTED_VALUE"""),41.0)</f>
        <v>41</v>
      </c>
      <c r="D334" s="8" t="str">
        <f>IFERROR(__xludf.DUMMYFUNCTION("""COMPUTED_VALUE"""),"Lovely top that runs very large")</f>
        <v>Lovely top that runs very large</v>
      </c>
      <c r="E334" s="15" t="str">
        <f>IFERROR(__xludf.DUMMYFUNCTION("""COMPUTED_VALUE"""),"The color, design and fabric of this top (got it in the red) were just as i expected, but as the owner of several deletta brand tops, i was very surprised to find that my usual size small runs very large in this tank. not only did the front dip too low bu"&amp;"t so did the arm holes, and the top just hangs on me. it was so big for a small that it almost made me think it had been mislabeled and was really a size large. 
bummed to return it because i really love the color and the style. will try an x-s")</f>
        <v>The color, design and fabric of this top (got it in the red) were just as i expected, but as the owner of several deletta brand tops, i was very surprised to find that my usual size small runs very large in this tank. not only did the front dip too low but so did the arm holes, and the top just hangs on me. it was so big for a small that it almost made me think it had been mislabeled and was really a size large. 
bummed to return it because i really love the color and the style. will try an x-s</v>
      </c>
      <c r="F334" s="8">
        <f>IFERROR(__xludf.DUMMYFUNCTION("""COMPUTED_VALUE"""),2.0)</f>
        <v>2</v>
      </c>
      <c r="G334" s="8">
        <f>IFERROR(__xludf.DUMMYFUNCTION("""COMPUTED_VALUE"""),0.0)</f>
        <v>0</v>
      </c>
      <c r="H334" s="8">
        <f>IFERROR(__xludf.DUMMYFUNCTION("""COMPUTED_VALUE"""),0.0)</f>
        <v>0</v>
      </c>
      <c r="I334" s="8" t="str">
        <f>IFERROR(__xludf.DUMMYFUNCTION("""COMPUTED_VALUE"""),"General")</f>
        <v>General</v>
      </c>
      <c r="J334" s="8" t="str">
        <f>IFERROR(__xludf.DUMMYFUNCTION("""COMPUTED_VALUE"""),"Tops")</f>
        <v>Tops</v>
      </c>
      <c r="K334" s="8" t="str">
        <f>IFERROR(__xludf.DUMMYFUNCTION("""COMPUTED_VALUE"""),"Knits")</f>
        <v>Knits</v>
      </c>
      <c r="L334" s="8" t="str">
        <f t="shared" si="1"/>
        <v>Size issue-Fabric issue-Style issue--</v>
      </c>
    </row>
    <row r="335">
      <c r="A335" s="8">
        <f>IFERROR(__xludf.DUMMYFUNCTION("""COMPUTED_VALUE"""),1806.0)</f>
        <v>1806</v>
      </c>
      <c r="B335" s="8">
        <f>IFERROR(__xludf.DUMMYFUNCTION("""COMPUTED_VALUE"""),867.0)</f>
        <v>867</v>
      </c>
      <c r="C335" s="8">
        <f>IFERROR(__xludf.DUMMYFUNCTION("""COMPUTED_VALUE"""),37.0)</f>
        <v>37</v>
      </c>
      <c r="D335" s="8" t="str">
        <f>IFERROR(__xludf.DUMMYFUNCTION("""COMPUTED_VALUE"""),"Odd fit")</f>
        <v>Odd fit</v>
      </c>
      <c r="E335" s="15" t="str">
        <f>IFERROR(__xludf.DUMMYFUNCTION("""COMPUTED_VALUE"""),"This shirt was so weird?it does not fit like the photo at all. there seems to be missing a stitch or something at the top as it is wide open until the bottom/where it meets the other layer. i could wear a tank/camisole underneath, but it still just did no"&amp;"t fit right. i do not have a large chest, but this was ridiculous. beyond that, the red color was just okay. even though i purchased this on sale, it was not worth the price and i returned.")</f>
        <v>This shirt was so weird?it does not fit like the photo at all. there seems to be missing a stitch or something at the top as it is wide open until the bottom/where it meets the other layer. i could wear a tank/camisole underneath, but it still just did not fit right. i do not have a large chest, but this was ridiculous. beyond that, the red color was just okay. even though i purchased this on sale, it was not worth the price and i returned.</v>
      </c>
      <c r="F335" s="8">
        <f>IFERROR(__xludf.DUMMYFUNCTION("""COMPUTED_VALUE"""),1.0)</f>
        <v>1</v>
      </c>
      <c r="G335" s="8">
        <f>IFERROR(__xludf.DUMMYFUNCTION("""COMPUTED_VALUE"""),0.0)</f>
        <v>0</v>
      </c>
      <c r="H335" s="8">
        <f>IFERROR(__xludf.DUMMYFUNCTION("""COMPUTED_VALUE"""),0.0)</f>
        <v>0</v>
      </c>
      <c r="I335" s="8" t="str">
        <f>IFERROR(__xludf.DUMMYFUNCTION("""COMPUTED_VALUE"""),"General")</f>
        <v>General</v>
      </c>
      <c r="J335" s="8" t="str">
        <f>IFERROR(__xludf.DUMMYFUNCTION("""COMPUTED_VALUE"""),"Tops")</f>
        <v>Tops</v>
      </c>
      <c r="K335" s="8" t="str">
        <f>IFERROR(__xludf.DUMMYFUNCTION("""COMPUTED_VALUE"""),"Knits")</f>
        <v>Knits</v>
      </c>
      <c r="L335" s="8" t="str">
        <f t="shared" si="1"/>
        <v>Size issue----</v>
      </c>
    </row>
    <row r="336">
      <c r="A336" s="8">
        <f>IFERROR(__xludf.DUMMYFUNCTION("""COMPUTED_VALUE"""),1807.0)</f>
        <v>1807</v>
      </c>
      <c r="B336" s="8">
        <f>IFERROR(__xludf.DUMMYFUNCTION("""COMPUTED_VALUE"""),1095.0)</f>
        <v>1095</v>
      </c>
      <c r="C336" s="8">
        <f>IFERROR(__xludf.DUMMYFUNCTION("""COMPUTED_VALUE"""),42.0)</f>
        <v>42</v>
      </c>
      <c r="D336" s="8" t="str">
        <f>IFERROR(__xludf.DUMMYFUNCTION("""COMPUTED_VALUE"""),"Just...weird")</f>
        <v>Just...weird</v>
      </c>
      <c r="E336" s="15" t="str">
        <f>IFERROR(__xludf.DUMMYFUNCTION("""COMPUTED_VALUE"""),"I saw this dress and immediately started daydreaming about wearing it while honeymooning in italy along the amalfi coast or the cinque terre with my husband. and then i tried this dress on and immediately woke up. the cut is a disaster, the quality is ter"&amp;"rible, and the dress just plain didn't work. the strips of elastic were sewn unevenly, giving the appearance that there was one large breast and one non-existent breast. the neckline was so long that it had to have the elastic run over the outsi")</f>
        <v>I saw this dress and immediately started daydreaming about wearing it while honeymooning in italy along the amalfi coast or the cinque terre with my husband. and then i tried this dress on and immediately woke up. the cut is a disaster, the quality is terrible, and the dress just plain didn't work. the strips of elastic were sewn unevenly, giving the appearance that there was one large breast and one non-existent breast. the neckline was so long that it had to have the elastic run over the outsi</v>
      </c>
      <c r="F336" s="8">
        <f>IFERROR(__xludf.DUMMYFUNCTION("""COMPUTED_VALUE"""),2.0)</f>
        <v>2</v>
      </c>
      <c r="G336" s="8">
        <f>IFERROR(__xludf.DUMMYFUNCTION("""COMPUTED_VALUE"""),0.0)</f>
        <v>0</v>
      </c>
      <c r="H336" s="8">
        <f>IFERROR(__xludf.DUMMYFUNCTION("""COMPUTED_VALUE"""),4.0)</f>
        <v>4</v>
      </c>
      <c r="I336" s="8" t="str">
        <f>IFERROR(__xludf.DUMMYFUNCTION("""COMPUTED_VALUE"""),"General Petite")</f>
        <v>General Petite</v>
      </c>
      <c r="J336" s="8" t="str">
        <f>IFERROR(__xludf.DUMMYFUNCTION("""COMPUTED_VALUE"""),"Dresses")</f>
        <v>Dresses</v>
      </c>
      <c r="K336" s="8" t="str">
        <f>IFERROR(__xludf.DUMMYFUNCTION("""COMPUTED_VALUE"""),"Dresses")</f>
        <v>Dresses</v>
      </c>
      <c r="L336" s="8" t="str">
        <f t="shared" si="1"/>
        <v>Size issue----</v>
      </c>
    </row>
    <row r="337">
      <c r="A337" s="8">
        <f>IFERROR(__xludf.DUMMYFUNCTION("""COMPUTED_VALUE"""),1809.0)</f>
        <v>1809</v>
      </c>
      <c r="B337" s="8">
        <f>IFERROR(__xludf.DUMMYFUNCTION("""COMPUTED_VALUE"""),867.0)</f>
        <v>867</v>
      </c>
      <c r="C337" s="8">
        <f>IFERROR(__xludf.DUMMYFUNCTION("""COMPUTED_VALUE"""),39.0)</f>
        <v>39</v>
      </c>
      <c r="D337" s="8" t="str">
        <f>IFERROR(__xludf.DUMMYFUNCTION("""COMPUTED_VALUE"""),"Droopy front, heavy fabric")</f>
        <v>Droopy front, heavy fabric</v>
      </c>
      <c r="E337" s="15" t="str">
        <f>IFERROR(__xludf.DUMMYFUNCTION("""COMPUTED_VALUE"""),"Right out of the bag, this top didn't really match the one pictured here (it is the right top, though). the fabric was heavy and felt ""damp"" -- the way something feels coming out of the wash. very odd.
and the fit is nothing like what's shown on the mod"&amp;"el. the ""v"" is not fitted or nicely wrapped (or even tacked in place) -- it was just two loose, droopy pieces so most of my bra was showing no matter how many times i put the pieces back where they belonged (i'm neither ""flat chested"" nor ""busty""")</f>
        <v>Right out of the bag, this top didn't really match the one pictured here (it is the right top, though). the fabric was heavy and felt "damp" -- the way something feels coming out of the wash. very odd.
and the fit is nothing like what's shown on the model. the "v" is not fitted or nicely wrapped (or even tacked in place) -- it was just two loose, droopy pieces so most of my bra was showing no matter how many times i put the pieces back where they belonged (i'm neither "flat chested" nor "busty"</v>
      </c>
      <c r="F337" s="8">
        <f>IFERROR(__xludf.DUMMYFUNCTION("""COMPUTED_VALUE"""),1.0)</f>
        <v>1</v>
      </c>
      <c r="G337" s="8">
        <f>IFERROR(__xludf.DUMMYFUNCTION("""COMPUTED_VALUE"""),0.0)</f>
        <v>0</v>
      </c>
      <c r="H337" s="8">
        <f>IFERROR(__xludf.DUMMYFUNCTION("""COMPUTED_VALUE"""),8.0)</f>
        <v>8</v>
      </c>
      <c r="I337" s="8" t="str">
        <f>IFERROR(__xludf.DUMMYFUNCTION("""COMPUTED_VALUE"""),"General")</f>
        <v>General</v>
      </c>
      <c r="J337" s="8" t="str">
        <f>IFERROR(__xludf.DUMMYFUNCTION("""COMPUTED_VALUE"""),"Tops")</f>
        <v>Tops</v>
      </c>
      <c r="K337" s="8" t="str">
        <f>IFERROR(__xludf.DUMMYFUNCTION("""COMPUTED_VALUE"""),"Knits")</f>
        <v>Knits</v>
      </c>
      <c r="L337" s="8" t="str">
        <f t="shared" si="1"/>
        <v>Size issue--Style issue--Matching Awareness issue</v>
      </c>
    </row>
    <row r="338">
      <c r="A338" s="8">
        <f>IFERROR(__xludf.DUMMYFUNCTION("""COMPUTED_VALUE"""),1819.0)</f>
        <v>1819</v>
      </c>
      <c r="B338" s="8">
        <f>IFERROR(__xludf.DUMMYFUNCTION("""COMPUTED_VALUE"""),481.0)</f>
        <v>481</v>
      </c>
      <c r="C338" s="8">
        <f>IFERROR(__xludf.DUMMYFUNCTION("""COMPUTED_VALUE"""),38.0)</f>
        <v>38</v>
      </c>
      <c r="D338" s="8" t="str">
        <f>IFERROR(__xludf.DUMMYFUNCTION("""COMPUTED_VALUE"""),"Cute... if you're planning to hold it on")</f>
        <v>Cute... if you're planning to hold it on</v>
      </c>
      <c r="E338" s="15" t="str">
        <f>IFERROR(__xludf.DUMMYFUNCTION("""COMPUTED_VALUE"""),"This romper is cute, well-made and true to size, but i haven't figured it out how to put this on without having someone tie the back ties. which pretty much means that going to the bathroom is not an option while you have this romper on. not sure what the"&amp;" designers were thinking here. i'm returning this one.")</f>
        <v>This romper is cute, well-made and true to size, but i haven't figured it out how to put this on without having someone tie the back ties. which pretty much means that going to the bathroom is not an option while you have this romper on. not sure what the designers were thinking here. i'm returning this one.</v>
      </c>
      <c r="F338" s="8">
        <f>IFERROR(__xludf.DUMMYFUNCTION("""COMPUTED_VALUE"""),2.0)</f>
        <v>2</v>
      </c>
      <c r="G338" s="8">
        <f>IFERROR(__xludf.DUMMYFUNCTION("""COMPUTED_VALUE"""),0.0)</f>
        <v>0</v>
      </c>
      <c r="H338" s="8">
        <f>IFERROR(__xludf.DUMMYFUNCTION("""COMPUTED_VALUE"""),1.0)</f>
        <v>1</v>
      </c>
      <c r="I338" s="8" t="str">
        <f>IFERROR(__xludf.DUMMYFUNCTION("""COMPUTED_VALUE"""),"General Petite")</f>
        <v>General Petite</v>
      </c>
      <c r="J338" s="8" t="str">
        <f>IFERROR(__xludf.DUMMYFUNCTION("""COMPUTED_VALUE"""),"Bottoms")</f>
        <v>Bottoms</v>
      </c>
      <c r="K338" s="8" t="str">
        <f>IFERROR(__xludf.DUMMYFUNCTION("""COMPUTED_VALUE"""),"Pants")</f>
        <v>Pants</v>
      </c>
      <c r="L338" s="8" t="str">
        <f t="shared" si="1"/>
        <v>Size issue-Fabric issue-Style issue--</v>
      </c>
    </row>
    <row r="339">
      <c r="A339" s="8">
        <f>IFERROR(__xludf.DUMMYFUNCTION("""COMPUTED_VALUE"""),1820.0)</f>
        <v>1820</v>
      </c>
      <c r="B339" s="8">
        <f>IFERROR(__xludf.DUMMYFUNCTION("""COMPUTED_VALUE"""),902.0)</f>
        <v>902</v>
      </c>
      <c r="C339" s="8">
        <f>IFERROR(__xludf.DUMMYFUNCTION("""COMPUTED_VALUE"""),56.0)</f>
        <v>56</v>
      </c>
      <c r="D339" s="8" t="str">
        <f>IFERROR(__xludf.DUMMYFUNCTION("""COMPUTED_VALUE"""),"High in back")</f>
        <v>High in back</v>
      </c>
      <c r="E339" s="15" t="str">
        <f>IFERROR(__xludf.DUMMYFUNCTION("""COMPUTED_VALUE"""),"This is a beautiful sweater, but if came up weirdly high on me in back, higher than it looks on the model. she must have on high waisted pants.")</f>
        <v>This is a beautiful sweater, but if came up weirdly high on me in back, higher than it looks on the model. she must have on high waisted pants.</v>
      </c>
      <c r="F339" s="8">
        <f>IFERROR(__xludf.DUMMYFUNCTION("""COMPUTED_VALUE"""),4.0)</f>
        <v>4</v>
      </c>
      <c r="G339" s="8">
        <f>IFERROR(__xludf.DUMMYFUNCTION("""COMPUTED_VALUE"""),0.0)</f>
        <v>0</v>
      </c>
      <c r="H339" s="8">
        <f>IFERROR(__xludf.DUMMYFUNCTION("""COMPUTED_VALUE"""),0.0)</f>
        <v>0</v>
      </c>
      <c r="I339" s="8" t="str">
        <f>IFERROR(__xludf.DUMMYFUNCTION("""COMPUTED_VALUE"""),"General")</f>
        <v>General</v>
      </c>
      <c r="J339" s="8" t="str">
        <f>IFERROR(__xludf.DUMMYFUNCTION("""COMPUTED_VALUE"""),"Tops")</f>
        <v>Tops</v>
      </c>
      <c r="K339" s="8" t="str">
        <f>IFERROR(__xludf.DUMMYFUNCTION("""COMPUTED_VALUE"""),"Fine gauge")</f>
        <v>Fine gauge</v>
      </c>
      <c r="L339" s="8" t="str">
        <f t="shared" si="1"/>
        <v>----Matching Awareness issue</v>
      </c>
    </row>
    <row r="340">
      <c r="A340" s="8">
        <f>IFERROR(__xludf.DUMMYFUNCTION("""COMPUTED_VALUE"""),1822.0)</f>
        <v>1822</v>
      </c>
      <c r="B340" s="8">
        <f>IFERROR(__xludf.DUMMYFUNCTION("""COMPUTED_VALUE"""),1094.0)</f>
        <v>1094</v>
      </c>
      <c r="C340" s="8">
        <f>IFERROR(__xludf.DUMMYFUNCTION("""COMPUTED_VALUE"""),43.0)</f>
        <v>43</v>
      </c>
      <c r="D340" s="8" t="str">
        <f>IFERROR(__xludf.DUMMYFUNCTION("""COMPUTED_VALUE"""),"Huge")</f>
        <v>Huge</v>
      </c>
      <c r="E340" s="15" t="str">
        <f>IFERROR(__xludf.DUMMYFUNCTION("""COMPUTED_VALUE"""),"I was so excited to order this dress, had the perfect red shoes to go with it. unfortunately i could have been nine months pregnant and still wear the small. i am 5'4/118lb and it was like a maternity dress. sad to send it back.")</f>
        <v>I was so excited to order this dress, had the perfect red shoes to go with it. unfortunately i could have been nine months pregnant and still wear the small. i am 5'4/118lb and it was like a maternity dress. sad to send it back.</v>
      </c>
      <c r="F340" s="8">
        <f>IFERROR(__xludf.DUMMYFUNCTION("""COMPUTED_VALUE"""),2.0)</f>
        <v>2</v>
      </c>
      <c r="G340" s="8">
        <f>IFERROR(__xludf.DUMMYFUNCTION("""COMPUTED_VALUE"""),0.0)</f>
        <v>0</v>
      </c>
      <c r="H340" s="8">
        <f>IFERROR(__xludf.DUMMYFUNCTION("""COMPUTED_VALUE"""),0.0)</f>
        <v>0</v>
      </c>
      <c r="I340" s="8" t="str">
        <f>IFERROR(__xludf.DUMMYFUNCTION("""COMPUTED_VALUE"""),"General")</f>
        <v>General</v>
      </c>
      <c r="J340" s="8" t="str">
        <f>IFERROR(__xludf.DUMMYFUNCTION("""COMPUTED_VALUE"""),"Dresses")</f>
        <v>Dresses</v>
      </c>
      <c r="K340" s="8" t="str">
        <f>IFERROR(__xludf.DUMMYFUNCTION("""COMPUTED_VALUE"""),"Dresses")</f>
        <v>Dresses</v>
      </c>
      <c r="L340" s="8" t="str">
        <f t="shared" si="1"/>
        <v>Size issue----</v>
      </c>
    </row>
    <row r="341">
      <c r="A341" s="8">
        <f>IFERROR(__xludf.DUMMYFUNCTION("""COMPUTED_VALUE"""),1828.0)</f>
        <v>1828</v>
      </c>
      <c r="B341" s="8">
        <f>IFERROR(__xludf.DUMMYFUNCTION("""COMPUTED_VALUE"""),1080.0)</f>
        <v>1080</v>
      </c>
      <c r="C341" s="8">
        <f>IFERROR(__xludf.DUMMYFUNCTION("""COMPUTED_VALUE"""),43.0)</f>
        <v>43</v>
      </c>
      <c r="D341" s="8" t="str">
        <f>IFERROR(__xludf.DUMMYFUNCTION("""COMPUTED_VALUE"""),"Really wanted to like it, but...")</f>
        <v>Really wanted to like it, but...</v>
      </c>
      <c r="E341" s="15" t="str">
        <f>IFERROR(__xludf.DUMMYFUNCTION("""COMPUTED_VALUE"""),"I really wanted to like this dress and was so disappointed when it came in the mail. if you have any sort of hips, the light pattern in the middle doesn't do you any favors. this made my hips look soooo wide! and the seaming and gathering in the middle wa"&amp;"s just off. if it was one continuous piece of fabric it might look better. with the seam, the pattern was cut up and looked pieced together. that just drew too much attention to my stomach and hips. it had to go back.")</f>
        <v>I really wanted to like this dress and was so disappointed when it came in the mail. if you have any sort of hips, the light pattern in the middle doesn't do you any favors. this made my hips look soooo wide! and the seaming and gathering in the middle was just off. if it was one continuous piece of fabric it might look better. with the seam, the pattern was cut up and looked pieced together. that just drew too much attention to my stomach and hips. it had to go back.</v>
      </c>
      <c r="F341" s="8">
        <f>IFERROR(__xludf.DUMMYFUNCTION("""COMPUTED_VALUE"""),1.0)</f>
        <v>1</v>
      </c>
      <c r="G341" s="8">
        <f>IFERROR(__xludf.DUMMYFUNCTION("""COMPUTED_VALUE"""),0.0)</f>
        <v>0</v>
      </c>
      <c r="H341" s="8">
        <f>IFERROR(__xludf.DUMMYFUNCTION("""COMPUTED_VALUE"""),0.0)</f>
        <v>0</v>
      </c>
      <c r="I341" s="8" t="str">
        <f>IFERROR(__xludf.DUMMYFUNCTION("""COMPUTED_VALUE"""),"General")</f>
        <v>General</v>
      </c>
      <c r="J341" s="8" t="str">
        <f>IFERROR(__xludf.DUMMYFUNCTION("""COMPUTED_VALUE"""),"Dresses")</f>
        <v>Dresses</v>
      </c>
      <c r="K341" s="8" t="str">
        <f>IFERROR(__xludf.DUMMYFUNCTION("""COMPUTED_VALUE"""),"Dresses")</f>
        <v>Dresses</v>
      </c>
      <c r="L341" s="8" t="str">
        <f t="shared" si="1"/>
        <v>Size issue----</v>
      </c>
    </row>
    <row r="342">
      <c r="A342" s="8">
        <f>IFERROR(__xludf.DUMMYFUNCTION("""COMPUTED_VALUE"""),1831.0)</f>
        <v>1831</v>
      </c>
      <c r="B342" s="8">
        <f>IFERROR(__xludf.DUMMYFUNCTION("""COMPUTED_VALUE"""),1001.0)</f>
        <v>1001</v>
      </c>
      <c r="C342" s="8">
        <f>IFERROR(__xludf.DUMMYFUNCTION("""COMPUTED_VALUE"""),28.0)</f>
        <v>28</v>
      </c>
      <c r="D342" s="8" t="str">
        <f>IFERROR(__xludf.DUMMYFUNCTION("""COMPUTED_VALUE"""),"High hopes, but tiny and flimsy")</f>
        <v>High hopes, but tiny and flimsy</v>
      </c>
      <c r="E342" s="15" t="str">
        <f>IFERROR(__xludf.DUMMYFUNCTION("""COMPUTED_VALUE"""),"I am almost always an xs in bottoms (sz 0-2) but literally couldn't get the stretchy waistband (no zip or fastening) in xs up my hips. in addition, the ""brocade"" is a very lightweight polyestery, tinselly weave--does not suggest quality. as others have "&amp;"noted, it also runs short; i'm 5'3'' and this was a little below knee length on me, not ankle-length. i've had luck with retailer's sale section in the past, including some items that didn't always start off with the best reviews, but have no regret")</f>
        <v>I am almost always an xs in bottoms (sz 0-2) but literally couldn't get the stretchy waistband (no zip or fastening) in xs up my hips. in addition, the "brocade" is a very lightweight polyestery, tinselly weave--does not suggest quality. as others have noted, it also runs short; i'm 5'3'' and this was a little below knee length on me, not ankle-length. i've had luck with retailer's sale section in the past, including some items that didn't always start off with the best reviews, but have no regret</v>
      </c>
      <c r="F342" s="8">
        <f>IFERROR(__xludf.DUMMYFUNCTION("""COMPUTED_VALUE"""),1.0)</f>
        <v>1</v>
      </c>
      <c r="G342" s="8">
        <f>IFERROR(__xludf.DUMMYFUNCTION("""COMPUTED_VALUE"""),0.0)</f>
        <v>0</v>
      </c>
      <c r="H342" s="8">
        <f>IFERROR(__xludf.DUMMYFUNCTION("""COMPUTED_VALUE"""),0.0)</f>
        <v>0</v>
      </c>
      <c r="I342" s="8" t="str">
        <f>IFERROR(__xludf.DUMMYFUNCTION("""COMPUTED_VALUE"""),"General")</f>
        <v>General</v>
      </c>
      <c r="J342" s="8" t="str">
        <f>IFERROR(__xludf.DUMMYFUNCTION("""COMPUTED_VALUE"""),"Bottoms")</f>
        <v>Bottoms</v>
      </c>
      <c r="K342" s="8" t="str">
        <f>IFERROR(__xludf.DUMMYFUNCTION("""COMPUTED_VALUE"""),"Skirts")</f>
        <v>Skirts</v>
      </c>
      <c r="L342" s="8" t="str">
        <f t="shared" si="1"/>
        <v>Size issue----</v>
      </c>
    </row>
    <row r="343">
      <c r="A343" s="8">
        <f>IFERROR(__xludf.DUMMYFUNCTION("""COMPUTED_VALUE"""),1854.0)</f>
        <v>1854</v>
      </c>
      <c r="B343" s="8">
        <f>IFERROR(__xludf.DUMMYFUNCTION("""COMPUTED_VALUE"""),857.0)</f>
        <v>857</v>
      </c>
      <c r="C343" s="8">
        <f>IFERROR(__xludf.DUMMYFUNCTION("""COMPUTED_VALUE"""),33.0)</f>
        <v>33</v>
      </c>
      <c r="D343" s="8" t="str">
        <f>IFERROR(__xludf.DUMMYFUNCTION("""COMPUTED_VALUE"""),"Sleeves too tight")</f>
        <v>Sleeves too tight</v>
      </c>
      <c r="E343" s="15" t="str">
        <f>IFERROR(__xludf.DUMMYFUNCTION("""COMPUTED_VALUE"""),"Ordered a l and xl, the sleeves were so tight on both sizes but the rest of the shirt was wide and loose. the tight sleeves were not proportional with the rest of the shirt. both sizes had to be returned.")</f>
        <v>Ordered a l and xl, the sleeves were so tight on both sizes but the rest of the shirt was wide and loose. the tight sleeves were not proportional with the rest of the shirt. both sizes had to be returned.</v>
      </c>
      <c r="F343" s="8">
        <f>IFERROR(__xludf.DUMMYFUNCTION("""COMPUTED_VALUE"""),1.0)</f>
        <v>1</v>
      </c>
      <c r="G343" s="8">
        <f>IFERROR(__xludf.DUMMYFUNCTION("""COMPUTED_VALUE"""),0.0)</f>
        <v>0</v>
      </c>
      <c r="H343" s="8">
        <f>IFERROR(__xludf.DUMMYFUNCTION("""COMPUTED_VALUE"""),12.0)</f>
        <v>12</v>
      </c>
      <c r="I343" s="8" t="str">
        <f>IFERROR(__xludf.DUMMYFUNCTION("""COMPUTED_VALUE"""),"General")</f>
        <v>General</v>
      </c>
      <c r="J343" s="8" t="str">
        <f>IFERROR(__xludf.DUMMYFUNCTION("""COMPUTED_VALUE"""),"Tops")</f>
        <v>Tops</v>
      </c>
      <c r="K343" s="8" t="str">
        <f>IFERROR(__xludf.DUMMYFUNCTION("""COMPUTED_VALUE"""),"Knits")</f>
        <v>Knits</v>
      </c>
      <c r="L343" s="8" t="str">
        <f t="shared" si="1"/>
        <v>Size issue--Style issue--</v>
      </c>
    </row>
    <row r="344">
      <c r="A344" s="8">
        <f>IFERROR(__xludf.DUMMYFUNCTION("""COMPUTED_VALUE"""),1856.0)</f>
        <v>1856</v>
      </c>
      <c r="B344" s="8">
        <f>IFERROR(__xludf.DUMMYFUNCTION("""COMPUTED_VALUE"""),481.0)</f>
        <v>481</v>
      </c>
      <c r="C344" s="8">
        <f>IFERROR(__xludf.DUMMYFUNCTION("""COMPUTED_VALUE"""),59.0)</f>
        <v>59</v>
      </c>
      <c r="D344" s="8" t="str">
        <f>IFERROR(__xludf.DUMMYFUNCTION("""COMPUTED_VALUE"""),"Beautiful! ...but not for a long torso")</f>
        <v>Beautiful! ...but not for a long torso</v>
      </c>
      <c r="E344" s="15" t="str">
        <f>IFERROR(__xludf.DUMMYFUNCTION("""COMPUTED_VALUE"""),"Hahaha! as gorgeous as this piece is, i look absolutely ridiculous in it. i am 5'7'' 115 lbs but have a long torso and so the crotch area is, well, a little unflattering to say the least:) i am really sad because i shy away from shorts due to my year roun"&amp;"d pale skin, but this fabric and color worked really well for me. the length of the shorts is also nice and the back is beautiful! i've never had a romper and i was truly hoping this one would be the one for me. it is all round perfect...if you")</f>
        <v>Hahaha! as gorgeous as this piece is, i look absolutely ridiculous in it. i am 5'7'' 115 lbs but have a long torso and so the crotch area is, well, a little unflattering to say the least:) i am really sad because i shy away from shorts due to my year round pale skin, but this fabric and color worked really well for me. the length of the shorts is also nice and the back is beautiful! i've never had a romper and i was truly hoping this one would be the one for me. it is all round perfect...if you</v>
      </c>
      <c r="F344" s="8">
        <f>IFERROR(__xludf.DUMMYFUNCTION("""COMPUTED_VALUE"""),4.0)</f>
        <v>4</v>
      </c>
      <c r="G344" s="8">
        <f>IFERROR(__xludf.DUMMYFUNCTION("""COMPUTED_VALUE"""),0.0)</f>
        <v>0</v>
      </c>
      <c r="H344" s="8">
        <f>IFERROR(__xludf.DUMMYFUNCTION("""COMPUTED_VALUE"""),1.0)</f>
        <v>1</v>
      </c>
      <c r="I344" s="8" t="str">
        <f>IFERROR(__xludf.DUMMYFUNCTION("""COMPUTED_VALUE"""),"General Petite")</f>
        <v>General Petite</v>
      </c>
      <c r="J344" s="8" t="str">
        <f>IFERROR(__xludf.DUMMYFUNCTION("""COMPUTED_VALUE"""),"Bottoms")</f>
        <v>Bottoms</v>
      </c>
      <c r="K344" s="8" t="str">
        <f>IFERROR(__xludf.DUMMYFUNCTION("""COMPUTED_VALUE"""),"Pants")</f>
        <v>Pants</v>
      </c>
      <c r="L344" s="8" t="str">
        <f t="shared" si="1"/>
        <v>Size issue----</v>
      </c>
    </row>
    <row r="345">
      <c r="A345" s="8">
        <f>IFERROR(__xludf.DUMMYFUNCTION("""COMPUTED_VALUE"""),1857.0)</f>
        <v>1857</v>
      </c>
      <c r="B345" s="8">
        <f>IFERROR(__xludf.DUMMYFUNCTION("""COMPUTED_VALUE"""),1094.0)</f>
        <v>1094</v>
      </c>
      <c r="C345" s="8">
        <f>IFERROR(__xludf.DUMMYFUNCTION("""COMPUTED_VALUE"""),30.0)</f>
        <v>30</v>
      </c>
      <c r="D345" s="8" t="str">
        <f>IFERROR(__xludf.DUMMYFUNCTION("""COMPUTED_VALUE"""),"Huge!!")</f>
        <v>Huge!!</v>
      </c>
      <c r="E345" s="15" t="str">
        <f>IFERROR(__xludf.DUMMYFUNCTION("""COMPUTED_VALUE"""),"This dress had beautiful details, and the material was better than i expected; however, it was huge! it completed swallowed me. i am 5'1 about 106 pounds with quite a bit of muscle. i ordered a 00p and it still looked like a sack.")</f>
        <v>This dress had beautiful details, and the material was better than i expected; however, it was huge! it completed swallowed me. i am 5'1 about 106 pounds with quite a bit of muscle. i ordered a 00p and it still looked like a sack.</v>
      </c>
      <c r="F345" s="8">
        <f>IFERROR(__xludf.DUMMYFUNCTION("""COMPUTED_VALUE"""),2.0)</f>
        <v>2</v>
      </c>
      <c r="G345" s="8">
        <f>IFERROR(__xludf.DUMMYFUNCTION("""COMPUTED_VALUE"""),0.0)</f>
        <v>0</v>
      </c>
      <c r="H345" s="8">
        <f>IFERROR(__xludf.DUMMYFUNCTION("""COMPUTED_VALUE"""),0.0)</f>
        <v>0</v>
      </c>
      <c r="I345" s="8" t="str">
        <f>IFERROR(__xludf.DUMMYFUNCTION("""COMPUTED_VALUE"""),"General")</f>
        <v>General</v>
      </c>
      <c r="J345" s="8" t="str">
        <f>IFERROR(__xludf.DUMMYFUNCTION("""COMPUTED_VALUE"""),"Dresses")</f>
        <v>Dresses</v>
      </c>
      <c r="K345" s="8" t="str">
        <f>IFERROR(__xludf.DUMMYFUNCTION("""COMPUTED_VALUE"""),"Dresses")</f>
        <v>Dresses</v>
      </c>
      <c r="L345" s="8" t="str">
        <f t="shared" si="1"/>
        <v>-Fabric issue---</v>
      </c>
    </row>
    <row r="346">
      <c r="A346" s="8">
        <f>IFERROR(__xludf.DUMMYFUNCTION("""COMPUTED_VALUE"""),1858.0)</f>
        <v>1858</v>
      </c>
      <c r="B346" s="8">
        <f>IFERROR(__xludf.DUMMYFUNCTION("""COMPUTED_VALUE"""),1094.0)</f>
        <v>1094</v>
      </c>
      <c r="C346" s="8">
        <f>IFERROR(__xludf.DUMMYFUNCTION("""COMPUTED_VALUE"""),63.0)</f>
        <v>63</v>
      </c>
      <c r="D346" s="8" t="str">
        <f>IFERROR(__xludf.DUMMYFUNCTION("""COMPUTED_VALUE"""),"Tassels :(")</f>
        <v>Tassels :(</v>
      </c>
      <c r="E346" s="15" t="str">
        <f>IFERROR(__xludf.DUMMYFUNCTION("""COMPUTED_VALUE"""),"I wanted to love this, as it seemed like a fun and carefree take on a little black dress.
but how did i not see that this has tassels? but they're there, a whole row of them - look hear the bottom of the skirt part, between the colorful stripes and the l"&amp;"acy area. that's a deal breaker for me - i really can't stand the way these look, and they're not the sort of thing you can easily remove.
the fabric, though nice quality, has no stretch at all. i wasn't expecting stretch, but i'd just say")</f>
        <v>I wanted to love this, as it seemed like a fun and carefree take on a little black dress.
but how did i not see that this has tassels? but they're there, a whole row of them - look hear the bottom of the skirt part, between the colorful stripes and the lacy area. that's a deal breaker for me - i really can't stand the way these look, and they're not the sort of thing you can easily remove.
the fabric, though nice quality, has no stretch at all. i wasn't expecting stretch, but i'd just say</v>
      </c>
      <c r="F346" s="8">
        <f>IFERROR(__xludf.DUMMYFUNCTION("""COMPUTED_VALUE"""),3.0)</f>
        <v>3</v>
      </c>
      <c r="G346" s="8">
        <f>IFERROR(__xludf.DUMMYFUNCTION("""COMPUTED_VALUE"""),0.0)</f>
        <v>0</v>
      </c>
      <c r="H346" s="8">
        <f>IFERROR(__xludf.DUMMYFUNCTION("""COMPUTED_VALUE"""),1.0)</f>
        <v>1</v>
      </c>
      <c r="I346" s="8" t="str">
        <f>IFERROR(__xludf.DUMMYFUNCTION("""COMPUTED_VALUE"""),"General")</f>
        <v>General</v>
      </c>
      <c r="J346" s="8" t="str">
        <f>IFERROR(__xludf.DUMMYFUNCTION("""COMPUTED_VALUE"""),"Dresses")</f>
        <v>Dresses</v>
      </c>
      <c r="K346" s="8" t="str">
        <f>IFERROR(__xludf.DUMMYFUNCTION("""COMPUTED_VALUE"""),"Dresses")</f>
        <v>Dresses</v>
      </c>
      <c r="L346" s="8" t="str">
        <f t="shared" si="1"/>
        <v>-Fabric issue---</v>
      </c>
    </row>
    <row r="347">
      <c r="A347" s="8">
        <f>IFERROR(__xludf.DUMMYFUNCTION("""COMPUTED_VALUE"""),1873.0)</f>
        <v>1873</v>
      </c>
      <c r="B347" s="8">
        <f>IFERROR(__xludf.DUMMYFUNCTION("""COMPUTED_VALUE"""),1001.0)</f>
        <v>1001</v>
      </c>
      <c r="C347" s="8">
        <f>IFERROR(__xludf.DUMMYFUNCTION("""COMPUTED_VALUE"""),43.0)</f>
        <v>43</v>
      </c>
      <c r="D347" s="8" t="str">
        <f>IFERROR(__xludf.DUMMYFUNCTION("""COMPUTED_VALUE"""),"Not as shown")</f>
        <v>Not as shown</v>
      </c>
      <c r="E347" s="15" t="str">
        <f>IFERROR(__xludf.DUMMYFUNCTION("""COMPUTED_VALUE"""),"I agree with the previous reviewer that the length is not at all what is shown in the picture. much shorter than that. and while the overall detail of the skirt is very nice, the elastic waistband makes it look cheap considering the price...")</f>
        <v>I agree with the previous reviewer that the length is not at all what is shown in the picture. much shorter than that. and while the overall detail of the skirt is very nice, the elastic waistband makes it look cheap considering the price...</v>
      </c>
      <c r="F347" s="8">
        <f>IFERROR(__xludf.DUMMYFUNCTION("""COMPUTED_VALUE"""),2.0)</f>
        <v>2</v>
      </c>
      <c r="G347" s="8">
        <f>IFERROR(__xludf.DUMMYFUNCTION("""COMPUTED_VALUE"""),0.0)</f>
        <v>0</v>
      </c>
      <c r="H347" s="8">
        <f>IFERROR(__xludf.DUMMYFUNCTION("""COMPUTED_VALUE"""),5.0)</f>
        <v>5</v>
      </c>
      <c r="I347" s="8" t="str">
        <f>IFERROR(__xludf.DUMMYFUNCTION("""COMPUTED_VALUE"""),"General")</f>
        <v>General</v>
      </c>
      <c r="J347" s="8" t="str">
        <f>IFERROR(__xludf.DUMMYFUNCTION("""COMPUTED_VALUE"""),"Bottoms")</f>
        <v>Bottoms</v>
      </c>
      <c r="K347" s="8" t="str">
        <f>IFERROR(__xludf.DUMMYFUNCTION("""COMPUTED_VALUE"""),"Skirts")</f>
        <v>Skirts</v>
      </c>
      <c r="L347" s="8" t="str">
        <f t="shared" si="1"/>
        <v>Size issue--Style issue-Price issue-</v>
      </c>
    </row>
    <row r="348">
      <c r="A348" s="8">
        <f>IFERROR(__xludf.DUMMYFUNCTION("""COMPUTED_VALUE"""),1876.0)</f>
        <v>1876</v>
      </c>
      <c r="B348" s="8">
        <f>IFERROR(__xludf.DUMMYFUNCTION("""COMPUTED_VALUE"""),1054.0)</f>
        <v>1054</v>
      </c>
      <c r="C348" s="8">
        <f>IFERROR(__xludf.DUMMYFUNCTION("""COMPUTED_VALUE"""),37.0)</f>
        <v>37</v>
      </c>
      <c r="D348" s="8" t="str">
        <f>IFERROR(__xludf.DUMMYFUNCTION("""COMPUTED_VALUE"""),"Too big")</f>
        <v>Too big</v>
      </c>
      <c r="E348" s="15" t="str">
        <f>IFERROR(__xludf.DUMMYFUNCTION("""COMPUTED_VALUE"""),"I ordered these pants after seeing the good reviews, but i don't agree. these are going back. i ordered a small. i'm 5'5"" and 135 pounds. i am usually between a small and a medium in pants, but the small in these pants is huge. i could definitely fit int"&amp;"o an xs. but i also don't think they are very flattering and don't like the feel of the fabric. it's too bad. i love the idea of these.")</f>
        <v>I ordered these pants after seeing the good reviews, but i don't agree. these are going back. i ordered a small. i'm 5'5" and 135 pounds. i am usually between a small and a medium in pants, but the small in these pants is huge. i could definitely fit into an xs. but i also don't think they are very flattering and don't like the feel of the fabric. it's too bad. i love the idea of these.</v>
      </c>
      <c r="F348" s="8">
        <f>IFERROR(__xludf.DUMMYFUNCTION("""COMPUTED_VALUE"""),2.0)</f>
        <v>2</v>
      </c>
      <c r="G348" s="8">
        <f>IFERROR(__xludf.DUMMYFUNCTION("""COMPUTED_VALUE"""),0.0)</f>
        <v>0</v>
      </c>
      <c r="H348" s="8">
        <f>IFERROR(__xludf.DUMMYFUNCTION("""COMPUTED_VALUE"""),0.0)</f>
        <v>0</v>
      </c>
      <c r="I348" s="8" t="str">
        <f>IFERROR(__xludf.DUMMYFUNCTION("""COMPUTED_VALUE"""),"General")</f>
        <v>General</v>
      </c>
      <c r="J348" s="8" t="str">
        <f>IFERROR(__xludf.DUMMYFUNCTION("""COMPUTED_VALUE"""),"Bottoms")</f>
        <v>Bottoms</v>
      </c>
      <c r="K348" s="8" t="str">
        <f>IFERROR(__xludf.DUMMYFUNCTION("""COMPUTED_VALUE"""),"Pants")</f>
        <v>Pants</v>
      </c>
      <c r="L348" s="8" t="str">
        <f t="shared" si="1"/>
        <v>Size issue----</v>
      </c>
    </row>
    <row r="349">
      <c r="A349" s="8">
        <f>IFERROR(__xludf.DUMMYFUNCTION("""COMPUTED_VALUE"""),1882.0)</f>
        <v>1882</v>
      </c>
      <c r="B349" s="8">
        <f>IFERROR(__xludf.DUMMYFUNCTION("""COMPUTED_VALUE"""),371.0)</f>
        <v>371</v>
      </c>
      <c r="C349" s="8">
        <f>IFERROR(__xludf.DUMMYFUNCTION("""COMPUTED_VALUE"""),38.0)</f>
        <v>38</v>
      </c>
      <c r="D349" s="8" t="str">
        <f>IFERROR(__xludf.DUMMYFUNCTION("""COMPUTED_VALUE"""),"Disappointed")</f>
        <v>Disappointed</v>
      </c>
      <c r="E349" s="15" t="str">
        <f>IFERROR(__xludf.DUMMYFUNCTION("""COMPUTED_VALUE"""),"Cute and very soft, but the elastic wasn't sewn in right. i took them out of the wash and the waistband was a twisted mess. disappointing for more expensive loungewear.")</f>
        <v>Cute and very soft, but the elastic wasn't sewn in right. i took them out of the wash and the waistband was a twisted mess. disappointing for more expensive loungewear.</v>
      </c>
      <c r="F349" s="8">
        <f>IFERROR(__xludf.DUMMYFUNCTION("""COMPUTED_VALUE"""),1.0)</f>
        <v>1</v>
      </c>
      <c r="G349" s="8">
        <f>IFERROR(__xludf.DUMMYFUNCTION("""COMPUTED_VALUE"""),0.0)</f>
        <v>0</v>
      </c>
      <c r="H349" s="8">
        <f>IFERROR(__xludf.DUMMYFUNCTION("""COMPUTED_VALUE"""),1.0)</f>
        <v>1</v>
      </c>
      <c r="I349" s="8" t="str">
        <f>IFERROR(__xludf.DUMMYFUNCTION("""COMPUTED_VALUE"""),"Initmates")</f>
        <v>Initmates</v>
      </c>
      <c r="J349" s="8" t="str">
        <f>IFERROR(__xludf.DUMMYFUNCTION("""COMPUTED_VALUE"""),"Intimate")</f>
        <v>Intimate</v>
      </c>
      <c r="K349" s="8" t="str">
        <f>IFERROR(__xludf.DUMMYFUNCTION("""COMPUTED_VALUE"""),"Lounge")</f>
        <v>Lounge</v>
      </c>
      <c r="L349" s="8" t="str">
        <f t="shared" si="1"/>
        <v>---Price issue-</v>
      </c>
    </row>
    <row r="350">
      <c r="A350" s="8">
        <f>IFERROR(__xludf.DUMMYFUNCTION("""COMPUTED_VALUE"""),1886.0)</f>
        <v>1886</v>
      </c>
      <c r="B350" s="8">
        <f>IFERROR(__xludf.DUMMYFUNCTION("""COMPUTED_VALUE"""),1059.0)</f>
        <v>1059</v>
      </c>
      <c r="C350" s="8">
        <f>IFERROR(__xludf.DUMMYFUNCTION("""COMPUTED_VALUE"""),36.0)</f>
        <v>36</v>
      </c>
      <c r="D350" s="8" t="str">
        <f>IFERROR(__xludf.DUMMYFUNCTION("""COMPUTED_VALUE"""),"Super cute but not for me")</f>
        <v>Super cute but not for me</v>
      </c>
      <c r="E350" s="15" t="str">
        <f>IFERROR(__xludf.DUMMYFUNCTION("""COMPUTED_VALUE"""),"I am just over 5'8""and i found that these pants hit me in a weird spot on my torso, almost creating a muffin top that i don't normally have. in addition, they were too short on me to give the chic and modern look of cropped ankle pants. on my frame, they"&amp;" fit more like capris from the late 1990s. both the construction and execution of the pants are otherwise fantastic.")</f>
        <v>I am just over 5'8"and i found that these pants hit me in a weird spot on my torso, almost creating a muffin top that i don't normally have. in addition, they were too short on me to give the chic and modern look of cropped ankle pants. on my frame, they fit more like capris from the late 1990s. both the construction and execution of the pants are otherwise fantastic.</v>
      </c>
      <c r="F350" s="8">
        <f>IFERROR(__xludf.DUMMYFUNCTION("""COMPUTED_VALUE"""),4.0)</f>
        <v>4</v>
      </c>
      <c r="G350" s="8">
        <f>IFERROR(__xludf.DUMMYFUNCTION("""COMPUTED_VALUE"""),0.0)</f>
        <v>0</v>
      </c>
      <c r="H350" s="8">
        <f>IFERROR(__xludf.DUMMYFUNCTION("""COMPUTED_VALUE"""),0.0)</f>
        <v>0</v>
      </c>
      <c r="I350" s="8" t="str">
        <f>IFERROR(__xludf.DUMMYFUNCTION("""COMPUTED_VALUE"""),"General Petite")</f>
        <v>General Petite</v>
      </c>
      <c r="J350" s="8" t="str">
        <f>IFERROR(__xludf.DUMMYFUNCTION("""COMPUTED_VALUE"""),"Bottoms")</f>
        <v>Bottoms</v>
      </c>
      <c r="K350" s="8" t="str">
        <f>IFERROR(__xludf.DUMMYFUNCTION("""COMPUTED_VALUE"""),"Pants")</f>
        <v>Pants</v>
      </c>
      <c r="L350" s="8" t="str">
        <f t="shared" si="1"/>
        <v>Size issue----</v>
      </c>
    </row>
    <row r="351">
      <c r="A351" s="8">
        <f>IFERROR(__xludf.DUMMYFUNCTION("""COMPUTED_VALUE"""),1890.0)</f>
        <v>1890</v>
      </c>
      <c r="B351" s="8">
        <f>IFERROR(__xludf.DUMMYFUNCTION("""COMPUTED_VALUE"""),838.0)</f>
        <v>838</v>
      </c>
      <c r="C351" s="8">
        <f>IFERROR(__xludf.DUMMYFUNCTION("""COMPUTED_VALUE"""),42.0)</f>
        <v>42</v>
      </c>
      <c r="D351" s="8" t="str">
        <f>IFERROR(__xludf.DUMMYFUNCTION("""COMPUTED_VALUE"""),"Beautiful - if you're pregnant with twins.")</f>
        <v>Beautiful - if you're pregnant with twins.</v>
      </c>
      <c r="E351" s="15" t="str">
        <f>IFERROR(__xludf.DUMMYFUNCTION("""COMPUTED_VALUE"""),"This is a gorgeous top. very well made with a classy design. it fits true to size from the lower chest up. however, at about the mid-belly range, the shirt widens out and basically allows a 5 month twin pregnancy to comfortably fit in. size xs. i was so s"&amp;"ad. for the price, i can't justify taking it for alterations. it would have been the perfect top.")</f>
        <v>This is a gorgeous top. very well made with a classy design. it fits true to size from the lower chest up. however, at about the mid-belly range, the shirt widens out and basically allows a 5 month twin pregnancy to comfortably fit in. size xs. i was so sad. for the price, i can't justify taking it for alterations. it would have been the perfect top.</v>
      </c>
      <c r="F351" s="8">
        <f>IFERROR(__xludf.DUMMYFUNCTION("""COMPUTED_VALUE"""),2.0)</f>
        <v>2</v>
      </c>
      <c r="G351" s="8">
        <f>IFERROR(__xludf.DUMMYFUNCTION("""COMPUTED_VALUE"""),0.0)</f>
        <v>0</v>
      </c>
      <c r="H351" s="8">
        <f>IFERROR(__xludf.DUMMYFUNCTION("""COMPUTED_VALUE"""),14.0)</f>
        <v>14</v>
      </c>
      <c r="I351" s="8" t="str">
        <f>IFERROR(__xludf.DUMMYFUNCTION("""COMPUTED_VALUE"""),"General")</f>
        <v>General</v>
      </c>
      <c r="J351" s="8" t="str">
        <f>IFERROR(__xludf.DUMMYFUNCTION("""COMPUTED_VALUE"""),"Tops")</f>
        <v>Tops</v>
      </c>
      <c r="K351" s="8" t="str">
        <f>IFERROR(__xludf.DUMMYFUNCTION("""COMPUTED_VALUE"""),"Blouses")</f>
        <v>Blouses</v>
      </c>
      <c r="L351" s="8" t="str">
        <f t="shared" si="1"/>
        <v>Size issue--Style issue--</v>
      </c>
    </row>
    <row r="352">
      <c r="A352" s="8">
        <f>IFERROR(__xludf.DUMMYFUNCTION("""COMPUTED_VALUE"""),1891.0)</f>
        <v>1891</v>
      </c>
      <c r="B352" s="8">
        <f>IFERROR(__xludf.DUMMYFUNCTION("""COMPUTED_VALUE"""),1081.0)</f>
        <v>1081</v>
      </c>
      <c r="C352" s="8">
        <f>IFERROR(__xludf.DUMMYFUNCTION("""COMPUTED_VALUE"""),42.0)</f>
        <v>42</v>
      </c>
      <c r="D352" s="8" t="str">
        <f>IFERROR(__xludf.DUMMYFUNCTION("""COMPUTED_VALUE"""),"Beautiful dress, fits poorly")</f>
        <v>Beautiful dress, fits poorly</v>
      </c>
      <c r="E352" s="15" t="str">
        <f>IFERROR(__xludf.DUMMYFUNCTION("""COMPUTED_VALUE"""),"I purchased this and another eva franco dress during retailer's recent 20% off sale. i was looking for dresses that were work appropriate, but that would also transition well to happy hour or date night. they both seemed to be just what i was looking for."&amp;" i ordered a 4 regular and a 6 regular, as i am usually in between sizes. the 4 was definitely too small. the 6 fit, technically, but was very ill fitting. not only is the dress itself short, but it is very short-waisted. i am only 5'3"", but it fe")</f>
        <v>I purchased this and another eva franco dress during retailer's recent 20% off sale. i was looking for dresses that were work appropriate, but that would also transition well to happy hour or date night. they both seemed to be just what i was looking for. i ordered a 4 regular and a 6 regular, as i am usually in between sizes. the 4 was definitely too small. the 6 fit, technically, but was very ill fitting. not only is the dress itself short, but it is very short-waisted. i am only 5'3", but it fe</v>
      </c>
      <c r="F352" s="8">
        <f>IFERROR(__xludf.DUMMYFUNCTION("""COMPUTED_VALUE"""),2.0)</f>
        <v>2</v>
      </c>
      <c r="G352" s="8">
        <f>IFERROR(__xludf.DUMMYFUNCTION("""COMPUTED_VALUE"""),0.0)</f>
        <v>0</v>
      </c>
      <c r="H352" s="8">
        <f>IFERROR(__xludf.DUMMYFUNCTION("""COMPUTED_VALUE"""),5.0)</f>
        <v>5</v>
      </c>
      <c r="I352" s="8" t="str">
        <f>IFERROR(__xludf.DUMMYFUNCTION("""COMPUTED_VALUE"""),"General")</f>
        <v>General</v>
      </c>
      <c r="J352" s="8" t="str">
        <f>IFERROR(__xludf.DUMMYFUNCTION("""COMPUTED_VALUE"""),"Dresses")</f>
        <v>Dresses</v>
      </c>
      <c r="K352" s="8" t="str">
        <f>IFERROR(__xludf.DUMMYFUNCTION("""COMPUTED_VALUE"""),"Dresses")</f>
        <v>Dresses</v>
      </c>
      <c r="L352" s="8" t="str">
        <f t="shared" si="1"/>
        <v>Size issue----</v>
      </c>
    </row>
    <row r="353">
      <c r="A353" s="8">
        <f>IFERROR(__xludf.DUMMYFUNCTION("""COMPUTED_VALUE"""),1893.0)</f>
        <v>1893</v>
      </c>
      <c r="B353" s="8">
        <f>IFERROR(__xludf.DUMMYFUNCTION("""COMPUTED_VALUE"""),898.0)</f>
        <v>898</v>
      </c>
      <c r="C353" s="8">
        <f>IFERROR(__xludf.DUMMYFUNCTION("""COMPUTED_VALUE"""),50.0)</f>
        <v>50</v>
      </c>
      <c r="D353" s="8" t="str">
        <f>IFERROR(__xludf.DUMMYFUNCTION("""COMPUTED_VALUE"""),"I'd rather pay property taxes than buy this one!")</f>
        <v>I'd rather pay property taxes than buy this one!</v>
      </c>
      <c r="E353" s="15" t="str">
        <f>IFERROR(__xludf.DUMMYFUNCTION("""COMPUTED_VALUE"""),"Disappointment city with this one and i am so lucky i had a coupon because if i would have paid the full $128 they are asking, i would be a tad skewed. not just thin material but thin and cheap feeling. doesn't itch but i seriously expected a lot more fro"&amp;"m retailer. i have noted the name of the designer and have promised myself to never buy this label again. big loser.")</f>
        <v>Disappointment city with this one and i am so lucky i had a coupon because if i would have paid the full $128 they are asking, i would be a tad skewed. not just thin material but thin and cheap feeling. doesn't itch but i seriously expected a lot more from retailer. i have noted the name of the designer and have promised myself to never buy this label again. big loser.</v>
      </c>
      <c r="F353" s="8">
        <f>IFERROR(__xludf.DUMMYFUNCTION("""COMPUTED_VALUE"""),2.0)</f>
        <v>2</v>
      </c>
      <c r="G353" s="8">
        <f>IFERROR(__xludf.DUMMYFUNCTION("""COMPUTED_VALUE"""),0.0)</f>
        <v>0</v>
      </c>
      <c r="H353" s="8">
        <f>IFERROR(__xludf.DUMMYFUNCTION("""COMPUTED_VALUE"""),7.0)</f>
        <v>7</v>
      </c>
      <c r="I353" s="8" t="str">
        <f>IFERROR(__xludf.DUMMYFUNCTION("""COMPUTED_VALUE"""),"General")</f>
        <v>General</v>
      </c>
      <c r="J353" s="8" t="str">
        <f>IFERROR(__xludf.DUMMYFUNCTION("""COMPUTED_VALUE"""),"Tops")</f>
        <v>Tops</v>
      </c>
      <c r="K353" s="8" t="str">
        <f>IFERROR(__xludf.DUMMYFUNCTION("""COMPUTED_VALUE"""),"Fine gauge")</f>
        <v>Fine gauge</v>
      </c>
      <c r="L353" s="8" t="str">
        <f t="shared" si="1"/>
        <v>-Fabric issue-Style issue--</v>
      </c>
    </row>
    <row r="354">
      <c r="A354" s="8">
        <f>IFERROR(__xludf.DUMMYFUNCTION("""COMPUTED_VALUE"""),1906.0)</f>
        <v>1906</v>
      </c>
      <c r="B354" s="8">
        <f>IFERROR(__xludf.DUMMYFUNCTION("""COMPUTED_VALUE"""),1081.0)</f>
        <v>1081</v>
      </c>
      <c r="C354" s="8">
        <f>IFERROR(__xludf.DUMMYFUNCTION("""COMPUTED_VALUE"""),47.0)</f>
        <v>47</v>
      </c>
      <c r="D354" s="8" t="str">
        <f>IFERROR(__xludf.DUMMYFUNCTION("""COMPUTED_VALUE"""),"Square")</f>
        <v>Square</v>
      </c>
      <c r="E354" s="15" t="str">
        <f>IFERROR(__xludf.DUMMYFUNCTION("""COMPUTED_VALUE"""),"Short and wide. the color and print are so pretty, but the shape isn't flattering, at least not to me. might work better on a teen?")</f>
        <v>Short and wide. the color and print are so pretty, but the shape isn't flattering, at least not to me. might work better on a teen?</v>
      </c>
      <c r="F354" s="8">
        <f>IFERROR(__xludf.DUMMYFUNCTION("""COMPUTED_VALUE"""),3.0)</f>
        <v>3</v>
      </c>
      <c r="G354" s="8">
        <f>IFERROR(__xludf.DUMMYFUNCTION("""COMPUTED_VALUE"""),0.0)</f>
        <v>0</v>
      </c>
      <c r="H354" s="8">
        <f>IFERROR(__xludf.DUMMYFUNCTION("""COMPUTED_VALUE"""),0.0)</f>
        <v>0</v>
      </c>
      <c r="I354" s="8" t="str">
        <f>IFERROR(__xludf.DUMMYFUNCTION("""COMPUTED_VALUE"""),"General")</f>
        <v>General</v>
      </c>
      <c r="J354" s="8" t="str">
        <f>IFERROR(__xludf.DUMMYFUNCTION("""COMPUTED_VALUE"""),"Dresses")</f>
        <v>Dresses</v>
      </c>
      <c r="K354" s="8" t="str">
        <f>IFERROR(__xludf.DUMMYFUNCTION("""COMPUTED_VALUE"""),"Dresses")</f>
        <v>Dresses</v>
      </c>
      <c r="L354" s="8" t="str">
        <f t="shared" si="1"/>
        <v>Size issue----</v>
      </c>
    </row>
    <row r="355">
      <c r="A355" s="8">
        <f>IFERROR(__xludf.DUMMYFUNCTION("""COMPUTED_VALUE"""),1926.0)</f>
        <v>1926</v>
      </c>
      <c r="B355" s="8">
        <f>IFERROR(__xludf.DUMMYFUNCTION("""COMPUTED_VALUE"""),1082.0)</f>
        <v>1082</v>
      </c>
      <c r="C355" s="8">
        <f>IFERROR(__xludf.DUMMYFUNCTION("""COMPUTED_VALUE"""),59.0)</f>
        <v>59</v>
      </c>
      <c r="D355" s="8" t="str">
        <f>IFERROR(__xludf.DUMMYFUNCTION("""COMPUTED_VALUE"""),"Very unflattering dress")</f>
        <v>Very unflattering dress</v>
      </c>
      <c r="E355" s="15" t="str">
        <f>IFERROR(__xludf.DUMMYFUNCTION("""COMPUTED_VALUE"""),"This dress looks lovely on the model, but it looks just awful on me!
i am 5'4"" and curvy. the shoulders are cut w/ a weird shape. instead of a cap sleeve, it is like a pointy cap on the side and stuck out on my shoulders. it looks like i am ready to get "&amp;"beamed into space.
the material is nice and the sequins are pretty, but the cut of the dress is unflattering.")</f>
        <v>This dress looks lovely on the model, but it looks just awful on me!
i am 5'4" and curvy. the shoulders are cut w/ a weird shape. instead of a cap sleeve, it is like a pointy cap on the side and stuck out on my shoulders. it looks like i am ready to get beamed into space.
the material is nice and the sequins are pretty, but the cut of the dress is unflattering.</v>
      </c>
      <c r="F355" s="8">
        <f>IFERROR(__xludf.DUMMYFUNCTION("""COMPUTED_VALUE"""),1.0)</f>
        <v>1</v>
      </c>
      <c r="G355" s="8">
        <f>IFERROR(__xludf.DUMMYFUNCTION("""COMPUTED_VALUE"""),0.0)</f>
        <v>0</v>
      </c>
      <c r="H355" s="8">
        <f>IFERROR(__xludf.DUMMYFUNCTION("""COMPUTED_VALUE"""),6.0)</f>
        <v>6</v>
      </c>
      <c r="I355" s="8" t="str">
        <f>IFERROR(__xludf.DUMMYFUNCTION("""COMPUTED_VALUE"""),"General Petite")</f>
        <v>General Petite</v>
      </c>
      <c r="J355" s="8" t="str">
        <f>IFERROR(__xludf.DUMMYFUNCTION("""COMPUTED_VALUE"""),"Dresses")</f>
        <v>Dresses</v>
      </c>
      <c r="K355" s="8" t="str">
        <f>IFERROR(__xludf.DUMMYFUNCTION("""COMPUTED_VALUE"""),"Dresses")</f>
        <v>Dresses</v>
      </c>
      <c r="L355" s="8" t="str">
        <f t="shared" si="1"/>
        <v>Size issue-Fabric issue---Matching Awareness issue</v>
      </c>
    </row>
    <row r="356">
      <c r="A356" s="8">
        <f>IFERROR(__xludf.DUMMYFUNCTION("""COMPUTED_VALUE"""),1930.0)</f>
        <v>1930</v>
      </c>
      <c r="B356" s="8">
        <f>IFERROR(__xludf.DUMMYFUNCTION("""COMPUTED_VALUE"""),1081.0)</f>
        <v>1081</v>
      </c>
      <c r="C356" s="8">
        <f>IFERROR(__xludf.DUMMYFUNCTION("""COMPUTED_VALUE"""),55.0)</f>
        <v>55</v>
      </c>
      <c r="D356" s="8" t="str">
        <f>IFERROR(__xludf.DUMMYFUNCTION("""COMPUTED_VALUE"""),"Almost.")</f>
        <v>Almost.</v>
      </c>
      <c r="E356" s="15" t="str">
        <f>IFERROR(__xludf.DUMMYFUNCTION("""COMPUTED_VALUE"""),"It's pretty, floaty, feminine; the photos don't do justice to the prettiness. but the photos also don't show an asymmetrical hem. i understood it runs small so i got two sizes, to be safe, and even my larger size was strangely short-waisted, and i'm short"&amp;"-waisted to start with. maybe i could've lived with that, but both the dresses i received have an uneven hem unlike any i've ever worn or seen before. it's not longer on just the sides; the hem is longer in one spot on the front, and one in the")</f>
        <v>It's pretty, floaty, feminine; the photos don't do justice to the prettiness. but the photos also don't show an asymmetrical hem. i understood it runs small so i got two sizes, to be safe, and even my larger size was strangely short-waisted, and i'm short-waisted to start with. maybe i could've lived with that, but both the dresses i received have an uneven hem unlike any i've ever worn or seen before. it's not longer on just the sides; the hem is longer in one spot on the front, and one in the</v>
      </c>
      <c r="F356" s="8">
        <f>IFERROR(__xludf.DUMMYFUNCTION("""COMPUTED_VALUE"""),2.0)</f>
        <v>2</v>
      </c>
      <c r="G356" s="8">
        <f>IFERROR(__xludf.DUMMYFUNCTION("""COMPUTED_VALUE"""),0.0)</f>
        <v>0</v>
      </c>
      <c r="H356" s="8">
        <f>IFERROR(__xludf.DUMMYFUNCTION("""COMPUTED_VALUE"""),3.0)</f>
        <v>3</v>
      </c>
      <c r="I356" s="8" t="str">
        <f>IFERROR(__xludf.DUMMYFUNCTION("""COMPUTED_VALUE"""),"General Petite")</f>
        <v>General Petite</v>
      </c>
      <c r="J356" s="8" t="str">
        <f>IFERROR(__xludf.DUMMYFUNCTION("""COMPUTED_VALUE"""),"Dresses")</f>
        <v>Dresses</v>
      </c>
      <c r="K356" s="8" t="str">
        <f>IFERROR(__xludf.DUMMYFUNCTION("""COMPUTED_VALUE"""),"Dresses")</f>
        <v>Dresses</v>
      </c>
      <c r="L356" s="8" t="str">
        <f t="shared" si="1"/>
        <v>Size issue----</v>
      </c>
    </row>
    <row r="357">
      <c r="A357" s="8">
        <f>IFERROR(__xludf.DUMMYFUNCTION("""COMPUTED_VALUE"""),1937.0)</f>
        <v>1937</v>
      </c>
      <c r="B357" s="8">
        <f>IFERROR(__xludf.DUMMYFUNCTION("""COMPUTED_VALUE"""),1016.0)</f>
        <v>1016</v>
      </c>
      <c r="C357" s="8">
        <f>IFERROR(__xludf.DUMMYFUNCTION("""COMPUTED_VALUE"""),41.0)</f>
        <v>41</v>
      </c>
      <c r="D357" s="8" t="str">
        <f>IFERROR(__xludf.DUMMYFUNCTION("""COMPUTED_VALUE"""),"Would be great but...")</f>
        <v>Would be great but...</v>
      </c>
      <c r="E357" s="15" t="str">
        <f>IFERROR(__xludf.DUMMYFUNCTION("""COMPUTED_VALUE"""),"Such a cute skirt- but impossible to get on. ordered in an xs (i have a 25/26 waist) but could barely get it past my knees to step into. if you have any hips at all, unfortunately this skirt won't work. i was tempted to size up but once i got it on it fit"&amp;" great in the waist and already had too much material to size up to a small.")</f>
        <v>Such a cute skirt- but impossible to get on. ordered in an xs (i have a 25/26 waist) but could barely get it past my knees to step into. if you have any hips at all, unfortunately this skirt won't work. i was tempted to size up but once i got it on it fit great in the waist and already had too much material to size up to a small.</v>
      </c>
      <c r="F357" s="8">
        <f>IFERROR(__xludf.DUMMYFUNCTION("""COMPUTED_VALUE"""),2.0)</f>
        <v>2</v>
      </c>
      <c r="G357" s="8">
        <f>IFERROR(__xludf.DUMMYFUNCTION("""COMPUTED_VALUE"""),0.0)</f>
        <v>0</v>
      </c>
      <c r="H357" s="8">
        <f>IFERROR(__xludf.DUMMYFUNCTION("""COMPUTED_VALUE"""),11.0)</f>
        <v>11</v>
      </c>
      <c r="I357" s="8" t="str">
        <f>IFERROR(__xludf.DUMMYFUNCTION("""COMPUTED_VALUE"""),"General")</f>
        <v>General</v>
      </c>
      <c r="J357" s="8" t="str">
        <f>IFERROR(__xludf.DUMMYFUNCTION("""COMPUTED_VALUE"""),"Bottoms")</f>
        <v>Bottoms</v>
      </c>
      <c r="K357" s="8" t="str">
        <f>IFERROR(__xludf.DUMMYFUNCTION("""COMPUTED_VALUE"""),"Skirts")</f>
        <v>Skirts</v>
      </c>
      <c r="L357" s="8" t="str">
        <f t="shared" si="1"/>
        <v>Size issue-Fabric issue---</v>
      </c>
    </row>
    <row r="358">
      <c r="A358" s="8">
        <f>IFERROR(__xludf.DUMMYFUNCTION("""COMPUTED_VALUE"""),1939.0)</f>
        <v>1939</v>
      </c>
      <c r="B358" s="8">
        <f>IFERROR(__xludf.DUMMYFUNCTION("""COMPUTED_VALUE"""),862.0)</f>
        <v>862</v>
      </c>
      <c r="C358" s="8">
        <f>IFERROR(__xludf.DUMMYFUNCTION("""COMPUTED_VALUE"""),76.0)</f>
        <v>76</v>
      </c>
      <c r="D358" s="8"/>
      <c r="E358" s="15" t="str">
        <f>IFERROR(__xludf.DUMMYFUNCTION("""COMPUTED_VALUE"""),"It was very pretty,but it ran very big , sadly i had to return it.")</f>
        <v>It was very pretty,but it ran very big , sadly i had to return it.</v>
      </c>
      <c r="F358" s="8">
        <f>IFERROR(__xludf.DUMMYFUNCTION("""COMPUTED_VALUE"""),2.0)</f>
        <v>2</v>
      </c>
      <c r="G358" s="8">
        <f>IFERROR(__xludf.DUMMYFUNCTION("""COMPUTED_VALUE"""),0.0)</f>
        <v>0</v>
      </c>
      <c r="H358" s="8">
        <f>IFERROR(__xludf.DUMMYFUNCTION("""COMPUTED_VALUE"""),0.0)</f>
        <v>0</v>
      </c>
      <c r="I358" s="8" t="str">
        <f>IFERROR(__xludf.DUMMYFUNCTION("""COMPUTED_VALUE"""),"General Petite")</f>
        <v>General Petite</v>
      </c>
      <c r="J358" s="8" t="str">
        <f>IFERROR(__xludf.DUMMYFUNCTION("""COMPUTED_VALUE"""),"Tops")</f>
        <v>Tops</v>
      </c>
      <c r="K358" s="8" t="str">
        <f>IFERROR(__xludf.DUMMYFUNCTION("""COMPUTED_VALUE"""),"Knits")</f>
        <v>Knits</v>
      </c>
      <c r="L358" s="8" t="str">
        <f t="shared" si="1"/>
        <v>----</v>
      </c>
    </row>
    <row r="359">
      <c r="A359" s="8">
        <f>IFERROR(__xludf.DUMMYFUNCTION("""COMPUTED_VALUE"""),1940.0)</f>
        <v>1940</v>
      </c>
      <c r="B359" s="8">
        <f>IFERROR(__xludf.DUMMYFUNCTION("""COMPUTED_VALUE"""),1092.0)</f>
        <v>1092</v>
      </c>
      <c r="C359" s="8">
        <f>IFERROR(__xludf.DUMMYFUNCTION("""COMPUTED_VALUE"""),50.0)</f>
        <v>50</v>
      </c>
      <c r="D359" s="8" t="str">
        <f>IFERROR(__xludf.DUMMYFUNCTION("""COMPUTED_VALUE"""),"Wanted to like it")</f>
        <v>Wanted to like it</v>
      </c>
      <c r="E359" s="15" t="str">
        <f>IFERROR(__xludf.DUMMYFUNCTION("""COMPUTED_VALUE"""),"I thought this dress was very cute on the model, however it was way too tight across the chest for me. going up a size would mean it would be too roomy everywhere else. also, fabric wasn't great.")</f>
        <v>I thought this dress was very cute on the model, however it was way too tight across the chest for me. going up a size would mean it would be too roomy everywhere else. also, fabric wasn't great.</v>
      </c>
      <c r="F359" s="8">
        <f>IFERROR(__xludf.DUMMYFUNCTION("""COMPUTED_VALUE"""),3.0)</f>
        <v>3</v>
      </c>
      <c r="G359" s="8">
        <f>IFERROR(__xludf.DUMMYFUNCTION("""COMPUTED_VALUE"""),0.0)</f>
        <v>0</v>
      </c>
      <c r="H359" s="8">
        <f>IFERROR(__xludf.DUMMYFUNCTION("""COMPUTED_VALUE"""),0.0)</f>
        <v>0</v>
      </c>
      <c r="I359" s="8" t="str">
        <f>IFERROR(__xludf.DUMMYFUNCTION("""COMPUTED_VALUE"""),"General Petite")</f>
        <v>General Petite</v>
      </c>
      <c r="J359" s="8" t="str">
        <f>IFERROR(__xludf.DUMMYFUNCTION("""COMPUTED_VALUE"""),"Dresses")</f>
        <v>Dresses</v>
      </c>
      <c r="K359" s="8" t="str">
        <f>IFERROR(__xludf.DUMMYFUNCTION("""COMPUTED_VALUE"""),"Dresses")</f>
        <v>Dresses</v>
      </c>
      <c r="L359" s="8" t="str">
        <f t="shared" si="1"/>
        <v>Size issue----Matching Awareness issue</v>
      </c>
    </row>
    <row r="360">
      <c r="A360" s="8">
        <f>IFERROR(__xludf.DUMMYFUNCTION("""COMPUTED_VALUE"""),1943.0)</f>
        <v>1943</v>
      </c>
      <c r="B360" s="8">
        <f>IFERROR(__xludf.DUMMYFUNCTION("""COMPUTED_VALUE"""),1092.0)</f>
        <v>1092</v>
      </c>
      <c r="C360" s="8">
        <f>IFERROR(__xludf.DUMMYFUNCTION("""COMPUTED_VALUE"""),44.0)</f>
        <v>44</v>
      </c>
      <c r="D360" s="8"/>
      <c r="E360" s="15" t="str">
        <f>IFERROR(__xludf.DUMMYFUNCTION("""COMPUTED_VALUE"""),"Ugh.  i was so excited to get this dress and for 30% off.  this dress is adorable.  unfortunately the top part is super tight around my girls.  otherwise the fit was perfect.  very disappointed in the top of this dress.")</f>
        <v>Ugh.  i was so excited to get this dress and for 30% off.  this dress is adorable.  unfortunately the top part is super tight around my girls.  otherwise the fit was perfect.  very disappointed in the top of this dress.</v>
      </c>
      <c r="F360" s="8">
        <f>IFERROR(__xludf.DUMMYFUNCTION("""COMPUTED_VALUE"""),3.0)</f>
        <v>3</v>
      </c>
      <c r="G360" s="8">
        <f>IFERROR(__xludf.DUMMYFUNCTION("""COMPUTED_VALUE"""),0.0)</f>
        <v>0</v>
      </c>
      <c r="H360" s="8">
        <f>IFERROR(__xludf.DUMMYFUNCTION("""COMPUTED_VALUE"""),0.0)</f>
        <v>0</v>
      </c>
      <c r="I360" s="8" t="str">
        <f>IFERROR(__xludf.DUMMYFUNCTION("""COMPUTED_VALUE"""),"General Petite")</f>
        <v>General Petite</v>
      </c>
      <c r="J360" s="8" t="str">
        <f>IFERROR(__xludf.DUMMYFUNCTION("""COMPUTED_VALUE"""),"Dresses")</f>
        <v>Dresses</v>
      </c>
      <c r="K360" s="8" t="str">
        <f>IFERROR(__xludf.DUMMYFUNCTION("""COMPUTED_VALUE"""),"Dresses")</f>
        <v>Dresses</v>
      </c>
      <c r="L360" s="8" t="str">
        <f t="shared" si="1"/>
        <v>Size issue----</v>
      </c>
    </row>
    <row r="361">
      <c r="A361" s="8">
        <f>IFERROR(__xludf.DUMMYFUNCTION("""COMPUTED_VALUE"""),1946.0)</f>
        <v>1946</v>
      </c>
      <c r="B361" s="8">
        <f>IFERROR(__xludf.DUMMYFUNCTION("""COMPUTED_VALUE"""),1016.0)</f>
        <v>1016</v>
      </c>
      <c r="C361" s="8">
        <f>IFERROR(__xludf.DUMMYFUNCTION("""COMPUTED_VALUE"""),35.0)</f>
        <v>35</v>
      </c>
      <c r="D361" s="8" t="str">
        <f>IFERROR(__xludf.DUMMYFUNCTION("""COMPUTED_VALUE"""),"Flawed")</f>
        <v>Flawed</v>
      </c>
      <c r="E361" s="15" t="str">
        <f>IFERROR(__xludf.DUMMYFUNCTION("""COMPUTED_VALUE"""),"Cute skirt but i agree with the other reviewer. you can't get it on! i tried my skinny daughter tried no go!")</f>
        <v>Cute skirt but i agree with the other reviewer. you can't get it on! i tried my skinny daughter tried no go!</v>
      </c>
      <c r="F361" s="8">
        <f>IFERROR(__xludf.DUMMYFUNCTION("""COMPUTED_VALUE"""),1.0)</f>
        <v>1</v>
      </c>
      <c r="G361" s="8">
        <f>IFERROR(__xludf.DUMMYFUNCTION("""COMPUTED_VALUE"""),0.0)</f>
        <v>0</v>
      </c>
      <c r="H361" s="8">
        <f>IFERROR(__xludf.DUMMYFUNCTION("""COMPUTED_VALUE"""),3.0)</f>
        <v>3</v>
      </c>
      <c r="I361" s="8" t="str">
        <f>IFERROR(__xludf.DUMMYFUNCTION("""COMPUTED_VALUE"""),"General")</f>
        <v>General</v>
      </c>
      <c r="J361" s="8" t="str">
        <f>IFERROR(__xludf.DUMMYFUNCTION("""COMPUTED_VALUE"""),"Bottoms")</f>
        <v>Bottoms</v>
      </c>
      <c r="K361" s="8" t="str">
        <f>IFERROR(__xludf.DUMMYFUNCTION("""COMPUTED_VALUE"""),"Skirts")</f>
        <v>Skirts</v>
      </c>
      <c r="L361" s="8" t="str">
        <f t="shared" si="1"/>
        <v>----</v>
      </c>
    </row>
    <row r="362">
      <c r="A362" s="8">
        <f>IFERROR(__xludf.DUMMYFUNCTION("""COMPUTED_VALUE"""),1948.0)</f>
        <v>1948</v>
      </c>
      <c r="B362" s="8">
        <f>IFERROR(__xludf.DUMMYFUNCTION("""COMPUTED_VALUE"""),872.0)</f>
        <v>872</v>
      </c>
      <c r="C362" s="8">
        <f>IFERROR(__xludf.DUMMYFUNCTION("""COMPUTED_VALUE"""),29.0)</f>
        <v>29</v>
      </c>
      <c r="D362" s="8" t="str">
        <f>IFERROR(__xludf.DUMMYFUNCTION("""COMPUTED_VALUE"""),"Awkward shape")</f>
        <v>Awkward shape</v>
      </c>
      <c r="E362" s="15" t="str">
        <f>IFERROR(__xludf.DUMMYFUNCTION("""COMPUTED_VALUE"""),"I would definitely only recommend this top to girls who are smaller chested. it fits in the shoulders/arms, and then flares out too much at the bottom, almost looks like a maternity top. the material is very nice however - both soft, and feels like it wil"&amp;"l hold up through multiple washes.")</f>
        <v>I would definitely only recommend this top to girls who are smaller chested. it fits in the shoulders/arms, and then flares out too much at the bottom, almost looks like a maternity top. the material is very nice however - both soft, and feels like it will hold up through multiple washes.</v>
      </c>
      <c r="F362" s="8">
        <f>IFERROR(__xludf.DUMMYFUNCTION("""COMPUTED_VALUE"""),4.0)</f>
        <v>4</v>
      </c>
      <c r="G362" s="8">
        <f>IFERROR(__xludf.DUMMYFUNCTION("""COMPUTED_VALUE"""),0.0)</f>
        <v>0</v>
      </c>
      <c r="H362" s="8">
        <f>IFERROR(__xludf.DUMMYFUNCTION("""COMPUTED_VALUE"""),0.0)</f>
        <v>0</v>
      </c>
      <c r="I362" s="8" t="str">
        <f>IFERROR(__xludf.DUMMYFUNCTION("""COMPUTED_VALUE"""),"General Petite")</f>
        <v>General Petite</v>
      </c>
      <c r="J362" s="8" t="str">
        <f>IFERROR(__xludf.DUMMYFUNCTION("""COMPUTED_VALUE"""),"Tops")</f>
        <v>Tops</v>
      </c>
      <c r="K362" s="8" t="str">
        <f>IFERROR(__xludf.DUMMYFUNCTION("""COMPUTED_VALUE"""),"Knits")</f>
        <v>Knits</v>
      </c>
      <c r="L362" s="8" t="str">
        <f t="shared" si="1"/>
        <v>Size issue-Fabric issue---</v>
      </c>
    </row>
    <row r="363">
      <c r="A363" s="8">
        <f>IFERROR(__xludf.DUMMYFUNCTION("""COMPUTED_VALUE"""),1952.0)</f>
        <v>1952</v>
      </c>
      <c r="B363" s="8">
        <f>IFERROR(__xludf.DUMMYFUNCTION("""COMPUTED_VALUE"""),1016.0)</f>
        <v>1016</v>
      </c>
      <c r="C363" s="8">
        <f>IFERROR(__xludf.DUMMYFUNCTION("""COMPUTED_VALUE"""),45.0)</f>
        <v>45</v>
      </c>
      <c r="D363" s="8" t="str">
        <f>IFERROR(__xludf.DUMMYFUNCTION("""COMPUTED_VALUE"""),"Cute skirt in theory")</f>
        <v>Cute skirt in theory</v>
      </c>
      <c r="E363" s="15" t="str">
        <f>IFERROR(__xludf.DUMMYFUNCTION("""COMPUTED_VALUE"""),"This looked like such a cute, casual skirt when i picked it up but like other reviewers have said, it runs small. i'm usually a xs in retailer skirts but they only had a small to try on. i was able to get it on but did notice it was snug pulling on past m"&amp;"y hips. however once on, i couldn't figure out how i'd wear this. i wouldn't pair this with a flowy top but tucking something in didn't seem like a good idea either. between the pleats and elastic waist it will make almost anyone look like they ha")</f>
        <v>This looked like such a cute, casual skirt when i picked it up but like other reviewers have said, it runs small. i'm usually a xs in retailer skirts but they only had a small to try on. i was able to get it on but did notice it was snug pulling on past my hips. however once on, i couldn't figure out how i'd wear this. i wouldn't pair this with a flowy top but tucking something in didn't seem like a good idea either. between the pleats and elastic waist it will make almost anyone look like they ha</v>
      </c>
      <c r="F363" s="8">
        <f>IFERROR(__xludf.DUMMYFUNCTION("""COMPUTED_VALUE"""),2.0)</f>
        <v>2</v>
      </c>
      <c r="G363" s="8">
        <f>IFERROR(__xludf.DUMMYFUNCTION("""COMPUTED_VALUE"""),0.0)</f>
        <v>0</v>
      </c>
      <c r="H363" s="8">
        <f>IFERROR(__xludf.DUMMYFUNCTION("""COMPUTED_VALUE"""),2.0)</f>
        <v>2</v>
      </c>
      <c r="I363" s="8" t="str">
        <f>IFERROR(__xludf.DUMMYFUNCTION("""COMPUTED_VALUE"""),"General")</f>
        <v>General</v>
      </c>
      <c r="J363" s="8" t="str">
        <f>IFERROR(__xludf.DUMMYFUNCTION("""COMPUTED_VALUE"""),"Bottoms")</f>
        <v>Bottoms</v>
      </c>
      <c r="K363" s="8" t="str">
        <f>IFERROR(__xludf.DUMMYFUNCTION("""COMPUTED_VALUE"""),"Skirts")</f>
        <v>Skirts</v>
      </c>
      <c r="L363" s="8" t="str">
        <f t="shared" si="1"/>
        <v>Size issue----</v>
      </c>
    </row>
    <row r="364">
      <c r="A364" s="8">
        <f>IFERROR(__xludf.DUMMYFUNCTION("""COMPUTED_VALUE"""),1954.0)</f>
        <v>1954</v>
      </c>
      <c r="B364" s="8">
        <f>IFERROR(__xludf.DUMMYFUNCTION("""COMPUTED_VALUE"""),1016.0)</f>
        <v>1016</v>
      </c>
      <c r="C364" s="8">
        <f>IFERROR(__xludf.DUMMYFUNCTION("""COMPUTED_VALUE"""),44.0)</f>
        <v>44</v>
      </c>
      <c r="D364" s="8" t="str">
        <f>IFERROR(__xludf.DUMMYFUNCTION("""COMPUTED_VALUE"""),"Can't get it on")</f>
        <v>Can't get it on</v>
      </c>
      <c r="E364" s="15" t="str">
        <f>IFERROR(__xludf.DUMMYFUNCTION("""COMPUTED_VALUE"""),"I thought it was only me and immediately assumed i needed to go on a diet when i attempted to put this adorable skirt on. it got stuck at my hips. i'm a very consistent size small in dresses and skirts. i actually thought about putting it on over my head "&amp;"but that was impossible. its going back. now i see the other reviews and am relieved that its the skirt and not me! wish i had read them before purchasing. retailer is going to get a lot of returns on this one.")</f>
        <v>I thought it was only me and immediately assumed i needed to go on a diet when i attempted to put this adorable skirt on. it got stuck at my hips. i'm a very consistent size small in dresses and skirts. i actually thought about putting it on over my head but that was impossible. its going back. now i see the other reviews and am relieved that its the skirt and not me! wish i had read them before purchasing. retailer is going to get a lot of returns on this one.</v>
      </c>
      <c r="F364" s="8">
        <f>IFERROR(__xludf.DUMMYFUNCTION("""COMPUTED_VALUE"""),1.0)</f>
        <v>1</v>
      </c>
      <c r="G364" s="8">
        <f>IFERROR(__xludf.DUMMYFUNCTION("""COMPUTED_VALUE"""),0.0)</f>
        <v>0</v>
      </c>
      <c r="H364" s="8">
        <f>IFERROR(__xludf.DUMMYFUNCTION("""COMPUTED_VALUE"""),2.0)</f>
        <v>2</v>
      </c>
      <c r="I364" s="8" t="str">
        <f>IFERROR(__xludf.DUMMYFUNCTION("""COMPUTED_VALUE"""),"General")</f>
        <v>General</v>
      </c>
      <c r="J364" s="8" t="str">
        <f>IFERROR(__xludf.DUMMYFUNCTION("""COMPUTED_VALUE"""),"Bottoms")</f>
        <v>Bottoms</v>
      </c>
      <c r="K364" s="8" t="str">
        <f>IFERROR(__xludf.DUMMYFUNCTION("""COMPUTED_VALUE"""),"Skirts")</f>
        <v>Skirts</v>
      </c>
      <c r="L364" s="8" t="str">
        <f t="shared" si="1"/>
        <v>Size issue----</v>
      </c>
    </row>
    <row r="365">
      <c r="A365" s="8">
        <f>IFERROR(__xludf.DUMMYFUNCTION("""COMPUTED_VALUE"""),1958.0)</f>
        <v>1958</v>
      </c>
      <c r="B365" s="8">
        <f>IFERROR(__xludf.DUMMYFUNCTION("""COMPUTED_VALUE"""),1009.0)</f>
        <v>1009</v>
      </c>
      <c r="C365" s="8">
        <f>IFERROR(__xludf.DUMMYFUNCTION("""COMPUTED_VALUE"""),51.0)</f>
        <v>51</v>
      </c>
      <c r="D365" s="8" t="str">
        <f>IFERROR(__xludf.DUMMYFUNCTION("""COMPUTED_VALUE"""),"Halfway lovely")</f>
        <v>Halfway lovely</v>
      </c>
      <c r="E365" s="15" t="str">
        <f>IFERROR(__xludf.DUMMYFUNCTION("""COMPUTED_VALUE"""),"Facing the mirror--near perfection. high waist emphasizes the narrowest part of the frame--pleats nicely hide any stomach flaws. color is an eye-catching deep mustardy perfection and the interlocking button pattern is creative and beautiful. the problem i"&amp;"s the walk away. from that view, the skirt waist finishes just where there's a bit of extra flesh. the cut is more of a long a-line--fairly boxy--and the heaviness of the cotton maintains that structure, so while the look as you approach walking")</f>
        <v>Facing the mirror--near perfection. high waist emphasizes the narrowest part of the frame--pleats nicely hide any stomach flaws. color is an eye-catching deep mustardy perfection and the interlocking button pattern is creative and beautiful. the problem is the walk away. from that view, the skirt waist finishes just where there's a bit of extra flesh. the cut is more of a long a-line--fairly boxy--and the heaviness of the cotton maintains that structure, so while the look as you approach walking</v>
      </c>
      <c r="F365" s="8">
        <f>IFERROR(__xludf.DUMMYFUNCTION("""COMPUTED_VALUE"""),3.0)</f>
        <v>3</v>
      </c>
      <c r="G365" s="8">
        <f>IFERROR(__xludf.DUMMYFUNCTION("""COMPUTED_VALUE"""),0.0)</f>
        <v>0</v>
      </c>
      <c r="H365" s="8">
        <f>IFERROR(__xludf.DUMMYFUNCTION("""COMPUTED_VALUE"""),4.0)</f>
        <v>4</v>
      </c>
      <c r="I365" s="8" t="str">
        <f>IFERROR(__xludf.DUMMYFUNCTION("""COMPUTED_VALUE"""),"General Petite")</f>
        <v>General Petite</v>
      </c>
      <c r="J365" s="8" t="str">
        <f>IFERROR(__xludf.DUMMYFUNCTION("""COMPUTED_VALUE"""),"Bottoms")</f>
        <v>Bottoms</v>
      </c>
      <c r="K365" s="8" t="str">
        <f>IFERROR(__xludf.DUMMYFUNCTION("""COMPUTED_VALUE"""),"Skirts")</f>
        <v>Skirts</v>
      </c>
      <c r="L365" s="8" t="str">
        <f t="shared" si="1"/>
        <v>Size issue----</v>
      </c>
    </row>
    <row r="366">
      <c r="A366" s="8">
        <f>IFERROR(__xludf.DUMMYFUNCTION("""COMPUTED_VALUE"""),1965.0)</f>
        <v>1965</v>
      </c>
      <c r="B366" s="8">
        <f>IFERROR(__xludf.DUMMYFUNCTION("""COMPUTED_VALUE"""),1016.0)</f>
        <v>1016</v>
      </c>
      <c r="C366" s="8">
        <f>IFERROR(__xludf.DUMMYFUNCTION("""COMPUTED_VALUE"""),38.0)</f>
        <v>38</v>
      </c>
      <c r="D366" s="8" t="str">
        <f>IFERROR(__xludf.DUMMYFUNCTION("""COMPUTED_VALUE"""),"Would be cute if i could get it on")</f>
        <v>Would be cute if i could get it on</v>
      </c>
      <c r="E366" s="15" t="str">
        <f>IFERROR(__xludf.DUMMYFUNCTION("""COMPUTED_VALUE"""),"This skirt is very pretty, but not only does it run small but only a small portion of the waistband is elasticized, so there's very little stretch. for those of us with a significant difference in our waist and hip measurements, there's no way to get this"&amp;" skirt on past the hips.")</f>
        <v>This skirt is very pretty, but not only does it run small but only a small portion of the waistband is elasticized, so there's very little stretch. for those of us with a significant difference in our waist and hip measurements, there's no way to get this skirt on past the hips.</v>
      </c>
      <c r="F366" s="8">
        <f>IFERROR(__xludf.DUMMYFUNCTION("""COMPUTED_VALUE"""),2.0)</f>
        <v>2</v>
      </c>
      <c r="G366" s="8">
        <f>IFERROR(__xludf.DUMMYFUNCTION("""COMPUTED_VALUE"""),0.0)</f>
        <v>0</v>
      </c>
      <c r="H366" s="8">
        <f>IFERROR(__xludf.DUMMYFUNCTION("""COMPUTED_VALUE"""),24.0)</f>
        <v>24</v>
      </c>
      <c r="I366" s="8" t="str">
        <f>IFERROR(__xludf.DUMMYFUNCTION("""COMPUTED_VALUE"""),"General")</f>
        <v>General</v>
      </c>
      <c r="J366" s="8" t="str">
        <f>IFERROR(__xludf.DUMMYFUNCTION("""COMPUTED_VALUE"""),"Bottoms")</f>
        <v>Bottoms</v>
      </c>
      <c r="K366" s="8" t="str">
        <f>IFERROR(__xludf.DUMMYFUNCTION("""COMPUTED_VALUE"""),"Skirts")</f>
        <v>Skirts</v>
      </c>
      <c r="L366" s="8" t="str">
        <f t="shared" si="1"/>
        <v>Size issue----</v>
      </c>
    </row>
    <row r="367">
      <c r="A367" s="8">
        <f>IFERROR(__xludf.DUMMYFUNCTION("""COMPUTED_VALUE"""),1977.0)</f>
        <v>1977</v>
      </c>
      <c r="B367" s="8">
        <f>IFERROR(__xludf.DUMMYFUNCTION("""COMPUTED_VALUE"""),1016.0)</f>
        <v>1016</v>
      </c>
      <c r="C367" s="8">
        <f>IFERROR(__xludf.DUMMYFUNCTION("""COMPUTED_VALUE"""),46.0)</f>
        <v>46</v>
      </c>
      <c r="D367" s="8" t="str">
        <f>IFERROR(__xludf.DUMMYFUNCTION("""COMPUTED_VALUE"""),"Small")</f>
        <v>Small</v>
      </c>
      <c r="E367" s="15" t="str">
        <f>IFERROR(__xludf.DUMMYFUNCTION("""COMPUTED_VALUE"""),"I agree with the other reviews - runs small. would have been perfect if it actually was comfortable. waistband doesn't stretch all the way around. bummer.")</f>
        <v>I agree with the other reviews - runs small. would have been perfect if it actually was comfortable. waistband doesn't stretch all the way around. bummer.</v>
      </c>
      <c r="F367" s="8">
        <f>IFERROR(__xludf.DUMMYFUNCTION("""COMPUTED_VALUE"""),2.0)</f>
        <v>2</v>
      </c>
      <c r="G367" s="8">
        <f>IFERROR(__xludf.DUMMYFUNCTION("""COMPUTED_VALUE"""),0.0)</f>
        <v>0</v>
      </c>
      <c r="H367" s="8">
        <f>IFERROR(__xludf.DUMMYFUNCTION("""COMPUTED_VALUE"""),1.0)</f>
        <v>1</v>
      </c>
      <c r="I367" s="8" t="str">
        <f>IFERROR(__xludf.DUMMYFUNCTION("""COMPUTED_VALUE"""),"General")</f>
        <v>General</v>
      </c>
      <c r="J367" s="8" t="str">
        <f>IFERROR(__xludf.DUMMYFUNCTION("""COMPUTED_VALUE"""),"Bottoms")</f>
        <v>Bottoms</v>
      </c>
      <c r="K367" s="8" t="str">
        <f>IFERROR(__xludf.DUMMYFUNCTION("""COMPUTED_VALUE"""),"Skirts")</f>
        <v>Skirts</v>
      </c>
      <c r="L367" s="8" t="str">
        <f t="shared" si="1"/>
        <v>Size issue----</v>
      </c>
    </row>
    <row r="368">
      <c r="A368" s="8">
        <f>IFERROR(__xludf.DUMMYFUNCTION("""COMPUTED_VALUE"""),1984.0)</f>
        <v>1984</v>
      </c>
      <c r="B368" s="8">
        <f>IFERROR(__xludf.DUMMYFUNCTION("""COMPUTED_VALUE"""),1016.0)</f>
        <v>1016</v>
      </c>
      <c r="C368" s="8">
        <f>IFERROR(__xludf.DUMMYFUNCTION("""COMPUTED_VALUE"""),67.0)</f>
        <v>67</v>
      </c>
      <c r="D368" s="8" t="str">
        <f>IFERROR(__xludf.DUMMYFUNCTION("""COMPUTED_VALUE"""),"Mission impossible")</f>
        <v>Mission impossible</v>
      </c>
      <c r="E368" s="15" t="str">
        <f>IFERROR(__xludf.DUMMYFUNCTION("""COMPUTED_VALUE"""),"What an adorable and frustrating skirt! i'm not a large person: 32d-26-36. and i ordered my normal size small. this is a pull on skirt, and the waist opening could not accommodate either my shoulders or my hips. in most retailer clothes, i'm either a size"&amp;" 2 or 4; i have to agree with the other reviewer. there is no way to put this item on.")</f>
        <v>What an adorable and frustrating skirt! i'm not a large person: 32d-26-36. and i ordered my normal size small. this is a pull on skirt, and the waist opening could not accommodate either my shoulders or my hips. in most retailer clothes, i'm either a size 2 or 4; i have to agree with the other reviewer. there is no way to put this item on.</v>
      </c>
      <c r="F368" s="8">
        <f>IFERROR(__xludf.DUMMYFUNCTION("""COMPUTED_VALUE"""),1.0)</f>
        <v>1</v>
      </c>
      <c r="G368" s="8">
        <f>IFERROR(__xludf.DUMMYFUNCTION("""COMPUTED_VALUE"""),0.0)</f>
        <v>0</v>
      </c>
      <c r="H368" s="8">
        <f>IFERROR(__xludf.DUMMYFUNCTION("""COMPUTED_VALUE"""),13.0)</f>
        <v>13</v>
      </c>
      <c r="I368" s="8" t="str">
        <f>IFERROR(__xludf.DUMMYFUNCTION("""COMPUTED_VALUE"""),"General")</f>
        <v>General</v>
      </c>
      <c r="J368" s="8" t="str">
        <f>IFERROR(__xludf.DUMMYFUNCTION("""COMPUTED_VALUE"""),"Bottoms")</f>
        <v>Bottoms</v>
      </c>
      <c r="K368" s="8" t="str">
        <f>IFERROR(__xludf.DUMMYFUNCTION("""COMPUTED_VALUE"""),"Skirts")</f>
        <v>Skirts</v>
      </c>
      <c r="L368" s="8" t="str">
        <f t="shared" si="1"/>
        <v>Size issue----</v>
      </c>
    </row>
    <row r="369">
      <c r="A369" s="8">
        <f>IFERROR(__xludf.DUMMYFUNCTION("""COMPUTED_VALUE"""),1985.0)</f>
        <v>1985</v>
      </c>
      <c r="B369" s="8">
        <f>IFERROR(__xludf.DUMMYFUNCTION("""COMPUTED_VALUE"""),1116.0)</f>
        <v>1116</v>
      </c>
      <c r="C369" s="8">
        <f>IFERROR(__xludf.DUMMYFUNCTION("""COMPUTED_VALUE"""),46.0)</f>
        <v>46</v>
      </c>
      <c r="D369" s="8" t="str">
        <f>IFERROR(__xludf.DUMMYFUNCTION("""COMPUTED_VALUE"""),"Too bulky")</f>
        <v>Too bulky</v>
      </c>
      <c r="E369" s="15" t="str">
        <f>IFERROR(__xludf.DUMMYFUNCTION("""COMPUTED_VALUE"""),"This sweater was huge, it hung down to my calves! it also is really bulky and scratchy, it feels as if you are wearing an old wool blanket. i think it is only made for really tall and skinny people. i'm 5'2"" and weigh 120lbs. and i ordered a size s, and "&amp;"i was swimming in it. the fabric is very thick, i may be great if you live in alaska or the arctic. it adds about 20lbs to your body frame.......")</f>
        <v>This sweater was huge, it hung down to my calves! it also is really bulky and scratchy, it feels as if you are wearing an old wool blanket. i think it is only made for really tall and skinny people. i'm 5'2" and weigh 120lbs. and i ordered a size s, and i was swimming in it. the fabric is very thick, i may be great if you live in alaska or the arctic. it adds about 20lbs to your body frame.......</v>
      </c>
      <c r="F369" s="8">
        <f>IFERROR(__xludf.DUMMYFUNCTION("""COMPUTED_VALUE"""),1.0)</f>
        <v>1</v>
      </c>
      <c r="G369" s="8">
        <f>IFERROR(__xludf.DUMMYFUNCTION("""COMPUTED_VALUE"""),0.0)</f>
        <v>0</v>
      </c>
      <c r="H369" s="8">
        <f>IFERROR(__xludf.DUMMYFUNCTION("""COMPUTED_VALUE"""),1.0)</f>
        <v>1</v>
      </c>
      <c r="I369" s="8" t="str">
        <f>IFERROR(__xludf.DUMMYFUNCTION("""COMPUTED_VALUE"""),"General")</f>
        <v>General</v>
      </c>
      <c r="J369" s="8" t="str">
        <f>IFERROR(__xludf.DUMMYFUNCTION("""COMPUTED_VALUE"""),"Jackets")</f>
        <v>Jackets</v>
      </c>
      <c r="K369" s="8" t="str">
        <f>IFERROR(__xludf.DUMMYFUNCTION("""COMPUTED_VALUE"""),"Outerwear")</f>
        <v>Outerwear</v>
      </c>
      <c r="L369" s="8" t="str">
        <f t="shared" si="1"/>
        <v>Size issue----</v>
      </c>
    </row>
    <row r="370">
      <c r="A370" s="8">
        <f>IFERROR(__xludf.DUMMYFUNCTION("""COMPUTED_VALUE"""),1995.0)</f>
        <v>1995</v>
      </c>
      <c r="B370" s="8">
        <f>IFERROR(__xludf.DUMMYFUNCTION("""COMPUTED_VALUE"""),867.0)</f>
        <v>867</v>
      </c>
      <c r="C370" s="8">
        <f>IFERROR(__xludf.DUMMYFUNCTION("""COMPUTED_VALUE"""),38.0)</f>
        <v>38</v>
      </c>
      <c r="D370" s="8" t="str">
        <f>IFERROR(__xludf.DUMMYFUNCTION("""COMPUTED_VALUE"""),"Material")</f>
        <v>Material</v>
      </c>
      <c r="E370" s="15" t="str">
        <f>IFERROR(__xludf.DUMMYFUNCTION("""COMPUTED_VALUE"""),"Material is hard to wear a bra under it")</f>
        <v>Material is hard to wear a bra under it</v>
      </c>
      <c r="F370" s="8">
        <f>IFERROR(__xludf.DUMMYFUNCTION("""COMPUTED_VALUE"""),2.0)</f>
        <v>2</v>
      </c>
      <c r="G370" s="8">
        <f>IFERROR(__xludf.DUMMYFUNCTION("""COMPUTED_VALUE"""),0.0)</f>
        <v>0</v>
      </c>
      <c r="H370" s="8">
        <f>IFERROR(__xludf.DUMMYFUNCTION("""COMPUTED_VALUE"""),0.0)</f>
        <v>0</v>
      </c>
      <c r="I370" s="8" t="str">
        <f>IFERROR(__xludf.DUMMYFUNCTION("""COMPUTED_VALUE"""),"General")</f>
        <v>General</v>
      </c>
      <c r="J370" s="8" t="str">
        <f>IFERROR(__xludf.DUMMYFUNCTION("""COMPUTED_VALUE"""),"Tops")</f>
        <v>Tops</v>
      </c>
      <c r="K370" s="8" t="str">
        <f>IFERROR(__xludf.DUMMYFUNCTION("""COMPUTED_VALUE"""),"Knits")</f>
        <v>Knits</v>
      </c>
      <c r="L370" s="8" t="str">
        <f t="shared" si="1"/>
        <v>-Fabric issue---</v>
      </c>
    </row>
    <row r="371">
      <c r="A371" s="8">
        <f>IFERROR(__xludf.DUMMYFUNCTION("""COMPUTED_VALUE"""),2000.0)</f>
        <v>2000</v>
      </c>
      <c r="B371" s="8">
        <f>IFERROR(__xludf.DUMMYFUNCTION("""COMPUTED_VALUE"""),1083.0)</f>
        <v>1083</v>
      </c>
      <c r="C371" s="8">
        <f>IFERROR(__xludf.DUMMYFUNCTION("""COMPUTED_VALUE"""),57.0)</f>
        <v>57</v>
      </c>
      <c r="D371" s="8" t="str">
        <f>IFERROR(__xludf.DUMMYFUNCTION("""COMPUTED_VALUE"""),"Disappointed")</f>
        <v>Disappointed</v>
      </c>
      <c r="E371" s="15" t="str">
        <f>IFERROR(__xludf.DUMMYFUNCTION("""COMPUTED_VALUE"""),"The pleats on the bib make this look like something from chloe sevigny's wardrobe on the set of big love. and the shoulders are cut for an offensive lineman.")</f>
        <v>The pleats on the bib make this look like something from chloe sevigny's wardrobe on the set of big love. and the shoulders are cut for an offensive lineman.</v>
      </c>
      <c r="F371" s="8">
        <f>IFERROR(__xludf.DUMMYFUNCTION("""COMPUTED_VALUE"""),1.0)</f>
        <v>1</v>
      </c>
      <c r="G371" s="8">
        <f>IFERROR(__xludf.DUMMYFUNCTION("""COMPUTED_VALUE"""),0.0)</f>
        <v>0</v>
      </c>
      <c r="H371" s="8">
        <f>IFERROR(__xludf.DUMMYFUNCTION("""COMPUTED_VALUE"""),0.0)</f>
        <v>0</v>
      </c>
      <c r="I371" s="8" t="str">
        <f>IFERROR(__xludf.DUMMYFUNCTION("""COMPUTED_VALUE"""),"General Petite")</f>
        <v>General Petite</v>
      </c>
      <c r="J371" s="8" t="str">
        <f>IFERROR(__xludf.DUMMYFUNCTION("""COMPUTED_VALUE"""),"Dresses")</f>
        <v>Dresses</v>
      </c>
      <c r="K371" s="8" t="str">
        <f>IFERROR(__xludf.DUMMYFUNCTION("""COMPUTED_VALUE"""),"Dresses")</f>
        <v>Dresses</v>
      </c>
      <c r="L371" s="8" t="str">
        <f t="shared" si="1"/>
        <v>----</v>
      </c>
    </row>
    <row r="372">
      <c r="A372" s="8">
        <f>IFERROR(__xludf.DUMMYFUNCTION("""COMPUTED_VALUE"""),2018.0)</f>
        <v>2018</v>
      </c>
      <c r="B372" s="8">
        <f>IFERROR(__xludf.DUMMYFUNCTION("""COMPUTED_VALUE"""),63.0)</f>
        <v>63</v>
      </c>
      <c r="C372" s="8">
        <f>IFERROR(__xludf.DUMMYFUNCTION("""COMPUTED_VALUE"""),33.0)</f>
        <v>33</v>
      </c>
      <c r="D372" s="8" t="str">
        <f>IFERROR(__xludf.DUMMYFUNCTION("""COMPUTED_VALUE"""),"Extra fabric")</f>
        <v>Extra fabric</v>
      </c>
      <c r="E372" s="15" t="str">
        <f>IFERROR(__xludf.DUMMYFUNCTION("""COMPUTED_VALUE"""),"There is a lot of fabric here! the legs fit me fine, but they are long and when you roll them up it creates a bunching of fabric in an awkward area. i've also found that they don't stay rolled up in the back, especially if you sit down. it's a shame since"&amp;" the fabric is soft and comfortable. maybe sizing down would've helped, but i doubt that would've fixed the problem of the cuffs staying rolled up.")</f>
        <v>There is a lot of fabric here! the legs fit me fine, but they are long and when you roll them up it creates a bunching of fabric in an awkward area. i've also found that they don't stay rolled up in the back, especially if you sit down. it's a shame since the fabric is soft and comfortable. maybe sizing down would've helped, but i doubt that would've fixed the problem of the cuffs staying rolled up.</v>
      </c>
      <c r="F372" s="8">
        <f>IFERROR(__xludf.DUMMYFUNCTION("""COMPUTED_VALUE"""),3.0)</f>
        <v>3</v>
      </c>
      <c r="G372" s="8">
        <f>IFERROR(__xludf.DUMMYFUNCTION("""COMPUTED_VALUE"""),0.0)</f>
        <v>0</v>
      </c>
      <c r="H372" s="8">
        <f>IFERROR(__xludf.DUMMYFUNCTION("""COMPUTED_VALUE"""),0.0)</f>
        <v>0</v>
      </c>
      <c r="I372" s="8" t="str">
        <f>IFERROR(__xludf.DUMMYFUNCTION("""COMPUTED_VALUE"""),"General")</f>
        <v>General</v>
      </c>
      <c r="J372" s="8" t="str">
        <f>IFERROR(__xludf.DUMMYFUNCTION("""COMPUTED_VALUE"""),"Bottoms")</f>
        <v>Bottoms</v>
      </c>
      <c r="K372" s="8" t="str">
        <f>IFERROR(__xludf.DUMMYFUNCTION("""COMPUTED_VALUE"""),"Shorts")</f>
        <v>Shorts</v>
      </c>
      <c r="L372" s="8" t="str">
        <f t="shared" si="1"/>
        <v>Size issue----</v>
      </c>
    </row>
    <row r="373">
      <c r="A373" s="8">
        <f>IFERROR(__xludf.DUMMYFUNCTION("""COMPUTED_VALUE"""),2022.0)</f>
        <v>2022</v>
      </c>
      <c r="B373" s="8">
        <f>IFERROR(__xludf.DUMMYFUNCTION("""COMPUTED_VALUE"""),867.0)</f>
        <v>867</v>
      </c>
      <c r="C373" s="8">
        <f>IFERROR(__xludf.DUMMYFUNCTION("""COMPUTED_VALUE"""),31.0)</f>
        <v>31</v>
      </c>
      <c r="D373" s="8"/>
      <c r="E373" s="15" t="str">
        <f>IFERROR(__xludf.DUMMYFUNCTION("""COMPUTED_VALUE"""),"Even on sale, this was just too pricey for what it is, which is a glorified tank. i liked the straps, but it hangs very wide off your chest.")</f>
        <v>Even on sale, this was just too pricey for what it is, which is a glorified tank. i liked the straps, but it hangs very wide off your chest.</v>
      </c>
      <c r="F373" s="8">
        <f>IFERROR(__xludf.DUMMYFUNCTION("""COMPUTED_VALUE"""),2.0)</f>
        <v>2</v>
      </c>
      <c r="G373" s="8">
        <f>IFERROR(__xludf.DUMMYFUNCTION("""COMPUTED_VALUE"""),0.0)</f>
        <v>0</v>
      </c>
      <c r="H373" s="8">
        <f>IFERROR(__xludf.DUMMYFUNCTION("""COMPUTED_VALUE"""),0.0)</f>
        <v>0</v>
      </c>
      <c r="I373" s="8" t="str">
        <f>IFERROR(__xludf.DUMMYFUNCTION("""COMPUTED_VALUE"""),"General")</f>
        <v>General</v>
      </c>
      <c r="J373" s="8" t="str">
        <f>IFERROR(__xludf.DUMMYFUNCTION("""COMPUTED_VALUE"""),"Tops")</f>
        <v>Tops</v>
      </c>
      <c r="K373" s="8" t="str">
        <f>IFERROR(__xludf.DUMMYFUNCTION("""COMPUTED_VALUE"""),"Knits")</f>
        <v>Knits</v>
      </c>
      <c r="L373" s="8" t="str">
        <f t="shared" si="1"/>
        <v>Size issue-Fabric issue--Price issue-</v>
      </c>
    </row>
    <row r="374">
      <c r="A374" s="8">
        <f>IFERROR(__xludf.DUMMYFUNCTION("""COMPUTED_VALUE"""),2023.0)</f>
        <v>2023</v>
      </c>
      <c r="B374" s="8">
        <f>IFERROR(__xludf.DUMMYFUNCTION("""COMPUTED_VALUE"""),1044.0)</f>
        <v>1044</v>
      </c>
      <c r="C374" s="8">
        <f>IFERROR(__xludf.DUMMYFUNCTION("""COMPUTED_VALUE"""),68.0)</f>
        <v>68</v>
      </c>
      <c r="D374" s="8" t="str">
        <f>IFERROR(__xludf.DUMMYFUNCTION("""COMPUTED_VALUE"""),"Very cute, but impossible to put on")</f>
        <v>Very cute, but impossible to put on</v>
      </c>
      <c r="E374" s="15" t="str">
        <f>IFERROR(__xludf.DUMMYFUNCTION("""COMPUTED_VALUE"""),"I wrote item ran large, but that was true only in length. it would be long for someone 5'10"" . however the bigger issue is getting it on. the style and quality are quite nice, but it does have some issues.")</f>
        <v>I wrote item ran large, but that was true only in length. it would be long for someone 5'10" . however the bigger issue is getting it on. the style and quality are quite nice, but it does have some issues.</v>
      </c>
      <c r="F374" s="8">
        <f>IFERROR(__xludf.DUMMYFUNCTION("""COMPUTED_VALUE"""),3.0)</f>
        <v>3</v>
      </c>
      <c r="G374" s="8">
        <f>IFERROR(__xludf.DUMMYFUNCTION("""COMPUTED_VALUE"""),0.0)</f>
        <v>0</v>
      </c>
      <c r="H374" s="8">
        <f>IFERROR(__xludf.DUMMYFUNCTION("""COMPUTED_VALUE"""),6.0)</f>
        <v>6</v>
      </c>
      <c r="I374" s="8" t="str">
        <f>IFERROR(__xludf.DUMMYFUNCTION("""COMPUTED_VALUE"""),"General")</f>
        <v>General</v>
      </c>
      <c r="J374" s="8" t="str">
        <f>IFERROR(__xludf.DUMMYFUNCTION("""COMPUTED_VALUE"""),"Bottoms")</f>
        <v>Bottoms</v>
      </c>
      <c r="K374" s="8" t="str">
        <f>IFERROR(__xludf.DUMMYFUNCTION("""COMPUTED_VALUE"""),"Pants")</f>
        <v>Pants</v>
      </c>
      <c r="L374" s="8" t="str">
        <f t="shared" si="1"/>
        <v>Size issue----</v>
      </c>
    </row>
    <row r="375">
      <c r="A375" s="8">
        <f>IFERROR(__xludf.DUMMYFUNCTION("""COMPUTED_VALUE"""),2031.0)</f>
        <v>2031</v>
      </c>
      <c r="B375" s="8">
        <f>IFERROR(__xludf.DUMMYFUNCTION("""COMPUTED_VALUE"""),1095.0)</f>
        <v>1095</v>
      </c>
      <c r="C375" s="8">
        <f>IFERROR(__xludf.DUMMYFUNCTION("""COMPUTED_VALUE"""),49.0)</f>
        <v>49</v>
      </c>
      <c r="D375" s="8" t="str">
        <f>IFERROR(__xludf.DUMMYFUNCTION("""COMPUTED_VALUE"""),"Weird fit")</f>
        <v>Weird fit</v>
      </c>
      <c r="E375" s="15" t="str">
        <f>IFERROR(__xludf.DUMMYFUNCTION("""COMPUTED_VALUE"""),"I love the colors of this dress, and i waited for the sale since it isn't really good for work. i wear size 6 in hd all the time, but this one doesn't fit at all on the top. the bust is cut for someone really curvy, but the bottom is for someone really st"&amp;"raight. i don't know what they were using for a model, but this has to be tried on before purchased. the material is also rough, and there is no lining to protect you from that. i love my hd dresses for style and functionality, but this one is j")</f>
        <v>I love the colors of this dress, and i waited for the sale since it isn't really good for work. i wear size 6 in hd all the time, but this one doesn't fit at all on the top. the bust is cut for someone really curvy, but the bottom is for someone really straight. i don't know what they were using for a model, but this has to be tried on before purchased. the material is also rough, and there is no lining to protect you from that. i love my hd dresses for style and functionality, but this one is j</v>
      </c>
      <c r="F375" s="8">
        <f>IFERROR(__xludf.DUMMYFUNCTION("""COMPUTED_VALUE"""),2.0)</f>
        <v>2</v>
      </c>
      <c r="G375" s="8">
        <f>IFERROR(__xludf.DUMMYFUNCTION("""COMPUTED_VALUE"""),0.0)</f>
        <v>0</v>
      </c>
      <c r="H375" s="8">
        <f>IFERROR(__xludf.DUMMYFUNCTION("""COMPUTED_VALUE"""),0.0)</f>
        <v>0</v>
      </c>
      <c r="I375" s="8" t="str">
        <f>IFERROR(__xludf.DUMMYFUNCTION("""COMPUTED_VALUE"""),"General Petite")</f>
        <v>General Petite</v>
      </c>
      <c r="J375" s="8" t="str">
        <f>IFERROR(__xludf.DUMMYFUNCTION("""COMPUTED_VALUE"""),"Dresses")</f>
        <v>Dresses</v>
      </c>
      <c r="K375" s="8" t="str">
        <f>IFERROR(__xludf.DUMMYFUNCTION("""COMPUTED_VALUE"""),"Dresses")</f>
        <v>Dresses</v>
      </c>
      <c r="L375" s="8" t="str">
        <f t="shared" si="1"/>
        <v>Size issue-Fabric issue---Matching Awareness issue</v>
      </c>
    </row>
    <row r="376">
      <c r="A376" s="8">
        <f>IFERROR(__xludf.DUMMYFUNCTION("""COMPUTED_VALUE"""),2035.0)</f>
        <v>2035</v>
      </c>
      <c r="B376" s="8">
        <f>IFERROR(__xludf.DUMMYFUNCTION("""COMPUTED_VALUE"""),872.0)</f>
        <v>872</v>
      </c>
      <c r="C376" s="8">
        <f>IFERROR(__xludf.DUMMYFUNCTION("""COMPUTED_VALUE"""),30.0)</f>
        <v>30</v>
      </c>
      <c r="D376" s="8" t="str">
        <f>IFERROR(__xludf.DUMMYFUNCTION("""COMPUTED_VALUE"""),"Good concept, poor product")</f>
        <v>Good concept, poor product</v>
      </c>
      <c r="E376" s="15" t="str">
        <f>IFERROR(__xludf.DUMMYFUNCTION("""COMPUTED_VALUE"""),"I loved the aesthetic but as a true hourglass shape, i was frustrated that it didn't have a little more give as i tried to pull it over my head. the fabric was stiff, and seemed to be lace over cotton? not entirely sure. i couldn't get past the feeling of"&amp;"f the material.")</f>
        <v>I loved the aesthetic but as a true hourglass shape, i was frustrated that it didn't have a little more give as i tried to pull it over my head. the fabric was stiff, and seemed to be lace over cotton? not entirely sure. i couldn't get past the feeling off the material.</v>
      </c>
      <c r="F376" s="8">
        <f>IFERROR(__xludf.DUMMYFUNCTION("""COMPUTED_VALUE"""),2.0)</f>
        <v>2</v>
      </c>
      <c r="G376" s="8">
        <f>IFERROR(__xludf.DUMMYFUNCTION("""COMPUTED_VALUE"""),0.0)</f>
        <v>0</v>
      </c>
      <c r="H376" s="8">
        <f>IFERROR(__xludf.DUMMYFUNCTION("""COMPUTED_VALUE"""),0.0)</f>
        <v>0</v>
      </c>
      <c r="I376" s="8" t="str">
        <f>IFERROR(__xludf.DUMMYFUNCTION("""COMPUTED_VALUE"""),"General Petite")</f>
        <v>General Petite</v>
      </c>
      <c r="J376" s="8" t="str">
        <f>IFERROR(__xludf.DUMMYFUNCTION("""COMPUTED_VALUE"""),"Tops")</f>
        <v>Tops</v>
      </c>
      <c r="K376" s="8" t="str">
        <f>IFERROR(__xludf.DUMMYFUNCTION("""COMPUTED_VALUE"""),"Knits")</f>
        <v>Knits</v>
      </c>
      <c r="L376" s="8" t="str">
        <f t="shared" si="1"/>
        <v>-Fabric issue---</v>
      </c>
    </row>
    <row r="377">
      <c r="A377" s="8">
        <f>IFERROR(__xludf.DUMMYFUNCTION("""COMPUTED_VALUE"""),2039.0)</f>
        <v>2039</v>
      </c>
      <c r="B377" s="8">
        <f>IFERROR(__xludf.DUMMYFUNCTION("""COMPUTED_VALUE"""),862.0)</f>
        <v>862</v>
      </c>
      <c r="C377" s="8">
        <f>IFERROR(__xludf.DUMMYFUNCTION("""COMPUTED_VALUE"""),53.0)</f>
        <v>53</v>
      </c>
      <c r="D377" s="8" t="str">
        <f>IFERROR(__xludf.DUMMYFUNCTION("""COMPUTED_VALUE"""),"Cute but....")</f>
        <v>Cute but....</v>
      </c>
      <c r="E377" s="15" t="str">
        <f>IFERROR(__xludf.DUMMYFUNCTION("""COMPUTED_VALUE"""),"I saw this top on sale and tried it on right away. my normal medium was too big, so i purchased the small in the rose color. wore it with a shimmery kimono and cream colored pilcro boyfriend jeans. wow, what an outfit!!!!
then i washed it according to dir"&amp;"ections, and sadly it shrunk into a crop peplum tank. i was so disappointed. i wished i had read the reviews beforehand.")</f>
        <v>I saw this top on sale and tried it on right away. my normal medium was too big, so i purchased the small in the rose color. wore it with a shimmery kimono and cream colored pilcro boyfriend jeans. wow, what an outfit!!!!
then i washed it according to directions, and sadly it shrunk into a crop peplum tank. i was so disappointed. i wished i had read the reviews beforehand.</v>
      </c>
      <c r="F377" s="8">
        <f>IFERROR(__xludf.DUMMYFUNCTION("""COMPUTED_VALUE"""),3.0)</f>
        <v>3</v>
      </c>
      <c r="G377" s="8">
        <f>IFERROR(__xludf.DUMMYFUNCTION("""COMPUTED_VALUE"""),0.0)</f>
        <v>0</v>
      </c>
      <c r="H377" s="8">
        <f>IFERROR(__xludf.DUMMYFUNCTION("""COMPUTED_VALUE"""),4.0)</f>
        <v>4</v>
      </c>
      <c r="I377" s="8" t="str">
        <f>IFERROR(__xludf.DUMMYFUNCTION("""COMPUTED_VALUE"""),"General")</f>
        <v>General</v>
      </c>
      <c r="J377" s="8" t="str">
        <f>IFERROR(__xludf.DUMMYFUNCTION("""COMPUTED_VALUE"""),"Tops")</f>
        <v>Tops</v>
      </c>
      <c r="K377" s="8" t="str">
        <f>IFERROR(__xludf.DUMMYFUNCTION("""COMPUTED_VALUE"""),"Knits")</f>
        <v>Knits</v>
      </c>
      <c r="L377" s="8" t="str">
        <f t="shared" si="1"/>
        <v>Size issue----</v>
      </c>
    </row>
    <row r="378">
      <c r="A378" s="8">
        <f>IFERROR(__xludf.DUMMYFUNCTION("""COMPUTED_VALUE"""),2051.0)</f>
        <v>2051</v>
      </c>
      <c r="B378" s="8">
        <f>IFERROR(__xludf.DUMMYFUNCTION("""COMPUTED_VALUE"""),1072.0)</f>
        <v>1072</v>
      </c>
      <c r="C378" s="8">
        <f>IFERROR(__xludf.DUMMYFUNCTION("""COMPUTED_VALUE"""),37.0)</f>
        <v>37</v>
      </c>
      <c r="D378" s="8" t="str">
        <f>IFERROR(__xludf.DUMMYFUNCTION("""COMPUTED_VALUE"""),"Not for me")</f>
        <v>Not for me</v>
      </c>
      <c r="E378" s="15" t="str">
        <f>IFERROR(__xludf.DUMMYFUNCTION("""COMPUTED_VALUE"""),"I purchased this based on previous reviews. the quality of the dress and the print is excellent. the dress fit me perfect in the front however there were so much extra fabric in the back that it made me look extremely large. i understand it's a shirt dres"&amp;"s however the back would need to be taken in like 6 inches. for someone who is looking for a more boxy full coverage dress this is more for them")</f>
        <v>I purchased this based on previous reviews. the quality of the dress and the print is excellent. the dress fit me perfect in the front however there were so much extra fabric in the back that it made me look extremely large. i understand it's a shirt dress however the back would need to be taken in like 6 inches. for someone who is looking for a more boxy full coverage dress this is more for them</v>
      </c>
      <c r="F378" s="8">
        <f>IFERROR(__xludf.DUMMYFUNCTION("""COMPUTED_VALUE"""),4.0)</f>
        <v>4</v>
      </c>
      <c r="G378" s="8">
        <f>IFERROR(__xludf.DUMMYFUNCTION("""COMPUTED_VALUE"""),0.0)</f>
        <v>0</v>
      </c>
      <c r="H378" s="8">
        <f>IFERROR(__xludf.DUMMYFUNCTION("""COMPUTED_VALUE"""),2.0)</f>
        <v>2</v>
      </c>
      <c r="I378" s="8" t="str">
        <f>IFERROR(__xludf.DUMMYFUNCTION("""COMPUTED_VALUE"""),"General Petite")</f>
        <v>General Petite</v>
      </c>
      <c r="J378" s="8" t="str">
        <f>IFERROR(__xludf.DUMMYFUNCTION("""COMPUTED_VALUE"""),"Dresses")</f>
        <v>Dresses</v>
      </c>
      <c r="K378" s="8" t="str">
        <f>IFERROR(__xludf.DUMMYFUNCTION("""COMPUTED_VALUE"""),"Dresses")</f>
        <v>Dresses</v>
      </c>
      <c r="L378" s="8" t="str">
        <f t="shared" si="1"/>
        <v>Size issue----</v>
      </c>
    </row>
    <row r="379">
      <c r="A379" s="8">
        <f>IFERROR(__xludf.DUMMYFUNCTION("""COMPUTED_VALUE"""),2057.0)</f>
        <v>2057</v>
      </c>
      <c r="B379" s="8">
        <f>IFERROR(__xludf.DUMMYFUNCTION("""COMPUTED_VALUE"""),862.0)</f>
        <v>862</v>
      </c>
      <c r="C379" s="8">
        <f>IFERROR(__xludf.DUMMYFUNCTION("""COMPUTED_VALUE"""),42.0)</f>
        <v>42</v>
      </c>
      <c r="D379" s="8" t="str">
        <f>IFERROR(__xludf.DUMMYFUNCTION("""COMPUTED_VALUE"""),"Too big!")</f>
        <v>Too big!</v>
      </c>
      <c r="E379" s="15" t="str">
        <f>IFERROR(__xludf.DUMMYFUNCTION("""COMPUTED_VALUE"""),"I wear a size 4 and i ordered the small for this top. it is huge and gave me a maternity-look that i wasn't going for. i was hoping for a loose, body-skimming fit as shown on the model in the picture but that wasn't happening with this top.")</f>
        <v>I wear a size 4 and i ordered the small for this top. it is huge and gave me a maternity-look that i wasn't going for. i was hoping for a loose, body-skimming fit as shown on the model in the picture but that wasn't happening with this top.</v>
      </c>
      <c r="F379" s="8">
        <f>IFERROR(__xludf.DUMMYFUNCTION("""COMPUTED_VALUE"""),3.0)</f>
        <v>3</v>
      </c>
      <c r="G379" s="8">
        <f>IFERROR(__xludf.DUMMYFUNCTION("""COMPUTED_VALUE"""),0.0)</f>
        <v>0</v>
      </c>
      <c r="H379" s="8">
        <f>IFERROR(__xludf.DUMMYFUNCTION("""COMPUTED_VALUE"""),10.0)</f>
        <v>10</v>
      </c>
      <c r="I379" s="8" t="str">
        <f>IFERROR(__xludf.DUMMYFUNCTION("""COMPUTED_VALUE"""),"General")</f>
        <v>General</v>
      </c>
      <c r="J379" s="8" t="str">
        <f>IFERROR(__xludf.DUMMYFUNCTION("""COMPUTED_VALUE"""),"Tops")</f>
        <v>Tops</v>
      </c>
      <c r="K379" s="8" t="str">
        <f>IFERROR(__xludf.DUMMYFUNCTION("""COMPUTED_VALUE"""),"Knits")</f>
        <v>Knits</v>
      </c>
      <c r="L379" s="8" t="str">
        <f t="shared" si="1"/>
        <v>Size issue--Style issue--Matching Awareness issue</v>
      </c>
    </row>
    <row r="380">
      <c r="A380" s="8">
        <f>IFERROR(__xludf.DUMMYFUNCTION("""COMPUTED_VALUE"""),2063.0)</f>
        <v>2063</v>
      </c>
      <c r="B380" s="8">
        <f>IFERROR(__xludf.DUMMYFUNCTION("""COMPUTED_VALUE"""),872.0)</f>
        <v>872</v>
      </c>
      <c r="C380" s="8">
        <f>IFERROR(__xludf.DUMMYFUNCTION("""COMPUTED_VALUE"""),26.0)</f>
        <v>26</v>
      </c>
      <c r="D380" s="8"/>
      <c r="E380" s="15"/>
      <c r="F380" s="8">
        <f>IFERROR(__xludf.DUMMYFUNCTION("""COMPUTED_VALUE"""),3.0)</f>
        <v>3</v>
      </c>
      <c r="G380" s="8">
        <f>IFERROR(__xludf.DUMMYFUNCTION("""COMPUTED_VALUE"""),0.0)</f>
        <v>0</v>
      </c>
      <c r="H380" s="8">
        <f>IFERROR(__xludf.DUMMYFUNCTION("""COMPUTED_VALUE"""),0.0)</f>
        <v>0</v>
      </c>
      <c r="I380" s="8" t="str">
        <f>IFERROR(__xludf.DUMMYFUNCTION("""COMPUTED_VALUE"""),"General Petite")</f>
        <v>General Petite</v>
      </c>
      <c r="J380" s="8" t="str">
        <f>IFERROR(__xludf.DUMMYFUNCTION("""COMPUTED_VALUE"""),"Tops")</f>
        <v>Tops</v>
      </c>
      <c r="K380" s="8" t="str">
        <f>IFERROR(__xludf.DUMMYFUNCTION("""COMPUTED_VALUE"""),"Knits")</f>
        <v>Knits</v>
      </c>
      <c r="L380" s="8" t="str">
        <f t="shared" si="1"/>
        <v/>
      </c>
    </row>
    <row r="381">
      <c r="A381" s="8">
        <f>IFERROR(__xludf.DUMMYFUNCTION("""COMPUTED_VALUE"""),2068.0)</f>
        <v>2068</v>
      </c>
      <c r="B381" s="8">
        <f>IFERROR(__xludf.DUMMYFUNCTION("""COMPUTED_VALUE"""),872.0)</f>
        <v>872</v>
      </c>
      <c r="C381" s="8">
        <f>IFERROR(__xludf.DUMMYFUNCTION("""COMPUTED_VALUE"""),42.0)</f>
        <v>42</v>
      </c>
      <c r="D381" s="8" t="str">
        <f>IFERROR(__xludf.DUMMYFUNCTION("""COMPUTED_VALUE"""),"Too cute but ...")</f>
        <v>Too cute but ...</v>
      </c>
      <c r="E381" s="15" t="str">
        <f>IFERROR(__xludf.DUMMYFUNCTION("""COMPUTED_VALUE"""),"Super cute, flattering design but the material is itchy so it's going back:(")</f>
        <v>Super cute, flattering design but the material is itchy so it's going back:(</v>
      </c>
      <c r="F381" s="8">
        <f>IFERROR(__xludf.DUMMYFUNCTION("""COMPUTED_VALUE"""),3.0)</f>
        <v>3</v>
      </c>
      <c r="G381" s="8">
        <f>IFERROR(__xludf.DUMMYFUNCTION("""COMPUTED_VALUE"""),0.0)</f>
        <v>0</v>
      </c>
      <c r="H381" s="8">
        <f>IFERROR(__xludf.DUMMYFUNCTION("""COMPUTED_VALUE"""),0.0)</f>
        <v>0</v>
      </c>
      <c r="I381" s="8" t="str">
        <f>IFERROR(__xludf.DUMMYFUNCTION("""COMPUTED_VALUE"""),"General Petite")</f>
        <v>General Petite</v>
      </c>
      <c r="J381" s="8" t="str">
        <f>IFERROR(__xludf.DUMMYFUNCTION("""COMPUTED_VALUE"""),"Tops")</f>
        <v>Tops</v>
      </c>
      <c r="K381" s="8" t="str">
        <f>IFERROR(__xludf.DUMMYFUNCTION("""COMPUTED_VALUE"""),"Knits")</f>
        <v>Knits</v>
      </c>
      <c r="L381" s="8" t="str">
        <f t="shared" si="1"/>
        <v>-Fabric issue-Style issue--</v>
      </c>
    </row>
    <row r="382">
      <c r="A382" s="8">
        <f>IFERROR(__xludf.DUMMYFUNCTION("""COMPUTED_VALUE"""),2077.0)</f>
        <v>2077</v>
      </c>
      <c r="B382" s="8">
        <f>IFERROR(__xludf.DUMMYFUNCTION("""COMPUTED_VALUE"""),872.0)</f>
        <v>872</v>
      </c>
      <c r="C382" s="8">
        <f>IFERROR(__xludf.DUMMYFUNCTION("""COMPUTED_VALUE"""),36.0)</f>
        <v>36</v>
      </c>
      <c r="D382" s="8" t="str">
        <f>IFERROR(__xludf.DUMMYFUNCTION("""COMPUTED_VALUE"""),"Poor fabric quality")</f>
        <v>Poor fabric quality</v>
      </c>
      <c r="E382" s="15" t="str">
        <f>IFERROR(__xludf.DUMMYFUNCTION("""COMPUTED_VALUE"""),"Looks great in the picture but when i got this in the mail the fabric was so stiff! shaking it out did nothing-almost like it was dipped in drying glue. i got this for $10 which is so cheap and i still returned it!")</f>
        <v>Looks great in the picture but when i got this in the mail the fabric was so stiff! shaking it out did nothing-almost like it was dipped in drying glue. i got this for $10 which is so cheap and i still returned it!</v>
      </c>
      <c r="F382" s="8">
        <f>IFERROR(__xludf.DUMMYFUNCTION("""COMPUTED_VALUE"""),1.0)</f>
        <v>1</v>
      </c>
      <c r="G382" s="8">
        <f>IFERROR(__xludf.DUMMYFUNCTION("""COMPUTED_VALUE"""),0.0)</f>
        <v>0</v>
      </c>
      <c r="H382" s="8">
        <f>IFERROR(__xludf.DUMMYFUNCTION("""COMPUTED_VALUE"""),0.0)</f>
        <v>0</v>
      </c>
      <c r="I382" s="8" t="str">
        <f>IFERROR(__xludf.DUMMYFUNCTION("""COMPUTED_VALUE"""),"General Petite")</f>
        <v>General Petite</v>
      </c>
      <c r="J382" s="8" t="str">
        <f>IFERROR(__xludf.DUMMYFUNCTION("""COMPUTED_VALUE"""),"Tops")</f>
        <v>Tops</v>
      </c>
      <c r="K382" s="8" t="str">
        <f>IFERROR(__xludf.DUMMYFUNCTION("""COMPUTED_VALUE"""),"Knits")</f>
        <v>Knits</v>
      </c>
      <c r="L382" s="8" t="str">
        <f t="shared" si="1"/>
        <v>-Fabric issue-Style issue--</v>
      </c>
    </row>
    <row r="383">
      <c r="A383" s="8">
        <f>IFERROR(__xludf.DUMMYFUNCTION("""COMPUTED_VALUE"""),2084.0)</f>
        <v>2084</v>
      </c>
      <c r="B383" s="8">
        <f>IFERROR(__xludf.DUMMYFUNCTION("""COMPUTED_VALUE"""),1126.0)</f>
        <v>1126</v>
      </c>
      <c r="C383" s="8">
        <f>IFERROR(__xludf.DUMMYFUNCTION("""COMPUTED_VALUE"""),38.0)</f>
        <v>38</v>
      </c>
      <c r="D383" s="8" t="str">
        <f>IFERROR(__xludf.DUMMYFUNCTION("""COMPUTED_VALUE"""),"Nice design but quality isses")</f>
        <v>Nice design but quality isses</v>
      </c>
      <c r="E383" s="15" t="str">
        <f>IFERROR(__xludf.DUMMYFUNCTION("""COMPUTED_VALUE"""),"I tried this jacket on and it was definitely cute but a couple things to note. it's a wool acrylic blend and it was already starting to pill from being tried on in the store. also, it's unlined. i thought the price point was high given its fibers and unli"&amp;"ned. given its hem, i wonder how much longevity the piece has and how quickly it might start to look dated too.")</f>
        <v>I tried this jacket on and it was definitely cute but a couple things to note. it's a wool acrylic blend and it was already starting to pill from being tried on in the store. also, it's unlined. i thought the price point was high given its fibers and unlined. given its hem, i wonder how much longevity the piece has and how quickly it might start to look dated too.</v>
      </c>
      <c r="F383" s="8">
        <f>IFERROR(__xludf.DUMMYFUNCTION("""COMPUTED_VALUE"""),3.0)</f>
        <v>3</v>
      </c>
      <c r="G383" s="8">
        <f>IFERROR(__xludf.DUMMYFUNCTION("""COMPUTED_VALUE"""),0.0)</f>
        <v>0</v>
      </c>
      <c r="H383" s="8">
        <f>IFERROR(__xludf.DUMMYFUNCTION("""COMPUTED_VALUE"""),1.0)</f>
        <v>1</v>
      </c>
      <c r="I383" s="8" t="str">
        <f>IFERROR(__xludf.DUMMYFUNCTION("""COMPUTED_VALUE"""),"General")</f>
        <v>General</v>
      </c>
      <c r="J383" s="8" t="str">
        <f>IFERROR(__xludf.DUMMYFUNCTION("""COMPUTED_VALUE"""),"Jackets")</f>
        <v>Jackets</v>
      </c>
      <c r="K383" s="8" t="str">
        <f>IFERROR(__xludf.DUMMYFUNCTION("""COMPUTED_VALUE"""),"Outerwear")</f>
        <v>Outerwear</v>
      </c>
      <c r="L383" s="8" t="str">
        <f t="shared" si="1"/>
        <v>Size issue----</v>
      </c>
    </row>
    <row r="384">
      <c r="A384" s="8">
        <f>IFERROR(__xludf.DUMMYFUNCTION("""COMPUTED_VALUE"""),2086.0)</f>
        <v>2086</v>
      </c>
      <c r="B384" s="8">
        <f>IFERROR(__xludf.DUMMYFUNCTION("""COMPUTED_VALUE"""),1072.0)</f>
        <v>1072</v>
      </c>
      <c r="C384" s="8">
        <f>IFERROR(__xludf.DUMMYFUNCTION("""COMPUTED_VALUE"""),41.0)</f>
        <v>41</v>
      </c>
      <c r="D384" s="8" t="str">
        <f>IFERROR(__xludf.DUMMYFUNCTION("""COMPUTED_VALUE"""),"No shape")</f>
        <v>No shape</v>
      </c>
      <c r="E384" s="15" t="str">
        <f>IFERROR(__xludf.DUMMYFUNCTION("""COMPUTED_VALUE"""),"This dress looked super cute in the picture and on the model. i ordered the petite style and it was still so big and way too loose. no shape whatsoever! i unfortunately had to return it. i love loose dresses but this one was way too big, loose and had no "&amp;"shape at all.")</f>
        <v>This dress looked super cute in the picture and on the model. i ordered the petite style and it was still so big and way too loose. no shape whatsoever! i unfortunately had to return it. i love loose dresses but this one was way too big, loose and had no shape at all.</v>
      </c>
      <c r="F384" s="8">
        <f>IFERROR(__xludf.DUMMYFUNCTION("""COMPUTED_VALUE"""),2.0)</f>
        <v>2</v>
      </c>
      <c r="G384" s="8">
        <f>IFERROR(__xludf.DUMMYFUNCTION("""COMPUTED_VALUE"""),0.0)</f>
        <v>0</v>
      </c>
      <c r="H384" s="8">
        <f>IFERROR(__xludf.DUMMYFUNCTION("""COMPUTED_VALUE"""),2.0)</f>
        <v>2</v>
      </c>
      <c r="I384" s="8" t="str">
        <f>IFERROR(__xludf.DUMMYFUNCTION("""COMPUTED_VALUE"""),"General Petite")</f>
        <v>General Petite</v>
      </c>
      <c r="J384" s="8" t="str">
        <f>IFERROR(__xludf.DUMMYFUNCTION("""COMPUTED_VALUE"""),"Dresses")</f>
        <v>Dresses</v>
      </c>
      <c r="K384" s="8" t="str">
        <f>IFERROR(__xludf.DUMMYFUNCTION("""COMPUTED_VALUE"""),"Dresses")</f>
        <v>Dresses</v>
      </c>
      <c r="L384" s="8" t="str">
        <f t="shared" si="1"/>
        <v>--Style issue--Matching Awareness issue</v>
      </c>
    </row>
    <row r="385">
      <c r="A385" s="8">
        <f>IFERROR(__xludf.DUMMYFUNCTION("""COMPUTED_VALUE"""),2091.0)</f>
        <v>2091</v>
      </c>
      <c r="B385" s="8">
        <f>IFERROR(__xludf.DUMMYFUNCTION("""COMPUTED_VALUE"""),862.0)</f>
        <v>862</v>
      </c>
      <c r="C385" s="8">
        <f>IFERROR(__xludf.DUMMYFUNCTION("""COMPUTED_VALUE"""),28.0)</f>
        <v>28</v>
      </c>
      <c r="D385" s="8" t="str">
        <f>IFERROR(__xludf.DUMMYFUNCTION("""COMPUTED_VALUE"""),"Shrinks, shrinks, shrinks")</f>
        <v>Shrinks, shrinks, shrinks</v>
      </c>
      <c r="E385" s="15" t="str">
        <f>IFERROR(__xludf.DUMMYFUNCTION("""COMPUTED_VALUE"""),"I purchased this top in the rose and steel blue colors even though the majority of reviews says it shrinks even when you wash per the instructions. i called the local retailer store first to see if it could be returned if this happened and they said yes, "&amp;"no problem. well the reviews are correct. i washed just the rose colored top so i could compare it to the steel blue if it did shrink. i am returning them this evening. i will not take the time or spend the money to dry clean a tank. it is made ve")</f>
        <v>I purchased this top in the rose and steel blue colors even though the majority of reviews says it shrinks even when you wash per the instructions. i called the local retailer store first to see if it could be returned if this happened and they said yes, no problem. well the reviews are correct. i washed just the rose colored top so i could compare it to the steel blue if it did shrink. i am returning them this evening. i will not take the time or spend the money to dry clean a tank. it is made ve</v>
      </c>
      <c r="F385" s="8">
        <f>IFERROR(__xludf.DUMMYFUNCTION("""COMPUTED_VALUE"""),1.0)</f>
        <v>1</v>
      </c>
      <c r="G385" s="8">
        <f>IFERROR(__xludf.DUMMYFUNCTION("""COMPUTED_VALUE"""),0.0)</f>
        <v>0</v>
      </c>
      <c r="H385" s="8">
        <f>IFERROR(__xludf.DUMMYFUNCTION("""COMPUTED_VALUE"""),1.0)</f>
        <v>1</v>
      </c>
      <c r="I385" s="8" t="str">
        <f>IFERROR(__xludf.DUMMYFUNCTION("""COMPUTED_VALUE"""),"General")</f>
        <v>General</v>
      </c>
      <c r="J385" s="8" t="str">
        <f>IFERROR(__xludf.DUMMYFUNCTION("""COMPUTED_VALUE"""),"Tops")</f>
        <v>Tops</v>
      </c>
      <c r="K385" s="8" t="str">
        <f>IFERROR(__xludf.DUMMYFUNCTION("""COMPUTED_VALUE"""),"Knits")</f>
        <v>Knits</v>
      </c>
      <c r="L385" s="8" t="str">
        <f t="shared" si="1"/>
        <v>----</v>
      </c>
    </row>
    <row r="386">
      <c r="A386" s="8">
        <f>IFERROR(__xludf.DUMMYFUNCTION("""COMPUTED_VALUE"""),2100.0)</f>
        <v>2100</v>
      </c>
      <c r="B386" s="8">
        <f>IFERROR(__xludf.DUMMYFUNCTION("""COMPUTED_VALUE"""),862.0)</f>
        <v>862</v>
      </c>
      <c r="C386" s="8">
        <f>IFERROR(__xludf.DUMMYFUNCTION("""COMPUTED_VALUE"""),34.0)</f>
        <v>34</v>
      </c>
      <c r="D386" s="8"/>
      <c r="E386" s="15" t="str">
        <f>IFERROR(__xludf.DUMMYFUNCTION("""COMPUTED_VALUE"""),"Has anybody washed this shirt a second time? just curious if it continues to shrink.")</f>
        <v>Has anybody washed this shirt a second time? just curious if it continues to shrink.</v>
      </c>
      <c r="F386" s="8">
        <f>IFERROR(__xludf.DUMMYFUNCTION("""COMPUTED_VALUE"""),3.0)</f>
        <v>3</v>
      </c>
      <c r="G386" s="8">
        <f>IFERROR(__xludf.DUMMYFUNCTION("""COMPUTED_VALUE"""),0.0)</f>
        <v>0</v>
      </c>
      <c r="H386" s="8">
        <f>IFERROR(__xludf.DUMMYFUNCTION("""COMPUTED_VALUE"""),0.0)</f>
        <v>0</v>
      </c>
      <c r="I386" s="8" t="str">
        <f>IFERROR(__xludf.DUMMYFUNCTION("""COMPUTED_VALUE"""),"General")</f>
        <v>General</v>
      </c>
      <c r="J386" s="8" t="str">
        <f>IFERROR(__xludf.DUMMYFUNCTION("""COMPUTED_VALUE"""),"Tops")</f>
        <v>Tops</v>
      </c>
      <c r="K386" s="8" t="str">
        <f>IFERROR(__xludf.DUMMYFUNCTION("""COMPUTED_VALUE"""),"Knits")</f>
        <v>Knits</v>
      </c>
      <c r="L386" s="8" t="str">
        <f t="shared" si="1"/>
        <v>----</v>
      </c>
    </row>
    <row r="387">
      <c r="A387" s="8">
        <f>IFERROR(__xludf.DUMMYFUNCTION("""COMPUTED_VALUE"""),2102.0)</f>
        <v>2102</v>
      </c>
      <c r="B387" s="8">
        <f>IFERROR(__xludf.DUMMYFUNCTION("""COMPUTED_VALUE"""),1092.0)</f>
        <v>1092</v>
      </c>
      <c r="C387" s="8">
        <f>IFERROR(__xludf.DUMMYFUNCTION("""COMPUTED_VALUE"""),29.0)</f>
        <v>29</v>
      </c>
      <c r="D387" s="8"/>
      <c r="E387" s="15" t="str">
        <f>IFERROR(__xludf.DUMMYFUNCTION("""COMPUTED_VALUE"""),"I love, love, love this absolutely stunning dress. the only problem was that the zipper was very difficult to maneuver, and when it finally went up, the watch it was attached the lining of the dress made a bump in the dress, which was very unflattering on"&amp;" an otherwise very flattering dress. i tried on multiple versions of this dress and had the same design issue with each. i ended up returning it because it bothered me so much.")</f>
        <v>I love, love, love this absolutely stunning dress. the only problem was that the zipper was very difficult to maneuver, and when it finally went up, the watch it was attached the lining of the dress made a bump in the dress, which was very unflattering on an otherwise very flattering dress. i tried on multiple versions of this dress and had the same design issue with each. i ended up returning it because it bothered me so much.</v>
      </c>
      <c r="F387" s="8">
        <f>IFERROR(__xludf.DUMMYFUNCTION("""COMPUTED_VALUE"""),3.0)</f>
        <v>3</v>
      </c>
      <c r="G387" s="8">
        <f>IFERROR(__xludf.DUMMYFUNCTION("""COMPUTED_VALUE"""),0.0)</f>
        <v>0</v>
      </c>
      <c r="H387" s="8">
        <f>IFERROR(__xludf.DUMMYFUNCTION("""COMPUTED_VALUE"""),1.0)</f>
        <v>1</v>
      </c>
      <c r="I387" s="8" t="str">
        <f>IFERROR(__xludf.DUMMYFUNCTION("""COMPUTED_VALUE"""),"General Petite")</f>
        <v>General Petite</v>
      </c>
      <c r="J387" s="8" t="str">
        <f>IFERROR(__xludf.DUMMYFUNCTION("""COMPUTED_VALUE"""),"Dresses")</f>
        <v>Dresses</v>
      </c>
      <c r="K387" s="8" t="str">
        <f>IFERROR(__xludf.DUMMYFUNCTION("""COMPUTED_VALUE"""),"Dresses")</f>
        <v>Dresses</v>
      </c>
      <c r="L387" s="8" t="str">
        <f t="shared" si="1"/>
        <v>-Fabric issue-Style issue--</v>
      </c>
    </row>
    <row r="388">
      <c r="A388" s="8">
        <f>IFERROR(__xludf.DUMMYFUNCTION("""COMPUTED_VALUE"""),2104.0)</f>
        <v>2104</v>
      </c>
      <c r="B388" s="8">
        <f>IFERROR(__xludf.DUMMYFUNCTION("""COMPUTED_VALUE"""),896.0)</f>
        <v>896</v>
      </c>
      <c r="C388" s="8">
        <f>IFERROR(__xludf.DUMMYFUNCTION("""COMPUTED_VALUE"""),37.0)</f>
        <v>37</v>
      </c>
      <c r="D388" s="8" t="str">
        <f>IFERROR(__xludf.DUMMYFUNCTION("""COMPUTED_VALUE"""),"Poor shape for my body type")</f>
        <v>Poor shape for my body type</v>
      </c>
      <c r="E388" s="15" t="str">
        <f>IFERROR(__xludf.DUMMYFUNCTION("""COMPUTED_VALUE"""),"Purchased because i wanted a deep red sweater, and this one was the perfect color. unfortunately i am on the curvier side, with 34g chest, 155lbs 5' 5"", and the med was too big, (i usually wear m or l at retailer.) also the fit ended up being boxy on my "&amp;"body type.")</f>
        <v>Purchased because i wanted a deep red sweater, and this one was the perfect color. unfortunately i am on the curvier side, with 34g chest, 155lbs 5' 5", and the med was too big, (i usually wear m or l at retailer.) also the fit ended up being boxy on my body type.</v>
      </c>
      <c r="F388" s="8">
        <f>IFERROR(__xludf.DUMMYFUNCTION("""COMPUTED_VALUE"""),3.0)</f>
        <v>3</v>
      </c>
      <c r="G388" s="8">
        <f>IFERROR(__xludf.DUMMYFUNCTION("""COMPUTED_VALUE"""),0.0)</f>
        <v>0</v>
      </c>
      <c r="H388" s="8">
        <f>IFERROR(__xludf.DUMMYFUNCTION("""COMPUTED_VALUE"""),0.0)</f>
        <v>0</v>
      </c>
      <c r="I388" s="8" t="str">
        <f>IFERROR(__xludf.DUMMYFUNCTION("""COMPUTED_VALUE"""),"General")</f>
        <v>General</v>
      </c>
      <c r="J388" s="8" t="str">
        <f>IFERROR(__xludf.DUMMYFUNCTION("""COMPUTED_VALUE"""),"Tops")</f>
        <v>Tops</v>
      </c>
      <c r="K388" s="8" t="str">
        <f>IFERROR(__xludf.DUMMYFUNCTION("""COMPUTED_VALUE"""),"Fine gauge")</f>
        <v>Fine gauge</v>
      </c>
      <c r="L388" s="8" t="str">
        <f t="shared" si="1"/>
        <v>Size issue----</v>
      </c>
    </row>
    <row r="389">
      <c r="A389" s="8">
        <f>IFERROR(__xludf.DUMMYFUNCTION("""COMPUTED_VALUE"""),2106.0)</f>
        <v>2106</v>
      </c>
      <c r="B389" s="8">
        <f>IFERROR(__xludf.DUMMYFUNCTION("""COMPUTED_VALUE"""),1092.0)</f>
        <v>1092</v>
      </c>
      <c r="C389" s="8">
        <f>IFERROR(__xludf.DUMMYFUNCTION("""COMPUTED_VALUE"""),37.0)</f>
        <v>37</v>
      </c>
      <c r="D389" s="8" t="str">
        <f>IFERROR(__xludf.DUMMYFUNCTION("""COMPUTED_VALUE"""),"Weird fit in the bust")</f>
        <v>Weird fit in the bust</v>
      </c>
      <c r="E389" s="15" t="str">
        <f>IFERROR(__xludf.DUMMYFUNCTION("""COMPUTED_VALUE"""),"I own many retailer dresses but the sizing can be odd. i usually wear a size 4-6 and i have a floreat maxi dress size 4 that works well. i am 34c and based on the reviews i decided to order a size 6. the dress fits well except for he bust area that is ver"&amp;"y snug/couldn't even get the zipper up. i will probably have to order a size 10 to be able to close the zipper on the bust area but it will be huge everywhere else.the fabric seems very delicate and may develop runs easily. it's a shame because th")</f>
        <v>I own many retailer dresses but the sizing can be odd. i usually wear a size 4-6 and i have a floreat maxi dress size 4 that works well. i am 34c and based on the reviews i decided to order a size 6. the dress fits well except for he bust area that is very snug/couldn't even get the zipper up. i will probably have to order a size 10 to be able to close the zipper on the bust area but it will be huge everywhere else.the fabric seems very delicate and may develop runs easily. it's a shame because th</v>
      </c>
      <c r="F389" s="8">
        <f>IFERROR(__xludf.DUMMYFUNCTION("""COMPUTED_VALUE"""),2.0)</f>
        <v>2</v>
      </c>
      <c r="G389" s="8">
        <f>IFERROR(__xludf.DUMMYFUNCTION("""COMPUTED_VALUE"""),0.0)</f>
        <v>0</v>
      </c>
      <c r="H389" s="8">
        <f>IFERROR(__xludf.DUMMYFUNCTION("""COMPUTED_VALUE"""),0.0)</f>
        <v>0</v>
      </c>
      <c r="I389" s="8" t="str">
        <f>IFERROR(__xludf.DUMMYFUNCTION("""COMPUTED_VALUE"""),"General Petite")</f>
        <v>General Petite</v>
      </c>
      <c r="J389" s="8" t="str">
        <f>IFERROR(__xludf.DUMMYFUNCTION("""COMPUTED_VALUE"""),"Dresses")</f>
        <v>Dresses</v>
      </c>
      <c r="K389" s="8" t="str">
        <f>IFERROR(__xludf.DUMMYFUNCTION("""COMPUTED_VALUE"""),"Dresses")</f>
        <v>Dresses</v>
      </c>
      <c r="L389" s="8" t="str">
        <f t="shared" si="1"/>
        <v>Size issue----</v>
      </c>
    </row>
    <row r="390">
      <c r="A390" s="8">
        <f>IFERROR(__xludf.DUMMYFUNCTION("""COMPUTED_VALUE"""),2110.0)</f>
        <v>2110</v>
      </c>
      <c r="B390" s="8">
        <f>IFERROR(__xludf.DUMMYFUNCTION("""COMPUTED_VALUE"""),862.0)</f>
        <v>862</v>
      </c>
      <c r="C390" s="8">
        <f>IFERROR(__xludf.DUMMYFUNCTION("""COMPUTED_VALUE"""),66.0)</f>
        <v>66</v>
      </c>
      <c r="D390" s="8" t="str">
        <f>IFERROR(__xludf.DUMMYFUNCTION("""COMPUTED_VALUE"""),"Loved it, but...")</f>
        <v>Loved it, but...</v>
      </c>
      <c r="E390" s="15" t="str">
        <f>IFERROR(__xludf.DUMMYFUNCTION("""COMPUTED_VALUE"""),"I fell in love with this cute top, however after reading reviews, i am going to return it. seems there is a problem with it shrinking after following washing instructions. who wants to dry clean a tank top? not me, sadly. too bad. style was cute and color"&amp;" was awesome.")</f>
        <v>I fell in love with this cute top, however after reading reviews, i am going to return it. seems there is a problem with it shrinking after following washing instructions. who wants to dry clean a tank top? not me, sadly. too bad. style was cute and color was awesome.</v>
      </c>
      <c r="F390" s="8">
        <f>IFERROR(__xludf.DUMMYFUNCTION("""COMPUTED_VALUE"""),2.0)</f>
        <v>2</v>
      </c>
      <c r="G390" s="8">
        <f>IFERROR(__xludf.DUMMYFUNCTION("""COMPUTED_VALUE"""),0.0)</f>
        <v>0</v>
      </c>
      <c r="H390" s="8">
        <f>IFERROR(__xludf.DUMMYFUNCTION("""COMPUTED_VALUE"""),2.0)</f>
        <v>2</v>
      </c>
      <c r="I390" s="8" t="str">
        <f>IFERROR(__xludf.DUMMYFUNCTION("""COMPUTED_VALUE"""),"General")</f>
        <v>General</v>
      </c>
      <c r="J390" s="8" t="str">
        <f>IFERROR(__xludf.DUMMYFUNCTION("""COMPUTED_VALUE"""),"Tops")</f>
        <v>Tops</v>
      </c>
      <c r="K390" s="8" t="str">
        <f>IFERROR(__xludf.DUMMYFUNCTION("""COMPUTED_VALUE"""),"Knits")</f>
        <v>Knits</v>
      </c>
      <c r="L390" s="8" t="str">
        <f t="shared" si="1"/>
        <v>--Style issue--</v>
      </c>
    </row>
    <row r="391">
      <c r="A391" s="8">
        <f>IFERROR(__xludf.DUMMYFUNCTION("""COMPUTED_VALUE"""),2112.0)</f>
        <v>2112</v>
      </c>
      <c r="B391" s="8">
        <f>IFERROR(__xludf.DUMMYFUNCTION("""COMPUTED_VALUE"""),1111.0)</f>
        <v>1111</v>
      </c>
      <c r="C391" s="8">
        <f>IFERROR(__xludf.DUMMYFUNCTION("""COMPUTED_VALUE"""),56.0)</f>
        <v>56</v>
      </c>
      <c r="D391" s="8" t="str">
        <f>IFERROR(__xludf.DUMMYFUNCTION("""COMPUTED_VALUE"""),"Very unfortunate")</f>
        <v>Very unfortunate</v>
      </c>
      <c r="E391" s="15" t="str">
        <f>IFERROR(__xludf.DUMMYFUNCTION("""COMPUTED_VALUE"""),"This dress is so beautiful in person! but the quality was very upsetting. i had two buttons come off before even putting it on. i was so excited to get his dress for my wedding shower and then i couldn't wear it :(")</f>
        <v>This dress is so beautiful in person! but the quality was very upsetting. i had two buttons come off before even putting it on. i was so excited to get his dress for my wedding shower and then i couldn't wear it :(</v>
      </c>
      <c r="F391" s="8">
        <f>IFERROR(__xludf.DUMMYFUNCTION("""COMPUTED_VALUE"""),1.0)</f>
        <v>1</v>
      </c>
      <c r="G391" s="8">
        <f>IFERROR(__xludf.DUMMYFUNCTION("""COMPUTED_VALUE"""),0.0)</f>
        <v>0</v>
      </c>
      <c r="H391" s="8">
        <f>IFERROR(__xludf.DUMMYFUNCTION("""COMPUTED_VALUE"""),3.0)</f>
        <v>3</v>
      </c>
      <c r="I391" s="8" t="str">
        <f>IFERROR(__xludf.DUMMYFUNCTION("""COMPUTED_VALUE"""),"General")</f>
        <v>General</v>
      </c>
      <c r="J391" s="8" t="str">
        <f>IFERROR(__xludf.DUMMYFUNCTION("""COMPUTED_VALUE"""),"Dresses")</f>
        <v>Dresses</v>
      </c>
      <c r="K391" s="8" t="str">
        <f>IFERROR(__xludf.DUMMYFUNCTION("""COMPUTED_VALUE"""),"Dresses")</f>
        <v>Dresses</v>
      </c>
      <c r="L391" s="8" t="str">
        <f t="shared" si="1"/>
        <v>----</v>
      </c>
    </row>
    <row r="392">
      <c r="A392" s="8">
        <f>IFERROR(__xludf.DUMMYFUNCTION("""COMPUTED_VALUE"""),2114.0)</f>
        <v>2114</v>
      </c>
      <c r="B392" s="8">
        <f>IFERROR(__xludf.DUMMYFUNCTION("""COMPUTED_VALUE"""),1092.0)</f>
        <v>1092</v>
      </c>
      <c r="C392" s="8">
        <f>IFERROR(__xludf.DUMMYFUNCTION("""COMPUTED_VALUE"""),38.0)</f>
        <v>38</v>
      </c>
      <c r="D392" s="8" t="str">
        <f>IFERROR(__xludf.DUMMYFUNCTION("""COMPUTED_VALUE"""),"Runs small in bust")</f>
        <v>Runs small in bust</v>
      </c>
      <c r="E392" s="15" t="str">
        <f>IFERROR(__xludf.DUMMYFUNCTION("""COMPUTED_VALUE"""),"I wanted this dress so bad for a trip to hawaii. i sized up when i saw the side zip because i'm a little larger in the top than bottom, but whoa... even when sizing up, i think i would have needed to size up like 3x to get this to work. the dress is adora"&amp;"ble, and if you have a smaller bust, it will work for you... so sad it wouldn't work for me.")</f>
        <v>I wanted this dress so bad for a trip to hawaii. i sized up when i saw the side zip because i'm a little larger in the top than bottom, but whoa... even when sizing up, i think i would have needed to size up like 3x to get this to work. the dress is adorable, and if you have a smaller bust, it will work for you... so sad it wouldn't work for me.</v>
      </c>
      <c r="F392" s="8">
        <f>IFERROR(__xludf.DUMMYFUNCTION("""COMPUTED_VALUE"""),3.0)</f>
        <v>3</v>
      </c>
      <c r="G392" s="8">
        <f>IFERROR(__xludf.DUMMYFUNCTION("""COMPUTED_VALUE"""),0.0)</f>
        <v>0</v>
      </c>
      <c r="H392" s="8">
        <f>IFERROR(__xludf.DUMMYFUNCTION("""COMPUTED_VALUE"""),29.0)</f>
        <v>29</v>
      </c>
      <c r="I392" s="8" t="str">
        <f>IFERROR(__xludf.DUMMYFUNCTION("""COMPUTED_VALUE"""),"General Petite")</f>
        <v>General Petite</v>
      </c>
      <c r="J392" s="8" t="str">
        <f>IFERROR(__xludf.DUMMYFUNCTION("""COMPUTED_VALUE"""),"Dresses")</f>
        <v>Dresses</v>
      </c>
      <c r="K392" s="8" t="str">
        <f>IFERROR(__xludf.DUMMYFUNCTION("""COMPUTED_VALUE"""),"Dresses")</f>
        <v>Dresses</v>
      </c>
      <c r="L392" s="8" t="str">
        <f t="shared" si="1"/>
        <v>Size issue----</v>
      </c>
    </row>
    <row r="393">
      <c r="A393" s="8">
        <f>IFERROR(__xludf.DUMMYFUNCTION("""COMPUTED_VALUE"""),2124.0)</f>
        <v>2124</v>
      </c>
      <c r="B393" s="8">
        <f>IFERROR(__xludf.DUMMYFUNCTION("""COMPUTED_VALUE"""),1092.0)</f>
        <v>1092</v>
      </c>
      <c r="C393" s="8">
        <f>IFERROR(__xludf.DUMMYFUNCTION("""COMPUTED_VALUE"""),39.0)</f>
        <v>39</v>
      </c>
      <c r="D393" s="8" t="str">
        <f>IFERROR(__xludf.DUMMYFUNCTION("""COMPUTED_VALUE"""),"Bummed out")</f>
        <v>Bummed out</v>
      </c>
      <c r="E393" s="15" t="str">
        <f>IFERROR(__xludf.DUMMYFUNCTION("""COMPUTED_VALUE"""),"Embroidered tulips look like they were plucked when comparing the dresses in the product photos. took a chance any way, came out disappointed because i couldn't zip up the bodice. i hate side zips and when you pair a cheap zipper with delicate material, r"&amp;"ecipe for disaster! i am top and back heavy so though i lost weight and went down a cup size, my back is too wide for the 12p. for reference i'm 135# 36d 38/28/35.")</f>
        <v>Embroidered tulips look like they were plucked when comparing the dresses in the product photos. took a chance any way, came out disappointed because i couldn't zip up the bodice. i hate side zips and when you pair a cheap zipper with delicate material, recipe for disaster! i am top and back heavy so though i lost weight and went down a cup size, my back is too wide for the 12p. for reference i'm 135# 36d 38/28/35.</v>
      </c>
      <c r="F393" s="8">
        <f>IFERROR(__xludf.DUMMYFUNCTION("""COMPUTED_VALUE"""),3.0)</f>
        <v>3</v>
      </c>
      <c r="G393" s="8">
        <f>IFERROR(__xludf.DUMMYFUNCTION("""COMPUTED_VALUE"""),0.0)</f>
        <v>0</v>
      </c>
      <c r="H393" s="8">
        <f>IFERROR(__xludf.DUMMYFUNCTION("""COMPUTED_VALUE"""),2.0)</f>
        <v>2</v>
      </c>
      <c r="I393" s="8" t="str">
        <f>IFERROR(__xludf.DUMMYFUNCTION("""COMPUTED_VALUE"""),"General Petite")</f>
        <v>General Petite</v>
      </c>
      <c r="J393" s="8" t="str">
        <f>IFERROR(__xludf.DUMMYFUNCTION("""COMPUTED_VALUE"""),"Dresses")</f>
        <v>Dresses</v>
      </c>
      <c r="K393" s="8" t="str">
        <f>IFERROR(__xludf.DUMMYFUNCTION("""COMPUTED_VALUE"""),"Dresses")</f>
        <v>Dresses</v>
      </c>
      <c r="L393" s="8" t="str">
        <f t="shared" si="1"/>
        <v>Size issue-Fabric issue-Style issue--</v>
      </c>
    </row>
    <row r="394">
      <c r="A394" s="8">
        <f>IFERROR(__xludf.DUMMYFUNCTION("""COMPUTED_VALUE"""),2126.0)</f>
        <v>2126</v>
      </c>
      <c r="B394" s="8">
        <f>IFERROR(__xludf.DUMMYFUNCTION("""COMPUTED_VALUE"""),872.0)</f>
        <v>872</v>
      </c>
      <c r="C394" s="8">
        <f>IFERROR(__xludf.DUMMYFUNCTION("""COMPUTED_VALUE"""),56.0)</f>
        <v>56</v>
      </c>
      <c r="D394" s="8" t="str">
        <f>IFERROR(__xludf.DUMMYFUNCTION("""COMPUTED_VALUE"""),"Not kind to curves")</f>
        <v>Not kind to curves</v>
      </c>
      <c r="E394" s="15" t="str">
        <f>IFERROR(__xludf.DUMMYFUNCTION("""COMPUTED_VALUE"""),"Wanted to love this top, and could imagine lots of outfits with it. the wide shoulders made my arms/shoulders look big. the ruching and extra flap landed at an odd place, accentuating my belly. it did arrive very wrinkled, although a previous reviewer sai"&amp;"d she found it to be a wrinkle free garment. maybe that made the look worse. overall i felt that it made me look 15 lbs heavier than i am, so back it goes. i am 5'7"", 160lbs, 34dddd, and the size large was the correct size.")</f>
        <v>Wanted to love this top, and could imagine lots of outfits with it. the wide shoulders made my arms/shoulders look big. the ruching and extra flap landed at an odd place, accentuating my belly. it did arrive very wrinkled, although a previous reviewer said she found it to be a wrinkle free garment. maybe that made the look worse. overall i felt that it made me look 15 lbs heavier than i am, so back it goes. i am 5'7", 160lbs, 34dddd, and the size large was the correct size.</v>
      </c>
      <c r="F394" s="8">
        <f>IFERROR(__xludf.DUMMYFUNCTION("""COMPUTED_VALUE"""),2.0)</f>
        <v>2</v>
      </c>
      <c r="G394" s="8">
        <f>IFERROR(__xludf.DUMMYFUNCTION("""COMPUTED_VALUE"""),0.0)</f>
        <v>0</v>
      </c>
      <c r="H394" s="8">
        <f>IFERROR(__xludf.DUMMYFUNCTION("""COMPUTED_VALUE"""),7.0)</f>
        <v>7</v>
      </c>
      <c r="I394" s="8" t="str">
        <f>IFERROR(__xludf.DUMMYFUNCTION("""COMPUTED_VALUE"""),"General Petite")</f>
        <v>General Petite</v>
      </c>
      <c r="J394" s="8" t="str">
        <f>IFERROR(__xludf.DUMMYFUNCTION("""COMPUTED_VALUE"""),"Tops")</f>
        <v>Tops</v>
      </c>
      <c r="K394" s="8" t="str">
        <f>IFERROR(__xludf.DUMMYFUNCTION("""COMPUTED_VALUE"""),"Knits")</f>
        <v>Knits</v>
      </c>
      <c r="L394" s="8" t="str">
        <f t="shared" si="1"/>
        <v>Size issue----</v>
      </c>
    </row>
    <row r="395">
      <c r="A395" s="8">
        <f>IFERROR(__xludf.DUMMYFUNCTION("""COMPUTED_VALUE"""),2128.0)</f>
        <v>2128</v>
      </c>
      <c r="B395" s="8">
        <f>IFERROR(__xludf.DUMMYFUNCTION("""COMPUTED_VALUE"""),862.0)</f>
        <v>862</v>
      </c>
      <c r="C395" s="8">
        <f>IFERROR(__xludf.DUMMYFUNCTION("""COMPUTED_VALUE"""),35.0)</f>
        <v>35</v>
      </c>
      <c r="D395" s="8" t="str">
        <f>IFERROR(__xludf.DUMMYFUNCTION("""COMPUTED_VALUE"""),"Cute top....but shrinks horribly!")</f>
        <v>Cute top....but shrinks horribly!</v>
      </c>
      <c r="E395" s="15" t="str">
        <f>IFERROR(__xludf.DUMMYFUNCTION("""COMPUTED_VALUE"""),"I bought this top and it ran huge, i had to get an extra small. well then i wash it according to the instructions and it shrunk horribly! like its so small now my 3 yr old could probably wear it! i'm so sad, i really liked this top....but for it to shrink"&amp;" after one wear is not acceptable.")</f>
        <v>I bought this top and it ran huge, i had to get an extra small. well then i wash it according to the instructions and it shrunk horribly! like its so small now my 3 yr old could probably wear it! i'm so sad, i really liked this top....but for it to shrink after one wear is not acceptable.</v>
      </c>
      <c r="F395" s="8">
        <f>IFERROR(__xludf.DUMMYFUNCTION("""COMPUTED_VALUE"""),1.0)</f>
        <v>1</v>
      </c>
      <c r="G395" s="8">
        <f>IFERROR(__xludf.DUMMYFUNCTION("""COMPUTED_VALUE"""),0.0)</f>
        <v>0</v>
      </c>
      <c r="H395" s="8">
        <f>IFERROR(__xludf.DUMMYFUNCTION("""COMPUTED_VALUE"""),10.0)</f>
        <v>10</v>
      </c>
      <c r="I395" s="8" t="str">
        <f>IFERROR(__xludf.DUMMYFUNCTION("""COMPUTED_VALUE"""),"General")</f>
        <v>General</v>
      </c>
      <c r="J395" s="8" t="str">
        <f>IFERROR(__xludf.DUMMYFUNCTION("""COMPUTED_VALUE"""),"Tops")</f>
        <v>Tops</v>
      </c>
      <c r="K395" s="8" t="str">
        <f>IFERROR(__xludf.DUMMYFUNCTION("""COMPUTED_VALUE"""),"Knits")</f>
        <v>Knits</v>
      </c>
      <c r="L395" s="8" t="str">
        <f t="shared" si="1"/>
        <v>Size issue----</v>
      </c>
    </row>
    <row r="396">
      <c r="A396" s="8">
        <f>IFERROR(__xludf.DUMMYFUNCTION("""COMPUTED_VALUE"""),2132.0)</f>
        <v>2132</v>
      </c>
      <c r="B396" s="8">
        <f>IFERROR(__xludf.DUMMYFUNCTION("""COMPUTED_VALUE"""),872.0)</f>
        <v>872</v>
      </c>
      <c r="C396" s="8">
        <f>IFERROR(__xludf.DUMMYFUNCTION("""COMPUTED_VALUE"""),25.0)</f>
        <v>25</v>
      </c>
      <c r="D396" s="8" t="str">
        <f>IFERROR(__xludf.DUMMYFUNCTION("""COMPUTED_VALUE"""),"Fabric is very stiff....")</f>
        <v>Fabric is very stiff....</v>
      </c>
      <c r="E396" s="15" t="str">
        <f>IFERROR(__xludf.DUMMYFUNCTION("""COMPUTED_VALUE"""),"I had hopes for this shirt but was disappointed in the fabric...it's very stiff and heavy for a summer blouse. will be returning it.")</f>
        <v>I had hopes for this shirt but was disappointed in the fabric...it's very stiff and heavy for a summer blouse. will be returning it.</v>
      </c>
      <c r="F396" s="8">
        <f>IFERROR(__xludf.DUMMYFUNCTION("""COMPUTED_VALUE"""),1.0)</f>
        <v>1</v>
      </c>
      <c r="G396" s="8">
        <f>IFERROR(__xludf.DUMMYFUNCTION("""COMPUTED_VALUE"""),0.0)</f>
        <v>0</v>
      </c>
      <c r="H396" s="8">
        <f>IFERROR(__xludf.DUMMYFUNCTION("""COMPUTED_VALUE"""),0.0)</f>
        <v>0</v>
      </c>
      <c r="I396" s="8" t="str">
        <f>IFERROR(__xludf.DUMMYFUNCTION("""COMPUTED_VALUE"""),"General Petite")</f>
        <v>General Petite</v>
      </c>
      <c r="J396" s="8" t="str">
        <f>IFERROR(__xludf.DUMMYFUNCTION("""COMPUTED_VALUE"""),"Tops")</f>
        <v>Tops</v>
      </c>
      <c r="K396" s="8" t="str">
        <f>IFERROR(__xludf.DUMMYFUNCTION("""COMPUTED_VALUE"""),"Knits")</f>
        <v>Knits</v>
      </c>
      <c r="L396" s="8" t="str">
        <f t="shared" si="1"/>
        <v>----</v>
      </c>
    </row>
    <row r="397">
      <c r="A397" s="8">
        <f>IFERROR(__xludf.DUMMYFUNCTION("""COMPUTED_VALUE"""),2138.0)</f>
        <v>2138</v>
      </c>
      <c r="B397" s="8">
        <f>IFERROR(__xludf.DUMMYFUNCTION("""COMPUTED_VALUE"""),850.0)</f>
        <v>850</v>
      </c>
      <c r="C397" s="8">
        <f>IFERROR(__xludf.DUMMYFUNCTION("""COMPUTED_VALUE"""),42.0)</f>
        <v>42</v>
      </c>
      <c r="D397" s="8" t="str">
        <f>IFERROR(__xludf.DUMMYFUNCTION("""COMPUTED_VALUE"""),"Too much pep in this peplum...")</f>
        <v>Too much pep in this peplum...</v>
      </c>
      <c r="E397" s="15" t="str">
        <f>IFERROR(__xludf.DUMMYFUNCTION("""COMPUTED_VALUE"""),"I love a good peplum top, and was so excited when it arrived, but was sad to find the flare on the peplum was a little too much. i'm not sure why it was so unflattering, because in every other way, it fit like a dream, but it seemed like either there was "&amp;"too much or too little fabric around the waist to have it hang properly. it had to go back.")</f>
        <v>I love a good peplum top, and was so excited when it arrived, but was sad to find the flare on the peplum was a little too much. i'm not sure why it was so unflattering, because in every other way, it fit like a dream, but it seemed like either there was too much or too little fabric around the waist to have it hang properly. it had to go back.</v>
      </c>
      <c r="F397" s="8">
        <f>IFERROR(__xludf.DUMMYFUNCTION("""COMPUTED_VALUE"""),3.0)</f>
        <v>3</v>
      </c>
      <c r="G397" s="8">
        <f>IFERROR(__xludf.DUMMYFUNCTION("""COMPUTED_VALUE"""),0.0)</f>
        <v>0</v>
      </c>
      <c r="H397" s="8">
        <f>IFERROR(__xludf.DUMMYFUNCTION("""COMPUTED_VALUE"""),1.0)</f>
        <v>1</v>
      </c>
      <c r="I397" s="8" t="str">
        <f>IFERROR(__xludf.DUMMYFUNCTION("""COMPUTED_VALUE"""),"General Petite")</f>
        <v>General Petite</v>
      </c>
      <c r="J397" s="8" t="str">
        <f>IFERROR(__xludf.DUMMYFUNCTION("""COMPUTED_VALUE"""),"Tops")</f>
        <v>Tops</v>
      </c>
      <c r="K397" s="8" t="str">
        <f>IFERROR(__xludf.DUMMYFUNCTION("""COMPUTED_VALUE"""),"Blouses")</f>
        <v>Blouses</v>
      </c>
      <c r="L397" s="8" t="str">
        <f t="shared" si="1"/>
        <v>Size issue----</v>
      </c>
    </row>
    <row r="398">
      <c r="A398" s="8">
        <f>IFERROR(__xludf.DUMMYFUNCTION("""COMPUTED_VALUE"""),2144.0)</f>
        <v>2144</v>
      </c>
      <c r="B398" s="8">
        <f>IFERROR(__xludf.DUMMYFUNCTION("""COMPUTED_VALUE"""),911.0)</f>
        <v>911</v>
      </c>
      <c r="C398" s="8">
        <f>IFERROR(__xludf.DUMMYFUNCTION("""COMPUTED_VALUE"""),46.0)</f>
        <v>46</v>
      </c>
      <c r="D398" s="8" t="str">
        <f>IFERROR(__xludf.DUMMYFUNCTION("""COMPUTED_VALUE"""),"Almost but not quite")</f>
        <v>Almost but not quite</v>
      </c>
      <c r="E398" s="15" t="str">
        <f>IFERROR(__xludf.DUMMYFUNCTION("""COMPUTED_VALUE"""),"I am returning. i really liked the appearance in the photo and i love aqua, but the biggest problem for me is the shape. it's pretty boxy and it's hard to tell from the photo, but it has a batwing shape. i also wish the lighter portion were more ivory (le"&amp;"ss yellow in it), but that's based on what looks better against my skin tone. i found it to run true to size, but i thought it was unflattering (made me look wide).")</f>
        <v>I am returning. i really liked the appearance in the photo and i love aqua, but the biggest problem for me is the shape. it's pretty boxy and it's hard to tell from the photo, but it has a batwing shape. i also wish the lighter portion were more ivory (less yellow in it), but that's based on what looks better against my skin tone. i found it to run true to size, but i thought it was unflattering (made me look wide).</v>
      </c>
      <c r="F398" s="8">
        <f>IFERROR(__xludf.DUMMYFUNCTION("""COMPUTED_VALUE"""),3.0)</f>
        <v>3</v>
      </c>
      <c r="G398" s="8">
        <f>IFERROR(__xludf.DUMMYFUNCTION("""COMPUTED_VALUE"""),0.0)</f>
        <v>0</v>
      </c>
      <c r="H398" s="8">
        <f>IFERROR(__xludf.DUMMYFUNCTION("""COMPUTED_VALUE"""),0.0)</f>
        <v>0</v>
      </c>
      <c r="I398" s="8" t="str">
        <f>IFERROR(__xludf.DUMMYFUNCTION("""COMPUTED_VALUE"""),"General")</f>
        <v>General</v>
      </c>
      <c r="J398" s="8" t="str">
        <f>IFERROR(__xludf.DUMMYFUNCTION("""COMPUTED_VALUE"""),"Tops")</f>
        <v>Tops</v>
      </c>
      <c r="K398" s="8" t="str">
        <f>IFERROR(__xludf.DUMMYFUNCTION("""COMPUTED_VALUE"""),"Fine gauge")</f>
        <v>Fine gauge</v>
      </c>
      <c r="L398" s="8" t="str">
        <f t="shared" si="1"/>
        <v>Size issue----</v>
      </c>
    </row>
    <row r="399">
      <c r="A399" s="8">
        <f>IFERROR(__xludf.DUMMYFUNCTION("""COMPUTED_VALUE"""),2149.0)</f>
        <v>2149</v>
      </c>
      <c r="B399" s="8">
        <f>IFERROR(__xludf.DUMMYFUNCTION("""COMPUTED_VALUE"""),1082.0)</f>
        <v>1082</v>
      </c>
      <c r="C399" s="8">
        <f>IFERROR(__xludf.DUMMYFUNCTION("""COMPUTED_VALUE"""),36.0)</f>
        <v>36</v>
      </c>
      <c r="D399" s="8"/>
      <c r="E399" s="15"/>
      <c r="F399" s="8">
        <f>IFERROR(__xludf.DUMMYFUNCTION("""COMPUTED_VALUE"""),1.0)</f>
        <v>1</v>
      </c>
      <c r="G399" s="8">
        <f>IFERROR(__xludf.DUMMYFUNCTION("""COMPUTED_VALUE"""),0.0)</f>
        <v>0</v>
      </c>
      <c r="H399" s="8">
        <f>IFERROR(__xludf.DUMMYFUNCTION("""COMPUTED_VALUE"""),0.0)</f>
        <v>0</v>
      </c>
      <c r="I399" s="8" t="str">
        <f>IFERROR(__xludf.DUMMYFUNCTION("""COMPUTED_VALUE"""),"General")</f>
        <v>General</v>
      </c>
      <c r="J399" s="8" t="str">
        <f>IFERROR(__xludf.DUMMYFUNCTION("""COMPUTED_VALUE"""),"Dresses")</f>
        <v>Dresses</v>
      </c>
      <c r="K399" s="8" t="str">
        <f>IFERROR(__xludf.DUMMYFUNCTION("""COMPUTED_VALUE"""),"Dresses")</f>
        <v>Dresses</v>
      </c>
      <c r="L399" s="8" t="str">
        <f t="shared" si="1"/>
        <v/>
      </c>
    </row>
    <row r="400">
      <c r="A400" s="8">
        <f>IFERROR(__xludf.DUMMYFUNCTION("""COMPUTED_VALUE"""),2150.0)</f>
        <v>2150</v>
      </c>
      <c r="B400" s="8">
        <f>IFERROR(__xludf.DUMMYFUNCTION("""COMPUTED_VALUE"""),872.0)</f>
        <v>872</v>
      </c>
      <c r="C400" s="8">
        <f>IFERROR(__xludf.DUMMYFUNCTION("""COMPUTED_VALUE"""),35.0)</f>
        <v>35</v>
      </c>
      <c r="D400" s="8" t="str">
        <f>IFERROR(__xludf.DUMMYFUNCTION("""COMPUTED_VALUE"""),"Perfect until washed")</f>
        <v>Perfect until washed</v>
      </c>
      <c r="E400" s="15" t="str">
        <f>IFERROR(__xludf.DUMMYFUNCTION("""COMPUTED_VALUE"""),"Loved this shirt so much that i bought in 3 colors. love the luxurious feel of the silky, flowing fabric that flatters in all the best ways. however, after washing per instructions, the fabric lost its good qualities and turned into a blah, pilled mess th"&amp;"at gathers at the seams (especially the bottom seam). tried dry cleaning another shirt and it came out the same way as washing. looks like a cheap, lackluster layering top now and definitely won't last another season. so disappointed - if you ca")</f>
        <v>Loved this shirt so much that i bought in 3 colors. love the luxurious feel of the silky, flowing fabric that flatters in all the best ways. however, after washing per instructions, the fabric lost its good qualities and turned into a blah, pilled mess that gathers at the seams (especially the bottom seam). tried dry cleaning another shirt and it came out the same way as washing. looks like a cheap, lackluster layering top now and definitely won't last another season. so disappointed - if you ca</v>
      </c>
      <c r="F400" s="8">
        <f>IFERROR(__xludf.DUMMYFUNCTION("""COMPUTED_VALUE"""),3.0)</f>
        <v>3</v>
      </c>
      <c r="G400" s="8">
        <f>IFERROR(__xludf.DUMMYFUNCTION("""COMPUTED_VALUE"""),0.0)</f>
        <v>0</v>
      </c>
      <c r="H400" s="8">
        <f>IFERROR(__xludf.DUMMYFUNCTION("""COMPUTED_VALUE"""),0.0)</f>
        <v>0</v>
      </c>
      <c r="I400" s="8" t="str">
        <f>IFERROR(__xludf.DUMMYFUNCTION("""COMPUTED_VALUE"""),"General Petite")</f>
        <v>General Petite</v>
      </c>
      <c r="J400" s="8" t="str">
        <f>IFERROR(__xludf.DUMMYFUNCTION("""COMPUTED_VALUE"""),"Tops")</f>
        <v>Tops</v>
      </c>
      <c r="K400" s="8" t="str">
        <f>IFERROR(__xludf.DUMMYFUNCTION("""COMPUTED_VALUE"""),"Knits")</f>
        <v>Knits</v>
      </c>
      <c r="L400" s="8" t="str">
        <f t="shared" si="1"/>
        <v>--Style issue--</v>
      </c>
    </row>
    <row r="401">
      <c r="A401" s="8">
        <f>IFERROR(__xludf.DUMMYFUNCTION("""COMPUTED_VALUE"""),2152.0)</f>
        <v>2152</v>
      </c>
      <c r="B401" s="8">
        <f>IFERROR(__xludf.DUMMYFUNCTION("""COMPUTED_VALUE"""),940.0)</f>
        <v>940</v>
      </c>
      <c r="C401" s="8">
        <f>IFERROR(__xludf.DUMMYFUNCTION("""COMPUTED_VALUE"""),37.0)</f>
        <v>37</v>
      </c>
      <c r="D401" s="8" t="str">
        <f>IFERROR(__xludf.DUMMYFUNCTION("""COMPUTED_VALUE"""),"Not for me")</f>
        <v>Not for me</v>
      </c>
      <c r="E401" s="15" t="str">
        <f>IFERROR(__xludf.DUMMYFUNCTION("""COMPUTED_VALUE"""),"It breaks my heart to say this but i had to return for shape issues. i am not a fan of dolman sleeves (they make me look big and bulky) and i wished i would have known that prior to purchasing. it is unfortunate because it is a really beautiful knit and q"&amp;"uality. i could see this working better on someone tall and thin.")</f>
        <v>It breaks my heart to say this but i had to return for shape issues. i am not a fan of dolman sleeves (they make me look big and bulky) and i wished i would have known that prior to purchasing. it is unfortunate because it is a really beautiful knit and quality. i could see this working better on someone tall and thin.</v>
      </c>
      <c r="F401" s="8">
        <f>IFERROR(__xludf.DUMMYFUNCTION("""COMPUTED_VALUE"""),3.0)</f>
        <v>3</v>
      </c>
      <c r="G401" s="8">
        <f>IFERROR(__xludf.DUMMYFUNCTION("""COMPUTED_VALUE"""),0.0)</f>
        <v>0</v>
      </c>
      <c r="H401" s="8">
        <f>IFERROR(__xludf.DUMMYFUNCTION("""COMPUTED_VALUE"""),2.0)</f>
        <v>2</v>
      </c>
      <c r="I401" s="8" t="str">
        <f>IFERROR(__xludf.DUMMYFUNCTION("""COMPUTED_VALUE"""),"General")</f>
        <v>General</v>
      </c>
      <c r="J401" s="8" t="str">
        <f>IFERROR(__xludf.DUMMYFUNCTION("""COMPUTED_VALUE"""),"Tops")</f>
        <v>Tops</v>
      </c>
      <c r="K401" s="8" t="str">
        <f>IFERROR(__xludf.DUMMYFUNCTION("""COMPUTED_VALUE"""),"Sweaters")</f>
        <v>Sweaters</v>
      </c>
      <c r="L401" s="8" t="str">
        <f t="shared" si="1"/>
        <v>Size issue----</v>
      </c>
    </row>
    <row r="402">
      <c r="A402" s="8">
        <f>IFERROR(__xludf.DUMMYFUNCTION("""COMPUTED_VALUE"""),2153.0)</f>
        <v>2153</v>
      </c>
      <c r="B402" s="8">
        <f>IFERROR(__xludf.DUMMYFUNCTION("""COMPUTED_VALUE"""),1086.0)</f>
        <v>1086</v>
      </c>
      <c r="C402" s="8">
        <f>IFERROR(__xludf.DUMMYFUNCTION("""COMPUTED_VALUE"""),67.0)</f>
        <v>67</v>
      </c>
      <c r="D402" s="8" t="str">
        <f>IFERROR(__xludf.DUMMYFUNCTION("""COMPUTED_VALUE"""),"Love it but. . .")</f>
        <v>Love it but. . .</v>
      </c>
      <c r="E402" s="15" t="str">
        <f>IFERROR(__xludf.DUMMYFUNCTION("""COMPUTED_VALUE"""),"At 5'5"" (almost), 122lbs., i always wear a size small. however this dress runs large (no, i am not smaller than i was 6 months ago) and it looked like a dumpy sack on me. too bad, i really wanted it to fit! it is a slightly heavier fabric than anticipate"&amp;"d, and would be an excellent travel dress. i may try the xs. . .")</f>
        <v>At 5'5" (almost), 122lbs., i always wear a size small. however this dress runs large (no, i am not smaller than i was 6 months ago) and it looked like a dumpy sack on me. too bad, i really wanted it to fit! it is a slightly heavier fabric than anticipated, and would be an excellent travel dress. i may try the xs. . .</v>
      </c>
      <c r="F402" s="8">
        <f>IFERROR(__xludf.DUMMYFUNCTION("""COMPUTED_VALUE"""),3.0)</f>
        <v>3</v>
      </c>
      <c r="G402" s="8">
        <f>IFERROR(__xludf.DUMMYFUNCTION("""COMPUTED_VALUE"""),0.0)</f>
        <v>0</v>
      </c>
      <c r="H402" s="8">
        <f>IFERROR(__xludf.DUMMYFUNCTION("""COMPUTED_VALUE"""),0.0)</f>
        <v>0</v>
      </c>
      <c r="I402" s="8" t="str">
        <f>IFERROR(__xludf.DUMMYFUNCTION("""COMPUTED_VALUE"""),"General Petite")</f>
        <v>General Petite</v>
      </c>
      <c r="J402" s="8" t="str">
        <f>IFERROR(__xludf.DUMMYFUNCTION("""COMPUTED_VALUE"""),"Dresses")</f>
        <v>Dresses</v>
      </c>
      <c r="K402" s="8" t="str">
        <f>IFERROR(__xludf.DUMMYFUNCTION("""COMPUTED_VALUE"""),"Dresses")</f>
        <v>Dresses</v>
      </c>
      <c r="L402" s="8" t="str">
        <f t="shared" si="1"/>
        <v>Size issue-Fabric issue-Style issue--</v>
      </c>
    </row>
    <row r="403">
      <c r="A403" s="8">
        <f>IFERROR(__xludf.DUMMYFUNCTION("""COMPUTED_VALUE"""),2165.0)</f>
        <v>2165</v>
      </c>
      <c r="B403" s="8">
        <f>IFERROR(__xludf.DUMMYFUNCTION("""COMPUTED_VALUE"""),940.0)</f>
        <v>940</v>
      </c>
      <c r="C403" s="8">
        <f>IFERROR(__xludf.DUMMYFUNCTION("""COMPUTED_VALUE"""),46.0)</f>
        <v>46</v>
      </c>
      <c r="D403" s="8" t="str">
        <f>IFERROR(__xludf.DUMMYFUNCTION("""COMPUTED_VALUE"""),"Didn't fit well for me, awkward and dull")</f>
        <v>Didn't fit well for me, awkward and dull</v>
      </c>
      <c r="E403" s="15" t="str">
        <f>IFERROR(__xludf.DUMMYFUNCTION("""COMPUTED_VALUE"""),"I ordered this and hoped it would be a fun &amp; whimsical sweater for this winter. instead, it's just strange. it didn't fit well. too short in the overall length &amp; in the sleeves. the shades of the yarn were drab. it also didn't seem made to last. it looked"&amp;" like it would pill/snag in a short amount of time. i returned it. i'd love to see a style similar to this executed better in the future. having a unique sleeve is a cute idea.")</f>
        <v>I ordered this and hoped it would be a fun &amp; whimsical sweater for this winter. instead, it's just strange. it didn't fit well. too short in the overall length &amp; in the sleeves. the shades of the yarn were drab. it also didn't seem made to last. it looked like it would pill/snag in a short amount of time. i returned it. i'd love to see a style similar to this executed better in the future. having a unique sleeve is a cute idea.</v>
      </c>
      <c r="F403" s="8">
        <f>IFERROR(__xludf.DUMMYFUNCTION("""COMPUTED_VALUE"""),2.0)</f>
        <v>2</v>
      </c>
      <c r="G403" s="8">
        <f>IFERROR(__xludf.DUMMYFUNCTION("""COMPUTED_VALUE"""),0.0)</f>
        <v>0</v>
      </c>
      <c r="H403" s="8">
        <f>IFERROR(__xludf.DUMMYFUNCTION("""COMPUTED_VALUE"""),2.0)</f>
        <v>2</v>
      </c>
      <c r="I403" s="8" t="str">
        <f>IFERROR(__xludf.DUMMYFUNCTION("""COMPUTED_VALUE"""),"General")</f>
        <v>General</v>
      </c>
      <c r="J403" s="8" t="str">
        <f>IFERROR(__xludf.DUMMYFUNCTION("""COMPUTED_VALUE"""),"Tops")</f>
        <v>Tops</v>
      </c>
      <c r="K403" s="8" t="str">
        <f>IFERROR(__xludf.DUMMYFUNCTION("""COMPUTED_VALUE"""),"Sweaters")</f>
        <v>Sweaters</v>
      </c>
      <c r="L403" s="8" t="str">
        <f t="shared" si="1"/>
        <v>Size issue----</v>
      </c>
    </row>
    <row r="404">
      <c r="A404" s="8">
        <f>IFERROR(__xludf.DUMMYFUNCTION("""COMPUTED_VALUE"""),2179.0)</f>
        <v>2179</v>
      </c>
      <c r="B404" s="8">
        <f>IFERROR(__xludf.DUMMYFUNCTION("""COMPUTED_VALUE"""),872.0)</f>
        <v>872</v>
      </c>
      <c r="C404" s="8">
        <f>IFERROR(__xludf.DUMMYFUNCTION("""COMPUTED_VALUE"""),44.0)</f>
        <v>44</v>
      </c>
      <c r="D404" s="8" t="str">
        <f>IFERROR(__xludf.DUMMYFUNCTION("""COMPUTED_VALUE"""),"Too long")</f>
        <v>Too long</v>
      </c>
      <c r="E404" s="15" t="str">
        <f>IFERROR(__xludf.DUMMYFUNCTION("""COMPUTED_VALUE"""),"Great color, soft fabric, but waaaaay too long. more like a night shirt than a t-shirt.")</f>
        <v>Great color, soft fabric, but waaaaay too long. more like a night shirt than a t-shirt.</v>
      </c>
      <c r="F404" s="8">
        <f>IFERROR(__xludf.DUMMYFUNCTION("""COMPUTED_VALUE"""),2.0)</f>
        <v>2</v>
      </c>
      <c r="G404" s="8">
        <f>IFERROR(__xludf.DUMMYFUNCTION("""COMPUTED_VALUE"""),0.0)</f>
        <v>0</v>
      </c>
      <c r="H404" s="8">
        <f>IFERROR(__xludf.DUMMYFUNCTION("""COMPUTED_VALUE"""),1.0)</f>
        <v>1</v>
      </c>
      <c r="I404" s="8" t="str">
        <f>IFERROR(__xludf.DUMMYFUNCTION("""COMPUTED_VALUE"""),"General")</f>
        <v>General</v>
      </c>
      <c r="J404" s="8" t="str">
        <f>IFERROR(__xludf.DUMMYFUNCTION("""COMPUTED_VALUE"""),"Tops")</f>
        <v>Tops</v>
      </c>
      <c r="K404" s="8" t="str">
        <f>IFERROR(__xludf.DUMMYFUNCTION("""COMPUTED_VALUE"""),"Knits")</f>
        <v>Knits</v>
      </c>
      <c r="L404" s="8" t="str">
        <f t="shared" si="1"/>
        <v>Size issue----</v>
      </c>
    </row>
    <row r="405">
      <c r="A405" s="8">
        <f>IFERROR(__xludf.DUMMYFUNCTION("""COMPUTED_VALUE"""),2180.0)</f>
        <v>2180</v>
      </c>
      <c r="B405" s="8">
        <f>IFERROR(__xludf.DUMMYFUNCTION("""COMPUTED_VALUE"""),872.0)</f>
        <v>872</v>
      </c>
      <c r="C405" s="8">
        <f>IFERROR(__xludf.DUMMYFUNCTION("""COMPUTED_VALUE"""),26.0)</f>
        <v>26</v>
      </c>
      <c r="D405" s="8" t="str">
        <f>IFERROR(__xludf.DUMMYFUNCTION("""COMPUTED_VALUE"""),"Oversized and unflattering")</f>
        <v>Oversized and unflattering</v>
      </c>
      <c r="E405" s="15" t="str">
        <f>IFERROR(__xludf.DUMMYFUNCTION("""COMPUTED_VALUE"""),"I was hoping to find a slimming and cozy sweater, unfortunately this one was baggy and material was really bulky. one of those occasions where i would have never purchased this in person but online you can't quite tell the style and fit. i returned this i"&amp;"tem.")</f>
        <v>I was hoping to find a slimming and cozy sweater, unfortunately this one was baggy and material was really bulky. one of those occasions where i would have never purchased this in person but online you can't quite tell the style and fit. i returned this item.</v>
      </c>
      <c r="F405" s="8">
        <f>IFERROR(__xludf.DUMMYFUNCTION("""COMPUTED_VALUE"""),3.0)</f>
        <v>3</v>
      </c>
      <c r="G405" s="8">
        <f>IFERROR(__xludf.DUMMYFUNCTION("""COMPUTED_VALUE"""),0.0)</f>
        <v>0</v>
      </c>
      <c r="H405" s="8">
        <f>IFERROR(__xludf.DUMMYFUNCTION("""COMPUTED_VALUE"""),0.0)</f>
        <v>0</v>
      </c>
      <c r="I405" s="8" t="str">
        <f>IFERROR(__xludf.DUMMYFUNCTION("""COMPUTED_VALUE"""),"General")</f>
        <v>General</v>
      </c>
      <c r="J405" s="8" t="str">
        <f>IFERROR(__xludf.DUMMYFUNCTION("""COMPUTED_VALUE"""),"Tops")</f>
        <v>Tops</v>
      </c>
      <c r="K405" s="8" t="str">
        <f>IFERROR(__xludf.DUMMYFUNCTION("""COMPUTED_VALUE"""),"Knits")</f>
        <v>Knits</v>
      </c>
      <c r="L405" s="8" t="str">
        <f t="shared" si="1"/>
        <v>-Fabric issue---</v>
      </c>
    </row>
    <row r="406">
      <c r="A406" s="8">
        <f>IFERROR(__xludf.DUMMYFUNCTION("""COMPUTED_VALUE"""),2197.0)</f>
        <v>2197</v>
      </c>
      <c r="B406" s="8">
        <f>IFERROR(__xludf.DUMMYFUNCTION("""COMPUTED_VALUE"""),940.0)</f>
        <v>940</v>
      </c>
      <c r="C406" s="8">
        <f>IFERROR(__xludf.DUMMYFUNCTION("""COMPUTED_VALUE"""),34.0)</f>
        <v>34</v>
      </c>
      <c r="D406" s="8" t="str">
        <f>IFERROR(__xludf.DUMMYFUNCTION("""COMPUTED_VALUE"""),"Want to like it....")</f>
        <v>Want to like it....</v>
      </c>
      <c r="E406" s="15" t="str">
        <f>IFERROR(__xludf.DUMMYFUNCTION("""COMPUTED_VALUE"""),"This is soooo much more cropped than it looks in the picture. the fabric is super soft and design is cute. i really wanted to like this, but it just doesn't fit as shown. the back is halfway up by back and i am shortwaisted...")</f>
        <v>This is soooo much more cropped than it looks in the picture. the fabric is super soft and design is cute. i really wanted to like this, but it just doesn't fit as shown. the back is halfway up by back and i am shortwaisted...</v>
      </c>
      <c r="F406" s="8">
        <f>IFERROR(__xludf.DUMMYFUNCTION("""COMPUTED_VALUE"""),3.0)</f>
        <v>3</v>
      </c>
      <c r="G406" s="8">
        <f>IFERROR(__xludf.DUMMYFUNCTION("""COMPUTED_VALUE"""),0.0)</f>
        <v>0</v>
      </c>
      <c r="H406" s="8">
        <f>IFERROR(__xludf.DUMMYFUNCTION("""COMPUTED_VALUE"""),2.0)</f>
        <v>2</v>
      </c>
      <c r="I406" s="8" t="str">
        <f>IFERROR(__xludf.DUMMYFUNCTION("""COMPUTED_VALUE"""),"General")</f>
        <v>General</v>
      </c>
      <c r="J406" s="8" t="str">
        <f>IFERROR(__xludf.DUMMYFUNCTION("""COMPUTED_VALUE"""),"Tops")</f>
        <v>Tops</v>
      </c>
      <c r="K406" s="8" t="str">
        <f>IFERROR(__xludf.DUMMYFUNCTION("""COMPUTED_VALUE"""),"Sweaters")</f>
        <v>Sweaters</v>
      </c>
      <c r="L406" s="8" t="str">
        <f t="shared" si="1"/>
        <v>Size issue--Style issue--</v>
      </c>
    </row>
    <row r="407">
      <c r="A407" s="8">
        <f>IFERROR(__xludf.DUMMYFUNCTION("""COMPUTED_VALUE"""),2198.0)</f>
        <v>2198</v>
      </c>
      <c r="B407" s="8">
        <f>IFERROR(__xludf.DUMMYFUNCTION("""COMPUTED_VALUE"""),872.0)</f>
        <v>872</v>
      </c>
      <c r="C407" s="8">
        <f>IFERROR(__xludf.DUMMYFUNCTION("""COMPUTED_VALUE"""),63.0)</f>
        <v>63</v>
      </c>
      <c r="D407" s="8" t="str">
        <f>IFERROR(__xludf.DUMMYFUNCTION("""COMPUTED_VALUE"""),"What happened?")</f>
        <v>What happened?</v>
      </c>
      <c r="E407" s="15" t="str">
        <f>IFERROR(__xludf.DUMMYFUNCTION("""COMPUTED_VALUE"""),"I purchased this item in the gray heather color and loved it so much i wanted to buy every other color. the fabric was cottony and felt very soft and cushy against my skin, and the gray color was from the combination of black and white fibers. i ordered t"&amp;"he light gray and the red online and could not wait for them to arrive. but the other colors were not even in the same material, but a very shiny and synthetic feeling fabric, with just a single color weave that did not have the same feel or tex")</f>
        <v>I purchased this item in the gray heather color and loved it so much i wanted to buy every other color. the fabric was cottony and felt very soft and cushy against my skin, and the gray color was from the combination of black and white fibers. i ordered the light gray and the red online and could not wait for them to arrive. but the other colors were not even in the same material, but a very shiny and synthetic feeling fabric, with just a single color weave that did not have the same feel or tex</v>
      </c>
      <c r="F407" s="8">
        <f>IFERROR(__xludf.DUMMYFUNCTION("""COMPUTED_VALUE"""),1.0)</f>
        <v>1</v>
      </c>
      <c r="G407" s="8">
        <f>IFERROR(__xludf.DUMMYFUNCTION("""COMPUTED_VALUE"""),0.0)</f>
        <v>0</v>
      </c>
      <c r="H407" s="8">
        <f>IFERROR(__xludf.DUMMYFUNCTION("""COMPUTED_VALUE"""),0.0)</f>
        <v>0</v>
      </c>
      <c r="I407" s="8" t="str">
        <f>IFERROR(__xludf.DUMMYFUNCTION("""COMPUTED_VALUE"""),"General")</f>
        <v>General</v>
      </c>
      <c r="J407" s="8" t="str">
        <f>IFERROR(__xludf.DUMMYFUNCTION("""COMPUTED_VALUE"""),"Tops")</f>
        <v>Tops</v>
      </c>
      <c r="K407" s="8" t="str">
        <f>IFERROR(__xludf.DUMMYFUNCTION("""COMPUTED_VALUE"""),"Knits")</f>
        <v>Knits</v>
      </c>
      <c r="L407" s="8" t="str">
        <f t="shared" si="1"/>
        <v>-Fabric issue---</v>
      </c>
    </row>
    <row r="408">
      <c r="A408" s="8">
        <f>IFERROR(__xludf.DUMMYFUNCTION("""COMPUTED_VALUE"""),2203.0)</f>
        <v>2203</v>
      </c>
      <c r="B408" s="8">
        <f>IFERROR(__xludf.DUMMYFUNCTION("""COMPUTED_VALUE"""),1086.0)</f>
        <v>1086</v>
      </c>
      <c r="C408" s="8">
        <f>IFERROR(__xludf.DUMMYFUNCTION("""COMPUTED_VALUE"""),44.0)</f>
        <v>44</v>
      </c>
      <c r="D408" s="8" t="str">
        <f>IFERROR(__xludf.DUMMYFUNCTION("""COMPUTED_VALUE"""),"Huge")</f>
        <v>Huge</v>
      </c>
      <c r="E408" s="15" t="str">
        <f>IFERROR(__xludf.DUMMYFUNCTION("""COMPUTED_VALUE"""),"This dress will unfortunately be returned...so cute online and looks like a sack in person.  runs very large, arm holes are very low.  not flattering.")</f>
        <v>This dress will unfortunately be returned...so cute online and looks like a sack in person.  runs very large, arm holes are very low.  not flattering.</v>
      </c>
      <c r="F408" s="8">
        <f>IFERROR(__xludf.DUMMYFUNCTION("""COMPUTED_VALUE"""),1.0)</f>
        <v>1</v>
      </c>
      <c r="G408" s="8">
        <f>IFERROR(__xludf.DUMMYFUNCTION("""COMPUTED_VALUE"""),0.0)</f>
        <v>0</v>
      </c>
      <c r="H408" s="8">
        <f>IFERROR(__xludf.DUMMYFUNCTION("""COMPUTED_VALUE"""),1.0)</f>
        <v>1</v>
      </c>
      <c r="I408" s="8" t="str">
        <f>IFERROR(__xludf.DUMMYFUNCTION("""COMPUTED_VALUE"""),"General Petite")</f>
        <v>General Petite</v>
      </c>
      <c r="J408" s="8" t="str">
        <f>IFERROR(__xludf.DUMMYFUNCTION("""COMPUTED_VALUE"""),"Dresses")</f>
        <v>Dresses</v>
      </c>
      <c r="K408" s="8" t="str">
        <f>IFERROR(__xludf.DUMMYFUNCTION("""COMPUTED_VALUE"""),"Dresses")</f>
        <v>Dresses</v>
      </c>
      <c r="L408" s="8" t="str">
        <f t="shared" si="1"/>
        <v>Size issue-Fabric issue---</v>
      </c>
    </row>
    <row r="409">
      <c r="E409" s="15"/>
      <c r="L409" s="8" t="str">
        <f t="shared" si="1"/>
        <v/>
      </c>
    </row>
    <row r="410">
      <c r="E410" s="15"/>
      <c r="L410" s="8" t="str">
        <f t="shared" si="1"/>
        <v/>
      </c>
    </row>
    <row r="411">
      <c r="E411" s="15"/>
      <c r="L411" s="8" t="str">
        <f t="shared" si="1"/>
        <v/>
      </c>
    </row>
    <row r="412">
      <c r="E412" s="15"/>
      <c r="L412" s="8" t="str">
        <f t="shared" si="1"/>
        <v/>
      </c>
    </row>
    <row r="413">
      <c r="E413" s="15"/>
      <c r="L413" s="8" t="str">
        <f t="shared" si="1"/>
        <v/>
      </c>
    </row>
    <row r="414">
      <c r="E414" s="15"/>
      <c r="L414" s="8" t="str">
        <f t="shared" si="1"/>
        <v/>
      </c>
    </row>
    <row r="415">
      <c r="E415" s="15"/>
      <c r="L415" s="8" t="str">
        <f t="shared" si="1"/>
        <v/>
      </c>
    </row>
    <row r="416">
      <c r="E416" s="15"/>
      <c r="L416" s="8" t="str">
        <f t="shared" si="1"/>
        <v/>
      </c>
    </row>
    <row r="417">
      <c r="E417" s="15"/>
      <c r="L417" s="8" t="str">
        <f t="shared" si="1"/>
        <v/>
      </c>
    </row>
    <row r="418">
      <c r="E418" s="15"/>
      <c r="L418" s="8" t="str">
        <f t="shared" si="1"/>
        <v/>
      </c>
    </row>
    <row r="419">
      <c r="E419" s="15"/>
      <c r="L419" s="8" t="str">
        <f t="shared" si="1"/>
        <v/>
      </c>
    </row>
    <row r="420">
      <c r="E420" s="15"/>
      <c r="L420" s="8" t="str">
        <f t="shared" si="1"/>
        <v/>
      </c>
    </row>
    <row r="421">
      <c r="E421" s="15"/>
      <c r="L421" s="8" t="str">
        <f t="shared" si="1"/>
        <v/>
      </c>
    </row>
    <row r="422">
      <c r="E422" s="15"/>
      <c r="L422" s="8" t="str">
        <f t="shared" si="1"/>
        <v/>
      </c>
    </row>
    <row r="423">
      <c r="E423" s="15"/>
      <c r="L423" s="8" t="str">
        <f t="shared" si="1"/>
        <v/>
      </c>
    </row>
    <row r="424">
      <c r="E424" s="15"/>
      <c r="L424" s="8" t="str">
        <f t="shared" si="1"/>
        <v/>
      </c>
    </row>
    <row r="425">
      <c r="E425" s="15"/>
      <c r="L425" s="8" t="str">
        <f t="shared" si="1"/>
        <v/>
      </c>
    </row>
    <row r="426">
      <c r="E426" s="15"/>
      <c r="L426" s="8" t="str">
        <f t="shared" si="1"/>
        <v/>
      </c>
    </row>
    <row r="427">
      <c r="E427" s="15"/>
      <c r="L427" s="8" t="str">
        <f t="shared" si="1"/>
        <v/>
      </c>
    </row>
    <row r="428">
      <c r="E428" s="15"/>
      <c r="L428" s="8" t="str">
        <f t="shared" si="1"/>
        <v/>
      </c>
    </row>
    <row r="429">
      <c r="E429" s="15"/>
      <c r="L429" s="8" t="str">
        <f t="shared" si="1"/>
        <v/>
      </c>
    </row>
    <row r="430">
      <c r="E430" s="15"/>
      <c r="L430" s="8" t="str">
        <f t="shared" si="1"/>
        <v/>
      </c>
    </row>
    <row r="431">
      <c r="E431" s="15"/>
      <c r="L431" s="8" t="str">
        <f t="shared" si="1"/>
        <v/>
      </c>
    </row>
    <row r="432">
      <c r="E432" s="15"/>
      <c r="L432" s="8" t="str">
        <f t="shared" si="1"/>
        <v/>
      </c>
    </row>
    <row r="433">
      <c r="E433" s="15"/>
      <c r="L433" s="8" t="str">
        <f t="shared" si="1"/>
        <v/>
      </c>
    </row>
    <row r="434">
      <c r="E434" s="15"/>
      <c r="L434" s="8" t="str">
        <f t="shared" si="1"/>
        <v/>
      </c>
    </row>
    <row r="435">
      <c r="E435" s="15"/>
      <c r="L435" s="8" t="str">
        <f t="shared" si="1"/>
        <v/>
      </c>
    </row>
    <row r="436">
      <c r="E436" s="15"/>
      <c r="L436" s="8" t="str">
        <f t="shared" si="1"/>
        <v/>
      </c>
    </row>
    <row r="437">
      <c r="E437" s="15"/>
      <c r="L437" s="8" t="str">
        <f t="shared" si="1"/>
        <v/>
      </c>
    </row>
    <row r="438">
      <c r="E438" s="15"/>
      <c r="L438" s="8" t="str">
        <f t="shared" si="1"/>
        <v/>
      </c>
    </row>
    <row r="439">
      <c r="E439" s="15"/>
      <c r="L439" s="8" t="str">
        <f t="shared" si="1"/>
        <v/>
      </c>
    </row>
    <row r="440">
      <c r="E440" s="15"/>
      <c r="L440" s="8" t="str">
        <f t="shared" si="1"/>
        <v/>
      </c>
    </row>
    <row r="441">
      <c r="E441" s="15"/>
      <c r="L441" s="8" t="str">
        <f t="shared" si="1"/>
        <v/>
      </c>
    </row>
    <row r="442">
      <c r="E442" s="15"/>
      <c r="L442" s="8" t="str">
        <f t="shared" si="1"/>
        <v/>
      </c>
    </row>
    <row r="443">
      <c r="E443" s="15"/>
      <c r="L443" s="8" t="str">
        <f t="shared" si="1"/>
        <v/>
      </c>
    </row>
    <row r="444">
      <c r="E444" s="15"/>
      <c r="L444" s="8" t="str">
        <f t="shared" si="1"/>
        <v/>
      </c>
    </row>
    <row r="445">
      <c r="E445" s="15"/>
      <c r="L445" s="8" t="str">
        <f t="shared" si="1"/>
        <v/>
      </c>
    </row>
    <row r="446">
      <c r="E446" s="15"/>
      <c r="L446" s="8" t="str">
        <f t="shared" si="1"/>
        <v/>
      </c>
    </row>
    <row r="447">
      <c r="E447" s="15"/>
      <c r="L447" s="8" t="str">
        <f t="shared" si="1"/>
        <v/>
      </c>
    </row>
    <row r="448">
      <c r="E448" s="15"/>
      <c r="L448" s="8" t="str">
        <f t="shared" si="1"/>
        <v/>
      </c>
    </row>
    <row r="449">
      <c r="E449" s="15"/>
      <c r="L449" s="8" t="str">
        <f t="shared" si="1"/>
        <v/>
      </c>
    </row>
    <row r="450">
      <c r="E450" s="15"/>
      <c r="L450" s="8" t="str">
        <f t="shared" si="1"/>
        <v/>
      </c>
    </row>
    <row r="451">
      <c r="E451" s="15"/>
      <c r="L451" s="8" t="str">
        <f t="shared" si="1"/>
        <v/>
      </c>
    </row>
    <row r="452">
      <c r="E452" s="15"/>
      <c r="L452" s="8" t="str">
        <f t="shared" si="1"/>
        <v/>
      </c>
    </row>
    <row r="453">
      <c r="E453" s="15"/>
      <c r="L453" s="8" t="str">
        <f t="shared" si="1"/>
        <v/>
      </c>
    </row>
    <row r="454">
      <c r="E454" s="15"/>
      <c r="L454" s="8" t="str">
        <f t="shared" si="1"/>
        <v/>
      </c>
    </row>
    <row r="455">
      <c r="E455" s="15"/>
      <c r="L455" s="8" t="str">
        <f t="shared" si="1"/>
        <v/>
      </c>
    </row>
    <row r="456">
      <c r="E456" s="15"/>
      <c r="L456" s="8" t="str">
        <f t="shared" si="1"/>
        <v/>
      </c>
    </row>
    <row r="457">
      <c r="E457" s="15"/>
      <c r="L457" s="8" t="str">
        <f t="shared" si="1"/>
        <v/>
      </c>
    </row>
    <row r="458">
      <c r="E458" s="15"/>
      <c r="L458" s="8" t="str">
        <f t="shared" si="1"/>
        <v/>
      </c>
    </row>
    <row r="459">
      <c r="E459" s="15"/>
      <c r="L459" s="8" t="str">
        <f t="shared" si="1"/>
        <v/>
      </c>
    </row>
    <row r="460">
      <c r="E460" s="15"/>
      <c r="L460" s="8" t="str">
        <f t="shared" si="1"/>
        <v/>
      </c>
    </row>
    <row r="461">
      <c r="E461" s="15"/>
      <c r="L461" s="8" t="str">
        <f t="shared" si="1"/>
        <v/>
      </c>
    </row>
    <row r="462">
      <c r="E462" s="15"/>
      <c r="L462" s="8" t="str">
        <f t="shared" si="1"/>
        <v/>
      </c>
    </row>
    <row r="463">
      <c r="E463" s="15"/>
      <c r="L463" s="8" t="str">
        <f t="shared" si="1"/>
        <v/>
      </c>
    </row>
    <row r="464">
      <c r="E464" s="15"/>
      <c r="L464" s="8" t="str">
        <f t="shared" si="1"/>
        <v/>
      </c>
    </row>
    <row r="465">
      <c r="E465" s="15"/>
      <c r="L465" s="8" t="str">
        <f t="shared" si="1"/>
        <v/>
      </c>
    </row>
    <row r="466">
      <c r="E466" s="15"/>
      <c r="L466" s="8" t="str">
        <f t="shared" si="1"/>
        <v/>
      </c>
    </row>
    <row r="467">
      <c r="E467" s="15"/>
      <c r="L467" s="8" t="str">
        <f t="shared" si="1"/>
        <v/>
      </c>
    </row>
    <row r="468">
      <c r="E468" s="15"/>
      <c r="L468" s="8" t="str">
        <f t="shared" si="1"/>
        <v/>
      </c>
    </row>
    <row r="469">
      <c r="E469" s="15"/>
      <c r="L469" s="8" t="str">
        <f t="shared" si="1"/>
        <v/>
      </c>
    </row>
    <row r="470">
      <c r="E470" s="15"/>
      <c r="L470" s="8" t="str">
        <f t="shared" si="1"/>
        <v/>
      </c>
    </row>
    <row r="471">
      <c r="E471" s="15"/>
      <c r="L471" s="8" t="str">
        <f t="shared" si="1"/>
        <v/>
      </c>
    </row>
    <row r="472">
      <c r="E472" s="15"/>
      <c r="L472" s="8" t="str">
        <f t="shared" si="1"/>
        <v/>
      </c>
    </row>
    <row r="473">
      <c r="E473" s="15"/>
      <c r="L473" s="8" t="str">
        <f t="shared" si="1"/>
        <v/>
      </c>
    </row>
    <row r="474">
      <c r="E474" s="15"/>
      <c r="L474" s="8" t="str">
        <f t="shared" si="1"/>
        <v/>
      </c>
    </row>
    <row r="475">
      <c r="E475" s="15"/>
      <c r="L475" s="8" t="str">
        <f t="shared" si="1"/>
        <v/>
      </c>
    </row>
    <row r="476">
      <c r="E476" s="15"/>
      <c r="L476" s="8" t="str">
        <f t="shared" si="1"/>
        <v/>
      </c>
    </row>
    <row r="477">
      <c r="E477" s="15"/>
      <c r="L477" s="8" t="str">
        <f t="shared" si="1"/>
        <v/>
      </c>
    </row>
    <row r="478">
      <c r="E478" s="15"/>
      <c r="L478" s="8" t="str">
        <f t="shared" si="1"/>
        <v/>
      </c>
    </row>
    <row r="479">
      <c r="E479" s="15"/>
      <c r="L479" s="8" t="str">
        <f t="shared" si="1"/>
        <v/>
      </c>
    </row>
    <row r="480">
      <c r="E480" s="15"/>
      <c r="L480" s="8" t="str">
        <f t="shared" si="1"/>
        <v/>
      </c>
    </row>
    <row r="481">
      <c r="E481" s="15"/>
      <c r="L481" s="8" t="str">
        <f t="shared" si="1"/>
        <v/>
      </c>
    </row>
    <row r="482">
      <c r="E482" s="15"/>
      <c r="L482" s="8" t="str">
        <f t="shared" si="1"/>
        <v/>
      </c>
    </row>
    <row r="483">
      <c r="E483" s="15"/>
      <c r="L483" s="8" t="str">
        <f t="shared" si="1"/>
        <v/>
      </c>
    </row>
    <row r="484">
      <c r="E484" s="15"/>
      <c r="L484" s="8" t="str">
        <f t="shared" si="1"/>
        <v/>
      </c>
    </row>
    <row r="485">
      <c r="E485" s="15"/>
      <c r="L485" s="8" t="str">
        <f t="shared" si="1"/>
        <v/>
      </c>
    </row>
    <row r="486">
      <c r="E486" s="15"/>
      <c r="L486" s="8" t="str">
        <f t="shared" si="1"/>
        <v/>
      </c>
    </row>
    <row r="487">
      <c r="E487" s="15"/>
      <c r="L487" s="8" t="str">
        <f t="shared" si="1"/>
        <v/>
      </c>
    </row>
    <row r="488">
      <c r="E488" s="15"/>
      <c r="L488" s="8" t="str">
        <f t="shared" si="1"/>
        <v/>
      </c>
    </row>
    <row r="489">
      <c r="E489" s="15"/>
      <c r="L489" s="8" t="str">
        <f t="shared" si="1"/>
        <v/>
      </c>
    </row>
    <row r="490">
      <c r="E490" s="15"/>
      <c r="L490" s="8" t="str">
        <f t="shared" si="1"/>
        <v/>
      </c>
    </row>
    <row r="491">
      <c r="E491" s="15"/>
      <c r="L491" s="8" t="str">
        <f t="shared" si="1"/>
        <v/>
      </c>
    </row>
    <row r="492">
      <c r="E492" s="15"/>
      <c r="L492" s="8" t="str">
        <f t="shared" si="1"/>
        <v/>
      </c>
    </row>
    <row r="493">
      <c r="E493" s="15"/>
      <c r="L493" s="8" t="str">
        <f t="shared" si="1"/>
        <v/>
      </c>
    </row>
    <row r="494">
      <c r="E494" s="15"/>
      <c r="L494" s="8" t="str">
        <f t="shared" si="1"/>
        <v/>
      </c>
    </row>
    <row r="495">
      <c r="E495" s="15"/>
      <c r="L495" s="8" t="str">
        <f t="shared" si="1"/>
        <v/>
      </c>
    </row>
    <row r="496">
      <c r="E496" s="15"/>
      <c r="L496" s="8" t="str">
        <f t="shared" si="1"/>
        <v/>
      </c>
    </row>
    <row r="497">
      <c r="E497" s="15"/>
      <c r="L497" s="8" t="str">
        <f t="shared" si="1"/>
        <v/>
      </c>
    </row>
    <row r="498">
      <c r="E498" s="15"/>
      <c r="L498" s="8" t="str">
        <f t="shared" si="1"/>
        <v/>
      </c>
    </row>
    <row r="499">
      <c r="E499" s="15"/>
      <c r="L499" s="8" t="str">
        <f t="shared" si="1"/>
        <v/>
      </c>
    </row>
    <row r="500">
      <c r="E500" s="15"/>
      <c r="L500" s="8" t="str">
        <f t="shared" si="1"/>
        <v/>
      </c>
    </row>
    <row r="501">
      <c r="E501" s="15"/>
      <c r="L501" s="8" t="str">
        <f t="shared" si="1"/>
        <v/>
      </c>
    </row>
    <row r="502">
      <c r="E502" s="15"/>
      <c r="L502" s="8" t="str">
        <f t="shared" si="1"/>
        <v/>
      </c>
    </row>
    <row r="503">
      <c r="E503" s="15"/>
      <c r="L503" s="8" t="str">
        <f t="shared" si="1"/>
        <v/>
      </c>
    </row>
    <row r="504">
      <c r="E504" s="15"/>
      <c r="L504" s="8" t="str">
        <f t="shared" si="1"/>
        <v/>
      </c>
    </row>
    <row r="505">
      <c r="E505" s="15"/>
      <c r="L505" s="8" t="str">
        <f t="shared" si="1"/>
        <v/>
      </c>
    </row>
    <row r="506">
      <c r="E506" s="15"/>
      <c r="L506" s="8" t="str">
        <f t="shared" si="1"/>
        <v/>
      </c>
    </row>
    <row r="507">
      <c r="E507" s="15"/>
      <c r="L507" s="8" t="str">
        <f t="shared" si="1"/>
        <v/>
      </c>
    </row>
    <row r="508">
      <c r="E508" s="15"/>
      <c r="L508" s="8" t="str">
        <f t="shared" si="1"/>
        <v/>
      </c>
    </row>
    <row r="509">
      <c r="E509" s="15"/>
      <c r="L509" s="8" t="str">
        <f t="shared" si="1"/>
        <v/>
      </c>
    </row>
    <row r="510">
      <c r="E510" s="15"/>
      <c r="L510" s="8" t="str">
        <f t="shared" si="1"/>
        <v/>
      </c>
    </row>
    <row r="511">
      <c r="E511" s="15"/>
      <c r="L511" s="8" t="str">
        <f t="shared" si="1"/>
        <v/>
      </c>
    </row>
    <row r="512">
      <c r="E512" s="15"/>
      <c r="L512" s="8" t="str">
        <f t="shared" si="1"/>
        <v/>
      </c>
    </row>
    <row r="513">
      <c r="E513" s="15"/>
      <c r="L513" s="8" t="str">
        <f t="shared" si="1"/>
        <v/>
      </c>
    </row>
    <row r="514">
      <c r="E514" s="15"/>
      <c r="L514" s="8" t="str">
        <f t="shared" si="1"/>
        <v/>
      </c>
    </row>
    <row r="515">
      <c r="E515" s="15"/>
      <c r="L515" s="8" t="str">
        <f t="shared" si="1"/>
        <v/>
      </c>
    </row>
    <row r="516">
      <c r="E516" s="15"/>
      <c r="L516" s="8" t="str">
        <f t="shared" si="1"/>
        <v/>
      </c>
    </row>
    <row r="517">
      <c r="E517" s="15"/>
      <c r="L517" s="8" t="str">
        <f t="shared" si="1"/>
        <v/>
      </c>
    </row>
    <row r="518">
      <c r="E518" s="15"/>
      <c r="L518" s="8" t="str">
        <f t="shared" si="1"/>
        <v/>
      </c>
    </row>
    <row r="519">
      <c r="E519" s="15"/>
      <c r="L519" s="8" t="str">
        <f t="shared" si="1"/>
        <v/>
      </c>
    </row>
    <row r="520">
      <c r="E520" s="15"/>
      <c r="L520" s="8" t="str">
        <f t="shared" si="1"/>
        <v/>
      </c>
    </row>
    <row r="521">
      <c r="E521" s="15"/>
      <c r="L521" s="8" t="str">
        <f t="shared" si="1"/>
        <v/>
      </c>
    </row>
    <row r="522">
      <c r="E522" s="15"/>
      <c r="L522" s="8" t="str">
        <f t="shared" si="1"/>
        <v/>
      </c>
    </row>
    <row r="523">
      <c r="E523" s="15"/>
      <c r="L523" s="8" t="str">
        <f t="shared" si="1"/>
        <v/>
      </c>
    </row>
    <row r="524">
      <c r="E524" s="15"/>
      <c r="L524" s="8" t="str">
        <f t="shared" si="1"/>
        <v/>
      </c>
    </row>
    <row r="525">
      <c r="E525" s="15"/>
      <c r="L525" s="8" t="str">
        <f t="shared" si="1"/>
        <v/>
      </c>
    </row>
    <row r="526">
      <c r="E526" s="15"/>
      <c r="L526" s="8" t="str">
        <f t="shared" si="1"/>
        <v/>
      </c>
    </row>
    <row r="527">
      <c r="E527" s="15"/>
      <c r="L527" s="8" t="str">
        <f t="shared" si="1"/>
        <v/>
      </c>
    </row>
    <row r="528">
      <c r="E528" s="15"/>
      <c r="L528" s="8" t="str">
        <f t="shared" si="1"/>
        <v/>
      </c>
    </row>
    <row r="529">
      <c r="E529" s="15"/>
      <c r="L529" s="8" t="str">
        <f t="shared" si="1"/>
        <v/>
      </c>
    </row>
    <row r="530">
      <c r="E530" s="15"/>
      <c r="L530" s="8" t="str">
        <f t="shared" si="1"/>
        <v/>
      </c>
    </row>
    <row r="531">
      <c r="E531" s="15"/>
      <c r="L531" s="8" t="str">
        <f t="shared" si="1"/>
        <v/>
      </c>
    </row>
    <row r="532">
      <c r="E532" s="15"/>
      <c r="L532" s="8" t="str">
        <f t="shared" si="1"/>
        <v/>
      </c>
    </row>
    <row r="533">
      <c r="E533" s="15"/>
      <c r="L533" s="8" t="str">
        <f t="shared" si="1"/>
        <v/>
      </c>
    </row>
    <row r="534">
      <c r="E534" s="15"/>
      <c r="L534" s="8" t="str">
        <f t="shared" si="1"/>
        <v/>
      </c>
    </row>
    <row r="535">
      <c r="E535" s="15"/>
      <c r="L535" s="8" t="str">
        <f t="shared" si="1"/>
        <v/>
      </c>
    </row>
    <row r="536">
      <c r="E536" s="15"/>
      <c r="L536" s="8" t="str">
        <f t="shared" si="1"/>
        <v/>
      </c>
    </row>
    <row r="537">
      <c r="E537" s="15"/>
      <c r="L537" s="8" t="str">
        <f t="shared" si="1"/>
        <v/>
      </c>
    </row>
    <row r="538">
      <c r="E538" s="15"/>
      <c r="L538" s="8" t="str">
        <f t="shared" si="1"/>
        <v/>
      </c>
    </row>
    <row r="539">
      <c r="E539" s="15"/>
      <c r="L539" s="8" t="str">
        <f t="shared" si="1"/>
        <v/>
      </c>
    </row>
    <row r="540">
      <c r="E540" s="15"/>
      <c r="L540" s="8" t="str">
        <f t="shared" si="1"/>
        <v/>
      </c>
    </row>
    <row r="541">
      <c r="E541" s="15"/>
      <c r="L541" s="8" t="str">
        <f t="shared" si="1"/>
        <v/>
      </c>
    </row>
    <row r="542">
      <c r="E542" s="15"/>
      <c r="L542" s="8" t="str">
        <f t="shared" si="1"/>
        <v/>
      </c>
    </row>
    <row r="543">
      <c r="E543" s="15"/>
      <c r="L543" s="8" t="str">
        <f t="shared" si="1"/>
        <v/>
      </c>
    </row>
    <row r="544">
      <c r="E544" s="15"/>
      <c r="L544" s="8" t="str">
        <f t="shared" si="1"/>
        <v/>
      </c>
    </row>
    <row r="545">
      <c r="E545" s="15"/>
      <c r="L545" s="8" t="str">
        <f t="shared" si="1"/>
        <v/>
      </c>
    </row>
    <row r="546">
      <c r="E546" s="15"/>
      <c r="L546" s="8" t="str">
        <f t="shared" si="1"/>
        <v/>
      </c>
    </row>
    <row r="547">
      <c r="E547" s="15"/>
      <c r="L547" s="8" t="str">
        <f t="shared" si="1"/>
        <v/>
      </c>
    </row>
    <row r="548">
      <c r="E548" s="15"/>
      <c r="L548" s="8" t="str">
        <f t="shared" si="1"/>
        <v/>
      </c>
    </row>
    <row r="549">
      <c r="E549" s="15"/>
      <c r="L549" s="8" t="str">
        <f t="shared" si="1"/>
        <v/>
      </c>
    </row>
    <row r="550">
      <c r="E550" s="15"/>
      <c r="L550" s="8" t="str">
        <f t="shared" si="1"/>
        <v/>
      </c>
    </row>
    <row r="551">
      <c r="E551" s="15"/>
      <c r="L551" s="8" t="str">
        <f t="shared" si="1"/>
        <v/>
      </c>
    </row>
    <row r="552">
      <c r="E552" s="15"/>
      <c r="L552" s="8" t="str">
        <f t="shared" si="1"/>
        <v/>
      </c>
    </row>
    <row r="553">
      <c r="E553" s="15"/>
      <c r="L553" s="8" t="str">
        <f t="shared" si="1"/>
        <v/>
      </c>
    </row>
    <row r="554">
      <c r="E554" s="15"/>
      <c r="L554" s="8" t="str">
        <f t="shared" si="1"/>
        <v/>
      </c>
    </row>
    <row r="555">
      <c r="E555" s="15"/>
      <c r="L555" s="8" t="str">
        <f t="shared" si="1"/>
        <v/>
      </c>
    </row>
    <row r="556">
      <c r="E556" s="15"/>
      <c r="L556" s="8" t="str">
        <f t="shared" si="1"/>
        <v/>
      </c>
    </row>
    <row r="557">
      <c r="E557" s="15"/>
      <c r="L557" s="8" t="str">
        <f t="shared" si="1"/>
        <v/>
      </c>
    </row>
    <row r="558">
      <c r="E558" s="15"/>
      <c r="L558" s="8" t="str">
        <f t="shared" si="1"/>
        <v/>
      </c>
    </row>
    <row r="559">
      <c r="E559" s="15"/>
      <c r="L559" s="8" t="str">
        <f t="shared" si="1"/>
        <v/>
      </c>
    </row>
    <row r="560">
      <c r="E560" s="15"/>
      <c r="L560" s="8" t="str">
        <f t="shared" si="1"/>
        <v/>
      </c>
    </row>
    <row r="561">
      <c r="E561" s="15"/>
    </row>
    <row r="562">
      <c r="E562" s="15"/>
    </row>
    <row r="563">
      <c r="E563" s="15"/>
    </row>
    <row r="564">
      <c r="E564" s="15"/>
    </row>
    <row r="565">
      <c r="E565" s="15"/>
    </row>
    <row r="566">
      <c r="E566" s="15"/>
    </row>
    <row r="567">
      <c r="E567" s="15"/>
    </row>
    <row r="568">
      <c r="E568" s="15"/>
    </row>
    <row r="569">
      <c r="E569" s="15"/>
    </row>
    <row r="570">
      <c r="E570" s="15"/>
    </row>
    <row r="571">
      <c r="E571" s="15"/>
    </row>
    <row r="572">
      <c r="E572" s="15"/>
    </row>
    <row r="573">
      <c r="E573" s="15"/>
    </row>
    <row r="574">
      <c r="E574" s="15"/>
    </row>
    <row r="575">
      <c r="E575" s="15"/>
    </row>
    <row r="576">
      <c r="E576" s="15"/>
    </row>
    <row r="577">
      <c r="E577" s="15"/>
    </row>
    <row r="578">
      <c r="E578" s="15"/>
    </row>
    <row r="579">
      <c r="E579" s="15"/>
    </row>
    <row r="580">
      <c r="E580" s="15"/>
    </row>
    <row r="581">
      <c r="E581" s="15"/>
    </row>
    <row r="582">
      <c r="E582" s="15"/>
    </row>
    <row r="583">
      <c r="E583" s="15"/>
    </row>
    <row r="584">
      <c r="E584" s="15"/>
    </row>
    <row r="585">
      <c r="E585" s="15"/>
    </row>
    <row r="586">
      <c r="E586" s="15"/>
    </row>
    <row r="587">
      <c r="E587" s="15"/>
    </row>
    <row r="588">
      <c r="E588" s="15"/>
    </row>
    <row r="589">
      <c r="E589" s="15"/>
    </row>
    <row r="590">
      <c r="E590" s="15"/>
    </row>
    <row r="591">
      <c r="E591" s="15"/>
    </row>
    <row r="592">
      <c r="E592" s="15"/>
    </row>
    <row r="593">
      <c r="E593" s="15"/>
    </row>
    <row r="594">
      <c r="E594" s="15"/>
    </row>
    <row r="595">
      <c r="E595" s="15"/>
    </row>
    <row r="596">
      <c r="E596" s="15"/>
    </row>
    <row r="597">
      <c r="E597" s="15"/>
    </row>
    <row r="598">
      <c r="E598" s="15"/>
    </row>
    <row r="599">
      <c r="E599" s="15"/>
    </row>
    <row r="600">
      <c r="E600" s="15"/>
    </row>
    <row r="601">
      <c r="E601" s="15"/>
    </row>
    <row r="602">
      <c r="E602" s="15"/>
    </row>
    <row r="603">
      <c r="E603" s="15"/>
    </row>
    <row r="604">
      <c r="E604" s="15"/>
    </row>
    <row r="605">
      <c r="E605" s="15"/>
    </row>
    <row r="606">
      <c r="E606" s="15"/>
    </row>
    <row r="607">
      <c r="E607" s="15"/>
    </row>
    <row r="608">
      <c r="E608" s="15"/>
    </row>
    <row r="609">
      <c r="E609" s="15"/>
    </row>
    <row r="610">
      <c r="E610" s="15"/>
    </row>
    <row r="611">
      <c r="E611" s="15"/>
    </row>
    <row r="612">
      <c r="E612" s="15"/>
    </row>
    <row r="613">
      <c r="E613" s="15"/>
    </row>
    <row r="614">
      <c r="E614" s="15"/>
    </row>
    <row r="615">
      <c r="E615" s="15"/>
    </row>
    <row r="616">
      <c r="E616" s="15"/>
    </row>
    <row r="617">
      <c r="E617" s="15"/>
    </row>
    <row r="618">
      <c r="E618" s="15"/>
    </row>
    <row r="619">
      <c r="E619" s="15"/>
    </row>
    <row r="620">
      <c r="E620" s="15"/>
    </row>
    <row r="621">
      <c r="E621" s="15"/>
    </row>
    <row r="622">
      <c r="E622" s="15"/>
    </row>
    <row r="623">
      <c r="E623" s="15"/>
    </row>
    <row r="624">
      <c r="E624" s="15"/>
    </row>
    <row r="625">
      <c r="E625" s="15"/>
    </row>
    <row r="626">
      <c r="E626" s="15"/>
    </row>
    <row r="627">
      <c r="E627" s="15"/>
    </row>
    <row r="628">
      <c r="E628" s="15"/>
    </row>
    <row r="629">
      <c r="E629" s="15"/>
    </row>
    <row r="630">
      <c r="E630" s="15"/>
    </row>
    <row r="631">
      <c r="E631" s="15"/>
    </row>
    <row r="632">
      <c r="E632" s="15"/>
    </row>
    <row r="633">
      <c r="E633" s="15"/>
    </row>
    <row r="634">
      <c r="E634" s="15"/>
    </row>
    <row r="635">
      <c r="E635" s="15"/>
    </row>
    <row r="636">
      <c r="E636" s="15"/>
    </row>
    <row r="637">
      <c r="E637" s="15"/>
    </row>
    <row r="638">
      <c r="E638" s="15"/>
    </row>
    <row r="639">
      <c r="E639" s="15"/>
    </row>
    <row r="640">
      <c r="E640" s="15"/>
    </row>
    <row r="641">
      <c r="E641" s="15"/>
    </row>
    <row r="642">
      <c r="E642" s="15"/>
    </row>
    <row r="643">
      <c r="E643" s="15"/>
    </row>
    <row r="644">
      <c r="E644" s="15"/>
    </row>
    <row r="645">
      <c r="E645" s="15"/>
    </row>
    <row r="646">
      <c r="E646" s="15"/>
    </row>
    <row r="647">
      <c r="E647" s="15"/>
    </row>
    <row r="648">
      <c r="E648" s="15"/>
    </row>
    <row r="649">
      <c r="E649" s="15"/>
    </row>
    <row r="650">
      <c r="E650" s="15"/>
    </row>
    <row r="651">
      <c r="E651" s="15"/>
    </row>
    <row r="652">
      <c r="E652" s="15"/>
    </row>
    <row r="653">
      <c r="E653" s="15"/>
    </row>
    <row r="654">
      <c r="E654" s="15"/>
    </row>
    <row r="655">
      <c r="E655" s="15"/>
    </row>
    <row r="656">
      <c r="E656" s="15"/>
    </row>
    <row r="657">
      <c r="E657" s="15"/>
    </row>
    <row r="658">
      <c r="E658" s="15"/>
    </row>
    <row r="659">
      <c r="E659" s="15"/>
    </row>
    <row r="660">
      <c r="E660" s="15"/>
    </row>
    <row r="661">
      <c r="E661" s="15"/>
    </row>
    <row r="662">
      <c r="E662" s="15"/>
    </row>
    <row r="663">
      <c r="E663" s="15"/>
    </row>
    <row r="664">
      <c r="E664" s="15"/>
    </row>
    <row r="665">
      <c r="E665" s="15"/>
    </row>
    <row r="666">
      <c r="E666" s="15"/>
    </row>
    <row r="667">
      <c r="E667" s="15"/>
    </row>
    <row r="668">
      <c r="E668" s="15"/>
    </row>
    <row r="669">
      <c r="E669" s="15"/>
    </row>
    <row r="670">
      <c r="E670" s="15"/>
    </row>
    <row r="671">
      <c r="E671" s="15"/>
    </row>
    <row r="672">
      <c r="E672" s="15"/>
    </row>
    <row r="673">
      <c r="E673" s="15"/>
    </row>
    <row r="674">
      <c r="E674" s="15"/>
    </row>
    <row r="675">
      <c r="E675" s="15"/>
    </row>
    <row r="676">
      <c r="E676" s="15"/>
    </row>
    <row r="677">
      <c r="E677" s="15"/>
    </row>
    <row r="678">
      <c r="E678" s="15"/>
    </row>
    <row r="679">
      <c r="E679" s="15"/>
    </row>
    <row r="680">
      <c r="E680" s="15"/>
    </row>
    <row r="681">
      <c r="E681" s="15"/>
    </row>
    <row r="682">
      <c r="E682" s="15"/>
    </row>
    <row r="683">
      <c r="E683" s="15"/>
    </row>
    <row r="684">
      <c r="E684" s="15"/>
    </row>
    <row r="685">
      <c r="E685" s="15"/>
    </row>
    <row r="686">
      <c r="E686" s="15"/>
    </row>
    <row r="687">
      <c r="E687" s="15"/>
    </row>
    <row r="688">
      <c r="E688" s="15"/>
    </row>
    <row r="689">
      <c r="E689" s="15"/>
    </row>
    <row r="690">
      <c r="E690" s="15"/>
    </row>
    <row r="691">
      <c r="E691" s="15"/>
    </row>
    <row r="692">
      <c r="E692" s="15"/>
    </row>
    <row r="693">
      <c r="E693" s="15"/>
    </row>
    <row r="694">
      <c r="E694" s="15"/>
    </row>
    <row r="695">
      <c r="E695" s="15"/>
    </row>
    <row r="696">
      <c r="E696" s="15"/>
    </row>
    <row r="697">
      <c r="E697" s="15"/>
    </row>
    <row r="698">
      <c r="E698" s="15"/>
    </row>
    <row r="699">
      <c r="E699" s="15"/>
    </row>
    <row r="700">
      <c r="E700" s="15"/>
    </row>
    <row r="701">
      <c r="E701" s="15"/>
    </row>
    <row r="702">
      <c r="E702" s="15"/>
    </row>
    <row r="703">
      <c r="E703" s="15"/>
    </row>
    <row r="704">
      <c r="E704" s="15"/>
    </row>
    <row r="705">
      <c r="E705" s="15"/>
    </row>
    <row r="706">
      <c r="E706" s="15"/>
    </row>
    <row r="707">
      <c r="E707" s="15"/>
    </row>
    <row r="708">
      <c r="E708" s="15"/>
    </row>
    <row r="709">
      <c r="E709" s="15"/>
    </row>
    <row r="710">
      <c r="E710" s="15"/>
    </row>
    <row r="711">
      <c r="E711" s="15"/>
    </row>
    <row r="712">
      <c r="E712" s="15"/>
    </row>
    <row r="713">
      <c r="E713" s="15"/>
    </row>
    <row r="714">
      <c r="E714" s="15"/>
    </row>
    <row r="715">
      <c r="E715" s="15"/>
    </row>
    <row r="716">
      <c r="E716" s="15"/>
    </row>
    <row r="717">
      <c r="E717" s="15"/>
    </row>
    <row r="718">
      <c r="E718" s="15"/>
    </row>
    <row r="719">
      <c r="E719" s="15"/>
    </row>
    <row r="720">
      <c r="E720" s="15"/>
    </row>
    <row r="721">
      <c r="E721" s="15"/>
    </row>
    <row r="722">
      <c r="E722" s="15"/>
    </row>
    <row r="723">
      <c r="E723" s="15"/>
    </row>
    <row r="724">
      <c r="E724" s="15"/>
    </row>
    <row r="725">
      <c r="E725" s="15"/>
    </row>
    <row r="726">
      <c r="E726" s="15"/>
    </row>
    <row r="727">
      <c r="E727" s="15"/>
    </row>
    <row r="728">
      <c r="E728" s="15"/>
    </row>
    <row r="729">
      <c r="E729" s="15"/>
    </row>
    <row r="730">
      <c r="E730" s="15"/>
    </row>
    <row r="731">
      <c r="E731" s="15"/>
    </row>
    <row r="732">
      <c r="E732" s="15"/>
    </row>
    <row r="733">
      <c r="E733" s="15"/>
    </row>
    <row r="734">
      <c r="E734" s="15"/>
    </row>
    <row r="735">
      <c r="E735" s="15"/>
    </row>
    <row r="736">
      <c r="E736" s="15"/>
    </row>
    <row r="737">
      <c r="E737" s="15"/>
    </row>
    <row r="738">
      <c r="E738" s="15"/>
    </row>
    <row r="739">
      <c r="E739" s="15"/>
    </row>
    <row r="740">
      <c r="E740" s="15"/>
    </row>
    <row r="741">
      <c r="E741" s="15"/>
    </row>
    <row r="742">
      <c r="E742" s="15"/>
    </row>
    <row r="743">
      <c r="E743" s="15"/>
    </row>
    <row r="744">
      <c r="E744" s="15"/>
    </row>
    <row r="745">
      <c r="E745" s="15"/>
    </row>
    <row r="746">
      <c r="E746" s="15"/>
    </row>
    <row r="747">
      <c r="E747" s="15"/>
    </row>
    <row r="748">
      <c r="E748" s="15"/>
    </row>
    <row r="749">
      <c r="E749" s="15"/>
    </row>
    <row r="750">
      <c r="E750" s="15"/>
    </row>
    <row r="751">
      <c r="E751" s="15"/>
    </row>
    <row r="752">
      <c r="E752" s="15"/>
    </row>
    <row r="753">
      <c r="E753" s="15"/>
    </row>
    <row r="754">
      <c r="E754" s="15"/>
    </row>
    <row r="755">
      <c r="E755" s="15"/>
    </row>
    <row r="756">
      <c r="E756" s="15"/>
    </row>
    <row r="757">
      <c r="E757" s="15"/>
    </row>
    <row r="758">
      <c r="E758" s="15"/>
    </row>
    <row r="759">
      <c r="E759" s="15"/>
    </row>
    <row r="760">
      <c r="E760" s="15"/>
    </row>
    <row r="761">
      <c r="E761" s="15"/>
    </row>
    <row r="762">
      <c r="E762" s="15"/>
    </row>
    <row r="763">
      <c r="E763" s="15"/>
    </row>
    <row r="764">
      <c r="E764" s="15"/>
    </row>
    <row r="765">
      <c r="E765" s="15"/>
    </row>
    <row r="766">
      <c r="E766" s="15"/>
    </row>
    <row r="767">
      <c r="E767" s="15"/>
    </row>
    <row r="768">
      <c r="E768" s="15"/>
    </row>
    <row r="769">
      <c r="E769" s="15"/>
    </row>
    <row r="770">
      <c r="E770" s="15"/>
    </row>
    <row r="771">
      <c r="E771" s="15"/>
    </row>
    <row r="772">
      <c r="E772" s="15"/>
    </row>
    <row r="773">
      <c r="E773" s="15"/>
    </row>
    <row r="774">
      <c r="E774" s="15"/>
    </row>
    <row r="775">
      <c r="E775" s="15"/>
    </row>
    <row r="776">
      <c r="E776" s="15"/>
    </row>
    <row r="777">
      <c r="E777" s="15"/>
    </row>
    <row r="778">
      <c r="E778" s="15"/>
    </row>
    <row r="779">
      <c r="E779" s="15"/>
    </row>
    <row r="780">
      <c r="E780" s="15"/>
    </row>
    <row r="781">
      <c r="E781" s="15"/>
    </row>
    <row r="782">
      <c r="E782" s="15"/>
    </row>
    <row r="783">
      <c r="E783" s="15"/>
    </row>
    <row r="784">
      <c r="E784" s="15"/>
    </row>
    <row r="785">
      <c r="E785" s="15"/>
    </row>
    <row r="786">
      <c r="E786" s="15"/>
    </row>
    <row r="787">
      <c r="E787" s="15"/>
    </row>
    <row r="788">
      <c r="E788" s="15"/>
    </row>
    <row r="789">
      <c r="E789" s="15"/>
    </row>
    <row r="790">
      <c r="E790" s="15"/>
    </row>
    <row r="791">
      <c r="E791" s="15"/>
    </row>
    <row r="792">
      <c r="E792" s="15"/>
    </row>
    <row r="793">
      <c r="E793" s="15"/>
    </row>
    <row r="794">
      <c r="E794" s="15"/>
    </row>
    <row r="795">
      <c r="E795" s="15"/>
    </row>
    <row r="796">
      <c r="E796" s="15"/>
    </row>
    <row r="797">
      <c r="E797" s="15"/>
    </row>
    <row r="798">
      <c r="E798" s="15"/>
    </row>
    <row r="799">
      <c r="E799" s="15"/>
    </row>
    <row r="800">
      <c r="E800" s="15"/>
    </row>
    <row r="801">
      <c r="E801" s="15"/>
    </row>
    <row r="802">
      <c r="E802" s="15"/>
    </row>
    <row r="803">
      <c r="E803" s="15"/>
    </row>
    <row r="804">
      <c r="E804" s="15"/>
    </row>
    <row r="805">
      <c r="E805" s="15"/>
    </row>
    <row r="806">
      <c r="E806" s="15"/>
    </row>
    <row r="807">
      <c r="E807" s="15"/>
    </row>
    <row r="808">
      <c r="E808" s="15"/>
    </row>
    <row r="809">
      <c r="E809" s="15"/>
    </row>
    <row r="810">
      <c r="E810" s="15"/>
    </row>
    <row r="811">
      <c r="E811" s="15"/>
    </row>
    <row r="812">
      <c r="E812" s="15"/>
    </row>
    <row r="813">
      <c r="E813" s="15"/>
    </row>
    <row r="814">
      <c r="E814" s="15"/>
    </row>
    <row r="815">
      <c r="E815" s="15"/>
    </row>
    <row r="816">
      <c r="E816" s="15"/>
    </row>
    <row r="817">
      <c r="E817" s="15"/>
    </row>
    <row r="818">
      <c r="E818" s="15"/>
    </row>
    <row r="819">
      <c r="E819" s="15"/>
    </row>
    <row r="820">
      <c r="E820" s="15"/>
    </row>
    <row r="821">
      <c r="E821" s="15"/>
    </row>
    <row r="822">
      <c r="E822" s="15"/>
    </row>
    <row r="823">
      <c r="E823" s="15"/>
    </row>
    <row r="824">
      <c r="E824" s="15"/>
    </row>
    <row r="825">
      <c r="E825" s="15"/>
    </row>
    <row r="826">
      <c r="E826" s="15"/>
    </row>
    <row r="827">
      <c r="E827" s="15"/>
    </row>
    <row r="828">
      <c r="E828" s="15"/>
    </row>
    <row r="829">
      <c r="E829" s="15"/>
    </row>
    <row r="830">
      <c r="E830" s="15"/>
    </row>
    <row r="831">
      <c r="E831" s="15"/>
    </row>
    <row r="832">
      <c r="E832" s="15"/>
    </row>
    <row r="833">
      <c r="E833" s="15"/>
    </row>
    <row r="834">
      <c r="E834" s="15"/>
    </row>
    <row r="835">
      <c r="E835" s="15"/>
    </row>
    <row r="836">
      <c r="E836" s="15"/>
    </row>
    <row r="837">
      <c r="E837" s="15"/>
    </row>
    <row r="838">
      <c r="E838" s="15"/>
    </row>
    <row r="839">
      <c r="E839" s="15"/>
    </row>
    <row r="840">
      <c r="E840" s="15"/>
    </row>
    <row r="841">
      <c r="E841" s="15"/>
    </row>
    <row r="842">
      <c r="E842" s="15"/>
    </row>
    <row r="843">
      <c r="E843" s="15"/>
    </row>
    <row r="844">
      <c r="E844" s="15"/>
    </row>
    <row r="845">
      <c r="E845" s="15"/>
    </row>
    <row r="846">
      <c r="E846" s="15"/>
    </row>
    <row r="847">
      <c r="E847" s="15"/>
    </row>
    <row r="848">
      <c r="E848" s="15"/>
    </row>
    <row r="849">
      <c r="E849" s="15"/>
    </row>
    <row r="850">
      <c r="E850" s="15"/>
    </row>
    <row r="851">
      <c r="E851" s="15"/>
    </row>
    <row r="852">
      <c r="E852" s="15"/>
    </row>
    <row r="853">
      <c r="E853" s="15"/>
    </row>
    <row r="854">
      <c r="E854" s="15"/>
    </row>
    <row r="855">
      <c r="E855" s="15"/>
    </row>
    <row r="856">
      <c r="E856" s="15"/>
    </row>
    <row r="857">
      <c r="E857" s="15"/>
    </row>
    <row r="858">
      <c r="E858" s="15"/>
    </row>
    <row r="859">
      <c r="E859" s="15"/>
    </row>
    <row r="860">
      <c r="E860" s="15"/>
    </row>
    <row r="861">
      <c r="E861" s="15"/>
    </row>
    <row r="862">
      <c r="E862" s="15"/>
    </row>
    <row r="863">
      <c r="E863" s="15"/>
    </row>
    <row r="864">
      <c r="E864" s="15"/>
    </row>
    <row r="865">
      <c r="E865" s="15"/>
    </row>
    <row r="866">
      <c r="E866" s="15"/>
    </row>
    <row r="867">
      <c r="E867" s="15"/>
    </row>
    <row r="868">
      <c r="E868" s="15"/>
    </row>
    <row r="869">
      <c r="E869" s="15"/>
    </row>
    <row r="870">
      <c r="E870" s="15"/>
    </row>
    <row r="871">
      <c r="E871" s="15"/>
    </row>
    <row r="872">
      <c r="E872" s="15"/>
    </row>
    <row r="873">
      <c r="E873" s="15"/>
    </row>
    <row r="874">
      <c r="E874" s="15"/>
    </row>
    <row r="875">
      <c r="E875" s="15"/>
    </row>
    <row r="876">
      <c r="E876" s="15"/>
    </row>
    <row r="877">
      <c r="E877" s="15"/>
    </row>
    <row r="878">
      <c r="E878" s="15"/>
    </row>
    <row r="879">
      <c r="E879" s="15"/>
    </row>
    <row r="880">
      <c r="E880" s="15"/>
    </row>
    <row r="881">
      <c r="E881" s="15"/>
    </row>
    <row r="882">
      <c r="E882" s="15"/>
    </row>
    <row r="883">
      <c r="E883" s="15"/>
    </row>
    <row r="884">
      <c r="E884" s="15"/>
    </row>
    <row r="885">
      <c r="E885" s="15"/>
    </row>
    <row r="886">
      <c r="E886" s="15"/>
    </row>
    <row r="887">
      <c r="E887" s="15"/>
    </row>
    <row r="888">
      <c r="E888" s="15"/>
    </row>
    <row r="889">
      <c r="E889" s="15"/>
    </row>
    <row r="890">
      <c r="E890" s="15"/>
    </row>
    <row r="891">
      <c r="E891" s="15"/>
    </row>
    <row r="892">
      <c r="E892" s="15"/>
    </row>
    <row r="893">
      <c r="E893" s="15"/>
    </row>
    <row r="894">
      <c r="E894" s="15"/>
    </row>
    <row r="895">
      <c r="E895" s="15"/>
    </row>
    <row r="896">
      <c r="E896" s="15"/>
    </row>
    <row r="897">
      <c r="E897" s="15"/>
    </row>
    <row r="898">
      <c r="E898" s="15"/>
    </row>
    <row r="899">
      <c r="E899" s="15"/>
    </row>
    <row r="900">
      <c r="E900" s="15"/>
    </row>
    <row r="901">
      <c r="E901" s="15"/>
    </row>
    <row r="902">
      <c r="E902" s="15"/>
    </row>
    <row r="903">
      <c r="E903" s="15"/>
    </row>
    <row r="904">
      <c r="E904" s="15"/>
    </row>
    <row r="905">
      <c r="E905" s="15"/>
    </row>
    <row r="906">
      <c r="E906" s="15"/>
    </row>
    <row r="907">
      <c r="E907" s="15"/>
    </row>
    <row r="908">
      <c r="E908" s="15"/>
    </row>
    <row r="909">
      <c r="E909" s="15"/>
    </row>
    <row r="910">
      <c r="E910" s="15"/>
    </row>
    <row r="911">
      <c r="E911" s="15"/>
    </row>
    <row r="912">
      <c r="E912" s="15"/>
    </row>
    <row r="913">
      <c r="E913" s="15"/>
    </row>
    <row r="914">
      <c r="E914" s="15"/>
    </row>
    <row r="915">
      <c r="E915" s="15"/>
    </row>
    <row r="916">
      <c r="E916" s="15"/>
    </row>
    <row r="917">
      <c r="E917" s="15"/>
    </row>
    <row r="918">
      <c r="E918" s="15"/>
    </row>
    <row r="919">
      <c r="E919" s="15"/>
    </row>
    <row r="920">
      <c r="E920" s="15"/>
    </row>
    <row r="921">
      <c r="E921" s="15"/>
    </row>
    <row r="922">
      <c r="E922" s="15"/>
    </row>
    <row r="923">
      <c r="E923" s="15"/>
    </row>
    <row r="924">
      <c r="E924" s="15"/>
    </row>
    <row r="925">
      <c r="E925" s="15"/>
    </row>
    <row r="926">
      <c r="E926" s="15"/>
    </row>
    <row r="927">
      <c r="E927" s="15"/>
    </row>
    <row r="928">
      <c r="E928" s="15"/>
    </row>
    <row r="929">
      <c r="E929" s="15"/>
    </row>
    <row r="930">
      <c r="E930" s="15"/>
    </row>
    <row r="931">
      <c r="E931" s="15"/>
    </row>
    <row r="932">
      <c r="E932" s="15"/>
    </row>
    <row r="933">
      <c r="E933" s="15"/>
    </row>
    <row r="934">
      <c r="E934" s="15"/>
    </row>
    <row r="935">
      <c r="E935" s="15"/>
    </row>
    <row r="936">
      <c r="E936" s="15"/>
    </row>
    <row r="937">
      <c r="E937" s="15"/>
    </row>
    <row r="938">
      <c r="E938" s="15"/>
    </row>
    <row r="939">
      <c r="E939" s="15"/>
    </row>
    <row r="940">
      <c r="E940" s="15"/>
    </row>
    <row r="941">
      <c r="E941" s="15"/>
    </row>
    <row r="942">
      <c r="E942" s="15"/>
    </row>
    <row r="943">
      <c r="E943" s="15"/>
    </row>
    <row r="944">
      <c r="E944" s="15"/>
    </row>
    <row r="945">
      <c r="E945" s="15"/>
    </row>
    <row r="946">
      <c r="E946" s="15"/>
    </row>
    <row r="947">
      <c r="E947" s="15"/>
    </row>
    <row r="948">
      <c r="E948" s="15"/>
    </row>
    <row r="949">
      <c r="E949" s="15"/>
    </row>
    <row r="950">
      <c r="E950" s="15"/>
    </row>
    <row r="951">
      <c r="E951" s="15"/>
    </row>
    <row r="952">
      <c r="E952" s="15"/>
    </row>
    <row r="953">
      <c r="E953" s="15"/>
    </row>
    <row r="954">
      <c r="E954" s="15"/>
    </row>
    <row r="955">
      <c r="E955" s="15"/>
    </row>
    <row r="956">
      <c r="E956" s="15"/>
    </row>
    <row r="957">
      <c r="E957" s="15"/>
    </row>
    <row r="958">
      <c r="E958" s="15"/>
    </row>
    <row r="959">
      <c r="E959" s="15"/>
    </row>
    <row r="960">
      <c r="E960" s="15"/>
    </row>
    <row r="961">
      <c r="E961" s="15"/>
    </row>
    <row r="962">
      <c r="E962" s="15"/>
    </row>
    <row r="963">
      <c r="E963" s="15"/>
    </row>
    <row r="964">
      <c r="E964" s="15"/>
    </row>
    <row r="965">
      <c r="E965" s="15"/>
    </row>
    <row r="966">
      <c r="E966" s="15"/>
    </row>
    <row r="967">
      <c r="E967" s="15"/>
    </row>
    <row r="968">
      <c r="E968" s="15"/>
    </row>
    <row r="969">
      <c r="E969" s="15"/>
    </row>
    <row r="970">
      <c r="E970" s="15"/>
    </row>
    <row r="971">
      <c r="E971" s="15"/>
    </row>
    <row r="972">
      <c r="E972" s="15"/>
    </row>
    <row r="973">
      <c r="E973" s="15"/>
    </row>
    <row r="974">
      <c r="E974" s="15"/>
    </row>
    <row r="975">
      <c r="E975" s="15"/>
    </row>
    <row r="976">
      <c r="E976" s="15"/>
    </row>
    <row r="977">
      <c r="E977" s="15"/>
    </row>
    <row r="978">
      <c r="E978" s="15"/>
    </row>
    <row r="979">
      <c r="E979" s="15"/>
    </row>
    <row r="980">
      <c r="E980" s="15"/>
    </row>
    <row r="981">
      <c r="E981" s="15"/>
    </row>
    <row r="982">
      <c r="E982" s="15"/>
    </row>
    <row r="983">
      <c r="E983" s="15"/>
    </row>
    <row r="984">
      <c r="E984" s="15"/>
    </row>
    <row r="985">
      <c r="E985" s="15"/>
    </row>
    <row r="986">
      <c r="E986" s="15"/>
    </row>
    <row r="987">
      <c r="E987" s="15"/>
    </row>
    <row r="988">
      <c r="E988" s="15"/>
    </row>
    <row r="989">
      <c r="E989" s="15"/>
    </row>
    <row r="990">
      <c r="E990" s="15"/>
    </row>
    <row r="991">
      <c r="E991" s="15"/>
    </row>
    <row r="992">
      <c r="E992" s="15"/>
    </row>
    <row r="993">
      <c r="E993" s="15"/>
    </row>
    <row r="994">
      <c r="E994" s="15"/>
    </row>
    <row r="995">
      <c r="E995" s="15"/>
    </row>
    <row r="996">
      <c r="E996" s="15"/>
    </row>
    <row r="997">
      <c r="E997" s="15"/>
    </row>
    <row r="998">
      <c r="E998" s="15"/>
    </row>
    <row r="999">
      <c r="E999" s="15"/>
    </row>
    <row r="1000">
      <c r="E1000" s="15"/>
    </row>
    <row r="1001">
      <c r="E1001" s="15"/>
    </row>
    <row r="1002">
      <c r="E1002" s="15"/>
    </row>
    <row r="1003">
      <c r="E1003" s="15"/>
    </row>
    <row r="1004">
      <c r="E1004" s="15"/>
    </row>
    <row r="1005">
      <c r="E1005" s="15"/>
    </row>
    <row r="1006">
      <c r="E1006" s="15"/>
    </row>
    <row r="1007">
      <c r="E1007" s="15"/>
    </row>
    <row r="1008">
      <c r="E1008" s="15"/>
    </row>
    <row r="1009">
      <c r="E1009" s="15"/>
    </row>
    <row r="1010">
      <c r="E1010" s="15"/>
    </row>
    <row r="1011">
      <c r="E1011" s="15"/>
    </row>
    <row r="1012">
      <c r="E1012" s="15"/>
    </row>
    <row r="1013">
      <c r="E1013" s="15"/>
    </row>
    <row r="1014">
      <c r="E1014" s="15"/>
    </row>
    <row r="1015">
      <c r="E1015" s="15"/>
    </row>
    <row r="1016">
      <c r="E1016" s="15"/>
    </row>
    <row r="1017">
      <c r="E1017" s="15"/>
    </row>
    <row r="1018">
      <c r="E1018" s="15"/>
    </row>
    <row r="1019">
      <c r="E1019" s="15"/>
    </row>
    <row r="1020">
      <c r="E1020" s="15"/>
    </row>
    <row r="1021">
      <c r="E1021" s="15"/>
    </row>
    <row r="1022">
      <c r="E1022" s="15"/>
    </row>
    <row r="1023">
      <c r="E1023" s="15"/>
    </row>
    <row r="1024">
      <c r="E1024" s="15"/>
    </row>
    <row r="1025">
      <c r="E1025" s="15"/>
    </row>
    <row r="1026">
      <c r="E1026" s="15"/>
    </row>
    <row r="1027">
      <c r="E1027" s="15"/>
    </row>
    <row r="1028">
      <c r="E1028" s="15"/>
    </row>
    <row r="1029">
      <c r="E1029" s="15"/>
    </row>
    <row r="1030">
      <c r="E1030" s="15"/>
    </row>
    <row r="1031">
      <c r="E1031" s="15"/>
    </row>
    <row r="1032">
      <c r="E1032" s="15"/>
    </row>
    <row r="1033">
      <c r="E1033" s="15"/>
    </row>
    <row r="1034">
      <c r="E1034" s="15"/>
    </row>
    <row r="1035">
      <c r="E1035" s="15"/>
    </row>
    <row r="1036">
      <c r="E1036" s="15"/>
    </row>
    <row r="1037">
      <c r="E1037" s="15"/>
    </row>
    <row r="1038">
      <c r="E1038" s="15"/>
    </row>
    <row r="1039">
      <c r="E1039" s="15"/>
    </row>
    <row r="1040">
      <c r="E1040" s="15"/>
    </row>
    <row r="1041">
      <c r="E1041" s="15"/>
    </row>
    <row r="1042">
      <c r="E1042" s="15"/>
    </row>
    <row r="1043">
      <c r="E1043" s="15"/>
    </row>
    <row r="1044">
      <c r="E1044" s="15"/>
    </row>
    <row r="1045">
      <c r="E1045" s="15"/>
    </row>
    <row r="1046">
      <c r="E1046" s="15"/>
    </row>
    <row r="1047">
      <c r="E1047" s="15"/>
    </row>
    <row r="1048">
      <c r="E1048" s="15"/>
    </row>
    <row r="1049">
      <c r="E1049" s="15"/>
    </row>
    <row r="1050">
      <c r="E1050" s="15"/>
    </row>
    <row r="1051">
      <c r="E1051" s="15"/>
    </row>
    <row r="1052">
      <c r="E1052" s="15"/>
    </row>
    <row r="1053">
      <c r="E1053" s="15"/>
    </row>
    <row r="1054">
      <c r="E1054" s="15"/>
    </row>
    <row r="1055">
      <c r="E1055" s="15"/>
    </row>
    <row r="1056">
      <c r="E1056" s="15"/>
    </row>
    <row r="1057">
      <c r="E1057" s="15"/>
    </row>
    <row r="1058">
      <c r="E1058" s="15"/>
    </row>
    <row r="1059">
      <c r="E1059" s="15"/>
    </row>
    <row r="1060">
      <c r="E1060" s="15"/>
    </row>
    <row r="1061">
      <c r="E1061" s="15"/>
    </row>
    <row r="1062">
      <c r="E1062" s="15"/>
    </row>
    <row r="1063">
      <c r="E1063" s="15"/>
    </row>
    <row r="1064">
      <c r="E1064" s="15"/>
    </row>
    <row r="1065">
      <c r="E1065" s="15"/>
    </row>
    <row r="1066">
      <c r="E1066" s="15"/>
    </row>
    <row r="1067">
      <c r="E1067" s="15"/>
    </row>
    <row r="1068">
      <c r="E1068" s="15"/>
    </row>
    <row r="1069">
      <c r="E1069" s="15"/>
    </row>
    <row r="1070">
      <c r="E1070" s="15"/>
    </row>
    <row r="1071">
      <c r="E1071" s="15"/>
    </row>
    <row r="1072">
      <c r="E1072" s="15"/>
    </row>
    <row r="1073">
      <c r="E1073" s="15"/>
    </row>
    <row r="1074">
      <c r="E1074" s="15"/>
    </row>
    <row r="1075">
      <c r="E1075" s="15"/>
    </row>
    <row r="1076">
      <c r="E1076" s="15"/>
    </row>
    <row r="1077">
      <c r="E1077" s="15"/>
    </row>
    <row r="1078">
      <c r="E1078" s="15"/>
    </row>
    <row r="1079">
      <c r="E1079" s="15"/>
    </row>
    <row r="1080">
      <c r="E1080" s="15"/>
    </row>
    <row r="1081">
      <c r="E1081" s="15"/>
    </row>
    <row r="1082">
      <c r="E1082" s="15"/>
    </row>
    <row r="1083">
      <c r="E1083" s="15"/>
    </row>
    <row r="1084">
      <c r="E1084" s="15"/>
    </row>
    <row r="1085">
      <c r="E1085" s="15"/>
    </row>
    <row r="1086">
      <c r="E1086" s="15"/>
    </row>
    <row r="1087">
      <c r="E1087" s="15"/>
    </row>
    <row r="1088">
      <c r="E1088" s="15"/>
    </row>
    <row r="1089">
      <c r="E1089" s="15"/>
    </row>
    <row r="1090">
      <c r="E1090" s="15"/>
    </row>
    <row r="1091">
      <c r="E1091" s="15"/>
    </row>
    <row r="1092">
      <c r="E1092" s="15"/>
    </row>
    <row r="1093">
      <c r="E1093" s="15"/>
    </row>
    <row r="1094">
      <c r="E1094" s="15"/>
    </row>
    <row r="1095">
      <c r="E1095" s="15"/>
    </row>
    <row r="1096">
      <c r="E1096" s="15"/>
    </row>
    <row r="1097">
      <c r="E1097" s="15"/>
    </row>
    <row r="1098">
      <c r="E1098" s="15"/>
    </row>
    <row r="1099">
      <c r="E1099" s="15"/>
    </row>
    <row r="1100">
      <c r="E1100" s="15"/>
    </row>
    <row r="1101">
      <c r="E1101" s="15"/>
    </row>
    <row r="1102">
      <c r="E1102" s="15"/>
    </row>
    <row r="1103">
      <c r="E1103" s="15"/>
    </row>
    <row r="1104">
      <c r="E1104" s="15"/>
    </row>
    <row r="1105">
      <c r="E1105" s="15"/>
    </row>
    <row r="1106">
      <c r="E1106" s="15"/>
    </row>
    <row r="1107">
      <c r="E1107" s="15"/>
    </row>
    <row r="1108">
      <c r="E1108" s="15"/>
    </row>
    <row r="1109">
      <c r="E1109" s="15"/>
    </row>
    <row r="1110">
      <c r="E1110" s="15"/>
    </row>
    <row r="1111">
      <c r="E1111" s="15"/>
    </row>
    <row r="1112">
      <c r="E1112" s="15"/>
    </row>
    <row r="1113">
      <c r="E1113" s="15"/>
    </row>
    <row r="1114">
      <c r="E1114" s="15"/>
    </row>
    <row r="1115">
      <c r="E1115" s="15"/>
    </row>
    <row r="1116">
      <c r="E1116" s="15"/>
    </row>
    <row r="1117">
      <c r="E1117" s="15"/>
    </row>
    <row r="1118">
      <c r="E1118" s="15"/>
    </row>
    <row r="1119">
      <c r="E1119" s="15"/>
    </row>
    <row r="1120">
      <c r="E1120" s="15"/>
    </row>
    <row r="1121">
      <c r="E1121" s="15"/>
    </row>
    <row r="1122">
      <c r="E1122" s="15"/>
    </row>
    <row r="1123">
      <c r="E1123" s="15"/>
    </row>
    <row r="1124">
      <c r="E1124" s="15"/>
    </row>
    <row r="1125">
      <c r="E1125" s="15"/>
    </row>
    <row r="1126">
      <c r="E1126" s="15"/>
    </row>
    <row r="1127">
      <c r="E1127" s="15"/>
    </row>
    <row r="1128">
      <c r="E1128" s="15"/>
    </row>
    <row r="1129">
      <c r="E1129" s="15"/>
    </row>
    <row r="1130">
      <c r="E1130" s="15"/>
    </row>
    <row r="1131">
      <c r="E1131" s="15"/>
    </row>
    <row r="1132">
      <c r="E1132" s="15"/>
    </row>
    <row r="1133">
      <c r="E1133" s="15"/>
    </row>
    <row r="1134">
      <c r="E1134" s="15"/>
    </row>
    <row r="1135">
      <c r="E1135" s="15"/>
    </row>
    <row r="1136">
      <c r="E1136" s="15"/>
    </row>
    <row r="1137">
      <c r="E1137" s="15"/>
    </row>
    <row r="1138">
      <c r="E1138" s="15"/>
    </row>
    <row r="1139">
      <c r="E1139" s="15"/>
    </row>
    <row r="1140">
      <c r="E1140" s="15"/>
    </row>
    <row r="1141">
      <c r="E1141" s="15"/>
    </row>
    <row r="1142">
      <c r="E1142" s="15"/>
    </row>
    <row r="1143">
      <c r="E1143" s="15"/>
    </row>
    <row r="1144">
      <c r="E1144" s="15"/>
    </row>
    <row r="1145">
      <c r="E1145" s="15"/>
    </row>
    <row r="1146">
      <c r="E1146" s="15"/>
    </row>
    <row r="1147">
      <c r="E1147" s="15"/>
    </row>
    <row r="1148">
      <c r="E1148" s="15"/>
    </row>
    <row r="1149">
      <c r="E1149" s="15"/>
    </row>
    <row r="1150">
      <c r="E1150" s="15"/>
    </row>
    <row r="1151">
      <c r="E1151" s="15"/>
    </row>
    <row r="1152">
      <c r="E1152" s="15"/>
    </row>
    <row r="1153">
      <c r="E1153" s="15"/>
    </row>
    <row r="1154">
      <c r="E1154" s="15"/>
    </row>
    <row r="1155">
      <c r="E1155" s="15"/>
    </row>
    <row r="1156">
      <c r="E1156" s="15"/>
    </row>
    <row r="1157">
      <c r="E1157" s="15"/>
    </row>
    <row r="1158">
      <c r="E1158" s="15"/>
    </row>
    <row r="1159">
      <c r="E1159" s="15"/>
    </row>
    <row r="1160">
      <c r="E1160" s="15"/>
    </row>
    <row r="1161">
      <c r="E1161" s="15"/>
    </row>
    <row r="1162">
      <c r="E1162" s="15"/>
    </row>
    <row r="1163">
      <c r="E1163" s="15"/>
    </row>
    <row r="1164">
      <c r="E1164" s="15"/>
    </row>
    <row r="1165">
      <c r="E1165" s="15"/>
    </row>
    <row r="1166">
      <c r="E1166" s="15"/>
    </row>
    <row r="1167">
      <c r="E1167" s="15"/>
    </row>
    <row r="1168">
      <c r="E1168" s="15"/>
    </row>
    <row r="1169">
      <c r="E1169" s="15"/>
    </row>
    <row r="1170">
      <c r="E1170" s="15"/>
    </row>
    <row r="1171">
      <c r="E1171" s="15"/>
    </row>
    <row r="1172">
      <c r="E1172" s="15"/>
    </row>
    <row r="1173">
      <c r="E1173" s="15"/>
    </row>
    <row r="1174">
      <c r="E1174" s="15"/>
    </row>
    <row r="1175">
      <c r="E1175" s="15"/>
    </row>
    <row r="1176">
      <c r="E1176" s="15"/>
    </row>
    <row r="1177">
      <c r="E1177" s="15"/>
    </row>
    <row r="1178">
      <c r="E1178" s="15"/>
    </row>
    <row r="1179">
      <c r="E1179" s="15"/>
    </row>
    <row r="1180">
      <c r="E1180" s="15"/>
    </row>
    <row r="1181">
      <c r="E1181" s="15"/>
    </row>
    <row r="1182">
      <c r="E1182" s="15"/>
    </row>
    <row r="1183">
      <c r="E1183" s="15"/>
    </row>
    <row r="1184">
      <c r="E1184" s="15"/>
    </row>
    <row r="1185">
      <c r="E1185" s="15"/>
    </row>
    <row r="1186">
      <c r="E1186" s="15"/>
    </row>
    <row r="1187">
      <c r="E1187" s="15"/>
    </row>
    <row r="1188">
      <c r="E1188" s="15"/>
    </row>
    <row r="1189">
      <c r="E1189" s="15"/>
    </row>
    <row r="1190">
      <c r="E1190" s="15"/>
    </row>
    <row r="1191">
      <c r="E1191" s="15"/>
    </row>
    <row r="1192">
      <c r="E1192" s="15"/>
    </row>
    <row r="1193">
      <c r="E1193" s="15"/>
    </row>
    <row r="1194">
      <c r="E1194" s="15"/>
    </row>
    <row r="1195">
      <c r="E1195" s="15"/>
    </row>
    <row r="1196">
      <c r="E1196" s="15"/>
    </row>
    <row r="1197">
      <c r="E1197" s="15"/>
    </row>
    <row r="1198">
      <c r="E1198" s="15"/>
    </row>
    <row r="1199">
      <c r="E1199" s="15"/>
    </row>
    <row r="1200">
      <c r="E1200" s="15"/>
    </row>
    <row r="1201">
      <c r="E1201" s="15"/>
    </row>
    <row r="1202">
      <c r="E1202" s="15"/>
    </row>
    <row r="1203">
      <c r="E1203" s="15"/>
    </row>
    <row r="1204">
      <c r="E1204" s="15"/>
    </row>
    <row r="1205">
      <c r="E1205" s="15"/>
    </row>
    <row r="1206">
      <c r="E1206" s="15"/>
    </row>
    <row r="1207">
      <c r="E1207" s="15"/>
    </row>
    <row r="1208">
      <c r="E1208" s="15"/>
    </row>
    <row r="1209">
      <c r="E1209" s="15"/>
    </row>
    <row r="1210">
      <c r="E1210" s="15"/>
    </row>
    <row r="1211">
      <c r="E1211" s="15"/>
    </row>
    <row r="1212">
      <c r="E1212" s="15"/>
    </row>
    <row r="1213">
      <c r="E1213" s="15"/>
    </row>
    <row r="1214">
      <c r="E1214" s="15"/>
    </row>
    <row r="1215">
      <c r="E1215" s="15"/>
    </row>
    <row r="1216">
      <c r="E1216" s="15"/>
    </row>
    <row r="1217">
      <c r="E1217" s="15"/>
    </row>
    <row r="1218">
      <c r="E1218" s="15"/>
    </row>
    <row r="1219">
      <c r="E1219" s="15"/>
    </row>
    <row r="1220">
      <c r="E1220" s="15"/>
    </row>
    <row r="1221">
      <c r="E1221" s="15"/>
    </row>
    <row r="1222">
      <c r="E1222" s="15"/>
    </row>
    <row r="1223">
      <c r="E1223" s="15"/>
    </row>
    <row r="1224">
      <c r="E1224" s="15"/>
    </row>
    <row r="1225">
      <c r="E1225" s="15"/>
    </row>
    <row r="1226">
      <c r="E1226" s="15"/>
    </row>
    <row r="1227">
      <c r="E1227" s="15"/>
    </row>
    <row r="1228">
      <c r="E1228" s="15"/>
    </row>
    <row r="1229">
      <c r="E1229" s="15"/>
    </row>
    <row r="1230">
      <c r="E1230" s="15"/>
    </row>
    <row r="1231">
      <c r="E1231" s="15"/>
    </row>
    <row r="1232">
      <c r="E1232" s="15"/>
    </row>
    <row r="1233">
      <c r="E1233" s="15"/>
    </row>
    <row r="1234">
      <c r="E1234" s="15"/>
    </row>
    <row r="1235">
      <c r="E1235" s="15"/>
    </row>
    <row r="1236">
      <c r="E1236" s="15"/>
    </row>
    <row r="1237">
      <c r="E1237" s="15"/>
    </row>
    <row r="1238">
      <c r="E1238" s="15"/>
    </row>
    <row r="1239">
      <c r="E1239" s="15"/>
    </row>
    <row r="1240">
      <c r="E1240" s="15"/>
    </row>
    <row r="1241">
      <c r="E1241" s="15"/>
    </row>
    <row r="1242">
      <c r="E1242" s="15"/>
    </row>
    <row r="1243">
      <c r="E1243" s="15"/>
    </row>
    <row r="1244">
      <c r="E1244" s="15"/>
    </row>
    <row r="1245">
      <c r="E1245" s="15"/>
    </row>
    <row r="1246">
      <c r="E1246" s="15"/>
    </row>
    <row r="1247">
      <c r="E1247" s="15"/>
    </row>
    <row r="1248">
      <c r="E1248" s="15"/>
    </row>
    <row r="1249">
      <c r="E1249" s="15"/>
    </row>
    <row r="1250">
      <c r="E1250" s="15"/>
    </row>
    <row r="1251">
      <c r="E1251" s="15"/>
    </row>
    <row r="1252">
      <c r="E1252" s="15"/>
    </row>
    <row r="1253">
      <c r="E1253" s="15"/>
    </row>
    <row r="1254">
      <c r="E1254" s="15"/>
    </row>
    <row r="1255">
      <c r="E1255" s="15"/>
    </row>
    <row r="1256">
      <c r="E1256" s="15"/>
    </row>
    <row r="1257">
      <c r="E1257" s="15"/>
    </row>
    <row r="1258">
      <c r="E1258" s="15"/>
    </row>
    <row r="1259">
      <c r="E1259" s="15"/>
    </row>
    <row r="1260">
      <c r="E1260" s="15"/>
    </row>
    <row r="1261">
      <c r="E1261" s="15"/>
    </row>
    <row r="1262">
      <c r="E1262" s="15"/>
    </row>
    <row r="1263">
      <c r="E1263" s="15"/>
    </row>
    <row r="1264">
      <c r="E1264" s="15"/>
    </row>
    <row r="1265">
      <c r="E1265" s="15"/>
    </row>
    <row r="1266">
      <c r="E1266" s="15"/>
    </row>
    <row r="1267">
      <c r="E1267" s="15"/>
    </row>
    <row r="1268">
      <c r="E1268" s="15"/>
    </row>
    <row r="1269">
      <c r="E1269" s="15"/>
    </row>
    <row r="1270">
      <c r="E1270" s="15"/>
    </row>
    <row r="1271">
      <c r="E1271" s="15"/>
    </row>
    <row r="1272">
      <c r="E1272" s="15"/>
    </row>
    <row r="1273">
      <c r="E1273" s="15"/>
    </row>
    <row r="1274">
      <c r="E1274" s="15"/>
    </row>
    <row r="1275">
      <c r="E1275" s="15"/>
    </row>
    <row r="1276">
      <c r="E1276" s="15"/>
    </row>
    <row r="1277">
      <c r="E1277" s="15"/>
    </row>
    <row r="1278">
      <c r="E1278" s="15"/>
    </row>
    <row r="1279">
      <c r="E1279" s="15"/>
    </row>
    <row r="1280">
      <c r="E1280" s="15"/>
    </row>
    <row r="1281">
      <c r="E1281" s="15"/>
    </row>
    <row r="1282">
      <c r="E1282" s="15"/>
    </row>
    <row r="1283">
      <c r="E1283" s="15"/>
    </row>
    <row r="1284">
      <c r="E1284" s="15"/>
    </row>
    <row r="1285">
      <c r="E1285" s="15"/>
    </row>
    <row r="1286">
      <c r="E1286" s="15"/>
    </row>
    <row r="1287">
      <c r="E1287" s="15"/>
    </row>
    <row r="1288">
      <c r="E1288" s="15"/>
    </row>
    <row r="1289">
      <c r="E1289" s="15"/>
    </row>
    <row r="1290">
      <c r="E1290" s="15"/>
    </row>
    <row r="1291">
      <c r="E1291" s="15"/>
    </row>
    <row r="1292">
      <c r="E1292" s="15"/>
    </row>
    <row r="1293">
      <c r="E1293" s="15"/>
    </row>
    <row r="1294">
      <c r="E1294" s="15"/>
    </row>
    <row r="1295">
      <c r="E1295" s="15"/>
    </row>
    <row r="1296">
      <c r="E1296" s="15"/>
    </row>
    <row r="1297">
      <c r="E1297" s="15"/>
    </row>
    <row r="1298">
      <c r="E1298" s="15"/>
    </row>
    <row r="1299">
      <c r="E1299" s="15"/>
    </row>
    <row r="1300">
      <c r="E1300" s="15"/>
    </row>
    <row r="1301">
      <c r="E1301" s="15"/>
    </row>
    <row r="1302">
      <c r="E1302" s="15"/>
    </row>
    <row r="1303">
      <c r="E1303" s="15"/>
    </row>
    <row r="1304">
      <c r="E1304" s="15"/>
    </row>
    <row r="1305">
      <c r="E1305" s="15"/>
    </row>
    <row r="1306">
      <c r="E1306" s="15"/>
    </row>
    <row r="1307">
      <c r="E1307" s="15"/>
    </row>
    <row r="1308">
      <c r="E1308" s="15"/>
    </row>
    <row r="1309">
      <c r="E1309" s="15"/>
    </row>
    <row r="1310">
      <c r="E1310" s="15"/>
    </row>
    <row r="1311">
      <c r="E1311" s="15"/>
    </row>
    <row r="1312">
      <c r="E1312" s="15"/>
    </row>
    <row r="1313">
      <c r="E1313" s="15"/>
    </row>
    <row r="1314">
      <c r="E1314" s="15"/>
    </row>
    <row r="1315">
      <c r="E1315" s="15"/>
    </row>
    <row r="1316">
      <c r="E1316" s="15"/>
    </row>
    <row r="1317">
      <c r="E1317" s="15"/>
    </row>
    <row r="1318">
      <c r="E1318" s="15"/>
    </row>
    <row r="1319">
      <c r="E1319" s="15"/>
    </row>
    <row r="1320">
      <c r="E1320" s="15"/>
    </row>
    <row r="1321">
      <c r="E1321" s="15"/>
    </row>
    <row r="1322">
      <c r="E1322" s="15"/>
    </row>
    <row r="1323">
      <c r="E1323" s="15"/>
    </row>
    <row r="1324">
      <c r="E1324" s="15"/>
    </row>
    <row r="1325">
      <c r="E1325" s="15"/>
    </row>
    <row r="1326">
      <c r="E1326" s="15"/>
    </row>
    <row r="1327">
      <c r="E1327" s="15"/>
    </row>
    <row r="1328">
      <c r="E1328" s="15"/>
    </row>
    <row r="1329">
      <c r="E1329" s="15"/>
    </row>
    <row r="1330">
      <c r="E1330" s="15"/>
    </row>
    <row r="1331">
      <c r="E1331" s="15"/>
    </row>
    <row r="1332">
      <c r="E1332" s="15"/>
    </row>
    <row r="1333">
      <c r="E1333" s="15"/>
    </row>
    <row r="1334">
      <c r="E1334" s="15"/>
    </row>
    <row r="1335">
      <c r="E1335" s="15"/>
    </row>
    <row r="1336">
      <c r="E1336" s="15"/>
    </row>
    <row r="1337">
      <c r="E1337" s="15"/>
    </row>
    <row r="1338">
      <c r="E1338" s="15"/>
    </row>
    <row r="1339">
      <c r="E1339" s="15"/>
    </row>
    <row r="1340">
      <c r="E1340" s="15"/>
    </row>
    <row r="1341">
      <c r="E1341" s="15"/>
    </row>
    <row r="1342">
      <c r="E1342" s="15"/>
    </row>
    <row r="1343">
      <c r="E1343" s="15"/>
    </row>
    <row r="1344">
      <c r="E1344" s="15"/>
    </row>
    <row r="1345">
      <c r="E1345" s="15"/>
    </row>
    <row r="1346">
      <c r="E1346" s="15"/>
    </row>
    <row r="1347">
      <c r="E1347" s="15"/>
    </row>
    <row r="1348">
      <c r="E1348" s="15"/>
    </row>
    <row r="1349">
      <c r="E1349" s="15"/>
    </row>
    <row r="1350">
      <c r="E1350" s="15"/>
    </row>
    <row r="1351">
      <c r="E1351" s="15"/>
    </row>
    <row r="1352">
      <c r="E1352" s="15"/>
    </row>
    <row r="1353">
      <c r="E1353" s="15"/>
    </row>
    <row r="1354">
      <c r="E1354" s="15"/>
    </row>
    <row r="1355">
      <c r="E1355" s="15"/>
    </row>
    <row r="1356">
      <c r="E1356" s="15"/>
    </row>
    <row r="1357">
      <c r="E1357" s="15"/>
    </row>
    <row r="1358">
      <c r="E1358" s="15"/>
    </row>
    <row r="1359">
      <c r="E1359" s="15"/>
    </row>
    <row r="1360">
      <c r="E1360" s="15"/>
    </row>
    <row r="1361">
      <c r="E1361" s="15"/>
    </row>
    <row r="1362">
      <c r="E1362" s="15"/>
    </row>
    <row r="1363">
      <c r="E1363" s="15"/>
    </row>
    <row r="1364">
      <c r="E1364" s="15"/>
    </row>
    <row r="1365">
      <c r="E1365" s="15"/>
    </row>
    <row r="1366">
      <c r="E1366" s="15"/>
    </row>
    <row r="1367">
      <c r="E1367" s="15"/>
    </row>
    <row r="1368">
      <c r="E1368" s="15"/>
    </row>
    <row r="1369">
      <c r="E1369" s="15"/>
    </row>
    <row r="1370">
      <c r="E1370" s="15"/>
    </row>
    <row r="1371">
      <c r="E1371" s="15"/>
    </row>
    <row r="1372">
      <c r="E1372" s="15"/>
    </row>
    <row r="1373">
      <c r="E1373" s="15"/>
    </row>
    <row r="1374">
      <c r="E1374" s="15"/>
    </row>
    <row r="1375">
      <c r="E1375" s="15"/>
    </row>
    <row r="1376">
      <c r="E1376" s="15"/>
    </row>
    <row r="1377">
      <c r="E1377" s="15"/>
    </row>
    <row r="1378">
      <c r="E1378" s="15"/>
    </row>
    <row r="1379">
      <c r="E1379" s="15"/>
    </row>
    <row r="1380">
      <c r="E1380" s="15"/>
    </row>
    <row r="1381">
      <c r="E1381" s="15"/>
    </row>
    <row r="1382">
      <c r="E1382" s="15"/>
    </row>
    <row r="1383">
      <c r="E1383" s="15"/>
    </row>
    <row r="1384">
      <c r="E1384" s="15"/>
    </row>
    <row r="1385">
      <c r="E1385" s="15"/>
    </row>
    <row r="1386">
      <c r="E1386" s="15"/>
    </row>
    <row r="1387">
      <c r="E1387" s="15"/>
    </row>
    <row r="1388">
      <c r="E1388" s="15"/>
    </row>
    <row r="1389">
      <c r="E1389" s="15"/>
    </row>
    <row r="1390">
      <c r="E1390" s="15"/>
    </row>
    <row r="1391">
      <c r="E1391" s="15"/>
    </row>
    <row r="1392">
      <c r="E1392" s="15"/>
    </row>
    <row r="1393">
      <c r="E1393" s="15"/>
    </row>
    <row r="1394">
      <c r="E1394" s="15"/>
    </row>
    <row r="1395">
      <c r="E1395" s="15"/>
    </row>
    <row r="1396">
      <c r="E1396" s="15"/>
    </row>
    <row r="1397">
      <c r="E1397" s="15"/>
    </row>
    <row r="1398">
      <c r="E1398" s="15"/>
    </row>
    <row r="1399">
      <c r="E1399" s="15"/>
    </row>
    <row r="1400">
      <c r="E1400" s="15"/>
    </row>
    <row r="1401">
      <c r="E1401" s="15"/>
    </row>
    <row r="1402">
      <c r="E1402" s="15"/>
    </row>
    <row r="1403">
      <c r="E1403" s="15"/>
    </row>
    <row r="1404">
      <c r="E1404" s="15"/>
    </row>
    <row r="1405">
      <c r="E1405" s="15"/>
    </row>
    <row r="1406">
      <c r="E1406" s="15"/>
    </row>
    <row r="1407">
      <c r="E1407" s="15"/>
    </row>
    <row r="1408">
      <c r="E1408" s="15"/>
    </row>
    <row r="1409">
      <c r="E1409" s="15"/>
    </row>
    <row r="1410">
      <c r="E1410" s="15"/>
    </row>
    <row r="1411">
      <c r="E1411" s="15"/>
    </row>
    <row r="1412">
      <c r="E1412" s="15"/>
    </row>
    <row r="1413">
      <c r="E1413" s="15"/>
    </row>
    <row r="1414">
      <c r="E1414" s="15"/>
    </row>
    <row r="1415">
      <c r="E1415" s="15"/>
    </row>
    <row r="1416">
      <c r="E1416" s="15"/>
    </row>
    <row r="1417">
      <c r="E1417" s="15"/>
    </row>
    <row r="1418">
      <c r="E1418" s="15"/>
    </row>
    <row r="1419">
      <c r="E1419" s="15"/>
    </row>
    <row r="1420">
      <c r="E1420" s="15"/>
    </row>
    <row r="1421">
      <c r="E1421" s="15"/>
    </row>
    <row r="1422">
      <c r="E1422" s="15"/>
    </row>
    <row r="1423">
      <c r="E1423" s="15"/>
    </row>
    <row r="1424">
      <c r="E1424" s="15"/>
    </row>
    <row r="1425">
      <c r="E1425" s="15"/>
    </row>
    <row r="1426">
      <c r="E1426" s="15"/>
    </row>
    <row r="1427">
      <c r="E1427" s="15"/>
    </row>
    <row r="1428">
      <c r="E1428" s="15"/>
    </row>
    <row r="1429">
      <c r="E1429" s="15"/>
    </row>
    <row r="1430">
      <c r="E1430" s="15"/>
    </row>
    <row r="1431">
      <c r="E1431" s="15"/>
    </row>
    <row r="1432">
      <c r="E1432" s="15"/>
    </row>
    <row r="1433">
      <c r="E1433" s="15"/>
    </row>
    <row r="1434">
      <c r="E1434" s="15"/>
    </row>
    <row r="1435">
      <c r="E1435" s="15"/>
    </row>
    <row r="1436">
      <c r="E1436" s="15"/>
    </row>
    <row r="1437">
      <c r="E1437" s="15"/>
    </row>
    <row r="1438">
      <c r="E1438" s="15"/>
    </row>
    <row r="1439">
      <c r="E1439" s="15"/>
    </row>
    <row r="1440">
      <c r="E1440" s="15"/>
    </row>
    <row r="1441">
      <c r="E1441" s="15"/>
    </row>
    <row r="1442">
      <c r="E1442" s="15"/>
    </row>
    <row r="1443">
      <c r="E1443" s="15"/>
    </row>
    <row r="1444">
      <c r="E1444" s="15"/>
    </row>
    <row r="1445">
      <c r="E1445" s="15"/>
    </row>
    <row r="1446">
      <c r="E1446" s="15"/>
    </row>
    <row r="1447">
      <c r="E1447" s="15"/>
    </row>
    <row r="1448">
      <c r="E1448" s="15"/>
    </row>
    <row r="1449">
      <c r="E1449" s="15"/>
    </row>
    <row r="1450">
      <c r="E1450" s="15"/>
    </row>
    <row r="1451">
      <c r="E1451" s="15"/>
    </row>
    <row r="1452">
      <c r="E1452" s="15"/>
    </row>
    <row r="1453">
      <c r="E1453" s="15"/>
    </row>
    <row r="1454">
      <c r="E1454" s="15"/>
    </row>
    <row r="1455">
      <c r="E1455" s="15"/>
    </row>
    <row r="1456">
      <c r="E1456" s="15"/>
    </row>
    <row r="1457">
      <c r="E1457" s="15"/>
    </row>
    <row r="1458">
      <c r="E1458" s="15"/>
    </row>
    <row r="1459">
      <c r="E1459" s="15"/>
    </row>
    <row r="1460">
      <c r="E1460" s="15"/>
    </row>
    <row r="1461">
      <c r="E1461" s="15"/>
    </row>
    <row r="1462">
      <c r="E1462" s="15"/>
    </row>
    <row r="1463">
      <c r="E1463" s="15"/>
    </row>
    <row r="1464">
      <c r="E1464" s="15"/>
    </row>
    <row r="1465">
      <c r="E1465" s="15"/>
    </row>
    <row r="1466">
      <c r="E1466" s="15"/>
    </row>
    <row r="1467">
      <c r="E1467" s="15"/>
    </row>
    <row r="1468">
      <c r="E1468" s="15"/>
    </row>
    <row r="1469">
      <c r="E1469" s="15"/>
    </row>
    <row r="1470">
      <c r="E1470" s="15"/>
    </row>
    <row r="1471">
      <c r="E1471" s="15"/>
    </row>
    <row r="1472">
      <c r="E1472" s="15"/>
    </row>
    <row r="1473">
      <c r="E1473" s="15"/>
    </row>
    <row r="1474">
      <c r="E1474" s="15"/>
    </row>
    <row r="1475">
      <c r="E1475" s="15"/>
    </row>
    <row r="1476">
      <c r="E1476" s="15"/>
    </row>
    <row r="1477">
      <c r="E1477" s="15"/>
    </row>
    <row r="1478">
      <c r="E1478" s="15"/>
    </row>
    <row r="1479">
      <c r="E1479" s="15"/>
    </row>
    <row r="1480">
      <c r="E1480" s="15"/>
    </row>
    <row r="1481">
      <c r="E1481" s="15"/>
    </row>
    <row r="1482">
      <c r="E1482" s="15"/>
    </row>
    <row r="1483">
      <c r="E1483" s="15"/>
    </row>
    <row r="1484">
      <c r="E1484" s="15"/>
    </row>
    <row r="1485">
      <c r="E1485" s="15"/>
    </row>
    <row r="1486">
      <c r="E1486" s="15"/>
    </row>
    <row r="1487">
      <c r="E1487" s="15"/>
    </row>
    <row r="1488">
      <c r="E1488" s="15"/>
    </row>
    <row r="1489">
      <c r="E1489" s="15"/>
    </row>
    <row r="1490">
      <c r="E1490" s="15"/>
    </row>
    <row r="1491">
      <c r="E1491" s="15"/>
    </row>
    <row r="1492">
      <c r="E1492" s="15"/>
    </row>
    <row r="1493">
      <c r="E1493" s="15"/>
    </row>
    <row r="1494">
      <c r="E1494" s="15"/>
    </row>
    <row r="1495">
      <c r="E1495" s="15"/>
    </row>
    <row r="1496">
      <c r="E1496" s="15"/>
    </row>
    <row r="1497">
      <c r="E1497" s="15"/>
    </row>
    <row r="1498">
      <c r="E1498" s="15"/>
    </row>
    <row r="1499">
      <c r="E1499" s="15"/>
    </row>
    <row r="1500">
      <c r="E1500" s="15"/>
    </row>
    <row r="1501">
      <c r="E1501" s="15"/>
    </row>
    <row r="1502">
      <c r="E1502" s="15"/>
    </row>
    <row r="1503">
      <c r="E1503" s="15"/>
    </row>
    <row r="1504">
      <c r="E1504" s="15"/>
    </row>
    <row r="1505">
      <c r="E1505" s="15"/>
    </row>
    <row r="1506">
      <c r="E1506" s="15"/>
    </row>
    <row r="1507">
      <c r="E1507" s="15"/>
    </row>
    <row r="1508">
      <c r="E1508" s="15"/>
    </row>
    <row r="1509">
      <c r="E1509" s="15"/>
    </row>
    <row r="1510">
      <c r="E1510" s="15"/>
    </row>
    <row r="1511">
      <c r="E1511" s="15"/>
    </row>
    <row r="1512">
      <c r="E1512" s="15"/>
    </row>
    <row r="1513">
      <c r="E1513" s="15"/>
    </row>
    <row r="1514">
      <c r="E1514" s="15"/>
    </row>
    <row r="1515">
      <c r="E1515" s="15"/>
    </row>
    <row r="1516">
      <c r="E1516" s="15"/>
    </row>
    <row r="1517">
      <c r="E1517" s="15"/>
    </row>
    <row r="1518">
      <c r="E1518" s="15"/>
    </row>
    <row r="1519">
      <c r="E1519" s="15"/>
    </row>
    <row r="1520">
      <c r="E1520" s="15"/>
    </row>
    <row r="1521">
      <c r="E1521" s="15"/>
    </row>
    <row r="1522">
      <c r="E1522" s="15"/>
    </row>
    <row r="1523">
      <c r="E1523" s="15"/>
    </row>
    <row r="1524">
      <c r="E1524" s="15"/>
    </row>
    <row r="1525">
      <c r="E1525" s="15"/>
    </row>
    <row r="1526">
      <c r="E1526" s="15"/>
    </row>
    <row r="1527">
      <c r="E1527" s="15"/>
    </row>
    <row r="1528">
      <c r="E1528" s="15"/>
    </row>
    <row r="1529">
      <c r="E1529" s="15"/>
    </row>
    <row r="1530">
      <c r="E1530" s="15"/>
    </row>
    <row r="1531">
      <c r="E1531" s="15"/>
    </row>
    <row r="1532">
      <c r="E1532" s="15"/>
    </row>
    <row r="1533">
      <c r="E1533" s="15"/>
    </row>
    <row r="1534">
      <c r="E1534" s="15"/>
    </row>
    <row r="1535">
      <c r="E1535" s="15"/>
    </row>
    <row r="1536">
      <c r="E1536" s="15"/>
    </row>
    <row r="1537">
      <c r="E1537" s="15"/>
    </row>
    <row r="1538">
      <c r="E1538" s="15"/>
    </row>
    <row r="1539">
      <c r="E1539" s="15"/>
    </row>
    <row r="1540">
      <c r="E1540" s="15"/>
    </row>
    <row r="1541">
      <c r="E1541" s="15"/>
    </row>
    <row r="1542">
      <c r="E1542" s="15"/>
    </row>
    <row r="1543">
      <c r="E1543" s="15"/>
    </row>
    <row r="1544">
      <c r="E1544" s="15"/>
    </row>
    <row r="1545">
      <c r="E1545" s="15"/>
    </row>
    <row r="1546">
      <c r="E1546" s="15"/>
    </row>
    <row r="1547">
      <c r="E1547" s="15"/>
    </row>
    <row r="1548">
      <c r="E1548" s="15"/>
    </row>
    <row r="1549">
      <c r="E1549" s="15"/>
    </row>
    <row r="1550">
      <c r="E1550" s="15"/>
    </row>
    <row r="1551">
      <c r="E1551" s="15"/>
    </row>
    <row r="1552">
      <c r="E1552" s="15"/>
    </row>
    <row r="1553">
      <c r="E1553" s="15"/>
    </row>
    <row r="1554">
      <c r="E1554" s="15"/>
    </row>
    <row r="1555">
      <c r="E1555" s="15"/>
    </row>
    <row r="1556">
      <c r="E1556" s="15"/>
    </row>
    <row r="1557">
      <c r="E1557" s="15"/>
    </row>
    <row r="1558">
      <c r="E1558" s="15"/>
    </row>
    <row r="1559">
      <c r="E1559" s="15"/>
    </row>
    <row r="1560">
      <c r="E1560" s="15"/>
    </row>
    <row r="1561">
      <c r="E1561" s="15"/>
    </row>
    <row r="1562">
      <c r="E1562" s="15"/>
    </row>
    <row r="1563">
      <c r="E1563" s="15"/>
    </row>
    <row r="1564">
      <c r="E1564" s="15"/>
    </row>
    <row r="1565">
      <c r="E1565" s="15"/>
    </row>
    <row r="1566">
      <c r="E1566" s="15"/>
    </row>
    <row r="1567">
      <c r="E1567" s="15"/>
    </row>
    <row r="1568">
      <c r="E1568" s="15"/>
    </row>
    <row r="1569">
      <c r="E1569" s="15"/>
    </row>
    <row r="1570">
      <c r="E1570" s="15"/>
    </row>
    <row r="1571">
      <c r="E1571" s="15"/>
    </row>
    <row r="1572">
      <c r="E1572" s="15"/>
    </row>
    <row r="1573">
      <c r="E1573" s="15"/>
    </row>
    <row r="1574">
      <c r="E1574" s="15"/>
    </row>
    <row r="1575">
      <c r="E1575" s="15"/>
    </row>
    <row r="1576">
      <c r="E1576" s="15"/>
    </row>
    <row r="1577">
      <c r="E1577" s="15"/>
    </row>
    <row r="1578">
      <c r="E1578" s="15"/>
    </row>
    <row r="1579">
      <c r="E1579" s="15"/>
    </row>
    <row r="1580">
      <c r="E1580" s="15"/>
    </row>
    <row r="1581">
      <c r="E1581" s="15"/>
    </row>
    <row r="1582">
      <c r="E1582" s="15"/>
    </row>
    <row r="1583">
      <c r="E1583" s="15"/>
    </row>
    <row r="1584">
      <c r="E1584" s="15"/>
    </row>
    <row r="1585">
      <c r="E1585" s="15"/>
    </row>
    <row r="1586">
      <c r="E1586" s="15"/>
    </row>
    <row r="1587">
      <c r="E1587" s="15"/>
    </row>
    <row r="1588">
      <c r="E1588" s="15"/>
    </row>
    <row r="1589">
      <c r="E1589" s="15"/>
    </row>
    <row r="1590">
      <c r="E1590" s="15"/>
    </row>
    <row r="1591">
      <c r="E1591" s="15"/>
    </row>
    <row r="1592">
      <c r="E1592" s="15"/>
    </row>
    <row r="1593">
      <c r="E1593" s="15"/>
    </row>
    <row r="1594">
      <c r="E1594" s="15"/>
    </row>
    <row r="1595">
      <c r="E1595" s="15"/>
    </row>
    <row r="1596">
      <c r="E1596" s="15"/>
    </row>
    <row r="1597">
      <c r="E1597" s="15"/>
    </row>
    <row r="1598">
      <c r="E1598" s="15"/>
    </row>
    <row r="1599">
      <c r="E1599" s="15"/>
    </row>
    <row r="1600">
      <c r="E1600" s="15"/>
    </row>
    <row r="1601">
      <c r="E1601" s="15"/>
    </row>
    <row r="1602">
      <c r="E1602" s="15"/>
    </row>
    <row r="1603">
      <c r="E1603" s="15"/>
    </row>
    <row r="1604">
      <c r="E1604" s="15"/>
    </row>
    <row r="1605">
      <c r="E1605" s="15"/>
    </row>
    <row r="1606">
      <c r="E1606" s="15"/>
    </row>
    <row r="1607">
      <c r="E1607" s="15"/>
    </row>
    <row r="1608">
      <c r="E1608" s="15"/>
    </row>
    <row r="1609">
      <c r="E1609" s="15"/>
    </row>
    <row r="1610">
      <c r="E1610" s="15"/>
    </row>
    <row r="1611">
      <c r="E1611" s="15"/>
    </row>
    <row r="1612">
      <c r="E1612" s="15"/>
    </row>
    <row r="1613">
      <c r="E1613" s="15"/>
    </row>
    <row r="1614">
      <c r="E1614" s="15"/>
    </row>
    <row r="1615">
      <c r="E1615" s="15"/>
    </row>
    <row r="1616">
      <c r="E1616" s="15"/>
    </row>
    <row r="1617">
      <c r="E1617" s="15"/>
    </row>
    <row r="1618">
      <c r="E1618" s="15"/>
    </row>
    <row r="1619">
      <c r="E1619" s="15"/>
    </row>
    <row r="1620">
      <c r="E1620" s="15"/>
    </row>
    <row r="1621">
      <c r="E1621" s="15"/>
    </row>
    <row r="1622">
      <c r="E1622" s="15"/>
    </row>
    <row r="1623">
      <c r="E1623" s="15"/>
    </row>
    <row r="1624">
      <c r="E1624" s="15"/>
    </row>
    <row r="1625">
      <c r="E1625" s="15"/>
    </row>
    <row r="1626">
      <c r="E1626" s="15"/>
    </row>
    <row r="1627">
      <c r="E1627" s="15"/>
    </row>
    <row r="1628">
      <c r="E1628" s="15"/>
    </row>
    <row r="1629">
      <c r="E1629" s="15"/>
    </row>
    <row r="1630">
      <c r="E1630" s="15"/>
    </row>
    <row r="1631">
      <c r="E1631" s="15"/>
    </row>
    <row r="1632">
      <c r="E1632" s="15"/>
    </row>
    <row r="1633">
      <c r="E1633" s="15"/>
    </row>
    <row r="1634">
      <c r="E1634" s="15"/>
    </row>
    <row r="1635">
      <c r="E1635" s="15"/>
    </row>
    <row r="1636">
      <c r="E1636" s="15"/>
    </row>
    <row r="1637">
      <c r="E1637" s="15"/>
    </row>
    <row r="1638">
      <c r="E1638" s="15"/>
    </row>
    <row r="1639">
      <c r="E1639" s="15"/>
    </row>
    <row r="1640">
      <c r="E1640" s="15"/>
    </row>
    <row r="1641">
      <c r="E1641" s="15"/>
    </row>
    <row r="1642">
      <c r="E1642" s="15"/>
    </row>
    <row r="1643">
      <c r="E1643" s="15"/>
    </row>
    <row r="1644">
      <c r="E1644" s="15"/>
    </row>
    <row r="1645">
      <c r="E1645" s="15"/>
    </row>
    <row r="1646">
      <c r="E1646" s="15"/>
    </row>
    <row r="1647">
      <c r="E1647" s="15"/>
    </row>
    <row r="1648">
      <c r="E1648" s="15"/>
    </row>
    <row r="1649">
      <c r="E1649" s="15"/>
    </row>
    <row r="1650">
      <c r="E1650" s="15"/>
    </row>
    <row r="1651">
      <c r="E1651" s="15"/>
    </row>
    <row r="1652">
      <c r="E1652" s="15"/>
    </row>
    <row r="1653">
      <c r="E1653" s="15"/>
    </row>
    <row r="1654">
      <c r="E1654" s="15"/>
    </row>
    <row r="1655">
      <c r="E1655" s="15"/>
    </row>
    <row r="1656">
      <c r="E1656" s="15"/>
    </row>
    <row r="1657">
      <c r="E1657" s="15"/>
    </row>
    <row r="1658">
      <c r="E1658" s="15"/>
    </row>
    <row r="1659">
      <c r="E1659" s="15"/>
    </row>
    <row r="1660">
      <c r="E1660" s="15"/>
    </row>
    <row r="1661">
      <c r="E1661" s="15"/>
    </row>
    <row r="1662">
      <c r="E1662" s="15"/>
    </row>
    <row r="1663">
      <c r="E1663" s="15"/>
    </row>
    <row r="1664">
      <c r="E1664" s="15"/>
    </row>
    <row r="1665">
      <c r="E1665" s="15"/>
    </row>
    <row r="1666">
      <c r="E1666" s="15"/>
    </row>
    <row r="1667">
      <c r="E1667" s="15"/>
    </row>
    <row r="1668">
      <c r="E1668" s="15"/>
    </row>
    <row r="1669">
      <c r="E1669" s="15"/>
    </row>
    <row r="1670">
      <c r="E1670" s="15"/>
    </row>
    <row r="1671">
      <c r="E1671" s="15"/>
    </row>
    <row r="1672">
      <c r="E1672" s="15"/>
    </row>
    <row r="1673">
      <c r="E1673" s="15"/>
    </row>
    <row r="1674">
      <c r="E1674" s="15"/>
    </row>
    <row r="1675">
      <c r="E1675" s="15"/>
    </row>
    <row r="1676">
      <c r="E1676" s="15"/>
    </row>
    <row r="1677">
      <c r="E1677" s="15"/>
    </row>
    <row r="1678">
      <c r="E1678" s="15"/>
    </row>
    <row r="1679">
      <c r="E1679" s="15"/>
    </row>
    <row r="1680">
      <c r="E1680" s="15"/>
    </row>
    <row r="1681">
      <c r="E1681" s="15"/>
    </row>
    <row r="1682">
      <c r="E1682" s="15"/>
    </row>
    <row r="1683">
      <c r="E1683" s="15"/>
    </row>
    <row r="1684">
      <c r="E1684" s="15"/>
    </row>
    <row r="1685">
      <c r="E1685" s="15"/>
    </row>
    <row r="1686">
      <c r="E1686" s="15"/>
    </row>
    <row r="1687">
      <c r="E1687" s="15"/>
    </row>
    <row r="1688">
      <c r="E1688" s="15"/>
    </row>
    <row r="1689">
      <c r="E1689" s="15"/>
    </row>
    <row r="1690">
      <c r="E1690" s="15"/>
    </row>
    <row r="1691">
      <c r="E1691" s="15"/>
    </row>
    <row r="1692">
      <c r="E1692" s="15"/>
    </row>
    <row r="1693">
      <c r="E1693" s="15"/>
    </row>
    <row r="1694">
      <c r="E1694" s="15"/>
    </row>
    <row r="1695">
      <c r="E1695" s="15"/>
    </row>
    <row r="1696">
      <c r="E1696" s="15"/>
    </row>
    <row r="1697">
      <c r="E1697" s="15"/>
    </row>
    <row r="1698">
      <c r="E1698" s="15"/>
    </row>
    <row r="1699">
      <c r="E1699" s="15"/>
    </row>
    <row r="1700">
      <c r="E1700" s="15"/>
    </row>
    <row r="1701">
      <c r="E1701" s="15"/>
    </row>
    <row r="1702">
      <c r="E1702" s="15"/>
    </row>
    <row r="1703">
      <c r="E1703" s="15"/>
    </row>
    <row r="1704">
      <c r="E1704" s="15"/>
    </row>
    <row r="1705">
      <c r="E1705" s="15"/>
    </row>
    <row r="1706">
      <c r="E1706" s="15"/>
    </row>
    <row r="1707">
      <c r="E1707" s="15"/>
    </row>
    <row r="1708">
      <c r="E1708" s="15"/>
    </row>
    <row r="1709">
      <c r="E1709" s="15"/>
    </row>
    <row r="1710">
      <c r="E1710" s="15"/>
    </row>
    <row r="1711">
      <c r="E1711" s="15"/>
    </row>
    <row r="1712">
      <c r="E1712" s="15"/>
    </row>
    <row r="1713">
      <c r="E1713" s="15"/>
    </row>
    <row r="1714">
      <c r="E1714" s="15"/>
    </row>
    <row r="1715">
      <c r="E1715" s="15"/>
    </row>
    <row r="1716">
      <c r="E1716" s="15"/>
    </row>
    <row r="1717">
      <c r="E1717" s="15"/>
    </row>
    <row r="1718">
      <c r="E1718" s="15"/>
    </row>
    <row r="1719">
      <c r="E1719" s="15"/>
    </row>
    <row r="1720">
      <c r="E1720" s="15"/>
    </row>
    <row r="1721">
      <c r="E1721" s="15"/>
    </row>
    <row r="1722">
      <c r="E1722" s="15"/>
    </row>
    <row r="1723">
      <c r="E1723" s="15"/>
    </row>
    <row r="1724">
      <c r="E1724" s="15"/>
    </row>
    <row r="1725">
      <c r="E1725" s="15"/>
    </row>
    <row r="1726">
      <c r="E1726" s="15"/>
    </row>
    <row r="1727">
      <c r="E1727" s="15"/>
    </row>
    <row r="1728">
      <c r="E1728" s="15"/>
    </row>
    <row r="1729">
      <c r="E1729" s="15"/>
    </row>
    <row r="1730">
      <c r="E1730" s="15"/>
    </row>
    <row r="1731">
      <c r="E1731" s="15"/>
    </row>
    <row r="1732">
      <c r="E1732" s="15"/>
    </row>
    <row r="1733">
      <c r="E1733" s="15"/>
    </row>
    <row r="1734">
      <c r="E1734" s="15"/>
    </row>
    <row r="1735">
      <c r="E1735" s="15"/>
    </row>
    <row r="1736">
      <c r="E1736" s="15"/>
    </row>
    <row r="1737">
      <c r="E1737" s="15"/>
    </row>
    <row r="1738">
      <c r="E1738" s="15"/>
    </row>
    <row r="1739">
      <c r="E1739" s="15"/>
    </row>
    <row r="1740">
      <c r="E1740" s="15"/>
    </row>
    <row r="1741">
      <c r="E1741" s="15"/>
    </row>
    <row r="1742">
      <c r="E1742" s="15"/>
    </row>
    <row r="1743">
      <c r="E1743" s="15"/>
    </row>
    <row r="1744">
      <c r="E1744" s="15"/>
    </row>
    <row r="1745">
      <c r="E1745" s="15"/>
    </row>
    <row r="1746">
      <c r="E1746" s="15"/>
    </row>
    <row r="1747">
      <c r="E1747" s="15"/>
    </row>
    <row r="1748">
      <c r="E1748" s="15"/>
    </row>
    <row r="1749">
      <c r="E1749" s="15"/>
    </row>
    <row r="1750">
      <c r="E1750" s="15"/>
    </row>
    <row r="1751">
      <c r="E1751" s="15"/>
    </row>
    <row r="1752">
      <c r="E1752" s="15"/>
    </row>
    <row r="1753">
      <c r="E1753" s="15"/>
    </row>
    <row r="1754">
      <c r="E1754" s="15"/>
    </row>
    <row r="1755">
      <c r="E1755" s="15"/>
    </row>
    <row r="1756">
      <c r="E1756" s="15"/>
    </row>
    <row r="1757">
      <c r="E1757" s="15"/>
    </row>
    <row r="1758">
      <c r="E1758" s="15"/>
    </row>
    <row r="1759">
      <c r="E1759" s="15"/>
    </row>
    <row r="1760">
      <c r="E1760" s="15"/>
    </row>
    <row r="1761">
      <c r="E1761" s="15"/>
    </row>
    <row r="1762">
      <c r="E1762" s="15"/>
    </row>
    <row r="1763">
      <c r="E1763" s="15"/>
    </row>
    <row r="1764">
      <c r="E1764" s="15"/>
    </row>
    <row r="1765">
      <c r="E1765" s="15"/>
    </row>
    <row r="1766">
      <c r="E1766" s="15"/>
    </row>
    <row r="1767">
      <c r="E1767" s="15"/>
    </row>
    <row r="1768">
      <c r="E1768" s="15"/>
    </row>
    <row r="1769">
      <c r="E1769" s="15"/>
    </row>
    <row r="1770">
      <c r="E1770" s="15"/>
    </row>
    <row r="1771">
      <c r="E1771" s="15"/>
    </row>
    <row r="1772">
      <c r="E1772" s="15"/>
    </row>
    <row r="1773">
      <c r="E1773" s="15"/>
    </row>
    <row r="1774">
      <c r="E1774" s="15"/>
    </row>
    <row r="1775">
      <c r="E1775" s="15"/>
    </row>
    <row r="1776">
      <c r="E1776" s="15"/>
    </row>
    <row r="1777">
      <c r="E1777" s="15"/>
    </row>
    <row r="1778">
      <c r="E1778" s="15"/>
    </row>
    <row r="1779">
      <c r="E1779" s="15"/>
    </row>
    <row r="1780">
      <c r="E1780" s="15"/>
    </row>
    <row r="1781">
      <c r="E1781" s="15"/>
    </row>
    <row r="1782">
      <c r="E1782" s="15"/>
    </row>
    <row r="1783">
      <c r="E1783" s="15"/>
    </row>
    <row r="1784">
      <c r="E1784" s="15"/>
    </row>
    <row r="1785">
      <c r="E1785" s="15"/>
    </row>
    <row r="1786">
      <c r="E1786" s="15"/>
    </row>
    <row r="1787">
      <c r="E1787" s="15"/>
    </row>
    <row r="1788">
      <c r="E1788" s="15"/>
    </row>
    <row r="1789">
      <c r="E1789" s="15"/>
    </row>
    <row r="1790">
      <c r="E1790" s="15"/>
    </row>
    <row r="1791">
      <c r="E1791" s="15"/>
    </row>
    <row r="1792">
      <c r="E1792" s="15"/>
    </row>
    <row r="1793">
      <c r="E1793" s="15"/>
    </row>
    <row r="1794">
      <c r="E1794" s="15"/>
    </row>
    <row r="1795">
      <c r="E1795" s="15"/>
    </row>
    <row r="1796">
      <c r="E1796" s="15"/>
    </row>
    <row r="1797">
      <c r="E1797" s="15"/>
    </row>
    <row r="1798">
      <c r="E1798" s="15"/>
    </row>
    <row r="1799">
      <c r="E1799" s="15"/>
    </row>
    <row r="1800">
      <c r="E1800" s="15"/>
    </row>
    <row r="1801">
      <c r="E1801" s="15"/>
    </row>
    <row r="1802">
      <c r="E1802" s="15"/>
    </row>
    <row r="1803">
      <c r="E1803" s="15"/>
    </row>
    <row r="1804">
      <c r="E1804" s="15"/>
    </row>
    <row r="1805">
      <c r="E1805" s="15"/>
    </row>
    <row r="1806">
      <c r="E1806" s="15"/>
    </row>
    <row r="1807">
      <c r="E1807" s="15"/>
    </row>
    <row r="1808">
      <c r="E1808" s="15"/>
    </row>
    <row r="1809">
      <c r="E1809" s="15"/>
    </row>
    <row r="1810">
      <c r="E1810" s="15"/>
    </row>
    <row r="1811">
      <c r="E1811" s="15"/>
    </row>
    <row r="1812">
      <c r="E1812" s="15"/>
    </row>
    <row r="1813">
      <c r="E1813" s="15"/>
    </row>
    <row r="1814">
      <c r="E1814" s="15"/>
    </row>
    <row r="1815">
      <c r="E1815" s="15"/>
    </row>
    <row r="1816">
      <c r="E1816" s="15"/>
    </row>
    <row r="1817">
      <c r="E1817" s="15"/>
    </row>
    <row r="1818">
      <c r="E1818" s="15"/>
    </row>
    <row r="1819">
      <c r="E1819" s="15"/>
    </row>
    <row r="1820">
      <c r="E1820" s="15"/>
    </row>
    <row r="1821">
      <c r="E1821" s="15"/>
    </row>
    <row r="1822">
      <c r="E1822" s="15"/>
    </row>
    <row r="1823">
      <c r="E1823" s="15"/>
    </row>
    <row r="1824">
      <c r="E1824" s="15"/>
    </row>
    <row r="1825">
      <c r="E1825" s="15"/>
    </row>
    <row r="1826">
      <c r="E1826" s="15"/>
    </row>
    <row r="1827">
      <c r="E1827" s="15"/>
    </row>
    <row r="1828">
      <c r="E1828" s="15"/>
    </row>
    <row r="1829">
      <c r="E1829" s="15"/>
    </row>
    <row r="1830">
      <c r="E1830" s="15"/>
    </row>
    <row r="1831">
      <c r="E1831" s="15"/>
    </row>
    <row r="1832">
      <c r="E1832" s="15"/>
    </row>
    <row r="1833">
      <c r="E1833" s="15"/>
    </row>
    <row r="1834">
      <c r="E1834" s="15"/>
    </row>
    <row r="1835">
      <c r="E1835" s="15"/>
    </row>
    <row r="1836">
      <c r="E1836" s="15"/>
    </row>
    <row r="1837">
      <c r="E1837" s="15"/>
    </row>
    <row r="1838">
      <c r="E1838" s="15"/>
    </row>
    <row r="1839">
      <c r="E1839" s="15"/>
    </row>
    <row r="1840">
      <c r="E1840" s="15"/>
    </row>
    <row r="1841">
      <c r="E1841" s="15"/>
    </row>
    <row r="1842">
      <c r="E1842" s="15"/>
    </row>
    <row r="1843">
      <c r="E1843" s="15"/>
    </row>
    <row r="1844">
      <c r="E1844" s="15"/>
    </row>
    <row r="1845">
      <c r="E1845" s="15"/>
    </row>
    <row r="1846">
      <c r="E1846" s="15"/>
    </row>
    <row r="1847">
      <c r="E1847" s="15"/>
    </row>
    <row r="1848">
      <c r="E1848" s="15"/>
    </row>
    <row r="1849">
      <c r="E1849" s="15"/>
    </row>
    <row r="1850">
      <c r="E1850" s="15"/>
    </row>
    <row r="1851">
      <c r="E1851" s="15"/>
    </row>
    <row r="1852">
      <c r="E1852" s="15"/>
    </row>
    <row r="1853">
      <c r="E1853" s="15"/>
    </row>
    <row r="1854">
      <c r="E1854" s="15"/>
    </row>
    <row r="1855">
      <c r="E1855" s="15"/>
    </row>
    <row r="1856">
      <c r="E1856" s="15"/>
    </row>
    <row r="1857">
      <c r="E1857" s="15"/>
    </row>
    <row r="1858">
      <c r="E1858" s="15"/>
    </row>
    <row r="1859">
      <c r="E1859" s="15"/>
    </row>
    <row r="1860">
      <c r="E1860" s="15"/>
    </row>
    <row r="1861">
      <c r="E1861" s="15"/>
    </row>
    <row r="1862">
      <c r="E1862" s="15"/>
    </row>
    <row r="1863">
      <c r="E1863" s="15"/>
    </row>
    <row r="1864">
      <c r="E1864" s="15"/>
    </row>
    <row r="1865">
      <c r="E1865" s="15"/>
    </row>
    <row r="1866">
      <c r="E1866" s="15"/>
    </row>
    <row r="1867">
      <c r="E1867" s="15"/>
    </row>
    <row r="1868">
      <c r="E1868" s="15"/>
    </row>
    <row r="1869">
      <c r="E1869" s="15"/>
    </row>
    <row r="1870">
      <c r="E1870" s="15"/>
    </row>
    <row r="1871">
      <c r="E1871" s="15"/>
    </row>
    <row r="1872">
      <c r="E1872" s="15"/>
    </row>
    <row r="1873">
      <c r="E1873" s="15"/>
    </row>
    <row r="1874">
      <c r="E1874" s="15"/>
    </row>
    <row r="1875">
      <c r="E1875" s="15"/>
    </row>
    <row r="1876">
      <c r="E1876" s="15"/>
    </row>
    <row r="1877">
      <c r="E1877" s="15"/>
    </row>
    <row r="1878">
      <c r="E1878" s="15"/>
    </row>
    <row r="1879">
      <c r="E1879" s="15"/>
    </row>
    <row r="1880">
      <c r="E1880" s="15"/>
    </row>
    <row r="1881">
      <c r="E1881" s="15"/>
    </row>
    <row r="1882">
      <c r="E1882" s="15"/>
    </row>
    <row r="1883">
      <c r="E1883" s="15"/>
    </row>
    <row r="1884">
      <c r="E1884" s="15"/>
    </row>
    <row r="1885">
      <c r="E1885" s="15"/>
    </row>
    <row r="1886">
      <c r="E1886" s="15"/>
    </row>
    <row r="1887">
      <c r="E1887" s="15"/>
    </row>
    <row r="1888">
      <c r="E1888" s="15"/>
    </row>
    <row r="1889">
      <c r="E1889" s="15"/>
    </row>
    <row r="1890">
      <c r="E1890" s="15"/>
    </row>
    <row r="1891">
      <c r="E1891" s="15"/>
    </row>
    <row r="1892">
      <c r="E1892" s="15"/>
    </row>
    <row r="1893">
      <c r="E1893" s="15"/>
    </row>
    <row r="1894">
      <c r="E1894" s="15"/>
    </row>
    <row r="1895">
      <c r="E1895" s="15"/>
    </row>
    <row r="1896">
      <c r="E1896" s="15"/>
    </row>
    <row r="1897">
      <c r="E1897" s="15"/>
    </row>
    <row r="1898">
      <c r="E1898" s="15"/>
    </row>
    <row r="1899">
      <c r="E1899" s="15"/>
    </row>
    <row r="1900">
      <c r="E1900" s="15"/>
    </row>
    <row r="1901">
      <c r="E1901" s="15"/>
    </row>
    <row r="1902">
      <c r="E1902" s="15"/>
    </row>
    <row r="1903">
      <c r="E1903" s="15"/>
    </row>
    <row r="1904">
      <c r="E1904" s="15"/>
    </row>
    <row r="1905">
      <c r="E1905" s="15"/>
    </row>
    <row r="1906">
      <c r="E1906" s="15"/>
    </row>
    <row r="1907">
      <c r="E1907" s="15"/>
    </row>
    <row r="1908">
      <c r="E1908" s="15"/>
    </row>
    <row r="1909">
      <c r="E1909" s="15"/>
    </row>
    <row r="1910">
      <c r="E1910" s="15"/>
    </row>
    <row r="1911">
      <c r="E1911" s="15"/>
    </row>
    <row r="1912">
      <c r="E1912" s="15"/>
    </row>
    <row r="1913">
      <c r="E1913" s="15"/>
    </row>
    <row r="1914">
      <c r="E1914" s="15"/>
    </row>
    <row r="1915">
      <c r="E1915" s="15"/>
    </row>
    <row r="1916">
      <c r="E1916" s="15"/>
    </row>
    <row r="1917">
      <c r="E1917" s="15"/>
    </row>
    <row r="1918">
      <c r="E1918" s="15"/>
    </row>
    <row r="1919">
      <c r="E1919" s="15"/>
    </row>
    <row r="1920">
      <c r="E1920" s="15"/>
    </row>
    <row r="1921">
      <c r="E1921" s="15"/>
    </row>
    <row r="1922">
      <c r="E1922" s="15"/>
    </row>
    <row r="1923">
      <c r="E1923" s="15"/>
    </row>
    <row r="1924">
      <c r="E1924" s="15"/>
    </row>
    <row r="1925">
      <c r="E1925" s="15"/>
    </row>
    <row r="1926">
      <c r="E1926" s="15"/>
    </row>
    <row r="1927">
      <c r="E1927" s="15"/>
    </row>
    <row r="1928">
      <c r="E1928" s="15"/>
    </row>
    <row r="1929">
      <c r="E1929" s="15"/>
    </row>
    <row r="1930">
      <c r="E1930" s="15"/>
    </row>
    <row r="1931">
      <c r="E1931" s="15"/>
    </row>
    <row r="1932">
      <c r="E1932" s="15"/>
    </row>
    <row r="1933">
      <c r="E1933" s="15"/>
    </row>
    <row r="1934">
      <c r="E1934" s="15"/>
    </row>
    <row r="1935">
      <c r="E1935" s="15"/>
    </row>
    <row r="1936">
      <c r="E1936" s="15"/>
    </row>
    <row r="1937">
      <c r="E1937" s="15"/>
    </row>
    <row r="1938">
      <c r="E1938" s="15"/>
    </row>
    <row r="1939">
      <c r="E1939" s="15"/>
    </row>
    <row r="1940">
      <c r="E1940" s="15"/>
    </row>
    <row r="1941">
      <c r="E1941" s="15"/>
    </row>
    <row r="1942">
      <c r="E1942" s="15"/>
    </row>
    <row r="1943">
      <c r="E1943" s="15"/>
    </row>
    <row r="1944">
      <c r="E1944" s="15"/>
    </row>
    <row r="1945">
      <c r="E1945" s="15"/>
    </row>
    <row r="1946">
      <c r="E1946" s="15"/>
    </row>
    <row r="1947">
      <c r="E1947" s="15"/>
    </row>
    <row r="1948">
      <c r="E1948" s="15"/>
    </row>
    <row r="1949">
      <c r="E1949" s="15"/>
    </row>
    <row r="1950">
      <c r="E1950" s="15"/>
    </row>
    <row r="1951">
      <c r="E1951" s="15"/>
    </row>
    <row r="1952">
      <c r="E1952" s="15"/>
    </row>
    <row r="1953">
      <c r="E1953" s="15"/>
    </row>
    <row r="1954">
      <c r="E1954" s="15"/>
    </row>
    <row r="1955">
      <c r="E1955" s="15"/>
    </row>
    <row r="1956">
      <c r="E1956" s="15"/>
    </row>
    <row r="1957">
      <c r="E1957" s="15"/>
    </row>
    <row r="1958">
      <c r="E1958" s="15"/>
    </row>
    <row r="1959">
      <c r="E1959" s="15"/>
    </row>
    <row r="1960">
      <c r="E1960" s="15"/>
    </row>
    <row r="1961">
      <c r="E1961" s="15"/>
    </row>
    <row r="1962">
      <c r="E1962" s="15"/>
    </row>
    <row r="1963">
      <c r="E1963" s="15"/>
    </row>
    <row r="1964">
      <c r="E1964" s="15"/>
    </row>
    <row r="1965">
      <c r="E1965" s="15"/>
    </row>
    <row r="1966">
      <c r="E1966" s="15"/>
    </row>
    <row r="1967">
      <c r="E1967" s="15"/>
    </row>
    <row r="1968">
      <c r="E1968" s="15"/>
    </row>
    <row r="1969">
      <c r="E1969" s="15"/>
    </row>
    <row r="1970">
      <c r="E1970" s="15"/>
    </row>
    <row r="1971">
      <c r="E1971" s="15"/>
    </row>
    <row r="1972">
      <c r="E1972" s="15"/>
    </row>
    <row r="1973">
      <c r="E1973" s="15"/>
    </row>
    <row r="1974">
      <c r="E1974" s="15"/>
    </row>
    <row r="1975">
      <c r="E1975" s="15"/>
    </row>
    <row r="1976">
      <c r="E1976" s="15"/>
    </row>
    <row r="1977">
      <c r="E1977" s="15"/>
    </row>
    <row r="1978">
      <c r="E1978" s="15"/>
    </row>
    <row r="1979">
      <c r="E1979" s="15"/>
    </row>
    <row r="1980">
      <c r="E1980" s="15"/>
    </row>
    <row r="1981">
      <c r="E1981" s="15"/>
    </row>
    <row r="1982">
      <c r="E1982" s="15"/>
    </row>
    <row r="1983">
      <c r="E1983" s="15"/>
    </row>
    <row r="1984">
      <c r="E1984" s="15"/>
    </row>
    <row r="1985">
      <c r="E1985" s="15"/>
    </row>
    <row r="1986">
      <c r="E1986" s="15"/>
    </row>
    <row r="1987">
      <c r="E1987" s="15"/>
    </row>
    <row r="1988">
      <c r="E1988" s="15"/>
    </row>
    <row r="1989">
      <c r="E1989" s="15"/>
    </row>
    <row r="1990">
      <c r="E1990" s="15"/>
    </row>
    <row r="1991">
      <c r="E1991" s="15"/>
    </row>
    <row r="1992">
      <c r="E1992" s="15"/>
    </row>
    <row r="1993">
      <c r="E1993" s="15"/>
    </row>
    <row r="1994">
      <c r="E1994" s="15"/>
    </row>
    <row r="1995">
      <c r="E1995" s="15"/>
    </row>
    <row r="1996">
      <c r="E1996" s="15"/>
    </row>
    <row r="1997">
      <c r="E1997" s="15"/>
    </row>
    <row r="1998">
      <c r="E1998" s="15"/>
    </row>
    <row r="1999">
      <c r="E1999" s="15"/>
    </row>
    <row r="2000">
      <c r="E2000" s="15"/>
    </row>
    <row r="2001">
      <c r="E2001" s="15"/>
    </row>
    <row r="2002">
      <c r="E2002" s="15"/>
    </row>
    <row r="2003">
      <c r="E2003" s="15"/>
    </row>
    <row r="2004">
      <c r="E2004" s="15"/>
    </row>
    <row r="2005">
      <c r="E2005" s="15"/>
    </row>
    <row r="2006">
      <c r="E2006" s="15"/>
    </row>
    <row r="2007">
      <c r="E2007" s="15"/>
    </row>
    <row r="2008">
      <c r="E2008" s="15"/>
    </row>
    <row r="2009">
      <c r="E2009" s="15"/>
    </row>
    <row r="2010">
      <c r="E2010" s="15"/>
    </row>
    <row r="2011">
      <c r="E2011" s="15"/>
    </row>
    <row r="2012">
      <c r="E2012" s="15"/>
    </row>
    <row r="2013">
      <c r="E2013" s="15"/>
    </row>
    <row r="2014">
      <c r="E2014" s="15"/>
    </row>
    <row r="2015">
      <c r="E2015" s="15"/>
    </row>
    <row r="2016">
      <c r="E2016" s="15"/>
    </row>
    <row r="2017">
      <c r="E2017" s="15"/>
    </row>
    <row r="2018">
      <c r="E2018" s="15"/>
    </row>
    <row r="2019">
      <c r="E2019" s="15"/>
    </row>
    <row r="2020">
      <c r="E2020" s="15"/>
    </row>
    <row r="2021">
      <c r="E2021" s="15"/>
    </row>
    <row r="2022">
      <c r="E2022" s="15"/>
    </row>
    <row r="2023">
      <c r="E2023" s="15"/>
    </row>
    <row r="2024">
      <c r="E2024" s="15"/>
    </row>
    <row r="2025">
      <c r="E2025" s="15"/>
    </row>
    <row r="2026">
      <c r="E2026" s="15"/>
    </row>
    <row r="2027">
      <c r="E2027" s="15"/>
    </row>
    <row r="2028">
      <c r="E2028" s="15"/>
    </row>
    <row r="2029">
      <c r="E2029" s="15"/>
    </row>
    <row r="2030">
      <c r="E2030" s="15"/>
    </row>
    <row r="2031">
      <c r="E2031" s="15"/>
    </row>
    <row r="2032">
      <c r="E2032" s="15"/>
    </row>
    <row r="2033">
      <c r="E2033" s="15"/>
    </row>
    <row r="2034">
      <c r="E2034" s="15"/>
    </row>
    <row r="2035">
      <c r="E2035" s="15"/>
    </row>
    <row r="2036">
      <c r="E2036" s="15"/>
    </row>
    <row r="2037">
      <c r="E2037" s="15"/>
    </row>
    <row r="2038">
      <c r="E2038" s="15"/>
    </row>
    <row r="2039">
      <c r="E2039" s="15"/>
    </row>
    <row r="2040">
      <c r="E2040" s="15"/>
    </row>
    <row r="2041">
      <c r="E2041" s="15"/>
    </row>
    <row r="2042">
      <c r="E2042" s="15"/>
    </row>
    <row r="2043">
      <c r="E2043" s="15"/>
    </row>
    <row r="2044">
      <c r="E2044" s="15"/>
    </row>
    <row r="2045">
      <c r="E2045" s="15"/>
    </row>
    <row r="2046">
      <c r="E2046" s="15"/>
    </row>
    <row r="2047">
      <c r="E2047" s="15"/>
    </row>
    <row r="2048">
      <c r="E2048" s="15"/>
    </row>
    <row r="2049">
      <c r="E2049" s="15"/>
    </row>
    <row r="2050">
      <c r="E2050" s="15"/>
    </row>
    <row r="2051">
      <c r="E2051" s="15"/>
    </row>
    <row r="2052">
      <c r="E2052" s="15"/>
    </row>
    <row r="2053">
      <c r="E2053" s="15"/>
    </row>
    <row r="2054">
      <c r="E2054" s="15"/>
    </row>
    <row r="2055">
      <c r="E2055" s="15"/>
    </row>
    <row r="2056">
      <c r="E2056" s="15"/>
    </row>
    <row r="2057">
      <c r="E2057" s="15"/>
    </row>
    <row r="2058">
      <c r="E2058" s="15"/>
    </row>
    <row r="2059">
      <c r="E2059" s="15"/>
    </row>
    <row r="2060">
      <c r="E2060" s="15"/>
    </row>
    <row r="2061">
      <c r="E2061" s="15"/>
    </row>
    <row r="2062">
      <c r="E2062" s="15"/>
    </row>
    <row r="2063">
      <c r="E2063" s="15"/>
    </row>
    <row r="2064">
      <c r="E2064" s="15"/>
    </row>
    <row r="2065">
      <c r="E2065" s="15"/>
    </row>
    <row r="2066">
      <c r="E2066" s="15"/>
    </row>
    <row r="2067">
      <c r="E2067" s="15"/>
    </row>
    <row r="2068">
      <c r="E2068" s="15"/>
    </row>
    <row r="2069">
      <c r="E2069" s="15"/>
    </row>
    <row r="2070">
      <c r="E2070" s="15"/>
    </row>
    <row r="2071">
      <c r="E2071" s="15"/>
    </row>
    <row r="2072">
      <c r="E2072" s="15"/>
    </row>
    <row r="2073">
      <c r="E2073" s="15"/>
    </row>
    <row r="2074">
      <c r="E2074" s="15"/>
    </row>
    <row r="2075">
      <c r="E2075" s="15"/>
    </row>
    <row r="2076">
      <c r="E2076" s="15"/>
    </row>
    <row r="2077">
      <c r="E2077" s="15"/>
    </row>
    <row r="2078">
      <c r="E2078" s="15"/>
    </row>
    <row r="2079">
      <c r="E2079" s="15"/>
    </row>
    <row r="2080">
      <c r="E2080" s="15"/>
    </row>
    <row r="2081">
      <c r="E2081" s="15"/>
    </row>
    <row r="2082">
      <c r="E2082" s="15"/>
    </row>
    <row r="2083">
      <c r="E2083" s="15"/>
    </row>
    <row r="2084">
      <c r="E2084" s="15"/>
    </row>
    <row r="2085">
      <c r="E2085" s="15"/>
    </row>
    <row r="2086">
      <c r="E2086" s="15"/>
    </row>
    <row r="2087">
      <c r="E2087" s="15"/>
    </row>
    <row r="2088">
      <c r="E2088" s="15"/>
    </row>
    <row r="2089">
      <c r="E2089" s="15"/>
    </row>
    <row r="2090">
      <c r="E2090" s="15"/>
    </row>
    <row r="2091">
      <c r="E2091" s="15"/>
    </row>
    <row r="2092">
      <c r="E2092" s="15"/>
    </row>
    <row r="2093">
      <c r="E2093" s="15"/>
    </row>
    <row r="2094">
      <c r="E2094" s="15"/>
    </row>
    <row r="2095">
      <c r="E2095" s="15"/>
    </row>
    <row r="2096">
      <c r="E2096" s="15"/>
    </row>
    <row r="2097">
      <c r="E2097" s="15"/>
    </row>
    <row r="2098">
      <c r="E2098" s="15"/>
    </row>
    <row r="2099">
      <c r="E2099" s="15"/>
    </row>
    <row r="2100">
      <c r="E2100" s="15"/>
    </row>
    <row r="2101">
      <c r="E2101" s="15"/>
    </row>
    <row r="2102">
      <c r="E2102" s="15"/>
    </row>
    <row r="2103">
      <c r="E2103" s="15"/>
    </row>
    <row r="2104">
      <c r="E2104" s="15"/>
    </row>
    <row r="2105">
      <c r="E2105" s="15"/>
    </row>
    <row r="2106">
      <c r="E2106" s="15"/>
    </row>
    <row r="2107">
      <c r="E2107" s="15"/>
    </row>
    <row r="2108">
      <c r="E2108" s="15"/>
    </row>
    <row r="2109">
      <c r="E2109" s="15"/>
    </row>
    <row r="2110">
      <c r="E2110" s="15"/>
    </row>
    <row r="2111">
      <c r="E2111" s="15"/>
    </row>
    <row r="2112">
      <c r="E2112" s="15"/>
    </row>
    <row r="2113">
      <c r="E2113" s="15"/>
    </row>
    <row r="2114">
      <c r="E2114" s="15"/>
    </row>
    <row r="2115">
      <c r="E2115" s="15"/>
    </row>
    <row r="2116">
      <c r="E2116" s="15"/>
    </row>
    <row r="2117">
      <c r="E2117" s="15"/>
    </row>
    <row r="2118">
      <c r="E2118" s="15"/>
    </row>
    <row r="2119">
      <c r="E2119" s="15"/>
    </row>
    <row r="2120">
      <c r="E2120" s="15"/>
    </row>
    <row r="2121">
      <c r="E2121" s="15"/>
    </row>
    <row r="2122">
      <c r="E2122" s="15"/>
    </row>
    <row r="2123">
      <c r="E2123" s="15"/>
    </row>
    <row r="2124">
      <c r="E2124" s="15"/>
    </row>
    <row r="2125">
      <c r="E2125" s="15"/>
    </row>
    <row r="2126">
      <c r="E2126" s="15"/>
    </row>
    <row r="2127">
      <c r="E2127" s="15"/>
    </row>
    <row r="2128">
      <c r="E2128" s="15"/>
    </row>
    <row r="2129">
      <c r="E2129" s="15"/>
    </row>
    <row r="2130">
      <c r="E2130" s="15"/>
    </row>
    <row r="2131">
      <c r="E2131" s="15"/>
    </row>
    <row r="2132">
      <c r="E2132" s="15"/>
    </row>
    <row r="2133">
      <c r="E2133" s="15"/>
    </row>
    <row r="2134">
      <c r="E2134" s="15"/>
    </row>
    <row r="2135">
      <c r="E2135" s="15"/>
    </row>
    <row r="2136">
      <c r="E2136" s="15"/>
    </row>
    <row r="2137">
      <c r="E2137" s="15"/>
    </row>
    <row r="2138">
      <c r="E2138" s="15"/>
    </row>
    <row r="2139">
      <c r="E2139" s="15"/>
    </row>
    <row r="2140">
      <c r="E2140" s="15"/>
    </row>
    <row r="2141">
      <c r="E2141" s="15"/>
    </row>
    <row r="2142">
      <c r="E2142" s="15"/>
    </row>
    <row r="2143">
      <c r="E2143" s="15"/>
    </row>
    <row r="2144">
      <c r="E2144" s="15"/>
    </row>
    <row r="2145">
      <c r="E2145" s="15"/>
    </row>
    <row r="2146">
      <c r="E2146" s="15"/>
    </row>
    <row r="2147">
      <c r="E2147" s="15"/>
    </row>
    <row r="2148">
      <c r="E2148" s="15"/>
    </row>
    <row r="2149">
      <c r="E2149" s="15"/>
    </row>
    <row r="2150">
      <c r="E2150" s="15"/>
    </row>
    <row r="2151">
      <c r="E2151" s="15"/>
    </row>
    <row r="2152">
      <c r="E2152" s="15"/>
    </row>
    <row r="2153">
      <c r="E2153" s="15"/>
    </row>
    <row r="2154">
      <c r="E2154" s="15"/>
    </row>
    <row r="2155">
      <c r="E2155" s="15"/>
    </row>
    <row r="2156">
      <c r="E2156" s="15"/>
    </row>
    <row r="2157">
      <c r="E2157" s="15"/>
    </row>
    <row r="2158">
      <c r="E2158" s="15"/>
    </row>
    <row r="2159">
      <c r="E2159" s="15"/>
    </row>
    <row r="2160">
      <c r="E2160" s="15"/>
    </row>
    <row r="2161">
      <c r="E2161" s="15"/>
    </row>
    <row r="2162">
      <c r="E2162" s="15"/>
    </row>
    <row r="2163">
      <c r="E2163" s="15"/>
    </row>
    <row r="2164">
      <c r="E2164" s="15"/>
    </row>
    <row r="2165">
      <c r="E2165" s="15"/>
    </row>
    <row r="2166">
      <c r="E2166" s="15"/>
    </row>
    <row r="2167">
      <c r="E2167" s="15"/>
    </row>
    <row r="2168">
      <c r="E2168" s="15"/>
    </row>
    <row r="2169">
      <c r="E2169" s="15"/>
    </row>
    <row r="2170">
      <c r="E2170" s="15"/>
    </row>
    <row r="2171">
      <c r="E2171" s="15"/>
    </row>
    <row r="2172">
      <c r="E2172" s="15"/>
    </row>
    <row r="2173">
      <c r="E2173" s="15"/>
    </row>
    <row r="2174">
      <c r="E2174" s="15"/>
    </row>
    <row r="2175">
      <c r="E2175" s="15"/>
    </row>
    <row r="2176">
      <c r="E2176" s="15"/>
    </row>
    <row r="2177">
      <c r="E2177" s="15"/>
    </row>
    <row r="2178">
      <c r="E2178" s="15"/>
    </row>
    <row r="2179">
      <c r="E2179" s="15"/>
    </row>
    <row r="2180">
      <c r="E2180" s="15"/>
    </row>
    <row r="2181">
      <c r="E2181" s="15"/>
    </row>
    <row r="2182">
      <c r="E2182" s="15"/>
    </row>
    <row r="2183">
      <c r="E2183" s="15"/>
    </row>
    <row r="2184">
      <c r="E2184" s="15"/>
    </row>
    <row r="2185">
      <c r="E2185" s="15"/>
    </row>
    <row r="2186">
      <c r="E2186" s="15"/>
    </row>
    <row r="2187">
      <c r="E2187" s="15"/>
    </row>
    <row r="2188">
      <c r="E2188" s="15"/>
    </row>
    <row r="2189">
      <c r="E2189" s="15"/>
    </row>
    <row r="2190">
      <c r="E2190" s="15"/>
    </row>
    <row r="2191">
      <c r="E2191" s="15"/>
    </row>
    <row r="2192">
      <c r="E2192" s="15"/>
    </row>
    <row r="2193">
      <c r="E2193" s="15"/>
    </row>
    <row r="2194">
      <c r="E2194" s="15"/>
    </row>
    <row r="2195">
      <c r="E2195" s="15"/>
    </row>
    <row r="2196">
      <c r="E2196" s="15"/>
    </row>
    <row r="2197">
      <c r="E2197" s="15"/>
    </row>
    <row r="2198">
      <c r="E2198" s="15"/>
    </row>
    <row r="2199">
      <c r="E2199" s="15"/>
    </row>
    <row r="2200">
      <c r="E2200" s="15"/>
    </row>
    <row r="2201">
      <c r="E2201" s="15"/>
    </row>
    <row r="2202">
      <c r="E2202" s="15"/>
    </row>
    <row r="2203">
      <c r="E2203" s="15"/>
    </row>
    <row r="2204">
      <c r="E2204" s="15"/>
    </row>
    <row r="2205">
      <c r="E2205" s="15"/>
    </row>
    <row r="2206">
      <c r="E2206" s="15"/>
    </row>
    <row r="2207">
      <c r="E2207" s="15"/>
    </row>
    <row r="2208">
      <c r="E2208" s="15"/>
    </row>
    <row r="2209">
      <c r="E2209" s="15"/>
    </row>
    <row r="2210">
      <c r="E2210" s="15"/>
    </row>
    <row r="2211">
      <c r="E2211" s="15"/>
    </row>
    <row r="2212">
      <c r="E2212" s="15"/>
    </row>
    <row r="2213">
      <c r="E2213" s="15"/>
    </row>
    <row r="2214">
      <c r="E2214" s="15"/>
    </row>
    <row r="2215">
      <c r="E2215" s="15"/>
    </row>
    <row r="2216">
      <c r="E2216" s="15"/>
    </row>
    <row r="2217">
      <c r="E2217" s="15"/>
    </row>
    <row r="2218">
      <c r="E2218" s="15"/>
    </row>
    <row r="2219">
      <c r="E2219" s="15"/>
    </row>
    <row r="2220">
      <c r="E2220" s="15"/>
    </row>
    <row r="2221">
      <c r="E2221" s="15"/>
    </row>
    <row r="2222">
      <c r="E2222" s="15"/>
    </row>
    <row r="2223">
      <c r="E2223" s="15"/>
    </row>
    <row r="2224">
      <c r="E2224" s="15"/>
    </row>
    <row r="2225">
      <c r="E2225" s="15"/>
    </row>
    <row r="2226">
      <c r="E2226" s="15"/>
    </row>
    <row r="2227">
      <c r="E2227" s="15"/>
    </row>
    <row r="2228">
      <c r="E2228" s="15"/>
    </row>
    <row r="2229">
      <c r="E2229" s="15"/>
    </row>
    <row r="2230">
      <c r="E2230" s="15"/>
    </row>
    <row r="2231">
      <c r="E2231" s="15"/>
    </row>
    <row r="2232">
      <c r="E2232" s="15"/>
    </row>
    <row r="2233">
      <c r="E2233" s="15"/>
    </row>
    <row r="2234">
      <c r="E2234" s="15"/>
    </row>
    <row r="2235">
      <c r="E2235" s="15"/>
    </row>
    <row r="2236">
      <c r="E2236" s="15"/>
    </row>
    <row r="2237">
      <c r="E2237" s="15"/>
    </row>
    <row r="2238">
      <c r="E2238" s="15"/>
    </row>
    <row r="2239">
      <c r="E2239" s="15"/>
    </row>
    <row r="2240">
      <c r="E2240" s="15"/>
    </row>
    <row r="2241">
      <c r="E2241" s="15"/>
    </row>
    <row r="2242">
      <c r="E2242" s="15"/>
    </row>
    <row r="2243">
      <c r="E2243" s="15"/>
    </row>
    <row r="2244">
      <c r="E2244" s="15"/>
    </row>
    <row r="2245">
      <c r="E2245" s="15"/>
    </row>
    <row r="2246">
      <c r="E2246" s="15"/>
    </row>
    <row r="2247">
      <c r="E2247" s="15"/>
    </row>
    <row r="2248">
      <c r="E2248" s="15"/>
    </row>
    <row r="2249">
      <c r="E2249" s="15"/>
    </row>
    <row r="2250">
      <c r="E2250" s="15"/>
    </row>
    <row r="2251">
      <c r="E2251" s="15"/>
    </row>
    <row r="2252">
      <c r="E2252" s="15"/>
    </row>
    <row r="2253">
      <c r="E2253" s="15"/>
    </row>
    <row r="2254">
      <c r="E2254" s="15"/>
    </row>
    <row r="2255">
      <c r="E2255" s="15"/>
    </row>
    <row r="2256">
      <c r="E2256" s="15"/>
    </row>
    <row r="2257">
      <c r="E2257" s="15"/>
    </row>
    <row r="2258">
      <c r="E2258" s="15"/>
    </row>
    <row r="2259">
      <c r="E2259" s="15"/>
    </row>
    <row r="2260">
      <c r="E2260" s="15"/>
    </row>
    <row r="2261">
      <c r="E2261" s="15"/>
    </row>
    <row r="2262">
      <c r="E2262" s="15"/>
    </row>
    <row r="2263">
      <c r="E2263" s="15"/>
    </row>
    <row r="2264">
      <c r="E2264" s="15"/>
    </row>
    <row r="2265">
      <c r="E2265" s="15"/>
    </row>
    <row r="2266">
      <c r="E2266" s="15"/>
    </row>
    <row r="2267">
      <c r="E2267" s="15"/>
    </row>
    <row r="2268">
      <c r="E2268" s="15"/>
    </row>
    <row r="2269">
      <c r="E2269" s="15"/>
    </row>
    <row r="2270">
      <c r="E2270" s="15"/>
    </row>
    <row r="2271">
      <c r="E2271" s="15"/>
    </row>
    <row r="2272">
      <c r="E2272" s="15"/>
    </row>
    <row r="2273">
      <c r="E2273" s="15"/>
    </row>
    <row r="2274">
      <c r="E2274" s="15"/>
    </row>
    <row r="2275">
      <c r="E2275" s="15"/>
    </row>
    <row r="2276">
      <c r="E2276" s="15"/>
    </row>
    <row r="2277">
      <c r="E2277" s="15"/>
    </row>
    <row r="2278">
      <c r="E2278" s="15"/>
    </row>
    <row r="2279">
      <c r="E2279" s="15"/>
    </row>
    <row r="2280">
      <c r="E2280" s="15"/>
    </row>
    <row r="2281">
      <c r="E2281" s="15"/>
    </row>
    <row r="2282">
      <c r="E2282" s="15"/>
    </row>
    <row r="2283">
      <c r="E2283" s="15"/>
    </row>
    <row r="2284">
      <c r="E2284" s="15"/>
    </row>
    <row r="2285">
      <c r="E2285" s="15"/>
    </row>
    <row r="2286">
      <c r="E2286" s="15"/>
    </row>
    <row r="2287">
      <c r="E2287" s="15"/>
    </row>
    <row r="2288">
      <c r="E2288" s="15"/>
    </row>
    <row r="2289">
      <c r="E2289" s="15"/>
    </row>
    <row r="2290">
      <c r="E2290" s="15"/>
    </row>
    <row r="2291">
      <c r="E2291" s="15"/>
    </row>
    <row r="2292">
      <c r="E2292" s="15"/>
    </row>
    <row r="2293">
      <c r="E2293" s="15"/>
    </row>
    <row r="2294">
      <c r="E2294" s="15"/>
    </row>
    <row r="2295">
      <c r="E2295" s="15"/>
    </row>
    <row r="2296">
      <c r="E2296" s="15"/>
    </row>
    <row r="2297">
      <c r="E2297" s="15"/>
    </row>
    <row r="2298">
      <c r="E2298" s="15"/>
    </row>
    <row r="2299">
      <c r="E2299" s="15"/>
    </row>
    <row r="2300">
      <c r="E2300" s="15"/>
    </row>
    <row r="2301">
      <c r="E2301" s="15"/>
    </row>
    <row r="2302">
      <c r="E2302" s="15"/>
    </row>
    <row r="2303">
      <c r="E2303" s="15"/>
    </row>
    <row r="2304">
      <c r="E2304" s="15"/>
    </row>
    <row r="2305">
      <c r="E2305" s="15"/>
    </row>
    <row r="2306">
      <c r="E2306" s="15"/>
    </row>
    <row r="2307">
      <c r="E2307" s="15"/>
    </row>
    <row r="2308">
      <c r="E2308" s="15"/>
    </row>
    <row r="2309">
      <c r="E2309" s="15"/>
    </row>
    <row r="2310">
      <c r="E2310" s="15"/>
    </row>
    <row r="2311">
      <c r="E2311" s="15"/>
    </row>
    <row r="2312">
      <c r="E2312" s="15"/>
    </row>
    <row r="2313">
      <c r="E2313" s="15"/>
    </row>
    <row r="2314">
      <c r="E2314" s="15"/>
    </row>
    <row r="2315">
      <c r="E2315" s="15"/>
    </row>
    <row r="2316">
      <c r="E2316" s="15"/>
    </row>
    <row r="2317">
      <c r="E2317" s="15"/>
    </row>
    <row r="2318">
      <c r="E2318" s="15"/>
    </row>
    <row r="2319">
      <c r="E2319" s="15"/>
    </row>
    <row r="2320">
      <c r="E2320" s="15"/>
    </row>
    <row r="2321">
      <c r="E2321" s="15"/>
    </row>
    <row r="2322">
      <c r="E2322" s="15"/>
    </row>
    <row r="2323">
      <c r="E2323" s="15"/>
    </row>
    <row r="2324">
      <c r="E2324" s="15"/>
    </row>
    <row r="2325">
      <c r="E2325" s="15"/>
    </row>
    <row r="2326">
      <c r="E2326" s="15"/>
    </row>
    <row r="2327">
      <c r="E2327" s="15"/>
    </row>
    <row r="2328">
      <c r="E2328" s="15"/>
    </row>
    <row r="2329">
      <c r="E2329" s="15"/>
    </row>
    <row r="2330">
      <c r="E2330" s="15"/>
    </row>
    <row r="2331">
      <c r="E2331" s="15"/>
    </row>
    <row r="2332">
      <c r="E2332" s="15"/>
    </row>
    <row r="2333">
      <c r="E2333" s="15"/>
    </row>
    <row r="2334">
      <c r="E2334" s="15"/>
    </row>
    <row r="2335">
      <c r="E2335" s="15"/>
    </row>
    <row r="2336">
      <c r="E2336" s="15"/>
    </row>
    <row r="2337">
      <c r="E2337" s="15"/>
    </row>
    <row r="2338">
      <c r="E2338" s="15"/>
    </row>
    <row r="2339">
      <c r="E2339" s="15"/>
    </row>
    <row r="2340">
      <c r="E2340" s="15"/>
    </row>
    <row r="2341">
      <c r="E2341" s="15"/>
    </row>
    <row r="2342">
      <c r="E2342" s="15"/>
    </row>
    <row r="2343">
      <c r="E2343" s="15"/>
    </row>
    <row r="2344">
      <c r="E2344" s="15"/>
    </row>
    <row r="2345">
      <c r="E2345" s="15"/>
    </row>
    <row r="2346">
      <c r="E2346" s="15"/>
    </row>
    <row r="2347">
      <c r="E2347" s="15"/>
    </row>
    <row r="2348">
      <c r="E2348" s="15"/>
    </row>
    <row r="2349">
      <c r="E2349" s="15"/>
    </row>
    <row r="2350">
      <c r="E2350" s="15"/>
    </row>
    <row r="2351">
      <c r="E2351" s="15"/>
    </row>
    <row r="2352">
      <c r="E2352" s="15"/>
    </row>
    <row r="2353">
      <c r="E2353" s="15"/>
    </row>
    <row r="2354">
      <c r="E2354" s="15"/>
    </row>
    <row r="2355">
      <c r="E2355" s="15"/>
    </row>
    <row r="2356">
      <c r="E2356" s="15"/>
    </row>
    <row r="2357">
      <c r="E2357" s="15"/>
    </row>
    <row r="2358">
      <c r="E2358" s="15"/>
    </row>
    <row r="2359">
      <c r="E2359" s="15"/>
    </row>
    <row r="2360">
      <c r="E2360" s="15"/>
    </row>
    <row r="2361">
      <c r="E2361" s="15"/>
    </row>
    <row r="2362">
      <c r="E2362" s="15"/>
    </row>
    <row r="2363">
      <c r="E2363" s="15"/>
    </row>
    <row r="2364">
      <c r="E2364" s="15"/>
    </row>
    <row r="2365">
      <c r="E2365" s="15"/>
    </row>
    <row r="2366">
      <c r="E2366" s="15"/>
    </row>
    <row r="2367">
      <c r="E2367" s="15"/>
    </row>
    <row r="2368">
      <c r="E2368" s="15"/>
    </row>
    <row r="2369">
      <c r="E2369" s="15"/>
    </row>
    <row r="2370">
      <c r="E2370" s="15"/>
    </row>
    <row r="2371">
      <c r="E2371" s="15"/>
    </row>
    <row r="2372">
      <c r="E2372" s="15"/>
    </row>
    <row r="2373">
      <c r="E2373" s="15"/>
    </row>
    <row r="2374">
      <c r="E2374" s="15"/>
    </row>
    <row r="2375">
      <c r="E2375" s="15"/>
    </row>
    <row r="2376">
      <c r="E2376" s="15"/>
    </row>
    <row r="2377">
      <c r="E2377" s="15"/>
    </row>
    <row r="2378">
      <c r="E2378" s="15"/>
    </row>
    <row r="2379">
      <c r="E2379" s="15"/>
    </row>
    <row r="2380">
      <c r="E2380" s="15"/>
    </row>
    <row r="2381">
      <c r="E2381" s="15"/>
    </row>
    <row r="2382">
      <c r="E2382" s="15"/>
    </row>
    <row r="2383">
      <c r="E2383" s="15"/>
    </row>
    <row r="2384">
      <c r="E2384" s="15"/>
    </row>
    <row r="2385">
      <c r="E2385" s="15"/>
    </row>
    <row r="2386">
      <c r="E2386" s="15"/>
    </row>
    <row r="2387">
      <c r="E2387" s="15"/>
    </row>
    <row r="2388">
      <c r="E2388" s="15"/>
    </row>
    <row r="2389">
      <c r="E2389" s="15"/>
    </row>
    <row r="2390">
      <c r="E2390" s="15"/>
    </row>
    <row r="2391">
      <c r="E2391" s="15"/>
    </row>
    <row r="2392">
      <c r="E2392" s="15"/>
    </row>
    <row r="2393">
      <c r="E2393" s="15"/>
    </row>
    <row r="2394">
      <c r="E2394" s="15"/>
    </row>
    <row r="2395">
      <c r="E2395" s="15"/>
    </row>
    <row r="2396">
      <c r="E2396" s="15"/>
    </row>
    <row r="2397">
      <c r="E2397" s="15"/>
    </row>
    <row r="2398">
      <c r="E2398" s="15"/>
    </row>
    <row r="2399">
      <c r="E2399" s="15"/>
    </row>
    <row r="2400">
      <c r="E2400" s="15"/>
    </row>
    <row r="2401">
      <c r="E2401" s="15"/>
    </row>
    <row r="2402">
      <c r="E2402" s="15"/>
    </row>
    <row r="2403">
      <c r="E2403" s="15"/>
    </row>
    <row r="2404">
      <c r="E2404" s="15"/>
    </row>
    <row r="2405">
      <c r="E2405" s="15"/>
    </row>
    <row r="2406">
      <c r="E2406" s="15"/>
    </row>
    <row r="2407">
      <c r="E2407" s="15"/>
    </row>
    <row r="2408">
      <c r="E2408" s="15"/>
    </row>
    <row r="2409">
      <c r="E2409" s="15"/>
    </row>
    <row r="2410">
      <c r="E2410" s="15"/>
    </row>
    <row r="2411">
      <c r="E2411" s="15"/>
    </row>
    <row r="2412">
      <c r="E2412" s="15"/>
    </row>
    <row r="2413">
      <c r="E2413" s="15"/>
    </row>
    <row r="2414">
      <c r="E2414" s="15"/>
    </row>
    <row r="2415">
      <c r="E2415" s="15"/>
    </row>
    <row r="2416">
      <c r="E2416" s="15"/>
    </row>
    <row r="2417">
      <c r="E2417" s="15"/>
    </row>
    <row r="2418">
      <c r="E2418" s="15"/>
    </row>
    <row r="2419">
      <c r="E2419" s="15"/>
    </row>
    <row r="2420">
      <c r="E2420" s="15"/>
    </row>
    <row r="2421">
      <c r="E2421" s="15"/>
    </row>
    <row r="2422">
      <c r="E2422" s="15"/>
    </row>
    <row r="2423">
      <c r="E2423" s="15"/>
    </row>
    <row r="2424">
      <c r="E2424" s="15"/>
    </row>
    <row r="2425">
      <c r="E2425" s="15"/>
    </row>
    <row r="2426">
      <c r="E2426" s="15"/>
    </row>
    <row r="2427">
      <c r="E2427" s="15"/>
    </row>
    <row r="2428">
      <c r="E2428" s="15"/>
    </row>
    <row r="2429">
      <c r="E2429" s="15"/>
    </row>
    <row r="2430">
      <c r="E2430" s="15"/>
    </row>
    <row r="2431">
      <c r="E2431" s="15"/>
    </row>
    <row r="2432">
      <c r="E2432" s="15"/>
    </row>
    <row r="2433">
      <c r="E2433" s="15"/>
    </row>
    <row r="2434">
      <c r="E2434" s="15"/>
    </row>
    <row r="2435">
      <c r="E2435" s="15"/>
    </row>
    <row r="2436">
      <c r="E2436" s="15"/>
    </row>
    <row r="2437">
      <c r="E2437" s="15"/>
    </row>
    <row r="2438">
      <c r="E2438" s="15"/>
    </row>
    <row r="2439">
      <c r="E2439" s="15"/>
    </row>
    <row r="2440">
      <c r="E2440" s="15"/>
    </row>
    <row r="2441">
      <c r="E2441" s="15"/>
    </row>
    <row r="2442">
      <c r="E2442" s="15"/>
    </row>
    <row r="2443">
      <c r="E2443" s="15"/>
    </row>
    <row r="2444">
      <c r="E2444" s="15"/>
    </row>
    <row r="2445">
      <c r="E2445" s="15"/>
    </row>
    <row r="2446">
      <c r="E2446" s="15"/>
    </row>
    <row r="2447">
      <c r="E2447" s="15"/>
    </row>
    <row r="2448">
      <c r="E2448" s="15"/>
    </row>
    <row r="2449">
      <c r="E2449" s="15"/>
    </row>
    <row r="2450">
      <c r="E2450" s="15"/>
    </row>
    <row r="2451">
      <c r="E2451" s="15"/>
    </row>
    <row r="2452">
      <c r="E2452" s="15"/>
    </row>
    <row r="2453">
      <c r="E2453" s="15"/>
    </row>
    <row r="2454">
      <c r="E2454" s="15"/>
    </row>
    <row r="2455">
      <c r="E2455" s="15"/>
    </row>
    <row r="2456">
      <c r="E2456" s="15"/>
    </row>
    <row r="2457">
      <c r="E2457" s="15"/>
    </row>
    <row r="2458">
      <c r="E2458" s="15"/>
    </row>
    <row r="2459">
      <c r="E2459" s="15"/>
    </row>
    <row r="2460">
      <c r="E2460" s="15"/>
    </row>
    <row r="2461">
      <c r="E2461" s="15"/>
    </row>
    <row r="2462">
      <c r="E2462" s="15"/>
    </row>
    <row r="2463">
      <c r="E2463" s="15"/>
    </row>
    <row r="2464">
      <c r="E2464" s="15"/>
    </row>
    <row r="2465">
      <c r="E2465" s="15"/>
    </row>
    <row r="2466">
      <c r="E2466" s="15"/>
    </row>
    <row r="2467">
      <c r="E2467" s="15"/>
    </row>
    <row r="2468">
      <c r="E2468" s="15"/>
    </row>
    <row r="2469">
      <c r="E2469" s="15"/>
    </row>
    <row r="2470">
      <c r="E2470" s="15"/>
    </row>
    <row r="2471">
      <c r="E2471" s="15"/>
    </row>
    <row r="2472">
      <c r="E2472" s="15"/>
    </row>
    <row r="2473">
      <c r="E2473" s="15"/>
    </row>
    <row r="2474">
      <c r="E2474" s="15"/>
    </row>
    <row r="2475">
      <c r="E2475" s="15"/>
    </row>
    <row r="2476">
      <c r="E2476" s="15"/>
    </row>
    <row r="2477">
      <c r="E2477" s="15"/>
    </row>
    <row r="2478">
      <c r="E2478" s="15"/>
    </row>
    <row r="2479">
      <c r="E2479" s="15"/>
    </row>
    <row r="2480">
      <c r="E2480" s="15"/>
    </row>
    <row r="2481">
      <c r="E2481" s="15"/>
    </row>
    <row r="2482">
      <c r="E2482" s="15"/>
    </row>
    <row r="2483">
      <c r="E2483" s="15"/>
    </row>
    <row r="2484">
      <c r="E2484" s="15"/>
    </row>
    <row r="2485">
      <c r="E2485" s="15"/>
    </row>
    <row r="2486">
      <c r="E2486" s="15"/>
    </row>
    <row r="2487">
      <c r="E2487" s="15"/>
    </row>
    <row r="2488">
      <c r="E2488" s="15"/>
    </row>
    <row r="2489">
      <c r="E2489" s="15"/>
    </row>
    <row r="2490">
      <c r="E2490" s="15"/>
    </row>
    <row r="2491">
      <c r="E2491" s="15"/>
    </row>
    <row r="2492">
      <c r="E2492" s="15"/>
    </row>
    <row r="2493">
      <c r="E2493" s="15"/>
    </row>
    <row r="2494">
      <c r="E2494" s="15"/>
    </row>
    <row r="2495">
      <c r="E2495" s="15"/>
    </row>
    <row r="2496">
      <c r="E2496" s="15"/>
    </row>
    <row r="2497">
      <c r="E2497" s="15"/>
    </row>
    <row r="2498">
      <c r="E2498" s="15"/>
    </row>
    <row r="2499">
      <c r="E2499" s="15"/>
    </row>
    <row r="2500">
      <c r="E2500" s="15"/>
    </row>
    <row r="2501">
      <c r="E2501" s="15"/>
    </row>
    <row r="2502">
      <c r="E2502" s="15"/>
    </row>
    <row r="2503">
      <c r="E2503" s="15"/>
    </row>
    <row r="2504">
      <c r="E2504" s="15"/>
    </row>
    <row r="2505">
      <c r="E2505" s="15"/>
    </row>
    <row r="2506">
      <c r="E2506" s="15"/>
    </row>
    <row r="2507">
      <c r="E2507" s="15"/>
    </row>
    <row r="2508">
      <c r="E2508" s="15"/>
    </row>
    <row r="2509">
      <c r="E2509" s="15"/>
    </row>
    <row r="2510">
      <c r="E2510" s="15"/>
    </row>
    <row r="2511">
      <c r="E2511" s="15"/>
    </row>
    <row r="2512">
      <c r="E2512" s="15"/>
    </row>
    <row r="2513">
      <c r="E2513" s="15"/>
    </row>
    <row r="2514">
      <c r="E2514" s="15"/>
    </row>
    <row r="2515">
      <c r="E2515" s="15"/>
    </row>
    <row r="2516">
      <c r="E2516" s="15"/>
    </row>
    <row r="2517">
      <c r="E2517" s="15"/>
    </row>
    <row r="2518">
      <c r="E2518" s="15"/>
    </row>
    <row r="2519">
      <c r="E2519" s="15"/>
    </row>
    <row r="2520">
      <c r="E2520" s="15"/>
    </row>
    <row r="2521">
      <c r="E2521" s="15"/>
    </row>
    <row r="2522">
      <c r="E2522" s="15"/>
    </row>
    <row r="2523">
      <c r="E2523" s="15"/>
    </row>
    <row r="2524">
      <c r="E2524" s="15"/>
    </row>
    <row r="2525">
      <c r="E2525" s="15"/>
    </row>
    <row r="2526">
      <c r="E2526" s="15"/>
    </row>
    <row r="2527">
      <c r="E2527" s="15"/>
    </row>
    <row r="2528">
      <c r="E2528" s="15"/>
    </row>
    <row r="2529">
      <c r="E2529" s="15"/>
    </row>
    <row r="2530">
      <c r="E2530" s="15"/>
    </row>
    <row r="2531">
      <c r="E2531" s="15"/>
    </row>
    <row r="2532">
      <c r="E2532" s="15"/>
    </row>
    <row r="2533">
      <c r="E2533" s="15"/>
    </row>
    <row r="2534">
      <c r="E2534" s="15"/>
    </row>
    <row r="2535">
      <c r="E2535" s="15"/>
    </row>
    <row r="2536">
      <c r="E2536" s="15"/>
    </row>
    <row r="2537">
      <c r="E2537" s="15"/>
    </row>
    <row r="2538">
      <c r="E2538" s="15"/>
    </row>
    <row r="2539">
      <c r="E2539" s="15"/>
    </row>
    <row r="2540">
      <c r="E2540" s="15"/>
    </row>
    <row r="2541">
      <c r="E2541" s="15"/>
    </row>
    <row r="2542">
      <c r="E2542" s="15"/>
    </row>
    <row r="2543">
      <c r="E2543" s="15"/>
    </row>
    <row r="2544">
      <c r="E2544" s="15"/>
    </row>
    <row r="2545">
      <c r="E2545" s="15"/>
    </row>
    <row r="2546">
      <c r="E2546" s="15"/>
    </row>
    <row r="2547">
      <c r="E2547" s="15"/>
    </row>
    <row r="2548">
      <c r="E2548" s="15"/>
    </row>
    <row r="2549">
      <c r="E2549" s="15"/>
    </row>
    <row r="2550">
      <c r="E2550" s="15"/>
    </row>
    <row r="2551">
      <c r="E2551" s="15"/>
    </row>
    <row r="2552">
      <c r="E2552" s="15"/>
    </row>
    <row r="2553">
      <c r="E2553" s="15"/>
    </row>
    <row r="2554">
      <c r="E2554" s="15"/>
    </row>
    <row r="2555">
      <c r="E2555" s="15"/>
    </row>
    <row r="2556">
      <c r="E2556" s="15"/>
    </row>
    <row r="2557">
      <c r="E2557" s="15"/>
    </row>
    <row r="2558">
      <c r="E2558" s="15"/>
    </row>
    <row r="2559">
      <c r="E2559" s="15"/>
    </row>
    <row r="2560">
      <c r="E2560" s="15"/>
    </row>
    <row r="2561">
      <c r="E2561" s="15"/>
    </row>
    <row r="2562">
      <c r="E2562" s="15"/>
    </row>
    <row r="2563">
      <c r="E2563" s="15"/>
    </row>
    <row r="2564">
      <c r="E2564" s="15"/>
    </row>
    <row r="2565">
      <c r="E2565" s="15"/>
    </row>
    <row r="2566">
      <c r="E2566" s="15"/>
    </row>
    <row r="2567">
      <c r="E2567" s="15"/>
    </row>
    <row r="2568">
      <c r="E2568" s="15"/>
    </row>
    <row r="2569">
      <c r="E2569" s="15"/>
    </row>
    <row r="2570">
      <c r="E2570" s="15"/>
    </row>
    <row r="2571">
      <c r="E2571" s="15"/>
    </row>
    <row r="2572">
      <c r="E2572" s="15"/>
    </row>
    <row r="2573">
      <c r="E2573" s="15"/>
    </row>
    <row r="2574">
      <c r="E2574" s="15"/>
    </row>
    <row r="2575">
      <c r="E2575" s="15"/>
    </row>
    <row r="2576">
      <c r="E2576" s="15"/>
    </row>
    <row r="2577">
      <c r="E2577" s="15"/>
    </row>
    <row r="2578">
      <c r="E2578" s="15"/>
    </row>
    <row r="2579">
      <c r="E2579" s="15"/>
    </row>
    <row r="2580">
      <c r="E2580" s="15"/>
    </row>
    <row r="2581">
      <c r="E2581" s="15"/>
    </row>
    <row r="2582">
      <c r="E2582" s="15"/>
    </row>
    <row r="2583">
      <c r="E2583" s="15"/>
    </row>
    <row r="2584">
      <c r="E2584" s="15"/>
    </row>
    <row r="2585">
      <c r="E2585" s="15"/>
    </row>
    <row r="2586">
      <c r="E2586" s="15"/>
    </row>
    <row r="2587">
      <c r="E2587" s="15"/>
    </row>
    <row r="2588">
      <c r="E2588" s="15"/>
    </row>
    <row r="2589">
      <c r="E2589" s="15"/>
    </row>
    <row r="2590">
      <c r="E2590" s="15"/>
    </row>
    <row r="2591">
      <c r="E2591" s="15"/>
    </row>
    <row r="2592">
      <c r="E2592" s="15"/>
    </row>
    <row r="2593">
      <c r="E2593" s="15"/>
    </row>
    <row r="2594">
      <c r="E2594" s="15"/>
    </row>
    <row r="2595">
      <c r="E2595" s="15"/>
    </row>
    <row r="2596">
      <c r="E2596" s="15"/>
    </row>
    <row r="2597">
      <c r="E2597" s="15"/>
    </row>
    <row r="2598">
      <c r="E2598" s="15"/>
    </row>
    <row r="2599">
      <c r="E2599" s="15"/>
    </row>
    <row r="2600">
      <c r="E2600" s="15"/>
    </row>
    <row r="2601">
      <c r="E2601" s="15"/>
    </row>
    <row r="2602">
      <c r="E2602" s="15"/>
    </row>
    <row r="2603">
      <c r="E2603" s="15"/>
    </row>
    <row r="2604">
      <c r="E2604" s="15"/>
    </row>
    <row r="2605">
      <c r="E2605" s="15"/>
    </row>
    <row r="2606">
      <c r="E2606" s="15"/>
    </row>
    <row r="2607">
      <c r="E2607" s="15"/>
    </row>
    <row r="2608">
      <c r="E2608" s="15"/>
    </row>
    <row r="2609">
      <c r="E2609" s="15"/>
    </row>
    <row r="2610">
      <c r="E2610" s="15"/>
    </row>
    <row r="2611">
      <c r="E2611" s="15"/>
    </row>
    <row r="2612">
      <c r="E2612" s="15"/>
    </row>
    <row r="2613">
      <c r="E2613" s="15"/>
    </row>
    <row r="2614">
      <c r="E2614" s="15"/>
    </row>
    <row r="2615">
      <c r="E2615" s="15"/>
    </row>
    <row r="2616">
      <c r="E2616" s="15"/>
    </row>
    <row r="2617">
      <c r="E2617" s="15"/>
    </row>
    <row r="2618">
      <c r="E2618" s="15"/>
    </row>
    <row r="2619">
      <c r="E2619" s="15"/>
    </row>
    <row r="2620">
      <c r="E2620" s="15"/>
    </row>
    <row r="2621">
      <c r="E2621" s="15"/>
    </row>
    <row r="2622">
      <c r="E2622" s="15"/>
    </row>
    <row r="2623">
      <c r="E2623" s="15"/>
    </row>
    <row r="2624">
      <c r="E2624" s="15"/>
    </row>
    <row r="2625">
      <c r="E2625" s="15"/>
    </row>
    <row r="2626">
      <c r="E2626" s="15"/>
    </row>
    <row r="2627">
      <c r="E2627" s="15"/>
    </row>
    <row r="2628">
      <c r="E2628" s="15"/>
    </row>
    <row r="2629">
      <c r="E2629" s="15"/>
    </row>
    <row r="2630">
      <c r="E2630" s="15"/>
    </row>
    <row r="2631">
      <c r="E2631" s="15"/>
    </row>
    <row r="2632">
      <c r="E2632" s="15"/>
    </row>
    <row r="2633">
      <c r="E2633" s="15"/>
    </row>
    <row r="2634">
      <c r="E2634" s="15"/>
    </row>
    <row r="2635">
      <c r="E2635" s="15"/>
    </row>
    <row r="2636">
      <c r="E2636" s="15"/>
    </row>
    <row r="2637">
      <c r="E2637" s="15"/>
    </row>
    <row r="2638">
      <c r="E2638" s="15"/>
    </row>
    <row r="2639">
      <c r="E2639" s="15"/>
    </row>
    <row r="2640">
      <c r="E2640" s="15"/>
    </row>
    <row r="2641">
      <c r="E2641" s="15"/>
    </row>
    <row r="2642">
      <c r="E2642" s="15"/>
    </row>
    <row r="2643">
      <c r="E2643" s="15"/>
    </row>
    <row r="2644">
      <c r="E2644" s="15"/>
    </row>
    <row r="2645">
      <c r="E2645" s="15"/>
    </row>
    <row r="2646">
      <c r="E2646" s="15"/>
    </row>
    <row r="2647">
      <c r="E2647" s="15"/>
    </row>
    <row r="2648">
      <c r="E2648" s="15"/>
    </row>
    <row r="2649">
      <c r="E2649" s="15"/>
    </row>
    <row r="2650">
      <c r="E2650" s="15"/>
    </row>
    <row r="2651">
      <c r="E2651" s="15"/>
    </row>
    <row r="2652">
      <c r="E2652" s="15"/>
    </row>
    <row r="2653">
      <c r="E2653" s="15"/>
    </row>
    <row r="2654">
      <c r="E2654" s="15"/>
    </row>
    <row r="2655">
      <c r="E2655" s="15"/>
    </row>
    <row r="2656">
      <c r="E2656" s="15"/>
    </row>
    <row r="2657">
      <c r="E2657" s="15"/>
    </row>
    <row r="2658">
      <c r="E2658" s="15"/>
    </row>
    <row r="2659">
      <c r="E2659" s="15"/>
    </row>
    <row r="2660">
      <c r="E2660" s="15"/>
    </row>
    <row r="2661">
      <c r="E2661" s="15"/>
    </row>
    <row r="2662">
      <c r="E2662" s="15"/>
    </row>
    <row r="2663">
      <c r="E2663" s="15"/>
    </row>
    <row r="2664">
      <c r="E2664" s="15"/>
    </row>
    <row r="2665">
      <c r="E2665" s="15"/>
    </row>
    <row r="2666">
      <c r="E2666" s="15"/>
    </row>
    <row r="2667">
      <c r="E2667" s="15"/>
    </row>
    <row r="2668">
      <c r="E2668" s="15"/>
    </row>
    <row r="2669">
      <c r="E2669" s="15"/>
    </row>
    <row r="2670">
      <c r="E2670" s="15"/>
    </row>
    <row r="2671">
      <c r="E2671" s="15"/>
    </row>
    <row r="2672">
      <c r="E2672" s="15"/>
    </row>
    <row r="2673">
      <c r="E2673" s="15"/>
    </row>
    <row r="2674">
      <c r="E2674" s="15"/>
    </row>
    <row r="2675">
      <c r="E2675" s="15"/>
    </row>
    <row r="2676">
      <c r="E2676" s="15"/>
    </row>
    <row r="2677">
      <c r="E2677" s="15"/>
    </row>
    <row r="2678">
      <c r="E2678" s="15"/>
    </row>
    <row r="2679">
      <c r="E2679" s="15"/>
    </row>
    <row r="2680">
      <c r="E2680" s="15"/>
    </row>
    <row r="2681">
      <c r="E2681" s="15"/>
    </row>
    <row r="2682">
      <c r="E2682" s="15"/>
    </row>
    <row r="2683">
      <c r="E2683" s="15"/>
    </row>
    <row r="2684">
      <c r="E2684" s="15"/>
    </row>
    <row r="2685">
      <c r="E2685" s="15"/>
    </row>
    <row r="2686">
      <c r="E2686" s="15"/>
    </row>
    <row r="2687">
      <c r="E2687" s="15"/>
    </row>
    <row r="2688">
      <c r="E2688" s="15"/>
    </row>
    <row r="2689">
      <c r="E2689" s="15"/>
    </row>
    <row r="2690">
      <c r="E2690" s="15"/>
    </row>
    <row r="2691">
      <c r="E2691" s="15"/>
    </row>
    <row r="2692">
      <c r="E2692" s="15"/>
    </row>
    <row r="2693">
      <c r="E2693" s="15"/>
    </row>
    <row r="2694">
      <c r="E2694" s="15"/>
    </row>
    <row r="2695">
      <c r="E2695" s="15"/>
    </row>
    <row r="2696">
      <c r="E2696" s="15"/>
    </row>
    <row r="2697">
      <c r="E2697" s="15"/>
    </row>
    <row r="2698">
      <c r="E2698" s="15"/>
    </row>
    <row r="2699">
      <c r="E2699" s="15"/>
    </row>
    <row r="2700">
      <c r="E2700" s="15"/>
    </row>
    <row r="2701">
      <c r="E2701" s="15"/>
    </row>
    <row r="2702">
      <c r="E2702" s="15"/>
    </row>
    <row r="2703">
      <c r="E2703" s="15"/>
    </row>
    <row r="2704">
      <c r="E2704" s="15"/>
    </row>
    <row r="2705">
      <c r="E2705" s="15"/>
    </row>
    <row r="2706">
      <c r="E2706" s="15"/>
    </row>
    <row r="2707">
      <c r="E2707" s="15"/>
    </row>
    <row r="2708">
      <c r="E2708" s="15"/>
    </row>
  </sheetData>
  <conditionalFormatting sqref="A1:K408">
    <cfRule type="containsBlanks" dxfId="0" priority="1">
      <formula>LEN(TRIM(A1))=0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6.25"/>
  </cols>
  <sheetData>
    <row r="1"/>
    <row r="2"/>
    <row r="3"/>
    <row r="4"/>
    <row r="5"/>
    <row r="6"/>
    <row r="7"/>
    <row r="8"/>
    <row r="9"/>
    <row r="10"/>
    <row r="11"/>
    <row r="12"/>
    <row r="13"/>
    <row r="14"/>
    <row r="15"/>
    <row r="16"/>
    <row r="17"/>
    <row r="18"/>
    <row r="19"/>
    <row r="20"/>
    <row r="21"/>
    <row r="22"/>
    <row r="23"/>
    <row r="24"/>
  </sheetData>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1.63"/>
    <col customWidth="1" min="2" max="2" width="18.13"/>
    <col customWidth="1" min="4" max="4" width="23.63"/>
  </cols>
  <sheetData>
    <row r="1"/>
    <row r="2"/>
    <row r="3"/>
    <row r="4"/>
    <row r="5"/>
    <row r="6"/>
    <row r="7"/>
    <row r="8"/>
    <row r="9"/>
    <row r="10"/>
    <row r="11"/>
    <row r="12"/>
    <row r="13"/>
    <row r="14"/>
    <row r="15"/>
    <row r="16"/>
    <row r="17"/>
    <row r="18"/>
  </sheetData>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tr">
        <f>IFERROR(__xludf.DUMMYFUNCTION("query(Data!A1:K2708,""SELECT A, C"",1)"),"Operation_id")</f>
        <v>Operation_id</v>
      </c>
      <c r="B1" s="8" t="str">
        <f>IFERROR(__xludf.DUMMYFUNCTION("""COMPUTED_VALUE"""),"Age")</f>
        <v>Age</v>
      </c>
    </row>
    <row r="2">
      <c r="A2" s="8">
        <f>IFERROR(__xludf.DUMMYFUNCTION("""COMPUTED_VALUE"""),0.0)</f>
        <v>0</v>
      </c>
      <c r="B2" s="8">
        <f>IFERROR(__xludf.DUMMYFUNCTION("""COMPUTED_VALUE"""),33.0)</f>
        <v>33</v>
      </c>
    </row>
    <row r="3">
      <c r="A3" s="8">
        <f>IFERROR(__xludf.DUMMYFUNCTION("""COMPUTED_VALUE"""),1.0)</f>
        <v>1</v>
      </c>
      <c r="B3" s="8">
        <f>IFERROR(__xludf.DUMMYFUNCTION("""COMPUTED_VALUE"""),34.0)</f>
        <v>34</v>
      </c>
    </row>
    <row r="4">
      <c r="A4" s="8">
        <f>IFERROR(__xludf.DUMMYFUNCTION("""COMPUTED_VALUE"""),2.0)</f>
        <v>2</v>
      </c>
      <c r="B4" s="8">
        <f>IFERROR(__xludf.DUMMYFUNCTION("""COMPUTED_VALUE"""),60.0)</f>
        <v>60</v>
      </c>
    </row>
    <row r="5">
      <c r="A5" s="8">
        <f>IFERROR(__xludf.DUMMYFUNCTION("""COMPUTED_VALUE"""),3.0)</f>
        <v>3</v>
      </c>
      <c r="B5" s="8">
        <f>IFERROR(__xludf.DUMMYFUNCTION("""COMPUTED_VALUE"""),50.0)</f>
        <v>50</v>
      </c>
    </row>
    <row r="6">
      <c r="A6" s="8">
        <f>IFERROR(__xludf.DUMMYFUNCTION("""COMPUTED_VALUE"""),4.0)</f>
        <v>4</v>
      </c>
      <c r="B6" s="8">
        <f>IFERROR(__xludf.DUMMYFUNCTION("""COMPUTED_VALUE"""),47.0)</f>
        <v>47</v>
      </c>
    </row>
    <row r="7">
      <c r="A7" s="8">
        <f>IFERROR(__xludf.DUMMYFUNCTION("""COMPUTED_VALUE"""),5.0)</f>
        <v>5</v>
      </c>
      <c r="B7" s="8">
        <f>IFERROR(__xludf.DUMMYFUNCTION("""COMPUTED_VALUE"""),49.0)</f>
        <v>49</v>
      </c>
    </row>
    <row r="8">
      <c r="A8" s="8">
        <f>IFERROR(__xludf.DUMMYFUNCTION("""COMPUTED_VALUE"""),6.0)</f>
        <v>6</v>
      </c>
      <c r="B8" s="8">
        <f>IFERROR(__xludf.DUMMYFUNCTION("""COMPUTED_VALUE"""),39.0)</f>
        <v>39</v>
      </c>
    </row>
    <row r="9">
      <c r="A9" s="8">
        <f>IFERROR(__xludf.DUMMYFUNCTION("""COMPUTED_VALUE"""),7.0)</f>
        <v>7</v>
      </c>
      <c r="B9" s="8">
        <f>IFERROR(__xludf.DUMMYFUNCTION("""COMPUTED_VALUE"""),39.0)</f>
        <v>39</v>
      </c>
    </row>
    <row r="10">
      <c r="A10" s="8">
        <f>IFERROR(__xludf.DUMMYFUNCTION("""COMPUTED_VALUE"""),8.0)</f>
        <v>8</v>
      </c>
      <c r="B10" s="8">
        <f>IFERROR(__xludf.DUMMYFUNCTION("""COMPUTED_VALUE"""),24.0)</f>
        <v>24</v>
      </c>
    </row>
    <row r="11">
      <c r="A11" s="8">
        <f>IFERROR(__xludf.DUMMYFUNCTION("""COMPUTED_VALUE"""),9.0)</f>
        <v>9</v>
      </c>
      <c r="B11" s="8">
        <f>IFERROR(__xludf.DUMMYFUNCTION("""COMPUTED_VALUE"""),34.0)</f>
        <v>34</v>
      </c>
    </row>
    <row r="12">
      <c r="A12" s="8">
        <f>IFERROR(__xludf.DUMMYFUNCTION("""COMPUTED_VALUE"""),10.0)</f>
        <v>10</v>
      </c>
      <c r="B12" s="8">
        <f>IFERROR(__xludf.DUMMYFUNCTION("""COMPUTED_VALUE"""),53.0)</f>
        <v>53</v>
      </c>
    </row>
    <row r="13">
      <c r="A13" s="8">
        <f>IFERROR(__xludf.DUMMYFUNCTION("""COMPUTED_VALUE"""),11.0)</f>
        <v>11</v>
      </c>
      <c r="B13" s="8">
        <f>IFERROR(__xludf.DUMMYFUNCTION("""COMPUTED_VALUE"""),39.0)</f>
        <v>39</v>
      </c>
    </row>
    <row r="14">
      <c r="A14" s="8">
        <f>IFERROR(__xludf.DUMMYFUNCTION("""COMPUTED_VALUE"""),12.0)</f>
        <v>12</v>
      </c>
      <c r="B14" s="8">
        <f>IFERROR(__xludf.DUMMYFUNCTION("""COMPUTED_VALUE"""),53.0)</f>
        <v>53</v>
      </c>
    </row>
    <row r="15">
      <c r="A15" s="8">
        <f>IFERROR(__xludf.DUMMYFUNCTION("""COMPUTED_VALUE"""),13.0)</f>
        <v>13</v>
      </c>
      <c r="B15" s="8">
        <f>IFERROR(__xludf.DUMMYFUNCTION("""COMPUTED_VALUE"""),44.0)</f>
        <v>44</v>
      </c>
    </row>
    <row r="16">
      <c r="A16" s="8">
        <f>IFERROR(__xludf.DUMMYFUNCTION("""COMPUTED_VALUE"""),14.0)</f>
        <v>14</v>
      </c>
      <c r="B16" s="8">
        <f>IFERROR(__xludf.DUMMYFUNCTION("""COMPUTED_VALUE"""),50.0)</f>
        <v>50</v>
      </c>
    </row>
    <row r="17">
      <c r="A17" s="8">
        <f>IFERROR(__xludf.DUMMYFUNCTION("""COMPUTED_VALUE"""),15.0)</f>
        <v>15</v>
      </c>
      <c r="B17" s="8">
        <f>IFERROR(__xludf.DUMMYFUNCTION("""COMPUTED_VALUE"""),47.0)</f>
        <v>47</v>
      </c>
    </row>
    <row r="18">
      <c r="A18" s="8">
        <f>IFERROR(__xludf.DUMMYFUNCTION("""COMPUTED_VALUE"""),16.0)</f>
        <v>16</v>
      </c>
      <c r="B18" s="8">
        <f>IFERROR(__xludf.DUMMYFUNCTION("""COMPUTED_VALUE"""),34.0)</f>
        <v>34</v>
      </c>
    </row>
    <row r="19">
      <c r="A19" s="8">
        <f>IFERROR(__xludf.DUMMYFUNCTION("""COMPUTED_VALUE"""),17.0)</f>
        <v>17</v>
      </c>
      <c r="B19" s="8">
        <f>IFERROR(__xludf.DUMMYFUNCTION("""COMPUTED_VALUE"""),41.0)</f>
        <v>41</v>
      </c>
    </row>
    <row r="20">
      <c r="A20" s="8">
        <f>IFERROR(__xludf.DUMMYFUNCTION("""COMPUTED_VALUE"""),18.0)</f>
        <v>18</v>
      </c>
      <c r="B20" s="8">
        <f>IFERROR(__xludf.DUMMYFUNCTION("""COMPUTED_VALUE"""),32.0)</f>
        <v>32</v>
      </c>
    </row>
    <row r="21">
      <c r="A21" s="8">
        <f>IFERROR(__xludf.DUMMYFUNCTION("""COMPUTED_VALUE"""),19.0)</f>
        <v>19</v>
      </c>
      <c r="B21" s="8">
        <f>IFERROR(__xludf.DUMMYFUNCTION("""COMPUTED_VALUE"""),47.0)</f>
        <v>47</v>
      </c>
    </row>
    <row r="22">
      <c r="A22" s="8">
        <f>IFERROR(__xludf.DUMMYFUNCTION("""COMPUTED_VALUE"""),20.0)</f>
        <v>20</v>
      </c>
      <c r="B22" s="8">
        <f>IFERROR(__xludf.DUMMYFUNCTION("""COMPUTED_VALUE"""),33.0)</f>
        <v>33</v>
      </c>
    </row>
    <row r="23">
      <c r="A23" s="8">
        <f>IFERROR(__xludf.DUMMYFUNCTION("""COMPUTED_VALUE"""),21.0)</f>
        <v>21</v>
      </c>
      <c r="B23" s="8">
        <f>IFERROR(__xludf.DUMMYFUNCTION("""COMPUTED_VALUE"""),55.0)</f>
        <v>55</v>
      </c>
    </row>
    <row r="24">
      <c r="A24" s="8">
        <f>IFERROR(__xludf.DUMMYFUNCTION("""COMPUTED_VALUE"""),22.0)</f>
        <v>22</v>
      </c>
      <c r="B24" s="8">
        <f>IFERROR(__xludf.DUMMYFUNCTION("""COMPUTED_VALUE"""),31.0)</f>
        <v>31</v>
      </c>
    </row>
    <row r="25">
      <c r="A25" s="8">
        <f>IFERROR(__xludf.DUMMYFUNCTION("""COMPUTED_VALUE"""),23.0)</f>
        <v>23</v>
      </c>
      <c r="B25" s="8">
        <f>IFERROR(__xludf.DUMMYFUNCTION("""COMPUTED_VALUE"""),34.0)</f>
        <v>34</v>
      </c>
    </row>
    <row r="26">
      <c r="A26" s="8">
        <f>IFERROR(__xludf.DUMMYFUNCTION("""COMPUTED_VALUE"""),24.0)</f>
        <v>24</v>
      </c>
      <c r="B26" s="8">
        <f>IFERROR(__xludf.DUMMYFUNCTION("""COMPUTED_VALUE"""),55.0)</f>
        <v>55</v>
      </c>
    </row>
    <row r="27">
      <c r="A27" s="8">
        <f>IFERROR(__xludf.DUMMYFUNCTION("""COMPUTED_VALUE"""),25.0)</f>
        <v>25</v>
      </c>
      <c r="B27" s="8">
        <f>IFERROR(__xludf.DUMMYFUNCTION("""COMPUTED_VALUE"""),31.0)</f>
        <v>31</v>
      </c>
    </row>
    <row r="28">
      <c r="A28" s="8">
        <f>IFERROR(__xludf.DUMMYFUNCTION("""COMPUTED_VALUE"""),26.0)</f>
        <v>26</v>
      </c>
      <c r="B28" s="8">
        <f>IFERROR(__xludf.DUMMYFUNCTION("""COMPUTED_VALUE"""),33.0)</f>
        <v>33</v>
      </c>
    </row>
    <row r="29">
      <c r="A29" s="8">
        <f>IFERROR(__xludf.DUMMYFUNCTION("""COMPUTED_VALUE"""),27.0)</f>
        <v>27</v>
      </c>
      <c r="B29" s="8">
        <f>IFERROR(__xludf.DUMMYFUNCTION("""COMPUTED_VALUE"""),31.0)</f>
        <v>31</v>
      </c>
    </row>
    <row r="30">
      <c r="A30" s="8">
        <f>IFERROR(__xludf.DUMMYFUNCTION("""COMPUTED_VALUE"""),28.0)</f>
        <v>28</v>
      </c>
      <c r="B30" s="8">
        <f>IFERROR(__xludf.DUMMYFUNCTION("""COMPUTED_VALUE"""),53.0)</f>
        <v>53</v>
      </c>
    </row>
    <row r="31">
      <c r="A31" s="8">
        <f>IFERROR(__xludf.DUMMYFUNCTION("""COMPUTED_VALUE"""),29.0)</f>
        <v>29</v>
      </c>
      <c r="B31" s="8">
        <f>IFERROR(__xludf.DUMMYFUNCTION("""COMPUTED_VALUE"""),28.0)</f>
        <v>28</v>
      </c>
    </row>
    <row r="32">
      <c r="A32" s="8">
        <f>IFERROR(__xludf.DUMMYFUNCTION("""COMPUTED_VALUE"""),30.0)</f>
        <v>30</v>
      </c>
      <c r="B32" s="8">
        <f>IFERROR(__xludf.DUMMYFUNCTION("""COMPUTED_VALUE"""),33.0)</f>
        <v>33</v>
      </c>
    </row>
    <row r="33">
      <c r="A33" s="8">
        <f>IFERROR(__xludf.DUMMYFUNCTION("""COMPUTED_VALUE"""),31.0)</f>
        <v>31</v>
      </c>
      <c r="B33" s="8">
        <f>IFERROR(__xludf.DUMMYFUNCTION("""COMPUTED_VALUE"""),46.0)</f>
        <v>46</v>
      </c>
    </row>
    <row r="34">
      <c r="A34" s="8">
        <f>IFERROR(__xludf.DUMMYFUNCTION("""COMPUTED_VALUE"""),32.0)</f>
        <v>32</v>
      </c>
      <c r="B34" s="8">
        <f>IFERROR(__xludf.DUMMYFUNCTION("""COMPUTED_VALUE"""),21.0)</f>
        <v>21</v>
      </c>
    </row>
    <row r="35">
      <c r="A35" s="8">
        <f>IFERROR(__xludf.DUMMYFUNCTION("""COMPUTED_VALUE"""),33.0)</f>
        <v>33</v>
      </c>
      <c r="B35" s="8">
        <f>IFERROR(__xludf.DUMMYFUNCTION("""COMPUTED_VALUE"""),36.0)</f>
        <v>36</v>
      </c>
    </row>
    <row r="36">
      <c r="A36" s="8">
        <f>IFERROR(__xludf.DUMMYFUNCTION("""COMPUTED_VALUE"""),34.0)</f>
        <v>34</v>
      </c>
      <c r="B36" s="8">
        <f>IFERROR(__xludf.DUMMYFUNCTION("""COMPUTED_VALUE"""),39.0)</f>
        <v>39</v>
      </c>
    </row>
    <row r="37">
      <c r="A37" s="8">
        <f>IFERROR(__xludf.DUMMYFUNCTION("""COMPUTED_VALUE"""),35.0)</f>
        <v>35</v>
      </c>
      <c r="B37" s="8">
        <f>IFERROR(__xludf.DUMMYFUNCTION("""COMPUTED_VALUE"""),65.0)</f>
        <v>65</v>
      </c>
    </row>
    <row r="38">
      <c r="A38" s="8">
        <f>IFERROR(__xludf.DUMMYFUNCTION("""COMPUTED_VALUE"""),36.0)</f>
        <v>36</v>
      </c>
      <c r="B38" s="8">
        <f>IFERROR(__xludf.DUMMYFUNCTION("""COMPUTED_VALUE"""),29.0)</f>
        <v>29</v>
      </c>
    </row>
    <row r="39">
      <c r="A39" s="8">
        <f>IFERROR(__xludf.DUMMYFUNCTION("""COMPUTED_VALUE"""),37.0)</f>
        <v>37</v>
      </c>
      <c r="B39" s="8">
        <f>IFERROR(__xludf.DUMMYFUNCTION("""COMPUTED_VALUE"""),38.0)</f>
        <v>38</v>
      </c>
    </row>
    <row r="40">
      <c r="A40" s="8">
        <f>IFERROR(__xludf.DUMMYFUNCTION("""COMPUTED_VALUE"""),38.0)</f>
        <v>38</v>
      </c>
      <c r="B40" s="8">
        <f>IFERROR(__xludf.DUMMYFUNCTION("""COMPUTED_VALUE"""),36.0)</f>
        <v>36</v>
      </c>
    </row>
    <row r="41">
      <c r="A41" s="8">
        <f>IFERROR(__xludf.DUMMYFUNCTION("""COMPUTED_VALUE"""),39.0)</f>
        <v>39</v>
      </c>
      <c r="B41" s="8">
        <f>IFERROR(__xludf.DUMMYFUNCTION("""COMPUTED_VALUE"""),59.0)</f>
        <v>59</v>
      </c>
    </row>
    <row r="42">
      <c r="A42" s="8">
        <f>IFERROR(__xludf.DUMMYFUNCTION("""COMPUTED_VALUE"""),40.0)</f>
        <v>40</v>
      </c>
      <c r="B42" s="8">
        <f>IFERROR(__xludf.DUMMYFUNCTION("""COMPUTED_VALUE"""),47.0)</f>
        <v>47</v>
      </c>
    </row>
    <row r="43">
      <c r="A43" s="8">
        <f>IFERROR(__xludf.DUMMYFUNCTION("""COMPUTED_VALUE"""),41.0)</f>
        <v>41</v>
      </c>
      <c r="B43" s="8">
        <f>IFERROR(__xludf.DUMMYFUNCTION("""COMPUTED_VALUE"""),40.0)</f>
        <v>40</v>
      </c>
    </row>
    <row r="44">
      <c r="A44" s="8">
        <f>IFERROR(__xludf.DUMMYFUNCTION("""COMPUTED_VALUE"""),42.0)</f>
        <v>42</v>
      </c>
      <c r="B44" s="8">
        <f>IFERROR(__xludf.DUMMYFUNCTION("""COMPUTED_VALUE"""),23.0)</f>
        <v>23</v>
      </c>
    </row>
    <row r="45">
      <c r="A45" s="8">
        <f>IFERROR(__xludf.DUMMYFUNCTION("""COMPUTED_VALUE"""),43.0)</f>
        <v>43</v>
      </c>
      <c r="B45" s="8">
        <f>IFERROR(__xludf.DUMMYFUNCTION("""COMPUTED_VALUE"""),67.0)</f>
        <v>67</v>
      </c>
    </row>
    <row r="46">
      <c r="A46" s="8">
        <f>IFERROR(__xludf.DUMMYFUNCTION("""COMPUTED_VALUE"""),44.0)</f>
        <v>44</v>
      </c>
      <c r="B46" s="8">
        <f>IFERROR(__xludf.DUMMYFUNCTION("""COMPUTED_VALUE"""),48.0)</f>
        <v>48</v>
      </c>
    </row>
    <row r="47">
      <c r="A47" s="8">
        <f>IFERROR(__xludf.DUMMYFUNCTION("""COMPUTED_VALUE"""),45.0)</f>
        <v>45</v>
      </c>
      <c r="B47" s="8">
        <f>IFERROR(__xludf.DUMMYFUNCTION("""COMPUTED_VALUE"""),43.0)</f>
        <v>43</v>
      </c>
    </row>
    <row r="48">
      <c r="A48" s="8">
        <f>IFERROR(__xludf.DUMMYFUNCTION("""COMPUTED_VALUE"""),46.0)</f>
        <v>46</v>
      </c>
      <c r="B48" s="8">
        <f>IFERROR(__xludf.DUMMYFUNCTION("""COMPUTED_VALUE"""),40.0)</f>
        <v>40</v>
      </c>
    </row>
    <row r="49">
      <c r="A49" s="8">
        <f>IFERROR(__xludf.DUMMYFUNCTION("""COMPUTED_VALUE"""),47.0)</f>
        <v>47</v>
      </c>
      <c r="B49" s="8">
        <f>IFERROR(__xludf.DUMMYFUNCTION("""COMPUTED_VALUE"""),52.0)</f>
        <v>52</v>
      </c>
    </row>
    <row r="50">
      <c r="A50" s="8">
        <f>IFERROR(__xludf.DUMMYFUNCTION("""COMPUTED_VALUE"""),48.0)</f>
        <v>48</v>
      </c>
      <c r="B50" s="8">
        <f>IFERROR(__xludf.DUMMYFUNCTION("""COMPUTED_VALUE"""),56.0)</f>
        <v>56</v>
      </c>
    </row>
    <row r="51">
      <c r="A51" s="8">
        <f>IFERROR(__xludf.DUMMYFUNCTION("""COMPUTED_VALUE"""),49.0)</f>
        <v>49</v>
      </c>
      <c r="B51" s="8">
        <f>IFERROR(__xludf.DUMMYFUNCTION("""COMPUTED_VALUE"""),33.0)</f>
        <v>33</v>
      </c>
    </row>
    <row r="52">
      <c r="A52" s="8">
        <f>IFERROR(__xludf.DUMMYFUNCTION("""COMPUTED_VALUE"""),50.0)</f>
        <v>50</v>
      </c>
      <c r="B52" s="8">
        <f>IFERROR(__xludf.DUMMYFUNCTION("""COMPUTED_VALUE"""),46.0)</f>
        <v>46</v>
      </c>
    </row>
    <row r="53">
      <c r="A53" s="8">
        <f>IFERROR(__xludf.DUMMYFUNCTION("""COMPUTED_VALUE"""),51.0)</f>
        <v>51</v>
      </c>
      <c r="B53" s="8">
        <f>IFERROR(__xludf.DUMMYFUNCTION("""COMPUTED_VALUE"""),41.0)</f>
        <v>41</v>
      </c>
    </row>
    <row r="54">
      <c r="A54" s="8">
        <f>IFERROR(__xludf.DUMMYFUNCTION("""COMPUTED_VALUE"""),52.0)</f>
        <v>52</v>
      </c>
      <c r="B54" s="8">
        <f>IFERROR(__xludf.DUMMYFUNCTION("""COMPUTED_VALUE"""),39.0)</f>
        <v>39</v>
      </c>
    </row>
    <row r="55">
      <c r="A55" s="8">
        <f>IFERROR(__xludf.DUMMYFUNCTION("""COMPUTED_VALUE"""),53.0)</f>
        <v>53</v>
      </c>
      <c r="B55" s="8">
        <f>IFERROR(__xludf.DUMMYFUNCTION("""COMPUTED_VALUE"""),39.0)</f>
        <v>39</v>
      </c>
    </row>
    <row r="56">
      <c r="A56" s="8">
        <f>IFERROR(__xludf.DUMMYFUNCTION("""COMPUTED_VALUE"""),54.0)</f>
        <v>54</v>
      </c>
      <c r="B56" s="8">
        <f>IFERROR(__xludf.DUMMYFUNCTION("""COMPUTED_VALUE"""),66.0)</f>
        <v>66</v>
      </c>
    </row>
    <row r="57">
      <c r="A57" s="8">
        <f>IFERROR(__xludf.DUMMYFUNCTION("""COMPUTED_VALUE"""),55.0)</f>
        <v>55</v>
      </c>
      <c r="B57" s="8">
        <f>IFERROR(__xludf.DUMMYFUNCTION("""COMPUTED_VALUE"""),61.0)</f>
        <v>61</v>
      </c>
    </row>
    <row r="58">
      <c r="A58" s="8">
        <f>IFERROR(__xludf.DUMMYFUNCTION("""COMPUTED_VALUE"""),56.0)</f>
        <v>56</v>
      </c>
      <c r="B58" s="8">
        <f>IFERROR(__xludf.DUMMYFUNCTION("""COMPUTED_VALUE"""),33.0)</f>
        <v>33</v>
      </c>
    </row>
    <row r="59">
      <c r="A59" s="8">
        <f>IFERROR(__xludf.DUMMYFUNCTION("""COMPUTED_VALUE"""),57.0)</f>
        <v>57</v>
      </c>
      <c r="B59" s="8">
        <f>IFERROR(__xludf.DUMMYFUNCTION("""COMPUTED_VALUE"""),31.0)</f>
        <v>31</v>
      </c>
    </row>
    <row r="60">
      <c r="A60" s="8">
        <f>IFERROR(__xludf.DUMMYFUNCTION("""COMPUTED_VALUE"""),58.0)</f>
        <v>58</v>
      </c>
      <c r="B60" s="8">
        <f>IFERROR(__xludf.DUMMYFUNCTION("""COMPUTED_VALUE"""),36.0)</f>
        <v>36</v>
      </c>
    </row>
    <row r="61">
      <c r="A61" s="8">
        <f>IFERROR(__xludf.DUMMYFUNCTION("""COMPUTED_VALUE"""),59.0)</f>
        <v>59</v>
      </c>
      <c r="B61" s="8">
        <f>IFERROR(__xludf.DUMMYFUNCTION("""COMPUTED_VALUE"""),52.0)</f>
        <v>52</v>
      </c>
    </row>
    <row r="62">
      <c r="A62" s="8">
        <f>IFERROR(__xludf.DUMMYFUNCTION("""COMPUTED_VALUE"""),60.0)</f>
        <v>60</v>
      </c>
      <c r="B62" s="8">
        <f>IFERROR(__xludf.DUMMYFUNCTION("""COMPUTED_VALUE"""),41.0)</f>
        <v>41</v>
      </c>
    </row>
    <row r="63">
      <c r="A63" s="8">
        <f>IFERROR(__xludf.DUMMYFUNCTION("""COMPUTED_VALUE"""),61.0)</f>
        <v>61</v>
      </c>
      <c r="B63" s="8">
        <f>IFERROR(__xludf.DUMMYFUNCTION("""COMPUTED_VALUE"""),36.0)</f>
        <v>36</v>
      </c>
    </row>
    <row r="64">
      <c r="A64" s="8">
        <f>IFERROR(__xludf.DUMMYFUNCTION("""COMPUTED_VALUE"""),62.0)</f>
        <v>62</v>
      </c>
      <c r="B64" s="8">
        <f>IFERROR(__xludf.DUMMYFUNCTION("""COMPUTED_VALUE"""),28.0)</f>
        <v>28</v>
      </c>
    </row>
    <row r="65">
      <c r="A65" s="8">
        <f>IFERROR(__xludf.DUMMYFUNCTION("""COMPUTED_VALUE"""),63.0)</f>
        <v>63</v>
      </c>
      <c r="B65" s="8">
        <f>IFERROR(__xludf.DUMMYFUNCTION("""COMPUTED_VALUE"""),57.0)</f>
        <v>57</v>
      </c>
    </row>
    <row r="66">
      <c r="A66" s="8">
        <f>IFERROR(__xludf.DUMMYFUNCTION("""COMPUTED_VALUE"""),64.0)</f>
        <v>64</v>
      </c>
      <c r="B66" s="8">
        <f>IFERROR(__xludf.DUMMYFUNCTION("""COMPUTED_VALUE"""),43.0)</f>
        <v>43</v>
      </c>
    </row>
    <row r="67">
      <c r="A67" s="8">
        <f>IFERROR(__xludf.DUMMYFUNCTION("""COMPUTED_VALUE"""),65.0)</f>
        <v>65</v>
      </c>
      <c r="B67" s="8">
        <f>IFERROR(__xludf.DUMMYFUNCTION("""COMPUTED_VALUE"""),58.0)</f>
        <v>58</v>
      </c>
    </row>
    <row r="68">
      <c r="A68" s="8">
        <f>IFERROR(__xludf.DUMMYFUNCTION("""COMPUTED_VALUE"""),66.0)</f>
        <v>66</v>
      </c>
      <c r="B68" s="8">
        <f>IFERROR(__xludf.DUMMYFUNCTION("""COMPUTED_VALUE"""),60.0)</f>
        <v>60</v>
      </c>
    </row>
    <row r="69">
      <c r="A69" s="8">
        <f>IFERROR(__xludf.DUMMYFUNCTION("""COMPUTED_VALUE"""),67.0)</f>
        <v>67</v>
      </c>
      <c r="B69" s="8">
        <f>IFERROR(__xludf.DUMMYFUNCTION("""COMPUTED_VALUE"""),40.0)</f>
        <v>40</v>
      </c>
    </row>
    <row r="70">
      <c r="A70" s="8">
        <f>IFERROR(__xludf.DUMMYFUNCTION("""COMPUTED_VALUE"""),68.0)</f>
        <v>68</v>
      </c>
      <c r="B70" s="8">
        <f>IFERROR(__xludf.DUMMYFUNCTION("""COMPUTED_VALUE"""),37.0)</f>
        <v>37</v>
      </c>
    </row>
    <row r="71">
      <c r="A71" s="8">
        <f>IFERROR(__xludf.DUMMYFUNCTION("""COMPUTED_VALUE"""),69.0)</f>
        <v>69</v>
      </c>
      <c r="B71" s="8">
        <f>IFERROR(__xludf.DUMMYFUNCTION("""COMPUTED_VALUE"""),56.0)</f>
        <v>56</v>
      </c>
    </row>
    <row r="72">
      <c r="A72" s="8">
        <f>IFERROR(__xludf.DUMMYFUNCTION("""COMPUTED_VALUE"""),70.0)</f>
        <v>70</v>
      </c>
      <c r="B72" s="8">
        <f>IFERROR(__xludf.DUMMYFUNCTION("""COMPUTED_VALUE"""),38.0)</f>
        <v>38</v>
      </c>
    </row>
    <row r="73">
      <c r="A73" s="8">
        <f>IFERROR(__xludf.DUMMYFUNCTION("""COMPUTED_VALUE"""),71.0)</f>
        <v>71</v>
      </c>
      <c r="B73" s="8">
        <f>IFERROR(__xludf.DUMMYFUNCTION("""COMPUTED_VALUE"""),36.0)</f>
        <v>36</v>
      </c>
    </row>
    <row r="74">
      <c r="A74" s="8">
        <f>IFERROR(__xludf.DUMMYFUNCTION("""COMPUTED_VALUE"""),72.0)</f>
        <v>72</v>
      </c>
      <c r="B74" s="8">
        <f>IFERROR(__xludf.DUMMYFUNCTION("""COMPUTED_VALUE"""),27.0)</f>
        <v>27</v>
      </c>
    </row>
    <row r="75">
      <c r="A75" s="8">
        <f>IFERROR(__xludf.DUMMYFUNCTION("""COMPUTED_VALUE"""),73.0)</f>
        <v>73</v>
      </c>
      <c r="B75" s="8">
        <f>IFERROR(__xludf.DUMMYFUNCTION("""COMPUTED_VALUE"""),47.0)</f>
        <v>47</v>
      </c>
    </row>
    <row r="76">
      <c r="A76" s="8">
        <f>IFERROR(__xludf.DUMMYFUNCTION("""COMPUTED_VALUE"""),74.0)</f>
        <v>74</v>
      </c>
      <c r="B76" s="8">
        <f>IFERROR(__xludf.DUMMYFUNCTION("""COMPUTED_VALUE"""),59.0)</f>
        <v>59</v>
      </c>
    </row>
    <row r="77">
      <c r="A77" s="8">
        <f>IFERROR(__xludf.DUMMYFUNCTION("""COMPUTED_VALUE"""),75.0)</f>
        <v>75</v>
      </c>
      <c r="B77" s="8">
        <f>IFERROR(__xludf.DUMMYFUNCTION("""COMPUTED_VALUE"""),48.0)</f>
        <v>48</v>
      </c>
    </row>
    <row r="78">
      <c r="A78" s="8">
        <f>IFERROR(__xludf.DUMMYFUNCTION("""COMPUTED_VALUE"""),76.0)</f>
        <v>76</v>
      </c>
      <c r="B78" s="8">
        <f>IFERROR(__xludf.DUMMYFUNCTION("""COMPUTED_VALUE"""),31.0)</f>
        <v>31</v>
      </c>
    </row>
    <row r="79">
      <c r="A79" s="8">
        <f>IFERROR(__xludf.DUMMYFUNCTION("""COMPUTED_VALUE"""),77.0)</f>
        <v>77</v>
      </c>
      <c r="B79" s="8">
        <f>IFERROR(__xludf.DUMMYFUNCTION("""COMPUTED_VALUE"""),28.0)</f>
        <v>28</v>
      </c>
    </row>
    <row r="80">
      <c r="A80" s="8">
        <f>IFERROR(__xludf.DUMMYFUNCTION("""COMPUTED_VALUE"""),78.0)</f>
        <v>78</v>
      </c>
      <c r="B80" s="8">
        <f>IFERROR(__xludf.DUMMYFUNCTION("""COMPUTED_VALUE"""),47.0)</f>
        <v>47</v>
      </c>
    </row>
    <row r="81">
      <c r="A81" s="8">
        <f>IFERROR(__xludf.DUMMYFUNCTION("""COMPUTED_VALUE"""),79.0)</f>
        <v>79</v>
      </c>
      <c r="B81" s="8">
        <f>IFERROR(__xludf.DUMMYFUNCTION("""COMPUTED_VALUE"""),62.0)</f>
        <v>62</v>
      </c>
    </row>
    <row r="82">
      <c r="A82" s="8">
        <f>IFERROR(__xludf.DUMMYFUNCTION("""COMPUTED_VALUE"""),80.0)</f>
        <v>80</v>
      </c>
      <c r="B82" s="8">
        <f>IFERROR(__xludf.DUMMYFUNCTION("""COMPUTED_VALUE"""),68.0)</f>
        <v>68</v>
      </c>
    </row>
    <row r="83">
      <c r="A83" s="8">
        <f>IFERROR(__xludf.DUMMYFUNCTION("""COMPUTED_VALUE"""),81.0)</f>
        <v>81</v>
      </c>
      <c r="B83" s="8">
        <f>IFERROR(__xludf.DUMMYFUNCTION("""COMPUTED_VALUE"""),61.0)</f>
        <v>61</v>
      </c>
    </row>
    <row r="84">
      <c r="A84" s="8">
        <f>IFERROR(__xludf.DUMMYFUNCTION("""COMPUTED_VALUE"""),82.0)</f>
        <v>82</v>
      </c>
      <c r="B84" s="8">
        <f>IFERROR(__xludf.DUMMYFUNCTION("""COMPUTED_VALUE"""),33.0)</f>
        <v>33</v>
      </c>
    </row>
    <row r="85">
      <c r="A85" s="8">
        <f>IFERROR(__xludf.DUMMYFUNCTION("""COMPUTED_VALUE"""),83.0)</f>
        <v>83</v>
      </c>
      <c r="B85" s="8">
        <f>IFERROR(__xludf.DUMMYFUNCTION("""COMPUTED_VALUE"""),68.0)</f>
        <v>68</v>
      </c>
    </row>
    <row r="86">
      <c r="A86" s="8">
        <f>IFERROR(__xludf.DUMMYFUNCTION("""COMPUTED_VALUE"""),84.0)</f>
        <v>84</v>
      </c>
      <c r="B86" s="8">
        <f>IFERROR(__xludf.DUMMYFUNCTION("""COMPUTED_VALUE"""),37.0)</f>
        <v>37</v>
      </c>
    </row>
    <row r="87">
      <c r="A87" s="8">
        <f>IFERROR(__xludf.DUMMYFUNCTION("""COMPUTED_VALUE"""),85.0)</f>
        <v>85</v>
      </c>
      <c r="B87" s="8">
        <f>IFERROR(__xludf.DUMMYFUNCTION("""COMPUTED_VALUE"""),58.0)</f>
        <v>58</v>
      </c>
    </row>
    <row r="88">
      <c r="A88" s="8">
        <f>IFERROR(__xludf.DUMMYFUNCTION("""COMPUTED_VALUE"""),86.0)</f>
        <v>86</v>
      </c>
      <c r="B88" s="8">
        <f>IFERROR(__xludf.DUMMYFUNCTION("""COMPUTED_VALUE"""),39.0)</f>
        <v>39</v>
      </c>
    </row>
    <row r="89">
      <c r="A89" s="8">
        <f>IFERROR(__xludf.DUMMYFUNCTION("""COMPUTED_VALUE"""),87.0)</f>
        <v>87</v>
      </c>
      <c r="B89" s="8">
        <f>IFERROR(__xludf.DUMMYFUNCTION("""COMPUTED_VALUE"""),39.0)</f>
        <v>39</v>
      </c>
    </row>
    <row r="90">
      <c r="A90" s="8">
        <f>IFERROR(__xludf.DUMMYFUNCTION("""COMPUTED_VALUE"""),88.0)</f>
        <v>88</v>
      </c>
      <c r="B90" s="8">
        <f>IFERROR(__xludf.DUMMYFUNCTION("""COMPUTED_VALUE"""),38.0)</f>
        <v>38</v>
      </c>
    </row>
    <row r="91">
      <c r="A91" s="8">
        <f>IFERROR(__xludf.DUMMYFUNCTION("""COMPUTED_VALUE"""),89.0)</f>
        <v>89</v>
      </c>
      <c r="B91" s="8">
        <f>IFERROR(__xludf.DUMMYFUNCTION("""COMPUTED_VALUE"""),24.0)</f>
        <v>24</v>
      </c>
    </row>
    <row r="92">
      <c r="A92" s="8">
        <f>IFERROR(__xludf.DUMMYFUNCTION("""COMPUTED_VALUE"""),90.0)</f>
        <v>90</v>
      </c>
      <c r="B92" s="8">
        <f>IFERROR(__xludf.DUMMYFUNCTION("""COMPUTED_VALUE"""),51.0)</f>
        <v>51</v>
      </c>
    </row>
    <row r="93">
      <c r="A93" s="8">
        <f>IFERROR(__xludf.DUMMYFUNCTION("""COMPUTED_VALUE"""),91.0)</f>
        <v>91</v>
      </c>
      <c r="B93" s="8">
        <f>IFERROR(__xludf.DUMMYFUNCTION("""COMPUTED_VALUE"""),29.0)</f>
        <v>29</v>
      </c>
    </row>
    <row r="94">
      <c r="A94" s="8">
        <f>IFERROR(__xludf.DUMMYFUNCTION("""COMPUTED_VALUE"""),92.0)</f>
        <v>92</v>
      </c>
      <c r="B94" s="8">
        <f>IFERROR(__xludf.DUMMYFUNCTION("""COMPUTED_VALUE"""),23.0)</f>
        <v>23</v>
      </c>
    </row>
    <row r="95">
      <c r="A95" s="8">
        <f>IFERROR(__xludf.DUMMYFUNCTION("""COMPUTED_VALUE"""),93.0)</f>
        <v>93</v>
      </c>
      <c r="B95" s="8">
        <f>IFERROR(__xludf.DUMMYFUNCTION("""COMPUTED_VALUE"""),31.0)</f>
        <v>31</v>
      </c>
    </row>
    <row r="96">
      <c r="A96" s="8">
        <f>IFERROR(__xludf.DUMMYFUNCTION("""COMPUTED_VALUE"""),94.0)</f>
        <v>94</v>
      </c>
      <c r="B96" s="8">
        <f>IFERROR(__xludf.DUMMYFUNCTION("""COMPUTED_VALUE"""),23.0)</f>
        <v>23</v>
      </c>
    </row>
    <row r="97">
      <c r="A97" s="8">
        <f>IFERROR(__xludf.DUMMYFUNCTION("""COMPUTED_VALUE"""),95.0)</f>
        <v>95</v>
      </c>
      <c r="B97" s="8">
        <f>IFERROR(__xludf.DUMMYFUNCTION("""COMPUTED_VALUE"""),83.0)</f>
        <v>83</v>
      </c>
    </row>
    <row r="98">
      <c r="A98" s="8">
        <f>IFERROR(__xludf.DUMMYFUNCTION("""COMPUTED_VALUE"""),96.0)</f>
        <v>96</v>
      </c>
      <c r="B98" s="8">
        <f>IFERROR(__xludf.DUMMYFUNCTION("""COMPUTED_VALUE"""),44.0)</f>
        <v>44</v>
      </c>
    </row>
    <row r="99">
      <c r="A99" s="8">
        <f>IFERROR(__xludf.DUMMYFUNCTION("""COMPUTED_VALUE"""),97.0)</f>
        <v>97</v>
      </c>
      <c r="B99" s="8">
        <f>IFERROR(__xludf.DUMMYFUNCTION("""COMPUTED_VALUE"""),44.0)</f>
        <v>44</v>
      </c>
    </row>
    <row r="100">
      <c r="A100" s="8">
        <f>IFERROR(__xludf.DUMMYFUNCTION("""COMPUTED_VALUE"""),98.0)</f>
        <v>98</v>
      </c>
      <c r="B100" s="8">
        <f>IFERROR(__xludf.DUMMYFUNCTION("""COMPUTED_VALUE"""),50.0)</f>
        <v>50</v>
      </c>
    </row>
    <row r="101">
      <c r="A101" s="8">
        <f>IFERROR(__xludf.DUMMYFUNCTION("""COMPUTED_VALUE"""),99.0)</f>
        <v>99</v>
      </c>
      <c r="B101" s="8">
        <f>IFERROR(__xludf.DUMMYFUNCTION("""COMPUTED_VALUE"""),33.0)</f>
        <v>33</v>
      </c>
    </row>
    <row r="102">
      <c r="A102" s="8">
        <f>IFERROR(__xludf.DUMMYFUNCTION("""COMPUTED_VALUE"""),100.0)</f>
        <v>100</v>
      </c>
      <c r="B102" s="8">
        <f>IFERROR(__xludf.DUMMYFUNCTION("""COMPUTED_VALUE"""),39.0)</f>
        <v>39</v>
      </c>
    </row>
    <row r="103">
      <c r="A103" s="8">
        <f>IFERROR(__xludf.DUMMYFUNCTION("""COMPUTED_VALUE"""),101.0)</f>
        <v>101</v>
      </c>
      <c r="B103" s="8">
        <f>IFERROR(__xludf.DUMMYFUNCTION("""COMPUTED_VALUE"""),40.0)</f>
        <v>40</v>
      </c>
    </row>
    <row r="104">
      <c r="A104" s="8">
        <f>IFERROR(__xludf.DUMMYFUNCTION("""COMPUTED_VALUE"""),102.0)</f>
        <v>102</v>
      </c>
      <c r="B104" s="8">
        <f>IFERROR(__xludf.DUMMYFUNCTION("""COMPUTED_VALUE"""),69.0)</f>
        <v>69</v>
      </c>
    </row>
    <row r="105">
      <c r="A105" s="8">
        <f>IFERROR(__xludf.DUMMYFUNCTION("""COMPUTED_VALUE"""),103.0)</f>
        <v>103</v>
      </c>
      <c r="B105" s="8">
        <f>IFERROR(__xludf.DUMMYFUNCTION("""COMPUTED_VALUE"""),23.0)</f>
        <v>23</v>
      </c>
    </row>
    <row r="106">
      <c r="A106" s="8">
        <f>IFERROR(__xludf.DUMMYFUNCTION("""COMPUTED_VALUE"""),104.0)</f>
        <v>104</v>
      </c>
      <c r="B106" s="8">
        <f>IFERROR(__xludf.DUMMYFUNCTION("""COMPUTED_VALUE"""),51.0)</f>
        <v>51</v>
      </c>
    </row>
    <row r="107">
      <c r="A107" s="8">
        <f>IFERROR(__xludf.DUMMYFUNCTION("""COMPUTED_VALUE"""),105.0)</f>
        <v>105</v>
      </c>
      <c r="B107" s="8">
        <f>IFERROR(__xludf.DUMMYFUNCTION("""COMPUTED_VALUE"""),66.0)</f>
        <v>66</v>
      </c>
    </row>
    <row r="108">
      <c r="A108" s="8">
        <f>IFERROR(__xludf.DUMMYFUNCTION("""COMPUTED_VALUE"""),106.0)</f>
        <v>106</v>
      </c>
      <c r="B108" s="8">
        <f>IFERROR(__xludf.DUMMYFUNCTION("""COMPUTED_VALUE"""),47.0)</f>
        <v>47</v>
      </c>
    </row>
    <row r="109">
      <c r="A109" s="8">
        <f>IFERROR(__xludf.DUMMYFUNCTION("""COMPUTED_VALUE"""),107.0)</f>
        <v>107</v>
      </c>
      <c r="B109" s="8">
        <f>IFERROR(__xludf.DUMMYFUNCTION("""COMPUTED_VALUE"""),66.0)</f>
        <v>66</v>
      </c>
    </row>
    <row r="110">
      <c r="A110" s="8">
        <f>IFERROR(__xludf.DUMMYFUNCTION("""COMPUTED_VALUE"""),108.0)</f>
        <v>108</v>
      </c>
      <c r="B110" s="8">
        <f>IFERROR(__xludf.DUMMYFUNCTION("""COMPUTED_VALUE"""),23.0)</f>
        <v>23</v>
      </c>
    </row>
    <row r="111">
      <c r="A111" s="8">
        <f>IFERROR(__xludf.DUMMYFUNCTION("""COMPUTED_VALUE"""),109.0)</f>
        <v>109</v>
      </c>
      <c r="B111" s="8">
        <f>IFERROR(__xludf.DUMMYFUNCTION("""COMPUTED_VALUE"""),47.0)</f>
        <v>47</v>
      </c>
    </row>
    <row r="112">
      <c r="A112" s="8">
        <f>IFERROR(__xludf.DUMMYFUNCTION("""COMPUTED_VALUE"""),110.0)</f>
        <v>110</v>
      </c>
      <c r="B112" s="8">
        <f>IFERROR(__xludf.DUMMYFUNCTION("""COMPUTED_VALUE"""),44.0)</f>
        <v>44</v>
      </c>
    </row>
    <row r="113">
      <c r="A113" s="8">
        <f>IFERROR(__xludf.DUMMYFUNCTION("""COMPUTED_VALUE"""),111.0)</f>
        <v>111</v>
      </c>
      <c r="B113" s="8">
        <f>IFERROR(__xludf.DUMMYFUNCTION("""COMPUTED_VALUE"""),44.0)</f>
        <v>44</v>
      </c>
    </row>
    <row r="114">
      <c r="A114" s="8">
        <f>IFERROR(__xludf.DUMMYFUNCTION("""COMPUTED_VALUE"""),112.0)</f>
        <v>112</v>
      </c>
      <c r="B114" s="8">
        <f>IFERROR(__xludf.DUMMYFUNCTION("""COMPUTED_VALUE"""),50.0)</f>
        <v>50</v>
      </c>
    </row>
    <row r="115">
      <c r="A115" s="8">
        <f>IFERROR(__xludf.DUMMYFUNCTION("""COMPUTED_VALUE"""),113.0)</f>
        <v>113</v>
      </c>
      <c r="B115" s="8">
        <f>IFERROR(__xludf.DUMMYFUNCTION("""COMPUTED_VALUE"""),61.0)</f>
        <v>61</v>
      </c>
    </row>
    <row r="116">
      <c r="A116" s="8">
        <f>IFERROR(__xludf.DUMMYFUNCTION("""COMPUTED_VALUE"""),114.0)</f>
        <v>114</v>
      </c>
      <c r="B116" s="8">
        <f>IFERROR(__xludf.DUMMYFUNCTION("""COMPUTED_VALUE"""),32.0)</f>
        <v>32</v>
      </c>
    </row>
    <row r="117">
      <c r="A117" s="8">
        <f>IFERROR(__xludf.DUMMYFUNCTION("""COMPUTED_VALUE"""),115.0)</f>
        <v>115</v>
      </c>
      <c r="B117" s="8">
        <f>IFERROR(__xludf.DUMMYFUNCTION("""COMPUTED_VALUE"""),52.0)</f>
        <v>52</v>
      </c>
    </row>
    <row r="118">
      <c r="A118" s="8">
        <f>IFERROR(__xludf.DUMMYFUNCTION("""COMPUTED_VALUE"""),116.0)</f>
        <v>116</v>
      </c>
      <c r="B118" s="8">
        <f>IFERROR(__xludf.DUMMYFUNCTION("""COMPUTED_VALUE"""),51.0)</f>
        <v>51</v>
      </c>
    </row>
    <row r="119">
      <c r="A119" s="8">
        <f>IFERROR(__xludf.DUMMYFUNCTION("""COMPUTED_VALUE"""),117.0)</f>
        <v>117</v>
      </c>
      <c r="B119" s="8">
        <f>IFERROR(__xludf.DUMMYFUNCTION("""COMPUTED_VALUE"""),32.0)</f>
        <v>32</v>
      </c>
    </row>
    <row r="120">
      <c r="A120" s="8">
        <f>IFERROR(__xludf.DUMMYFUNCTION("""COMPUTED_VALUE"""),118.0)</f>
        <v>118</v>
      </c>
      <c r="B120" s="8">
        <f>IFERROR(__xludf.DUMMYFUNCTION("""COMPUTED_VALUE"""),37.0)</f>
        <v>37</v>
      </c>
    </row>
    <row r="121">
      <c r="A121" s="8">
        <f>IFERROR(__xludf.DUMMYFUNCTION("""COMPUTED_VALUE"""),119.0)</f>
        <v>119</v>
      </c>
      <c r="B121" s="8">
        <f>IFERROR(__xludf.DUMMYFUNCTION("""COMPUTED_VALUE"""),54.0)</f>
        <v>54</v>
      </c>
    </row>
    <row r="122">
      <c r="A122" s="8">
        <f>IFERROR(__xludf.DUMMYFUNCTION("""COMPUTED_VALUE"""),120.0)</f>
        <v>120</v>
      </c>
      <c r="B122" s="8">
        <f>IFERROR(__xludf.DUMMYFUNCTION("""COMPUTED_VALUE"""),33.0)</f>
        <v>33</v>
      </c>
    </row>
    <row r="123">
      <c r="A123" s="8">
        <f>IFERROR(__xludf.DUMMYFUNCTION("""COMPUTED_VALUE"""),121.0)</f>
        <v>121</v>
      </c>
      <c r="B123" s="8">
        <f>IFERROR(__xludf.DUMMYFUNCTION("""COMPUTED_VALUE"""),63.0)</f>
        <v>63</v>
      </c>
    </row>
    <row r="124">
      <c r="A124" s="8">
        <f>IFERROR(__xludf.DUMMYFUNCTION("""COMPUTED_VALUE"""),122.0)</f>
        <v>122</v>
      </c>
      <c r="B124" s="8">
        <f>IFERROR(__xludf.DUMMYFUNCTION("""COMPUTED_VALUE"""),29.0)</f>
        <v>29</v>
      </c>
    </row>
    <row r="125">
      <c r="A125" s="8">
        <f>IFERROR(__xludf.DUMMYFUNCTION("""COMPUTED_VALUE"""),123.0)</f>
        <v>123</v>
      </c>
      <c r="B125" s="8">
        <f>IFERROR(__xludf.DUMMYFUNCTION("""COMPUTED_VALUE"""),24.0)</f>
        <v>24</v>
      </c>
    </row>
    <row r="126">
      <c r="A126" s="8">
        <f>IFERROR(__xludf.DUMMYFUNCTION("""COMPUTED_VALUE"""),124.0)</f>
        <v>124</v>
      </c>
      <c r="B126" s="8">
        <f>IFERROR(__xludf.DUMMYFUNCTION("""COMPUTED_VALUE"""),50.0)</f>
        <v>50</v>
      </c>
    </row>
    <row r="127">
      <c r="A127" s="8">
        <f>IFERROR(__xludf.DUMMYFUNCTION("""COMPUTED_VALUE"""),125.0)</f>
        <v>125</v>
      </c>
      <c r="B127" s="8">
        <f>IFERROR(__xludf.DUMMYFUNCTION("""COMPUTED_VALUE"""),34.0)</f>
        <v>34</v>
      </c>
    </row>
    <row r="128">
      <c r="A128" s="8">
        <f>IFERROR(__xludf.DUMMYFUNCTION("""COMPUTED_VALUE"""),126.0)</f>
        <v>126</v>
      </c>
      <c r="B128" s="8">
        <f>IFERROR(__xludf.DUMMYFUNCTION("""COMPUTED_VALUE"""),71.0)</f>
        <v>71</v>
      </c>
    </row>
    <row r="129">
      <c r="A129" s="8">
        <f>IFERROR(__xludf.DUMMYFUNCTION("""COMPUTED_VALUE"""),127.0)</f>
        <v>127</v>
      </c>
      <c r="B129" s="8">
        <f>IFERROR(__xludf.DUMMYFUNCTION("""COMPUTED_VALUE"""),30.0)</f>
        <v>30</v>
      </c>
    </row>
    <row r="130">
      <c r="A130" s="8">
        <f>IFERROR(__xludf.DUMMYFUNCTION("""COMPUTED_VALUE"""),128.0)</f>
        <v>128</v>
      </c>
      <c r="B130" s="8">
        <f>IFERROR(__xludf.DUMMYFUNCTION("""COMPUTED_VALUE"""),52.0)</f>
        <v>52</v>
      </c>
    </row>
    <row r="131">
      <c r="A131" s="8">
        <f>IFERROR(__xludf.DUMMYFUNCTION("""COMPUTED_VALUE"""),129.0)</f>
        <v>129</v>
      </c>
      <c r="B131" s="8">
        <f>IFERROR(__xludf.DUMMYFUNCTION("""COMPUTED_VALUE"""),28.0)</f>
        <v>28</v>
      </c>
    </row>
    <row r="132">
      <c r="A132" s="8">
        <f>IFERROR(__xludf.DUMMYFUNCTION("""COMPUTED_VALUE"""),130.0)</f>
        <v>130</v>
      </c>
      <c r="B132" s="8">
        <f>IFERROR(__xludf.DUMMYFUNCTION("""COMPUTED_VALUE"""),62.0)</f>
        <v>62</v>
      </c>
    </row>
    <row r="133">
      <c r="A133" s="8">
        <f>IFERROR(__xludf.DUMMYFUNCTION("""COMPUTED_VALUE"""),131.0)</f>
        <v>131</v>
      </c>
      <c r="B133" s="8">
        <f>IFERROR(__xludf.DUMMYFUNCTION("""COMPUTED_VALUE"""),39.0)</f>
        <v>39</v>
      </c>
    </row>
    <row r="134">
      <c r="A134" s="8">
        <f>IFERROR(__xludf.DUMMYFUNCTION("""COMPUTED_VALUE"""),132.0)</f>
        <v>132</v>
      </c>
      <c r="B134" s="8">
        <f>IFERROR(__xludf.DUMMYFUNCTION("""COMPUTED_VALUE"""),46.0)</f>
        <v>46</v>
      </c>
    </row>
    <row r="135">
      <c r="A135" s="8">
        <f>IFERROR(__xludf.DUMMYFUNCTION("""COMPUTED_VALUE"""),133.0)</f>
        <v>133</v>
      </c>
      <c r="B135" s="8">
        <f>IFERROR(__xludf.DUMMYFUNCTION("""COMPUTED_VALUE"""),36.0)</f>
        <v>36</v>
      </c>
    </row>
    <row r="136">
      <c r="A136" s="8">
        <f>IFERROR(__xludf.DUMMYFUNCTION("""COMPUTED_VALUE"""),134.0)</f>
        <v>134</v>
      </c>
      <c r="B136" s="8">
        <f>IFERROR(__xludf.DUMMYFUNCTION("""COMPUTED_VALUE"""),65.0)</f>
        <v>65</v>
      </c>
    </row>
    <row r="137">
      <c r="A137" s="8">
        <f>IFERROR(__xludf.DUMMYFUNCTION("""COMPUTED_VALUE"""),135.0)</f>
        <v>135</v>
      </c>
      <c r="B137" s="8">
        <f>IFERROR(__xludf.DUMMYFUNCTION("""COMPUTED_VALUE"""),35.0)</f>
        <v>35</v>
      </c>
    </row>
    <row r="138">
      <c r="A138" s="8">
        <f>IFERROR(__xludf.DUMMYFUNCTION("""COMPUTED_VALUE"""),136.0)</f>
        <v>136</v>
      </c>
      <c r="B138" s="8">
        <f>IFERROR(__xludf.DUMMYFUNCTION("""COMPUTED_VALUE"""),31.0)</f>
        <v>31</v>
      </c>
    </row>
    <row r="139">
      <c r="A139" s="8">
        <f>IFERROR(__xludf.DUMMYFUNCTION("""COMPUTED_VALUE"""),137.0)</f>
        <v>137</v>
      </c>
      <c r="B139" s="8">
        <f>IFERROR(__xludf.DUMMYFUNCTION("""COMPUTED_VALUE"""),52.0)</f>
        <v>52</v>
      </c>
    </row>
    <row r="140">
      <c r="A140" s="8">
        <f>IFERROR(__xludf.DUMMYFUNCTION("""COMPUTED_VALUE"""),138.0)</f>
        <v>138</v>
      </c>
      <c r="B140" s="8">
        <f>IFERROR(__xludf.DUMMYFUNCTION("""COMPUTED_VALUE"""),34.0)</f>
        <v>34</v>
      </c>
    </row>
    <row r="141">
      <c r="A141" s="8">
        <f>IFERROR(__xludf.DUMMYFUNCTION("""COMPUTED_VALUE"""),139.0)</f>
        <v>139</v>
      </c>
      <c r="B141" s="8">
        <f>IFERROR(__xludf.DUMMYFUNCTION("""COMPUTED_VALUE"""),31.0)</f>
        <v>31</v>
      </c>
    </row>
    <row r="142">
      <c r="A142" s="8">
        <f>IFERROR(__xludf.DUMMYFUNCTION("""COMPUTED_VALUE"""),140.0)</f>
        <v>140</v>
      </c>
      <c r="B142" s="8">
        <f>IFERROR(__xludf.DUMMYFUNCTION("""COMPUTED_VALUE"""),36.0)</f>
        <v>36</v>
      </c>
    </row>
    <row r="143">
      <c r="A143" s="8">
        <f>IFERROR(__xludf.DUMMYFUNCTION("""COMPUTED_VALUE"""),141.0)</f>
        <v>141</v>
      </c>
      <c r="B143" s="8">
        <f>IFERROR(__xludf.DUMMYFUNCTION("""COMPUTED_VALUE"""),39.0)</f>
        <v>39</v>
      </c>
    </row>
    <row r="144">
      <c r="A144" s="8">
        <f>IFERROR(__xludf.DUMMYFUNCTION("""COMPUTED_VALUE"""),142.0)</f>
        <v>142</v>
      </c>
      <c r="B144" s="8">
        <f>IFERROR(__xludf.DUMMYFUNCTION("""COMPUTED_VALUE"""),35.0)</f>
        <v>35</v>
      </c>
    </row>
    <row r="145">
      <c r="A145" s="8">
        <f>IFERROR(__xludf.DUMMYFUNCTION("""COMPUTED_VALUE"""),143.0)</f>
        <v>143</v>
      </c>
      <c r="B145" s="8">
        <f>IFERROR(__xludf.DUMMYFUNCTION("""COMPUTED_VALUE"""),51.0)</f>
        <v>51</v>
      </c>
    </row>
    <row r="146">
      <c r="A146" s="8">
        <f>IFERROR(__xludf.DUMMYFUNCTION("""COMPUTED_VALUE"""),144.0)</f>
        <v>144</v>
      </c>
      <c r="B146" s="8">
        <f>IFERROR(__xludf.DUMMYFUNCTION("""COMPUTED_VALUE"""),39.0)</f>
        <v>39</v>
      </c>
    </row>
    <row r="147">
      <c r="A147" s="8">
        <f>IFERROR(__xludf.DUMMYFUNCTION("""COMPUTED_VALUE"""),145.0)</f>
        <v>145</v>
      </c>
      <c r="B147" s="8">
        <f>IFERROR(__xludf.DUMMYFUNCTION("""COMPUTED_VALUE"""),39.0)</f>
        <v>39</v>
      </c>
    </row>
    <row r="148">
      <c r="A148" s="8">
        <f>IFERROR(__xludf.DUMMYFUNCTION("""COMPUTED_VALUE"""),146.0)</f>
        <v>146</v>
      </c>
      <c r="B148" s="8">
        <f>IFERROR(__xludf.DUMMYFUNCTION("""COMPUTED_VALUE"""),39.0)</f>
        <v>39</v>
      </c>
    </row>
    <row r="149">
      <c r="A149" s="8">
        <f>IFERROR(__xludf.DUMMYFUNCTION("""COMPUTED_VALUE"""),147.0)</f>
        <v>147</v>
      </c>
      <c r="B149" s="8">
        <f>IFERROR(__xludf.DUMMYFUNCTION("""COMPUTED_VALUE"""),47.0)</f>
        <v>47</v>
      </c>
    </row>
    <row r="150">
      <c r="A150" s="8">
        <f>IFERROR(__xludf.DUMMYFUNCTION("""COMPUTED_VALUE"""),148.0)</f>
        <v>148</v>
      </c>
      <c r="B150" s="8">
        <f>IFERROR(__xludf.DUMMYFUNCTION("""COMPUTED_VALUE"""),64.0)</f>
        <v>64</v>
      </c>
    </row>
    <row r="151">
      <c r="A151" s="8">
        <f>IFERROR(__xludf.DUMMYFUNCTION("""COMPUTED_VALUE"""),149.0)</f>
        <v>149</v>
      </c>
      <c r="B151" s="8">
        <f>IFERROR(__xludf.DUMMYFUNCTION("""COMPUTED_VALUE"""),38.0)</f>
        <v>38</v>
      </c>
    </row>
    <row r="152">
      <c r="A152" s="8">
        <f>IFERROR(__xludf.DUMMYFUNCTION("""COMPUTED_VALUE"""),150.0)</f>
        <v>150</v>
      </c>
      <c r="B152" s="8">
        <f>IFERROR(__xludf.DUMMYFUNCTION("""COMPUTED_VALUE"""),36.0)</f>
        <v>36</v>
      </c>
    </row>
    <row r="153">
      <c r="A153" s="8">
        <f>IFERROR(__xludf.DUMMYFUNCTION("""COMPUTED_VALUE"""),151.0)</f>
        <v>151</v>
      </c>
      <c r="B153" s="8">
        <f>IFERROR(__xludf.DUMMYFUNCTION("""COMPUTED_VALUE"""),39.0)</f>
        <v>39</v>
      </c>
    </row>
    <row r="154">
      <c r="A154" s="8">
        <f>IFERROR(__xludf.DUMMYFUNCTION("""COMPUTED_VALUE"""),152.0)</f>
        <v>152</v>
      </c>
      <c r="B154" s="8">
        <f>IFERROR(__xludf.DUMMYFUNCTION("""COMPUTED_VALUE"""),53.0)</f>
        <v>53</v>
      </c>
    </row>
    <row r="155">
      <c r="A155" s="8">
        <f>IFERROR(__xludf.DUMMYFUNCTION("""COMPUTED_VALUE"""),153.0)</f>
        <v>153</v>
      </c>
      <c r="B155" s="8">
        <f>IFERROR(__xludf.DUMMYFUNCTION("""COMPUTED_VALUE"""),36.0)</f>
        <v>36</v>
      </c>
    </row>
    <row r="156">
      <c r="A156" s="8">
        <f>IFERROR(__xludf.DUMMYFUNCTION("""COMPUTED_VALUE"""),154.0)</f>
        <v>154</v>
      </c>
      <c r="B156" s="8">
        <f>IFERROR(__xludf.DUMMYFUNCTION("""COMPUTED_VALUE"""),44.0)</f>
        <v>44</v>
      </c>
    </row>
    <row r="157">
      <c r="A157" s="8">
        <f>IFERROR(__xludf.DUMMYFUNCTION("""COMPUTED_VALUE"""),155.0)</f>
        <v>155</v>
      </c>
      <c r="B157" s="8">
        <f>IFERROR(__xludf.DUMMYFUNCTION("""COMPUTED_VALUE"""),48.0)</f>
        <v>48</v>
      </c>
    </row>
    <row r="158">
      <c r="A158" s="8">
        <f>IFERROR(__xludf.DUMMYFUNCTION("""COMPUTED_VALUE"""),156.0)</f>
        <v>156</v>
      </c>
      <c r="B158" s="8">
        <f>IFERROR(__xludf.DUMMYFUNCTION("""COMPUTED_VALUE"""),37.0)</f>
        <v>37</v>
      </c>
    </row>
    <row r="159">
      <c r="A159" s="8">
        <f>IFERROR(__xludf.DUMMYFUNCTION("""COMPUTED_VALUE"""),157.0)</f>
        <v>157</v>
      </c>
      <c r="B159" s="8">
        <f>IFERROR(__xludf.DUMMYFUNCTION("""COMPUTED_VALUE"""),43.0)</f>
        <v>43</v>
      </c>
    </row>
    <row r="160">
      <c r="A160" s="8">
        <f>IFERROR(__xludf.DUMMYFUNCTION("""COMPUTED_VALUE"""),158.0)</f>
        <v>158</v>
      </c>
      <c r="B160" s="8">
        <f>IFERROR(__xludf.DUMMYFUNCTION("""COMPUTED_VALUE"""),53.0)</f>
        <v>53</v>
      </c>
    </row>
    <row r="161">
      <c r="A161" s="8">
        <f>IFERROR(__xludf.DUMMYFUNCTION("""COMPUTED_VALUE"""),159.0)</f>
        <v>159</v>
      </c>
      <c r="B161" s="8">
        <f>IFERROR(__xludf.DUMMYFUNCTION("""COMPUTED_VALUE"""),33.0)</f>
        <v>33</v>
      </c>
    </row>
    <row r="162">
      <c r="A162" s="8">
        <f>IFERROR(__xludf.DUMMYFUNCTION("""COMPUTED_VALUE"""),160.0)</f>
        <v>160</v>
      </c>
      <c r="B162" s="8">
        <f>IFERROR(__xludf.DUMMYFUNCTION("""COMPUTED_VALUE"""),39.0)</f>
        <v>39</v>
      </c>
    </row>
    <row r="163">
      <c r="A163" s="8">
        <f>IFERROR(__xludf.DUMMYFUNCTION("""COMPUTED_VALUE"""),161.0)</f>
        <v>161</v>
      </c>
      <c r="B163" s="8">
        <f>IFERROR(__xludf.DUMMYFUNCTION("""COMPUTED_VALUE"""),52.0)</f>
        <v>52</v>
      </c>
    </row>
    <row r="164">
      <c r="A164" s="8">
        <f>IFERROR(__xludf.DUMMYFUNCTION("""COMPUTED_VALUE"""),162.0)</f>
        <v>162</v>
      </c>
      <c r="B164" s="8">
        <f>IFERROR(__xludf.DUMMYFUNCTION("""COMPUTED_VALUE"""),64.0)</f>
        <v>64</v>
      </c>
    </row>
    <row r="165">
      <c r="A165" s="8">
        <f>IFERROR(__xludf.DUMMYFUNCTION("""COMPUTED_VALUE"""),163.0)</f>
        <v>163</v>
      </c>
      <c r="B165" s="8">
        <f>IFERROR(__xludf.DUMMYFUNCTION("""COMPUTED_VALUE"""),52.0)</f>
        <v>52</v>
      </c>
    </row>
    <row r="166">
      <c r="A166" s="8">
        <f>IFERROR(__xludf.DUMMYFUNCTION("""COMPUTED_VALUE"""),164.0)</f>
        <v>164</v>
      </c>
      <c r="B166" s="8">
        <f>IFERROR(__xludf.DUMMYFUNCTION("""COMPUTED_VALUE"""),42.0)</f>
        <v>42</v>
      </c>
    </row>
    <row r="167">
      <c r="A167" s="8">
        <f>IFERROR(__xludf.DUMMYFUNCTION("""COMPUTED_VALUE"""),165.0)</f>
        <v>165</v>
      </c>
      <c r="B167" s="8">
        <f>IFERROR(__xludf.DUMMYFUNCTION("""COMPUTED_VALUE"""),35.0)</f>
        <v>35</v>
      </c>
    </row>
    <row r="168">
      <c r="A168" s="8">
        <f>IFERROR(__xludf.DUMMYFUNCTION("""COMPUTED_VALUE"""),166.0)</f>
        <v>166</v>
      </c>
      <c r="B168" s="8">
        <f>IFERROR(__xludf.DUMMYFUNCTION("""COMPUTED_VALUE"""),56.0)</f>
        <v>56</v>
      </c>
    </row>
    <row r="169">
      <c r="A169" s="8">
        <f>IFERROR(__xludf.DUMMYFUNCTION("""COMPUTED_VALUE"""),167.0)</f>
        <v>167</v>
      </c>
      <c r="B169" s="8">
        <f>IFERROR(__xludf.DUMMYFUNCTION("""COMPUTED_VALUE"""),55.0)</f>
        <v>55</v>
      </c>
    </row>
    <row r="170">
      <c r="A170" s="8">
        <f>IFERROR(__xludf.DUMMYFUNCTION("""COMPUTED_VALUE"""),168.0)</f>
        <v>168</v>
      </c>
      <c r="B170" s="8">
        <f>IFERROR(__xludf.DUMMYFUNCTION("""COMPUTED_VALUE"""),40.0)</f>
        <v>40</v>
      </c>
    </row>
    <row r="171">
      <c r="A171" s="8">
        <f>IFERROR(__xludf.DUMMYFUNCTION("""COMPUTED_VALUE"""),169.0)</f>
        <v>169</v>
      </c>
      <c r="B171" s="8">
        <f>IFERROR(__xludf.DUMMYFUNCTION("""COMPUTED_VALUE"""),47.0)</f>
        <v>47</v>
      </c>
    </row>
    <row r="172">
      <c r="A172" s="8">
        <f>IFERROR(__xludf.DUMMYFUNCTION("""COMPUTED_VALUE"""),170.0)</f>
        <v>170</v>
      </c>
      <c r="B172" s="8">
        <f>IFERROR(__xludf.DUMMYFUNCTION("""COMPUTED_VALUE"""),36.0)</f>
        <v>36</v>
      </c>
    </row>
    <row r="173">
      <c r="A173" s="8">
        <f>IFERROR(__xludf.DUMMYFUNCTION("""COMPUTED_VALUE"""),171.0)</f>
        <v>171</v>
      </c>
      <c r="B173" s="8">
        <f>IFERROR(__xludf.DUMMYFUNCTION("""COMPUTED_VALUE"""),46.0)</f>
        <v>46</v>
      </c>
    </row>
    <row r="174">
      <c r="A174" s="8">
        <f>IFERROR(__xludf.DUMMYFUNCTION("""COMPUTED_VALUE"""),172.0)</f>
        <v>172</v>
      </c>
      <c r="B174" s="8">
        <f>IFERROR(__xludf.DUMMYFUNCTION("""COMPUTED_VALUE"""),66.0)</f>
        <v>66</v>
      </c>
    </row>
    <row r="175">
      <c r="A175" s="8">
        <f>IFERROR(__xludf.DUMMYFUNCTION("""COMPUTED_VALUE"""),173.0)</f>
        <v>173</v>
      </c>
      <c r="B175" s="8">
        <f>IFERROR(__xludf.DUMMYFUNCTION("""COMPUTED_VALUE"""),51.0)</f>
        <v>51</v>
      </c>
    </row>
    <row r="176">
      <c r="A176" s="8">
        <f>IFERROR(__xludf.DUMMYFUNCTION("""COMPUTED_VALUE"""),174.0)</f>
        <v>174</v>
      </c>
      <c r="B176" s="8">
        <f>IFERROR(__xludf.DUMMYFUNCTION("""COMPUTED_VALUE"""),34.0)</f>
        <v>34</v>
      </c>
    </row>
    <row r="177">
      <c r="A177" s="8">
        <f>IFERROR(__xludf.DUMMYFUNCTION("""COMPUTED_VALUE"""),175.0)</f>
        <v>175</v>
      </c>
      <c r="B177" s="8">
        <f>IFERROR(__xludf.DUMMYFUNCTION("""COMPUTED_VALUE"""),30.0)</f>
        <v>30</v>
      </c>
    </row>
    <row r="178">
      <c r="A178" s="8">
        <f>IFERROR(__xludf.DUMMYFUNCTION("""COMPUTED_VALUE"""),176.0)</f>
        <v>176</v>
      </c>
      <c r="B178" s="8">
        <f>IFERROR(__xludf.DUMMYFUNCTION("""COMPUTED_VALUE"""),43.0)</f>
        <v>43</v>
      </c>
    </row>
    <row r="179">
      <c r="A179" s="8">
        <f>IFERROR(__xludf.DUMMYFUNCTION("""COMPUTED_VALUE"""),177.0)</f>
        <v>177</v>
      </c>
      <c r="B179" s="8">
        <f>IFERROR(__xludf.DUMMYFUNCTION("""COMPUTED_VALUE"""),52.0)</f>
        <v>52</v>
      </c>
    </row>
    <row r="180">
      <c r="A180" s="8">
        <f>IFERROR(__xludf.DUMMYFUNCTION("""COMPUTED_VALUE"""),178.0)</f>
        <v>178</v>
      </c>
      <c r="B180" s="8">
        <f>IFERROR(__xludf.DUMMYFUNCTION("""COMPUTED_VALUE"""),35.0)</f>
        <v>35</v>
      </c>
    </row>
    <row r="181">
      <c r="A181" s="8">
        <f>IFERROR(__xludf.DUMMYFUNCTION("""COMPUTED_VALUE"""),179.0)</f>
        <v>179</v>
      </c>
      <c r="B181" s="8">
        <f>IFERROR(__xludf.DUMMYFUNCTION("""COMPUTED_VALUE"""),41.0)</f>
        <v>41</v>
      </c>
    </row>
    <row r="182">
      <c r="A182" s="8">
        <f>IFERROR(__xludf.DUMMYFUNCTION("""COMPUTED_VALUE"""),180.0)</f>
        <v>180</v>
      </c>
      <c r="B182" s="8">
        <f>IFERROR(__xludf.DUMMYFUNCTION("""COMPUTED_VALUE"""),39.0)</f>
        <v>39</v>
      </c>
    </row>
    <row r="183">
      <c r="A183" s="8">
        <f>IFERROR(__xludf.DUMMYFUNCTION("""COMPUTED_VALUE"""),181.0)</f>
        <v>181</v>
      </c>
      <c r="B183" s="8">
        <f>IFERROR(__xludf.DUMMYFUNCTION("""COMPUTED_VALUE"""),39.0)</f>
        <v>39</v>
      </c>
    </row>
    <row r="184">
      <c r="A184" s="8">
        <f>IFERROR(__xludf.DUMMYFUNCTION("""COMPUTED_VALUE"""),182.0)</f>
        <v>182</v>
      </c>
      <c r="B184" s="8">
        <f>IFERROR(__xludf.DUMMYFUNCTION("""COMPUTED_VALUE"""),50.0)</f>
        <v>50</v>
      </c>
    </row>
    <row r="185">
      <c r="A185" s="8">
        <f>IFERROR(__xludf.DUMMYFUNCTION("""COMPUTED_VALUE"""),183.0)</f>
        <v>183</v>
      </c>
      <c r="B185" s="8">
        <f>IFERROR(__xludf.DUMMYFUNCTION("""COMPUTED_VALUE"""),27.0)</f>
        <v>27</v>
      </c>
    </row>
    <row r="186">
      <c r="A186" s="8">
        <f>IFERROR(__xludf.DUMMYFUNCTION("""COMPUTED_VALUE"""),184.0)</f>
        <v>184</v>
      </c>
      <c r="B186" s="8">
        <f>IFERROR(__xludf.DUMMYFUNCTION("""COMPUTED_VALUE"""),33.0)</f>
        <v>33</v>
      </c>
    </row>
    <row r="187">
      <c r="A187" s="8">
        <f>IFERROR(__xludf.DUMMYFUNCTION("""COMPUTED_VALUE"""),185.0)</f>
        <v>185</v>
      </c>
      <c r="B187" s="8">
        <f>IFERROR(__xludf.DUMMYFUNCTION("""COMPUTED_VALUE"""),35.0)</f>
        <v>35</v>
      </c>
    </row>
    <row r="188">
      <c r="A188" s="8">
        <f>IFERROR(__xludf.DUMMYFUNCTION("""COMPUTED_VALUE"""),186.0)</f>
        <v>186</v>
      </c>
      <c r="B188" s="8">
        <f>IFERROR(__xludf.DUMMYFUNCTION("""COMPUTED_VALUE"""),34.0)</f>
        <v>34</v>
      </c>
    </row>
    <row r="189">
      <c r="A189" s="8">
        <f>IFERROR(__xludf.DUMMYFUNCTION("""COMPUTED_VALUE"""),187.0)</f>
        <v>187</v>
      </c>
      <c r="B189" s="8">
        <f>IFERROR(__xludf.DUMMYFUNCTION("""COMPUTED_VALUE"""),41.0)</f>
        <v>41</v>
      </c>
    </row>
    <row r="190">
      <c r="A190" s="8">
        <f>IFERROR(__xludf.DUMMYFUNCTION("""COMPUTED_VALUE"""),188.0)</f>
        <v>188</v>
      </c>
      <c r="B190" s="8">
        <f>IFERROR(__xludf.DUMMYFUNCTION("""COMPUTED_VALUE"""),54.0)</f>
        <v>54</v>
      </c>
    </row>
    <row r="191">
      <c r="A191" s="8">
        <f>IFERROR(__xludf.DUMMYFUNCTION("""COMPUTED_VALUE"""),189.0)</f>
        <v>189</v>
      </c>
      <c r="B191" s="8">
        <f>IFERROR(__xludf.DUMMYFUNCTION("""COMPUTED_VALUE"""),41.0)</f>
        <v>41</v>
      </c>
    </row>
    <row r="192">
      <c r="A192" s="8">
        <f>IFERROR(__xludf.DUMMYFUNCTION("""COMPUTED_VALUE"""),190.0)</f>
        <v>190</v>
      </c>
      <c r="B192" s="8">
        <f>IFERROR(__xludf.DUMMYFUNCTION("""COMPUTED_VALUE"""),47.0)</f>
        <v>47</v>
      </c>
    </row>
    <row r="193">
      <c r="A193" s="8">
        <f>IFERROR(__xludf.DUMMYFUNCTION("""COMPUTED_VALUE"""),191.0)</f>
        <v>191</v>
      </c>
      <c r="B193" s="8">
        <f>IFERROR(__xludf.DUMMYFUNCTION("""COMPUTED_VALUE"""),52.0)</f>
        <v>52</v>
      </c>
    </row>
    <row r="194">
      <c r="A194" s="8">
        <f>IFERROR(__xludf.DUMMYFUNCTION("""COMPUTED_VALUE"""),192.0)</f>
        <v>192</v>
      </c>
      <c r="B194" s="8">
        <f>IFERROR(__xludf.DUMMYFUNCTION("""COMPUTED_VALUE"""),46.0)</f>
        <v>46</v>
      </c>
    </row>
    <row r="195">
      <c r="A195" s="8">
        <f>IFERROR(__xludf.DUMMYFUNCTION("""COMPUTED_VALUE"""),193.0)</f>
        <v>193</v>
      </c>
      <c r="B195" s="8">
        <f>IFERROR(__xludf.DUMMYFUNCTION("""COMPUTED_VALUE"""),22.0)</f>
        <v>22</v>
      </c>
    </row>
    <row r="196">
      <c r="A196" s="8">
        <f>IFERROR(__xludf.DUMMYFUNCTION("""COMPUTED_VALUE"""),194.0)</f>
        <v>194</v>
      </c>
      <c r="B196" s="8">
        <f>IFERROR(__xludf.DUMMYFUNCTION("""COMPUTED_VALUE"""),40.0)</f>
        <v>40</v>
      </c>
    </row>
    <row r="197">
      <c r="A197" s="8">
        <f>IFERROR(__xludf.DUMMYFUNCTION("""COMPUTED_VALUE"""),195.0)</f>
        <v>195</v>
      </c>
      <c r="B197" s="8">
        <f>IFERROR(__xludf.DUMMYFUNCTION("""COMPUTED_VALUE"""),62.0)</f>
        <v>62</v>
      </c>
    </row>
    <row r="198">
      <c r="A198" s="8">
        <f>IFERROR(__xludf.DUMMYFUNCTION("""COMPUTED_VALUE"""),196.0)</f>
        <v>196</v>
      </c>
      <c r="B198" s="8">
        <f>IFERROR(__xludf.DUMMYFUNCTION("""COMPUTED_VALUE"""),26.0)</f>
        <v>26</v>
      </c>
    </row>
    <row r="199">
      <c r="A199" s="8">
        <f>IFERROR(__xludf.DUMMYFUNCTION("""COMPUTED_VALUE"""),197.0)</f>
        <v>197</v>
      </c>
      <c r="B199" s="8">
        <f>IFERROR(__xludf.DUMMYFUNCTION("""COMPUTED_VALUE"""),38.0)</f>
        <v>38</v>
      </c>
    </row>
    <row r="200">
      <c r="A200" s="8">
        <f>IFERROR(__xludf.DUMMYFUNCTION("""COMPUTED_VALUE"""),198.0)</f>
        <v>198</v>
      </c>
      <c r="B200" s="8">
        <f>IFERROR(__xludf.DUMMYFUNCTION("""COMPUTED_VALUE"""),53.0)</f>
        <v>53</v>
      </c>
    </row>
    <row r="201">
      <c r="A201" s="8">
        <f>IFERROR(__xludf.DUMMYFUNCTION("""COMPUTED_VALUE"""),199.0)</f>
        <v>199</v>
      </c>
      <c r="B201" s="8">
        <f>IFERROR(__xludf.DUMMYFUNCTION("""COMPUTED_VALUE"""),49.0)</f>
        <v>49</v>
      </c>
    </row>
    <row r="202">
      <c r="A202" s="8">
        <f>IFERROR(__xludf.DUMMYFUNCTION("""COMPUTED_VALUE"""),200.0)</f>
        <v>200</v>
      </c>
      <c r="B202" s="8">
        <f>IFERROR(__xludf.DUMMYFUNCTION("""COMPUTED_VALUE"""),43.0)</f>
        <v>43</v>
      </c>
    </row>
    <row r="203">
      <c r="A203" s="8">
        <f>IFERROR(__xludf.DUMMYFUNCTION("""COMPUTED_VALUE"""),201.0)</f>
        <v>201</v>
      </c>
      <c r="B203" s="8">
        <f>IFERROR(__xludf.DUMMYFUNCTION("""COMPUTED_VALUE"""),36.0)</f>
        <v>36</v>
      </c>
    </row>
    <row r="204">
      <c r="A204" s="8">
        <f>IFERROR(__xludf.DUMMYFUNCTION("""COMPUTED_VALUE"""),202.0)</f>
        <v>202</v>
      </c>
      <c r="B204" s="8">
        <f>IFERROR(__xludf.DUMMYFUNCTION("""COMPUTED_VALUE"""),36.0)</f>
        <v>36</v>
      </c>
    </row>
    <row r="205">
      <c r="A205" s="8">
        <f>IFERROR(__xludf.DUMMYFUNCTION("""COMPUTED_VALUE"""),203.0)</f>
        <v>203</v>
      </c>
      <c r="B205" s="8">
        <f>IFERROR(__xludf.DUMMYFUNCTION("""COMPUTED_VALUE"""),63.0)</f>
        <v>63</v>
      </c>
    </row>
    <row r="206">
      <c r="A206" s="8">
        <f>IFERROR(__xludf.DUMMYFUNCTION("""COMPUTED_VALUE"""),204.0)</f>
        <v>204</v>
      </c>
      <c r="B206" s="8">
        <f>IFERROR(__xludf.DUMMYFUNCTION("""COMPUTED_VALUE"""),56.0)</f>
        <v>56</v>
      </c>
    </row>
    <row r="207">
      <c r="A207" s="8">
        <f>IFERROR(__xludf.DUMMYFUNCTION("""COMPUTED_VALUE"""),205.0)</f>
        <v>205</v>
      </c>
      <c r="B207" s="8">
        <f>IFERROR(__xludf.DUMMYFUNCTION("""COMPUTED_VALUE"""),48.0)</f>
        <v>48</v>
      </c>
    </row>
    <row r="208">
      <c r="A208" s="8">
        <f>IFERROR(__xludf.DUMMYFUNCTION("""COMPUTED_VALUE"""),206.0)</f>
        <v>206</v>
      </c>
      <c r="B208" s="8">
        <f>IFERROR(__xludf.DUMMYFUNCTION("""COMPUTED_VALUE"""),43.0)</f>
        <v>43</v>
      </c>
    </row>
    <row r="209">
      <c r="A209" s="8">
        <f>IFERROR(__xludf.DUMMYFUNCTION("""COMPUTED_VALUE"""),207.0)</f>
        <v>207</v>
      </c>
      <c r="B209" s="8">
        <f>IFERROR(__xludf.DUMMYFUNCTION("""COMPUTED_VALUE"""),44.0)</f>
        <v>44</v>
      </c>
    </row>
    <row r="210">
      <c r="A210" s="8">
        <f>IFERROR(__xludf.DUMMYFUNCTION("""COMPUTED_VALUE"""),208.0)</f>
        <v>208</v>
      </c>
      <c r="B210" s="8">
        <f>IFERROR(__xludf.DUMMYFUNCTION("""COMPUTED_VALUE"""),40.0)</f>
        <v>40</v>
      </c>
    </row>
    <row r="211">
      <c r="A211" s="8">
        <f>IFERROR(__xludf.DUMMYFUNCTION("""COMPUTED_VALUE"""),209.0)</f>
        <v>209</v>
      </c>
      <c r="B211" s="8">
        <f>IFERROR(__xludf.DUMMYFUNCTION("""COMPUTED_VALUE"""),44.0)</f>
        <v>44</v>
      </c>
    </row>
    <row r="212">
      <c r="A212" s="8">
        <f>IFERROR(__xludf.DUMMYFUNCTION("""COMPUTED_VALUE"""),210.0)</f>
        <v>210</v>
      </c>
      <c r="B212" s="8">
        <f>IFERROR(__xludf.DUMMYFUNCTION("""COMPUTED_VALUE"""),54.0)</f>
        <v>54</v>
      </c>
    </row>
    <row r="213">
      <c r="A213" s="8">
        <f>IFERROR(__xludf.DUMMYFUNCTION("""COMPUTED_VALUE"""),211.0)</f>
        <v>211</v>
      </c>
      <c r="B213" s="8">
        <f>IFERROR(__xludf.DUMMYFUNCTION("""COMPUTED_VALUE"""),72.0)</f>
        <v>72</v>
      </c>
    </row>
    <row r="214">
      <c r="A214" s="8">
        <f>IFERROR(__xludf.DUMMYFUNCTION("""COMPUTED_VALUE"""),212.0)</f>
        <v>212</v>
      </c>
      <c r="B214" s="8">
        <f>IFERROR(__xludf.DUMMYFUNCTION("""COMPUTED_VALUE"""),52.0)</f>
        <v>52</v>
      </c>
    </row>
    <row r="215">
      <c r="A215" s="8">
        <f>IFERROR(__xludf.DUMMYFUNCTION("""COMPUTED_VALUE"""),213.0)</f>
        <v>213</v>
      </c>
      <c r="B215" s="8">
        <f>IFERROR(__xludf.DUMMYFUNCTION("""COMPUTED_VALUE"""),47.0)</f>
        <v>47</v>
      </c>
    </row>
    <row r="216">
      <c r="A216" s="8">
        <f>IFERROR(__xludf.DUMMYFUNCTION("""COMPUTED_VALUE"""),214.0)</f>
        <v>214</v>
      </c>
      <c r="B216" s="8">
        <f>IFERROR(__xludf.DUMMYFUNCTION("""COMPUTED_VALUE"""),67.0)</f>
        <v>67</v>
      </c>
    </row>
    <row r="217">
      <c r="A217" s="8">
        <f>IFERROR(__xludf.DUMMYFUNCTION("""COMPUTED_VALUE"""),215.0)</f>
        <v>215</v>
      </c>
      <c r="B217" s="8">
        <f>IFERROR(__xludf.DUMMYFUNCTION("""COMPUTED_VALUE"""),39.0)</f>
        <v>39</v>
      </c>
    </row>
    <row r="218">
      <c r="A218" s="8">
        <f>IFERROR(__xludf.DUMMYFUNCTION("""COMPUTED_VALUE"""),216.0)</f>
        <v>216</v>
      </c>
      <c r="B218" s="8">
        <f>IFERROR(__xludf.DUMMYFUNCTION("""COMPUTED_VALUE"""),46.0)</f>
        <v>46</v>
      </c>
    </row>
    <row r="219">
      <c r="A219" s="8">
        <f>IFERROR(__xludf.DUMMYFUNCTION("""COMPUTED_VALUE"""),217.0)</f>
        <v>217</v>
      </c>
      <c r="B219" s="8">
        <f>IFERROR(__xludf.DUMMYFUNCTION("""COMPUTED_VALUE"""),64.0)</f>
        <v>64</v>
      </c>
    </row>
    <row r="220">
      <c r="A220" s="8">
        <f>IFERROR(__xludf.DUMMYFUNCTION("""COMPUTED_VALUE"""),218.0)</f>
        <v>218</v>
      </c>
      <c r="B220" s="8">
        <f>IFERROR(__xludf.DUMMYFUNCTION("""COMPUTED_VALUE"""),30.0)</f>
        <v>30</v>
      </c>
    </row>
    <row r="221">
      <c r="A221" s="8">
        <f>IFERROR(__xludf.DUMMYFUNCTION("""COMPUTED_VALUE"""),219.0)</f>
        <v>219</v>
      </c>
      <c r="B221" s="8">
        <f>IFERROR(__xludf.DUMMYFUNCTION("""COMPUTED_VALUE"""),38.0)</f>
        <v>38</v>
      </c>
    </row>
    <row r="222">
      <c r="A222" s="8">
        <f>IFERROR(__xludf.DUMMYFUNCTION("""COMPUTED_VALUE"""),220.0)</f>
        <v>220</v>
      </c>
      <c r="B222" s="8">
        <f>IFERROR(__xludf.DUMMYFUNCTION("""COMPUTED_VALUE"""),36.0)</f>
        <v>36</v>
      </c>
    </row>
    <row r="223">
      <c r="A223" s="8">
        <f>IFERROR(__xludf.DUMMYFUNCTION("""COMPUTED_VALUE"""),221.0)</f>
        <v>221</v>
      </c>
      <c r="B223" s="8">
        <f>IFERROR(__xludf.DUMMYFUNCTION("""COMPUTED_VALUE"""),52.0)</f>
        <v>52</v>
      </c>
    </row>
    <row r="224">
      <c r="A224" s="8">
        <f>IFERROR(__xludf.DUMMYFUNCTION("""COMPUTED_VALUE"""),222.0)</f>
        <v>222</v>
      </c>
      <c r="B224" s="8">
        <f>IFERROR(__xludf.DUMMYFUNCTION("""COMPUTED_VALUE"""),61.0)</f>
        <v>61</v>
      </c>
    </row>
    <row r="225">
      <c r="A225" s="8">
        <f>IFERROR(__xludf.DUMMYFUNCTION("""COMPUTED_VALUE"""),223.0)</f>
        <v>223</v>
      </c>
      <c r="B225" s="8">
        <f>IFERROR(__xludf.DUMMYFUNCTION("""COMPUTED_VALUE"""),29.0)</f>
        <v>29</v>
      </c>
    </row>
    <row r="226">
      <c r="A226" s="8">
        <f>IFERROR(__xludf.DUMMYFUNCTION("""COMPUTED_VALUE"""),224.0)</f>
        <v>224</v>
      </c>
      <c r="B226" s="8">
        <f>IFERROR(__xludf.DUMMYFUNCTION("""COMPUTED_VALUE"""),38.0)</f>
        <v>38</v>
      </c>
    </row>
    <row r="227">
      <c r="A227" s="8">
        <f>IFERROR(__xludf.DUMMYFUNCTION("""COMPUTED_VALUE"""),225.0)</f>
        <v>225</v>
      </c>
      <c r="B227" s="8">
        <f>IFERROR(__xludf.DUMMYFUNCTION("""COMPUTED_VALUE"""),35.0)</f>
        <v>35</v>
      </c>
    </row>
    <row r="228">
      <c r="A228" s="8">
        <f>IFERROR(__xludf.DUMMYFUNCTION("""COMPUTED_VALUE"""),226.0)</f>
        <v>226</v>
      </c>
      <c r="B228" s="8">
        <f>IFERROR(__xludf.DUMMYFUNCTION("""COMPUTED_VALUE"""),55.0)</f>
        <v>55</v>
      </c>
    </row>
    <row r="229">
      <c r="A229" s="8">
        <f>IFERROR(__xludf.DUMMYFUNCTION("""COMPUTED_VALUE"""),227.0)</f>
        <v>227</v>
      </c>
      <c r="B229" s="8">
        <f>IFERROR(__xludf.DUMMYFUNCTION("""COMPUTED_VALUE"""),57.0)</f>
        <v>57</v>
      </c>
    </row>
    <row r="230">
      <c r="A230" s="8">
        <f>IFERROR(__xludf.DUMMYFUNCTION("""COMPUTED_VALUE"""),228.0)</f>
        <v>228</v>
      </c>
      <c r="B230" s="8">
        <f>IFERROR(__xludf.DUMMYFUNCTION("""COMPUTED_VALUE"""),55.0)</f>
        <v>55</v>
      </c>
    </row>
    <row r="231">
      <c r="A231" s="8">
        <f>IFERROR(__xludf.DUMMYFUNCTION("""COMPUTED_VALUE"""),229.0)</f>
        <v>229</v>
      </c>
      <c r="B231" s="8">
        <f>IFERROR(__xludf.DUMMYFUNCTION("""COMPUTED_VALUE"""),39.0)</f>
        <v>39</v>
      </c>
    </row>
    <row r="232">
      <c r="A232" s="8">
        <f>IFERROR(__xludf.DUMMYFUNCTION("""COMPUTED_VALUE"""),230.0)</f>
        <v>230</v>
      </c>
      <c r="B232" s="8">
        <f>IFERROR(__xludf.DUMMYFUNCTION("""COMPUTED_VALUE"""),39.0)</f>
        <v>39</v>
      </c>
    </row>
    <row r="233">
      <c r="A233" s="8">
        <f>IFERROR(__xludf.DUMMYFUNCTION("""COMPUTED_VALUE"""),231.0)</f>
        <v>231</v>
      </c>
      <c r="B233" s="8">
        <f>IFERROR(__xludf.DUMMYFUNCTION("""COMPUTED_VALUE"""),46.0)</f>
        <v>46</v>
      </c>
    </row>
    <row r="234">
      <c r="A234" s="8">
        <f>IFERROR(__xludf.DUMMYFUNCTION("""COMPUTED_VALUE"""),232.0)</f>
        <v>232</v>
      </c>
      <c r="B234" s="8">
        <f>IFERROR(__xludf.DUMMYFUNCTION("""COMPUTED_VALUE"""),37.0)</f>
        <v>37</v>
      </c>
    </row>
    <row r="235">
      <c r="A235" s="8">
        <f>IFERROR(__xludf.DUMMYFUNCTION("""COMPUTED_VALUE"""),233.0)</f>
        <v>233</v>
      </c>
      <c r="B235" s="8">
        <f>IFERROR(__xludf.DUMMYFUNCTION("""COMPUTED_VALUE"""),29.0)</f>
        <v>29</v>
      </c>
    </row>
    <row r="236">
      <c r="A236" s="8">
        <f>IFERROR(__xludf.DUMMYFUNCTION("""COMPUTED_VALUE"""),234.0)</f>
        <v>234</v>
      </c>
      <c r="B236" s="8">
        <f>IFERROR(__xludf.DUMMYFUNCTION("""COMPUTED_VALUE"""),83.0)</f>
        <v>83</v>
      </c>
    </row>
    <row r="237">
      <c r="A237" s="8">
        <f>IFERROR(__xludf.DUMMYFUNCTION("""COMPUTED_VALUE"""),235.0)</f>
        <v>235</v>
      </c>
      <c r="B237" s="8">
        <f>IFERROR(__xludf.DUMMYFUNCTION("""COMPUTED_VALUE"""),29.0)</f>
        <v>29</v>
      </c>
    </row>
    <row r="238">
      <c r="A238" s="8">
        <f>IFERROR(__xludf.DUMMYFUNCTION("""COMPUTED_VALUE"""),236.0)</f>
        <v>236</v>
      </c>
      <c r="B238" s="8">
        <f>IFERROR(__xludf.DUMMYFUNCTION("""COMPUTED_VALUE"""),49.0)</f>
        <v>49</v>
      </c>
    </row>
    <row r="239">
      <c r="A239" s="8">
        <f>IFERROR(__xludf.DUMMYFUNCTION("""COMPUTED_VALUE"""),237.0)</f>
        <v>237</v>
      </c>
      <c r="B239" s="8">
        <f>IFERROR(__xludf.DUMMYFUNCTION("""COMPUTED_VALUE"""),42.0)</f>
        <v>42</v>
      </c>
    </row>
    <row r="240">
      <c r="A240" s="8">
        <f>IFERROR(__xludf.DUMMYFUNCTION("""COMPUTED_VALUE"""),238.0)</f>
        <v>238</v>
      </c>
      <c r="B240" s="8">
        <f>IFERROR(__xludf.DUMMYFUNCTION("""COMPUTED_VALUE"""),63.0)</f>
        <v>63</v>
      </c>
    </row>
    <row r="241">
      <c r="A241" s="8">
        <f>IFERROR(__xludf.DUMMYFUNCTION("""COMPUTED_VALUE"""),239.0)</f>
        <v>239</v>
      </c>
      <c r="B241" s="8">
        <f>IFERROR(__xludf.DUMMYFUNCTION("""COMPUTED_VALUE"""),56.0)</f>
        <v>56</v>
      </c>
    </row>
    <row r="242">
      <c r="A242" s="8">
        <f>IFERROR(__xludf.DUMMYFUNCTION("""COMPUTED_VALUE"""),240.0)</f>
        <v>240</v>
      </c>
      <c r="B242" s="8">
        <f>IFERROR(__xludf.DUMMYFUNCTION("""COMPUTED_VALUE"""),55.0)</f>
        <v>55</v>
      </c>
    </row>
    <row r="243">
      <c r="A243" s="8">
        <f>IFERROR(__xludf.DUMMYFUNCTION("""COMPUTED_VALUE"""),241.0)</f>
        <v>241</v>
      </c>
      <c r="B243" s="8">
        <f>IFERROR(__xludf.DUMMYFUNCTION("""COMPUTED_VALUE"""),32.0)</f>
        <v>32</v>
      </c>
    </row>
    <row r="244">
      <c r="A244" s="8">
        <f>IFERROR(__xludf.DUMMYFUNCTION("""COMPUTED_VALUE"""),242.0)</f>
        <v>242</v>
      </c>
      <c r="B244" s="8">
        <f>IFERROR(__xludf.DUMMYFUNCTION("""COMPUTED_VALUE"""),26.0)</f>
        <v>26</v>
      </c>
    </row>
    <row r="245">
      <c r="A245" s="8">
        <f>IFERROR(__xludf.DUMMYFUNCTION("""COMPUTED_VALUE"""),243.0)</f>
        <v>243</v>
      </c>
      <c r="B245" s="8">
        <f>IFERROR(__xludf.DUMMYFUNCTION("""COMPUTED_VALUE"""),60.0)</f>
        <v>60</v>
      </c>
    </row>
    <row r="246">
      <c r="A246" s="8">
        <f>IFERROR(__xludf.DUMMYFUNCTION("""COMPUTED_VALUE"""),244.0)</f>
        <v>244</v>
      </c>
      <c r="B246" s="8">
        <f>IFERROR(__xludf.DUMMYFUNCTION("""COMPUTED_VALUE"""),48.0)</f>
        <v>48</v>
      </c>
    </row>
    <row r="247">
      <c r="A247" s="8">
        <f>IFERROR(__xludf.DUMMYFUNCTION("""COMPUTED_VALUE"""),245.0)</f>
        <v>245</v>
      </c>
      <c r="B247" s="8">
        <f>IFERROR(__xludf.DUMMYFUNCTION("""COMPUTED_VALUE"""),38.0)</f>
        <v>38</v>
      </c>
    </row>
    <row r="248">
      <c r="A248" s="8">
        <f>IFERROR(__xludf.DUMMYFUNCTION("""COMPUTED_VALUE"""),246.0)</f>
        <v>246</v>
      </c>
      <c r="B248" s="8">
        <f>IFERROR(__xludf.DUMMYFUNCTION("""COMPUTED_VALUE"""),49.0)</f>
        <v>49</v>
      </c>
    </row>
    <row r="249">
      <c r="A249" s="8">
        <f>IFERROR(__xludf.DUMMYFUNCTION("""COMPUTED_VALUE"""),247.0)</f>
        <v>247</v>
      </c>
      <c r="B249" s="8">
        <f>IFERROR(__xludf.DUMMYFUNCTION("""COMPUTED_VALUE"""),41.0)</f>
        <v>41</v>
      </c>
    </row>
    <row r="250">
      <c r="A250" s="8">
        <f>IFERROR(__xludf.DUMMYFUNCTION("""COMPUTED_VALUE"""),248.0)</f>
        <v>248</v>
      </c>
      <c r="B250" s="8">
        <f>IFERROR(__xludf.DUMMYFUNCTION("""COMPUTED_VALUE"""),28.0)</f>
        <v>28</v>
      </c>
    </row>
    <row r="251">
      <c r="A251" s="8">
        <f>IFERROR(__xludf.DUMMYFUNCTION("""COMPUTED_VALUE"""),249.0)</f>
        <v>249</v>
      </c>
      <c r="B251" s="8">
        <f>IFERROR(__xludf.DUMMYFUNCTION("""COMPUTED_VALUE"""),28.0)</f>
        <v>28</v>
      </c>
    </row>
    <row r="252">
      <c r="A252" s="8">
        <f>IFERROR(__xludf.DUMMYFUNCTION("""COMPUTED_VALUE"""),250.0)</f>
        <v>250</v>
      </c>
      <c r="B252" s="8">
        <f>IFERROR(__xludf.DUMMYFUNCTION("""COMPUTED_VALUE"""),48.0)</f>
        <v>48</v>
      </c>
    </row>
    <row r="253">
      <c r="A253" s="8">
        <f>IFERROR(__xludf.DUMMYFUNCTION("""COMPUTED_VALUE"""),251.0)</f>
        <v>251</v>
      </c>
      <c r="B253" s="8">
        <f>IFERROR(__xludf.DUMMYFUNCTION("""COMPUTED_VALUE"""),32.0)</f>
        <v>32</v>
      </c>
    </row>
    <row r="254">
      <c r="A254" s="8">
        <f>IFERROR(__xludf.DUMMYFUNCTION("""COMPUTED_VALUE"""),252.0)</f>
        <v>252</v>
      </c>
      <c r="B254" s="8">
        <f>IFERROR(__xludf.DUMMYFUNCTION("""COMPUTED_VALUE"""),29.0)</f>
        <v>29</v>
      </c>
    </row>
    <row r="255">
      <c r="A255" s="8">
        <f>IFERROR(__xludf.DUMMYFUNCTION("""COMPUTED_VALUE"""),253.0)</f>
        <v>253</v>
      </c>
      <c r="B255" s="8">
        <f>IFERROR(__xludf.DUMMYFUNCTION("""COMPUTED_VALUE"""),32.0)</f>
        <v>32</v>
      </c>
    </row>
    <row r="256">
      <c r="A256" s="8">
        <f>IFERROR(__xludf.DUMMYFUNCTION("""COMPUTED_VALUE"""),254.0)</f>
        <v>254</v>
      </c>
      <c r="B256" s="8">
        <f>IFERROR(__xludf.DUMMYFUNCTION("""COMPUTED_VALUE"""),28.0)</f>
        <v>28</v>
      </c>
    </row>
    <row r="257">
      <c r="A257" s="8">
        <f>IFERROR(__xludf.DUMMYFUNCTION("""COMPUTED_VALUE"""),255.0)</f>
        <v>255</v>
      </c>
      <c r="B257" s="8">
        <f>IFERROR(__xludf.DUMMYFUNCTION("""COMPUTED_VALUE"""),51.0)</f>
        <v>51</v>
      </c>
    </row>
    <row r="258">
      <c r="A258" s="8">
        <f>IFERROR(__xludf.DUMMYFUNCTION("""COMPUTED_VALUE"""),256.0)</f>
        <v>256</v>
      </c>
      <c r="B258" s="8">
        <f>IFERROR(__xludf.DUMMYFUNCTION("""COMPUTED_VALUE"""),44.0)</f>
        <v>44</v>
      </c>
    </row>
    <row r="259">
      <c r="A259" s="8">
        <f>IFERROR(__xludf.DUMMYFUNCTION("""COMPUTED_VALUE"""),257.0)</f>
        <v>257</v>
      </c>
      <c r="B259" s="8">
        <f>IFERROR(__xludf.DUMMYFUNCTION("""COMPUTED_VALUE"""),43.0)</f>
        <v>43</v>
      </c>
    </row>
    <row r="260">
      <c r="A260" s="8">
        <f>IFERROR(__xludf.DUMMYFUNCTION("""COMPUTED_VALUE"""),258.0)</f>
        <v>258</v>
      </c>
      <c r="B260" s="8">
        <f>IFERROR(__xludf.DUMMYFUNCTION("""COMPUTED_VALUE"""),48.0)</f>
        <v>48</v>
      </c>
    </row>
    <row r="261">
      <c r="A261" s="8">
        <f>IFERROR(__xludf.DUMMYFUNCTION("""COMPUTED_VALUE"""),259.0)</f>
        <v>259</v>
      </c>
      <c r="B261" s="8">
        <f>IFERROR(__xludf.DUMMYFUNCTION("""COMPUTED_VALUE"""),37.0)</f>
        <v>37</v>
      </c>
    </row>
    <row r="262">
      <c r="A262" s="8">
        <f>IFERROR(__xludf.DUMMYFUNCTION("""COMPUTED_VALUE"""),260.0)</f>
        <v>260</v>
      </c>
      <c r="B262" s="8">
        <f>IFERROR(__xludf.DUMMYFUNCTION("""COMPUTED_VALUE"""),31.0)</f>
        <v>31</v>
      </c>
    </row>
    <row r="263">
      <c r="A263" s="8">
        <f>IFERROR(__xludf.DUMMYFUNCTION("""COMPUTED_VALUE"""),261.0)</f>
        <v>261</v>
      </c>
      <c r="B263" s="8">
        <f>IFERROR(__xludf.DUMMYFUNCTION("""COMPUTED_VALUE"""),50.0)</f>
        <v>50</v>
      </c>
    </row>
    <row r="264">
      <c r="A264" s="8">
        <f>IFERROR(__xludf.DUMMYFUNCTION("""COMPUTED_VALUE"""),262.0)</f>
        <v>262</v>
      </c>
      <c r="B264" s="8">
        <f>IFERROR(__xludf.DUMMYFUNCTION("""COMPUTED_VALUE"""),47.0)</f>
        <v>47</v>
      </c>
    </row>
    <row r="265">
      <c r="A265" s="8">
        <f>IFERROR(__xludf.DUMMYFUNCTION("""COMPUTED_VALUE"""),263.0)</f>
        <v>263</v>
      </c>
      <c r="B265" s="8">
        <f>IFERROR(__xludf.DUMMYFUNCTION("""COMPUTED_VALUE"""),56.0)</f>
        <v>56</v>
      </c>
    </row>
    <row r="266">
      <c r="A266" s="8">
        <f>IFERROR(__xludf.DUMMYFUNCTION("""COMPUTED_VALUE"""),264.0)</f>
        <v>264</v>
      </c>
      <c r="B266" s="8">
        <f>IFERROR(__xludf.DUMMYFUNCTION("""COMPUTED_VALUE"""),25.0)</f>
        <v>25</v>
      </c>
    </row>
    <row r="267">
      <c r="A267" s="8">
        <f>IFERROR(__xludf.DUMMYFUNCTION("""COMPUTED_VALUE"""),265.0)</f>
        <v>265</v>
      </c>
      <c r="B267" s="8">
        <f>IFERROR(__xludf.DUMMYFUNCTION("""COMPUTED_VALUE"""),63.0)</f>
        <v>63</v>
      </c>
    </row>
    <row r="268">
      <c r="A268" s="8">
        <f>IFERROR(__xludf.DUMMYFUNCTION("""COMPUTED_VALUE"""),266.0)</f>
        <v>266</v>
      </c>
      <c r="B268" s="8">
        <f>IFERROR(__xludf.DUMMYFUNCTION("""COMPUTED_VALUE"""),54.0)</f>
        <v>54</v>
      </c>
    </row>
    <row r="269">
      <c r="A269" s="8">
        <f>IFERROR(__xludf.DUMMYFUNCTION("""COMPUTED_VALUE"""),267.0)</f>
        <v>267</v>
      </c>
      <c r="B269" s="8">
        <f>IFERROR(__xludf.DUMMYFUNCTION("""COMPUTED_VALUE"""),28.0)</f>
        <v>28</v>
      </c>
    </row>
    <row r="270">
      <c r="A270" s="8">
        <f>IFERROR(__xludf.DUMMYFUNCTION("""COMPUTED_VALUE"""),268.0)</f>
        <v>268</v>
      </c>
      <c r="B270" s="8">
        <f>IFERROR(__xludf.DUMMYFUNCTION("""COMPUTED_VALUE"""),26.0)</f>
        <v>26</v>
      </c>
    </row>
    <row r="271">
      <c r="A271" s="8">
        <f>IFERROR(__xludf.DUMMYFUNCTION("""COMPUTED_VALUE"""),269.0)</f>
        <v>269</v>
      </c>
      <c r="B271" s="8">
        <f>IFERROR(__xludf.DUMMYFUNCTION("""COMPUTED_VALUE"""),29.0)</f>
        <v>29</v>
      </c>
    </row>
    <row r="272">
      <c r="A272" s="8">
        <f>IFERROR(__xludf.DUMMYFUNCTION("""COMPUTED_VALUE"""),270.0)</f>
        <v>270</v>
      </c>
      <c r="B272" s="8">
        <f>IFERROR(__xludf.DUMMYFUNCTION("""COMPUTED_VALUE"""),61.0)</f>
        <v>61</v>
      </c>
    </row>
    <row r="273">
      <c r="A273" s="8">
        <f>IFERROR(__xludf.DUMMYFUNCTION("""COMPUTED_VALUE"""),271.0)</f>
        <v>271</v>
      </c>
      <c r="B273" s="8">
        <f>IFERROR(__xludf.DUMMYFUNCTION("""COMPUTED_VALUE"""),45.0)</f>
        <v>45</v>
      </c>
    </row>
    <row r="274">
      <c r="A274" s="8">
        <f>IFERROR(__xludf.DUMMYFUNCTION("""COMPUTED_VALUE"""),272.0)</f>
        <v>272</v>
      </c>
      <c r="B274" s="8">
        <f>IFERROR(__xludf.DUMMYFUNCTION("""COMPUTED_VALUE"""),39.0)</f>
        <v>39</v>
      </c>
    </row>
    <row r="275">
      <c r="A275" s="8">
        <f>IFERROR(__xludf.DUMMYFUNCTION("""COMPUTED_VALUE"""),273.0)</f>
        <v>273</v>
      </c>
      <c r="B275" s="8">
        <f>IFERROR(__xludf.DUMMYFUNCTION("""COMPUTED_VALUE"""),36.0)</f>
        <v>36</v>
      </c>
    </row>
    <row r="276">
      <c r="A276" s="8">
        <f>IFERROR(__xludf.DUMMYFUNCTION("""COMPUTED_VALUE"""),274.0)</f>
        <v>274</v>
      </c>
      <c r="B276" s="8">
        <f>IFERROR(__xludf.DUMMYFUNCTION("""COMPUTED_VALUE"""),41.0)</f>
        <v>41</v>
      </c>
    </row>
    <row r="277">
      <c r="A277" s="8">
        <f>IFERROR(__xludf.DUMMYFUNCTION("""COMPUTED_VALUE"""),275.0)</f>
        <v>275</v>
      </c>
      <c r="B277" s="8">
        <f>IFERROR(__xludf.DUMMYFUNCTION("""COMPUTED_VALUE"""),37.0)</f>
        <v>37</v>
      </c>
    </row>
    <row r="278">
      <c r="A278" s="8">
        <f>IFERROR(__xludf.DUMMYFUNCTION("""COMPUTED_VALUE"""),276.0)</f>
        <v>276</v>
      </c>
      <c r="B278" s="8">
        <f>IFERROR(__xludf.DUMMYFUNCTION("""COMPUTED_VALUE"""),55.0)</f>
        <v>55</v>
      </c>
    </row>
    <row r="279">
      <c r="A279" s="8">
        <f>IFERROR(__xludf.DUMMYFUNCTION("""COMPUTED_VALUE"""),277.0)</f>
        <v>277</v>
      </c>
      <c r="B279" s="8">
        <f>IFERROR(__xludf.DUMMYFUNCTION("""COMPUTED_VALUE"""),83.0)</f>
        <v>83</v>
      </c>
    </row>
    <row r="280">
      <c r="A280" s="8">
        <f>IFERROR(__xludf.DUMMYFUNCTION("""COMPUTED_VALUE"""),278.0)</f>
        <v>278</v>
      </c>
      <c r="B280" s="8">
        <f>IFERROR(__xludf.DUMMYFUNCTION("""COMPUTED_VALUE"""),35.0)</f>
        <v>35</v>
      </c>
    </row>
    <row r="281">
      <c r="A281" s="8">
        <f>IFERROR(__xludf.DUMMYFUNCTION("""COMPUTED_VALUE"""),279.0)</f>
        <v>279</v>
      </c>
      <c r="B281" s="8">
        <f>IFERROR(__xludf.DUMMYFUNCTION("""COMPUTED_VALUE"""),38.0)</f>
        <v>38</v>
      </c>
    </row>
    <row r="282">
      <c r="A282" s="8">
        <f>IFERROR(__xludf.DUMMYFUNCTION("""COMPUTED_VALUE"""),280.0)</f>
        <v>280</v>
      </c>
      <c r="B282" s="8">
        <f>IFERROR(__xludf.DUMMYFUNCTION("""COMPUTED_VALUE"""),35.0)</f>
        <v>35</v>
      </c>
    </row>
    <row r="283">
      <c r="A283" s="8">
        <f>IFERROR(__xludf.DUMMYFUNCTION("""COMPUTED_VALUE"""),281.0)</f>
        <v>281</v>
      </c>
      <c r="B283" s="8">
        <f>IFERROR(__xludf.DUMMYFUNCTION("""COMPUTED_VALUE"""),45.0)</f>
        <v>45</v>
      </c>
    </row>
    <row r="284">
      <c r="A284" s="8">
        <f>IFERROR(__xludf.DUMMYFUNCTION("""COMPUTED_VALUE"""),282.0)</f>
        <v>282</v>
      </c>
      <c r="B284" s="8">
        <f>IFERROR(__xludf.DUMMYFUNCTION("""COMPUTED_VALUE"""),65.0)</f>
        <v>65</v>
      </c>
    </row>
    <row r="285">
      <c r="A285" s="8">
        <f>IFERROR(__xludf.DUMMYFUNCTION("""COMPUTED_VALUE"""),283.0)</f>
        <v>283</v>
      </c>
      <c r="B285" s="8">
        <f>IFERROR(__xludf.DUMMYFUNCTION("""COMPUTED_VALUE"""),41.0)</f>
        <v>41</v>
      </c>
    </row>
    <row r="286">
      <c r="A286" s="8">
        <f>IFERROR(__xludf.DUMMYFUNCTION("""COMPUTED_VALUE"""),284.0)</f>
        <v>284</v>
      </c>
      <c r="B286" s="8">
        <f>IFERROR(__xludf.DUMMYFUNCTION("""COMPUTED_VALUE"""),69.0)</f>
        <v>69</v>
      </c>
    </row>
    <row r="287">
      <c r="A287" s="8">
        <f>IFERROR(__xludf.DUMMYFUNCTION("""COMPUTED_VALUE"""),285.0)</f>
        <v>285</v>
      </c>
      <c r="B287" s="8">
        <f>IFERROR(__xludf.DUMMYFUNCTION("""COMPUTED_VALUE"""),36.0)</f>
        <v>36</v>
      </c>
    </row>
    <row r="288">
      <c r="A288" s="8">
        <f>IFERROR(__xludf.DUMMYFUNCTION("""COMPUTED_VALUE"""),286.0)</f>
        <v>286</v>
      </c>
      <c r="B288" s="8">
        <f>IFERROR(__xludf.DUMMYFUNCTION("""COMPUTED_VALUE"""),42.0)</f>
        <v>42</v>
      </c>
    </row>
    <row r="289">
      <c r="A289" s="8">
        <f>IFERROR(__xludf.DUMMYFUNCTION("""COMPUTED_VALUE"""),287.0)</f>
        <v>287</v>
      </c>
      <c r="B289" s="8">
        <f>IFERROR(__xludf.DUMMYFUNCTION("""COMPUTED_VALUE"""),69.0)</f>
        <v>69</v>
      </c>
    </row>
    <row r="290">
      <c r="A290" s="8">
        <f>IFERROR(__xludf.DUMMYFUNCTION("""COMPUTED_VALUE"""),288.0)</f>
        <v>288</v>
      </c>
      <c r="B290" s="8">
        <f>IFERROR(__xludf.DUMMYFUNCTION("""COMPUTED_VALUE"""),46.0)</f>
        <v>46</v>
      </c>
    </row>
    <row r="291">
      <c r="A291" s="8">
        <f>IFERROR(__xludf.DUMMYFUNCTION("""COMPUTED_VALUE"""),289.0)</f>
        <v>289</v>
      </c>
      <c r="B291" s="8">
        <f>IFERROR(__xludf.DUMMYFUNCTION("""COMPUTED_VALUE"""),55.0)</f>
        <v>55</v>
      </c>
    </row>
    <row r="292">
      <c r="A292" s="8">
        <f>IFERROR(__xludf.DUMMYFUNCTION("""COMPUTED_VALUE"""),290.0)</f>
        <v>290</v>
      </c>
      <c r="B292" s="8">
        <f>IFERROR(__xludf.DUMMYFUNCTION("""COMPUTED_VALUE"""),36.0)</f>
        <v>36</v>
      </c>
    </row>
    <row r="293">
      <c r="A293" s="8">
        <f>IFERROR(__xludf.DUMMYFUNCTION("""COMPUTED_VALUE"""),291.0)</f>
        <v>291</v>
      </c>
      <c r="B293" s="8">
        <f>IFERROR(__xludf.DUMMYFUNCTION("""COMPUTED_VALUE"""),71.0)</f>
        <v>71</v>
      </c>
    </row>
    <row r="294">
      <c r="A294" s="8">
        <f>IFERROR(__xludf.DUMMYFUNCTION("""COMPUTED_VALUE"""),292.0)</f>
        <v>292</v>
      </c>
      <c r="B294" s="8">
        <f>IFERROR(__xludf.DUMMYFUNCTION("""COMPUTED_VALUE"""),65.0)</f>
        <v>65</v>
      </c>
    </row>
    <row r="295">
      <c r="A295" s="8">
        <f>IFERROR(__xludf.DUMMYFUNCTION("""COMPUTED_VALUE"""),293.0)</f>
        <v>293</v>
      </c>
      <c r="B295" s="8">
        <f>IFERROR(__xludf.DUMMYFUNCTION("""COMPUTED_VALUE"""),68.0)</f>
        <v>68</v>
      </c>
    </row>
    <row r="296">
      <c r="A296" s="8">
        <f>IFERROR(__xludf.DUMMYFUNCTION("""COMPUTED_VALUE"""),294.0)</f>
        <v>294</v>
      </c>
      <c r="B296" s="8">
        <f>IFERROR(__xludf.DUMMYFUNCTION("""COMPUTED_VALUE"""),43.0)</f>
        <v>43</v>
      </c>
    </row>
    <row r="297">
      <c r="A297" s="8">
        <f>IFERROR(__xludf.DUMMYFUNCTION("""COMPUTED_VALUE"""),295.0)</f>
        <v>295</v>
      </c>
      <c r="B297" s="8">
        <f>IFERROR(__xludf.DUMMYFUNCTION("""COMPUTED_VALUE"""),30.0)</f>
        <v>30</v>
      </c>
    </row>
    <row r="298">
      <c r="A298" s="8">
        <f>IFERROR(__xludf.DUMMYFUNCTION("""COMPUTED_VALUE"""),296.0)</f>
        <v>296</v>
      </c>
      <c r="B298" s="8">
        <f>IFERROR(__xludf.DUMMYFUNCTION("""COMPUTED_VALUE"""),40.0)</f>
        <v>40</v>
      </c>
    </row>
    <row r="299">
      <c r="A299" s="8">
        <f>IFERROR(__xludf.DUMMYFUNCTION("""COMPUTED_VALUE"""),297.0)</f>
        <v>297</v>
      </c>
      <c r="B299" s="8">
        <f>IFERROR(__xludf.DUMMYFUNCTION("""COMPUTED_VALUE"""),47.0)</f>
        <v>47</v>
      </c>
    </row>
    <row r="300">
      <c r="A300" s="8">
        <f>IFERROR(__xludf.DUMMYFUNCTION("""COMPUTED_VALUE"""),298.0)</f>
        <v>298</v>
      </c>
      <c r="B300" s="8">
        <f>IFERROR(__xludf.DUMMYFUNCTION("""COMPUTED_VALUE"""),39.0)</f>
        <v>39</v>
      </c>
    </row>
    <row r="301">
      <c r="A301" s="8">
        <f>IFERROR(__xludf.DUMMYFUNCTION("""COMPUTED_VALUE"""),299.0)</f>
        <v>299</v>
      </c>
      <c r="B301" s="8">
        <f>IFERROR(__xludf.DUMMYFUNCTION("""COMPUTED_VALUE"""),34.0)</f>
        <v>34</v>
      </c>
    </row>
    <row r="302">
      <c r="A302" s="8">
        <f>IFERROR(__xludf.DUMMYFUNCTION("""COMPUTED_VALUE"""),300.0)</f>
        <v>300</v>
      </c>
      <c r="B302" s="8">
        <f>IFERROR(__xludf.DUMMYFUNCTION("""COMPUTED_VALUE"""),38.0)</f>
        <v>38</v>
      </c>
    </row>
    <row r="303">
      <c r="A303" s="8">
        <f>IFERROR(__xludf.DUMMYFUNCTION("""COMPUTED_VALUE"""),301.0)</f>
        <v>301</v>
      </c>
      <c r="B303" s="8">
        <f>IFERROR(__xludf.DUMMYFUNCTION("""COMPUTED_VALUE"""),38.0)</f>
        <v>38</v>
      </c>
    </row>
    <row r="304">
      <c r="A304" s="8">
        <f>IFERROR(__xludf.DUMMYFUNCTION("""COMPUTED_VALUE"""),302.0)</f>
        <v>302</v>
      </c>
      <c r="B304" s="8">
        <f>IFERROR(__xludf.DUMMYFUNCTION("""COMPUTED_VALUE"""),36.0)</f>
        <v>36</v>
      </c>
    </row>
    <row r="305">
      <c r="A305" s="8">
        <f>IFERROR(__xludf.DUMMYFUNCTION("""COMPUTED_VALUE"""),303.0)</f>
        <v>303</v>
      </c>
      <c r="B305" s="8">
        <f>IFERROR(__xludf.DUMMYFUNCTION("""COMPUTED_VALUE"""),41.0)</f>
        <v>41</v>
      </c>
    </row>
    <row r="306">
      <c r="A306" s="8">
        <f>IFERROR(__xludf.DUMMYFUNCTION("""COMPUTED_VALUE"""),304.0)</f>
        <v>304</v>
      </c>
      <c r="B306" s="8">
        <f>IFERROR(__xludf.DUMMYFUNCTION("""COMPUTED_VALUE"""),36.0)</f>
        <v>36</v>
      </c>
    </row>
    <row r="307">
      <c r="A307" s="8">
        <f>IFERROR(__xludf.DUMMYFUNCTION("""COMPUTED_VALUE"""),305.0)</f>
        <v>305</v>
      </c>
      <c r="B307" s="8">
        <f>IFERROR(__xludf.DUMMYFUNCTION("""COMPUTED_VALUE"""),47.0)</f>
        <v>47</v>
      </c>
    </row>
    <row r="308">
      <c r="A308" s="8">
        <f>IFERROR(__xludf.DUMMYFUNCTION("""COMPUTED_VALUE"""),306.0)</f>
        <v>306</v>
      </c>
      <c r="B308" s="8">
        <f>IFERROR(__xludf.DUMMYFUNCTION("""COMPUTED_VALUE"""),63.0)</f>
        <v>63</v>
      </c>
    </row>
    <row r="309">
      <c r="A309" s="8">
        <f>IFERROR(__xludf.DUMMYFUNCTION("""COMPUTED_VALUE"""),307.0)</f>
        <v>307</v>
      </c>
      <c r="B309" s="8">
        <f>IFERROR(__xludf.DUMMYFUNCTION("""COMPUTED_VALUE"""),35.0)</f>
        <v>35</v>
      </c>
    </row>
    <row r="310">
      <c r="A310" s="8">
        <f>IFERROR(__xludf.DUMMYFUNCTION("""COMPUTED_VALUE"""),308.0)</f>
        <v>308</v>
      </c>
      <c r="B310" s="8">
        <f>IFERROR(__xludf.DUMMYFUNCTION("""COMPUTED_VALUE"""),35.0)</f>
        <v>35</v>
      </c>
    </row>
    <row r="311">
      <c r="A311" s="8">
        <f>IFERROR(__xludf.DUMMYFUNCTION("""COMPUTED_VALUE"""),309.0)</f>
        <v>309</v>
      </c>
      <c r="B311" s="8">
        <f>IFERROR(__xludf.DUMMYFUNCTION("""COMPUTED_VALUE"""),56.0)</f>
        <v>56</v>
      </c>
    </row>
    <row r="312">
      <c r="A312" s="8">
        <f>IFERROR(__xludf.DUMMYFUNCTION("""COMPUTED_VALUE"""),310.0)</f>
        <v>310</v>
      </c>
      <c r="B312" s="8">
        <f>IFERROR(__xludf.DUMMYFUNCTION("""COMPUTED_VALUE"""),41.0)</f>
        <v>41</v>
      </c>
    </row>
    <row r="313">
      <c r="A313" s="8">
        <f>IFERROR(__xludf.DUMMYFUNCTION("""COMPUTED_VALUE"""),311.0)</f>
        <v>311</v>
      </c>
      <c r="B313" s="8">
        <f>IFERROR(__xludf.DUMMYFUNCTION("""COMPUTED_VALUE"""),37.0)</f>
        <v>37</v>
      </c>
    </row>
    <row r="314">
      <c r="A314" s="8">
        <f>IFERROR(__xludf.DUMMYFUNCTION("""COMPUTED_VALUE"""),312.0)</f>
        <v>312</v>
      </c>
      <c r="B314" s="8">
        <f>IFERROR(__xludf.DUMMYFUNCTION("""COMPUTED_VALUE"""),34.0)</f>
        <v>34</v>
      </c>
    </row>
    <row r="315">
      <c r="A315" s="8">
        <f>IFERROR(__xludf.DUMMYFUNCTION("""COMPUTED_VALUE"""),313.0)</f>
        <v>313</v>
      </c>
      <c r="B315" s="8">
        <f>IFERROR(__xludf.DUMMYFUNCTION("""COMPUTED_VALUE"""),32.0)</f>
        <v>32</v>
      </c>
    </row>
    <row r="316">
      <c r="A316" s="8">
        <f>IFERROR(__xludf.DUMMYFUNCTION("""COMPUTED_VALUE"""),314.0)</f>
        <v>314</v>
      </c>
      <c r="B316" s="8">
        <f>IFERROR(__xludf.DUMMYFUNCTION("""COMPUTED_VALUE"""),60.0)</f>
        <v>60</v>
      </c>
    </row>
    <row r="317">
      <c r="A317" s="8">
        <f>IFERROR(__xludf.DUMMYFUNCTION("""COMPUTED_VALUE"""),315.0)</f>
        <v>315</v>
      </c>
      <c r="B317" s="8">
        <f>IFERROR(__xludf.DUMMYFUNCTION("""COMPUTED_VALUE"""),21.0)</f>
        <v>21</v>
      </c>
    </row>
    <row r="318">
      <c r="A318" s="8">
        <f>IFERROR(__xludf.DUMMYFUNCTION("""COMPUTED_VALUE"""),316.0)</f>
        <v>316</v>
      </c>
      <c r="B318" s="8">
        <f>IFERROR(__xludf.DUMMYFUNCTION("""COMPUTED_VALUE"""),59.0)</f>
        <v>59</v>
      </c>
    </row>
    <row r="319">
      <c r="A319" s="8">
        <f>IFERROR(__xludf.DUMMYFUNCTION("""COMPUTED_VALUE"""),317.0)</f>
        <v>317</v>
      </c>
      <c r="B319" s="8">
        <f>IFERROR(__xludf.DUMMYFUNCTION("""COMPUTED_VALUE"""),53.0)</f>
        <v>53</v>
      </c>
    </row>
    <row r="320">
      <c r="A320" s="8">
        <f>IFERROR(__xludf.DUMMYFUNCTION("""COMPUTED_VALUE"""),318.0)</f>
        <v>318</v>
      </c>
      <c r="B320" s="8">
        <f>IFERROR(__xludf.DUMMYFUNCTION("""COMPUTED_VALUE"""),27.0)</f>
        <v>27</v>
      </c>
    </row>
    <row r="321">
      <c r="A321" s="8">
        <f>IFERROR(__xludf.DUMMYFUNCTION("""COMPUTED_VALUE"""),319.0)</f>
        <v>319</v>
      </c>
      <c r="B321" s="8">
        <f>IFERROR(__xludf.DUMMYFUNCTION("""COMPUTED_VALUE"""),62.0)</f>
        <v>62</v>
      </c>
    </row>
    <row r="322">
      <c r="A322" s="8">
        <f>IFERROR(__xludf.DUMMYFUNCTION("""COMPUTED_VALUE"""),320.0)</f>
        <v>320</v>
      </c>
      <c r="B322" s="8">
        <f>IFERROR(__xludf.DUMMYFUNCTION("""COMPUTED_VALUE"""),41.0)</f>
        <v>41</v>
      </c>
    </row>
    <row r="323">
      <c r="A323" s="8">
        <f>IFERROR(__xludf.DUMMYFUNCTION("""COMPUTED_VALUE"""),321.0)</f>
        <v>321</v>
      </c>
      <c r="B323" s="8">
        <f>IFERROR(__xludf.DUMMYFUNCTION("""COMPUTED_VALUE"""),50.0)</f>
        <v>50</v>
      </c>
    </row>
    <row r="324">
      <c r="A324" s="8">
        <f>IFERROR(__xludf.DUMMYFUNCTION("""COMPUTED_VALUE"""),322.0)</f>
        <v>322</v>
      </c>
      <c r="B324" s="8">
        <f>IFERROR(__xludf.DUMMYFUNCTION("""COMPUTED_VALUE"""),54.0)</f>
        <v>54</v>
      </c>
    </row>
    <row r="325">
      <c r="A325" s="8">
        <f>IFERROR(__xludf.DUMMYFUNCTION("""COMPUTED_VALUE"""),323.0)</f>
        <v>323</v>
      </c>
      <c r="B325" s="8">
        <f>IFERROR(__xludf.DUMMYFUNCTION("""COMPUTED_VALUE"""),47.0)</f>
        <v>47</v>
      </c>
    </row>
    <row r="326">
      <c r="A326" s="8">
        <f>IFERROR(__xludf.DUMMYFUNCTION("""COMPUTED_VALUE"""),324.0)</f>
        <v>324</v>
      </c>
      <c r="B326" s="8">
        <f>IFERROR(__xludf.DUMMYFUNCTION("""COMPUTED_VALUE"""),41.0)</f>
        <v>41</v>
      </c>
    </row>
    <row r="327">
      <c r="A327" s="8">
        <f>IFERROR(__xludf.DUMMYFUNCTION("""COMPUTED_VALUE"""),325.0)</f>
        <v>325</v>
      </c>
      <c r="B327" s="8">
        <f>IFERROR(__xludf.DUMMYFUNCTION("""COMPUTED_VALUE"""),43.0)</f>
        <v>43</v>
      </c>
    </row>
    <row r="328">
      <c r="A328" s="8">
        <f>IFERROR(__xludf.DUMMYFUNCTION("""COMPUTED_VALUE"""),326.0)</f>
        <v>326</v>
      </c>
      <c r="B328" s="8">
        <f>IFERROR(__xludf.DUMMYFUNCTION("""COMPUTED_VALUE"""),43.0)</f>
        <v>43</v>
      </c>
    </row>
    <row r="329">
      <c r="A329" s="8">
        <f>IFERROR(__xludf.DUMMYFUNCTION("""COMPUTED_VALUE"""),327.0)</f>
        <v>327</v>
      </c>
      <c r="B329" s="8">
        <f>IFERROR(__xludf.DUMMYFUNCTION("""COMPUTED_VALUE"""),23.0)</f>
        <v>23</v>
      </c>
    </row>
    <row r="330">
      <c r="A330" s="8">
        <f>IFERROR(__xludf.DUMMYFUNCTION("""COMPUTED_VALUE"""),328.0)</f>
        <v>328</v>
      </c>
      <c r="B330" s="8">
        <f>IFERROR(__xludf.DUMMYFUNCTION("""COMPUTED_VALUE"""),25.0)</f>
        <v>25</v>
      </c>
    </row>
    <row r="331">
      <c r="A331" s="8">
        <f>IFERROR(__xludf.DUMMYFUNCTION("""COMPUTED_VALUE"""),329.0)</f>
        <v>329</v>
      </c>
      <c r="B331" s="8">
        <f>IFERROR(__xludf.DUMMYFUNCTION("""COMPUTED_VALUE"""),51.0)</f>
        <v>51</v>
      </c>
    </row>
    <row r="332">
      <c r="A332" s="8">
        <f>IFERROR(__xludf.DUMMYFUNCTION("""COMPUTED_VALUE"""),330.0)</f>
        <v>330</v>
      </c>
      <c r="B332" s="8">
        <f>IFERROR(__xludf.DUMMYFUNCTION("""COMPUTED_VALUE"""),41.0)</f>
        <v>41</v>
      </c>
    </row>
    <row r="333">
      <c r="A333" s="8">
        <f>IFERROR(__xludf.DUMMYFUNCTION("""COMPUTED_VALUE"""),331.0)</f>
        <v>331</v>
      </c>
      <c r="B333" s="8">
        <f>IFERROR(__xludf.DUMMYFUNCTION("""COMPUTED_VALUE"""),49.0)</f>
        <v>49</v>
      </c>
    </row>
    <row r="334">
      <c r="A334" s="8">
        <f>IFERROR(__xludf.DUMMYFUNCTION("""COMPUTED_VALUE"""),332.0)</f>
        <v>332</v>
      </c>
      <c r="B334" s="8">
        <f>IFERROR(__xludf.DUMMYFUNCTION("""COMPUTED_VALUE"""),46.0)</f>
        <v>46</v>
      </c>
    </row>
    <row r="335">
      <c r="A335" s="8">
        <f>IFERROR(__xludf.DUMMYFUNCTION("""COMPUTED_VALUE"""),333.0)</f>
        <v>333</v>
      </c>
      <c r="B335" s="8">
        <f>IFERROR(__xludf.DUMMYFUNCTION("""COMPUTED_VALUE"""),29.0)</f>
        <v>29</v>
      </c>
    </row>
    <row r="336">
      <c r="A336" s="8">
        <f>IFERROR(__xludf.DUMMYFUNCTION("""COMPUTED_VALUE"""),334.0)</f>
        <v>334</v>
      </c>
      <c r="B336" s="8">
        <f>IFERROR(__xludf.DUMMYFUNCTION("""COMPUTED_VALUE"""),53.0)</f>
        <v>53</v>
      </c>
    </row>
    <row r="337">
      <c r="A337" s="8">
        <f>IFERROR(__xludf.DUMMYFUNCTION("""COMPUTED_VALUE"""),335.0)</f>
        <v>335</v>
      </c>
      <c r="B337" s="8">
        <f>IFERROR(__xludf.DUMMYFUNCTION("""COMPUTED_VALUE"""),66.0)</f>
        <v>66</v>
      </c>
    </row>
    <row r="338">
      <c r="A338" s="8">
        <f>IFERROR(__xludf.DUMMYFUNCTION("""COMPUTED_VALUE"""),336.0)</f>
        <v>336</v>
      </c>
      <c r="B338" s="8">
        <f>IFERROR(__xludf.DUMMYFUNCTION("""COMPUTED_VALUE"""),32.0)</f>
        <v>32</v>
      </c>
    </row>
    <row r="339">
      <c r="A339" s="8">
        <f>IFERROR(__xludf.DUMMYFUNCTION("""COMPUTED_VALUE"""),337.0)</f>
        <v>337</v>
      </c>
      <c r="B339" s="8">
        <f>IFERROR(__xludf.DUMMYFUNCTION("""COMPUTED_VALUE"""),74.0)</f>
        <v>74</v>
      </c>
    </row>
    <row r="340">
      <c r="A340" s="8">
        <f>IFERROR(__xludf.DUMMYFUNCTION("""COMPUTED_VALUE"""),338.0)</f>
        <v>338</v>
      </c>
      <c r="B340" s="8">
        <f>IFERROR(__xludf.DUMMYFUNCTION("""COMPUTED_VALUE"""),63.0)</f>
        <v>63</v>
      </c>
    </row>
    <row r="341">
      <c r="A341" s="8">
        <f>IFERROR(__xludf.DUMMYFUNCTION("""COMPUTED_VALUE"""),339.0)</f>
        <v>339</v>
      </c>
      <c r="B341" s="8">
        <f>IFERROR(__xludf.DUMMYFUNCTION("""COMPUTED_VALUE"""),41.0)</f>
        <v>41</v>
      </c>
    </row>
    <row r="342">
      <c r="A342" s="8">
        <f>IFERROR(__xludf.DUMMYFUNCTION("""COMPUTED_VALUE"""),340.0)</f>
        <v>340</v>
      </c>
      <c r="B342" s="8">
        <f>IFERROR(__xludf.DUMMYFUNCTION("""COMPUTED_VALUE"""),40.0)</f>
        <v>40</v>
      </c>
    </row>
    <row r="343">
      <c r="A343" s="8">
        <f>IFERROR(__xludf.DUMMYFUNCTION("""COMPUTED_VALUE"""),341.0)</f>
        <v>341</v>
      </c>
      <c r="B343" s="8">
        <f>IFERROR(__xludf.DUMMYFUNCTION("""COMPUTED_VALUE"""),40.0)</f>
        <v>40</v>
      </c>
    </row>
    <row r="344">
      <c r="A344" s="8">
        <f>IFERROR(__xludf.DUMMYFUNCTION("""COMPUTED_VALUE"""),342.0)</f>
        <v>342</v>
      </c>
      <c r="B344" s="8">
        <f>IFERROR(__xludf.DUMMYFUNCTION("""COMPUTED_VALUE"""),32.0)</f>
        <v>32</v>
      </c>
    </row>
    <row r="345">
      <c r="A345" s="8">
        <f>IFERROR(__xludf.DUMMYFUNCTION("""COMPUTED_VALUE"""),343.0)</f>
        <v>343</v>
      </c>
      <c r="B345" s="8">
        <f>IFERROR(__xludf.DUMMYFUNCTION("""COMPUTED_VALUE"""),49.0)</f>
        <v>49</v>
      </c>
    </row>
    <row r="346">
      <c r="A346" s="8">
        <f>IFERROR(__xludf.DUMMYFUNCTION("""COMPUTED_VALUE"""),344.0)</f>
        <v>344</v>
      </c>
      <c r="B346" s="8">
        <f>IFERROR(__xludf.DUMMYFUNCTION("""COMPUTED_VALUE"""),44.0)</f>
        <v>44</v>
      </c>
    </row>
    <row r="347">
      <c r="A347" s="8">
        <f>IFERROR(__xludf.DUMMYFUNCTION("""COMPUTED_VALUE"""),345.0)</f>
        <v>345</v>
      </c>
      <c r="B347" s="8">
        <f>IFERROR(__xludf.DUMMYFUNCTION("""COMPUTED_VALUE"""),24.0)</f>
        <v>24</v>
      </c>
    </row>
    <row r="348">
      <c r="A348" s="8">
        <f>IFERROR(__xludf.DUMMYFUNCTION("""COMPUTED_VALUE"""),346.0)</f>
        <v>346</v>
      </c>
      <c r="B348" s="8">
        <f>IFERROR(__xludf.DUMMYFUNCTION("""COMPUTED_VALUE"""),70.0)</f>
        <v>70</v>
      </c>
    </row>
    <row r="349">
      <c r="A349" s="8">
        <f>IFERROR(__xludf.DUMMYFUNCTION("""COMPUTED_VALUE"""),347.0)</f>
        <v>347</v>
      </c>
      <c r="B349" s="8">
        <f>IFERROR(__xludf.DUMMYFUNCTION("""COMPUTED_VALUE"""),30.0)</f>
        <v>30</v>
      </c>
    </row>
    <row r="350">
      <c r="A350" s="8">
        <f>IFERROR(__xludf.DUMMYFUNCTION("""COMPUTED_VALUE"""),348.0)</f>
        <v>348</v>
      </c>
      <c r="B350" s="8">
        <f>IFERROR(__xludf.DUMMYFUNCTION("""COMPUTED_VALUE"""),47.0)</f>
        <v>47</v>
      </c>
    </row>
    <row r="351">
      <c r="A351" s="8">
        <f>IFERROR(__xludf.DUMMYFUNCTION("""COMPUTED_VALUE"""),349.0)</f>
        <v>349</v>
      </c>
      <c r="B351" s="8">
        <f>IFERROR(__xludf.DUMMYFUNCTION("""COMPUTED_VALUE"""),27.0)</f>
        <v>27</v>
      </c>
    </row>
    <row r="352">
      <c r="A352" s="8">
        <f>IFERROR(__xludf.DUMMYFUNCTION("""COMPUTED_VALUE"""),350.0)</f>
        <v>350</v>
      </c>
      <c r="B352" s="8">
        <f>IFERROR(__xludf.DUMMYFUNCTION("""COMPUTED_VALUE"""),36.0)</f>
        <v>36</v>
      </c>
    </row>
    <row r="353">
      <c r="A353" s="8">
        <f>IFERROR(__xludf.DUMMYFUNCTION("""COMPUTED_VALUE"""),351.0)</f>
        <v>351</v>
      </c>
      <c r="B353" s="8">
        <f>IFERROR(__xludf.DUMMYFUNCTION("""COMPUTED_VALUE"""),69.0)</f>
        <v>69</v>
      </c>
    </row>
    <row r="354">
      <c r="A354" s="8">
        <f>IFERROR(__xludf.DUMMYFUNCTION("""COMPUTED_VALUE"""),352.0)</f>
        <v>352</v>
      </c>
      <c r="B354" s="8">
        <f>IFERROR(__xludf.DUMMYFUNCTION("""COMPUTED_VALUE"""),52.0)</f>
        <v>52</v>
      </c>
    </row>
    <row r="355">
      <c r="A355" s="8">
        <f>IFERROR(__xludf.DUMMYFUNCTION("""COMPUTED_VALUE"""),353.0)</f>
        <v>353</v>
      </c>
      <c r="B355" s="8">
        <f>IFERROR(__xludf.DUMMYFUNCTION("""COMPUTED_VALUE"""),32.0)</f>
        <v>32</v>
      </c>
    </row>
    <row r="356">
      <c r="A356" s="8">
        <f>IFERROR(__xludf.DUMMYFUNCTION("""COMPUTED_VALUE"""),354.0)</f>
        <v>354</v>
      </c>
      <c r="B356" s="8">
        <f>IFERROR(__xludf.DUMMYFUNCTION("""COMPUTED_VALUE"""),37.0)</f>
        <v>37</v>
      </c>
    </row>
    <row r="357">
      <c r="A357" s="8">
        <f>IFERROR(__xludf.DUMMYFUNCTION("""COMPUTED_VALUE"""),355.0)</f>
        <v>355</v>
      </c>
      <c r="B357" s="8">
        <f>IFERROR(__xludf.DUMMYFUNCTION("""COMPUTED_VALUE"""),32.0)</f>
        <v>32</v>
      </c>
    </row>
    <row r="358">
      <c r="A358" s="8">
        <f>IFERROR(__xludf.DUMMYFUNCTION("""COMPUTED_VALUE"""),356.0)</f>
        <v>356</v>
      </c>
      <c r="B358" s="8">
        <f>IFERROR(__xludf.DUMMYFUNCTION("""COMPUTED_VALUE"""),42.0)</f>
        <v>42</v>
      </c>
    </row>
    <row r="359">
      <c r="A359" s="8">
        <f>IFERROR(__xludf.DUMMYFUNCTION("""COMPUTED_VALUE"""),357.0)</f>
        <v>357</v>
      </c>
      <c r="B359" s="8">
        <f>IFERROR(__xludf.DUMMYFUNCTION("""COMPUTED_VALUE"""),51.0)</f>
        <v>51</v>
      </c>
    </row>
    <row r="360">
      <c r="A360" s="8">
        <f>IFERROR(__xludf.DUMMYFUNCTION("""COMPUTED_VALUE"""),358.0)</f>
        <v>358</v>
      </c>
      <c r="B360" s="8">
        <f>IFERROR(__xludf.DUMMYFUNCTION("""COMPUTED_VALUE"""),34.0)</f>
        <v>34</v>
      </c>
    </row>
    <row r="361">
      <c r="A361" s="8">
        <f>IFERROR(__xludf.DUMMYFUNCTION("""COMPUTED_VALUE"""),359.0)</f>
        <v>359</v>
      </c>
      <c r="B361" s="8">
        <f>IFERROR(__xludf.DUMMYFUNCTION("""COMPUTED_VALUE"""),37.0)</f>
        <v>37</v>
      </c>
    </row>
    <row r="362">
      <c r="A362" s="8">
        <f>IFERROR(__xludf.DUMMYFUNCTION("""COMPUTED_VALUE"""),360.0)</f>
        <v>360</v>
      </c>
      <c r="B362" s="8">
        <f>IFERROR(__xludf.DUMMYFUNCTION("""COMPUTED_VALUE"""),50.0)</f>
        <v>50</v>
      </c>
    </row>
    <row r="363">
      <c r="A363" s="8">
        <f>IFERROR(__xludf.DUMMYFUNCTION("""COMPUTED_VALUE"""),361.0)</f>
        <v>361</v>
      </c>
      <c r="B363" s="8">
        <f>IFERROR(__xludf.DUMMYFUNCTION("""COMPUTED_VALUE"""),36.0)</f>
        <v>36</v>
      </c>
    </row>
    <row r="364">
      <c r="A364" s="8">
        <f>IFERROR(__xludf.DUMMYFUNCTION("""COMPUTED_VALUE"""),362.0)</f>
        <v>362</v>
      </c>
      <c r="B364" s="8">
        <f>IFERROR(__xludf.DUMMYFUNCTION("""COMPUTED_VALUE"""),65.0)</f>
        <v>65</v>
      </c>
    </row>
    <row r="365">
      <c r="A365" s="8">
        <f>IFERROR(__xludf.DUMMYFUNCTION("""COMPUTED_VALUE"""),363.0)</f>
        <v>363</v>
      </c>
      <c r="B365" s="8">
        <f>IFERROR(__xludf.DUMMYFUNCTION("""COMPUTED_VALUE"""),60.0)</f>
        <v>60</v>
      </c>
    </row>
    <row r="366">
      <c r="A366" s="8">
        <f>IFERROR(__xludf.DUMMYFUNCTION("""COMPUTED_VALUE"""),364.0)</f>
        <v>364</v>
      </c>
      <c r="B366" s="8">
        <f>IFERROR(__xludf.DUMMYFUNCTION("""COMPUTED_VALUE"""),46.0)</f>
        <v>46</v>
      </c>
    </row>
    <row r="367">
      <c r="A367" s="8">
        <f>IFERROR(__xludf.DUMMYFUNCTION("""COMPUTED_VALUE"""),365.0)</f>
        <v>365</v>
      </c>
      <c r="B367" s="8">
        <f>IFERROR(__xludf.DUMMYFUNCTION("""COMPUTED_VALUE"""),38.0)</f>
        <v>38</v>
      </c>
    </row>
    <row r="368">
      <c r="A368" s="8">
        <f>IFERROR(__xludf.DUMMYFUNCTION("""COMPUTED_VALUE"""),366.0)</f>
        <v>366</v>
      </c>
      <c r="B368" s="8">
        <f>IFERROR(__xludf.DUMMYFUNCTION("""COMPUTED_VALUE"""),37.0)</f>
        <v>37</v>
      </c>
    </row>
    <row r="369">
      <c r="A369" s="8">
        <f>IFERROR(__xludf.DUMMYFUNCTION("""COMPUTED_VALUE"""),367.0)</f>
        <v>367</v>
      </c>
      <c r="B369" s="8">
        <f>IFERROR(__xludf.DUMMYFUNCTION("""COMPUTED_VALUE"""),46.0)</f>
        <v>46</v>
      </c>
    </row>
    <row r="370">
      <c r="A370" s="8">
        <f>IFERROR(__xludf.DUMMYFUNCTION("""COMPUTED_VALUE"""),368.0)</f>
        <v>368</v>
      </c>
      <c r="B370" s="8">
        <f>IFERROR(__xludf.DUMMYFUNCTION("""COMPUTED_VALUE"""),29.0)</f>
        <v>29</v>
      </c>
    </row>
    <row r="371">
      <c r="A371" s="8">
        <f>IFERROR(__xludf.DUMMYFUNCTION("""COMPUTED_VALUE"""),369.0)</f>
        <v>369</v>
      </c>
      <c r="B371" s="8">
        <f>IFERROR(__xludf.DUMMYFUNCTION("""COMPUTED_VALUE"""),39.0)</f>
        <v>39</v>
      </c>
    </row>
    <row r="372">
      <c r="A372" s="8">
        <f>IFERROR(__xludf.DUMMYFUNCTION("""COMPUTED_VALUE"""),370.0)</f>
        <v>370</v>
      </c>
      <c r="B372" s="8">
        <f>IFERROR(__xludf.DUMMYFUNCTION("""COMPUTED_VALUE"""),25.0)</f>
        <v>25</v>
      </c>
    </row>
    <row r="373">
      <c r="A373" s="8">
        <f>IFERROR(__xludf.DUMMYFUNCTION("""COMPUTED_VALUE"""),371.0)</f>
        <v>371</v>
      </c>
      <c r="B373" s="8">
        <f>IFERROR(__xludf.DUMMYFUNCTION("""COMPUTED_VALUE"""),64.0)</f>
        <v>64</v>
      </c>
    </row>
    <row r="374">
      <c r="A374" s="8">
        <f>IFERROR(__xludf.DUMMYFUNCTION("""COMPUTED_VALUE"""),372.0)</f>
        <v>372</v>
      </c>
      <c r="B374" s="8">
        <f>IFERROR(__xludf.DUMMYFUNCTION("""COMPUTED_VALUE"""),57.0)</f>
        <v>57</v>
      </c>
    </row>
    <row r="375">
      <c r="A375" s="8">
        <f>IFERROR(__xludf.DUMMYFUNCTION("""COMPUTED_VALUE"""),373.0)</f>
        <v>373</v>
      </c>
      <c r="B375" s="8">
        <f>IFERROR(__xludf.DUMMYFUNCTION("""COMPUTED_VALUE"""),44.0)</f>
        <v>44</v>
      </c>
    </row>
    <row r="376">
      <c r="A376" s="8">
        <f>IFERROR(__xludf.DUMMYFUNCTION("""COMPUTED_VALUE"""),374.0)</f>
        <v>374</v>
      </c>
      <c r="B376" s="8">
        <f>IFERROR(__xludf.DUMMYFUNCTION("""COMPUTED_VALUE"""),44.0)</f>
        <v>44</v>
      </c>
    </row>
    <row r="377">
      <c r="A377" s="8">
        <f>IFERROR(__xludf.DUMMYFUNCTION("""COMPUTED_VALUE"""),375.0)</f>
        <v>375</v>
      </c>
      <c r="B377" s="8">
        <f>IFERROR(__xludf.DUMMYFUNCTION("""COMPUTED_VALUE"""),26.0)</f>
        <v>26</v>
      </c>
    </row>
    <row r="378">
      <c r="A378" s="8">
        <f>IFERROR(__xludf.DUMMYFUNCTION("""COMPUTED_VALUE"""),376.0)</f>
        <v>376</v>
      </c>
      <c r="B378" s="8">
        <f>IFERROR(__xludf.DUMMYFUNCTION("""COMPUTED_VALUE"""),37.0)</f>
        <v>37</v>
      </c>
    </row>
    <row r="379">
      <c r="A379" s="8">
        <f>IFERROR(__xludf.DUMMYFUNCTION("""COMPUTED_VALUE"""),377.0)</f>
        <v>377</v>
      </c>
      <c r="B379" s="8">
        <f>IFERROR(__xludf.DUMMYFUNCTION("""COMPUTED_VALUE"""),48.0)</f>
        <v>48</v>
      </c>
    </row>
    <row r="380">
      <c r="A380" s="8">
        <f>IFERROR(__xludf.DUMMYFUNCTION("""COMPUTED_VALUE"""),378.0)</f>
        <v>378</v>
      </c>
      <c r="B380" s="8">
        <f>IFERROR(__xludf.DUMMYFUNCTION("""COMPUTED_VALUE"""),35.0)</f>
        <v>35</v>
      </c>
    </row>
    <row r="381">
      <c r="A381" s="8">
        <f>IFERROR(__xludf.DUMMYFUNCTION("""COMPUTED_VALUE"""),379.0)</f>
        <v>379</v>
      </c>
      <c r="B381" s="8">
        <f>IFERROR(__xludf.DUMMYFUNCTION("""COMPUTED_VALUE"""),67.0)</f>
        <v>67</v>
      </c>
    </row>
    <row r="382">
      <c r="A382" s="8">
        <f>IFERROR(__xludf.DUMMYFUNCTION("""COMPUTED_VALUE"""),380.0)</f>
        <v>380</v>
      </c>
      <c r="B382" s="8">
        <f>IFERROR(__xludf.DUMMYFUNCTION("""COMPUTED_VALUE"""),24.0)</f>
        <v>24</v>
      </c>
    </row>
    <row r="383">
      <c r="A383" s="8">
        <f>IFERROR(__xludf.DUMMYFUNCTION("""COMPUTED_VALUE"""),381.0)</f>
        <v>381</v>
      </c>
      <c r="B383" s="8">
        <f>IFERROR(__xludf.DUMMYFUNCTION("""COMPUTED_VALUE"""),59.0)</f>
        <v>59</v>
      </c>
    </row>
    <row r="384">
      <c r="A384" s="8">
        <f>IFERROR(__xludf.DUMMYFUNCTION("""COMPUTED_VALUE"""),382.0)</f>
        <v>382</v>
      </c>
      <c r="B384" s="8">
        <f>IFERROR(__xludf.DUMMYFUNCTION("""COMPUTED_VALUE"""),47.0)</f>
        <v>47</v>
      </c>
    </row>
    <row r="385">
      <c r="A385" s="8">
        <f>IFERROR(__xludf.DUMMYFUNCTION("""COMPUTED_VALUE"""),383.0)</f>
        <v>383</v>
      </c>
      <c r="B385" s="8">
        <f>IFERROR(__xludf.DUMMYFUNCTION("""COMPUTED_VALUE"""),42.0)</f>
        <v>42</v>
      </c>
    </row>
    <row r="386">
      <c r="A386" s="8">
        <f>IFERROR(__xludf.DUMMYFUNCTION("""COMPUTED_VALUE"""),384.0)</f>
        <v>384</v>
      </c>
      <c r="B386" s="8">
        <f>IFERROR(__xludf.DUMMYFUNCTION("""COMPUTED_VALUE"""),29.0)</f>
        <v>29</v>
      </c>
    </row>
    <row r="387">
      <c r="A387" s="8">
        <f>IFERROR(__xludf.DUMMYFUNCTION("""COMPUTED_VALUE"""),385.0)</f>
        <v>385</v>
      </c>
      <c r="B387" s="8">
        <f>IFERROR(__xludf.DUMMYFUNCTION("""COMPUTED_VALUE"""),54.0)</f>
        <v>54</v>
      </c>
    </row>
    <row r="388">
      <c r="A388" s="8">
        <f>IFERROR(__xludf.DUMMYFUNCTION("""COMPUTED_VALUE"""),386.0)</f>
        <v>386</v>
      </c>
      <c r="B388" s="8">
        <f>IFERROR(__xludf.DUMMYFUNCTION("""COMPUTED_VALUE"""),41.0)</f>
        <v>41</v>
      </c>
    </row>
    <row r="389">
      <c r="A389" s="8">
        <f>IFERROR(__xludf.DUMMYFUNCTION("""COMPUTED_VALUE"""),387.0)</f>
        <v>387</v>
      </c>
      <c r="B389" s="8">
        <f>IFERROR(__xludf.DUMMYFUNCTION("""COMPUTED_VALUE"""),62.0)</f>
        <v>62</v>
      </c>
    </row>
    <row r="390">
      <c r="A390" s="8">
        <f>IFERROR(__xludf.DUMMYFUNCTION("""COMPUTED_VALUE"""),388.0)</f>
        <v>388</v>
      </c>
      <c r="B390" s="8">
        <f>IFERROR(__xludf.DUMMYFUNCTION("""COMPUTED_VALUE"""),29.0)</f>
        <v>29</v>
      </c>
    </row>
    <row r="391">
      <c r="A391" s="8">
        <f>IFERROR(__xludf.DUMMYFUNCTION("""COMPUTED_VALUE"""),389.0)</f>
        <v>389</v>
      </c>
      <c r="B391" s="8">
        <f>IFERROR(__xludf.DUMMYFUNCTION("""COMPUTED_VALUE"""),38.0)</f>
        <v>38</v>
      </c>
    </row>
    <row r="392">
      <c r="A392" s="8">
        <f>IFERROR(__xludf.DUMMYFUNCTION("""COMPUTED_VALUE"""),390.0)</f>
        <v>390</v>
      </c>
      <c r="B392" s="8">
        <f>IFERROR(__xludf.DUMMYFUNCTION("""COMPUTED_VALUE"""),25.0)</f>
        <v>25</v>
      </c>
    </row>
    <row r="393">
      <c r="A393" s="8">
        <f>IFERROR(__xludf.DUMMYFUNCTION("""COMPUTED_VALUE"""),391.0)</f>
        <v>391</v>
      </c>
      <c r="B393" s="8">
        <f>IFERROR(__xludf.DUMMYFUNCTION("""COMPUTED_VALUE"""),33.0)</f>
        <v>33</v>
      </c>
    </row>
    <row r="394">
      <c r="A394" s="8">
        <f>IFERROR(__xludf.DUMMYFUNCTION("""COMPUTED_VALUE"""),392.0)</f>
        <v>392</v>
      </c>
      <c r="B394" s="8">
        <f>IFERROR(__xludf.DUMMYFUNCTION("""COMPUTED_VALUE"""),34.0)</f>
        <v>34</v>
      </c>
    </row>
    <row r="395">
      <c r="A395" s="8">
        <f>IFERROR(__xludf.DUMMYFUNCTION("""COMPUTED_VALUE"""),393.0)</f>
        <v>393</v>
      </c>
      <c r="B395" s="8">
        <f>IFERROR(__xludf.DUMMYFUNCTION("""COMPUTED_VALUE"""),53.0)</f>
        <v>53</v>
      </c>
    </row>
    <row r="396">
      <c r="A396" s="8">
        <f>IFERROR(__xludf.DUMMYFUNCTION("""COMPUTED_VALUE"""),394.0)</f>
        <v>394</v>
      </c>
      <c r="B396" s="8">
        <f>IFERROR(__xludf.DUMMYFUNCTION("""COMPUTED_VALUE"""),46.0)</f>
        <v>46</v>
      </c>
    </row>
    <row r="397">
      <c r="A397" s="8">
        <f>IFERROR(__xludf.DUMMYFUNCTION("""COMPUTED_VALUE"""),395.0)</f>
        <v>395</v>
      </c>
      <c r="B397" s="8">
        <f>IFERROR(__xludf.DUMMYFUNCTION("""COMPUTED_VALUE"""),33.0)</f>
        <v>33</v>
      </c>
    </row>
    <row r="398">
      <c r="A398" s="8">
        <f>IFERROR(__xludf.DUMMYFUNCTION("""COMPUTED_VALUE"""),396.0)</f>
        <v>396</v>
      </c>
      <c r="B398" s="8">
        <f>IFERROR(__xludf.DUMMYFUNCTION("""COMPUTED_VALUE"""),40.0)</f>
        <v>40</v>
      </c>
    </row>
    <row r="399">
      <c r="A399" s="8">
        <f>IFERROR(__xludf.DUMMYFUNCTION("""COMPUTED_VALUE"""),397.0)</f>
        <v>397</v>
      </c>
      <c r="B399" s="8">
        <f>IFERROR(__xludf.DUMMYFUNCTION("""COMPUTED_VALUE"""),32.0)</f>
        <v>32</v>
      </c>
    </row>
    <row r="400">
      <c r="A400" s="8">
        <f>IFERROR(__xludf.DUMMYFUNCTION("""COMPUTED_VALUE"""),398.0)</f>
        <v>398</v>
      </c>
      <c r="B400" s="8">
        <f>IFERROR(__xludf.DUMMYFUNCTION("""COMPUTED_VALUE"""),38.0)</f>
        <v>38</v>
      </c>
    </row>
    <row r="401">
      <c r="A401" s="8">
        <f>IFERROR(__xludf.DUMMYFUNCTION("""COMPUTED_VALUE"""),399.0)</f>
        <v>399</v>
      </c>
      <c r="B401" s="8">
        <f>IFERROR(__xludf.DUMMYFUNCTION("""COMPUTED_VALUE"""),62.0)</f>
        <v>62</v>
      </c>
    </row>
    <row r="402">
      <c r="A402" s="8">
        <f>IFERROR(__xludf.DUMMYFUNCTION("""COMPUTED_VALUE"""),400.0)</f>
        <v>400</v>
      </c>
      <c r="B402" s="8">
        <f>IFERROR(__xludf.DUMMYFUNCTION("""COMPUTED_VALUE"""),35.0)</f>
        <v>35</v>
      </c>
    </row>
    <row r="403">
      <c r="A403" s="8">
        <f>IFERROR(__xludf.DUMMYFUNCTION("""COMPUTED_VALUE"""),401.0)</f>
        <v>401</v>
      </c>
      <c r="B403" s="8">
        <f>IFERROR(__xludf.DUMMYFUNCTION("""COMPUTED_VALUE"""),34.0)</f>
        <v>34</v>
      </c>
    </row>
    <row r="404">
      <c r="A404" s="8">
        <f>IFERROR(__xludf.DUMMYFUNCTION("""COMPUTED_VALUE"""),402.0)</f>
        <v>402</v>
      </c>
      <c r="B404" s="8">
        <f>IFERROR(__xludf.DUMMYFUNCTION("""COMPUTED_VALUE"""),26.0)</f>
        <v>26</v>
      </c>
    </row>
    <row r="405">
      <c r="A405" s="8">
        <f>IFERROR(__xludf.DUMMYFUNCTION("""COMPUTED_VALUE"""),403.0)</f>
        <v>403</v>
      </c>
      <c r="B405" s="8">
        <f>IFERROR(__xludf.DUMMYFUNCTION("""COMPUTED_VALUE"""),31.0)</f>
        <v>31</v>
      </c>
    </row>
    <row r="406">
      <c r="A406" s="8">
        <f>IFERROR(__xludf.DUMMYFUNCTION("""COMPUTED_VALUE"""),404.0)</f>
        <v>404</v>
      </c>
      <c r="B406" s="8">
        <f>IFERROR(__xludf.DUMMYFUNCTION("""COMPUTED_VALUE"""),58.0)</f>
        <v>58</v>
      </c>
    </row>
    <row r="407">
      <c r="A407" s="8">
        <f>IFERROR(__xludf.DUMMYFUNCTION("""COMPUTED_VALUE"""),405.0)</f>
        <v>405</v>
      </c>
      <c r="B407" s="8">
        <f>IFERROR(__xludf.DUMMYFUNCTION("""COMPUTED_VALUE"""),40.0)</f>
        <v>40</v>
      </c>
    </row>
    <row r="408">
      <c r="A408" s="8">
        <f>IFERROR(__xludf.DUMMYFUNCTION("""COMPUTED_VALUE"""),406.0)</f>
        <v>406</v>
      </c>
      <c r="B408" s="8">
        <f>IFERROR(__xludf.DUMMYFUNCTION("""COMPUTED_VALUE"""),22.0)</f>
        <v>22</v>
      </c>
    </row>
    <row r="409">
      <c r="A409" s="8">
        <f>IFERROR(__xludf.DUMMYFUNCTION("""COMPUTED_VALUE"""),407.0)</f>
        <v>407</v>
      </c>
      <c r="B409" s="8">
        <f>IFERROR(__xludf.DUMMYFUNCTION("""COMPUTED_VALUE"""),55.0)</f>
        <v>55</v>
      </c>
    </row>
    <row r="410">
      <c r="A410" s="8">
        <f>IFERROR(__xludf.DUMMYFUNCTION("""COMPUTED_VALUE"""),408.0)</f>
        <v>408</v>
      </c>
      <c r="B410" s="8">
        <f>IFERROR(__xludf.DUMMYFUNCTION("""COMPUTED_VALUE"""),66.0)</f>
        <v>66</v>
      </c>
    </row>
    <row r="411">
      <c r="A411" s="8">
        <f>IFERROR(__xludf.DUMMYFUNCTION("""COMPUTED_VALUE"""),409.0)</f>
        <v>409</v>
      </c>
      <c r="B411" s="8">
        <f>IFERROR(__xludf.DUMMYFUNCTION("""COMPUTED_VALUE"""),39.0)</f>
        <v>39</v>
      </c>
    </row>
    <row r="412">
      <c r="A412" s="8">
        <f>IFERROR(__xludf.DUMMYFUNCTION("""COMPUTED_VALUE"""),410.0)</f>
        <v>410</v>
      </c>
      <c r="B412" s="8">
        <f>IFERROR(__xludf.DUMMYFUNCTION("""COMPUTED_VALUE"""),30.0)</f>
        <v>30</v>
      </c>
    </row>
    <row r="413">
      <c r="A413" s="8">
        <f>IFERROR(__xludf.DUMMYFUNCTION("""COMPUTED_VALUE"""),411.0)</f>
        <v>411</v>
      </c>
      <c r="B413" s="8">
        <f>IFERROR(__xludf.DUMMYFUNCTION("""COMPUTED_VALUE"""),53.0)</f>
        <v>53</v>
      </c>
    </row>
    <row r="414">
      <c r="A414" s="8">
        <f>IFERROR(__xludf.DUMMYFUNCTION("""COMPUTED_VALUE"""),412.0)</f>
        <v>412</v>
      </c>
      <c r="B414" s="8">
        <f>IFERROR(__xludf.DUMMYFUNCTION("""COMPUTED_VALUE"""),23.0)</f>
        <v>23</v>
      </c>
    </row>
    <row r="415">
      <c r="A415" s="8">
        <f>IFERROR(__xludf.DUMMYFUNCTION("""COMPUTED_VALUE"""),413.0)</f>
        <v>413</v>
      </c>
      <c r="B415" s="8">
        <f>IFERROR(__xludf.DUMMYFUNCTION("""COMPUTED_VALUE"""),37.0)</f>
        <v>37</v>
      </c>
    </row>
    <row r="416">
      <c r="A416" s="8">
        <f>IFERROR(__xludf.DUMMYFUNCTION("""COMPUTED_VALUE"""),414.0)</f>
        <v>414</v>
      </c>
      <c r="B416" s="8">
        <f>IFERROR(__xludf.DUMMYFUNCTION("""COMPUTED_VALUE"""),51.0)</f>
        <v>51</v>
      </c>
    </row>
    <row r="417">
      <c r="A417" s="8">
        <f>IFERROR(__xludf.DUMMYFUNCTION("""COMPUTED_VALUE"""),415.0)</f>
        <v>415</v>
      </c>
      <c r="B417" s="8">
        <f>IFERROR(__xludf.DUMMYFUNCTION("""COMPUTED_VALUE"""),37.0)</f>
        <v>37</v>
      </c>
    </row>
    <row r="418">
      <c r="A418" s="8">
        <f>IFERROR(__xludf.DUMMYFUNCTION("""COMPUTED_VALUE"""),416.0)</f>
        <v>416</v>
      </c>
      <c r="B418" s="8">
        <f>IFERROR(__xludf.DUMMYFUNCTION("""COMPUTED_VALUE"""),35.0)</f>
        <v>35</v>
      </c>
    </row>
    <row r="419">
      <c r="A419" s="8">
        <f>IFERROR(__xludf.DUMMYFUNCTION("""COMPUTED_VALUE"""),417.0)</f>
        <v>417</v>
      </c>
      <c r="B419" s="8">
        <f>IFERROR(__xludf.DUMMYFUNCTION("""COMPUTED_VALUE"""),35.0)</f>
        <v>35</v>
      </c>
    </row>
    <row r="420">
      <c r="A420" s="8">
        <f>IFERROR(__xludf.DUMMYFUNCTION("""COMPUTED_VALUE"""),418.0)</f>
        <v>418</v>
      </c>
      <c r="B420" s="8">
        <f>IFERROR(__xludf.DUMMYFUNCTION("""COMPUTED_VALUE"""),40.0)</f>
        <v>40</v>
      </c>
    </row>
    <row r="421">
      <c r="A421" s="8">
        <f>IFERROR(__xludf.DUMMYFUNCTION("""COMPUTED_VALUE"""),419.0)</f>
        <v>419</v>
      </c>
      <c r="B421" s="8">
        <f>IFERROR(__xludf.DUMMYFUNCTION("""COMPUTED_VALUE"""),32.0)</f>
        <v>32</v>
      </c>
    </row>
    <row r="422">
      <c r="A422" s="8">
        <f>IFERROR(__xludf.DUMMYFUNCTION("""COMPUTED_VALUE"""),420.0)</f>
        <v>420</v>
      </c>
      <c r="B422" s="8">
        <f>IFERROR(__xludf.DUMMYFUNCTION("""COMPUTED_VALUE"""),68.0)</f>
        <v>68</v>
      </c>
    </row>
    <row r="423">
      <c r="A423" s="8">
        <f>IFERROR(__xludf.DUMMYFUNCTION("""COMPUTED_VALUE"""),421.0)</f>
        <v>421</v>
      </c>
      <c r="B423" s="8">
        <f>IFERROR(__xludf.DUMMYFUNCTION("""COMPUTED_VALUE"""),65.0)</f>
        <v>65</v>
      </c>
    </row>
    <row r="424">
      <c r="A424" s="8">
        <f>IFERROR(__xludf.DUMMYFUNCTION("""COMPUTED_VALUE"""),422.0)</f>
        <v>422</v>
      </c>
      <c r="B424" s="8">
        <f>IFERROR(__xludf.DUMMYFUNCTION("""COMPUTED_VALUE"""),37.0)</f>
        <v>37</v>
      </c>
    </row>
    <row r="425">
      <c r="A425" s="8">
        <f>IFERROR(__xludf.DUMMYFUNCTION("""COMPUTED_VALUE"""),423.0)</f>
        <v>423</v>
      </c>
      <c r="B425" s="8">
        <f>IFERROR(__xludf.DUMMYFUNCTION("""COMPUTED_VALUE"""),39.0)</f>
        <v>39</v>
      </c>
    </row>
    <row r="426">
      <c r="A426" s="8">
        <f>IFERROR(__xludf.DUMMYFUNCTION("""COMPUTED_VALUE"""),424.0)</f>
        <v>424</v>
      </c>
      <c r="B426" s="8">
        <f>IFERROR(__xludf.DUMMYFUNCTION("""COMPUTED_VALUE"""),22.0)</f>
        <v>22</v>
      </c>
    </row>
    <row r="427">
      <c r="A427" s="8">
        <f>IFERROR(__xludf.DUMMYFUNCTION("""COMPUTED_VALUE"""),425.0)</f>
        <v>425</v>
      </c>
      <c r="B427" s="8">
        <f>IFERROR(__xludf.DUMMYFUNCTION("""COMPUTED_VALUE"""),50.0)</f>
        <v>50</v>
      </c>
    </row>
    <row r="428">
      <c r="A428" s="8">
        <f>IFERROR(__xludf.DUMMYFUNCTION("""COMPUTED_VALUE"""),426.0)</f>
        <v>426</v>
      </c>
      <c r="B428" s="8">
        <f>IFERROR(__xludf.DUMMYFUNCTION("""COMPUTED_VALUE"""),33.0)</f>
        <v>33</v>
      </c>
    </row>
    <row r="429">
      <c r="A429" s="8">
        <f>IFERROR(__xludf.DUMMYFUNCTION("""COMPUTED_VALUE"""),427.0)</f>
        <v>427</v>
      </c>
      <c r="B429" s="8">
        <f>IFERROR(__xludf.DUMMYFUNCTION("""COMPUTED_VALUE"""),33.0)</f>
        <v>33</v>
      </c>
    </row>
    <row r="430">
      <c r="A430" s="8">
        <f>IFERROR(__xludf.DUMMYFUNCTION("""COMPUTED_VALUE"""),428.0)</f>
        <v>428</v>
      </c>
      <c r="B430" s="8">
        <f>IFERROR(__xludf.DUMMYFUNCTION("""COMPUTED_VALUE"""),38.0)</f>
        <v>38</v>
      </c>
    </row>
    <row r="431">
      <c r="A431" s="8">
        <f>IFERROR(__xludf.DUMMYFUNCTION("""COMPUTED_VALUE"""),429.0)</f>
        <v>429</v>
      </c>
      <c r="B431" s="8">
        <f>IFERROR(__xludf.DUMMYFUNCTION("""COMPUTED_VALUE"""),32.0)</f>
        <v>32</v>
      </c>
    </row>
    <row r="432">
      <c r="A432" s="8">
        <f>IFERROR(__xludf.DUMMYFUNCTION("""COMPUTED_VALUE"""),430.0)</f>
        <v>430</v>
      </c>
      <c r="B432" s="8">
        <f>IFERROR(__xludf.DUMMYFUNCTION("""COMPUTED_VALUE"""),51.0)</f>
        <v>51</v>
      </c>
    </row>
    <row r="433">
      <c r="A433" s="8">
        <f>IFERROR(__xludf.DUMMYFUNCTION("""COMPUTED_VALUE"""),431.0)</f>
        <v>431</v>
      </c>
      <c r="B433" s="8">
        <f>IFERROR(__xludf.DUMMYFUNCTION("""COMPUTED_VALUE"""),56.0)</f>
        <v>56</v>
      </c>
    </row>
    <row r="434">
      <c r="A434" s="8">
        <f>IFERROR(__xludf.DUMMYFUNCTION("""COMPUTED_VALUE"""),432.0)</f>
        <v>432</v>
      </c>
      <c r="B434" s="8">
        <f>IFERROR(__xludf.DUMMYFUNCTION("""COMPUTED_VALUE"""),38.0)</f>
        <v>38</v>
      </c>
    </row>
    <row r="435">
      <c r="A435" s="8">
        <f>IFERROR(__xludf.DUMMYFUNCTION("""COMPUTED_VALUE"""),433.0)</f>
        <v>433</v>
      </c>
      <c r="B435" s="8">
        <f>IFERROR(__xludf.DUMMYFUNCTION("""COMPUTED_VALUE"""),35.0)</f>
        <v>35</v>
      </c>
    </row>
    <row r="436">
      <c r="A436" s="8">
        <f>IFERROR(__xludf.DUMMYFUNCTION("""COMPUTED_VALUE"""),434.0)</f>
        <v>434</v>
      </c>
      <c r="B436" s="8">
        <f>IFERROR(__xludf.DUMMYFUNCTION("""COMPUTED_VALUE"""),48.0)</f>
        <v>48</v>
      </c>
    </row>
    <row r="437">
      <c r="A437" s="8">
        <f>IFERROR(__xludf.DUMMYFUNCTION("""COMPUTED_VALUE"""),435.0)</f>
        <v>435</v>
      </c>
      <c r="B437" s="8">
        <f>IFERROR(__xludf.DUMMYFUNCTION("""COMPUTED_VALUE"""),31.0)</f>
        <v>31</v>
      </c>
    </row>
    <row r="438">
      <c r="A438" s="8">
        <f>IFERROR(__xludf.DUMMYFUNCTION("""COMPUTED_VALUE"""),436.0)</f>
        <v>436</v>
      </c>
      <c r="B438" s="8">
        <f>IFERROR(__xludf.DUMMYFUNCTION("""COMPUTED_VALUE"""),38.0)</f>
        <v>38</v>
      </c>
    </row>
    <row r="439">
      <c r="A439" s="8">
        <f>IFERROR(__xludf.DUMMYFUNCTION("""COMPUTED_VALUE"""),437.0)</f>
        <v>437</v>
      </c>
      <c r="B439" s="8">
        <f>IFERROR(__xludf.DUMMYFUNCTION("""COMPUTED_VALUE"""),58.0)</f>
        <v>58</v>
      </c>
    </row>
    <row r="440">
      <c r="A440" s="8">
        <f>IFERROR(__xludf.DUMMYFUNCTION("""COMPUTED_VALUE"""),438.0)</f>
        <v>438</v>
      </c>
      <c r="B440" s="8">
        <f>IFERROR(__xludf.DUMMYFUNCTION("""COMPUTED_VALUE"""),63.0)</f>
        <v>63</v>
      </c>
    </row>
    <row r="441">
      <c r="A441" s="8">
        <f>IFERROR(__xludf.DUMMYFUNCTION("""COMPUTED_VALUE"""),439.0)</f>
        <v>439</v>
      </c>
      <c r="B441" s="8">
        <f>IFERROR(__xludf.DUMMYFUNCTION("""COMPUTED_VALUE"""),40.0)</f>
        <v>40</v>
      </c>
    </row>
    <row r="442">
      <c r="A442" s="8">
        <f>IFERROR(__xludf.DUMMYFUNCTION("""COMPUTED_VALUE"""),440.0)</f>
        <v>440</v>
      </c>
      <c r="B442" s="8">
        <f>IFERROR(__xludf.DUMMYFUNCTION("""COMPUTED_VALUE"""),41.0)</f>
        <v>41</v>
      </c>
    </row>
    <row r="443">
      <c r="A443" s="8">
        <f>IFERROR(__xludf.DUMMYFUNCTION("""COMPUTED_VALUE"""),441.0)</f>
        <v>441</v>
      </c>
      <c r="B443" s="8">
        <f>IFERROR(__xludf.DUMMYFUNCTION("""COMPUTED_VALUE"""),60.0)</f>
        <v>60</v>
      </c>
    </row>
    <row r="444">
      <c r="A444" s="8">
        <f>IFERROR(__xludf.DUMMYFUNCTION("""COMPUTED_VALUE"""),442.0)</f>
        <v>442</v>
      </c>
      <c r="B444" s="8">
        <f>IFERROR(__xludf.DUMMYFUNCTION("""COMPUTED_VALUE"""),60.0)</f>
        <v>60</v>
      </c>
    </row>
    <row r="445">
      <c r="A445" s="8">
        <f>IFERROR(__xludf.DUMMYFUNCTION("""COMPUTED_VALUE"""),443.0)</f>
        <v>443</v>
      </c>
      <c r="B445" s="8">
        <f>IFERROR(__xludf.DUMMYFUNCTION("""COMPUTED_VALUE"""),48.0)</f>
        <v>48</v>
      </c>
    </row>
    <row r="446">
      <c r="A446" s="8">
        <f>IFERROR(__xludf.DUMMYFUNCTION("""COMPUTED_VALUE"""),444.0)</f>
        <v>444</v>
      </c>
      <c r="B446" s="8">
        <f>IFERROR(__xludf.DUMMYFUNCTION("""COMPUTED_VALUE"""),70.0)</f>
        <v>70</v>
      </c>
    </row>
    <row r="447">
      <c r="A447" s="8">
        <f>IFERROR(__xludf.DUMMYFUNCTION("""COMPUTED_VALUE"""),445.0)</f>
        <v>445</v>
      </c>
      <c r="B447" s="8">
        <f>IFERROR(__xludf.DUMMYFUNCTION("""COMPUTED_VALUE"""),27.0)</f>
        <v>27</v>
      </c>
    </row>
    <row r="448">
      <c r="A448" s="8">
        <f>IFERROR(__xludf.DUMMYFUNCTION("""COMPUTED_VALUE"""),446.0)</f>
        <v>446</v>
      </c>
      <c r="B448" s="8">
        <f>IFERROR(__xludf.DUMMYFUNCTION("""COMPUTED_VALUE"""),32.0)</f>
        <v>32</v>
      </c>
    </row>
    <row r="449">
      <c r="A449" s="8">
        <f>IFERROR(__xludf.DUMMYFUNCTION("""COMPUTED_VALUE"""),447.0)</f>
        <v>447</v>
      </c>
      <c r="B449" s="8">
        <f>IFERROR(__xludf.DUMMYFUNCTION("""COMPUTED_VALUE"""),26.0)</f>
        <v>26</v>
      </c>
    </row>
    <row r="450">
      <c r="A450" s="8">
        <f>IFERROR(__xludf.DUMMYFUNCTION("""COMPUTED_VALUE"""),448.0)</f>
        <v>448</v>
      </c>
      <c r="B450" s="8">
        <f>IFERROR(__xludf.DUMMYFUNCTION("""COMPUTED_VALUE"""),51.0)</f>
        <v>51</v>
      </c>
    </row>
    <row r="451">
      <c r="A451" s="8">
        <f>IFERROR(__xludf.DUMMYFUNCTION("""COMPUTED_VALUE"""),449.0)</f>
        <v>449</v>
      </c>
      <c r="B451" s="8">
        <f>IFERROR(__xludf.DUMMYFUNCTION("""COMPUTED_VALUE"""),48.0)</f>
        <v>48</v>
      </c>
    </row>
    <row r="452">
      <c r="A452" s="8">
        <f>IFERROR(__xludf.DUMMYFUNCTION("""COMPUTED_VALUE"""),450.0)</f>
        <v>450</v>
      </c>
      <c r="B452" s="8">
        <f>IFERROR(__xludf.DUMMYFUNCTION("""COMPUTED_VALUE"""),30.0)</f>
        <v>30</v>
      </c>
    </row>
    <row r="453">
      <c r="A453" s="8">
        <f>IFERROR(__xludf.DUMMYFUNCTION("""COMPUTED_VALUE"""),451.0)</f>
        <v>451</v>
      </c>
      <c r="B453" s="8">
        <f>IFERROR(__xludf.DUMMYFUNCTION("""COMPUTED_VALUE"""),56.0)</f>
        <v>56</v>
      </c>
    </row>
    <row r="454">
      <c r="A454" s="8">
        <f>IFERROR(__xludf.DUMMYFUNCTION("""COMPUTED_VALUE"""),452.0)</f>
        <v>452</v>
      </c>
      <c r="B454" s="8">
        <f>IFERROR(__xludf.DUMMYFUNCTION("""COMPUTED_VALUE"""),27.0)</f>
        <v>27</v>
      </c>
    </row>
    <row r="455">
      <c r="A455" s="8">
        <f>IFERROR(__xludf.DUMMYFUNCTION("""COMPUTED_VALUE"""),453.0)</f>
        <v>453</v>
      </c>
      <c r="B455" s="8">
        <f>IFERROR(__xludf.DUMMYFUNCTION("""COMPUTED_VALUE"""),44.0)</f>
        <v>44</v>
      </c>
    </row>
    <row r="456">
      <c r="A456" s="8">
        <f>IFERROR(__xludf.DUMMYFUNCTION("""COMPUTED_VALUE"""),454.0)</f>
        <v>454</v>
      </c>
      <c r="B456" s="8">
        <f>IFERROR(__xludf.DUMMYFUNCTION("""COMPUTED_VALUE"""),39.0)</f>
        <v>39</v>
      </c>
    </row>
    <row r="457">
      <c r="A457" s="8">
        <f>IFERROR(__xludf.DUMMYFUNCTION("""COMPUTED_VALUE"""),455.0)</f>
        <v>455</v>
      </c>
      <c r="B457" s="8">
        <f>IFERROR(__xludf.DUMMYFUNCTION("""COMPUTED_VALUE"""),33.0)</f>
        <v>33</v>
      </c>
    </row>
    <row r="458">
      <c r="A458" s="8">
        <f>IFERROR(__xludf.DUMMYFUNCTION("""COMPUTED_VALUE"""),456.0)</f>
        <v>456</v>
      </c>
      <c r="B458" s="8">
        <f>IFERROR(__xludf.DUMMYFUNCTION("""COMPUTED_VALUE"""),33.0)</f>
        <v>33</v>
      </c>
    </row>
    <row r="459">
      <c r="A459" s="8">
        <f>IFERROR(__xludf.DUMMYFUNCTION("""COMPUTED_VALUE"""),457.0)</f>
        <v>457</v>
      </c>
      <c r="B459" s="8">
        <f>IFERROR(__xludf.DUMMYFUNCTION("""COMPUTED_VALUE"""),60.0)</f>
        <v>60</v>
      </c>
    </row>
    <row r="460">
      <c r="A460" s="8">
        <f>IFERROR(__xludf.DUMMYFUNCTION("""COMPUTED_VALUE"""),458.0)</f>
        <v>458</v>
      </c>
      <c r="B460" s="8">
        <f>IFERROR(__xludf.DUMMYFUNCTION("""COMPUTED_VALUE"""),44.0)</f>
        <v>44</v>
      </c>
    </row>
    <row r="461">
      <c r="A461" s="8">
        <f>IFERROR(__xludf.DUMMYFUNCTION("""COMPUTED_VALUE"""),459.0)</f>
        <v>459</v>
      </c>
      <c r="B461" s="8">
        <f>IFERROR(__xludf.DUMMYFUNCTION("""COMPUTED_VALUE"""),71.0)</f>
        <v>71</v>
      </c>
    </row>
    <row r="462">
      <c r="A462" s="8">
        <f>IFERROR(__xludf.DUMMYFUNCTION("""COMPUTED_VALUE"""),460.0)</f>
        <v>460</v>
      </c>
      <c r="B462" s="8">
        <f>IFERROR(__xludf.DUMMYFUNCTION("""COMPUTED_VALUE"""),44.0)</f>
        <v>44</v>
      </c>
    </row>
    <row r="463">
      <c r="A463" s="8">
        <f>IFERROR(__xludf.DUMMYFUNCTION("""COMPUTED_VALUE"""),461.0)</f>
        <v>461</v>
      </c>
      <c r="B463" s="8">
        <f>IFERROR(__xludf.DUMMYFUNCTION("""COMPUTED_VALUE"""),52.0)</f>
        <v>52</v>
      </c>
    </row>
    <row r="464">
      <c r="A464" s="8">
        <f>IFERROR(__xludf.DUMMYFUNCTION("""COMPUTED_VALUE"""),462.0)</f>
        <v>462</v>
      </c>
      <c r="B464" s="8">
        <f>IFERROR(__xludf.DUMMYFUNCTION("""COMPUTED_VALUE"""),23.0)</f>
        <v>23</v>
      </c>
    </row>
    <row r="465">
      <c r="A465" s="8">
        <f>IFERROR(__xludf.DUMMYFUNCTION("""COMPUTED_VALUE"""),463.0)</f>
        <v>463</v>
      </c>
      <c r="B465" s="8">
        <f>IFERROR(__xludf.DUMMYFUNCTION("""COMPUTED_VALUE"""),69.0)</f>
        <v>69</v>
      </c>
    </row>
    <row r="466">
      <c r="A466" s="8">
        <f>IFERROR(__xludf.DUMMYFUNCTION("""COMPUTED_VALUE"""),464.0)</f>
        <v>464</v>
      </c>
      <c r="B466" s="8">
        <f>IFERROR(__xludf.DUMMYFUNCTION("""COMPUTED_VALUE"""),48.0)</f>
        <v>48</v>
      </c>
    </row>
    <row r="467">
      <c r="A467" s="8">
        <f>IFERROR(__xludf.DUMMYFUNCTION("""COMPUTED_VALUE"""),465.0)</f>
        <v>465</v>
      </c>
      <c r="B467" s="8">
        <f>IFERROR(__xludf.DUMMYFUNCTION("""COMPUTED_VALUE"""),35.0)</f>
        <v>35</v>
      </c>
    </row>
    <row r="468">
      <c r="A468" s="8">
        <f>IFERROR(__xludf.DUMMYFUNCTION("""COMPUTED_VALUE"""),466.0)</f>
        <v>466</v>
      </c>
      <c r="B468" s="8">
        <f>IFERROR(__xludf.DUMMYFUNCTION("""COMPUTED_VALUE"""),59.0)</f>
        <v>59</v>
      </c>
    </row>
    <row r="469">
      <c r="A469" s="8">
        <f>IFERROR(__xludf.DUMMYFUNCTION("""COMPUTED_VALUE"""),467.0)</f>
        <v>467</v>
      </c>
      <c r="B469" s="8">
        <f>IFERROR(__xludf.DUMMYFUNCTION("""COMPUTED_VALUE"""),61.0)</f>
        <v>61</v>
      </c>
    </row>
    <row r="470">
      <c r="A470" s="8">
        <f>IFERROR(__xludf.DUMMYFUNCTION("""COMPUTED_VALUE"""),468.0)</f>
        <v>468</v>
      </c>
      <c r="B470" s="8">
        <f>IFERROR(__xludf.DUMMYFUNCTION("""COMPUTED_VALUE"""),45.0)</f>
        <v>45</v>
      </c>
    </row>
    <row r="471">
      <c r="A471" s="8">
        <f>IFERROR(__xludf.DUMMYFUNCTION("""COMPUTED_VALUE"""),469.0)</f>
        <v>469</v>
      </c>
      <c r="B471" s="8">
        <f>IFERROR(__xludf.DUMMYFUNCTION("""COMPUTED_VALUE"""),25.0)</f>
        <v>25</v>
      </c>
    </row>
    <row r="472">
      <c r="A472" s="8">
        <f>IFERROR(__xludf.DUMMYFUNCTION("""COMPUTED_VALUE"""),470.0)</f>
        <v>470</v>
      </c>
      <c r="B472" s="8">
        <f>IFERROR(__xludf.DUMMYFUNCTION("""COMPUTED_VALUE"""),33.0)</f>
        <v>33</v>
      </c>
    </row>
    <row r="473">
      <c r="A473" s="8">
        <f>IFERROR(__xludf.DUMMYFUNCTION("""COMPUTED_VALUE"""),471.0)</f>
        <v>471</v>
      </c>
      <c r="B473" s="8">
        <f>IFERROR(__xludf.DUMMYFUNCTION("""COMPUTED_VALUE"""),40.0)</f>
        <v>40</v>
      </c>
    </row>
    <row r="474">
      <c r="A474" s="8">
        <f>IFERROR(__xludf.DUMMYFUNCTION("""COMPUTED_VALUE"""),472.0)</f>
        <v>472</v>
      </c>
      <c r="B474" s="8">
        <f>IFERROR(__xludf.DUMMYFUNCTION("""COMPUTED_VALUE"""),68.0)</f>
        <v>68</v>
      </c>
    </row>
    <row r="475">
      <c r="A475" s="8">
        <f>IFERROR(__xludf.DUMMYFUNCTION("""COMPUTED_VALUE"""),473.0)</f>
        <v>473</v>
      </c>
      <c r="B475" s="8">
        <f>IFERROR(__xludf.DUMMYFUNCTION("""COMPUTED_VALUE"""),30.0)</f>
        <v>30</v>
      </c>
    </row>
    <row r="476">
      <c r="A476" s="8">
        <f>IFERROR(__xludf.DUMMYFUNCTION("""COMPUTED_VALUE"""),474.0)</f>
        <v>474</v>
      </c>
      <c r="B476" s="8">
        <f>IFERROR(__xludf.DUMMYFUNCTION("""COMPUTED_VALUE"""),20.0)</f>
        <v>20</v>
      </c>
    </row>
    <row r="477">
      <c r="A477" s="8">
        <f>IFERROR(__xludf.DUMMYFUNCTION("""COMPUTED_VALUE"""),475.0)</f>
        <v>475</v>
      </c>
      <c r="B477" s="8">
        <f>IFERROR(__xludf.DUMMYFUNCTION("""COMPUTED_VALUE"""),42.0)</f>
        <v>42</v>
      </c>
    </row>
    <row r="478">
      <c r="A478" s="8">
        <f>IFERROR(__xludf.DUMMYFUNCTION("""COMPUTED_VALUE"""),476.0)</f>
        <v>476</v>
      </c>
      <c r="B478" s="8">
        <f>IFERROR(__xludf.DUMMYFUNCTION("""COMPUTED_VALUE"""),52.0)</f>
        <v>52</v>
      </c>
    </row>
    <row r="479">
      <c r="A479" s="8">
        <f>IFERROR(__xludf.DUMMYFUNCTION("""COMPUTED_VALUE"""),477.0)</f>
        <v>477</v>
      </c>
      <c r="B479" s="8">
        <f>IFERROR(__xludf.DUMMYFUNCTION("""COMPUTED_VALUE"""),42.0)</f>
        <v>42</v>
      </c>
    </row>
    <row r="480">
      <c r="A480" s="8">
        <f>IFERROR(__xludf.DUMMYFUNCTION("""COMPUTED_VALUE"""),478.0)</f>
        <v>478</v>
      </c>
      <c r="B480" s="8">
        <f>IFERROR(__xludf.DUMMYFUNCTION("""COMPUTED_VALUE"""),24.0)</f>
        <v>24</v>
      </c>
    </row>
    <row r="481">
      <c r="A481" s="8">
        <f>IFERROR(__xludf.DUMMYFUNCTION("""COMPUTED_VALUE"""),479.0)</f>
        <v>479</v>
      </c>
      <c r="B481" s="8">
        <f>IFERROR(__xludf.DUMMYFUNCTION("""COMPUTED_VALUE"""),43.0)</f>
        <v>43</v>
      </c>
    </row>
    <row r="482">
      <c r="A482" s="8">
        <f>IFERROR(__xludf.DUMMYFUNCTION("""COMPUTED_VALUE"""),480.0)</f>
        <v>480</v>
      </c>
      <c r="B482" s="8">
        <f>IFERROR(__xludf.DUMMYFUNCTION("""COMPUTED_VALUE"""),51.0)</f>
        <v>51</v>
      </c>
    </row>
    <row r="483">
      <c r="A483" s="8">
        <f>IFERROR(__xludf.DUMMYFUNCTION("""COMPUTED_VALUE"""),481.0)</f>
        <v>481</v>
      </c>
      <c r="B483" s="8">
        <f>IFERROR(__xludf.DUMMYFUNCTION("""COMPUTED_VALUE"""),39.0)</f>
        <v>39</v>
      </c>
    </row>
    <row r="484">
      <c r="A484" s="8">
        <f>IFERROR(__xludf.DUMMYFUNCTION("""COMPUTED_VALUE"""),482.0)</f>
        <v>482</v>
      </c>
      <c r="B484" s="8">
        <f>IFERROR(__xludf.DUMMYFUNCTION("""COMPUTED_VALUE"""),39.0)</f>
        <v>39</v>
      </c>
    </row>
    <row r="485">
      <c r="A485" s="8">
        <f>IFERROR(__xludf.DUMMYFUNCTION("""COMPUTED_VALUE"""),483.0)</f>
        <v>483</v>
      </c>
      <c r="B485" s="8">
        <f>IFERROR(__xludf.DUMMYFUNCTION("""COMPUTED_VALUE"""),39.0)</f>
        <v>39</v>
      </c>
    </row>
    <row r="486">
      <c r="A486" s="8">
        <f>IFERROR(__xludf.DUMMYFUNCTION("""COMPUTED_VALUE"""),484.0)</f>
        <v>484</v>
      </c>
      <c r="B486" s="8">
        <f>IFERROR(__xludf.DUMMYFUNCTION("""COMPUTED_VALUE"""),57.0)</f>
        <v>57</v>
      </c>
    </row>
    <row r="487">
      <c r="A487" s="8">
        <f>IFERROR(__xludf.DUMMYFUNCTION("""COMPUTED_VALUE"""),485.0)</f>
        <v>485</v>
      </c>
      <c r="B487" s="8">
        <f>IFERROR(__xludf.DUMMYFUNCTION("""COMPUTED_VALUE"""),35.0)</f>
        <v>35</v>
      </c>
    </row>
    <row r="488">
      <c r="A488" s="8">
        <f>IFERROR(__xludf.DUMMYFUNCTION("""COMPUTED_VALUE"""),486.0)</f>
        <v>486</v>
      </c>
      <c r="B488" s="8">
        <f>IFERROR(__xludf.DUMMYFUNCTION("""COMPUTED_VALUE"""),46.0)</f>
        <v>46</v>
      </c>
    </row>
    <row r="489">
      <c r="A489" s="8">
        <f>IFERROR(__xludf.DUMMYFUNCTION("""COMPUTED_VALUE"""),487.0)</f>
        <v>487</v>
      </c>
      <c r="B489" s="8">
        <f>IFERROR(__xludf.DUMMYFUNCTION("""COMPUTED_VALUE"""),51.0)</f>
        <v>51</v>
      </c>
    </row>
    <row r="490">
      <c r="A490" s="8">
        <f>IFERROR(__xludf.DUMMYFUNCTION("""COMPUTED_VALUE"""),488.0)</f>
        <v>488</v>
      </c>
      <c r="B490" s="8">
        <f>IFERROR(__xludf.DUMMYFUNCTION("""COMPUTED_VALUE"""),39.0)</f>
        <v>39</v>
      </c>
    </row>
    <row r="491">
      <c r="A491" s="8">
        <f>IFERROR(__xludf.DUMMYFUNCTION("""COMPUTED_VALUE"""),489.0)</f>
        <v>489</v>
      </c>
      <c r="B491" s="8">
        <f>IFERROR(__xludf.DUMMYFUNCTION("""COMPUTED_VALUE"""),55.0)</f>
        <v>55</v>
      </c>
    </row>
    <row r="492">
      <c r="A492" s="8">
        <f>IFERROR(__xludf.DUMMYFUNCTION("""COMPUTED_VALUE"""),490.0)</f>
        <v>490</v>
      </c>
      <c r="B492" s="8">
        <f>IFERROR(__xludf.DUMMYFUNCTION("""COMPUTED_VALUE"""),42.0)</f>
        <v>42</v>
      </c>
    </row>
    <row r="493">
      <c r="A493" s="8">
        <f>IFERROR(__xludf.DUMMYFUNCTION("""COMPUTED_VALUE"""),491.0)</f>
        <v>491</v>
      </c>
      <c r="B493" s="8">
        <f>IFERROR(__xludf.DUMMYFUNCTION("""COMPUTED_VALUE"""),40.0)</f>
        <v>40</v>
      </c>
    </row>
    <row r="494">
      <c r="A494" s="8">
        <f>IFERROR(__xludf.DUMMYFUNCTION("""COMPUTED_VALUE"""),492.0)</f>
        <v>492</v>
      </c>
      <c r="B494" s="8">
        <f>IFERROR(__xludf.DUMMYFUNCTION("""COMPUTED_VALUE"""),31.0)</f>
        <v>31</v>
      </c>
    </row>
    <row r="495">
      <c r="A495" s="8">
        <f>IFERROR(__xludf.DUMMYFUNCTION("""COMPUTED_VALUE"""),493.0)</f>
        <v>493</v>
      </c>
      <c r="B495" s="8">
        <f>IFERROR(__xludf.DUMMYFUNCTION("""COMPUTED_VALUE"""),39.0)</f>
        <v>39</v>
      </c>
    </row>
    <row r="496">
      <c r="A496" s="8">
        <f>IFERROR(__xludf.DUMMYFUNCTION("""COMPUTED_VALUE"""),494.0)</f>
        <v>494</v>
      </c>
      <c r="B496" s="8">
        <f>IFERROR(__xludf.DUMMYFUNCTION("""COMPUTED_VALUE"""),59.0)</f>
        <v>59</v>
      </c>
    </row>
    <row r="497">
      <c r="A497" s="8">
        <f>IFERROR(__xludf.DUMMYFUNCTION("""COMPUTED_VALUE"""),495.0)</f>
        <v>495</v>
      </c>
      <c r="B497" s="8">
        <f>IFERROR(__xludf.DUMMYFUNCTION("""COMPUTED_VALUE"""),53.0)</f>
        <v>53</v>
      </c>
    </row>
    <row r="498">
      <c r="A498" s="8">
        <f>IFERROR(__xludf.DUMMYFUNCTION("""COMPUTED_VALUE"""),496.0)</f>
        <v>496</v>
      </c>
      <c r="B498" s="8">
        <f>IFERROR(__xludf.DUMMYFUNCTION("""COMPUTED_VALUE"""),41.0)</f>
        <v>41</v>
      </c>
    </row>
    <row r="499">
      <c r="A499" s="8">
        <f>IFERROR(__xludf.DUMMYFUNCTION("""COMPUTED_VALUE"""),497.0)</f>
        <v>497</v>
      </c>
      <c r="B499" s="8">
        <f>IFERROR(__xludf.DUMMYFUNCTION("""COMPUTED_VALUE"""),49.0)</f>
        <v>49</v>
      </c>
    </row>
    <row r="500">
      <c r="A500" s="8">
        <f>IFERROR(__xludf.DUMMYFUNCTION("""COMPUTED_VALUE"""),498.0)</f>
        <v>498</v>
      </c>
      <c r="B500" s="8">
        <f>IFERROR(__xludf.DUMMYFUNCTION("""COMPUTED_VALUE"""),33.0)</f>
        <v>33</v>
      </c>
    </row>
    <row r="501">
      <c r="A501" s="8">
        <f>IFERROR(__xludf.DUMMYFUNCTION("""COMPUTED_VALUE"""),499.0)</f>
        <v>499</v>
      </c>
      <c r="B501" s="8">
        <f>IFERROR(__xludf.DUMMYFUNCTION("""COMPUTED_VALUE"""),36.0)</f>
        <v>36</v>
      </c>
    </row>
    <row r="502">
      <c r="A502" s="8">
        <f>IFERROR(__xludf.DUMMYFUNCTION("""COMPUTED_VALUE"""),500.0)</f>
        <v>500</v>
      </c>
      <c r="B502" s="8">
        <f>IFERROR(__xludf.DUMMYFUNCTION("""COMPUTED_VALUE"""),29.0)</f>
        <v>29</v>
      </c>
    </row>
    <row r="503">
      <c r="A503" s="8">
        <f>IFERROR(__xludf.DUMMYFUNCTION("""COMPUTED_VALUE"""),501.0)</f>
        <v>501</v>
      </c>
      <c r="B503" s="8">
        <f>IFERROR(__xludf.DUMMYFUNCTION("""COMPUTED_VALUE"""),49.0)</f>
        <v>49</v>
      </c>
    </row>
    <row r="504">
      <c r="A504" s="8">
        <f>IFERROR(__xludf.DUMMYFUNCTION("""COMPUTED_VALUE"""),502.0)</f>
        <v>502</v>
      </c>
      <c r="B504" s="8">
        <f>IFERROR(__xludf.DUMMYFUNCTION("""COMPUTED_VALUE"""),39.0)</f>
        <v>39</v>
      </c>
    </row>
    <row r="505">
      <c r="A505" s="8">
        <f>IFERROR(__xludf.DUMMYFUNCTION("""COMPUTED_VALUE"""),503.0)</f>
        <v>503</v>
      </c>
      <c r="B505" s="8">
        <f>IFERROR(__xludf.DUMMYFUNCTION("""COMPUTED_VALUE"""),40.0)</f>
        <v>40</v>
      </c>
    </row>
    <row r="506">
      <c r="A506" s="8">
        <f>IFERROR(__xludf.DUMMYFUNCTION("""COMPUTED_VALUE"""),504.0)</f>
        <v>504</v>
      </c>
      <c r="B506" s="8">
        <f>IFERROR(__xludf.DUMMYFUNCTION("""COMPUTED_VALUE"""),57.0)</f>
        <v>57</v>
      </c>
    </row>
    <row r="507">
      <c r="A507" s="8">
        <f>IFERROR(__xludf.DUMMYFUNCTION("""COMPUTED_VALUE"""),505.0)</f>
        <v>505</v>
      </c>
      <c r="B507" s="8">
        <f>IFERROR(__xludf.DUMMYFUNCTION("""COMPUTED_VALUE"""),56.0)</f>
        <v>56</v>
      </c>
    </row>
    <row r="508">
      <c r="A508" s="8">
        <f>IFERROR(__xludf.DUMMYFUNCTION("""COMPUTED_VALUE"""),506.0)</f>
        <v>506</v>
      </c>
      <c r="B508" s="8">
        <f>IFERROR(__xludf.DUMMYFUNCTION("""COMPUTED_VALUE"""),51.0)</f>
        <v>51</v>
      </c>
    </row>
    <row r="509">
      <c r="A509" s="8">
        <f>IFERROR(__xludf.DUMMYFUNCTION("""COMPUTED_VALUE"""),507.0)</f>
        <v>507</v>
      </c>
      <c r="B509" s="8">
        <f>IFERROR(__xludf.DUMMYFUNCTION("""COMPUTED_VALUE"""),58.0)</f>
        <v>58</v>
      </c>
    </row>
    <row r="510">
      <c r="A510" s="8">
        <f>IFERROR(__xludf.DUMMYFUNCTION("""COMPUTED_VALUE"""),508.0)</f>
        <v>508</v>
      </c>
      <c r="B510" s="8">
        <f>IFERROR(__xludf.DUMMYFUNCTION("""COMPUTED_VALUE"""),67.0)</f>
        <v>67</v>
      </c>
    </row>
    <row r="511">
      <c r="A511" s="8">
        <f>IFERROR(__xludf.DUMMYFUNCTION("""COMPUTED_VALUE"""),509.0)</f>
        <v>509</v>
      </c>
      <c r="B511" s="8">
        <f>IFERROR(__xludf.DUMMYFUNCTION("""COMPUTED_VALUE"""),36.0)</f>
        <v>36</v>
      </c>
    </row>
    <row r="512">
      <c r="A512" s="8">
        <f>IFERROR(__xludf.DUMMYFUNCTION("""COMPUTED_VALUE"""),510.0)</f>
        <v>510</v>
      </c>
      <c r="B512" s="8">
        <f>IFERROR(__xludf.DUMMYFUNCTION("""COMPUTED_VALUE"""),27.0)</f>
        <v>27</v>
      </c>
    </row>
    <row r="513">
      <c r="A513" s="8">
        <f>IFERROR(__xludf.DUMMYFUNCTION("""COMPUTED_VALUE"""),511.0)</f>
        <v>511</v>
      </c>
      <c r="B513" s="8">
        <f>IFERROR(__xludf.DUMMYFUNCTION("""COMPUTED_VALUE"""),60.0)</f>
        <v>60</v>
      </c>
    </row>
    <row r="514">
      <c r="A514" s="8">
        <f>IFERROR(__xludf.DUMMYFUNCTION("""COMPUTED_VALUE"""),512.0)</f>
        <v>512</v>
      </c>
      <c r="B514" s="8">
        <f>IFERROR(__xludf.DUMMYFUNCTION("""COMPUTED_VALUE"""),49.0)</f>
        <v>49</v>
      </c>
    </row>
    <row r="515">
      <c r="A515" s="8">
        <f>IFERROR(__xludf.DUMMYFUNCTION("""COMPUTED_VALUE"""),513.0)</f>
        <v>513</v>
      </c>
      <c r="B515" s="8">
        <f>IFERROR(__xludf.DUMMYFUNCTION("""COMPUTED_VALUE"""),49.0)</f>
        <v>49</v>
      </c>
    </row>
    <row r="516">
      <c r="A516" s="8">
        <f>IFERROR(__xludf.DUMMYFUNCTION("""COMPUTED_VALUE"""),514.0)</f>
        <v>514</v>
      </c>
      <c r="B516" s="8">
        <f>IFERROR(__xludf.DUMMYFUNCTION("""COMPUTED_VALUE"""),35.0)</f>
        <v>35</v>
      </c>
    </row>
    <row r="517">
      <c r="A517" s="8">
        <f>IFERROR(__xludf.DUMMYFUNCTION("""COMPUTED_VALUE"""),515.0)</f>
        <v>515</v>
      </c>
      <c r="B517" s="8">
        <f>IFERROR(__xludf.DUMMYFUNCTION("""COMPUTED_VALUE"""),60.0)</f>
        <v>60</v>
      </c>
    </row>
    <row r="518">
      <c r="A518" s="8">
        <f>IFERROR(__xludf.DUMMYFUNCTION("""COMPUTED_VALUE"""),516.0)</f>
        <v>516</v>
      </c>
      <c r="B518" s="8">
        <f>IFERROR(__xludf.DUMMYFUNCTION("""COMPUTED_VALUE"""),53.0)</f>
        <v>53</v>
      </c>
    </row>
    <row r="519">
      <c r="A519" s="8">
        <f>IFERROR(__xludf.DUMMYFUNCTION("""COMPUTED_VALUE"""),517.0)</f>
        <v>517</v>
      </c>
      <c r="B519" s="8">
        <f>IFERROR(__xludf.DUMMYFUNCTION("""COMPUTED_VALUE"""),38.0)</f>
        <v>38</v>
      </c>
    </row>
    <row r="520">
      <c r="A520" s="8">
        <f>IFERROR(__xludf.DUMMYFUNCTION("""COMPUTED_VALUE"""),518.0)</f>
        <v>518</v>
      </c>
      <c r="B520" s="8">
        <f>IFERROR(__xludf.DUMMYFUNCTION("""COMPUTED_VALUE"""),48.0)</f>
        <v>48</v>
      </c>
    </row>
    <row r="521">
      <c r="A521" s="8">
        <f>IFERROR(__xludf.DUMMYFUNCTION("""COMPUTED_VALUE"""),519.0)</f>
        <v>519</v>
      </c>
      <c r="B521" s="8">
        <f>IFERROR(__xludf.DUMMYFUNCTION("""COMPUTED_VALUE"""),37.0)</f>
        <v>37</v>
      </c>
    </row>
    <row r="522">
      <c r="A522" s="8">
        <f>IFERROR(__xludf.DUMMYFUNCTION("""COMPUTED_VALUE"""),520.0)</f>
        <v>520</v>
      </c>
      <c r="B522" s="8">
        <f>IFERROR(__xludf.DUMMYFUNCTION("""COMPUTED_VALUE"""),42.0)</f>
        <v>42</v>
      </c>
    </row>
    <row r="523">
      <c r="A523" s="8">
        <f>IFERROR(__xludf.DUMMYFUNCTION("""COMPUTED_VALUE"""),521.0)</f>
        <v>521</v>
      </c>
      <c r="B523" s="8">
        <f>IFERROR(__xludf.DUMMYFUNCTION("""COMPUTED_VALUE"""),50.0)</f>
        <v>50</v>
      </c>
    </row>
    <row r="524">
      <c r="A524" s="8">
        <f>IFERROR(__xludf.DUMMYFUNCTION("""COMPUTED_VALUE"""),522.0)</f>
        <v>522</v>
      </c>
      <c r="B524" s="8">
        <f>IFERROR(__xludf.DUMMYFUNCTION("""COMPUTED_VALUE"""),41.0)</f>
        <v>41</v>
      </c>
    </row>
    <row r="525">
      <c r="A525" s="8">
        <f>IFERROR(__xludf.DUMMYFUNCTION("""COMPUTED_VALUE"""),523.0)</f>
        <v>523</v>
      </c>
      <c r="B525" s="8">
        <f>IFERROR(__xludf.DUMMYFUNCTION("""COMPUTED_VALUE"""),39.0)</f>
        <v>39</v>
      </c>
    </row>
    <row r="526">
      <c r="A526" s="8">
        <f>IFERROR(__xludf.DUMMYFUNCTION("""COMPUTED_VALUE"""),524.0)</f>
        <v>524</v>
      </c>
      <c r="B526" s="8">
        <f>IFERROR(__xludf.DUMMYFUNCTION("""COMPUTED_VALUE"""),26.0)</f>
        <v>26</v>
      </c>
    </row>
    <row r="527">
      <c r="A527" s="8">
        <f>IFERROR(__xludf.DUMMYFUNCTION("""COMPUTED_VALUE"""),525.0)</f>
        <v>525</v>
      </c>
      <c r="B527" s="8">
        <f>IFERROR(__xludf.DUMMYFUNCTION("""COMPUTED_VALUE"""),25.0)</f>
        <v>25</v>
      </c>
    </row>
    <row r="528">
      <c r="A528" s="8">
        <f>IFERROR(__xludf.DUMMYFUNCTION("""COMPUTED_VALUE"""),526.0)</f>
        <v>526</v>
      </c>
      <c r="B528" s="8">
        <f>IFERROR(__xludf.DUMMYFUNCTION("""COMPUTED_VALUE"""),34.0)</f>
        <v>34</v>
      </c>
    </row>
    <row r="529">
      <c r="A529" s="8">
        <f>IFERROR(__xludf.DUMMYFUNCTION("""COMPUTED_VALUE"""),527.0)</f>
        <v>527</v>
      </c>
      <c r="B529" s="8">
        <f>IFERROR(__xludf.DUMMYFUNCTION("""COMPUTED_VALUE"""),25.0)</f>
        <v>25</v>
      </c>
    </row>
    <row r="530">
      <c r="A530" s="8">
        <f>IFERROR(__xludf.DUMMYFUNCTION("""COMPUTED_VALUE"""),528.0)</f>
        <v>528</v>
      </c>
      <c r="B530" s="8">
        <f>IFERROR(__xludf.DUMMYFUNCTION("""COMPUTED_VALUE"""),31.0)</f>
        <v>31</v>
      </c>
    </row>
    <row r="531">
      <c r="A531" s="8">
        <f>IFERROR(__xludf.DUMMYFUNCTION("""COMPUTED_VALUE"""),529.0)</f>
        <v>529</v>
      </c>
      <c r="B531" s="8">
        <f>IFERROR(__xludf.DUMMYFUNCTION("""COMPUTED_VALUE"""),47.0)</f>
        <v>47</v>
      </c>
    </row>
    <row r="532">
      <c r="A532" s="8">
        <f>IFERROR(__xludf.DUMMYFUNCTION("""COMPUTED_VALUE"""),530.0)</f>
        <v>530</v>
      </c>
      <c r="B532" s="8">
        <f>IFERROR(__xludf.DUMMYFUNCTION("""COMPUTED_VALUE"""),61.0)</f>
        <v>61</v>
      </c>
    </row>
    <row r="533">
      <c r="A533" s="8">
        <f>IFERROR(__xludf.DUMMYFUNCTION("""COMPUTED_VALUE"""),531.0)</f>
        <v>531</v>
      </c>
      <c r="B533" s="8">
        <f>IFERROR(__xludf.DUMMYFUNCTION("""COMPUTED_VALUE"""),52.0)</f>
        <v>52</v>
      </c>
    </row>
    <row r="534">
      <c r="A534" s="8">
        <f>IFERROR(__xludf.DUMMYFUNCTION("""COMPUTED_VALUE"""),532.0)</f>
        <v>532</v>
      </c>
      <c r="B534" s="8">
        <f>IFERROR(__xludf.DUMMYFUNCTION("""COMPUTED_VALUE"""),56.0)</f>
        <v>56</v>
      </c>
    </row>
    <row r="535">
      <c r="A535" s="8">
        <f>IFERROR(__xludf.DUMMYFUNCTION("""COMPUTED_VALUE"""),533.0)</f>
        <v>533</v>
      </c>
      <c r="B535" s="8">
        <f>IFERROR(__xludf.DUMMYFUNCTION("""COMPUTED_VALUE"""),68.0)</f>
        <v>68</v>
      </c>
    </row>
    <row r="536">
      <c r="A536" s="8">
        <f>IFERROR(__xludf.DUMMYFUNCTION("""COMPUTED_VALUE"""),534.0)</f>
        <v>534</v>
      </c>
      <c r="B536" s="8">
        <f>IFERROR(__xludf.DUMMYFUNCTION("""COMPUTED_VALUE"""),39.0)</f>
        <v>39</v>
      </c>
    </row>
    <row r="537">
      <c r="A537" s="8">
        <f>IFERROR(__xludf.DUMMYFUNCTION("""COMPUTED_VALUE"""),535.0)</f>
        <v>535</v>
      </c>
      <c r="B537" s="8">
        <f>IFERROR(__xludf.DUMMYFUNCTION("""COMPUTED_VALUE"""),40.0)</f>
        <v>40</v>
      </c>
    </row>
    <row r="538">
      <c r="A538" s="8">
        <f>IFERROR(__xludf.DUMMYFUNCTION("""COMPUTED_VALUE"""),536.0)</f>
        <v>536</v>
      </c>
      <c r="B538" s="8">
        <f>IFERROR(__xludf.DUMMYFUNCTION("""COMPUTED_VALUE"""),53.0)</f>
        <v>53</v>
      </c>
    </row>
    <row r="539">
      <c r="A539" s="8">
        <f>IFERROR(__xludf.DUMMYFUNCTION("""COMPUTED_VALUE"""),537.0)</f>
        <v>537</v>
      </c>
      <c r="B539" s="8">
        <f>IFERROR(__xludf.DUMMYFUNCTION("""COMPUTED_VALUE"""),45.0)</f>
        <v>45</v>
      </c>
    </row>
    <row r="540">
      <c r="A540" s="8">
        <f>IFERROR(__xludf.DUMMYFUNCTION("""COMPUTED_VALUE"""),538.0)</f>
        <v>538</v>
      </c>
      <c r="B540" s="8">
        <f>IFERROR(__xludf.DUMMYFUNCTION("""COMPUTED_VALUE"""),28.0)</f>
        <v>28</v>
      </c>
    </row>
    <row r="541">
      <c r="A541" s="8">
        <f>IFERROR(__xludf.DUMMYFUNCTION("""COMPUTED_VALUE"""),539.0)</f>
        <v>539</v>
      </c>
      <c r="B541" s="8">
        <f>IFERROR(__xludf.DUMMYFUNCTION("""COMPUTED_VALUE"""),33.0)</f>
        <v>33</v>
      </c>
    </row>
    <row r="542">
      <c r="A542" s="8">
        <f>IFERROR(__xludf.DUMMYFUNCTION("""COMPUTED_VALUE"""),540.0)</f>
        <v>540</v>
      </c>
      <c r="B542" s="8">
        <f>IFERROR(__xludf.DUMMYFUNCTION("""COMPUTED_VALUE"""),71.0)</f>
        <v>71</v>
      </c>
    </row>
    <row r="543">
      <c r="A543" s="8">
        <f>IFERROR(__xludf.DUMMYFUNCTION("""COMPUTED_VALUE"""),541.0)</f>
        <v>541</v>
      </c>
      <c r="B543" s="8">
        <f>IFERROR(__xludf.DUMMYFUNCTION("""COMPUTED_VALUE"""),46.0)</f>
        <v>46</v>
      </c>
    </row>
    <row r="544">
      <c r="A544" s="8">
        <f>IFERROR(__xludf.DUMMYFUNCTION("""COMPUTED_VALUE"""),542.0)</f>
        <v>542</v>
      </c>
      <c r="B544" s="8">
        <f>IFERROR(__xludf.DUMMYFUNCTION("""COMPUTED_VALUE"""),56.0)</f>
        <v>56</v>
      </c>
    </row>
    <row r="545">
      <c r="A545" s="8">
        <f>IFERROR(__xludf.DUMMYFUNCTION("""COMPUTED_VALUE"""),543.0)</f>
        <v>543</v>
      </c>
      <c r="B545" s="8">
        <f>IFERROR(__xludf.DUMMYFUNCTION("""COMPUTED_VALUE"""),36.0)</f>
        <v>36</v>
      </c>
    </row>
    <row r="546">
      <c r="A546" s="8">
        <f>IFERROR(__xludf.DUMMYFUNCTION("""COMPUTED_VALUE"""),544.0)</f>
        <v>544</v>
      </c>
      <c r="B546" s="8">
        <f>IFERROR(__xludf.DUMMYFUNCTION("""COMPUTED_VALUE"""),35.0)</f>
        <v>35</v>
      </c>
    </row>
    <row r="547">
      <c r="A547" s="8">
        <f>IFERROR(__xludf.DUMMYFUNCTION("""COMPUTED_VALUE"""),545.0)</f>
        <v>545</v>
      </c>
      <c r="B547" s="8">
        <f>IFERROR(__xludf.DUMMYFUNCTION("""COMPUTED_VALUE"""),58.0)</f>
        <v>58</v>
      </c>
    </row>
    <row r="548">
      <c r="A548" s="8">
        <f>IFERROR(__xludf.DUMMYFUNCTION("""COMPUTED_VALUE"""),546.0)</f>
        <v>546</v>
      </c>
      <c r="B548" s="8">
        <f>IFERROR(__xludf.DUMMYFUNCTION("""COMPUTED_VALUE"""),53.0)</f>
        <v>53</v>
      </c>
    </row>
    <row r="549">
      <c r="A549" s="8">
        <f>IFERROR(__xludf.DUMMYFUNCTION("""COMPUTED_VALUE"""),547.0)</f>
        <v>547</v>
      </c>
      <c r="B549" s="8">
        <f>IFERROR(__xludf.DUMMYFUNCTION("""COMPUTED_VALUE"""),64.0)</f>
        <v>64</v>
      </c>
    </row>
    <row r="550">
      <c r="A550" s="8">
        <f>IFERROR(__xludf.DUMMYFUNCTION("""COMPUTED_VALUE"""),548.0)</f>
        <v>548</v>
      </c>
      <c r="B550" s="8">
        <f>IFERROR(__xludf.DUMMYFUNCTION("""COMPUTED_VALUE"""),45.0)</f>
        <v>45</v>
      </c>
    </row>
    <row r="551">
      <c r="A551" s="8">
        <f>IFERROR(__xludf.DUMMYFUNCTION("""COMPUTED_VALUE"""),549.0)</f>
        <v>549</v>
      </c>
      <c r="B551" s="8">
        <f>IFERROR(__xludf.DUMMYFUNCTION("""COMPUTED_VALUE"""),44.0)</f>
        <v>44</v>
      </c>
    </row>
    <row r="552">
      <c r="A552" s="8">
        <f>IFERROR(__xludf.DUMMYFUNCTION("""COMPUTED_VALUE"""),550.0)</f>
        <v>550</v>
      </c>
      <c r="B552" s="8">
        <f>IFERROR(__xludf.DUMMYFUNCTION("""COMPUTED_VALUE"""),52.0)</f>
        <v>52</v>
      </c>
    </row>
    <row r="553">
      <c r="A553" s="8">
        <f>IFERROR(__xludf.DUMMYFUNCTION("""COMPUTED_VALUE"""),551.0)</f>
        <v>551</v>
      </c>
      <c r="B553" s="8">
        <f>IFERROR(__xludf.DUMMYFUNCTION("""COMPUTED_VALUE"""),49.0)</f>
        <v>49</v>
      </c>
    </row>
    <row r="554">
      <c r="A554" s="8">
        <f>IFERROR(__xludf.DUMMYFUNCTION("""COMPUTED_VALUE"""),552.0)</f>
        <v>552</v>
      </c>
      <c r="B554" s="8">
        <f>IFERROR(__xludf.DUMMYFUNCTION("""COMPUTED_VALUE"""),52.0)</f>
        <v>52</v>
      </c>
    </row>
    <row r="555">
      <c r="A555" s="8">
        <f>IFERROR(__xludf.DUMMYFUNCTION("""COMPUTED_VALUE"""),553.0)</f>
        <v>553</v>
      </c>
      <c r="B555" s="8">
        <f>IFERROR(__xludf.DUMMYFUNCTION("""COMPUTED_VALUE"""),56.0)</f>
        <v>56</v>
      </c>
    </row>
    <row r="556">
      <c r="A556" s="8">
        <f>IFERROR(__xludf.DUMMYFUNCTION("""COMPUTED_VALUE"""),554.0)</f>
        <v>554</v>
      </c>
      <c r="B556" s="8">
        <f>IFERROR(__xludf.DUMMYFUNCTION("""COMPUTED_VALUE"""),45.0)</f>
        <v>45</v>
      </c>
    </row>
    <row r="557">
      <c r="A557" s="8">
        <f>IFERROR(__xludf.DUMMYFUNCTION("""COMPUTED_VALUE"""),555.0)</f>
        <v>555</v>
      </c>
      <c r="B557" s="8">
        <f>IFERROR(__xludf.DUMMYFUNCTION("""COMPUTED_VALUE"""),35.0)</f>
        <v>35</v>
      </c>
    </row>
    <row r="558">
      <c r="A558" s="8">
        <f>IFERROR(__xludf.DUMMYFUNCTION("""COMPUTED_VALUE"""),556.0)</f>
        <v>556</v>
      </c>
      <c r="B558" s="8">
        <f>IFERROR(__xludf.DUMMYFUNCTION("""COMPUTED_VALUE"""),38.0)</f>
        <v>38</v>
      </c>
    </row>
    <row r="559">
      <c r="A559" s="8">
        <f>IFERROR(__xludf.DUMMYFUNCTION("""COMPUTED_VALUE"""),557.0)</f>
        <v>557</v>
      </c>
      <c r="B559" s="8">
        <f>IFERROR(__xludf.DUMMYFUNCTION("""COMPUTED_VALUE"""),32.0)</f>
        <v>32</v>
      </c>
    </row>
    <row r="560">
      <c r="A560" s="8">
        <f>IFERROR(__xludf.DUMMYFUNCTION("""COMPUTED_VALUE"""),558.0)</f>
        <v>558</v>
      </c>
      <c r="B560" s="8">
        <f>IFERROR(__xludf.DUMMYFUNCTION("""COMPUTED_VALUE"""),39.0)</f>
        <v>39</v>
      </c>
    </row>
    <row r="561">
      <c r="A561" s="8">
        <f>IFERROR(__xludf.DUMMYFUNCTION("""COMPUTED_VALUE"""),559.0)</f>
        <v>559</v>
      </c>
      <c r="B561" s="8">
        <f>IFERROR(__xludf.DUMMYFUNCTION("""COMPUTED_VALUE"""),32.0)</f>
        <v>32</v>
      </c>
    </row>
    <row r="562">
      <c r="A562" s="8">
        <f>IFERROR(__xludf.DUMMYFUNCTION("""COMPUTED_VALUE"""),560.0)</f>
        <v>560</v>
      </c>
      <c r="B562" s="8">
        <f>IFERROR(__xludf.DUMMYFUNCTION("""COMPUTED_VALUE"""),35.0)</f>
        <v>35</v>
      </c>
    </row>
    <row r="563">
      <c r="A563" s="8">
        <f>IFERROR(__xludf.DUMMYFUNCTION("""COMPUTED_VALUE"""),561.0)</f>
        <v>561</v>
      </c>
      <c r="B563" s="8">
        <f>IFERROR(__xludf.DUMMYFUNCTION("""COMPUTED_VALUE"""),34.0)</f>
        <v>34</v>
      </c>
    </row>
    <row r="564">
      <c r="A564" s="8">
        <f>IFERROR(__xludf.DUMMYFUNCTION("""COMPUTED_VALUE"""),562.0)</f>
        <v>562</v>
      </c>
      <c r="B564" s="8">
        <f>IFERROR(__xludf.DUMMYFUNCTION("""COMPUTED_VALUE"""),48.0)</f>
        <v>48</v>
      </c>
    </row>
    <row r="565">
      <c r="A565" s="8">
        <f>IFERROR(__xludf.DUMMYFUNCTION("""COMPUTED_VALUE"""),563.0)</f>
        <v>563</v>
      </c>
      <c r="B565" s="8">
        <f>IFERROR(__xludf.DUMMYFUNCTION("""COMPUTED_VALUE"""),36.0)</f>
        <v>36</v>
      </c>
    </row>
    <row r="566">
      <c r="A566" s="8">
        <f>IFERROR(__xludf.DUMMYFUNCTION("""COMPUTED_VALUE"""),564.0)</f>
        <v>564</v>
      </c>
      <c r="B566" s="8">
        <f>IFERROR(__xludf.DUMMYFUNCTION("""COMPUTED_VALUE"""),40.0)</f>
        <v>40</v>
      </c>
    </row>
    <row r="567">
      <c r="A567" s="8">
        <f>IFERROR(__xludf.DUMMYFUNCTION("""COMPUTED_VALUE"""),565.0)</f>
        <v>565</v>
      </c>
      <c r="B567" s="8">
        <f>IFERROR(__xludf.DUMMYFUNCTION("""COMPUTED_VALUE"""),47.0)</f>
        <v>47</v>
      </c>
    </row>
    <row r="568">
      <c r="A568" s="8">
        <f>IFERROR(__xludf.DUMMYFUNCTION("""COMPUTED_VALUE"""),566.0)</f>
        <v>566</v>
      </c>
      <c r="B568" s="8">
        <f>IFERROR(__xludf.DUMMYFUNCTION("""COMPUTED_VALUE"""),41.0)</f>
        <v>41</v>
      </c>
    </row>
    <row r="569">
      <c r="A569" s="8">
        <f>IFERROR(__xludf.DUMMYFUNCTION("""COMPUTED_VALUE"""),567.0)</f>
        <v>567</v>
      </c>
      <c r="B569" s="8">
        <f>IFERROR(__xludf.DUMMYFUNCTION("""COMPUTED_VALUE"""),33.0)</f>
        <v>33</v>
      </c>
    </row>
    <row r="570">
      <c r="A570" s="8">
        <f>IFERROR(__xludf.DUMMYFUNCTION("""COMPUTED_VALUE"""),568.0)</f>
        <v>568</v>
      </c>
      <c r="B570" s="8">
        <f>IFERROR(__xludf.DUMMYFUNCTION("""COMPUTED_VALUE"""),33.0)</f>
        <v>33</v>
      </c>
    </row>
    <row r="571">
      <c r="A571" s="8">
        <f>IFERROR(__xludf.DUMMYFUNCTION("""COMPUTED_VALUE"""),569.0)</f>
        <v>569</v>
      </c>
      <c r="B571" s="8">
        <f>IFERROR(__xludf.DUMMYFUNCTION("""COMPUTED_VALUE"""),39.0)</f>
        <v>39</v>
      </c>
    </row>
    <row r="572">
      <c r="A572" s="8">
        <f>IFERROR(__xludf.DUMMYFUNCTION("""COMPUTED_VALUE"""),570.0)</f>
        <v>570</v>
      </c>
      <c r="B572" s="8">
        <f>IFERROR(__xludf.DUMMYFUNCTION("""COMPUTED_VALUE"""),54.0)</f>
        <v>54</v>
      </c>
    </row>
    <row r="573">
      <c r="A573" s="8">
        <f>IFERROR(__xludf.DUMMYFUNCTION("""COMPUTED_VALUE"""),571.0)</f>
        <v>571</v>
      </c>
      <c r="B573" s="8">
        <f>IFERROR(__xludf.DUMMYFUNCTION("""COMPUTED_VALUE"""),44.0)</f>
        <v>44</v>
      </c>
    </row>
    <row r="574">
      <c r="A574" s="8">
        <f>IFERROR(__xludf.DUMMYFUNCTION("""COMPUTED_VALUE"""),572.0)</f>
        <v>572</v>
      </c>
      <c r="B574" s="8">
        <f>IFERROR(__xludf.DUMMYFUNCTION("""COMPUTED_VALUE"""),39.0)</f>
        <v>39</v>
      </c>
    </row>
    <row r="575">
      <c r="A575" s="8">
        <f>IFERROR(__xludf.DUMMYFUNCTION("""COMPUTED_VALUE"""),573.0)</f>
        <v>573</v>
      </c>
      <c r="B575" s="8">
        <f>IFERROR(__xludf.DUMMYFUNCTION("""COMPUTED_VALUE"""),24.0)</f>
        <v>24</v>
      </c>
    </row>
    <row r="576">
      <c r="A576" s="8">
        <f>IFERROR(__xludf.DUMMYFUNCTION("""COMPUTED_VALUE"""),574.0)</f>
        <v>574</v>
      </c>
      <c r="B576" s="8">
        <f>IFERROR(__xludf.DUMMYFUNCTION("""COMPUTED_VALUE"""),65.0)</f>
        <v>65</v>
      </c>
    </row>
    <row r="577">
      <c r="A577" s="8">
        <f>IFERROR(__xludf.DUMMYFUNCTION("""COMPUTED_VALUE"""),575.0)</f>
        <v>575</v>
      </c>
      <c r="B577" s="8">
        <f>IFERROR(__xludf.DUMMYFUNCTION("""COMPUTED_VALUE"""),64.0)</f>
        <v>64</v>
      </c>
    </row>
    <row r="578">
      <c r="A578" s="8">
        <f>IFERROR(__xludf.DUMMYFUNCTION("""COMPUTED_VALUE"""),576.0)</f>
        <v>576</v>
      </c>
      <c r="B578" s="8">
        <f>IFERROR(__xludf.DUMMYFUNCTION("""COMPUTED_VALUE"""),40.0)</f>
        <v>40</v>
      </c>
    </row>
    <row r="579">
      <c r="A579" s="8">
        <f>IFERROR(__xludf.DUMMYFUNCTION("""COMPUTED_VALUE"""),577.0)</f>
        <v>577</v>
      </c>
      <c r="B579" s="8">
        <f>IFERROR(__xludf.DUMMYFUNCTION("""COMPUTED_VALUE"""),39.0)</f>
        <v>39</v>
      </c>
    </row>
    <row r="580">
      <c r="A580" s="8">
        <f>IFERROR(__xludf.DUMMYFUNCTION("""COMPUTED_VALUE"""),578.0)</f>
        <v>578</v>
      </c>
      <c r="B580" s="8">
        <f>IFERROR(__xludf.DUMMYFUNCTION("""COMPUTED_VALUE"""),42.0)</f>
        <v>42</v>
      </c>
    </row>
    <row r="581">
      <c r="A581" s="8">
        <f>IFERROR(__xludf.DUMMYFUNCTION("""COMPUTED_VALUE"""),579.0)</f>
        <v>579</v>
      </c>
      <c r="B581" s="8">
        <f>IFERROR(__xludf.DUMMYFUNCTION("""COMPUTED_VALUE"""),34.0)</f>
        <v>34</v>
      </c>
    </row>
    <row r="582">
      <c r="A582" s="8">
        <f>IFERROR(__xludf.DUMMYFUNCTION("""COMPUTED_VALUE"""),580.0)</f>
        <v>580</v>
      </c>
      <c r="B582" s="8">
        <f>IFERROR(__xludf.DUMMYFUNCTION("""COMPUTED_VALUE"""),38.0)</f>
        <v>38</v>
      </c>
    </row>
    <row r="583">
      <c r="A583" s="8">
        <f>IFERROR(__xludf.DUMMYFUNCTION("""COMPUTED_VALUE"""),581.0)</f>
        <v>581</v>
      </c>
      <c r="B583" s="8">
        <f>IFERROR(__xludf.DUMMYFUNCTION("""COMPUTED_VALUE"""),29.0)</f>
        <v>29</v>
      </c>
    </row>
    <row r="584">
      <c r="A584" s="8">
        <f>IFERROR(__xludf.DUMMYFUNCTION("""COMPUTED_VALUE"""),582.0)</f>
        <v>582</v>
      </c>
      <c r="B584" s="8">
        <f>IFERROR(__xludf.DUMMYFUNCTION("""COMPUTED_VALUE"""),49.0)</f>
        <v>49</v>
      </c>
    </row>
    <row r="585">
      <c r="A585" s="8">
        <f>IFERROR(__xludf.DUMMYFUNCTION("""COMPUTED_VALUE"""),583.0)</f>
        <v>583</v>
      </c>
      <c r="B585" s="8">
        <f>IFERROR(__xludf.DUMMYFUNCTION("""COMPUTED_VALUE"""),39.0)</f>
        <v>39</v>
      </c>
    </row>
    <row r="586">
      <c r="A586" s="8">
        <f>IFERROR(__xludf.DUMMYFUNCTION("""COMPUTED_VALUE"""),584.0)</f>
        <v>584</v>
      </c>
      <c r="B586" s="8">
        <f>IFERROR(__xludf.DUMMYFUNCTION("""COMPUTED_VALUE"""),48.0)</f>
        <v>48</v>
      </c>
    </row>
    <row r="587">
      <c r="A587" s="8">
        <f>IFERROR(__xludf.DUMMYFUNCTION("""COMPUTED_VALUE"""),585.0)</f>
        <v>585</v>
      </c>
      <c r="B587" s="8">
        <f>IFERROR(__xludf.DUMMYFUNCTION("""COMPUTED_VALUE"""),66.0)</f>
        <v>66</v>
      </c>
    </row>
    <row r="588">
      <c r="A588" s="8">
        <f>IFERROR(__xludf.DUMMYFUNCTION("""COMPUTED_VALUE"""),586.0)</f>
        <v>586</v>
      </c>
      <c r="B588" s="8">
        <f>IFERROR(__xludf.DUMMYFUNCTION("""COMPUTED_VALUE"""),25.0)</f>
        <v>25</v>
      </c>
    </row>
    <row r="589">
      <c r="A589" s="8">
        <f>IFERROR(__xludf.DUMMYFUNCTION("""COMPUTED_VALUE"""),587.0)</f>
        <v>587</v>
      </c>
      <c r="B589" s="8">
        <f>IFERROR(__xludf.DUMMYFUNCTION("""COMPUTED_VALUE"""),36.0)</f>
        <v>36</v>
      </c>
    </row>
    <row r="590">
      <c r="A590" s="8">
        <f>IFERROR(__xludf.DUMMYFUNCTION("""COMPUTED_VALUE"""),588.0)</f>
        <v>588</v>
      </c>
      <c r="B590" s="8">
        <f>IFERROR(__xludf.DUMMYFUNCTION("""COMPUTED_VALUE"""),46.0)</f>
        <v>46</v>
      </c>
    </row>
    <row r="591">
      <c r="A591" s="8">
        <f>IFERROR(__xludf.DUMMYFUNCTION("""COMPUTED_VALUE"""),589.0)</f>
        <v>589</v>
      </c>
      <c r="B591" s="8">
        <f>IFERROR(__xludf.DUMMYFUNCTION("""COMPUTED_VALUE"""),37.0)</f>
        <v>37</v>
      </c>
    </row>
    <row r="592">
      <c r="A592" s="8">
        <f>IFERROR(__xludf.DUMMYFUNCTION("""COMPUTED_VALUE"""),590.0)</f>
        <v>590</v>
      </c>
      <c r="B592" s="8">
        <f>IFERROR(__xludf.DUMMYFUNCTION("""COMPUTED_VALUE"""),42.0)</f>
        <v>42</v>
      </c>
    </row>
    <row r="593">
      <c r="A593" s="8">
        <f>IFERROR(__xludf.DUMMYFUNCTION("""COMPUTED_VALUE"""),591.0)</f>
        <v>591</v>
      </c>
      <c r="B593" s="8">
        <f>IFERROR(__xludf.DUMMYFUNCTION("""COMPUTED_VALUE"""),26.0)</f>
        <v>26</v>
      </c>
    </row>
    <row r="594">
      <c r="A594" s="8">
        <f>IFERROR(__xludf.DUMMYFUNCTION("""COMPUTED_VALUE"""),592.0)</f>
        <v>592</v>
      </c>
      <c r="B594" s="8">
        <f>IFERROR(__xludf.DUMMYFUNCTION("""COMPUTED_VALUE"""),33.0)</f>
        <v>33</v>
      </c>
    </row>
    <row r="595">
      <c r="A595" s="8">
        <f>IFERROR(__xludf.DUMMYFUNCTION("""COMPUTED_VALUE"""),593.0)</f>
        <v>593</v>
      </c>
      <c r="B595" s="8">
        <f>IFERROR(__xludf.DUMMYFUNCTION("""COMPUTED_VALUE"""),52.0)</f>
        <v>52</v>
      </c>
    </row>
    <row r="596">
      <c r="A596" s="8">
        <f>IFERROR(__xludf.DUMMYFUNCTION("""COMPUTED_VALUE"""),594.0)</f>
        <v>594</v>
      </c>
      <c r="B596" s="8">
        <f>IFERROR(__xludf.DUMMYFUNCTION("""COMPUTED_VALUE"""),41.0)</f>
        <v>41</v>
      </c>
    </row>
    <row r="597">
      <c r="A597" s="8">
        <f>IFERROR(__xludf.DUMMYFUNCTION("""COMPUTED_VALUE"""),595.0)</f>
        <v>595</v>
      </c>
      <c r="B597" s="8">
        <f>IFERROR(__xludf.DUMMYFUNCTION("""COMPUTED_VALUE"""),25.0)</f>
        <v>25</v>
      </c>
    </row>
    <row r="598">
      <c r="A598" s="8">
        <f>IFERROR(__xludf.DUMMYFUNCTION("""COMPUTED_VALUE"""),596.0)</f>
        <v>596</v>
      </c>
      <c r="B598" s="8">
        <f>IFERROR(__xludf.DUMMYFUNCTION("""COMPUTED_VALUE"""),47.0)</f>
        <v>47</v>
      </c>
    </row>
    <row r="599">
      <c r="A599" s="8">
        <f>IFERROR(__xludf.DUMMYFUNCTION("""COMPUTED_VALUE"""),597.0)</f>
        <v>597</v>
      </c>
      <c r="B599" s="8">
        <f>IFERROR(__xludf.DUMMYFUNCTION("""COMPUTED_VALUE"""),24.0)</f>
        <v>24</v>
      </c>
    </row>
    <row r="600">
      <c r="A600" s="8">
        <f>IFERROR(__xludf.DUMMYFUNCTION("""COMPUTED_VALUE"""),598.0)</f>
        <v>598</v>
      </c>
      <c r="B600" s="8">
        <f>IFERROR(__xludf.DUMMYFUNCTION("""COMPUTED_VALUE"""),32.0)</f>
        <v>32</v>
      </c>
    </row>
    <row r="601">
      <c r="A601" s="8">
        <f>IFERROR(__xludf.DUMMYFUNCTION("""COMPUTED_VALUE"""),599.0)</f>
        <v>599</v>
      </c>
      <c r="B601" s="8">
        <f>IFERROR(__xludf.DUMMYFUNCTION("""COMPUTED_VALUE"""),44.0)</f>
        <v>44</v>
      </c>
    </row>
    <row r="602">
      <c r="A602" s="8">
        <f>IFERROR(__xludf.DUMMYFUNCTION("""COMPUTED_VALUE"""),600.0)</f>
        <v>600</v>
      </c>
      <c r="B602" s="8">
        <f>IFERROR(__xludf.DUMMYFUNCTION("""COMPUTED_VALUE"""),66.0)</f>
        <v>66</v>
      </c>
    </row>
    <row r="603">
      <c r="A603" s="8">
        <f>IFERROR(__xludf.DUMMYFUNCTION("""COMPUTED_VALUE"""),601.0)</f>
        <v>601</v>
      </c>
      <c r="B603" s="8">
        <f>IFERROR(__xludf.DUMMYFUNCTION("""COMPUTED_VALUE"""),64.0)</f>
        <v>64</v>
      </c>
    </row>
    <row r="604">
      <c r="A604" s="8">
        <f>IFERROR(__xludf.DUMMYFUNCTION("""COMPUTED_VALUE"""),602.0)</f>
        <v>602</v>
      </c>
      <c r="B604" s="8">
        <f>IFERROR(__xludf.DUMMYFUNCTION("""COMPUTED_VALUE"""),39.0)</f>
        <v>39</v>
      </c>
    </row>
    <row r="605">
      <c r="A605" s="8">
        <f>IFERROR(__xludf.DUMMYFUNCTION("""COMPUTED_VALUE"""),603.0)</f>
        <v>603</v>
      </c>
      <c r="B605" s="8">
        <f>IFERROR(__xludf.DUMMYFUNCTION("""COMPUTED_VALUE"""),42.0)</f>
        <v>42</v>
      </c>
    </row>
    <row r="606">
      <c r="A606" s="8">
        <f>IFERROR(__xludf.DUMMYFUNCTION("""COMPUTED_VALUE"""),604.0)</f>
        <v>604</v>
      </c>
      <c r="B606" s="8">
        <f>IFERROR(__xludf.DUMMYFUNCTION("""COMPUTED_VALUE"""),35.0)</f>
        <v>35</v>
      </c>
    </row>
    <row r="607">
      <c r="A607" s="8">
        <f>IFERROR(__xludf.DUMMYFUNCTION("""COMPUTED_VALUE"""),605.0)</f>
        <v>605</v>
      </c>
      <c r="B607" s="8">
        <f>IFERROR(__xludf.DUMMYFUNCTION("""COMPUTED_VALUE"""),59.0)</f>
        <v>59</v>
      </c>
    </row>
    <row r="608">
      <c r="A608" s="8">
        <f>IFERROR(__xludf.DUMMYFUNCTION("""COMPUTED_VALUE"""),606.0)</f>
        <v>606</v>
      </c>
      <c r="B608" s="8">
        <f>IFERROR(__xludf.DUMMYFUNCTION("""COMPUTED_VALUE"""),64.0)</f>
        <v>64</v>
      </c>
    </row>
    <row r="609">
      <c r="A609" s="8">
        <f>IFERROR(__xludf.DUMMYFUNCTION("""COMPUTED_VALUE"""),607.0)</f>
        <v>607</v>
      </c>
      <c r="B609" s="8">
        <f>IFERROR(__xludf.DUMMYFUNCTION("""COMPUTED_VALUE"""),40.0)</f>
        <v>40</v>
      </c>
    </row>
    <row r="610">
      <c r="A610" s="8">
        <f>IFERROR(__xludf.DUMMYFUNCTION("""COMPUTED_VALUE"""),608.0)</f>
        <v>608</v>
      </c>
      <c r="B610" s="8">
        <f>IFERROR(__xludf.DUMMYFUNCTION("""COMPUTED_VALUE"""),22.0)</f>
        <v>22</v>
      </c>
    </row>
    <row r="611">
      <c r="A611" s="8">
        <f>IFERROR(__xludf.DUMMYFUNCTION("""COMPUTED_VALUE"""),609.0)</f>
        <v>609</v>
      </c>
      <c r="B611" s="8">
        <f>IFERROR(__xludf.DUMMYFUNCTION("""COMPUTED_VALUE"""),53.0)</f>
        <v>53</v>
      </c>
    </row>
    <row r="612">
      <c r="A612" s="8">
        <f>IFERROR(__xludf.DUMMYFUNCTION("""COMPUTED_VALUE"""),610.0)</f>
        <v>610</v>
      </c>
      <c r="B612" s="8">
        <f>IFERROR(__xludf.DUMMYFUNCTION("""COMPUTED_VALUE"""),34.0)</f>
        <v>34</v>
      </c>
    </row>
    <row r="613">
      <c r="A613" s="8">
        <f>IFERROR(__xludf.DUMMYFUNCTION("""COMPUTED_VALUE"""),611.0)</f>
        <v>611</v>
      </c>
      <c r="B613" s="8">
        <f>IFERROR(__xludf.DUMMYFUNCTION("""COMPUTED_VALUE"""),35.0)</f>
        <v>35</v>
      </c>
    </row>
    <row r="614">
      <c r="A614" s="8">
        <f>IFERROR(__xludf.DUMMYFUNCTION("""COMPUTED_VALUE"""),612.0)</f>
        <v>612</v>
      </c>
      <c r="B614" s="8">
        <f>IFERROR(__xludf.DUMMYFUNCTION("""COMPUTED_VALUE"""),29.0)</f>
        <v>29</v>
      </c>
    </row>
    <row r="615">
      <c r="A615" s="8">
        <f>IFERROR(__xludf.DUMMYFUNCTION("""COMPUTED_VALUE"""),613.0)</f>
        <v>613</v>
      </c>
      <c r="B615" s="8">
        <f>IFERROR(__xludf.DUMMYFUNCTION("""COMPUTED_VALUE"""),24.0)</f>
        <v>24</v>
      </c>
    </row>
    <row r="616">
      <c r="A616" s="8">
        <f>IFERROR(__xludf.DUMMYFUNCTION("""COMPUTED_VALUE"""),614.0)</f>
        <v>614</v>
      </c>
      <c r="B616" s="8">
        <f>IFERROR(__xludf.DUMMYFUNCTION("""COMPUTED_VALUE"""),37.0)</f>
        <v>37</v>
      </c>
    </row>
    <row r="617">
      <c r="A617" s="8">
        <f>IFERROR(__xludf.DUMMYFUNCTION("""COMPUTED_VALUE"""),615.0)</f>
        <v>615</v>
      </c>
      <c r="B617" s="8">
        <f>IFERROR(__xludf.DUMMYFUNCTION("""COMPUTED_VALUE"""),65.0)</f>
        <v>65</v>
      </c>
    </row>
    <row r="618">
      <c r="A618" s="8">
        <f>IFERROR(__xludf.DUMMYFUNCTION("""COMPUTED_VALUE"""),616.0)</f>
        <v>616</v>
      </c>
      <c r="B618" s="8">
        <f>IFERROR(__xludf.DUMMYFUNCTION("""COMPUTED_VALUE"""),36.0)</f>
        <v>36</v>
      </c>
    </row>
    <row r="619">
      <c r="A619" s="8">
        <f>IFERROR(__xludf.DUMMYFUNCTION("""COMPUTED_VALUE"""),617.0)</f>
        <v>617</v>
      </c>
      <c r="B619" s="8">
        <f>IFERROR(__xludf.DUMMYFUNCTION("""COMPUTED_VALUE"""),35.0)</f>
        <v>35</v>
      </c>
    </row>
    <row r="620">
      <c r="A620" s="8">
        <f>IFERROR(__xludf.DUMMYFUNCTION("""COMPUTED_VALUE"""),618.0)</f>
        <v>618</v>
      </c>
      <c r="B620" s="8">
        <f>IFERROR(__xludf.DUMMYFUNCTION("""COMPUTED_VALUE"""),27.0)</f>
        <v>27</v>
      </c>
    </row>
    <row r="621">
      <c r="A621" s="8">
        <f>IFERROR(__xludf.DUMMYFUNCTION("""COMPUTED_VALUE"""),619.0)</f>
        <v>619</v>
      </c>
      <c r="B621" s="8">
        <f>IFERROR(__xludf.DUMMYFUNCTION("""COMPUTED_VALUE"""),36.0)</f>
        <v>36</v>
      </c>
    </row>
    <row r="622">
      <c r="A622" s="8">
        <f>IFERROR(__xludf.DUMMYFUNCTION("""COMPUTED_VALUE"""),620.0)</f>
        <v>620</v>
      </c>
      <c r="B622" s="8">
        <f>IFERROR(__xludf.DUMMYFUNCTION("""COMPUTED_VALUE"""),28.0)</f>
        <v>28</v>
      </c>
    </row>
    <row r="623">
      <c r="A623" s="8">
        <f>IFERROR(__xludf.DUMMYFUNCTION("""COMPUTED_VALUE"""),621.0)</f>
        <v>621</v>
      </c>
      <c r="B623" s="8">
        <f>IFERROR(__xludf.DUMMYFUNCTION("""COMPUTED_VALUE"""),46.0)</f>
        <v>46</v>
      </c>
    </row>
    <row r="624">
      <c r="A624" s="8">
        <f>IFERROR(__xludf.DUMMYFUNCTION("""COMPUTED_VALUE"""),622.0)</f>
        <v>622</v>
      </c>
      <c r="B624" s="8">
        <f>IFERROR(__xludf.DUMMYFUNCTION("""COMPUTED_VALUE"""),70.0)</f>
        <v>70</v>
      </c>
    </row>
    <row r="625">
      <c r="A625" s="8">
        <f>IFERROR(__xludf.DUMMYFUNCTION("""COMPUTED_VALUE"""),623.0)</f>
        <v>623</v>
      </c>
      <c r="B625" s="8">
        <f>IFERROR(__xludf.DUMMYFUNCTION("""COMPUTED_VALUE"""),57.0)</f>
        <v>57</v>
      </c>
    </row>
    <row r="626">
      <c r="A626" s="8">
        <f>IFERROR(__xludf.DUMMYFUNCTION("""COMPUTED_VALUE"""),624.0)</f>
        <v>624</v>
      </c>
      <c r="B626" s="8">
        <f>IFERROR(__xludf.DUMMYFUNCTION("""COMPUTED_VALUE"""),69.0)</f>
        <v>69</v>
      </c>
    </row>
    <row r="627">
      <c r="A627" s="8">
        <f>IFERROR(__xludf.DUMMYFUNCTION("""COMPUTED_VALUE"""),625.0)</f>
        <v>625</v>
      </c>
      <c r="B627" s="8">
        <f>IFERROR(__xludf.DUMMYFUNCTION("""COMPUTED_VALUE"""),28.0)</f>
        <v>28</v>
      </c>
    </row>
    <row r="628">
      <c r="A628" s="8">
        <f>IFERROR(__xludf.DUMMYFUNCTION("""COMPUTED_VALUE"""),626.0)</f>
        <v>626</v>
      </c>
      <c r="B628" s="8">
        <f>IFERROR(__xludf.DUMMYFUNCTION("""COMPUTED_VALUE"""),36.0)</f>
        <v>36</v>
      </c>
    </row>
    <row r="629">
      <c r="A629" s="8">
        <f>IFERROR(__xludf.DUMMYFUNCTION("""COMPUTED_VALUE"""),627.0)</f>
        <v>627</v>
      </c>
      <c r="B629" s="8">
        <f>IFERROR(__xludf.DUMMYFUNCTION("""COMPUTED_VALUE"""),40.0)</f>
        <v>40</v>
      </c>
    </row>
    <row r="630">
      <c r="A630" s="8">
        <f>IFERROR(__xludf.DUMMYFUNCTION("""COMPUTED_VALUE"""),628.0)</f>
        <v>628</v>
      </c>
      <c r="B630" s="8">
        <f>IFERROR(__xludf.DUMMYFUNCTION("""COMPUTED_VALUE"""),80.0)</f>
        <v>80</v>
      </c>
    </row>
    <row r="631">
      <c r="A631" s="8">
        <f>IFERROR(__xludf.DUMMYFUNCTION("""COMPUTED_VALUE"""),629.0)</f>
        <v>629</v>
      </c>
      <c r="B631" s="8">
        <f>IFERROR(__xludf.DUMMYFUNCTION("""COMPUTED_VALUE"""),44.0)</f>
        <v>44</v>
      </c>
    </row>
    <row r="632">
      <c r="A632" s="8">
        <f>IFERROR(__xludf.DUMMYFUNCTION("""COMPUTED_VALUE"""),630.0)</f>
        <v>630</v>
      </c>
      <c r="B632" s="8">
        <f>IFERROR(__xludf.DUMMYFUNCTION("""COMPUTED_VALUE"""),36.0)</f>
        <v>36</v>
      </c>
    </row>
    <row r="633">
      <c r="A633" s="8">
        <f>IFERROR(__xludf.DUMMYFUNCTION("""COMPUTED_VALUE"""),631.0)</f>
        <v>631</v>
      </c>
      <c r="B633" s="8">
        <f>IFERROR(__xludf.DUMMYFUNCTION("""COMPUTED_VALUE"""),41.0)</f>
        <v>41</v>
      </c>
    </row>
    <row r="634">
      <c r="A634" s="8">
        <f>IFERROR(__xludf.DUMMYFUNCTION("""COMPUTED_VALUE"""),632.0)</f>
        <v>632</v>
      </c>
      <c r="B634" s="8">
        <f>IFERROR(__xludf.DUMMYFUNCTION("""COMPUTED_VALUE"""),48.0)</f>
        <v>48</v>
      </c>
    </row>
    <row r="635">
      <c r="A635" s="8">
        <f>IFERROR(__xludf.DUMMYFUNCTION("""COMPUTED_VALUE"""),633.0)</f>
        <v>633</v>
      </c>
      <c r="B635" s="8">
        <f>IFERROR(__xludf.DUMMYFUNCTION("""COMPUTED_VALUE"""),49.0)</f>
        <v>49</v>
      </c>
    </row>
    <row r="636">
      <c r="A636" s="8">
        <f>IFERROR(__xludf.DUMMYFUNCTION("""COMPUTED_VALUE"""),634.0)</f>
        <v>634</v>
      </c>
      <c r="B636" s="8">
        <f>IFERROR(__xludf.DUMMYFUNCTION("""COMPUTED_VALUE"""),42.0)</f>
        <v>42</v>
      </c>
    </row>
    <row r="637">
      <c r="A637" s="8">
        <f>IFERROR(__xludf.DUMMYFUNCTION("""COMPUTED_VALUE"""),635.0)</f>
        <v>635</v>
      </c>
      <c r="B637" s="8">
        <f>IFERROR(__xludf.DUMMYFUNCTION("""COMPUTED_VALUE"""),37.0)</f>
        <v>37</v>
      </c>
    </row>
    <row r="638">
      <c r="A638" s="8">
        <f>IFERROR(__xludf.DUMMYFUNCTION("""COMPUTED_VALUE"""),636.0)</f>
        <v>636</v>
      </c>
      <c r="B638" s="8">
        <f>IFERROR(__xludf.DUMMYFUNCTION("""COMPUTED_VALUE"""),38.0)</f>
        <v>38</v>
      </c>
    </row>
    <row r="639">
      <c r="A639" s="8">
        <f>IFERROR(__xludf.DUMMYFUNCTION("""COMPUTED_VALUE"""),637.0)</f>
        <v>637</v>
      </c>
      <c r="B639" s="8">
        <f>IFERROR(__xludf.DUMMYFUNCTION("""COMPUTED_VALUE"""),58.0)</f>
        <v>58</v>
      </c>
    </row>
    <row r="640">
      <c r="A640" s="8">
        <f>IFERROR(__xludf.DUMMYFUNCTION("""COMPUTED_VALUE"""),638.0)</f>
        <v>638</v>
      </c>
      <c r="B640" s="8">
        <f>IFERROR(__xludf.DUMMYFUNCTION("""COMPUTED_VALUE"""),47.0)</f>
        <v>47</v>
      </c>
    </row>
    <row r="641">
      <c r="A641" s="8">
        <f>IFERROR(__xludf.DUMMYFUNCTION("""COMPUTED_VALUE"""),639.0)</f>
        <v>639</v>
      </c>
      <c r="B641" s="8">
        <f>IFERROR(__xludf.DUMMYFUNCTION("""COMPUTED_VALUE"""),36.0)</f>
        <v>36</v>
      </c>
    </row>
    <row r="642">
      <c r="A642" s="8">
        <f>IFERROR(__xludf.DUMMYFUNCTION("""COMPUTED_VALUE"""),640.0)</f>
        <v>640</v>
      </c>
      <c r="B642" s="8">
        <f>IFERROR(__xludf.DUMMYFUNCTION("""COMPUTED_VALUE"""),66.0)</f>
        <v>66</v>
      </c>
    </row>
    <row r="643">
      <c r="A643" s="8">
        <f>IFERROR(__xludf.DUMMYFUNCTION("""COMPUTED_VALUE"""),641.0)</f>
        <v>641</v>
      </c>
      <c r="B643" s="8">
        <f>IFERROR(__xludf.DUMMYFUNCTION("""COMPUTED_VALUE"""),51.0)</f>
        <v>51</v>
      </c>
    </row>
    <row r="644">
      <c r="A644" s="8">
        <f>IFERROR(__xludf.DUMMYFUNCTION("""COMPUTED_VALUE"""),642.0)</f>
        <v>642</v>
      </c>
      <c r="B644" s="8">
        <f>IFERROR(__xludf.DUMMYFUNCTION("""COMPUTED_VALUE"""),38.0)</f>
        <v>38</v>
      </c>
    </row>
    <row r="645">
      <c r="A645" s="8">
        <f>IFERROR(__xludf.DUMMYFUNCTION("""COMPUTED_VALUE"""),643.0)</f>
        <v>643</v>
      </c>
      <c r="B645" s="8">
        <f>IFERROR(__xludf.DUMMYFUNCTION("""COMPUTED_VALUE"""),40.0)</f>
        <v>40</v>
      </c>
    </row>
    <row r="646">
      <c r="A646" s="8">
        <f>IFERROR(__xludf.DUMMYFUNCTION("""COMPUTED_VALUE"""),644.0)</f>
        <v>644</v>
      </c>
      <c r="B646" s="8">
        <f>IFERROR(__xludf.DUMMYFUNCTION("""COMPUTED_VALUE"""),35.0)</f>
        <v>35</v>
      </c>
    </row>
    <row r="647">
      <c r="A647" s="8">
        <f>IFERROR(__xludf.DUMMYFUNCTION("""COMPUTED_VALUE"""),645.0)</f>
        <v>645</v>
      </c>
      <c r="B647" s="8">
        <f>IFERROR(__xludf.DUMMYFUNCTION("""COMPUTED_VALUE"""),36.0)</f>
        <v>36</v>
      </c>
    </row>
    <row r="648">
      <c r="A648" s="8">
        <f>IFERROR(__xludf.DUMMYFUNCTION("""COMPUTED_VALUE"""),646.0)</f>
        <v>646</v>
      </c>
      <c r="B648" s="8">
        <f>IFERROR(__xludf.DUMMYFUNCTION("""COMPUTED_VALUE"""),37.0)</f>
        <v>37</v>
      </c>
    </row>
    <row r="649">
      <c r="A649" s="8">
        <f>IFERROR(__xludf.DUMMYFUNCTION("""COMPUTED_VALUE"""),647.0)</f>
        <v>647</v>
      </c>
      <c r="B649" s="8">
        <f>IFERROR(__xludf.DUMMYFUNCTION("""COMPUTED_VALUE"""),30.0)</f>
        <v>30</v>
      </c>
    </row>
    <row r="650">
      <c r="A650" s="8">
        <f>IFERROR(__xludf.DUMMYFUNCTION("""COMPUTED_VALUE"""),648.0)</f>
        <v>648</v>
      </c>
      <c r="B650" s="8">
        <f>IFERROR(__xludf.DUMMYFUNCTION("""COMPUTED_VALUE"""),35.0)</f>
        <v>35</v>
      </c>
    </row>
    <row r="651">
      <c r="A651" s="8">
        <f>IFERROR(__xludf.DUMMYFUNCTION("""COMPUTED_VALUE"""),649.0)</f>
        <v>649</v>
      </c>
      <c r="B651" s="8">
        <f>IFERROR(__xludf.DUMMYFUNCTION("""COMPUTED_VALUE"""),48.0)</f>
        <v>48</v>
      </c>
    </row>
    <row r="652">
      <c r="A652" s="8">
        <f>IFERROR(__xludf.DUMMYFUNCTION("""COMPUTED_VALUE"""),650.0)</f>
        <v>650</v>
      </c>
      <c r="B652" s="8">
        <f>IFERROR(__xludf.DUMMYFUNCTION("""COMPUTED_VALUE"""),49.0)</f>
        <v>49</v>
      </c>
    </row>
    <row r="653">
      <c r="A653" s="8">
        <f>IFERROR(__xludf.DUMMYFUNCTION("""COMPUTED_VALUE"""),651.0)</f>
        <v>651</v>
      </c>
      <c r="B653" s="8">
        <f>IFERROR(__xludf.DUMMYFUNCTION("""COMPUTED_VALUE"""),70.0)</f>
        <v>70</v>
      </c>
    </row>
    <row r="654">
      <c r="A654" s="8">
        <f>IFERROR(__xludf.DUMMYFUNCTION("""COMPUTED_VALUE"""),652.0)</f>
        <v>652</v>
      </c>
      <c r="B654" s="8">
        <f>IFERROR(__xludf.DUMMYFUNCTION("""COMPUTED_VALUE"""),40.0)</f>
        <v>40</v>
      </c>
    </row>
    <row r="655">
      <c r="A655" s="8">
        <f>IFERROR(__xludf.DUMMYFUNCTION("""COMPUTED_VALUE"""),653.0)</f>
        <v>653</v>
      </c>
      <c r="B655" s="8">
        <f>IFERROR(__xludf.DUMMYFUNCTION("""COMPUTED_VALUE"""),38.0)</f>
        <v>38</v>
      </c>
    </row>
    <row r="656">
      <c r="A656" s="8">
        <f>IFERROR(__xludf.DUMMYFUNCTION("""COMPUTED_VALUE"""),654.0)</f>
        <v>654</v>
      </c>
      <c r="B656" s="8">
        <f>IFERROR(__xludf.DUMMYFUNCTION("""COMPUTED_VALUE"""),27.0)</f>
        <v>27</v>
      </c>
    </row>
    <row r="657">
      <c r="A657" s="8">
        <f>IFERROR(__xludf.DUMMYFUNCTION("""COMPUTED_VALUE"""),655.0)</f>
        <v>655</v>
      </c>
      <c r="B657" s="8">
        <f>IFERROR(__xludf.DUMMYFUNCTION("""COMPUTED_VALUE"""),46.0)</f>
        <v>46</v>
      </c>
    </row>
    <row r="658">
      <c r="A658" s="8">
        <f>IFERROR(__xludf.DUMMYFUNCTION("""COMPUTED_VALUE"""),656.0)</f>
        <v>656</v>
      </c>
      <c r="B658" s="8">
        <f>IFERROR(__xludf.DUMMYFUNCTION("""COMPUTED_VALUE"""),50.0)</f>
        <v>50</v>
      </c>
    </row>
    <row r="659">
      <c r="A659" s="8">
        <f>IFERROR(__xludf.DUMMYFUNCTION("""COMPUTED_VALUE"""),657.0)</f>
        <v>657</v>
      </c>
      <c r="B659" s="8">
        <f>IFERROR(__xludf.DUMMYFUNCTION("""COMPUTED_VALUE"""),65.0)</f>
        <v>65</v>
      </c>
    </row>
    <row r="660">
      <c r="A660" s="8">
        <f>IFERROR(__xludf.DUMMYFUNCTION("""COMPUTED_VALUE"""),658.0)</f>
        <v>658</v>
      </c>
      <c r="B660" s="8">
        <f>IFERROR(__xludf.DUMMYFUNCTION("""COMPUTED_VALUE"""),22.0)</f>
        <v>22</v>
      </c>
    </row>
    <row r="661">
      <c r="A661" s="8">
        <f>IFERROR(__xludf.DUMMYFUNCTION("""COMPUTED_VALUE"""),659.0)</f>
        <v>659</v>
      </c>
      <c r="B661" s="8">
        <f>IFERROR(__xludf.DUMMYFUNCTION("""COMPUTED_VALUE"""),93.0)</f>
        <v>93</v>
      </c>
    </row>
    <row r="662">
      <c r="A662" s="8">
        <f>IFERROR(__xludf.DUMMYFUNCTION("""COMPUTED_VALUE"""),660.0)</f>
        <v>660</v>
      </c>
      <c r="B662" s="8">
        <f>IFERROR(__xludf.DUMMYFUNCTION("""COMPUTED_VALUE"""),43.0)</f>
        <v>43</v>
      </c>
    </row>
    <row r="663">
      <c r="A663" s="8">
        <f>IFERROR(__xludf.DUMMYFUNCTION("""COMPUTED_VALUE"""),661.0)</f>
        <v>661</v>
      </c>
      <c r="B663" s="8">
        <f>IFERROR(__xludf.DUMMYFUNCTION("""COMPUTED_VALUE"""),67.0)</f>
        <v>67</v>
      </c>
    </row>
    <row r="664">
      <c r="A664" s="8">
        <f>IFERROR(__xludf.DUMMYFUNCTION("""COMPUTED_VALUE"""),662.0)</f>
        <v>662</v>
      </c>
      <c r="B664" s="8">
        <f>IFERROR(__xludf.DUMMYFUNCTION("""COMPUTED_VALUE"""),45.0)</f>
        <v>45</v>
      </c>
    </row>
    <row r="665">
      <c r="A665" s="8">
        <f>IFERROR(__xludf.DUMMYFUNCTION("""COMPUTED_VALUE"""),663.0)</f>
        <v>663</v>
      </c>
      <c r="B665" s="8">
        <f>IFERROR(__xludf.DUMMYFUNCTION("""COMPUTED_VALUE"""),42.0)</f>
        <v>42</v>
      </c>
    </row>
    <row r="666">
      <c r="A666" s="8">
        <f>IFERROR(__xludf.DUMMYFUNCTION("""COMPUTED_VALUE"""),664.0)</f>
        <v>664</v>
      </c>
      <c r="B666" s="8">
        <f>IFERROR(__xludf.DUMMYFUNCTION("""COMPUTED_VALUE"""),58.0)</f>
        <v>58</v>
      </c>
    </row>
    <row r="667">
      <c r="A667" s="8">
        <f>IFERROR(__xludf.DUMMYFUNCTION("""COMPUTED_VALUE"""),665.0)</f>
        <v>665</v>
      </c>
      <c r="B667" s="8">
        <f>IFERROR(__xludf.DUMMYFUNCTION("""COMPUTED_VALUE"""),52.0)</f>
        <v>52</v>
      </c>
    </row>
    <row r="668">
      <c r="A668" s="8">
        <f>IFERROR(__xludf.DUMMYFUNCTION("""COMPUTED_VALUE"""),666.0)</f>
        <v>666</v>
      </c>
      <c r="B668" s="8">
        <f>IFERROR(__xludf.DUMMYFUNCTION("""COMPUTED_VALUE"""),25.0)</f>
        <v>25</v>
      </c>
    </row>
    <row r="669">
      <c r="A669" s="8">
        <f>IFERROR(__xludf.DUMMYFUNCTION("""COMPUTED_VALUE"""),667.0)</f>
        <v>667</v>
      </c>
      <c r="B669" s="8">
        <f>IFERROR(__xludf.DUMMYFUNCTION("""COMPUTED_VALUE"""),35.0)</f>
        <v>35</v>
      </c>
    </row>
    <row r="670">
      <c r="A670" s="8">
        <f>IFERROR(__xludf.DUMMYFUNCTION("""COMPUTED_VALUE"""),668.0)</f>
        <v>668</v>
      </c>
      <c r="B670" s="8">
        <f>IFERROR(__xludf.DUMMYFUNCTION("""COMPUTED_VALUE"""),37.0)</f>
        <v>37</v>
      </c>
    </row>
    <row r="671">
      <c r="A671" s="8">
        <f>IFERROR(__xludf.DUMMYFUNCTION("""COMPUTED_VALUE"""),669.0)</f>
        <v>669</v>
      </c>
      <c r="B671" s="8">
        <f>IFERROR(__xludf.DUMMYFUNCTION("""COMPUTED_VALUE"""),29.0)</f>
        <v>29</v>
      </c>
    </row>
    <row r="672">
      <c r="A672" s="8">
        <f>IFERROR(__xludf.DUMMYFUNCTION("""COMPUTED_VALUE"""),670.0)</f>
        <v>670</v>
      </c>
      <c r="B672" s="8">
        <f>IFERROR(__xludf.DUMMYFUNCTION("""COMPUTED_VALUE"""),29.0)</f>
        <v>29</v>
      </c>
    </row>
    <row r="673">
      <c r="A673" s="8">
        <f>IFERROR(__xludf.DUMMYFUNCTION("""COMPUTED_VALUE"""),671.0)</f>
        <v>671</v>
      </c>
      <c r="B673" s="8">
        <f>IFERROR(__xludf.DUMMYFUNCTION("""COMPUTED_VALUE"""),47.0)</f>
        <v>47</v>
      </c>
    </row>
    <row r="674">
      <c r="A674" s="8">
        <f>IFERROR(__xludf.DUMMYFUNCTION("""COMPUTED_VALUE"""),672.0)</f>
        <v>672</v>
      </c>
      <c r="B674" s="8">
        <f>IFERROR(__xludf.DUMMYFUNCTION("""COMPUTED_VALUE"""),25.0)</f>
        <v>25</v>
      </c>
    </row>
    <row r="675">
      <c r="A675" s="8">
        <f>IFERROR(__xludf.DUMMYFUNCTION("""COMPUTED_VALUE"""),673.0)</f>
        <v>673</v>
      </c>
      <c r="B675" s="8">
        <f>IFERROR(__xludf.DUMMYFUNCTION("""COMPUTED_VALUE"""),39.0)</f>
        <v>39</v>
      </c>
    </row>
    <row r="676">
      <c r="A676" s="8">
        <f>IFERROR(__xludf.DUMMYFUNCTION("""COMPUTED_VALUE"""),674.0)</f>
        <v>674</v>
      </c>
      <c r="B676" s="8">
        <f>IFERROR(__xludf.DUMMYFUNCTION("""COMPUTED_VALUE"""),30.0)</f>
        <v>30</v>
      </c>
    </row>
    <row r="677">
      <c r="A677" s="8">
        <f>IFERROR(__xludf.DUMMYFUNCTION("""COMPUTED_VALUE"""),675.0)</f>
        <v>675</v>
      </c>
      <c r="B677" s="8">
        <f>IFERROR(__xludf.DUMMYFUNCTION("""COMPUTED_VALUE"""),34.0)</f>
        <v>34</v>
      </c>
    </row>
    <row r="678">
      <c r="A678" s="8">
        <f>IFERROR(__xludf.DUMMYFUNCTION("""COMPUTED_VALUE"""),676.0)</f>
        <v>676</v>
      </c>
      <c r="B678" s="8">
        <f>IFERROR(__xludf.DUMMYFUNCTION("""COMPUTED_VALUE"""),60.0)</f>
        <v>60</v>
      </c>
    </row>
    <row r="679">
      <c r="A679" s="8">
        <f>IFERROR(__xludf.DUMMYFUNCTION("""COMPUTED_VALUE"""),677.0)</f>
        <v>677</v>
      </c>
      <c r="B679" s="8">
        <f>IFERROR(__xludf.DUMMYFUNCTION("""COMPUTED_VALUE"""),45.0)</f>
        <v>45</v>
      </c>
    </row>
    <row r="680">
      <c r="A680" s="8">
        <f>IFERROR(__xludf.DUMMYFUNCTION("""COMPUTED_VALUE"""),678.0)</f>
        <v>678</v>
      </c>
      <c r="B680" s="8">
        <f>IFERROR(__xludf.DUMMYFUNCTION("""COMPUTED_VALUE"""),55.0)</f>
        <v>55</v>
      </c>
    </row>
    <row r="681">
      <c r="A681" s="8">
        <f>IFERROR(__xludf.DUMMYFUNCTION("""COMPUTED_VALUE"""),679.0)</f>
        <v>679</v>
      </c>
      <c r="B681" s="8">
        <f>IFERROR(__xludf.DUMMYFUNCTION("""COMPUTED_VALUE"""),34.0)</f>
        <v>34</v>
      </c>
    </row>
    <row r="682">
      <c r="A682" s="8">
        <f>IFERROR(__xludf.DUMMYFUNCTION("""COMPUTED_VALUE"""),680.0)</f>
        <v>680</v>
      </c>
      <c r="B682" s="8">
        <f>IFERROR(__xludf.DUMMYFUNCTION("""COMPUTED_VALUE"""),36.0)</f>
        <v>36</v>
      </c>
    </row>
    <row r="683">
      <c r="A683" s="8">
        <f>IFERROR(__xludf.DUMMYFUNCTION("""COMPUTED_VALUE"""),681.0)</f>
        <v>681</v>
      </c>
      <c r="B683" s="8">
        <f>IFERROR(__xludf.DUMMYFUNCTION("""COMPUTED_VALUE"""),62.0)</f>
        <v>62</v>
      </c>
    </row>
    <row r="684">
      <c r="A684" s="8">
        <f>IFERROR(__xludf.DUMMYFUNCTION("""COMPUTED_VALUE"""),682.0)</f>
        <v>682</v>
      </c>
      <c r="B684" s="8">
        <f>IFERROR(__xludf.DUMMYFUNCTION("""COMPUTED_VALUE"""),57.0)</f>
        <v>57</v>
      </c>
    </row>
    <row r="685">
      <c r="A685" s="8">
        <f>IFERROR(__xludf.DUMMYFUNCTION("""COMPUTED_VALUE"""),683.0)</f>
        <v>683</v>
      </c>
      <c r="B685" s="8">
        <f>IFERROR(__xludf.DUMMYFUNCTION("""COMPUTED_VALUE"""),23.0)</f>
        <v>23</v>
      </c>
    </row>
    <row r="686">
      <c r="A686" s="8">
        <f>IFERROR(__xludf.DUMMYFUNCTION("""COMPUTED_VALUE"""),684.0)</f>
        <v>684</v>
      </c>
      <c r="B686" s="8">
        <f>IFERROR(__xludf.DUMMYFUNCTION("""COMPUTED_VALUE"""),37.0)</f>
        <v>37</v>
      </c>
    </row>
    <row r="687">
      <c r="A687" s="8">
        <f>IFERROR(__xludf.DUMMYFUNCTION("""COMPUTED_VALUE"""),685.0)</f>
        <v>685</v>
      </c>
      <c r="B687" s="8">
        <f>IFERROR(__xludf.DUMMYFUNCTION("""COMPUTED_VALUE"""),68.0)</f>
        <v>68</v>
      </c>
    </row>
    <row r="688">
      <c r="A688" s="8">
        <f>IFERROR(__xludf.DUMMYFUNCTION("""COMPUTED_VALUE"""),686.0)</f>
        <v>686</v>
      </c>
      <c r="B688" s="8">
        <f>IFERROR(__xludf.DUMMYFUNCTION("""COMPUTED_VALUE"""),58.0)</f>
        <v>58</v>
      </c>
    </row>
    <row r="689">
      <c r="A689" s="8">
        <f>IFERROR(__xludf.DUMMYFUNCTION("""COMPUTED_VALUE"""),687.0)</f>
        <v>687</v>
      </c>
      <c r="B689" s="8">
        <f>IFERROR(__xludf.DUMMYFUNCTION("""COMPUTED_VALUE"""),36.0)</f>
        <v>36</v>
      </c>
    </row>
    <row r="690">
      <c r="A690" s="8">
        <f>IFERROR(__xludf.DUMMYFUNCTION("""COMPUTED_VALUE"""),688.0)</f>
        <v>688</v>
      </c>
      <c r="B690" s="8">
        <f>IFERROR(__xludf.DUMMYFUNCTION("""COMPUTED_VALUE"""),52.0)</f>
        <v>52</v>
      </c>
    </row>
    <row r="691">
      <c r="A691" s="8">
        <f>IFERROR(__xludf.DUMMYFUNCTION("""COMPUTED_VALUE"""),689.0)</f>
        <v>689</v>
      </c>
      <c r="B691" s="8">
        <f>IFERROR(__xludf.DUMMYFUNCTION("""COMPUTED_VALUE"""),39.0)</f>
        <v>39</v>
      </c>
    </row>
    <row r="692">
      <c r="A692" s="8">
        <f>IFERROR(__xludf.DUMMYFUNCTION("""COMPUTED_VALUE"""),690.0)</f>
        <v>690</v>
      </c>
      <c r="B692" s="8">
        <f>IFERROR(__xludf.DUMMYFUNCTION("""COMPUTED_VALUE"""),33.0)</f>
        <v>33</v>
      </c>
    </row>
    <row r="693">
      <c r="A693" s="8">
        <f>IFERROR(__xludf.DUMMYFUNCTION("""COMPUTED_VALUE"""),691.0)</f>
        <v>691</v>
      </c>
      <c r="B693" s="8">
        <f>IFERROR(__xludf.DUMMYFUNCTION("""COMPUTED_VALUE"""),48.0)</f>
        <v>48</v>
      </c>
    </row>
    <row r="694">
      <c r="A694" s="8">
        <f>IFERROR(__xludf.DUMMYFUNCTION("""COMPUTED_VALUE"""),692.0)</f>
        <v>692</v>
      </c>
      <c r="B694" s="8">
        <f>IFERROR(__xludf.DUMMYFUNCTION("""COMPUTED_VALUE"""),23.0)</f>
        <v>23</v>
      </c>
    </row>
    <row r="695">
      <c r="A695" s="8">
        <f>IFERROR(__xludf.DUMMYFUNCTION("""COMPUTED_VALUE"""),693.0)</f>
        <v>693</v>
      </c>
      <c r="B695" s="8">
        <f>IFERROR(__xludf.DUMMYFUNCTION("""COMPUTED_VALUE"""),38.0)</f>
        <v>38</v>
      </c>
    </row>
    <row r="696">
      <c r="A696" s="8">
        <f>IFERROR(__xludf.DUMMYFUNCTION("""COMPUTED_VALUE"""),694.0)</f>
        <v>694</v>
      </c>
      <c r="B696" s="8">
        <f>IFERROR(__xludf.DUMMYFUNCTION("""COMPUTED_VALUE"""),24.0)</f>
        <v>24</v>
      </c>
    </row>
    <row r="697">
      <c r="A697" s="8">
        <f>IFERROR(__xludf.DUMMYFUNCTION("""COMPUTED_VALUE"""),695.0)</f>
        <v>695</v>
      </c>
      <c r="B697" s="8">
        <f>IFERROR(__xludf.DUMMYFUNCTION("""COMPUTED_VALUE"""),38.0)</f>
        <v>38</v>
      </c>
    </row>
    <row r="698">
      <c r="A698" s="8">
        <f>IFERROR(__xludf.DUMMYFUNCTION("""COMPUTED_VALUE"""),696.0)</f>
        <v>696</v>
      </c>
      <c r="B698" s="8">
        <f>IFERROR(__xludf.DUMMYFUNCTION("""COMPUTED_VALUE"""),52.0)</f>
        <v>52</v>
      </c>
    </row>
    <row r="699">
      <c r="A699" s="8">
        <f>IFERROR(__xludf.DUMMYFUNCTION("""COMPUTED_VALUE"""),697.0)</f>
        <v>697</v>
      </c>
      <c r="B699" s="8">
        <f>IFERROR(__xludf.DUMMYFUNCTION("""COMPUTED_VALUE"""),36.0)</f>
        <v>36</v>
      </c>
    </row>
    <row r="700">
      <c r="A700" s="8">
        <f>IFERROR(__xludf.DUMMYFUNCTION("""COMPUTED_VALUE"""),698.0)</f>
        <v>698</v>
      </c>
      <c r="B700" s="8">
        <f>IFERROR(__xludf.DUMMYFUNCTION("""COMPUTED_VALUE"""),26.0)</f>
        <v>26</v>
      </c>
    </row>
    <row r="701">
      <c r="A701" s="8">
        <f>IFERROR(__xludf.DUMMYFUNCTION("""COMPUTED_VALUE"""),699.0)</f>
        <v>699</v>
      </c>
      <c r="B701" s="8">
        <f>IFERROR(__xludf.DUMMYFUNCTION("""COMPUTED_VALUE"""),35.0)</f>
        <v>35</v>
      </c>
    </row>
    <row r="702">
      <c r="A702" s="8">
        <f>IFERROR(__xludf.DUMMYFUNCTION("""COMPUTED_VALUE"""),700.0)</f>
        <v>700</v>
      </c>
      <c r="B702" s="8">
        <f>IFERROR(__xludf.DUMMYFUNCTION("""COMPUTED_VALUE"""),48.0)</f>
        <v>48</v>
      </c>
    </row>
    <row r="703">
      <c r="A703" s="8">
        <f>IFERROR(__xludf.DUMMYFUNCTION("""COMPUTED_VALUE"""),701.0)</f>
        <v>701</v>
      </c>
      <c r="B703" s="8">
        <f>IFERROR(__xludf.DUMMYFUNCTION("""COMPUTED_VALUE"""),59.0)</f>
        <v>59</v>
      </c>
    </row>
    <row r="704">
      <c r="A704" s="8">
        <f>IFERROR(__xludf.DUMMYFUNCTION("""COMPUTED_VALUE"""),702.0)</f>
        <v>702</v>
      </c>
      <c r="B704" s="8">
        <f>IFERROR(__xludf.DUMMYFUNCTION("""COMPUTED_VALUE"""),46.0)</f>
        <v>46</v>
      </c>
    </row>
    <row r="705">
      <c r="A705" s="8">
        <f>IFERROR(__xludf.DUMMYFUNCTION("""COMPUTED_VALUE"""),703.0)</f>
        <v>703</v>
      </c>
      <c r="B705" s="8">
        <f>IFERROR(__xludf.DUMMYFUNCTION("""COMPUTED_VALUE"""),49.0)</f>
        <v>49</v>
      </c>
    </row>
    <row r="706">
      <c r="A706" s="8">
        <f>IFERROR(__xludf.DUMMYFUNCTION("""COMPUTED_VALUE"""),704.0)</f>
        <v>704</v>
      </c>
      <c r="B706" s="8">
        <f>IFERROR(__xludf.DUMMYFUNCTION("""COMPUTED_VALUE"""),31.0)</f>
        <v>31</v>
      </c>
    </row>
    <row r="707">
      <c r="A707" s="8">
        <f>IFERROR(__xludf.DUMMYFUNCTION("""COMPUTED_VALUE"""),705.0)</f>
        <v>705</v>
      </c>
      <c r="B707" s="8">
        <f>IFERROR(__xludf.DUMMYFUNCTION("""COMPUTED_VALUE"""),29.0)</f>
        <v>29</v>
      </c>
    </row>
    <row r="708">
      <c r="A708" s="8">
        <f>IFERROR(__xludf.DUMMYFUNCTION("""COMPUTED_VALUE"""),706.0)</f>
        <v>706</v>
      </c>
      <c r="B708" s="8">
        <f>IFERROR(__xludf.DUMMYFUNCTION("""COMPUTED_VALUE"""),45.0)</f>
        <v>45</v>
      </c>
    </row>
    <row r="709">
      <c r="A709" s="8">
        <f>IFERROR(__xludf.DUMMYFUNCTION("""COMPUTED_VALUE"""),707.0)</f>
        <v>707</v>
      </c>
      <c r="B709" s="8">
        <f>IFERROR(__xludf.DUMMYFUNCTION("""COMPUTED_VALUE"""),32.0)</f>
        <v>32</v>
      </c>
    </row>
    <row r="710">
      <c r="A710" s="8">
        <f>IFERROR(__xludf.DUMMYFUNCTION("""COMPUTED_VALUE"""),708.0)</f>
        <v>708</v>
      </c>
      <c r="B710" s="8">
        <f>IFERROR(__xludf.DUMMYFUNCTION("""COMPUTED_VALUE"""),40.0)</f>
        <v>40</v>
      </c>
    </row>
    <row r="711">
      <c r="A711" s="8">
        <f>IFERROR(__xludf.DUMMYFUNCTION("""COMPUTED_VALUE"""),709.0)</f>
        <v>709</v>
      </c>
      <c r="B711" s="8">
        <f>IFERROR(__xludf.DUMMYFUNCTION("""COMPUTED_VALUE"""),69.0)</f>
        <v>69</v>
      </c>
    </row>
    <row r="712">
      <c r="A712" s="8">
        <f>IFERROR(__xludf.DUMMYFUNCTION("""COMPUTED_VALUE"""),710.0)</f>
        <v>710</v>
      </c>
      <c r="B712" s="8">
        <f>IFERROR(__xludf.DUMMYFUNCTION("""COMPUTED_VALUE"""),28.0)</f>
        <v>28</v>
      </c>
    </row>
    <row r="713">
      <c r="A713" s="8">
        <f>IFERROR(__xludf.DUMMYFUNCTION("""COMPUTED_VALUE"""),711.0)</f>
        <v>711</v>
      </c>
      <c r="B713" s="8">
        <f>IFERROR(__xludf.DUMMYFUNCTION("""COMPUTED_VALUE"""),74.0)</f>
        <v>74</v>
      </c>
    </row>
    <row r="714">
      <c r="A714" s="8">
        <f>IFERROR(__xludf.DUMMYFUNCTION("""COMPUTED_VALUE"""),712.0)</f>
        <v>712</v>
      </c>
      <c r="B714" s="8">
        <f>IFERROR(__xludf.DUMMYFUNCTION("""COMPUTED_VALUE"""),48.0)</f>
        <v>48</v>
      </c>
    </row>
    <row r="715">
      <c r="A715" s="8">
        <f>IFERROR(__xludf.DUMMYFUNCTION("""COMPUTED_VALUE"""),713.0)</f>
        <v>713</v>
      </c>
      <c r="B715" s="8">
        <f>IFERROR(__xludf.DUMMYFUNCTION("""COMPUTED_VALUE"""),35.0)</f>
        <v>35</v>
      </c>
    </row>
    <row r="716">
      <c r="A716" s="8">
        <f>IFERROR(__xludf.DUMMYFUNCTION("""COMPUTED_VALUE"""),714.0)</f>
        <v>714</v>
      </c>
      <c r="B716" s="8">
        <f>IFERROR(__xludf.DUMMYFUNCTION("""COMPUTED_VALUE"""),50.0)</f>
        <v>50</v>
      </c>
    </row>
    <row r="717">
      <c r="A717" s="8">
        <f>IFERROR(__xludf.DUMMYFUNCTION("""COMPUTED_VALUE"""),715.0)</f>
        <v>715</v>
      </c>
      <c r="B717" s="8">
        <f>IFERROR(__xludf.DUMMYFUNCTION("""COMPUTED_VALUE"""),38.0)</f>
        <v>38</v>
      </c>
    </row>
    <row r="718">
      <c r="A718" s="8">
        <f>IFERROR(__xludf.DUMMYFUNCTION("""COMPUTED_VALUE"""),716.0)</f>
        <v>716</v>
      </c>
      <c r="B718" s="8">
        <f>IFERROR(__xludf.DUMMYFUNCTION("""COMPUTED_VALUE"""),42.0)</f>
        <v>42</v>
      </c>
    </row>
    <row r="719">
      <c r="A719" s="8">
        <f>IFERROR(__xludf.DUMMYFUNCTION("""COMPUTED_VALUE"""),717.0)</f>
        <v>717</v>
      </c>
      <c r="B719" s="8">
        <f>IFERROR(__xludf.DUMMYFUNCTION("""COMPUTED_VALUE"""),45.0)</f>
        <v>45</v>
      </c>
    </row>
    <row r="720">
      <c r="A720" s="8">
        <f>IFERROR(__xludf.DUMMYFUNCTION("""COMPUTED_VALUE"""),718.0)</f>
        <v>718</v>
      </c>
      <c r="B720" s="8">
        <f>IFERROR(__xludf.DUMMYFUNCTION("""COMPUTED_VALUE"""),38.0)</f>
        <v>38</v>
      </c>
    </row>
    <row r="721">
      <c r="A721" s="8">
        <f>IFERROR(__xludf.DUMMYFUNCTION("""COMPUTED_VALUE"""),719.0)</f>
        <v>719</v>
      </c>
      <c r="B721" s="8">
        <f>IFERROR(__xludf.DUMMYFUNCTION("""COMPUTED_VALUE"""),51.0)</f>
        <v>51</v>
      </c>
    </row>
    <row r="722">
      <c r="A722" s="8">
        <f>IFERROR(__xludf.DUMMYFUNCTION("""COMPUTED_VALUE"""),720.0)</f>
        <v>720</v>
      </c>
      <c r="B722" s="8">
        <f>IFERROR(__xludf.DUMMYFUNCTION("""COMPUTED_VALUE"""),38.0)</f>
        <v>38</v>
      </c>
    </row>
    <row r="723">
      <c r="A723" s="8">
        <f>IFERROR(__xludf.DUMMYFUNCTION("""COMPUTED_VALUE"""),721.0)</f>
        <v>721</v>
      </c>
      <c r="B723" s="8">
        <f>IFERROR(__xludf.DUMMYFUNCTION("""COMPUTED_VALUE"""),46.0)</f>
        <v>46</v>
      </c>
    </row>
    <row r="724">
      <c r="A724" s="8">
        <f>IFERROR(__xludf.DUMMYFUNCTION("""COMPUTED_VALUE"""),722.0)</f>
        <v>722</v>
      </c>
      <c r="B724" s="8">
        <f>IFERROR(__xludf.DUMMYFUNCTION("""COMPUTED_VALUE"""),30.0)</f>
        <v>30</v>
      </c>
    </row>
    <row r="725">
      <c r="A725" s="8">
        <f>IFERROR(__xludf.DUMMYFUNCTION("""COMPUTED_VALUE"""),723.0)</f>
        <v>723</v>
      </c>
      <c r="B725" s="8">
        <f>IFERROR(__xludf.DUMMYFUNCTION("""COMPUTED_VALUE"""),45.0)</f>
        <v>45</v>
      </c>
    </row>
    <row r="726">
      <c r="A726" s="8">
        <f>IFERROR(__xludf.DUMMYFUNCTION("""COMPUTED_VALUE"""),724.0)</f>
        <v>724</v>
      </c>
      <c r="B726" s="8">
        <f>IFERROR(__xludf.DUMMYFUNCTION("""COMPUTED_VALUE"""),31.0)</f>
        <v>31</v>
      </c>
    </row>
    <row r="727">
      <c r="A727" s="8">
        <f>IFERROR(__xludf.DUMMYFUNCTION("""COMPUTED_VALUE"""),725.0)</f>
        <v>725</v>
      </c>
      <c r="B727" s="8">
        <f>IFERROR(__xludf.DUMMYFUNCTION("""COMPUTED_VALUE"""),36.0)</f>
        <v>36</v>
      </c>
    </row>
    <row r="728">
      <c r="A728" s="8">
        <f>IFERROR(__xludf.DUMMYFUNCTION("""COMPUTED_VALUE"""),726.0)</f>
        <v>726</v>
      </c>
      <c r="B728" s="8">
        <f>IFERROR(__xludf.DUMMYFUNCTION("""COMPUTED_VALUE"""),49.0)</f>
        <v>49</v>
      </c>
    </row>
    <row r="729">
      <c r="A729" s="8">
        <f>IFERROR(__xludf.DUMMYFUNCTION("""COMPUTED_VALUE"""),727.0)</f>
        <v>727</v>
      </c>
      <c r="B729" s="8">
        <f>IFERROR(__xludf.DUMMYFUNCTION("""COMPUTED_VALUE"""),39.0)</f>
        <v>39</v>
      </c>
    </row>
    <row r="730">
      <c r="A730" s="8">
        <f>IFERROR(__xludf.DUMMYFUNCTION("""COMPUTED_VALUE"""),728.0)</f>
        <v>728</v>
      </c>
      <c r="B730" s="8">
        <f>IFERROR(__xludf.DUMMYFUNCTION("""COMPUTED_VALUE"""),48.0)</f>
        <v>48</v>
      </c>
    </row>
    <row r="731">
      <c r="A731" s="8">
        <f>IFERROR(__xludf.DUMMYFUNCTION("""COMPUTED_VALUE"""),729.0)</f>
        <v>729</v>
      </c>
      <c r="B731" s="8">
        <f>IFERROR(__xludf.DUMMYFUNCTION("""COMPUTED_VALUE"""),55.0)</f>
        <v>55</v>
      </c>
    </row>
    <row r="732">
      <c r="A732" s="8">
        <f>IFERROR(__xludf.DUMMYFUNCTION("""COMPUTED_VALUE"""),730.0)</f>
        <v>730</v>
      </c>
      <c r="B732" s="8">
        <f>IFERROR(__xludf.DUMMYFUNCTION("""COMPUTED_VALUE"""),36.0)</f>
        <v>36</v>
      </c>
    </row>
    <row r="733">
      <c r="A733" s="8">
        <f>IFERROR(__xludf.DUMMYFUNCTION("""COMPUTED_VALUE"""),731.0)</f>
        <v>731</v>
      </c>
      <c r="B733" s="8">
        <f>IFERROR(__xludf.DUMMYFUNCTION("""COMPUTED_VALUE"""),25.0)</f>
        <v>25</v>
      </c>
    </row>
    <row r="734">
      <c r="A734" s="8">
        <f>IFERROR(__xludf.DUMMYFUNCTION("""COMPUTED_VALUE"""),732.0)</f>
        <v>732</v>
      </c>
      <c r="B734" s="8">
        <f>IFERROR(__xludf.DUMMYFUNCTION("""COMPUTED_VALUE"""),47.0)</f>
        <v>47</v>
      </c>
    </row>
    <row r="735">
      <c r="A735" s="8">
        <f>IFERROR(__xludf.DUMMYFUNCTION("""COMPUTED_VALUE"""),733.0)</f>
        <v>733</v>
      </c>
      <c r="B735" s="8">
        <f>IFERROR(__xludf.DUMMYFUNCTION("""COMPUTED_VALUE"""),41.0)</f>
        <v>41</v>
      </c>
    </row>
    <row r="736">
      <c r="A736" s="8">
        <f>IFERROR(__xludf.DUMMYFUNCTION("""COMPUTED_VALUE"""),734.0)</f>
        <v>734</v>
      </c>
      <c r="B736" s="8">
        <f>IFERROR(__xludf.DUMMYFUNCTION("""COMPUTED_VALUE"""),38.0)</f>
        <v>38</v>
      </c>
    </row>
    <row r="737">
      <c r="A737" s="8">
        <f>IFERROR(__xludf.DUMMYFUNCTION("""COMPUTED_VALUE"""),735.0)</f>
        <v>735</v>
      </c>
      <c r="B737" s="8">
        <f>IFERROR(__xludf.DUMMYFUNCTION("""COMPUTED_VALUE"""),29.0)</f>
        <v>29</v>
      </c>
    </row>
    <row r="738">
      <c r="A738" s="8">
        <f>IFERROR(__xludf.DUMMYFUNCTION("""COMPUTED_VALUE"""),736.0)</f>
        <v>736</v>
      </c>
      <c r="B738" s="8">
        <f>IFERROR(__xludf.DUMMYFUNCTION("""COMPUTED_VALUE"""),34.0)</f>
        <v>34</v>
      </c>
    </row>
    <row r="739">
      <c r="A739" s="8">
        <f>IFERROR(__xludf.DUMMYFUNCTION("""COMPUTED_VALUE"""),737.0)</f>
        <v>737</v>
      </c>
      <c r="B739" s="8">
        <f>IFERROR(__xludf.DUMMYFUNCTION("""COMPUTED_VALUE"""),33.0)</f>
        <v>33</v>
      </c>
    </row>
    <row r="740">
      <c r="A740" s="8">
        <f>IFERROR(__xludf.DUMMYFUNCTION("""COMPUTED_VALUE"""),738.0)</f>
        <v>738</v>
      </c>
      <c r="B740" s="8">
        <f>IFERROR(__xludf.DUMMYFUNCTION("""COMPUTED_VALUE"""),66.0)</f>
        <v>66</v>
      </c>
    </row>
    <row r="741">
      <c r="A741" s="8">
        <f>IFERROR(__xludf.DUMMYFUNCTION("""COMPUTED_VALUE"""),739.0)</f>
        <v>739</v>
      </c>
      <c r="B741" s="8">
        <f>IFERROR(__xludf.DUMMYFUNCTION("""COMPUTED_VALUE"""),29.0)</f>
        <v>29</v>
      </c>
    </row>
    <row r="742">
      <c r="A742" s="8">
        <f>IFERROR(__xludf.DUMMYFUNCTION("""COMPUTED_VALUE"""),740.0)</f>
        <v>740</v>
      </c>
      <c r="B742" s="8">
        <f>IFERROR(__xludf.DUMMYFUNCTION("""COMPUTED_VALUE"""),44.0)</f>
        <v>44</v>
      </c>
    </row>
    <row r="743">
      <c r="A743" s="8">
        <f>IFERROR(__xludf.DUMMYFUNCTION("""COMPUTED_VALUE"""),741.0)</f>
        <v>741</v>
      </c>
      <c r="B743" s="8">
        <f>IFERROR(__xludf.DUMMYFUNCTION("""COMPUTED_VALUE"""),47.0)</f>
        <v>47</v>
      </c>
    </row>
    <row r="744">
      <c r="A744" s="8">
        <f>IFERROR(__xludf.DUMMYFUNCTION("""COMPUTED_VALUE"""),742.0)</f>
        <v>742</v>
      </c>
      <c r="B744" s="8">
        <f>IFERROR(__xludf.DUMMYFUNCTION("""COMPUTED_VALUE"""),39.0)</f>
        <v>39</v>
      </c>
    </row>
    <row r="745">
      <c r="A745" s="8">
        <f>IFERROR(__xludf.DUMMYFUNCTION("""COMPUTED_VALUE"""),743.0)</f>
        <v>743</v>
      </c>
      <c r="B745" s="8">
        <f>IFERROR(__xludf.DUMMYFUNCTION("""COMPUTED_VALUE"""),44.0)</f>
        <v>44</v>
      </c>
    </row>
    <row r="746">
      <c r="A746" s="8">
        <f>IFERROR(__xludf.DUMMYFUNCTION("""COMPUTED_VALUE"""),744.0)</f>
        <v>744</v>
      </c>
      <c r="B746" s="8">
        <f>IFERROR(__xludf.DUMMYFUNCTION("""COMPUTED_VALUE"""),40.0)</f>
        <v>40</v>
      </c>
    </row>
    <row r="747">
      <c r="A747" s="8">
        <f>IFERROR(__xludf.DUMMYFUNCTION("""COMPUTED_VALUE"""),745.0)</f>
        <v>745</v>
      </c>
      <c r="B747" s="8">
        <f>IFERROR(__xludf.DUMMYFUNCTION("""COMPUTED_VALUE"""),39.0)</f>
        <v>39</v>
      </c>
    </row>
    <row r="748">
      <c r="A748" s="8">
        <f>IFERROR(__xludf.DUMMYFUNCTION("""COMPUTED_VALUE"""),746.0)</f>
        <v>746</v>
      </c>
      <c r="B748" s="8">
        <f>IFERROR(__xludf.DUMMYFUNCTION("""COMPUTED_VALUE"""),50.0)</f>
        <v>50</v>
      </c>
    </row>
    <row r="749">
      <c r="A749" s="8">
        <f>IFERROR(__xludf.DUMMYFUNCTION("""COMPUTED_VALUE"""),747.0)</f>
        <v>747</v>
      </c>
      <c r="B749" s="8">
        <f>IFERROR(__xludf.DUMMYFUNCTION("""COMPUTED_VALUE"""),52.0)</f>
        <v>52</v>
      </c>
    </row>
    <row r="750">
      <c r="A750" s="8">
        <f>IFERROR(__xludf.DUMMYFUNCTION("""COMPUTED_VALUE"""),748.0)</f>
        <v>748</v>
      </c>
      <c r="B750" s="8">
        <f>IFERROR(__xludf.DUMMYFUNCTION("""COMPUTED_VALUE"""),54.0)</f>
        <v>54</v>
      </c>
    </row>
    <row r="751">
      <c r="A751" s="8">
        <f>IFERROR(__xludf.DUMMYFUNCTION("""COMPUTED_VALUE"""),749.0)</f>
        <v>749</v>
      </c>
      <c r="B751" s="8">
        <f>IFERROR(__xludf.DUMMYFUNCTION("""COMPUTED_VALUE"""),34.0)</f>
        <v>34</v>
      </c>
    </row>
    <row r="752">
      <c r="A752" s="8">
        <f>IFERROR(__xludf.DUMMYFUNCTION("""COMPUTED_VALUE"""),750.0)</f>
        <v>750</v>
      </c>
      <c r="B752" s="8">
        <f>IFERROR(__xludf.DUMMYFUNCTION("""COMPUTED_VALUE"""),60.0)</f>
        <v>60</v>
      </c>
    </row>
    <row r="753">
      <c r="A753" s="8">
        <f>IFERROR(__xludf.DUMMYFUNCTION("""COMPUTED_VALUE"""),751.0)</f>
        <v>751</v>
      </c>
      <c r="B753" s="8">
        <f>IFERROR(__xludf.DUMMYFUNCTION("""COMPUTED_VALUE"""),22.0)</f>
        <v>22</v>
      </c>
    </row>
    <row r="754">
      <c r="A754" s="8">
        <f>IFERROR(__xludf.DUMMYFUNCTION("""COMPUTED_VALUE"""),752.0)</f>
        <v>752</v>
      </c>
      <c r="B754" s="8">
        <f>IFERROR(__xludf.DUMMYFUNCTION("""COMPUTED_VALUE"""),58.0)</f>
        <v>58</v>
      </c>
    </row>
    <row r="755">
      <c r="A755" s="8">
        <f>IFERROR(__xludf.DUMMYFUNCTION("""COMPUTED_VALUE"""),753.0)</f>
        <v>753</v>
      </c>
      <c r="B755" s="8">
        <f>IFERROR(__xludf.DUMMYFUNCTION("""COMPUTED_VALUE"""),55.0)</f>
        <v>55</v>
      </c>
    </row>
    <row r="756">
      <c r="A756" s="8">
        <f>IFERROR(__xludf.DUMMYFUNCTION("""COMPUTED_VALUE"""),754.0)</f>
        <v>754</v>
      </c>
      <c r="B756" s="8">
        <f>IFERROR(__xludf.DUMMYFUNCTION("""COMPUTED_VALUE"""),62.0)</f>
        <v>62</v>
      </c>
    </row>
    <row r="757">
      <c r="A757" s="8">
        <f>IFERROR(__xludf.DUMMYFUNCTION("""COMPUTED_VALUE"""),755.0)</f>
        <v>755</v>
      </c>
      <c r="B757" s="8">
        <f>IFERROR(__xludf.DUMMYFUNCTION("""COMPUTED_VALUE"""),43.0)</f>
        <v>43</v>
      </c>
    </row>
    <row r="758">
      <c r="A758" s="8">
        <f>IFERROR(__xludf.DUMMYFUNCTION("""COMPUTED_VALUE"""),756.0)</f>
        <v>756</v>
      </c>
      <c r="B758" s="8">
        <f>IFERROR(__xludf.DUMMYFUNCTION("""COMPUTED_VALUE"""),26.0)</f>
        <v>26</v>
      </c>
    </row>
    <row r="759">
      <c r="A759" s="8">
        <f>IFERROR(__xludf.DUMMYFUNCTION("""COMPUTED_VALUE"""),757.0)</f>
        <v>757</v>
      </c>
      <c r="B759" s="8">
        <f>IFERROR(__xludf.DUMMYFUNCTION("""COMPUTED_VALUE"""),37.0)</f>
        <v>37</v>
      </c>
    </row>
    <row r="760">
      <c r="A760" s="8">
        <f>IFERROR(__xludf.DUMMYFUNCTION("""COMPUTED_VALUE"""),758.0)</f>
        <v>758</v>
      </c>
      <c r="B760" s="8">
        <f>IFERROR(__xludf.DUMMYFUNCTION("""COMPUTED_VALUE"""),32.0)</f>
        <v>32</v>
      </c>
    </row>
    <row r="761">
      <c r="A761" s="8">
        <f>IFERROR(__xludf.DUMMYFUNCTION("""COMPUTED_VALUE"""),759.0)</f>
        <v>759</v>
      </c>
      <c r="B761" s="8">
        <f>IFERROR(__xludf.DUMMYFUNCTION("""COMPUTED_VALUE"""),33.0)</f>
        <v>33</v>
      </c>
    </row>
    <row r="762">
      <c r="A762" s="8">
        <f>IFERROR(__xludf.DUMMYFUNCTION("""COMPUTED_VALUE"""),760.0)</f>
        <v>760</v>
      </c>
      <c r="B762" s="8">
        <f>IFERROR(__xludf.DUMMYFUNCTION("""COMPUTED_VALUE"""),43.0)</f>
        <v>43</v>
      </c>
    </row>
    <row r="763">
      <c r="A763" s="8">
        <f>IFERROR(__xludf.DUMMYFUNCTION("""COMPUTED_VALUE"""),761.0)</f>
        <v>761</v>
      </c>
      <c r="B763" s="8">
        <f>IFERROR(__xludf.DUMMYFUNCTION("""COMPUTED_VALUE"""),44.0)</f>
        <v>44</v>
      </c>
    </row>
    <row r="764">
      <c r="A764" s="8">
        <f>IFERROR(__xludf.DUMMYFUNCTION("""COMPUTED_VALUE"""),762.0)</f>
        <v>762</v>
      </c>
      <c r="B764" s="8">
        <f>IFERROR(__xludf.DUMMYFUNCTION("""COMPUTED_VALUE"""),37.0)</f>
        <v>37</v>
      </c>
    </row>
    <row r="765">
      <c r="A765" s="8">
        <f>IFERROR(__xludf.DUMMYFUNCTION("""COMPUTED_VALUE"""),763.0)</f>
        <v>763</v>
      </c>
      <c r="B765" s="8">
        <f>IFERROR(__xludf.DUMMYFUNCTION("""COMPUTED_VALUE"""),49.0)</f>
        <v>49</v>
      </c>
    </row>
    <row r="766">
      <c r="A766" s="8">
        <f>IFERROR(__xludf.DUMMYFUNCTION("""COMPUTED_VALUE"""),764.0)</f>
        <v>764</v>
      </c>
      <c r="B766" s="8">
        <f>IFERROR(__xludf.DUMMYFUNCTION("""COMPUTED_VALUE"""),34.0)</f>
        <v>34</v>
      </c>
    </row>
    <row r="767">
      <c r="A767" s="8">
        <f>IFERROR(__xludf.DUMMYFUNCTION("""COMPUTED_VALUE"""),765.0)</f>
        <v>765</v>
      </c>
      <c r="B767" s="8">
        <f>IFERROR(__xludf.DUMMYFUNCTION("""COMPUTED_VALUE"""),40.0)</f>
        <v>40</v>
      </c>
    </row>
    <row r="768">
      <c r="A768" s="8">
        <f>IFERROR(__xludf.DUMMYFUNCTION("""COMPUTED_VALUE"""),766.0)</f>
        <v>766</v>
      </c>
      <c r="B768" s="8">
        <f>IFERROR(__xludf.DUMMYFUNCTION("""COMPUTED_VALUE"""),42.0)</f>
        <v>42</v>
      </c>
    </row>
    <row r="769">
      <c r="A769" s="8">
        <f>IFERROR(__xludf.DUMMYFUNCTION("""COMPUTED_VALUE"""),767.0)</f>
        <v>767</v>
      </c>
      <c r="B769" s="8">
        <f>IFERROR(__xludf.DUMMYFUNCTION("""COMPUTED_VALUE"""),36.0)</f>
        <v>36</v>
      </c>
    </row>
    <row r="770">
      <c r="A770" s="8">
        <f>IFERROR(__xludf.DUMMYFUNCTION("""COMPUTED_VALUE"""),768.0)</f>
        <v>768</v>
      </c>
      <c r="B770" s="8">
        <f>IFERROR(__xludf.DUMMYFUNCTION("""COMPUTED_VALUE"""),46.0)</f>
        <v>46</v>
      </c>
    </row>
    <row r="771">
      <c r="A771" s="8">
        <f>IFERROR(__xludf.DUMMYFUNCTION("""COMPUTED_VALUE"""),769.0)</f>
        <v>769</v>
      </c>
      <c r="B771" s="8">
        <f>IFERROR(__xludf.DUMMYFUNCTION("""COMPUTED_VALUE"""),32.0)</f>
        <v>32</v>
      </c>
    </row>
    <row r="772">
      <c r="A772" s="8">
        <f>IFERROR(__xludf.DUMMYFUNCTION("""COMPUTED_VALUE"""),770.0)</f>
        <v>770</v>
      </c>
      <c r="B772" s="8">
        <f>IFERROR(__xludf.DUMMYFUNCTION("""COMPUTED_VALUE"""),24.0)</f>
        <v>24</v>
      </c>
    </row>
    <row r="773">
      <c r="A773" s="8">
        <f>IFERROR(__xludf.DUMMYFUNCTION("""COMPUTED_VALUE"""),771.0)</f>
        <v>771</v>
      </c>
      <c r="B773" s="8">
        <f>IFERROR(__xludf.DUMMYFUNCTION("""COMPUTED_VALUE"""),44.0)</f>
        <v>44</v>
      </c>
    </row>
    <row r="774">
      <c r="A774" s="8">
        <f>IFERROR(__xludf.DUMMYFUNCTION("""COMPUTED_VALUE"""),772.0)</f>
        <v>772</v>
      </c>
      <c r="B774" s="8">
        <f>IFERROR(__xludf.DUMMYFUNCTION("""COMPUTED_VALUE"""),33.0)</f>
        <v>33</v>
      </c>
    </row>
    <row r="775">
      <c r="A775" s="8">
        <f>IFERROR(__xludf.DUMMYFUNCTION("""COMPUTED_VALUE"""),773.0)</f>
        <v>773</v>
      </c>
      <c r="B775" s="8">
        <f>IFERROR(__xludf.DUMMYFUNCTION("""COMPUTED_VALUE"""),38.0)</f>
        <v>38</v>
      </c>
    </row>
    <row r="776">
      <c r="A776" s="8">
        <f>IFERROR(__xludf.DUMMYFUNCTION("""COMPUTED_VALUE"""),774.0)</f>
        <v>774</v>
      </c>
      <c r="B776" s="8">
        <f>IFERROR(__xludf.DUMMYFUNCTION("""COMPUTED_VALUE"""),42.0)</f>
        <v>42</v>
      </c>
    </row>
    <row r="777">
      <c r="A777" s="8">
        <f>IFERROR(__xludf.DUMMYFUNCTION("""COMPUTED_VALUE"""),775.0)</f>
        <v>775</v>
      </c>
      <c r="B777" s="8">
        <f>IFERROR(__xludf.DUMMYFUNCTION("""COMPUTED_VALUE"""),35.0)</f>
        <v>35</v>
      </c>
    </row>
    <row r="778">
      <c r="A778" s="8">
        <f>IFERROR(__xludf.DUMMYFUNCTION("""COMPUTED_VALUE"""),776.0)</f>
        <v>776</v>
      </c>
      <c r="B778" s="8">
        <f>IFERROR(__xludf.DUMMYFUNCTION("""COMPUTED_VALUE"""),52.0)</f>
        <v>52</v>
      </c>
    </row>
    <row r="779">
      <c r="A779" s="8">
        <f>IFERROR(__xludf.DUMMYFUNCTION("""COMPUTED_VALUE"""),777.0)</f>
        <v>777</v>
      </c>
      <c r="B779" s="8">
        <f>IFERROR(__xludf.DUMMYFUNCTION("""COMPUTED_VALUE"""),38.0)</f>
        <v>38</v>
      </c>
    </row>
    <row r="780">
      <c r="A780" s="8">
        <f>IFERROR(__xludf.DUMMYFUNCTION("""COMPUTED_VALUE"""),778.0)</f>
        <v>778</v>
      </c>
      <c r="B780" s="8">
        <f>IFERROR(__xludf.DUMMYFUNCTION("""COMPUTED_VALUE"""),25.0)</f>
        <v>25</v>
      </c>
    </row>
    <row r="781">
      <c r="A781" s="8">
        <f>IFERROR(__xludf.DUMMYFUNCTION("""COMPUTED_VALUE"""),779.0)</f>
        <v>779</v>
      </c>
      <c r="B781" s="8">
        <f>IFERROR(__xludf.DUMMYFUNCTION("""COMPUTED_VALUE"""),56.0)</f>
        <v>56</v>
      </c>
    </row>
    <row r="782">
      <c r="A782" s="8">
        <f>IFERROR(__xludf.DUMMYFUNCTION("""COMPUTED_VALUE"""),780.0)</f>
        <v>780</v>
      </c>
      <c r="B782" s="8">
        <f>IFERROR(__xludf.DUMMYFUNCTION("""COMPUTED_VALUE"""),56.0)</f>
        <v>56</v>
      </c>
    </row>
    <row r="783">
      <c r="A783" s="8">
        <f>IFERROR(__xludf.DUMMYFUNCTION("""COMPUTED_VALUE"""),781.0)</f>
        <v>781</v>
      </c>
      <c r="B783" s="8">
        <f>IFERROR(__xludf.DUMMYFUNCTION("""COMPUTED_VALUE"""),23.0)</f>
        <v>23</v>
      </c>
    </row>
    <row r="784">
      <c r="A784" s="8">
        <f>IFERROR(__xludf.DUMMYFUNCTION("""COMPUTED_VALUE"""),782.0)</f>
        <v>782</v>
      </c>
      <c r="B784" s="8">
        <f>IFERROR(__xludf.DUMMYFUNCTION("""COMPUTED_VALUE"""),53.0)</f>
        <v>53</v>
      </c>
    </row>
    <row r="785">
      <c r="A785" s="8">
        <f>IFERROR(__xludf.DUMMYFUNCTION("""COMPUTED_VALUE"""),783.0)</f>
        <v>783</v>
      </c>
      <c r="B785" s="8">
        <f>IFERROR(__xludf.DUMMYFUNCTION("""COMPUTED_VALUE"""),47.0)</f>
        <v>47</v>
      </c>
    </row>
    <row r="786">
      <c r="A786" s="8">
        <f>IFERROR(__xludf.DUMMYFUNCTION("""COMPUTED_VALUE"""),784.0)</f>
        <v>784</v>
      </c>
      <c r="B786" s="8">
        <f>IFERROR(__xludf.DUMMYFUNCTION("""COMPUTED_VALUE"""),45.0)</f>
        <v>45</v>
      </c>
    </row>
    <row r="787">
      <c r="A787" s="8">
        <f>IFERROR(__xludf.DUMMYFUNCTION("""COMPUTED_VALUE"""),785.0)</f>
        <v>785</v>
      </c>
      <c r="B787" s="8">
        <f>IFERROR(__xludf.DUMMYFUNCTION("""COMPUTED_VALUE"""),33.0)</f>
        <v>33</v>
      </c>
    </row>
    <row r="788">
      <c r="A788" s="8">
        <f>IFERROR(__xludf.DUMMYFUNCTION("""COMPUTED_VALUE"""),786.0)</f>
        <v>786</v>
      </c>
      <c r="B788" s="8">
        <f>IFERROR(__xludf.DUMMYFUNCTION("""COMPUTED_VALUE"""),56.0)</f>
        <v>56</v>
      </c>
    </row>
    <row r="789">
      <c r="A789" s="8">
        <f>IFERROR(__xludf.DUMMYFUNCTION("""COMPUTED_VALUE"""),787.0)</f>
        <v>787</v>
      </c>
      <c r="B789" s="8">
        <f>IFERROR(__xludf.DUMMYFUNCTION("""COMPUTED_VALUE"""),43.0)</f>
        <v>43</v>
      </c>
    </row>
    <row r="790">
      <c r="A790" s="8">
        <f>IFERROR(__xludf.DUMMYFUNCTION("""COMPUTED_VALUE"""),788.0)</f>
        <v>788</v>
      </c>
      <c r="B790" s="8">
        <f>IFERROR(__xludf.DUMMYFUNCTION("""COMPUTED_VALUE"""),49.0)</f>
        <v>49</v>
      </c>
    </row>
    <row r="791">
      <c r="A791" s="8">
        <f>IFERROR(__xludf.DUMMYFUNCTION("""COMPUTED_VALUE"""),789.0)</f>
        <v>789</v>
      </c>
      <c r="B791" s="8">
        <f>IFERROR(__xludf.DUMMYFUNCTION("""COMPUTED_VALUE"""),36.0)</f>
        <v>36</v>
      </c>
    </row>
    <row r="792">
      <c r="A792" s="8">
        <f>IFERROR(__xludf.DUMMYFUNCTION("""COMPUTED_VALUE"""),790.0)</f>
        <v>790</v>
      </c>
      <c r="B792" s="8">
        <f>IFERROR(__xludf.DUMMYFUNCTION("""COMPUTED_VALUE"""),58.0)</f>
        <v>58</v>
      </c>
    </row>
    <row r="793">
      <c r="A793" s="8">
        <f>IFERROR(__xludf.DUMMYFUNCTION("""COMPUTED_VALUE"""),791.0)</f>
        <v>791</v>
      </c>
      <c r="B793" s="8">
        <f>IFERROR(__xludf.DUMMYFUNCTION("""COMPUTED_VALUE"""),35.0)</f>
        <v>35</v>
      </c>
    </row>
    <row r="794">
      <c r="A794" s="8">
        <f>IFERROR(__xludf.DUMMYFUNCTION("""COMPUTED_VALUE"""),792.0)</f>
        <v>792</v>
      </c>
      <c r="B794" s="8">
        <f>IFERROR(__xludf.DUMMYFUNCTION("""COMPUTED_VALUE"""),66.0)</f>
        <v>66</v>
      </c>
    </row>
    <row r="795">
      <c r="A795" s="8">
        <f>IFERROR(__xludf.DUMMYFUNCTION("""COMPUTED_VALUE"""),793.0)</f>
        <v>793</v>
      </c>
      <c r="B795" s="8">
        <f>IFERROR(__xludf.DUMMYFUNCTION("""COMPUTED_VALUE"""),43.0)</f>
        <v>43</v>
      </c>
    </row>
    <row r="796">
      <c r="A796" s="8">
        <f>IFERROR(__xludf.DUMMYFUNCTION("""COMPUTED_VALUE"""),794.0)</f>
        <v>794</v>
      </c>
      <c r="B796" s="8">
        <f>IFERROR(__xludf.DUMMYFUNCTION("""COMPUTED_VALUE"""),42.0)</f>
        <v>42</v>
      </c>
    </row>
    <row r="797">
      <c r="A797" s="8">
        <f>IFERROR(__xludf.DUMMYFUNCTION("""COMPUTED_VALUE"""),795.0)</f>
        <v>795</v>
      </c>
      <c r="B797" s="8">
        <f>IFERROR(__xludf.DUMMYFUNCTION("""COMPUTED_VALUE"""),43.0)</f>
        <v>43</v>
      </c>
    </row>
    <row r="798">
      <c r="A798" s="8">
        <f>IFERROR(__xludf.DUMMYFUNCTION("""COMPUTED_VALUE"""),796.0)</f>
        <v>796</v>
      </c>
      <c r="B798" s="8">
        <f>IFERROR(__xludf.DUMMYFUNCTION("""COMPUTED_VALUE"""),54.0)</f>
        <v>54</v>
      </c>
    </row>
    <row r="799">
      <c r="A799" s="8">
        <f>IFERROR(__xludf.DUMMYFUNCTION("""COMPUTED_VALUE"""),797.0)</f>
        <v>797</v>
      </c>
      <c r="B799" s="8">
        <f>IFERROR(__xludf.DUMMYFUNCTION("""COMPUTED_VALUE"""),36.0)</f>
        <v>36</v>
      </c>
    </row>
    <row r="800">
      <c r="A800" s="8">
        <f>IFERROR(__xludf.DUMMYFUNCTION("""COMPUTED_VALUE"""),798.0)</f>
        <v>798</v>
      </c>
      <c r="B800" s="8">
        <f>IFERROR(__xludf.DUMMYFUNCTION("""COMPUTED_VALUE"""),43.0)</f>
        <v>43</v>
      </c>
    </row>
    <row r="801">
      <c r="A801" s="8">
        <f>IFERROR(__xludf.DUMMYFUNCTION("""COMPUTED_VALUE"""),799.0)</f>
        <v>799</v>
      </c>
      <c r="B801" s="8">
        <f>IFERROR(__xludf.DUMMYFUNCTION("""COMPUTED_VALUE"""),68.0)</f>
        <v>68</v>
      </c>
    </row>
    <row r="802">
      <c r="A802" s="8">
        <f>IFERROR(__xludf.DUMMYFUNCTION("""COMPUTED_VALUE"""),800.0)</f>
        <v>800</v>
      </c>
      <c r="B802" s="8">
        <f>IFERROR(__xludf.DUMMYFUNCTION("""COMPUTED_VALUE"""),60.0)</f>
        <v>60</v>
      </c>
    </row>
    <row r="803">
      <c r="A803" s="8">
        <f>IFERROR(__xludf.DUMMYFUNCTION("""COMPUTED_VALUE"""),801.0)</f>
        <v>801</v>
      </c>
      <c r="B803" s="8">
        <f>IFERROR(__xludf.DUMMYFUNCTION("""COMPUTED_VALUE"""),32.0)</f>
        <v>32</v>
      </c>
    </row>
    <row r="804">
      <c r="A804" s="8">
        <f>IFERROR(__xludf.DUMMYFUNCTION("""COMPUTED_VALUE"""),802.0)</f>
        <v>802</v>
      </c>
      <c r="B804" s="8">
        <f>IFERROR(__xludf.DUMMYFUNCTION("""COMPUTED_VALUE"""),55.0)</f>
        <v>55</v>
      </c>
    </row>
    <row r="805">
      <c r="A805" s="8">
        <f>IFERROR(__xludf.DUMMYFUNCTION("""COMPUTED_VALUE"""),803.0)</f>
        <v>803</v>
      </c>
      <c r="B805" s="8">
        <f>IFERROR(__xludf.DUMMYFUNCTION("""COMPUTED_VALUE"""),39.0)</f>
        <v>39</v>
      </c>
    </row>
    <row r="806">
      <c r="A806" s="8">
        <f>IFERROR(__xludf.DUMMYFUNCTION("""COMPUTED_VALUE"""),804.0)</f>
        <v>804</v>
      </c>
      <c r="B806" s="8">
        <f>IFERROR(__xludf.DUMMYFUNCTION("""COMPUTED_VALUE"""),60.0)</f>
        <v>60</v>
      </c>
    </row>
    <row r="807">
      <c r="A807" s="8">
        <f>IFERROR(__xludf.DUMMYFUNCTION("""COMPUTED_VALUE"""),805.0)</f>
        <v>805</v>
      </c>
      <c r="B807" s="8">
        <f>IFERROR(__xludf.DUMMYFUNCTION("""COMPUTED_VALUE"""),42.0)</f>
        <v>42</v>
      </c>
    </row>
    <row r="808">
      <c r="A808" s="8">
        <f>IFERROR(__xludf.DUMMYFUNCTION("""COMPUTED_VALUE"""),806.0)</f>
        <v>806</v>
      </c>
      <c r="B808" s="8">
        <f>IFERROR(__xludf.DUMMYFUNCTION("""COMPUTED_VALUE"""),50.0)</f>
        <v>50</v>
      </c>
    </row>
    <row r="809">
      <c r="A809" s="8">
        <f>IFERROR(__xludf.DUMMYFUNCTION("""COMPUTED_VALUE"""),807.0)</f>
        <v>807</v>
      </c>
      <c r="B809" s="8">
        <f>IFERROR(__xludf.DUMMYFUNCTION("""COMPUTED_VALUE"""),23.0)</f>
        <v>23</v>
      </c>
    </row>
    <row r="810">
      <c r="A810" s="8">
        <f>IFERROR(__xludf.DUMMYFUNCTION("""COMPUTED_VALUE"""),808.0)</f>
        <v>808</v>
      </c>
      <c r="B810" s="8">
        <f>IFERROR(__xludf.DUMMYFUNCTION("""COMPUTED_VALUE"""),39.0)</f>
        <v>39</v>
      </c>
    </row>
    <row r="811">
      <c r="A811" s="8">
        <f>IFERROR(__xludf.DUMMYFUNCTION("""COMPUTED_VALUE"""),809.0)</f>
        <v>809</v>
      </c>
      <c r="B811" s="8">
        <f>IFERROR(__xludf.DUMMYFUNCTION("""COMPUTED_VALUE"""),32.0)</f>
        <v>32</v>
      </c>
    </row>
    <row r="812">
      <c r="A812" s="8">
        <f>IFERROR(__xludf.DUMMYFUNCTION("""COMPUTED_VALUE"""),810.0)</f>
        <v>810</v>
      </c>
      <c r="B812" s="8">
        <f>IFERROR(__xludf.DUMMYFUNCTION("""COMPUTED_VALUE"""),56.0)</f>
        <v>56</v>
      </c>
    </row>
    <row r="813">
      <c r="A813" s="8">
        <f>IFERROR(__xludf.DUMMYFUNCTION("""COMPUTED_VALUE"""),811.0)</f>
        <v>811</v>
      </c>
      <c r="B813" s="8">
        <f>IFERROR(__xludf.DUMMYFUNCTION("""COMPUTED_VALUE"""),61.0)</f>
        <v>61</v>
      </c>
    </row>
    <row r="814">
      <c r="A814" s="8">
        <f>IFERROR(__xludf.DUMMYFUNCTION("""COMPUTED_VALUE"""),812.0)</f>
        <v>812</v>
      </c>
      <c r="B814" s="8">
        <f>IFERROR(__xludf.DUMMYFUNCTION("""COMPUTED_VALUE"""),34.0)</f>
        <v>34</v>
      </c>
    </row>
    <row r="815">
      <c r="A815" s="8">
        <f>IFERROR(__xludf.DUMMYFUNCTION("""COMPUTED_VALUE"""),813.0)</f>
        <v>813</v>
      </c>
      <c r="B815" s="8">
        <f>IFERROR(__xludf.DUMMYFUNCTION("""COMPUTED_VALUE"""),48.0)</f>
        <v>48</v>
      </c>
    </row>
    <row r="816">
      <c r="A816" s="8">
        <f>IFERROR(__xludf.DUMMYFUNCTION("""COMPUTED_VALUE"""),814.0)</f>
        <v>814</v>
      </c>
      <c r="B816" s="8">
        <f>IFERROR(__xludf.DUMMYFUNCTION("""COMPUTED_VALUE"""),34.0)</f>
        <v>34</v>
      </c>
    </row>
    <row r="817">
      <c r="A817" s="8">
        <f>IFERROR(__xludf.DUMMYFUNCTION("""COMPUTED_VALUE"""),815.0)</f>
        <v>815</v>
      </c>
      <c r="B817" s="8">
        <f>IFERROR(__xludf.DUMMYFUNCTION("""COMPUTED_VALUE"""),42.0)</f>
        <v>42</v>
      </c>
    </row>
    <row r="818">
      <c r="A818" s="8">
        <f>IFERROR(__xludf.DUMMYFUNCTION("""COMPUTED_VALUE"""),816.0)</f>
        <v>816</v>
      </c>
      <c r="B818" s="8">
        <f>IFERROR(__xludf.DUMMYFUNCTION("""COMPUTED_VALUE"""),49.0)</f>
        <v>49</v>
      </c>
    </row>
    <row r="819">
      <c r="A819" s="8">
        <f>IFERROR(__xludf.DUMMYFUNCTION("""COMPUTED_VALUE"""),817.0)</f>
        <v>817</v>
      </c>
      <c r="B819" s="8">
        <f>IFERROR(__xludf.DUMMYFUNCTION("""COMPUTED_VALUE"""),29.0)</f>
        <v>29</v>
      </c>
    </row>
    <row r="820">
      <c r="A820" s="8">
        <f>IFERROR(__xludf.DUMMYFUNCTION("""COMPUTED_VALUE"""),818.0)</f>
        <v>818</v>
      </c>
      <c r="B820" s="8">
        <f>IFERROR(__xludf.DUMMYFUNCTION("""COMPUTED_VALUE"""),43.0)</f>
        <v>43</v>
      </c>
    </row>
    <row r="821">
      <c r="A821" s="8">
        <f>IFERROR(__xludf.DUMMYFUNCTION("""COMPUTED_VALUE"""),819.0)</f>
        <v>819</v>
      </c>
      <c r="B821" s="8">
        <f>IFERROR(__xludf.DUMMYFUNCTION("""COMPUTED_VALUE"""),63.0)</f>
        <v>63</v>
      </c>
    </row>
    <row r="822">
      <c r="A822" s="8">
        <f>IFERROR(__xludf.DUMMYFUNCTION("""COMPUTED_VALUE"""),820.0)</f>
        <v>820</v>
      </c>
      <c r="B822" s="8">
        <f>IFERROR(__xludf.DUMMYFUNCTION("""COMPUTED_VALUE"""),34.0)</f>
        <v>34</v>
      </c>
    </row>
    <row r="823">
      <c r="A823" s="8">
        <f>IFERROR(__xludf.DUMMYFUNCTION("""COMPUTED_VALUE"""),821.0)</f>
        <v>821</v>
      </c>
      <c r="B823" s="8">
        <f>IFERROR(__xludf.DUMMYFUNCTION("""COMPUTED_VALUE"""),60.0)</f>
        <v>60</v>
      </c>
    </row>
    <row r="824">
      <c r="A824" s="8">
        <f>IFERROR(__xludf.DUMMYFUNCTION("""COMPUTED_VALUE"""),822.0)</f>
        <v>822</v>
      </c>
      <c r="B824" s="8">
        <f>IFERROR(__xludf.DUMMYFUNCTION("""COMPUTED_VALUE"""),39.0)</f>
        <v>39</v>
      </c>
    </row>
    <row r="825">
      <c r="A825" s="8">
        <f>IFERROR(__xludf.DUMMYFUNCTION("""COMPUTED_VALUE"""),823.0)</f>
        <v>823</v>
      </c>
      <c r="B825" s="8">
        <f>IFERROR(__xludf.DUMMYFUNCTION("""COMPUTED_VALUE"""),39.0)</f>
        <v>39</v>
      </c>
    </row>
    <row r="826">
      <c r="A826" s="8">
        <f>IFERROR(__xludf.DUMMYFUNCTION("""COMPUTED_VALUE"""),824.0)</f>
        <v>824</v>
      </c>
      <c r="B826" s="8">
        <f>IFERROR(__xludf.DUMMYFUNCTION("""COMPUTED_VALUE"""),32.0)</f>
        <v>32</v>
      </c>
    </row>
    <row r="827">
      <c r="A827" s="8">
        <f>IFERROR(__xludf.DUMMYFUNCTION("""COMPUTED_VALUE"""),825.0)</f>
        <v>825</v>
      </c>
      <c r="B827" s="8">
        <f>IFERROR(__xludf.DUMMYFUNCTION("""COMPUTED_VALUE"""),39.0)</f>
        <v>39</v>
      </c>
    </row>
    <row r="828">
      <c r="A828" s="8">
        <f>IFERROR(__xludf.DUMMYFUNCTION("""COMPUTED_VALUE"""),826.0)</f>
        <v>826</v>
      </c>
      <c r="B828" s="8">
        <f>IFERROR(__xludf.DUMMYFUNCTION("""COMPUTED_VALUE"""),54.0)</f>
        <v>54</v>
      </c>
    </row>
    <row r="829">
      <c r="A829" s="8">
        <f>IFERROR(__xludf.DUMMYFUNCTION("""COMPUTED_VALUE"""),827.0)</f>
        <v>827</v>
      </c>
      <c r="B829" s="8">
        <f>IFERROR(__xludf.DUMMYFUNCTION("""COMPUTED_VALUE"""),71.0)</f>
        <v>71</v>
      </c>
    </row>
    <row r="830">
      <c r="A830" s="8">
        <f>IFERROR(__xludf.DUMMYFUNCTION("""COMPUTED_VALUE"""),828.0)</f>
        <v>828</v>
      </c>
      <c r="B830" s="8">
        <f>IFERROR(__xludf.DUMMYFUNCTION("""COMPUTED_VALUE"""),46.0)</f>
        <v>46</v>
      </c>
    </row>
    <row r="831">
      <c r="A831" s="8">
        <f>IFERROR(__xludf.DUMMYFUNCTION("""COMPUTED_VALUE"""),829.0)</f>
        <v>829</v>
      </c>
      <c r="B831" s="8">
        <f>IFERROR(__xludf.DUMMYFUNCTION("""COMPUTED_VALUE"""),30.0)</f>
        <v>30</v>
      </c>
    </row>
    <row r="832">
      <c r="A832" s="8">
        <f>IFERROR(__xludf.DUMMYFUNCTION("""COMPUTED_VALUE"""),830.0)</f>
        <v>830</v>
      </c>
      <c r="B832" s="8">
        <f>IFERROR(__xludf.DUMMYFUNCTION("""COMPUTED_VALUE"""),59.0)</f>
        <v>59</v>
      </c>
    </row>
    <row r="833">
      <c r="A833" s="8">
        <f>IFERROR(__xludf.DUMMYFUNCTION("""COMPUTED_VALUE"""),831.0)</f>
        <v>831</v>
      </c>
      <c r="B833" s="8">
        <f>IFERROR(__xludf.DUMMYFUNCTION("""COMPUTED_VALUE"""),26.0)</f>
        <v>26</v>
      </c>
    </row>
    <row r="834">
      <c r="A834" s="8">
        <f>IFERROR(__xludf.DUMMYFUNCTION("""COMPUTED_VALUE"""),832.0)</f>
        <v>832</v>
      </c>
      <c r="B834" s="8">
        <f>IFERROR(__xludf.DUMMYFUNCTION("""COMPUTED_VALUE"""),46.0)</f>
        <v>46</v>
      </c>
    </row>
    <row r="835">
      <c r="A835" s="8">
        <f>IFERROR(__xludf.DUMMYFUNCTION("""COMPUTED_VALUE"""),833.0)</f>
        <v>833</v>
      </c>
      <c r="B835" s="8">
        <f>IFERROR(__xludf.DUMMYFUNCTION("""COMPUTED_VALUE"""),31.0)</f>
        <v>31</v>
      </c>
    </row>
    <row r="836">
      <c r="A836" s="8">
        <f>IFERROR(__xludf.DUMMYFUNCTION("""COMPUTED_VALUE"""),834.0)</f>
        <v>834</v>
      </c>
      <c r="B836" s="8">
        <f>IFERROR(__xludf.DUMMYFUNCTION("""COMPUTED_VALUE"""),46.0)</f>
        <v>46</v>
      </c>
    </row>
    <row r="837">
      <c r="A837" s="8">
        <f>IFERROR(__xludf.DUMMYFUNCTION("""COMPUTED_VALUE"""),835.0)</f>
        <v>835</v>
      </c>
      <c r="B837" s="8">
        <f>IFERROR(__xludf.DUMMYFUNCTION("""COMPUTED_VALUE"""),35.0)</f>
        <v>35</v>
      </c>
    </row>
    <row r="838">
      <c r="A838" s="8">
        <f>IFERROR(__xludf.DUMMYFUNCTION("""COMPUTED_VALUE"""),836.0)</f>
        <v>836</v>
      </c>
      <c r="B838" s="8">
        <f>IFERROR(__xludf.DUMMYFUNCTION("""COMPUTED_VALUE"""),61.0)</f>
        <v>61</v>
      </c>
    </row>
    <row r="839">
      <c r="A839" s="8">
        <f>IFERROR(__xludf.DUMMYFUNCTION("""COMPUTED_VALUE"""),837.0)</f>
        <v>837</v>
      </c>
      <c r="B839" s="8">
        <f>IFERROR(__xludf.DUMMYFUNCTION("""COMPUTED_VALUE"""),34.0)</f>
        <v>34</v>
      </c>
    </row>
    <row r="840">
      <c r="A840" s="8">
        <f>IFERROR(__xludf.DUMMYFUNCTION("""COMPUTED_VALUE"""),838.0)</f>
        <v>838</v>
      </c>
      <c r="B840" s="8">
        <f>IFERROR(__xludf.DUMMYFUNCTION("""COMPUTED_VALUE"""),55.0)</f>
        <v>55</v>
      </c>
    </row>
    <row r="841">
      <c r="A841" s="8">
        <f>IFERROR(__xludf.DUMMYFUNCTION("""COMPUTED_VALUE"""),839.0)</f>
        <v>839</v>
      </c>
      <c r="B841" s="8">
        <f>IFERROR(__xludf.DUMMYFUNCTION("""COMPUTED_VALUE"""),36.0)</f>
        <v>36</v>
      </c>
    </row>
    <row r="842">
      <c r="A842" s="8">
        <f>IFERROR(__xludf.DUMMYFUNCTION("""COMPUTED_VALUE"""),840.0)</f>
        <v>840</v>
      </c>
      <c r="B842" s="8">
        <f>IFERROR(__xludf.DUMMYFUNCTION("""COMPUTED_VALUE"""),46.0)</f>
        <v>46</v>
      </c>
    </row>
    <row r="843">
      <c r="A843" s="8">
        <f>IFERROR(__xludf.DUMMYFUNCTION("""COMPUTED_VALUE"""),841.0)</f>
        <v>841</v>
      </c>
      <c r="B843" s="8">
        <f>IFERROR(__xludf.DUMMYFUNCTION("""COMPUTED_VALUE"""),49.0)</f>
        <v>49</v>
      </c>
    </row>
    <row r="844">
      <c r="A844" s="8">
        <f>IFERROR(__xludf.DUMMYFUNCTION("""COMPUTED_VALUE"""),842.0)</f>
        <v>842</v>
      </c>
      <c r="B844" s="8">
        <f>IFERROR(__xludf.DUMMYFUNCTION("""COMPUTED_VALUE"""),28.0)</f>
        <v>28</v>
      </c>
    </row>
    <row r="845">
      <c r="A845" s="8">
        <f>IFERROR(__xludf.DUMMYFUNCTION("""COMPUTED_VALUE"""),843.0)</f>
        <v>843</v>
      </c>
      <c r="B845" s="8">
        <f>IFERROR(__xludf.DUMMYFUNCTION("""COMPUTED_VALUE"""),74.0)</f>
        <v>74</v>
      </c>
    </row>
    <row r="846">
      <c r="A846" s="8">
        <f>IFERROR(__xludf.DUMMYFUNCTION("""COMPUTED_VALUE"""),844.0)</f>
        <v>844</v>
      </c>
      <c r="B846" s="8">
        <f>IFERROR(__xludf.DUMMYFUNCTION("""COMPUTED_VALUE"""),37.0)</f>
        <v>37</v>
      </c>
    </row>
    <row r="847">
      <c r="A847" s="8">
        <f>IFERROR(__xludf.DUMMYFUNCTION("""COMPUTED_VALUE"""),845.0)</f>
        <v>845</v>
      </c>
      <c r="B847" s="8">
        <f>IFERROR(__xludf.DUMMYFUNCTION("""COMPUTED_VALUE"""),38.0)</f>
        <v>38</v>
      </c>
    </row>
    <row r="848">
      <c r="A848" s="8">
        <f>IFERROR(__xludf.DUMMYFUNCTION("""COMPUTED_VALUE"""),846.0)</f>
        <v>846</v>
      </c>
      <c r="B848" s="8">
        <f>IFERROR(__xludf.DUMMYFUNCTION("""COMPUTED_VALUE"""),82.0)</f>
        <v>82</v>
      </c>
    </row>
    <row r="849">
      <c r="A849" s="8">
        <f>IFERROR(__xludf.DUMMYFUNCTION("""COMPUTED_VALUE"""),847.0)</f>
        <v>847</v>
      </c>
      <c r="B849" s="8">
        <f>IFERROR(__xludf.DUMMYFUNCTION("""COMPUTED_VALUE"""),49.0)</f>
        <v>49</v>
      </c>
    </row>
    <row r="850">
      <c r="A850" s="8">
        <f>IFERROR(__xludf.DUMMYFUNCTION("""COMPUTED_VALUE"""),848.0)</f>
        <v>848</v>
      </c>
      <c r="B850" s="8">
        <f>IFERROR(__xludf.DUMMYFUNCTION("""COMPUTED_VALUE"""),41.0)</f>
        <v>41</v>
      </c>
    </row>
    <row r="851">
      <c r="A851" s="8">
        <f>IFERROR(__xludf.DUMMYFUNCTION("""COMPUTED_VALUE"""),849.0)</f>
        <v>849</v>
      </c>
      <c r="B851" s="8">
        <f>IFERROR(__xludf.DUMMYFUNCTION("""COMPUTED_VALUE"""),35.0)</f>
        <v>35</v>
      </c>
    </row>
    <row r="852">
      <c r="A852" s="8">
        <f>IFERROR(__xludf.DUMMYFUNCTION("""COMPUTED_VALUE"""),850.0)</f>
        <v>850</v>
      </c>
      <c r="B852" s="8">
        <f>IFERROR(__xludf.DUMMYFUNCTION("""COMPUTED_VALUE"""),23.0)</f>
        <v>23</v>
      </c>
    </row>
    <row r="853">
      <c r="A853" s="8">
        <f>IFERROR(__xludf.DUMMYFUNCTION("""COMPUTED_VALUE"""),851.0)</f>
        <v>851</v>
      </c>
      <c r="B853" s="8">
        <f>IFERROR(__xludf.DUMMYFUNCTION("""COMPUTED_VALUE"""),37.0)</f>
        <v>37</v>
      </c>
    </row>
    <row r="854">
      <c r="A854" s="8">
        <f>IFERROR(__xludf.DUMMYFUNCTION("""COMPUTED_VALUE"""),852.0)</f>
        <v>852</v>
      </c>
      <c r="B854" s="8">
        <f>IFERROR(__xludf.DUMMYFUNCTION("""COMPUTED_VALUE"""),41.0)</f>
        <v>41</v>
      </c>
    </row>
    <row r="855">
      <c r="A855" s="8">
        <f>IFERROR(__xludf.DUMMYFUNCTION("""COMPUTED_VALUE"""),853.0)</f>
        <v>853</v>
      </c>
      <c r="B855" s="8">
        <f>IFERROR(__xludf.DUMMYFUNCTION("""COMPUTED_VALUE"""),56.0)</f>
        <v>56</v>
      </c>
    </row>
    <row r="856">
      <c r="A856" s="8">
        <f>IFERROR(__xludf.DUMMYFUNCTION("""COMPUTED_VALUE"""),854.0)</f>
        <v>854</v>
      </c>
      <c r="B856" s="8">
        <f>IFERROR(__xludf.DUMMYFUNCTION("""COMPUTED_VALUE"""),42.0)</f>
        <v>42</v>
      </c>
    </row>
    <row r="857">
      <c r="A857" s="8">
        <f>IFERROR(__xludf.DUMMYFUNCTION("""COMPUTED_VALUE"""),855.0)</f>
        <v>855</v>
      </c>
      <c r="B857" s="8">
        <f>IFERROR(__xludf.DUMMYFUNCTION("""COMPUTED_VALUE"""),30.0)</f>
        <v>30</v>
      </c>
    </row>
    <row r="858">
      <c r="A858" s="8">
        <f>IFERROR(__xludf.DUMMYFUNCTION("""COMPUTED_VALUE"""),856.0)</f>
        <v>856</v>
      </c>
      <c r="B858" s="8">
        <f>IFERROR(__xludf.DUMMYFUNCTION("""COMPUTED_VALUE"""),52.0)</f>
        <v>52</v>
      </c>
    </row>
    <row r="859">
      <c r="A859" s="8">
        <f>IFERROR(__xludf.DUMMYFUNCTION("""COMPUTED_VALUE"""),857.0)</f>
        <v>857</v>
      </c>
      <c r="B859" s="8">
        <f>IFERROR(__xludf.DUMMYFUNCTION("""COMPUTED_VALUE"""),43.0)</f>
        <v>43</v>
      </c>
    </row>
    <row r="860">
      <c r="A860" s="8">
        <f>IFERROR(__xludf.DUMMYFUNCTION("""COMPUTED_VALUE"""),858.0)</f>
        <v>858</v>
      </c>
      <c r="B860" s="8">
        <f>IFERROR(__xludf.DUMMYFUNCTION("""COMPUTED_VALUE"""),29.0)</f>
        <v>29</v>
      </c>
    </row>
    <row r="861">
      <c r="A861" s="8">
        <f>IFERROR(__xludf.DUMMYFUNCTION("""COMPUTED_VALUE"""),859.0)</f>
        <v>859</v>
      </c>
      <c r="B861" s="8">
        <f>IFERROR(__xludf.DUMMYFUNCTION("""COMPUTED_VALUE"""),27.0)</f>
        <v>27</v>
      </c>
    </row>
    <row r="862">
      <c r="A862" s="8">
        <f>IFERROR(__xludf.DUMMYFUNCTION("""COMPUTED_VALUE"""),860.0)</f>
        <v>860</v>
      </c>
      <c r="B862" s="8">
        <f>IFERROR(__xludf.DUMMYFUNCTION("""COMPUTED_VALUE"""),26.0)</f>
        <v>26</v>
      </c>
    </row>
    <row r="863">
      <c r="A863" s="8">
        <f>IFERROR(__xludf.DUMMYFUNCTION("""COMPUTED_VALUE"""),861.0)</f>
        <v>861</v>
      </c>
      <c r="B863" s="8">
        <f>IFERROR(__xludf.DUMMYFUNCTION("""COMPUTED_VALUE"""),28.0)</f>
        <v>28</v>
      </c>
    </row>
    <row r="864">
      <c r="A864" s="8">
        <f>IFERROR(__xludf.DUMMYFUNCTION("""COMPUTED_VALUE"""),862.0)</f>
        <v>862</v>
      </c>
      <c r="B864" s="8">
        <f>IFERROR(__xludf.DUMMYFUNCTION("""COMPUTED_VALUE"""),45.0)</f>
        <v>45</v>
      </c>
    </row>
    <row r="865">
      <c r="A865" s="8">
        <f>IFERROR(__xludf.DUMMYFUNCTION("""COMPUTED_VALUE"""),863.0)</f>
        <v>863</v>
      </c>
      <c r="B865" s="8">
        <f>IFERROR(__xludf.DUMMYFUNCTION("""COMPUTED_VALUE"""),29.0)</f>
        <v>29</v>
      </c>
    </row>
    <row r="866">
      <c r="A866" s="8">
        <f>IFERROR(__xludf.DUMMYFUNCTION("""COMPUTED_VALUE"""),864.0)</f>
        <v>864</v>
      </c>
      <c r="B866" s="8">
        <f>IFERROR(__xludf.DUMMYFUNCTION("""COMPUTED_VALUE"""),47.0)</f>
        <v>47</v>
      </c>
    </row>
    <row r="867">
      <c r="A867" s="8">
        <f>IFERROR(__xludf.DUMMYFUNCTION("""COMPUTED_VALUE"""),865.0)</f>
        <v>865</v>
      </c>
      <c r="B867" s="8">
        <f>IFERROR(__xludf.DUMMYFUNCTION("""COMPUTED_VALUE"""),28.0)</f>
        <v>28</v>
      </c>
    </row>
    <row r="868">
      <c r="A868" s="8">
        <f>IFERROR(__xludf.DUMMYFUNCTION("""COMPUTED_VALUE"""),866.0)</f>
        <v>866</v>
      </c>
      <c r="B868" s="8">
        <f>IFERROR(__xludf.DUMMYFUNCTION("""COMPUTED_VALUE"""),38.0)</f>
        <v>38</v>
      </c>
    </row>
    <row r="869">
      <c r="A869" s="8">
        <f>IFERROR(__xludf.DUMMYFUNCTION("""COMPUTED_VALUE"""),867.0)</f>
        <v>867</v>
      </c>
      <c r="B869" s="8">
        <f>IFERROR(__xludf.DUMMYFUNCTION("""COMPUTED_VALUE"""),64.0)</f>
        <v>64</v>
      </c>
    </row>
    <row r="870">
      <c r="A870" s="8">
        <f>IFERROR(__xludf.DUMMYFUNCTION("""COMPUTED_VALUE"""),868.0)</f>
        <v>868</v>
      </c>
      <c r="B870" s="8">
        <f>IFERROR(__xludf.DUMMYFUNCTION("""COMPUTED_VALUE"""),64.0)</f>
        <v>64</v>
      </c>
    </row>
    <row r="871">
      <c r="A871" s="8">
        <f>IFERROR(__xludf.DUMMYFUNCTION("""COMPUTED_VALUE"""),869.0)</f>
        <v>869</v>
      </c>
      <c r="B871" s="8">
        <f>IFERROR(__xludf.DUMMYFUNCTION("""COMPUTED_VALUE"""),52.0)</f>
        <v>52</v>
      </c>
    </row>
    <row r="872">
      <c r="A872" s="8">
        <f>IFERROR(__xludf.DUMMYFUNCTION("""COMPUTED_VALUE"""),870.0)</f>
        <v>870</v>
      </c>
      <c r="B872" s="8">
        <f>IFERROR(__xludf.DUMMYFUNCTION("""COMPUTED_VALUE"""),52.0)</f>
        <v>52</v>
      </c>
    </row>
    <row r="873">
      <c r="A873" s="8">
        <f>IFERROR(__xludf.DUMMYFUNCTION("""COMPUTED_VALUE"""),871.0)</f>
        <v>871</v>
      </c>
      <c r="B873" s="8">
        <f>IFERROR(__xludf.DUMMYFUNCTION("""COMPUTED_VALUE"""),72.0)</f>
        <v>72</v>
      </c>
    </row>
    <row r="874">
      <c r="A874" s="8">
        <f>IFERROR(__xludf.DUMMYFUNCTION("""COMPUTED_VALUE"""),872.0)</f>
        <v>872</v>
      </c>
      <c r="B874" s="8">
        <f>IFERROR(__xludf.DUMMYFUNCTION("""COMPUTED_VALUE"""),43.0)</f>
        <v>43</v>
      </c>
    </row>
    <row r="875">
      <c r="A875" s="8">
        <f>IFERROR(__xludf.DUMMYFUNCTION("""COMPUTED_VALUE"""),873.0)</f>
        <v>873</v>
      </c>
      <c r="B875" s="8">
        <f>IFERROR(__xludf.DUMMYFUNCTION("""COMPUTED_VALUE"""),39.0)</f>
        <v>39</v>
      </c>
    </row>
    <row r="876">
      <c r="A876" s="8">
        <f>IFERROR(__xludf.DUMMYFUNCTION("""COMPUTED_VALUE"""),874.0)</f>
        <v>874</v>
      </c>
      <c r="B876" s="8">
        <f>IFERROR(__xludf.DUMMYFUNCTION("""COMPUTED_VALUE"""),29.0)</f>
        <v>29</v>
      </c>
    </row>
    <row r="877">
      <c r="A877" s="8">
        <f>IFERROR(__xludf.DUMMYFUNCTION("""COMPUTED_VALUE"""),875.0)</f>
        <v>875</v>
      </c>
      <c r="B877" s="8">
        <f>IFERROR(__xludf.DUMMYFUNCTION("""COMPUTED_VALUE"""),47.0)</f>
        <v>47</v>
      </c>
    </row>
    <row r="878">
      <c r="A878" s="8">
        <f>IFERROR(__xludf.DUMMYFUNCTION("""COMPUTED_VALUE"""),876.0)</f>
        <v>876</v>
      </c>
      <c r="B878" s="8">
        <f>IFERROR(__xludf.DUMMYFUNCTION("""COMPUTED_VALUE"""),28.0)</f>
        <v>28</v>
      </c>
    </row>
    <row r="879">
      <c r="A879" s="8">
        <f>IFERROR(__xludf.DUMMYFUNCTION("""COMPUTED_VALUE"""),877.0)</f>
        <v>877</v>
      </c>
      <c r="B879" s="8">
        <f>IFERROR(__xludf.DUMMYFUNCTION("""COMPUTED_VALUE"""),51.0)</f>
        <v>51</v>
      </c>
    </row>
    <row r="880">
      <c r="A880" s="8">
        <f>IFERROR(__xludf.DUMMYFUNCTION("""COMPUTED_VALUE"""),878.0)</f>
        <v>878</v>
      </c>
      <c r="B880" s="8">
        <f>IFERROR(__xludf.DUMMYFUNCTION("""COMPUTED_VALUE"""),35.0)</f>
        <v>35</v>
      </c>
    </row>
    <row r="881">
      <c r="A881" s="8">
        <f>IFERROR(__xludf.DUMMYFUNCTION("""COMPUTED_VALUE"""),879.0)</f>
        <v>879</v>
      </c>
      <c r="B881" s="8">
        <f>IFERROR(__xludf.DUMMYFUNCTION("""COMPUTED_VALUE"""),66.0)</f>
        <v>66</v>
      </c>
    </row>
    <row r="882">
      <c r="A882" s="8">
        <f>IFERROR(__xludf.DUMMYFUNCTION("""COMPUTED_VALUE"""),880.0)</f>
        <v>880</v>
      </c>
      <c r="B882" s="8">
        <f>IFERROR(__xludf.DUMMYFUNCTION("""COMPUTED_VALUE"""),50.0)</f>
        <v>50</v>
      </c>
    </row>
    <row r="883">
      <c r="A883" s="8">
        <f>IFERROR(__xludf.DUMMYFUNCTION("""COMPUTED_VALUE"""),881.0)</f>
        <v>881</v>
      </c>
      <c r="B883" s="8">
        <f>IFERROR(__xludf.DUMMYFUNCTION("""COMPUTED_VALUE"""),37.0)</f>
        <v>37</v>
      </c>
    </row>
    <row r="884">
      <c r="A884" s="8">
        <f>IFERROR(__xludf.DUMMYFUNCTION("""COMPUTED_VALUE"""),882.0)</f>
        <v>882</v>
      </c>
      <c r="B884" s="8">
        <f>IFERROR(__xludf.DUMMYFUNCTION("""COMPUTED_VALUE"""),36.0)</f>
        <v>36</v>
      </c>
    </row>
    <row r="885">
      <c r="A885" s="8">
        <f>IFERROR(__xludf.DUMMYFUNCTION("""COMPUTED_VALUE"""),883.0)</f>
        <v>883</v>
      </c>
      <c r="B885" s="8">
        <f>IFERROR(__xludf.DUMMYFUNCTION("""COMPUTED_VALUE"""),43.0)</f>
        <v>43</v>
      </c>
    </row>
    <row r="886">
      <c r="A886" s="8">
        <f>IFERROR(__xludf.DUMMYFUNCTION("""COMPUTED_VALUE"""),884.0)</f>
        <v>884</v>
      </c>
      <c r="B886" s="8">
        <f>IFERROR(__xludf.DUMMYFUNCTION("""COMPUTED_VALUE"""),42.0)</f>
        <v>42</v>
      </c>
    </row>
    <row r="887">
      <c r="A887" s="8">
        <f>IFERROR(__xludf.DUMMYFUNCTION("""COMPUTED_VALUE"""),885.0)</f>
        <v>885</v>
      </c>
      <c r="B887" s="8">
        <f>IFERROR(__xludf.DUMMYFUNCTION("""COMPUTED_VALUE"""),60.0)</f>
        <v>60</v>
      </c>
    </row>
    <row r="888">
      <c r="A888" s="8">
        <f>IFERROR(__xludf.DUMMYFUNCTION("""COMPUTED_VALUE"""),886.0)</f>
        <v>886</v>
      </c>
      <c r="B888" s="8">
        <f>IFERROR(__xludf.DUMMYFUNCTION("""COMPUTED_VALUE"""),44.0)</f>
        <v>44</v>
      </c>
    </row>
    <row r="889">
      <c r="A889" s="8">
        <f>IFERROR(__xludf.DUMMYFUNCTION("""COMPUTED_VALUE"""),887.0)</f>
        <v>887</v>
      </c>
      <c r="B889" s="8">
        <f>IFERROR(__xludf.DUMMYFUNCTION("""COMPUTED_VALUE"""),63.0)</f>
        <v>63</v>
      </c>
    </row>
    <row r="890">
      <c r="A890" s="8">
        <f>IFERROR(__xludf.DUMMYFUNCTION("""COMPUTED_VALUE"""),888.0)</f>
        <v>888</v>
      </c>
      <c r="B890" s="8">
        <f>IFERROR(__xludf.DUMMYFUNCTION("""COMPUTED_VALUE"""),26.0)</f>
        <v>26</v>
      </c>
    </row>
    <row r="891">
      <c r="A891" s="8">
        <f>IFERROR(__xludf.DUMMYFUNCTION("""COMPUTED_VALUE"""),889.0)</f>
        <v>889</v>
      </c>
      <c r="B891" s="8">
        <f>IFERROR(__xludf.DUMMYFUNCTION("""COMPUTED_VALUE"""),42.0)</f>
        <v>42</v>
      </c>
    </row>
    <row r="892">
      <c r="A892" s="8">
        <f>IFERROR(__xludf.DUMMYFUNCTION("""COMPUTED_VALUE"""),890.0)</f>
        <v>890</v>
      </c>
      <c r="B892" s="8">
        <f>IFERROR(__xludf.DUMMYFUNCTION("""COMPUTED_VALUE"""),48.0)</f>
        <v>48</v>
      </c>
    </row>
    <row r="893">
      <c r="A893" s="8">
        <f>IFERROR(__xludf.DUMMYFUNCTION("""COMPUTED_VALUE"""),891.0)</f>
        <v>891</v>
      </c>
      <c r="B893" s="8">
        <f>IFERROR(__xludf.DUMMYFUNCTION("""COMPUTED_VALUE"""),34.0)</f>
        <v>34</v>
      </c>
    </row>
    <row r="894">
      <c r="A894" s="8">
        <f>IFERROR(__xludf.DUMMYFUNCTION("""COMPUTED_VALUE"""),892.0)</f>
        <v>892</v>
      </c>
      <c r="B894" s="8">
        <f>IFERROR(__xludf.DUMMYFUNCTION("""COMPUTED_VALUE"""),32.0)</f>
        <v>32</v>
      </c>
    </row>
    <row r="895">
      <c r="A895" s="8">
        <f>IFERROR(__xludf.DUMMYFUNCTION("""COMPUTED_VALUE"""),893.0)</f>
        <v>893</v>
      </c>
      <c r="B895" s="8">
        <f>IFERROR(__xludf.DUMMYFUNCTION("""COMPUTED_VALUE"""),30.0)</f>
        <v>30</v>
      </c>
    </row>
    <row r="896">
      <c r="A896" s="8">
        <f>IFERROR(__xludf.DUMMYFUNCTION("""COMPUTED_VALUE"""),894.0)</f>
        <v>894</v>
      </c>
      <c r="B896" s="8">
        <f>IFERROR(__xludf.DUMMYFUNCTION("""COMPUTED_VALUE"""),43.0)</f>
        <v>43</v>
      </c>
    </row>
    <row r="897">
      <c r="A897" s="8">
        <f>IFERROR(__xludf.DUMMYFUNCTION("""COMPUTED_VALUE"""),895.0)</f>
        <v>895</v>
      </c>
      <c r="B897" s="8">
        <f>IFERROR(__xludf.DUMMYFUNCTION("""COMPUTED_VALUE"""),59.0)</f>
        <v>59</v>
      </c>
    </row>
    <row r="898">
      <c r="A898" s="8">
        <f>IFERROR(__xludf.DUMMYFUNCTION("""COMPUTED_VALUE"""),896.0)</f>
        <v>896</v>
      </c>
      <c r="B898" s="8">
        <f>IFERROR(__xludf.DUMMYFUNCTION("""COMPUTED_VALUE"""),36.0)</f>
        <v>36</v>
      </c>
    </row>
    <row r="899">
      <c r="A899" s="8">
        <f>IFERROR(__xludf.DUMMYFUNCTION("""COMPUTED_VALUE"""),897.0)</f>
        <v>897</v>
      </c>
      <c r="B899" s="8">
        <f>IFERROR(__xludf.DUMMYFUNCTION("""COMPUTED_VALUE"""),66.0)</f>
        <v>66</v>
      </c>
    </row>
    <row r="900">
      <c r="A900" s="8">
        <f>IFERROR(__xludf.DUMMYFUNCTION("""COMPUTED_VALUE"""),898.0)</f>
        <v>898</v>
      </c>
      <c r="B900" s="8">
        <f>IFERROR(__xludf.DUMMYFUNCTION("""COMPUTED_VALUE"""),39.0)</f>
        <v>39</v>
      </c>
    </row>
    <row r="901">
      <c r="A901" s="8">
        <f>IFERROR(__xludf.DUMMYFUNCTION("""COMPUTED_VALUE"""),899.0)</f>
        <v>899</v>
      </c>
      <c r="B901" s="8">
        <f>IFERROR(__xludf.DUMMYFUNCTION("""COMPUTED_VALUE"""),48.0)</f>
        <v>48</v>
      </c>
    </row>
    <row r="902">
      <c r="A902" s="8">
        <f>IFERROR(__xludf.DUMMYFUNCTION("""COMPUTED_VALUE"""),900.0)</f>
        <v>900</v>
      </c>
      <c r="B902" s="8">
        <f>IFERROR(__xludf.DUMMYFUNCTION("""COMPUTED_VALUE"""),52.0)</f>
        <v>52</v>
      </c>
    </row>
    <row r="903">
      <c r="A903" s="8">
        <f>IFERROR(__xludf.DUMMYFUNCTION("""COMPUTED_VALUE"""),901.0)</f>
        <v>901</v>
      </c>
      <c r="B903" s="8">
        <f>IFERROR(__xludf.DUMMYFUNCTION("""COMPUTED_VALUE"""),30.0)</f>
        <v>30</v>
      </c>
    </row>
    <row r="904">
      <c r="A904" s="8">
        <f>IFERROR(__xludf.DUMMYFUNCTION("""COMPUTED_VALUE"""),902.0)</f>
        <v>902</v>
      </c>
      <c r="B904" s="8">
        <f>IFERROR(__xludf.DUMMYFUNCTION("""COMPUTED_VALUE"""),40.0)</f>
        <v>40</v>
      </c>
    </row>
    <row r="905">
      <c r="A905" s="8">
        <f>IFERROR(__xludf.DUMMYFUNCTION("""COMPUTED_VALUE"""),903.0)</f>
        <v>903</v>
      </c>
      <c r="B905" s="8">
        <f>IFERROR(__xludf.DUMMYFUNCTION("""COMPUTED_VALUE"""),48.0)</f>
        <v>48</v>
      </c>
    </row>
    <row r="906">
      <c r="A906" s="8">
        <f>IFERROR(__xludf.DUMMYFUNCTION("""COMPUTED_VALUE"""),904.0)</f>
        <v>904</v>
      </c>
      <c r="B906" s="8">
        <f>IFERROR(__xludf.DUMMYFUNCTION("""COMPUTED_VALUE"""),53.0)</f>
        <v>53</v>
      </c>
    </row>
    <row r="907">
      <c r="A907" s="8">
        <f>IFERROR(__xludf.DUMMYFUNCTION("""COMPUTED_VALUE"""),905.0)</f>
        <v>905</v>
      </c>
      <c r="B907" s="8">
        <f>IFERROR(__xludf.DUMMYFUNCTION("""COMPUTED_VALUE"""),29.0)</f>
        <v>29</v>
      </c>
    </row>
    <row r="908">
      <c r="A908" s="8">
        <f>IFERROR(__xludf.DUMMYFUNCTION("""COMPUTED_VALUE"""),906.0)</f>
        <v>906</v>
      </c>
      <c r="B908" s="8">
        <f>IFERROR(__xludf.DUMMYFUNCTION("""COMPUTED_VALUE"""),46.0)</f>
        <v>46</v>
      </c>
    </row>
    <row r="909">
      <c r="A909" s="8">
        <f>IFERROR(__xludf.DUMMYFUNCTION("""COMPUTED_VALUE"""),907.0)</f>
        <v>907</v>
      </c>
      <c r="B909" s="8">
        <f>IFERROR(__xludf.DUMMYFUNCTION("""COMPUTED_VALUE"""),46.0)</f>
        <v>46</v>
      </c>
    </row>
    <row r="910">
      <c r="A910" s="8">
        <f>IFERROR(__xludf.DUMMYFUNCTION("""COMPUTED_VALUE"""),908.0)</f>
        <v>908</v>
      </c>
      <c r="B910" s="8">
        <f>IFERROR(__xludf.DUMMYFUNCTION("""COMPUTED_VALUE"""),40.0)</f>
        <v>40</v>
      </c>
    </row>
    <row r="911">
      <c r="A911" s="8">
        <f>IFERROR(__xludf.DUMMYFUNCTION("""COMPUTED_VALUE"""),909.0)</f>
        <v>909</v>
      </c>
      <c r="B911" s="8">
        <f>IFERROR(__xludf.DUMMYFUNCTION("""COMPUTED_VALUE"""),44.0)</f>
        <v>44</v>
      </c>
    </row>
    <row r="912">
      <c r="A912" s="8">
        <f>IFERROR(__xludf.DUMMYFUNCTION("""COMPUTED_VALUE"""),910.0)</f>
        <v>910</v>
      </c>
      <c r="B912" s="8">
        <f>IFERROR(__xludf.DUMMYFUNCTION("""COMPUTED_VALUE"""),56.0)</f>
        <v>56</v>
      </c>
    </row>
    <row r="913">
      <c r="A913" s="8">
        <f>IFERROR(__xludf.DUMMYFUNCTION("""COMPUTED_VALUE"""),911.0)</f>
        <v>911</v>
      </c>
      <c r="B913" s="8">
        <f>IFERROR(__xludf.DUMMYFUNCTION("""COMPUTED_VALUE"""),69.0)</f>
        <v>69</v>
      </c>
    </row>
    <row r="914">
      <c r="A914" s="8">
        <f>IFERROR(__xludf.DUMMYFUNCTION("""COMPUTED_VALUE"""),912.0)</f>
        <v>912</v>
      </c>
      <c r="B914" s="8">
        <f>IFERROR(__xludf.DUMMYFUNCTION("""COMPUTED_VALUE"""),47.0)</f>
        <v>47</v>
      </c>
    </row>
    <row r="915">
      <c r="A915" s="8">
        <f>IFERROR(__xludf.DUMMYFUNCTION("""COMPUTED_VALUE"""),913.0)</f>
        <v>913</v>
      </c>
      <c r="B915" s="8">
        <f>IFERROR(__xludf.DUMMYFUNCTION("""COMPUTED_VALUE"""),21.0)</f>
        <v>21</v>
      </c>
    </row>
    <row r="916">
      <c r="A916" s="8">
        <f>IFERROR(__xludf.DUMMYFUNCTION("""COMPUTED_VALUE"""),914.0)</f>
        <v>914</v>
      </c>
      <c r="B916" s="8">
        <f>IFERROR(__xludf.DUMMYFUNCTION("""COMPUTED_VALUE"""),47.0)</f>
        <v>47</v>
      </c>
    </row>
    <row r="917">
      <c r="A917" s="8">
        <f>IFERROR(__xludf.DUMMYFUNCTION("""COMPUTED_VALUE"""),915.0)</f>
        <v>915</v>
      </c>
      <c r="B917" s="8">
        <f>IFERROR(__xludf.DUMMYFUNCTION("""COMPUTED_VALUE"""),67.0)</f>
        <v>67</v>
      </c>
    </row>
    <row r="918">
      <c r="A918" s="8">
        <f>IFERROR(__xludf.DUMMYFUNCTION("""COMPUTED_VALUE"""),916.0)</f>
        <v>916</v>
      </c>
      <c r="B918" s="8">
        <f>IFERROR(__xludf.DUMMYFUNCTION("""COMPUTED_VALUE"""),66.0)</f>
        <v>66</v>
      </c>
    </row>
    <row r="919">
      <c r="A919" s="8">
        <f>IFERROR(__xludf.DUMMYFUNCTION("""COMPUTED_VALUE"""),917.0)</f>
        <v>917</v>
      </c>
      <c r="B919" s="8">
        <f>IFERROR(__xludf.DUMMYFUNCTION("""COMPUTED_VALUE"""),51.0)</f>
        <v>51</v>
      </c>
    </row>
    <row r="920">
      <c r="A920" s="8">
        <f>IFERROR(__xludf.DUMMYFUNCTION("""COMPUTED_VALUE"""),918.0)</f>
        <v>918</v>
      </c>
      <c r="B920" s="8">
        <f>IFERROR(__xludf.DUMMYFUNCTION("""COMPUTED_VALUE"""),35.0)</f>
        <v>35</v>
      </c>
    </row>
    <row r="921">
      <c r="A921" s="8">
        <f>IFERROR(__xludf.DUMMYFUNCTION("""COMPUTED_VALUE"""),919.0)</f>
        <v>919</v>
      </c>
      <c r="B921" s="8">
        <f>IFERROR(__xludf.DUMMYFUNCTION("""COMPUTED_VALUE"""),41.0)</f>
        <v>41</v>
      </c>
    </row>
    <row r="922">
      <c r="A922" s="8">
        <f>IFERROR(__xludf.DUMMYFUNCTION("""COMPUTED_VALUE"""),920.0)</f>
        <v>920</v>
      </c>
      <c r="B922" s="8">
        <f>IFERROR(__xludf.DUMMYFUNCTION("""COMPUTED_VALUE"""),46.0)</f>
        <v>46</v>
      </c>
    </row>
    <row r="923">
      <c r="A923" s="8">
        <f>IFERROR(__xludf.DUMMYFUNCTION("""COMPUTED_VALUE"""),921.0)</f>
        <v>921</v>
      </c>
      <c r="B923" s="8">
        <f>IFERROR(__xludf.DUMMYFUNCTION("""COMPUTED_VALUE"""),43.0)</f>
        <v>43</v>
      </c>
    </row>
    <row r="924">
      <c r="A924" s="8">
        <f>IFERROR(__xludf.DUMMYFUNCTION("""COMPUTED_VALUE"""),922.0)</f>
        <v>922</v>
      </c>
      <c r="B924" s="8">
        <f>IFERROR(__xludf.DUMMYFUNCTION("""COMPUTED_VALUE"""),43.0)</f>
        <v>43</v>
      </c>
    </row>
    <row r="925">
      <c r="A925" s="8">
        <f>IFERROR(__xludf.DUMMYFUNCTION("""COMPUTED_VALUE"""),923.0)</f>
        <v>923</v>
      </c>
      <c r="B925" s="8">
        <f>IFERROR(__xludf.DUMMYFUNCTION("""COMPUTED_VALUE"""),36.0)</f>
        <v>36</v>
      </c>
    </row>
    <row r="926">
      <c r="A926" s="8">
        <f>IFERROR(__xludf.DUMMYFUNCTION("""COMPUTED_VALUE"""),924.0)</f>
        <v>924</v>
      </c>
      <c r="B926" s="8">
        <f>IFERROR(__xludf.DUMMYFUNCTION("""COMPUTED_VALUE"""),41.0)</f>
        <v>41</v>
      </c>
    </row>
    <row r="927">
      <c r="A927" s="8">
        <f>IFERROR(__xludf.DUMMYFUNCTION("""COMPUTED_VALUE"""),925.0)</f>
        <v>925</v>
      </c>
      <c r="B927" s="8">
        <f>IFERROR(__xludf.DUMMYFUNCTION("""COMPUTED_VALUE"""),55.0)</f>
        <v>55</v>
      </c>
    </row>
    <row r="928">
      <c r="A928" s="8">
        <f>IFERROR(__xludf.DUMMYFUNCTION("""COMPUTED_VALUE"""),926.0)</f>
        <v>926</v>
      </c>
      <c r="B928" s="8">
        <f>IFERROR(__xludf.DUMMYFUNCTION("""COMPUTED_VALUE"""),52.0)</f>
        <v>52</v>
      </c>
    </row>
    <row r="929">
      <c r="A929" s="8">
        <f>IFERROR(__xludf.DUMMYFUNCTION("""COMPUTED_VALUE"""),927.0)</f>
        <v>927</v>
      </c>
      <c r="B929" s="8">
        <f>IFERROR(__xludf.DUMMYFUNCTION("""COMPUTED_VALUE"""),50.0)</f>
        <v>50</v>
      </c>
    </row>
    <row r="930">
      <c r="A930" s="8">
        <f>IFERROR(__xludf.DUMMYFUNCTION("""COMPUTED_VALUE"""),928.0)</f>
        <v>928</v>
      </c>
      <c r="B930" s="8">
        <f>IFERROR(__xludf.DUMMYFUNCTION("""COMPUTED_VALUE"""),77.0)</f>
        <v>77</v>
      </c>
    </row>
    <row r="931">
      <c r="A931" s="8">
        <f>IFERROR(__xludf.DUMMYFUNCTION("""COMPUTED_VALUE"""),929.0)</f>
        <v>929</v>
      </c>
      <c r="B931" s="8">
        <f>IFERROR(__xludf.DUMMYFUNCTION("""COMPUTED_VALUE"""),39.0)</f>
        <v>39</v>
      </c>
    </row>
    <row r="932">
      <c r="A932" s="8">
        <f>IFERROR(__xludf.DUMMYFUNCTION("""COMPUTED_VALUE"""),930.0)</f>
        <v>930</v>
      </c>
      <c r="B932" s="8">
        <f>IFERROR(__xludf.DUMMYFUNCTION("""COMPUTED_VALUE"""),57.0)</f>
        <v>57</v>
      </c>
    </row>
    <row r="933">
      <c r="A933" s="8">
        <f>IFERROR(__xludf.DUMMYFUNCTION("""COMPUTED_VALUE"""),931.0)</f>
        <v>931</v>
      </c>
      <c r="B933" s="8">
        <f>IFERROR(__xludf.DUMMYFUNCTION("""COMPUTED_VALUE"""),65.0)</f>
        <v>65</v>
      </c>
    </row>
    <row r="934">
      <c r="A934" s="8">
        <f>IFERROR(__xludf.DUMMYFUNCTION("""COMPUTED_VALUE"""),932.0)</f>
        <v>932</v>
      </c>
      <c r="B934" s="8">
        <f>IFERROR(__xludf.DUMMYFUNCTION("""COMPUTED_VALUE"""),44.0)</f>
        <v>44</v>
      </c>
    </row>
    <row r="935">
      <c r="A935" s="8">
        <f>IFERROR(__xludf.DUMMYFUNCTION("""COMPUTED_VALUE"""),933.0)</f>
        <v>933</v>
      </c>
      <c r="B935" s="8">
        <f>IFERROR(__xludf.DUMMYFUNCTION("""COMPUTED_VALUE"""),45.0)</f>
        <v>45</v>
      </c>
    </row>
    <row r="936">
      <c r="A936" s="8">
        <f>IFERROR(__xludf.DUMMYFUNCTION("""COMPUTED_VALUE"""),934.0)</f>
        <v>934</v>
      </c>
      <c r="B936" s="8">
        <f>IFERROR(__xludf.DUMMYFUNCTION("""COMPUTED_VALUE"""),60.0)</f>
        <v>60</v>
      </c>
    </row>
    <row r="937">
      <c r="A937" s="8">
        <f>IFERROR(__xludf.DUMMYFUNCTION("""COMPUTED_VALUE"""),935.0)</f>
        <v>935</v>
      </c>
      <c r="B937" s="8">
        <f>IFERROR(__xludf.DUMMYFUNCTION("""COMPUTED_VALUE"""),35.0)</f>
        <v>35</v>
      </c>
    </row>
    <row r="938">
      <c r="A938" s="8">
        <f>IFERROR(__xludf.DUMMYFUNCTION("""COMPUTED_VALUE"""),936.0)</f>
        <v>936</v>
      </c>
      <c r="B938" s="8">
        <f>IFERROR(__xludf.DUMMYFUNCTION("""COMPUTED_VALUE"""),46.0)</f>
        <v>46</v>
      </c>
    </row>
    <row r="939">
      <c r="A939" s="8">
        <f>IFERROR(__xludf.DUMMYFUNCTION("""COMPUTED_VALUE"""),937.0)</f>
        <v>937</v>
      </c>
      <c r="B939" s="8">
        <f>IFERROR(__xludf.DUMMYFUNCTION("""COMPUTED_VALUE"""),27.0)</f>
        <v>27</v>
      </c>
    </row>
    <row r="940">
      <c r="A940" s="8">
        <f>IFERROR(__xludf.DUMMYFUNCTION("""COMPUTED_VALUE"""),938.0)</f>
        <v>938</v>
      </c>
      <c r="B940" s="8">
        <f>IFERROR(__xludf.DUMMYFUNCTION("""COMPUTED_VALUE"""),30.0)</f>
        <v>30</v>
      </c>
    </row>
    <row r="941">
      <c r="A941" s="8">
        <f>IFERROR(__xludf.DUMMYFUNCTION("""COMPUTED_VALUE"""),939.0)</f>
        <v>939</v>
      </c>
      <c r="B941" s="8">
        <f>IFERROR(__xludf.DUMMYFUNCTION("""COMPUTED_VALUE"""),20.0)</f>
        <v>20</v>
      </c>
    </row>
    <row r="942">
      <c r="A942" s="8">
        <f>IFERROR(__xludf.DUMMYFUNCTION("""COMPUTED_VALUE"""),940.0)</f>
        <v>940</v>
      </c>
      <c r="B942" s="8">
        <f>IFERROR(__xludf.DUMMYFUNCTION("""COMPUTED_VALUE"""),51.0)</f>
        <v>51</v>
      </c>
    </row>
    <row r="943">
      <c r="A943" s="8">
        <f>IFERROR(__xludf.DUMMYFUNCTION("""COMPUTED_VALUE"""),941.0)</f>
        <v>941</v>
      </c>
      <c r="B943" s="8">
        <f>IFERROR(__xludf.DUMMYFUNCTION("""COMPUTED_VALUE"""),35.0)</f>
        <v>35</v>
      </c>
    </row>
    <row r="944">
      <c r="A944" s="8">
        <f>IFERROR(__xludf.DUMMYFUNCTION("""COMPUTED_VALUE"""),942.0)</f>
        <v>942</v>
      </c>
      <c r="B944" s="8">
        <f>IFERROR(__xludf.DUMMYFUNCTION("""COMPUTED_VALUE"""),46.0)</f>
        <v>46</v>
      </c>
    </row>
    <row r="945">
      <c r="A945" s="8">
        <f>IFERROR(__xludf.DUMMYFUNCTION("""COMPUTED_VALUE"""),943.0)</f>
        <v>943</v>
      </c>
      <c r="B945" s="8">
        <f>IFERROR(__xludf.DUMMYFUNCTION("""COMPUTED_VALUE"""),35.0)</f>
        <v>35</v>
      </c>
    </row>
    <row r="946">
      <c r="A946" s="8">
        <f>IFERROR(__xludf.DUMMYFUNCTION("""COMPUTED_VALUE"""),944.0)</f>
        <v>944</v>
      </c>
      <c r="B946" s="8">
        <f>IFERROR(__xludf.DUMMYFUNCTION("""COMPUTED_VALUE"""),41.0)</f>
        <v>41</v>
      </c>
    </row>
    <row r="947">
      <c r="A947" s="8">
        <f>IFERROR(__xludf.DUMMYFUNCTION("""COMPUTED_VALUE"""),945.0)</f>
        <v>945</v>
      </c>
      <c r="B947" s="8">
        <f>IFERROR(__xludf.DUMMYFUNCTION("""COMPUTED_VALUE"""),39.0)</f>
        <v>39</v>
      </c>
    </row>
    <row r="948">
      <c r="A948" s="8">
        <f>IFERROR(__xludf.DUMMYFUNCTION("""COMPUTED_VALUE"""),946.0)</f>
        <v>946</v>
      </c>
      <c r="B948" s="8">
        <f>IFERROR(__xludf.DUMMYFUNCTION("""COMPUTED_VALUE"""),40.0)</f>
        <v>40</v>
      </c>
    </row>
    <row r="949">
      <c r="A949" s="8">
        <f>IFERROR(__xludf.DUMMYFUNCTION("""COMPUTED_VALUE"""),947.0)</f>
        <v>947</v>
      </c>
      <c r="B949" s="8">
        <f>IFERROR(__xludf.DUMMYFUNCTION("""COMPUTED_VALUE"""),27.0)</f>
        <v>27</v>
      </c>
    </row>
    <row r="950">
      <c r="A950" s="8">
        <f>IFERROR(__xludf.DUMMYFUNCTION("""COMPUTED_VALUE"""),948.0)</f>
        <v>948</v>
      </c>
      <c r="B950" s="8">
        <f>IFERROR(__xludf.DUMMYFUNCTION("""COMPUTED_VALUE"""),40.0)</f>
        <v>40</v>
      </c>
    </row>
    <row r="951">
      <c r="A951" s="8">
        <f>IFERROR(__xludf.DUMMYFUNCTION("""COMPUTED_VALUE"""),949.0)</f>
        <v>949</v>
      </c>
      <c r="B951" s="8">
        <f>IFERROR(__xludf.DUMMYFUNCTION("""COMPUTED_VALUE"""),36.0)</f>
        <v>36</v>
      </c>
    </row>
    <row r="952">
      <c r="A952" s="8">
        <f>IFERROR(__xludf.DUMMYFUNCTION("""COMPUTED_VALUE"""),950.0)</f>
        <v>950</v>
      </c>
      <c r="B952" s="8">
        <f>IFERROR(__xludf.DUMMYFUNCTION("""COMPUTED_VALUE"""),35.0)</f>
        <v>35</v>
      </c>
    </row>
    <row r="953">
      <c r="A953" s="8">
        <f>IFERROR(__xludf.DUMMYFUNCTION("""COMPUTED_VALUE"""),951.0)</f>
        <v>951</v>
      </c>
      <c r="B953" s="8">
        <f>IFERROR(__xludf.DUMMYFUNCTION("""COMPUTED_VALUE"""),25.0)</f>
        <v>25</v>
      </c>
    </row>
    <row r="954">
      <c r="A954" s="8">
        <f>IFERROR(__xludf.DUMMYFUNCTION("""COMPUTED_VALUE"""),952.0)</f>
        <v>952</v>
      </c>
      <c r="B954" s="8">
        <f>IFERROR(__xludf.DUMMYFUNCTION("""COMPUTED_VALUE"""),37.0)</f>
        <v>37</v>
      </c>
    </row>
    <row r="955">
      <c r="A955" s="8">
        <f>IFERROR(__xludf.DUMMYFUNCTION("""COMPUTED_VALUE"""),953.0)</f>
        <v>953</v>
      </c>
      <c r="B955" s="8">
        <f>IFERROR(__xludf.DUMMYFUNCTION("""COMPUTED_VALUE"""),29.0)</f>
        <v>29</v>
      </c>
    </row>
    <row r="956">
      <c r="A956" s="8">
        <f>IFERROR(__xludf.DUMMYFUNCTION("""COMPUTED_VALUE"""),954.0)</f>
        <v>954</v>
      </c>
      <c r="B956" s="8">
        <f>IFERROR(__xludf.DUMMYFUNCTION("""COMPUTED_VALUE"""),44.0)</f>
        <v>44</v>
      </c>
    </row>
    <row r="957">
      <c r="A957" s="8">
        <f>IFERROR(__xludf.DUMMYFUNCTION("""COMPUTED_VALUE"""),955.0)</f>
        <v>955</v>
      </c>
      <c r="B957" s="8">
        <f>IFERROR(__xludf.DUMMYFUNCTION("""COMPUTED_VALUE"""),31.0)</f>
        <v>31</v>
      </c>
    </row>
    <row r="958">
      <c r="A958" s="8">
        <f>IFERROR(__xludf.DUMMYFUNCTION("""COMPUTED_VALUE"""),956.0)</f>
        <v>956</v>
      </c>
      <c r="B958" s="8">
        <f>IFERROR(__xludf.DUMMYFUNCTION("""COMPUTED_VALUE"""),54.0)</f>
        <v>54</v>
      </c>
    </row>
    <row r="959">
      <c r="A959" s="8">
        <f>IFERROR(__xludf.DUMMYFUNCTION("""COMPUTED_VALUE"""),957.0)</f>
        <v>957</v>
      </c>
      <c r="B959" s="8">
        <f>IFERROR(__xludf.DUMMYFUNCTION("""COMPUTED_VALUE"""),31.0)</f>
        <v>31</v>
      </c>
    </row>
    <row r="960">
      <c r="A960" s="8">
        <f>IFERROR(__xludf.DUMMYFUNCTION("""COMPUTED_VALUE"""),958.0)</f>
        <v>958</v>
      </c>
      <c r="B960" s="8">
        <f>IFERROR(__xludf.DUMMYFUNCTION("""COMPUTED_VALUE"""),82.0)</f>
        <v>82</v>
      </c>
    </row>
    <row r="961">
      <c r="A961" s="8">
        <f>IFERROR(__xludf.DUMMYFUNCTION("""COMPUTED_VALUE"""),959.0)</f>
        <v>959</v>
      </c>
      <c r="B961" s="8">
        <f>IFERROR(__xludf.DUMMYFUNCTION("""COMPUTED_VALUE"""),39.0)</f>
        <v>39</v>
      </c>
    </row>
    <row r="962">
      <c r="A962" s="8">
        <f>IFERROR(__xludf.DUMMYFUNCTION("""COMPUTED_VALUE"""),960.0)</f>
        <v>960</v>
      </c>
      <c r="B962" s="8">
        <f>IFERROR(__xludf.DUMMYFUNCTION("""COMPUTED_VALUE"""),39.0)</f>
        <v>39</v>
      </c>
    </row>
    <row r="963">
      <c r="A963" s="8">
        <f>IFERROR(__xludf.DUMMYFUNCTION("""COMPUTED_VALUE"""),961.0)</f>
        <v>961</v>
      </c>
      <c r="B963" s="8">
        <f>IFERROR(__xludf.DUMMYFUNCTION("""COMPUTED_VALUE"""),28.0)</f>
        <v>28</v>
      </c>
    </row>
    <row r="964">
      <c r="A964" s="8">
        <f>IFERROR(__xludf.DUMMYFUNCTION("""COMPUTED_VALUE"""),962.0)</f>
        <v>962</v>
      </c>
      <c r="B964" s="8">
        <f>IFERROR(__xludf.DUMMYFUNCTION("""COMPUTED_VALUE"""),38.0)</f>
        <v>38</v>
      </c>
    </row>
    <row r="965">
      <c r="A965" s="8">
        <f>IFERROR(__xludf.DUMMYFUNCTION("""COMPUTED_VALUE"""),963.0)</f>
        <v>963</v>
      </c>
      <c r="B965" s="8">
        <f>IFERROR(__xludf.DUMMYFUNCTION("""COMPUTED_VALUE"""),37.0)</f>
        <v>37</v>
      </c>
    </row>
    <row r="966">
      <c r="A966" s="8">
        <f>IFERROR(__xludf.DUMMYFUNCTION("""COMPUTED_VALUE"""),964.0)</f>
        <v>964</v>
      </c>
      <c r="B966" s="8">
        <f>IFERROR(__xludf.DUMMYFUNCTION("""COMPUTED_VALUE"""),41.0)</f>
        <v>41</v>
      </c>
    </row>
    <row r="967">
      <c r="A967" s="8">
        <f>IFERROR(__xludf.DUMMYFUNCTION("""COMPUTED_VALUE"""),965.0)</f>
        <v>965</v>
      </c>
      <c r="B967" s="8">
        <f>IFERROR(__xludf.DUMMYFUNCTION("""COMPUTED_VALUE"""),36.0)</f>
        <v>36</v>
      </c>
    </row>
    <row r="968">
      <c r="A968" s="8">
        <f>IFERROR(__xludf.DUMMYFUNCTION("""COMPUTED_VALUE"""),966.0)</f>
        <v>966</v>
      </c>
      <c r="B968" s="8">
        <f>IFERROR(__xludf.DUMMYFUNCTION("""COMPUTED_VALUE"""),55.0)</f>
        <v>55</v>
      </c>
    </row>
    <row r="969">
      <c r="A969" s="8">
        <f>IFERROR(__xludf.DUMMYFUNCTION("""COMPUTED_VALUE"""),967.0)</f>
        <v>967</v>
      </c>
      <c r="B969" s="8">
        <f>IFERROR(__xludf.DUMMYFUNCTION("""COMPUTED_VALUE"""),43.0)</f>
        <v>43</v>
      </c>
    </row>
    <row r="970">
      <c r="A970" s="8">
        <f>IFERROR(__xludf.DUMMYFUNCTION("""COMPUTED_VALUE"""),968.0)</f>
        <v>968</v>
      </c>
      <c r="B970" s="8">
        <f>IFERROR(__xludf.DUMMYFUNCTION("""COMPUTED_VALUE"""),32.0)</f>
        <v>32</v>
      </c>
    </row>
    <row r="971">
      <c r="A971" s="8">
        <f>IFERROR(__xludf.DUMMYFUNCTION("""COMPUTED_VALUE"""),969.0)</f>
        <v>969</v>
      </c>
      <c r="B971" s="8">
        <f>IFERROR(__xludf.DUMMYFUNCTION("""COMPUTED_VALUE"""),55.0)</f>
        <v>55</v>
      </c>
    </row>
    <row r="972">
      <c r="A972" s="8">
        <f>IFERROR(__xludf.DUMMYFUNCTION("""COMPUTED_VALUE"""),970.0)</f>
        <v>970</v>
      </c>
      <c r="B972" s="8">
        <f>IFERROR(__xludf.DUMMYFUNCTION("""COMPUTED_VALUE"""),54.0)</f>
        <v>54</v>
      </c>
    </row>
    <row r="973">
      <c r="A973" s="8">
        <f>IFERROR(__xludf.DUMMYFUNCTION("""COMPUTED_VALUE"""),971.0)</f>
        <v>971</v>
      </c>
      <c r="B973" s="8">
        <f>IFERROR(__xludf.DUMMYFUNCTION("""COMPUTED_VALUE"""),58.0)</f>
        <v>58</v>
      </c>
    </row>
    <row r="974">
      <c r="A974" s="8">
        <f>IFERROR(__xludf.DUMMYFUNCTION("""COMPUTED_VALUE"""),972.0)</f>
        <v>972</v>
      </c>
      <c r="B974" s="8">
        <f>IFERROR(__xludf.DUMMYFUNCTION("""COMPUTED_VALUE"""),67.0)</f>
        <v>67</v>
      </c>
    </row>
    <row r="975">
      <c r="A975" s="8">
        <f>IFERROR(__xludf.DUMMYFUNCTION("""COMPUTED_VALUE"""),973.0)</f>
        <v>973</v>
      </c>
      <c r="B975" s="8">
        <f>IFERROR(__xludf.DUMMYFUNCTION("""COMPUTED_VALUE"""),47.0)</f>
        <v>47</v>
      </c>
    </row>
    <row r="976">
      <c r="A976" s="8">
        <f>IFERROR(__xludf.DUMMYFUNCTION("""COMPUTED_VALUE"""),974.0)</f>
        <v>974</v>
      </c>
      <c r="B976" s="8">
        <f>IFERROR(__xludf.DUMMYFUNCTION("""COMPUTED_VALUE"""),31.0)</f>
        <v>31</v>
      </c>
    </row>
    <row r="977">
      <c r="A977" s="8">
        <f>IFERROR(__xludf.DUMMYFUNCTION("""COMPUTED_VALUE"""),975.0)</f>
        <v>975</v>
      </c>
      <c r="B977" s="8">
        <f>IFERROR(__xludf.DUMMYFUNCTION("""COMPUTED_VALUE"""),36.0)</f>
        <v>36</v>
      </c>
    </row>
    <row r="978">
      <c r="A978" s="8">
        <f>IFERROR(__xludf.DUMMYFUNCTION("""COMPUTED_VALUE"""),976.0)</f>
        <v>976</v>
      </c>
      <c r="B978" s="8">
        <f>IFERROR(__xludf.DUMMYFUNCTION("""COMPUTED_VALUE"""),48.0)</f>
        <v>48</v>
      </c>
    </row>
    <row r="979">
      <c r="A979" s="8">
        <f>IFERROR(__xludf.DUMMYFUNCTION("""COMPUTED_VALUE"""),977.0)</f>
        <v>977</v>
      </c>
      <c r="B979" s="8">
        <f>IFERROR(__xludf.DUMMYFUNCTION("""COMPUTED_VALUE"""),21.0)</f>
        <v>21</v>
      </c>
    </row>
    <row r="980">
      <c r="A980" s="8">
        <f>IFERROR(__xludf.DUMMYFUNCTION("""COMPUTED_VALUE"""),978.0)</f>
        <v>978</v>
      </c>
      <c r="B980" s="8">
        <f>IFERROR(__xludf.DUMMYFUNCTION("""COMPUTED_VALUE"""),29.0)</f>
        <v>29</v>
      </c>
    </row>
    <row r="981">
      <c r="A981" s="8">
        <f>IFERROR(__xludf.DUMMYFUNCTION("""COMPUTED_VALUE"""),979.0)</f>
        <v>979</v>
      </c>
      <c r="B981" s="8">
        <f>IFERROR(__xludf.DUMMYFUNCTION("""COMPUTED_VALUE"""),50.0)</f>
        <v>50</v>
      </c>
    </row>
    <row r="982">
      <c r="A982" s="8">
        <f>IFERROR(__xludf.DUMMYFUNCTION("""COMPUTED_VALUE"""),980.0)</f>
        <v>980</v>
      </c>
      <c r="B982" s="8">
        <f>IFERROR(__xludf.DUMMYFUNCTION("""COMPUTED_VALUE"""),36.0)</f>
        <v>36</v>
      </c>
    </row>
    <row r="983">
      <c r="A983" s="8">
        <f>IFERROR(__xludf.DUMMYFUNCTION("""COMPUTED_VALUE"""),981.0)</f>
        <v>981</v>
      </c>
      <c r="B983" s="8">
        <f>IFERROR(__xludf.DUMMYFUNCTION("""COMPUTED_VALUE"""),41.0)</f>
        <v>41</v>
      </c>
    </row>
    <row r="984">
      <c r="A984" s="8">
        <f>IFERROR(__xludf.DUMMYFUNCTION("""COMPUTED_VALUE"""),982.0)</f>
        <v>982</v>
      </c>
      <c r="B984" s="8">
        <f>IFERROR(__xludf.DUMMYFUNCTION("""COMPUTED_VALUE"""),41.0)</f>
        <v>41</v>
      </c>
    </row>
    <row r="985">
      <c r="A985" s="8">
        <f>IFERROR(__xludf.DUMMYFUNCTION("""COMPUTED_VALUE"""),983.0)</f>
        <v>983</v>
      </c>
      <c r="B985" s="8">
        <f>IFERROR(__xludf.DUMMYFUNCTION("""COMPUTED_VALUE"""),34.0)</f>
        <v>34</v>
      </c>
    </row>
    <row r="986">
      <c r="A986" s="8">
        <f>IFERROR(__xludf.DUMMYFUNCTION("""COMPUTED_VALUE"""),984.0)</f>
        <v>984</v>
      </c>
      <c r="B986" s="8">
        <f>IFERROR(__xludf.DUMMYFUNCTION("""COMPUTED_VALUE"""),41.0)</f>
        <v>41</v>
      </c>
    </row>
    <row r="987">
      <c r="A987" s="8">
        <f>IFERROR(__xludf.DUMMYFUNCTION("""COMPUTED_VALUE"""),985.0)</f>
        <v>985</v>
      </c>
      <c r="B987" s="8">
        <f>IFERROR(__xludf.DUMMYFUNCTION("""COMPUTED_VALUE"""),33.0)</f>
        <v>33</v>
      </c>
    </row>
    <row r="988">
      <c r="A988" s="8">
        <f>IFERROR(__xludf.DUMMYFUNCTION("""COMPUTED_VALUE"""),986.0)</f>
        <v>986</v>
      </c>
      <c r="B988" s="8">
        <f>IFERROR(__xludf.DUMMYFUNCTION("""COMPUTED_VALUE"""),66.0)</f>
        <v>66</v>
      </c>
    </row>
    <row r="989">
      <c r="A989" s="8">
        <f>IFERROR(__xludf.DUMMYFUNCTION("""COMPUTED_VALUE"""),987.0)</f>
        <v>987</v>
      </c>
      <c r="B989" s="8">
        <f>IFERROR(__xludf.DUMMYFUNCTION("""COMPUTED_VALUE"""),45.0)</f>
        <v>45</v>
      </c>
    </row>
    <row r="990">
      <c r="A990" s="8">
        <f>IFERROR(__xludf.DUMMYFUNCTION("""COMPUTED_VALUE"""),988.0)</f>
        <v>988</v>
      </c>
      <c r="B990" s="8">
        <f>IFERROR(__xludf.DUMMYFUNCTION("""COMPUTED_VALUE"""),31.0)</f>
        <v>31</v>
      </c>
    </row>
    <row r="991">
      <c r="A991" s="8">
        <f>IFERROR(__xludf.DUMMYFUNCTION("""COMPUTED_VALUE"""),989.0)</f>
        <v>989</v>
      </c>
      <c r="B991" s="8">
        <f>IFERROR(__xludf.DUMMYFUNCTION("""COMPUTED_VALUE"""),68.0)</f>
        <v>68</v>
      </c>
    </row>
    <row r="992">
      <c r="A992" s="8">
        <f>IFERROR(__xludf.DUMMYFUNCTION("""COMPUTED_VALUE"""),990.0)</f>
        <v>990</v>
      </c>
      <c r="B992" s="8">
        <f>IFERROR(__xludf.DUMMYFUNCTION("""COMPUTED_VALUE"""),65.0)</f>
        <v>65</v>
      </c>
    </row>
    <row r="993">
      <c r="A993" s="8">
        <f>IFERROR(__xludf.DUMMYFUNCTION("""COMPUTED_VALUE"""),991.0)</f>
        <v>991</v>
      </c>
      <c r="B993" s="8">
        <f>IFERROR(__xludf.DUMMYFUNCTION("""COMPUTED_VALUE"""),51.0)</f>
        <v>51</v>
      </c>
    </row>
    <row r="994">
      <c r="A994" s="8">
        <f>IFERROR(__xludf.DUMMYFUNCTION("""COMPUTED_VALUE"""),992.0)</f>
        <v>992</v>
      </c>
      <c r="B994" s="8">
        <f>IFERROR(__xludf.DUMMYFUNCTION("""COMPUTED_VALUE"""),69.0)</f>
        <v>69</v>
      </c>
    </row>
    <row r="995">
      <c r="A995" s="8">
        <f>IFERROR(__xludf.DUMMYFUNCTION("""COMPUTED_VALUE"""),993.0)</f>
        <v>993</v>
      </c>
      <c r="B995" s="8">
        <f>IFERROR(__xludf.DUMMYFUNCTION("""COMPUTED_VALUE"""),48.0)</f>
        <v>48</v>
      </c>
    </row>
    <row r="996">
      <c r="A996" s="8">
        <f>IFERROR(__xludf.DUMMYFUNCTION("""COMPUTED_VALUE"""),994.0)</f>
        <v>994</v>
      </c>
      <c r="B996" s="8">
        <f>IFERROR(__xludf.DUMMYFUNCTION("""COMPUTED_VALUE"""),41.0)</f>
        <v>41</v>
      </c>
    </row>
    <row r="997">
      <c r="A997" s="8">
        <f>IFERROR(__xludf.DUMMYFUNCTION("""COMPUTED_VALUE"""),995.0)</f>
        <v>995</v>
      </c>
      <c r="B997" s="8">
        <f>IFERROR(__xludf.DUMMYFUNCTION("""COMPUTED_VALUE"""),70.0)</f>
        <v>70</v>
      </c>
    </row>
    <row r="998">
      <c r="A998" s="8">
        <f>IFERROR(__xludf.DUMMYFUNCTION("""COMPUTED_VALUE"""),996.0)</f>
        <v>996</v>
      </c>
      <c r="B998" s="8">
        <f>IFERROR(__xludf.DUMMYFUNCTION("""COMPUTED_VALUE"""),37.0)</f>
        <v>37</v>
      </c>
    </row>
    <row r="999">
      <c r="A999" s="8">
        <f>IFERROR(__xludf.DUMMYFUNCTION("""COMPUTED_VALUE"""),997.0)</f>
        <v>997</v>
      </c>
      <c r="B999" s="8">
        <f>IFERROR(__xludf.DUMMYFUNCTION("""COMPUTED_VALUE"""),36.0)</f>
        <v>36</v>
      </c>
    </row>
    <row r="1000">
      <c r="A1000" s="8">
        <f>IFERROR(__xludf.DUMMYFUNCTION("""COMPUTED_VALUE"""),998.0)</f>
        <v>998</v>
      </c>
      <c r="B1000" s="8">
        <f>IFERROR(__xludf.DUMMYFUNCTION("""COMPUTED_VALUE"""),29.0)</f>
        <v>29</v>
      </c>
    </row>
    <row r="1001">
      <c r="A1001" s="8">
        <f>IFERROR(__xludf.DUMMYFUNCTION("""COMPUTED_VALUE"""),999.0)</f>
        <v>999</v>
      </c>
      <c r="B1001" s="8">
        <f>IFERROR(__xludf.DUMMYFUNCTION("""COMPUTED_VALUE"""),34.0)</f>
        <v>34</v>
      </c>
    </row>
    <row r="1002">
      <c r="A1002" s="8">
        <f>IFERROR(__xludf.DUMMYFUNCTION("""COMPUTED_VALUE"""),1000.0)</f>
        <v>1000</v>
      </c>
      <c r="B1002" s="8">
        <f>IFERROR(__xludf.DUMMYFUNCTION("""COMPUTED_VALUE"""),48.0)</f>
        <v>48</v>
      </c>
    </row>
    <row r="1003">
      <c r="A1003" s="8">
        <f>IFERROR(__xludf.DUMMYFUNCTION("""COMPUTED_VALUE"""),1001.0)</f>
        <v>1001</v>
      </c>
      <c r="B1003" s="8">
        <f>IFERROR(__xludf.DUMMYFUNCTION("""COMPUTED_VALUE"""),63.0)</f>
        <v>63</v>
      </c>
    </row>
    <row r="1004">
      <c r="A1004" s="8">
        <f>IFERROR(__xludf.DUMMYFUNCTION("""COMPUTED_VALUE"""),1002.0)</f>
        <v>1002</v>
      </c>
      <c r="B1004" s="8">
        <f>IFERROR(__xludf.DUMMYFUNCTION("""COMPUTED_VALUE"""),49.0)</f>
        <v>49</v>
      </c>
    </row>
    <row r="1005">
      <c r="A1005" s="8">
        <f>IFERROR(__xludf.DUMMYFUNCTION("""COMPUTED_VALUE"""),1003.0)</f>
        <v>1003</v>
      </c>
      <c r="B1005" s="8">
        <f>IFERROR(__xludf.DUMMYFUNCTION("""COMPUTED_VALUE"""),35.0)</f>
        <v>35</v>
      </c>
    </row>
    <row r="1006">
      <c r="A1006" s="8">
        <f>IFERROR(__xludf.DUMMYFUNCTION("""COMPUTED_VALUE"""),1004.0)</f>
        <v>1004</v>
      </c>
      <c r="B1006" s="8">
        <f>IFERROR(__xludf.DUMMYFUNCTION("""COMPUTED_VALUE"""),30.0)</f>
        <v>30</v>
      </c>
    </row>
    <row r="1007">
      <c r="A1007" s="8">
        <f>IFERROR(__xludf.DUMMYFUNCTION("""COMPUTED_VALUE"""),1005.0)</f>
        <v>1005</v>
      </c>
      <c r="B1007" s="8">
        <f>IFERROR(__xludf.DUMMYFUNCTION("""COMPUTED_VALUE"""),35.0)</f>
        <v>35</v>
      </c>
    </row>
    <row r="1008">
      <c r="A1008" s="8">
        <f>IFERROR(__xludf.DUMMYFUNCTION("""COMPUTED_VALUE"""),1006.0)</f>
        <v>1006</v>
      </c>
      <c r="B1008" s="8">
        <f>IFERROR(__xludf.DUMMYFUNCTION("""COMPUTED_VALUE"""),83.0)</f>
        <v>83</v>
      </c>
    </row>
    <row r="1009">
      <c r="A1009" s="8">
        <f>IFERROR(__xludf.DUMMYFUNCTION("""COMPUTED_VALUE"""),1007.0)</f>
        <v>1007</v>
      </c>
      <c r="B1009" s="8">
        <f>IFERROR(__xludf.DUMMYFUNCTION("""COMPUTED_VALUE"""),67.0)</f>
        <v>67</v>
      </c>
    </row>
    <row r="1010">
      <c r="A1010" s="8">
        <f>IFERROR(__xludf.DUMMYFUNCTION("""COMPUTED_VALUE"""),1008.0)</f>
        <v>1008</v>
      </c>
      <c r="B1010" s="8">
        <f>IFERROR(__xludf.DUMMYFUNCTION("""COMPUTED_VALUE"""),39.0)</f>
        <v>39</v>
      </c>
    </row>
    <row r="1011">
      <c r="A1011" s="8">
        <f>IFERROR(__xludf.DUMMYFUNCTION("""COMPUTED_VALUE"""),1009.0)</f>
        <v>1009</v>
      </c>
      <c r="B1011" s="8">
        <f>IFERROR(__xludf.DUMMYFUNCTION("""COMPUTED_VALUE"""),39.0)</f>
        <v>39</v>
      </c>
    </row>
    <row r="1012">
      <c r="A1012" s="8">
        <f>IFERROR(__xludf.DUMMYFUNCTION("""COMPUTED_VALUE"""),1010.0)</f>
        <v>1010</v>
      </c>
      <c r="B1012" s="8">
        <f>IFERROR(__xludf.DUMMYFUNCTION("""COMPUTED_VALUE"""),71.0)</f>
        <v>71</v>
      </c>
    </row>
    <row r="1013">
      <c r="A1013" s="8">
        <f>IFERROR(__xludf.DUMMYFUNCTION("""COMPUTED_VALUE"""),1011.0)</f>
        <v>1011</v>
      </c>
      <c r="B1013" s="8">
        <f>IFERROR(__xludf.DUMMYFUNCTION("""COMPUTED_VALUE"""),34.0)</f>
        <v>34</v>
      </c>
    </row>
    <row r="1014">
      <c r="A1014" s="8">
        <f>IFERROR(__xludf.DUMMYFUNCTION("""COMPUTED_VALUE"""),1012.0)</f>
        <v>1012</v>
      </c>
      <c r="B1014" s="8">
        <f>IFERROR(__xludf.DUMMYFUNCTION("""COMPUTED_VALUE"""),37.0)</f>
        <v>37</v>
      </c>
    </row>
    <row r="1015">
      <c r="A1015" s="8">
        <f>IFERROR(__xludf.DUMMYFUNCTION("""COMPUTED_VALUE"""),1013.0)</f>
        <v>1013</v>
      </c>
      <c r="B1015" s="8">
        <f>IFERROR(__xludf.DUMMYFUNCTION("""COMPUTED_VALUE"""),59.0)</f>
        <v>59</v>
      </c>
    </row>
    <row r="1016">
      <c r="A1016" s="8">
        <f>IFERROR(__xludf.DUMMYFUNCTION("""COMPUTED_VALUE"""),1014.0)</f>
        <v>1014</v>
      </c>
      <c r="B1016" s="8">
        <f>IFERROR(__xludf.DUMMYFUNCTION("""COMPUTED_VALUE"""),40.0)</f>
        <v>40</v>
      </c>
    </row>
    <row r="1017">
      <c r="A1017" s="8">
        <f>IFERROR(__xludf.DUMMYFUNCTION("""COMPUTED_VALUE"""),1015.0)</f>
        <v>1015</v>
      </c>
      <c r="B1017" s="8">
        <f>IFERROR(__xludf.DUMMYFUNCTION("""COMPUTED_VALUE"""),27.0)</f>
        <v>27</v>
      </c>
    </row>
    <row r="1018">
      <c r="A1018" s="8">
        <f>IFERROR(__xludf.DUMMYFUNCTION("""COMPUTED_VALUE"""),1016.0)</f>
        <v>1016</v>
      </c>
      <c r="B1018" s="8">
        <f>IFERROR(__xludf.DUMMYFUNCTION("""COMPUTED_VALUE"""),28.0)</f>
        <v>28</v>
      </c>
    </row>
    <row r="1019">
      <c r="A1019" s="8">
        <f>IFERROR(__xludf.DUMMYFUNCTION("""COMPUTED_VALUE"""),1017.0)</f>
        <v>1017</v>
      </c>
      <c r="B1019" s="8">
        <f>IFERROR(__xludf.DUMMYFUNCTION("""COMPUTED_VALUE"""),44.0)</f>
        <v>44</v>
      </c>
    </row>
    <row r="1020">
      <c r="A1020" s="8">
        <f>IFERROR(__xludf.DUMMYFUNCTION("""COMPUTED_VALUE"""),1018.0)</f>
        <v>1018</v>
      </c>
      <c r="B1020" s="8">
        <f>IFERROR(__xludf.DUMMYFUNCTION("""COMPUTED_VALUE"""),47.0)</f>
        <v>47</v>
      </c>
    </row>
    <row r="1021">
      <c r="A1021" s="8">
        <f>IFERROR(__xludf.DUMMYFUNCTION("""COMPUTED_VALUE"""),1019.0)</f>
        <v>1019</v>
      </c>
      <c r="B1021" s="8">
        <f>IFERROR(__xludf.DUMMYFUNCTION("""COMPUTED_VALUE"""),42.0)</f>
        <v>42</v>
      </c>
    </row>
    <row r="1022">
      <c r="A1022" s="8">
        <f>IFERROR(__xludf.DUMMYFUNCTION("""COMPUTED_VALUE"""),1020.0)</f>
        <v>1020</v>
      </c>
      <c r="B1022" s="8">
        <f>IFERROR(__xludf.DUMMYFUNCTION("""COMPUTED_VALUE"""),31.0)</f>
        <v>31</v>
      </c>
    </row>
    <row r="1023">
      <c r="A1023" s="8">
        <f>IFERROR(__xludf.DUMMYFUNCTION("""COMPUTED_VALUE"""),1021.0)</f>
        <v>1021</v>
      </c>
      <c r="B1023" s="8">
        <f>IFERROR(__xludf.DUMMYFUNCTION("""COMPUTED_VALUE"""),26.0)</f>
        <v>26</v>
      </c>
    </row>
    <row r="1024">
      <c r="A1024" s="8">
        <f>IFERROR(__xludf.DUMMYFUNCTION("""COMPUTED_VALUE"""),1022.0)</f>
        <v>1022</v>
      </c>
      <c r="B1024" s="8">
        <f>IFERROR(__xludf.DUMMYFUNCTION("""COMPUTED_VALUE"""),59.0)</f>
        <v>59</v>
      </c>
    </row>
    <row r="1025">
      <c r="A1025" s="8">
        <f>IFERROR(__xludf.DUMMYFUNCTION("""COMPUTED_VALUE"""),1023.0)</f>
        <v>1023</v>
      </c>
      <c r="B1025" s="8">
        <f>IFERROR(__xludf.DUMMYFUNCTION("""COMPUTED_VALUE"""),33.0)</f>
        <v>33</v>
      </c>
    </row>
    <row r="1026">
      <c r="A1026" s="8">
        <f>IFERROR(__xludf.DUMMYFUNCTION("""COMPUTED_VALUE"""),1024.0)</f>
        <v>1024</v>
      </c>
      <c r="B1026" s="8">
        <f>IFERROR(__xludf.DUMMYFUNCTION("""COMPUTED_VALUE"""),47.0)</f>
        <v>47</v>
      </c>
    </row>
    <row r="1027">
      <c r="A1027" s="8">
        <f>IFERROR(__xludf.DUMMYFUNCTION("""COMPUTED_VALUE"""),1025.0)</f>
        <v>1025</v>
      </c>
      <c r="B1027" s="8">
        <f>IFERROR(__xludf.DUMMYFUNCTION("""COMPUTED_VALUE"""),46.0)</f>
        <v>46</v>
      </c>
    </row>
    <row r="1028">
      <c r="A1028" s="8">
        <f>IFERROR(__xludf.DUMMYFUNCTION("""COMPUTED_VALUE"""),1026.0)</f>
        <v>1026</v>
      </c>
      <c r="B1028" s="8">
        <f>IFERROR(__xludf.DUMMYFUNCTION("""COMPUTED_VALUE"""),24.0)</f>
        <v>24</v>
      </c>
    </row>
    <row r="1029">
      <c r="A1029" s="8">
        <f>IFERROR(__xludf.DUMMYFUNCTION("""COMPUTED_VALUE"""),1027.0)</f>
        <v>1027</v>
      </c>
      <c r="B1029" s="8">
        <f>IFERROR(__xludf.DUMMYFUNCTION("""COMPUTED_VALUE"""),34.0)</f>
        <v>34</v>
      </c>
    </row>
    <row r="1030">
      <c r="A1030" s="8">
        <f>IFERROR(__xludf.DUMMYFUNCTION("""COMPUTED_VALUE"""),1028.0)</f>
        <v>1028</v>
      </c>
      <c r="B1030" s="8">
        <f>IFERROR(__xludf.DUMMYFUNCTION("""COMPUTED_VALUE"""),53.0)</f>
        <v>53</v>
      </c>
    </row>
    <row r="1031">
      <c r="A1031" s="8">
        <f>IFERROR(__xludf.DUMMYFUNCTION("""COMPUTED_VALUE"""),1029.0)</f>
        <v>1029</v>
      </c>
      <c r="B1031" s="8">
        <f>IFERROR(__xludf.DUMMYFUNCTION("""COMPUTED_VALUE"""),38.0)</f>
        <v>38</v>
      </c>
    </row>
    <row r="1032">
      <c r="A1032" s="8">
        <f>IFERROR(__xludf.DUMMYFUNCTION("""COMPUTED_VALUE"""),1030.0)</f>
        <v>1030</v>
      </c>
      <c r="B1032" s="8">
        <f>IFERROR(__xludf.DUMMYFUNCTION("""COMPUTED_VALUE"""),35.0)</f>
        <v>35</v>
      </c>
    </row>
    <row r="1033">
      <c r="A1033" s="8">
        <f>IFERROR(__xludf.DUMMYFUNCTION("""COMPUTED_VALUE"""),1031.0)</f>
        <v>1031</v>
      </c>
      <c r="B1033" s="8">
        <f>IFERROR(__xludf.DUMMYFUNCTION("""COMPUTED_VALUE"""),58.0)</f>
        <v>58</v>
      </c>
    </row>
    <row r="1034">
      <c r="A1034" s="8">
        <f>IFERROR(__xludf.DUMMYFUNCTION("""COMPUTED_VALUE"""),1032.0)</f>
        <v>1032</v>
      </c>
      <c r="B1034" s="8">
        <f>IFERROR(__xludf.DUMMYFUNCTION("""COMPUTED_VALUE"""),33.0)</f>
        <v>33</v>
      </c>
    </row>
    <row r="1035">
      <c r="A1035" s="8">
        <f>IFERROR(__xludf.DUMMYFUNCTION("""COMPUTED_VALUE"""),1033.0)</f>
        <v>1033</v>
      </c>
      <c r="B1035" s="8">
        <f>IFERROR(__xludf.DUMMYFUNCTION("""COMPUTED_VALUE"""),67.0)</f>
        <v>67</v>
      </c>
    </row>
    <row r="1036">
      <c r="A1036" s="8">
        <f>IFERROR(__xludf.DUMMYFUNCTION("""COMPUTED_VALUE"""),1034.0)</f>
        <v>1034</v>
      </c>
      <c r="B1036" s="8">
        <f>IFERROR(__xludf.DUMMYFUNCTION("""COMPUTED_VALUE"""),32.0)</f>
        <v>32</v>
      </c>
    </row>
    <row r="1037">
      <c r="A1037" s="8">
        <f>IFERROR(__xludf.DUMMYFUNCTION("""COMPUTED_VALUE"""),1035.0)</f>
        <v>1035</v>
      </c>
      <c r="B1037" s="8">
        <f>IFERROR(__xludf.DUMMYFUNCTION("""COMPUTED_VALUE"""),59.0)</f>
        <v>59</v>
      </c>
    </row>
    <row r="1038">
      <c r="A1038" s="8">
        <f>IFERROR(__xludf.DUMMYFUNCTION("""COMPUTED_VALUE"""),1036.0)</f>
        <v>1036</v>
      </c>
      <c r="B1038" s="8">
        <f>IFERROR(__xludf.DUMMYFUNCTION("""COMPUTED_VALUE"""),82.0)</f>
        <v>82</v>
      </c>
    </row>
    <row r="1039">
      <c r="A1039" s="8">
        <f>IFERROR(__xludf.DUMMYFUNCTION("""COMPUTED_VALUE"""),1037.0)</f>
        <v>1037</v>
      </c>
      <c r="B1039" s="8">
        <f>IFERROR(__xludf.DUMMYFUNCTION("""COMPUTED_VALUE"""),46.0)</f>
        <v>46</v>
      </c>
    </row>
    <row r="1040">
      <c r="A1040" s="8">
        <f>IFERROR(__xludf.DUMMYFUNCTION("""COMPUTED_VALUE"""),1038.0)</f>
        <v>1038</v>
      </c>
      <c r="B1040" s="8">
        <f>IFERROR(__xludf.DUMMYFUNCTION("""COMPUTED_VALUE"""),34.0)</f>
        <v>34</v>
      </c>
    </row>
    <row r="1041">
      <c r="A1041" s="8">
        <f>IFERROR(__xludf.DUMMYFUNCTION("""COMPUTED_VALUE"""),1039.0)</f>
        <v>1039</v>
      </c>
      <c r="B1041" s="8">
        <f>IFERROR(__xludf.DUMMYFUNCTION("""COMPUTED_VALUE"""),25.0)</f>
        <v>25</v>
      </c>
    </row>
    <row r="1042">
      <c r="A1042" s="8">
        <f>IFERROR(__xludf.DUMMYFUNCTION("""COMPUTED_VALUE"""),1040.0)</f>
        <v>1040</v>
      </c>
      <c r="B1042" s="8">
        <f>IFERROR(__xludf.DUMMYFUNCTION("""COMPUTED_VALUE"""),35.0)</f>
        <v>35</v>
      </c>
    </row>
    <row r="1043">
      <c r="A1043" s="8">
        <f>IFERROR(__xludf.DUMMYFUNCTION("""COMPUTED_VALUE"""),1041.0)</f>
        <v>1041</v>
      </c>
      <c r="B1043" s="8">
        <f>IFERROR(__xludf.DUMMYFUNCTION("""COMPUTED_VALUE"""),42.0)</f>
        <v>42</v>
      </c>
    </row>
    <row r="1044">
      <c r="A1044" s="8">
        <f>IFERROR(__xludf.DUMMYFUNCTION("""COMPUTED_VALUE"""),1042.0)</f>
        <v>1042</v>
      </c>
      <c r="B1044" s="8">
        <f>IFERROR(__xludf.DUMMYFUNCTION("""COMPUTED_VALUE"""),35.0)</f>
        <v>35</v>
      </c>
    </row>
    <row r="1045">
      <c r="A1045" s="8">
        <f>IFERROR(__xludf.DUMMYFUNCTION("""COMPUTED_VALUE"""),1043.0)</f>
        <v>1043</v>
      </c>
      <c r="B1045" s="8">
        <f>IFERROR(__xludf.DUMMYFUNCTION("""COMPUTED_VALUE"""),41.0)</f>
        <v>41</v>
      </c>
    </row>
    <row r="1046">
      <c r="A1046" s="8">
        <f>IFERROR(__xludf.DUMMYFUNCTION("""COMPUTED_VALUE"""),1044.0)</f>
        <v>1044</v>
      </c>
      <c r="B1046" s="8">
        <f>IFERROR(__xludf.DUMMYFUNCTION("""COMPUTED_VALUE"""),53.0)</f>
        <v>53</v>
      </c>
    </row>
    <row r="1047">
      <c r="A1047" s="8">
        <f>IFERROR(__xludf.DUMMYFUNCTION("""COMPUTED_VALUE"""),1045.0)</f>
        <v>1045</v>
      </c>
      <c r="B1047" s="8">
        <f>IFERROR(__xludf.DUMMYFUNCTION("""COMPUTED_VALUE"""),30.0)</f>
        <v>30</v>
      </c>
    </row>
    <row r="1048">
      <c r="A1048" s="8">
        <f>IFERROR(__xludf.DUMMYFUNCTION("""COMPUTED_VALUE"""),1046.0)</f>
        <v>1046</v>
      </c>
      <c r="B1048" s="8">
        <f>IFERROR(__xludf.DUMMYFUNCTION("""COMPUTED_VALUE"""),43.0)</f>
        <v>43</v>
      </c>
    </row>
    <row r="1049">
      <c r="A1049" s="8">
        <f>IFERROR(__xludf.DUMMYFUNCTION("""COMPUTED_VALUE"""),1047.0)</f>
        <v>1047</v>
      </c>
      <c r="B1049" s="8">
        <f>IFERROR(__xludf.DUMMYFUNCTION("""COMPUTED_VALUE"""),50.0)</f>
        <v>50</v>
      </c>
    </row>
    <row r="1050">
      <c r="A1050" s="8">
        <f>IFERROR(__xludf.DUMMYFUNCTION("""COMPUTED_VALUE"""),1048.0)</f>
        <v>1048</v>
      </c>
      <c r="B1050" s="8">
        <f>IFERROR(__xludf.DUMMYFUNCTION("""COMPUTED_VALUE"""),23.0)</f>
        <v>23</v>
      </c>
    </row>
    <row r="1051">
      <c r="A1051" s="8">
        <f>IFERROR(__xludf.DUMMYFUNCTION("""COMPUTED_VALUE"""),1049.0)</f>
        <v>1049</v>
      </c>
      <c r="B1051" s="8">
        <f>IFERROR(__xludf.DUMMYFUNCTION("""COMPUTED_VALUE"""),52.0)</f>
        <v>52</v>
      </c>
    </row>
    <row r="1052">
      <c r="A1052" s="8">
        <f>IFERROR(__xludf.DUMMYFUNCTION("""COMPUTED_VALUE"""),1050.0)</f>
        <v>1050</v>
      </c>
      <c r="B1052" s="8">
        <f>IFERROR(__xludf.DUMMYFUNCTION("""COMPUTED_VALUE"""),38.0)</f>
        <v>38</v>
      </c>
    </row>
    <row r="1053">
      <c r="A1053" s="8">
        <f>IFERROR(__xludf.DUMMYFUNCTION("""COMPUTED_VALUE"""),1051.0)</f>
        <v>1051</v>
      </c>
      <c r="B1053" s="8">
        <f>IFERROR(__xludf.DUMMYFUNCTION("""COMPUTED_VALUE"""),66.0)</f>
        <v>66</v>
      </c>
    </row>
    <row r="1054">
      <c r="A1054" s="8">
        <f>IFERROR(__xludf.DUMMYFUNCTION("""COMPUTED_VALUE"""),1052.0)</f>
        <v>1052</v>
      </c>
      <c r="B1054" s="8">
        <f>IFERROR(__xludf.DUMMYFUNCTION("""COMPUTED_VALUE"""),69.0)</f>
        <v>69</v>
      </c>
    </row>
    <row r="1055">
      <c r="A1055" s="8">
        <f>IFERROR(__xludf.DUMMYFUNCTION("""COMPUTED_VALUE"""),1053.0)</f>
        <v>1053</v>
      </c>
      <c r="B1055" s="8">
        <f>IFERROR(__xludf.DUMMYFUNCTION("""COMPUTED_VALUE"""),40.0)</f>
        <v>40</v>
      </c>
    </row>
    <row r="1056">
      <c r="A1056" s="8">
        <f>IFERROR(__xludf.DUMMYFUNCTION("""COMPUTED_VALUE"""),1054.0)</f>
        <v>1054</v>
      </c>
      <c r="B1056" s="8">
        <f>IFERROR(__xludf.DUMMYFUNCTION("""COMPUTED_VALUE"""),48.0)</f>
        <v>48</v>
      </c>
    </row>
    <row r="1057">
      <c r="A1057" s="8">
        <f>IFERROR(__xludf.DUMMYFUNCTION("""COMPUTED_VALUE"""),1055.0)</f>
        <v>1055</v>
      </c>
      <c r="B1057" s="8">
        <f>IFERROR(__xludf.DUMMYFUNCTION("""COMPUTED_VALUE"""),40.0)</f>
        <v>40</v>
      </c>
    </row>
    <row r="1058">
      <c r="A1058" s="8">
        <f>IFERROR(__xludf.DUMMYFUNCTION("""COMPUTED_VALUE"""),1056.0)</f>
        <v>1056</v>
      </c>
      <c r="B1058" s="8">
        <f>IFERROR(__xludf.DUMMYFUNCTION("""COMPUTED_VALUE"""),39.0)</f>
        <v>39</v>
      </c>
    </row>
    <row r="1059">
      <c r="A1059" s="8">
        <f>IFERROR(__xludf.DUMMYFUNCTION("""COMPUTED_VALUE"""),1057.0)</f>
        <v>1057</v>
      </c>
      <c r="B1059" s="8">
        <f>IFERROR(__xludf.DUMMYFUNCTION("""COMPUTED_VALUE"""),71.0)</f>
        <v>71</v>
      </c>
    </row>
    <row r="1060">
      <c r="A1060" s="8">
        <f>IFERROR(__xludf.DUMMYFUNCTION("""COMPUTED_VALUE"""),1058.0)</f>
        <v>1058</v>
      </c>
      <c r="B1060" s="8">
        <f>IFERROR(__xludf.DUMMYFUNCTION("""COMPUTED_VALUE"""),42.0)</f>
        <v>42</v>
      </c>
    </row>
    <row r="1061">
      <c r="A1061" s="8">
        <f>IFERROR(__xludf.DUMMYFUNCTION("""COMPUTED_VALUE"""),1059.0)</f>
        <v>1059</v>
      </c>
      <c r="B1061" s="8">
        <f>IFERROR(__xludf.DUMMYFUNCTION("""COMPUTED_VALUE"""),57.0)</f>
        <v>57</v>
      </c>
    </row>
    <row r="1062">
      <c r="A1062" s="8">
        <f>IFERROR(__xludf.DUMMYFUNCTION("""COMPUTED_VALUE"""),1060.0)</f>
        <v>1060</v>
      </c>
      <c r="B1062" s="8">
        <f>IFERROR(__xludf.DUMMYFUNCTION("""COMPUTED_VALUE"""),54.0)</f>
        <v>54</v>
      </c>
    </row>
    <row r="1063">
      <c r="A1063" s="8">
        <f>IFERROR(__xludf.DUMMYFUNCTION("""COMPUTED_VALUE"""),1061.0)</f>
        <v>1061</v>
      </c>
      <c r="B1063" s="8">
        <f>IFERROR(__xludf.DUMMYFUNCTION("""COMPUTED_VALUE"""),46.0)</f>
        <v>46</v>
      </c>
    </row>
    <row r="1064">
      <c r="A1064" s="8">
        <f>IFERROR(__xludf.DUMMYFUNCTION("""COMPUTED_VALUE"""),1062.0)</f>
        <v>1062</v>
      </c>
      <c r="B1064" s="8">
        <f>IFERROR(__xludf.DUMMYFUNCTION("""COMPUTED_VALUE"""),23.0)</f>
        <v>23</v>
      </c>
    </row>
    <row r="1065">
      <c r="A1065" s="8">
        <f>IFERROR(__xludf.DUMMYFUNCTION("""COMPUTED_VALUE"""),1063.0)</f>
        <v>1063</v>
      </c>
      <c r="B1065" s="8">
        <f>IFERROR(__xludf.DUMMYFUNCTION("""COMPUTED_VALUE"""),44.0)</f>
        <v>44</v>
      </c>
    </row>
    <row r="1066">
      <c r="A1066" s="8">
        <f>IFERROR(__xludf.DUMMYFUNCTION("""COMPUTED_VALUE"""),1064.0)</f>
        <v>1064</v>
      </c>
      <c r="B1066" s="8">
        <f>IFERROR(__xludf.DUMMYFUNCTION("""COMPUTED_VALUE"""),45.0)</f>
        <v>45</v>
      </c>
    </row>
    <row r="1067">
      <c r="A1067" s="8">
        <f>IFERROR(__xludf.DUMMYFUNCTION("""COMPUTED_VALUE"""),1065.0)</f>
        <v>1065</v>
      </c>
      <c r="B1067" s="8">
        <f>IFERROR(__xludf.DUMMYFUNCTION("""COMPUTED_VALUE"""),22.0)</f>
        <v>22</v>
      </c>
    </row>
    <row r="1068">
      <c r="A1068" s="8">
        <f>IFERROR(__xludf.DUMMYFUNCTION("""COMPUTED_VALUE"""),1066.0)</f>
        <v>1066</v>
      </c>
      <c r="B1068" s="8">
        <f>IFERROR(__xludf.DUMMYFUNCTION("""COMPUTED_VALUE"""),35.0)</f>
        <v>35</v>
      </c>
    </row>
    <row r="1069">
      <c r="A1069" s="8">
        <f>IFERROR(__xludf.DUMMYFUNCTION("""COMPUTED_VALUE"""),1067.0)</f>
        <v>1067</v>
      </c>
      <c r="B1069" s="8">
        <f>IFERROR(__xludf.DUMMYFUNCTION("""COMPUTED_VALUE"""),52.0)</f>
        <v>52</v>
      </c>
    </row>
    <row r="1070">
      <c r="A1070" s="8">
        <f>IFERROR(__xludf.DUMMYFUNCTION("""COMPUTED_VALUE"""),1068.0)</f>
        <v>1068</v>
      </c>
      <c r="B1070" s="8">
        <f>IFERROR(__xludf.DUMMYFUNCTION("""COMPUTED_VALUE"""),50.0)</f>
        <v>50</v>
      </c>
    </row>
    <row r="1071">
      <c r="A1071" s="8">
        <f>IFERROR(__xludf.DUMMYFUNCTION("""COMPUTED_VALUE"""),1069.0)</f>
        <v>1069</v>
      </c>
      <c r="B1071" s="8">
        <f>IFERROR(__xludf.DUMMYFUNCTION("""COMPUTED_VALUE"""),48.0)</f>
        <v>48</v>
      </c>
    </row>
    <row r="1072">
      <c r="A1072" s="8">
        <f>IFERROR(__xludf.DUMMYFUNCTION("""COMPUTED_VALUE"""),1070.0)</f>
        <v>1070</v>
      </c>
      <c r="B1072" s="8">
        <f>IFERROR(__xludf.DUMMYFUNCTION("""COMPUTED_VALUE"""),41.0)</f>
        <v>41</v>
      </c>
    </row>
    <row r="1073">
      <c r="A1073" s="8">
        <f>IFERROR(__xludf.DUMMYFUNCTION("""COMPUTED_VALUE"""),1071.0)</f>
        <v>1071</v>
      </c>
      <c r="B1073" s="8">
        <f>IFERROR(__xludf.DUMMYFUNCTION("""COMPUTED_VALUE"""),53.0)</f>
        <v>53</v>
      </c>
    </row>
    <row r="1074">
      <c r="A1074" s="8">
        <f>IFERROR(__xludf.DUMMYFUNCTION("""COMPUTED_VALUE"""),1072.0)</f>
        <v>1072</v>
      </c>
      <c r="B1074" s="8">
        <f>IFERROR(__xludf.DUMMYFUNCTION("""COMPUTED_VALUE"""),57.0)</f>
        <v>57</v>
      </c>
    </row>
    <row r="1075">
      <c r="A1075" s="8">
        <f>IFERROR(__xludf.DUMMYFUNCTION("""COMPUTED_VALUE"""),1073.0)</f>
        <v>1073</v>
      </c>
      <c r="B1075" s="8">
        <f>IFERROR(__xludf.DUMMYFUNCTION("""COMPUTED_VALUE"""),20.0)</f>
        <v>20</v>
      </c>
    </row>
    <row r="1076">
      <c r="A1076" s="8">
        <f>IFERROR(__xludf.DUMMYFUNCTION("""COMPUTED_VALUE"""),1074.0)</f>
        <v>1074</v>
      </c>
      <c r="B1076" s="8">
        <f>IFERROR(__xludf.DUMMYFUNCTION("""COMPUTED_VALUE"""),30.0)</f>
        <v>30</v>
      </c>
    </row>
    <row r="1077">
      <c r="A1077" s="8">
        <f>IFERROR(__xludf.DUMMYFUNCTION("""COMPUTED_VALUE"""),1075.0)</f>
        <v>1075</v>
      </c>
      <c r="B1077" s="8">
        <f>IFERROR(__xludf.DUMMYFUNCTION("""COMPUTED_VALUE"""),42.0)</f>
        <v>42</v>
      </c>
    </row>
    <row r="1078">
      <c r="A1078" s="8">
        <f>IFERROR(__xludf.DUMMYFUNCTION("""COMPUTED_VALUE"""),1076.0)</f>
        <v>1076</v>
      </c>
      <c r="B1078" s="8">
        <f>IFERROR(__xludf.DUMMYFUNCTION("""COMPUTED_VALUE"""),53.0)</f>
        <v>53</v>
      </c>
    </row>
    <row r="1079">
      <c r="A1079" s="8">
        <f>IFERROR(__xludf.DUMMYFUNCTION("""COMPUTED_VALUE"""),1077.0)</f>
        <v>1077</v>
      </c>
      <c r="B1079" s="8">
        <f>IFERROR(__xludf.DUMMYFUNCTION("""COMPUTED_VALUE"""),26.0)</f>
        <v>26</v>
      </c>
    </row>
    <row r="1080">
      <c r="A1080" s="8">
        <f>IFERROR(__xludf.DUMMYFUNCTION("""COMPUTED_VALUE"""),1078.0)</f>
        <v>1078</v>
      </c>
      <c r="B1080" s="8">
        <f>IFERROR(__xludf.DUMMYFUNCTION("""COMPUTED_VALUE"""),39.0)</f>
        <v>39</v>
      </c>
    </row>
    <row r="1081">
      <c r="A1081" s="8">
        <f>IFERROR(__xludf.DUMMYFUNCTION("""COMPUTED_VALUE"""),1079.0)</f>
        <v>1079</v>
      </c>
      <c r="B1081" s="8">
        <f>IFERROR(__xludf.DUMMYFUNCTION("""COMPUTED_VALUE"""),47.0)</f>
        <v>47</v>
      </c>
    </row>
    <row r="1082">
      <c r="A1082" s="8">
        <f>IFERROR(__xludf.DUMMYFUNCTION("""COMPUTED_VALUE"""),1080.0)</f>
        <v>1080</v>
      </c>
      <c r="B1082" s="8">
        <f>IFERROR(__xludf.DUMMYFUNCTION("""COMPUTED_VALUE"""),46.0)</f>
        <v>46</v>
      </c>
    </row>
    <row r="1083">
      <c r="A1083" s="8">
        <f>IFERROR(__xludf.DUMMYFUNCTION("""COMPUTED_VALUE"""),1081.0)</f>
        <v>1081</v>
      </c>
      <c r="B1083" s="8">
        <f>IFERROR(__xludf.DUMMYFUNCTION("""COMPUTED_VALUE"""),33.0)</f>
        <v>33</v>
      </c>
    </row>
    <row r="1084">
      <c r="A1084" s="8">
        <f>IFERROR(__xludf.DUMMYFUNCTION("""COMPUTED_VALUE"""),1082.0)</f>
        <v>1082</v>
      </c>
      <c r="B1084" s="8">
        <f>IFERROR(__xludf.DUMMYFUNCTION("""COMPUTED_VALUE"""),58.0)</f>
        <v>58</v>
      </c>
    </row>
    <row r="1085">
      <c r="A1085" s="8">
        <f>IFERROR(__xludf.DUMMYFUNCTION("""COMPUTED_VALUE"""),1083.0)</f>
        <v>1083</v>
      </c>
      <c r="B1085" s="8">
        <f>IFERROR(__xludf.DUMMYFUNCTION("""COMPUTED_VALUE"""),49.0)</f>
        <v>49</v>
      </c>
    </row>
    <row r="1086">
      <c r="A1086" s="8">
        <f>IFERROR(__xludf.DUMMYFUNCTION("""COMPUTED_VALUE"""),1084.0)</f>
        <v>1084</v>
      </c>
      <c r="B1086" s="8">
        <f>IFERROR(__xludf.DUMMYFUNCTION("""COMPUTED_VALUE"""),52.0)</f>
        <v>52</v>
      </c>
    </row>
    <row r="1087">
      <c r="A1087" s="8">
        <f>IFERROR(__xludf.DUMMYFUNCTION("""COMPUTED_VALUE"""),1085.0)</f>
        <v>1085</v>
      </c>
      <c r="B1087" s="8">
        <f>IFERROR(__xludf.DUMMYFUNCTION("""COMPUTED_VALUE"""),55.0)</f>
        <v>55</v>
      </c>
    </row>
    <row r="1088">
      <c r="A1088" s="8">
        <f>IFERROR(__xludf.DUMMYFUNCTION("""COMPUTED_VALUE"""),1086.0)</f>
        <v>1086</v>
      </c>
      <c r="B1088" s="8">
        <f>IFERROR(__xludf.DUMMYFUNCTION("""COMPUTED_VALUE"""),27.0)</f>
        <v>27</v>
      </c>
    </row>
    <row r="1089">
      <c r="A1089" s="8">
        <f>IFERROR(__xludf.DUMMYFUNCTION("""COMPUTED_VALUE"""),1087.0)</f>
        <v>1087</v>
      </c>
      <c r="B1089" s="8">
        <f>IFERROR(__xludf.DUMMYFUNCTION("""COMPUTED_VALUE"""),46.0)</f>
        <v>46</v>
      </c>
    </row>
    <row r="1090">
      <c r="A1090" s="8">
        <f>IFERROR(__xludf.DUMMYFUNCTION("""COMPUTED_VALUE"""),1088.0)</f>
        <v>1088</v>
      </c>
      <c r="B1090" s="8">
        <f>IFERROR(__xludf.DUMMYFUNCTION("""COMPUTED_VALUE"""),41.0)</f>
        <v>41</v>
      </c>
    </row>
    <row r="1091">
      <c r="A1091" s="8">
        <f>IFERROR(__xludf.DUMMYFUNCTION("""COMPUTED_VALUE"""),1089.0)</f>
        <v>1089</v>
      </c>
      <c r="B1091" s="8">
        <f>IFERROR(__xludf.DUMMYFUNCTION("""COMPUTED_VALUE"""),26.0)</f>
        <v>26</v>
      </c>
    </row>
    <row r="1092">
      <c r="A1092" s="8">
        <f>IFERROR(__xludf.DUMMYFUNCTION("""COMPUTED_VALUE"""),1090.0)</f>
        <v>1090</v>
      </c>
      <c r="B1092" s="8">
        <f>IFERROR(__xludf.DUMMYFUNCTION("""COMPUTED_VALUE"""),40.0)</f>
        <v>40</v>
      </c>
    </row>
    <row r="1093">
      <c r="A1093" s="8">
        <f>IFERROR(__xludf.DUMMYFUNCTION("""COMPUTED_VALUE"""),1091.0)</f>
        <v>1091</v>
      </c>
      <c r="B1093" s="8">
        <f>IFERROR(__xludf.DUMMYFUNCTION("""COMPUTED_VALUE"""),29.0)</f>
        <v>29</v>
      </c>
    </row>
    <row r="1094">
      <c r="A1094" s="8">
        <f>IFERROR(__xludf.DUMMYFUNCTION("""COMPUTED_VALUE"""),1092.0)</f>
        <v>1092</v>
      </c>
      <c r="B1094" s="8">
        <f>IFERROR(__xludf.DUMMYFUNCTION("""COMPUTED_VALUE"""),72.0)</f>
        <v>72</v>
      </c>
    </row>
    <row r="1095">
      <c r="A1095" s="8">
        <f>IFERROR(__xludf.DUMMYFUNCTION("""COMPUTED_VALUE"""),1093.0)</f>
        <v>1093</v>
      </c>
      <c r="B1095" s="8">
        <f>IFERROR(__xludf.DUMMYFUNCTION("""COMPUTED_VALUE"""),56.0)</f>
        <v>56</v>
      </c>
    </row>
    <row r="1096">
      <c r="A1096" s="8">
        <f>IFERROR(__xludf.DUMMYFUNCTION("""COMPUTED_VALUE"""),1094.0)</f>
        <v>1094</v>
      </c>
      <c r="B1096" s="8">
        <f>IFERROR(__xludf.DUMMYFUNCTION("""COMPUTED_VALUE"""),23.0)</f>
        <v>23</v>
      </c>
    </row>
    <row r="1097">
      <c r="A1097" s="8">
        <f>IFERROR(__xludf.DUMMYFUNCTION("""COMPUTED_VALUE"""),1095.0)</f>
        <v>1095</v>
      </c>
      <c r="B1097" s="8">
        <f>IFERROR(__xludf.DUMMYFUNCTION("""COMPUTED_VALUE"""),66.0)</f>
        <v>66</v>
      </c>
    </row>
    <row r="1098">
      <c r="A1098" s="8">
        <f>IFERROR(__xludf.DUMMYFUNCTION("""COMPUTED_VALUE"""),1096.0)</f>
        <v>1096</v>
      </c>
      <c r="B1098" s="8">
        <f>IFERROR(__xludf.DUMMYFUNCTION("""COMPUTED_VALUE"""),31.0)</f>
        <v>31</v>
      </c>
    </row>
    <row r="1099">
      <c r="A1099" s="8">
        <f>IFERROR(__xludf.DUMMYFUNCTION("""COMPUTED_VALUE"""),1097.0)</f>
        <v>1097</v>
      </c>
      <c r="B1099" s="8">
        <f>IFERROR(__xludf.DUMMYFUNCTION("""COMPUTED_VALUE"""),48.0)</f>
        <v>48</v>
      </c>
    </row>
    <row r="1100">
      <c r="A1100" s="8">
        <f>IFERROR(__xludf.DUMMYFUNCTION("""COMPUTED_VALUE"""),1098.0)</f>
        <v>1098</v>
      </c>
      <c r="B1100" s="8">
        <f>IFERROR(__xludf.DUMMYFUNCTION("""COMPUTED_VALUE"""),54.0)</f>
        <v>54</v>
      </c>
    </row>
    <row r="1101">
      <c r="A1101" s="8">
        <f>IFERROR(__xludf.DUMMYFUNCTION("""COMPUTED_VALUE"""),1099.0)</f>
        <v>1099</v>
      </c>
      <c r="B1101" s="8">
        <f>IFERROR(__xludf.DUMMYFUNCTION("""COMPUTED_VALUE"""),63.0)</f>
        <v>63</v>
      </c>
    </row>
    <row r="1102">
      <c r="A1102" s="8">
        <f>IFERROR(__xludf.DUMMYFUNCTION("""COMPUTED_VALUE"""),1100.0)</f>
        <v>1100</v>
      </c>
      <c r="B1102" s="8">
        <f>IFERROR(__xludf.DUMMYFUNCTION("""COMPUTED_VALUE"""),32.0)</f>
        <v>32</v>
      </c>
    </row>
    <row r="1103">
      <c r="A1103" s="8">
        <f>IFERROR(__xludf.DUMMYFUNCTION("""COMPUTED_VALUE"""),1101.0)</f>
        <v>1101</v>
      </c>
      <c r="B1103" s="8">
        <f>IFERROR(__xludf.DUMMYFUNCTION("""COMPUTED_VALUE"""),77.0)</f>
        <v>77</v>
      </c>
    </row>
    <row r="1104">
      <c r="A1104" s="8">
        <f>IFERROR(__xludf.DUMMYFUNCTION("""COMPUTED_VALUE"""),1102.0)</f>
        <v>1102</v>
      </c>
      <c r="B1104" s="8">
        <f>IFERROR(__xludf.DUMMYFUNCTION("""COMPUTED_VALUE"""),40.0)</f>
        <v>40</v>
      </c>
    </row>
    <row r="1105">
      <c r="A1105" s="8">
        <f>IFERROR(__xludf.DUMMYFUNCTION("""COMPUTED_VALUE"""),1103.0)</f>
        <v>1103</v>
      </c>
      <c r="B1105" s="8">
        <f>IFERROR(__xludf.DUMMYFUNCTION("""COMPUTED_VALUE"""),28.0)</f>
        <v>28</v>
      </c>
    </row>
    <row r="1106">
      <c r="A1106" s="8">
        <f>IFERROR(__xludf.DUMMYFUNCTION("""COMPUTED_VALUE"""),1104.0)</f>
        <v>1104</v>
      </c>
      <c r="B1106" s="8">
        <f>IFERROR(__xludf.DUMMYFUNCTION("""COMPUTED_VALUE"""),39.0)</f>
        <v>39</v>
      </c>
    </row>
    <row r="1107">
      <c r="A1107" s="8">
        <f>IFERROR(__xludf.DUMMYFUNCTION("""COMPUTED_VALUE"""),1105.0)</f>
        <v>1105</v>
      </c>
      <c r="B1107" s="8">
        <f>IFERROR(__xludf.DUMMYFUNCTION("""COMPUTED_VALUE"""),43.0)</f>
        <v>43</v>
      </c>
    </row>
    <row r="1108">
      <c r="A1108" s="8">
        <f>IFERROR(__xludf.DUMMYFUNCTION("""COMPUTED_VALUE"""),1106.0)</f>
        <v>1106</v>
      </c>
      <c r="B1108" s="8">
        <f>IFERROR(__xludf.DUMMYFUNCTION("""COMPUTED_VALUE"""),37.0)</f>
        <v>37</v>
      </c>
    </row>
    <row r="1109">
      <c r="A1109" s="8">
        <f>IFERROR(__xludf.DUMMYFUNCTION("""COMPUTED_VALUE"""),1107.0)</f>
        <v>1107</v>
      </c>
      <c r="B1109" s="8">
        <f>IFERROR(__xludf.DUMMYFUNCTION("""COMPUTED_VALUE"""),44.0)</f>
        <v>44</v>
      </c>
    </row>
    <row r="1110">
      <c r="A1110" s="8">
        <f>IFERROR(__xludf.DUMMYFUNCTION("""COMPUTED_VALUE"""),1108.0)</f>
        <v>1108</v>
      </c>
      <c r="B1110" s="8">
        <f>IFERROR(__xludf.DUMMYFUNCTION("""COMPUTED_VALUE"""),52.0)</f>
        <v>52</v>
      </c>
    </row>
    <row r="1111">
      <c r="A1111" s="8">
        <f>IFERROR(__xludf.DUMMYFUNCTION("""COMPUTED_VALUE"""),1109.0)</f>
        <v>1109</v>
      </c>
      <c r="B1111" s="8">
        <f>IFERROR(__xludf.DUMMYFUNCTION("""COMPUTED_VALUE"""),33.0)</f>
        <v>33</v>
      </c>
    </row>
    <row r="1112">
      <c r="A1112" s="8">
        <f>IFERROR(__xludf.DUMMYFUNCTION("""COMPUTED_VALUE"""),1110.0)</f>
        <v>1110</v>
      </c>
      <c r="B1112" s="8">
        <f>IFERROR(__xludf.DUMMYFUNCTION("""COMPUTED_VALUE"""),53.0)</f>
        <v>53</v>
      </c>
    </row>
    <row r="1113">
      <c r="A1113" s="8">
        <f>IFERROR(__xludf.DUMMYFUNCTION("""COMPUTED_VALUE"""),1111.0)</f>
        <v>1111</v>
      </c>
      <c r="B1113" s="8">
        <f>IFERROR(__xludf.DUMMYFUNCTION("""COMPUTED_VALUE"""),65.0)</f>
        <v>65</v>
      </c>
    </row>
    <row r="1114">
      <c r="A1114" s="8">
        <f>IFERROR(__xludf.DUMMYFUNCTION("""COMPUTED_VALUE"""),1112.0)</f>
        <v>1112</v>
      </c>
      <c r="B1114" s="8">
        <f>IFERROR(__xludf.DUMMYFUNCTION("""COMPUTED_VALUE"""),62.0)</f>
        <v>62</v>
      </c>
    </row>
    <row r="1115">
      <c r="A1115" s="8">
        <f>IFERROR(__xludf.DUMMYFUNCTION("""COMPUTED_VALUE"""),1113.0)</f>
        <v>1113</v>
      </c>
      <c r="B1115" s="8">
        <f>IFERROR(__xludf.DUMMYFUNCTION("""COMPUTED_VALUE"""),45.0)</f>
        <v>45</v>
      </c>
    </row>
    <row r="1116">
      <c r="A1116" s="8">
        <f>IFERROR(__xludf.DUMMYFUNCTION("""COMPUTED_VALUE"""),1114.0)</f>
        <v>1114</v>
      </c>
      <c r="B1116" s="8">
        <f>IFERROR(__xludf.DUMMYFUNCTION("""COMPUTED_VALUE"""),47.0)</f>
        <v>47</v>
      </c>
    </row>
    <row r="1117">
      <c r="A1117" s="8">
        <f>IFERROR(__xludf.DUMMYFUNCTION("""COMPUTED_VALUE"""),1115.0)</f>
        <v>1115</v>
      </c>
      <c r="B1117" s="8">
        <f>IFERROR(__xludf.DUMMYFUNCTION("""COMPUTED_VALUE"""),42.0)</f>
        <v>42</v>
      </c>
    </row>
    <row r="1118">
      <c r="A1118" s="8">
        <f>IFERROR(__xludf.DUMMYFUNCTION("""COMPUTED_VALUE"""),1116.0)</f>
        <v>1116</v>
      </c>
      <c r="B1118" s="8">
        <f>IFERROR(__xludf.DUMMYFUNCTION("""COMPUTED_VALUE"""),38.0)</f>
        <v>38</v>
      </c>
    </row>
    <row r="1119">
      <c r="A1119" s="8">
        <f>IFERROR(__xludf.DUMMYFUNCTION("""COMPUTED_VALUE"""),1117.0)</f>
        <v>1117</v>
      </c>
      <c r="B1119" s="8">
        <f>IFERROR(__xludf.DUMMYFUNCTION("""COMPUTED_VALUE"""),40.0)</f>
        <v>40</v>
      </c>
    </row>
    <row r="1120">
      <c r="A1120" s="8">
        <f>IFERROR(__xludf.DUMMYFUNCTION("""COMPUTED_VALUE"""),1118.0)</f>
        <v>1118</v>
      </c>
      <c r="B1120" s="8">
        <f>IFERROR(__xludf.DUMMYFUNCTION("""COMPUTED_VALUE"""),39.0)</f>
        <v>39</v>
      </c>
    </row>
    <row r="1121">
      <c r="A1121" s="8">
        <f>IFERROR(__xludf.DUMMYFUNCTION("""COMPUTED_VALUE"""),1119.0)</f>
        <v>1119</v>
      </c>
      <c r="B1121" s="8">
        <f>IFERROR(__xludf.DUMMYFUNCTION("""COMPUTED_VALUE"""),49.0)</f>
        <v>49</v>
      </c>
    </row>
    <row r="1122">
      <c r="A1122" s="8">
        <f>IFERROR(__xludf.DUMMYFUNCTION("""COMPUTED_VALUE"""),1120.0)</f>
        <v>1120</v>
      </c>
      <c r="B1122" s="8">
        <f>IFERROR(__xludf.DUMMYFUNCTION("""COMPUTED_VALUE"""),51.0)</f>
        <v>51</v>
      </c>
    </row>
    <row r="1123">
      <c r="A1123" s="8">
        <f>IFERROR(__xludf.DUMMYFUNCTION("""COMPUTED_VALUE"""),1121.0)</f>
        <v>1121</v>
      </c>
      <c r="B1123" s="8">
        <f>IFERROR(__xludf.DUMMYFUNCTION("""COMPUTED_VALUE"""),31.0)</f>
        <v>31</v>
      </c>
    </row>
    <row r="1124">
      <c r="A1124" s="8">
        <f>IFERROR(__xludf.DUMMYFUNCTION("""COMPUTED_VALUE"""),1122.0)</f>
        <v>1122</v>
      </c>
      <c r="B1124" s="8">
        <f>IFERROR(__xludf.DUMMYFUNCTION("""COMPUTED_VALUE"""),41.0)</f>
        <v>41</v>
      </c>
    </row>
    <row r="1125">
      <c r="A1125" s="8">
        <f>IFERROR(__xludf.DUMMYFUNCTION("""COMPUTED_VALUE"""),1123.0)</f>
        <v>1123</v>
      </c>
      <c r="B1125" s="8">
        <f>IFERROR(__xludf.DUMMYFUNCTION("""COMPUTED_VALUE"""),52.0)</f>
        <v>52</v>
      </c>
    </row>
    <row r="1126">
      <c r="A1126" s="8">
        <f>IFERROR(__xludf.DUMMYFUNCTION("""COMPUTED_VALUE"""),1124.0)</f>
        <v>1124</v>
      </c>
      <c r="B1126" s="8">
        <f>IFERROR(__xludf.DUMMYFUNCTION("""COMPUTED_VALUE"""),64.0)</f>
        <v>64</v>
      </c>
    </row>
    <row r="1127">
      <c r="A1127" s="8">
        <f>IFERROR(__xludf.DUMMYFUNCTION("""COMPUTED_VALUE"""),1125.0)</f>
        <v>1125</v>
      </c>
      <c r="B1127" s="8">
        <f>IFERROR(__xludf.DUMMYFUNCTION("""COMPUTED_VALUE"""),39.0)</f>
        <v>39</v>
      </c>
    </row>
    <row r="1128">
      <c r="A1128" s="8">
        <f>IFERROR(__xludf.DUMMYFUNCTION("""COMPUTED_VALUE"""),1126.0)</f>
        <v>1126</v>
      </c>
      <c r="B1128" s="8">
        <f>IFERROR(__xludf.DUMMYFUNCTION("""COMPUTED_VALUE"""),53.0)</f>
        <v>53</v>
      </c>
    </row>
    <row r="1129">
      <c r="A1129" s="8">
        <f>IFERROR(__xludf.DUMMYFUNCTION("""COMPUTED_VALUE"""),1127.0)</f>
        <v>1127</v>
      </c>
      <c r="B1129" s="8">
        <f>IFERROR(__xludf.DUMMYFUNCTION("""COMPUTED_VALUE"""),48.0)</f>
        <v>48</v>
      </c>
    </row>
    <row r="1130">
      <c r="A1130" s="8">
        <f>IFERROR(__xludf.DUMMYFUNCTION("""COMPUTED_VALUE"""),1128.0)</f>
        <v>1128</v>
      </c>
      <c r="B1130" s="8">
        <f>IFERROR(__xludf.DUMMYFUNCTION("""COMPUTED_VALUE"""),64.0)</f>
        <v>64</v>
      </c>
    </row>
    <row r="1131">
      <c r="A1131" s="8">
        <f>IFERROR(__xludf.DUMMYFUNCTION("""COMPUTED_VALUE"""),1129.0)</f>
        <v>1129</v>
      </c>
      <c r="B1131" s="8">
        <f>IFERROR(__xludf.DUMMYFUNCTION("""COMPUTED_VALUE"""),48.0)</f>
        <v>48</v>
      </c>
    </row>
    <row r="1132">
      <c r="A1132" s="8">
        <f>IFERROR(__xludf.DUMMYFUNCTION("""COMPUTED_VALUE"""),1130.0)</f>
        <v>1130</v>
      </c>
      <c r="B1132" s="8">
        <f>IFERROR(__xludf.DUMMYFUNCTION("""COMPUTED_VALUE"""),39.0)</f>
        <v>39</v>
      </c>
    </row>
    <row r="1133">
      <c r="A1133" s="8">
        <f>IFERROR(__xludf.DUMMYFUNCTION("""COMPUTED_VALUE"""),1131.0)</f>
        <v>1131</v>
      </c>
      <c r="B1133" s="8">
        <f>IFERROR(__xludf.DUMMYFUNCTION("""COMPUTED_VALUE"""),33.0)</f>
        <v>33</v>
      </c>
    </row>
    <row r="1134">
      <c r="A1134" s="8">
        <f>IFERROR(__xludf.DUMMYFUNCTION("""COMPUTED_VALUE"""),1132.0)</f>
        <v>1132</v>
      </c>
      <c r="B1134" s="8">
        <f>IFERROR(__xludf.DUMMYFUNCTION("""COMPUTED_VALUE"""),68.0)</f>
        <v>68</v>
      </c>
    </row>
    <row r="1135">
      <c r="A1135" s="8">
        <f>IFERROR(__xludf.DUMMYFUNCTION("""COMPUTED_VALUE"""),1133.0)</f>
        <v>1133</v>
      </c>
      <c r="B1135" s="8">
        <f>IFERROR(__xludf.DUMMYFUNCTION("""COMPUTED_VALUE"""),36.0)</f>
        <v>36</v>
      </c>
    </row>
    <row r="1136">
      <c r="A1136" s="8">
        <f>IFERROR(__xludf.DUMMYFUNCTION("""COMPUTED_VALUE"""),1134.0)</f>
        <v>1134</v>
      </c>
      <c r="B1136" s="8">
        <f>IFERROR(__xludf.DUMMYFUNCTION("""COMPUTED_VALUE"""),62.0)</f>
        <v>62</v>
      </c>
    </row>
    <row r="1137">
      <c r="A1137" s="8">
        <f>IFERROR(__xludf.DUMMYFUNCTION("""COMPUTED_VALUE"""),1135.0)</f>
        <v>1135</v>
      </c>
      <c r="B1137" s="8">
        <f>IFERROR(__xludf.DUMMYFUNCTION("""COMPUTED_VALUE"""),42.0)</f>
        <v>42</v>
      </c>
    </row>
    <row r="1138">
      <c r="A1138" s="8">
        <f>IFERROR(__xludf.DUMMYFUNCTION("""COMPUTED_VALUE"""),1136.0)</f>
        <v>1136</v>
      </c>
      <c r="B1138" s="8">
        <f>IFERROR(__xludf.DUMMYFUNCTION("""COMPUTED_VALUE"""),37.0)</f>
        <v>37</v>
      </c>
    </row>
    <row r="1139">
      <c r="A1139" s="8">
        <f>IFERROR(__xludf.DUMMYFUNCTION("""COMPUTED_VALUE"""),1137.0)</f>
        <v>1137</v>
      </c>
      <c r="B1139" s="8">
        <f>IFERROR(__xludf.DUMMYFUNCTION("""COMPUTED_VALUE"""),51.0)</f>
        <v>51</v>
      </c>
    </row>
    <row r="1140">
      <c r="A1140" s="8">
        <f>IFERROR(__xludf.DUMMYFUNCTION("""COMPUTED_VALUE"""),1138.0)</f>
        <v>1138</v>
      </c>
      <c r="B1140" s="8">
        <f>IFERROR(__xludf.DUMMYFUNCTION("""COMPUTED_VALUE"""),38.0)</f>
        <v>38</v>
      </c>
    </row>
    <row r="1141">
      <c r="A1141" s="8">
        <f>IFERROR(__xludf.DUMMYFUNCTION("""COMPUTED_VALUE"""),1139.0)</f>
        <v>1139</v>
      </c>
      <c r="B1141" s="8">
        <f>IFERROR(__xludf.DUMMYFUNCTION("""COMPUTED_VALUE"""),59.0)</f>
        <v>59</v>
      </c>
    </row>
    <row r="1142">
      <c r="A1142" s="8">
        <f>IFERROR(__xludf.DUMMYFUNCTION("""COMPUTED_VALUE"""),1140.0)</f>
        <v>1140</v>
      </c>
      <c r="B1142" s="8">
        <f>IFERROR(__xludf.DUMMYFUNCTION("""COMPUTED_VALUE"""),56.0)</f>
        <v>56</v>
      </c>
    </row>
    <row r="1143">
      <c r="A1143" s="8">
        <f>IFERROR(__xludf.DUMMYFUNCTION("""COMPUTED_VALUE"""),1141.0)</f>
        <v>1141</v>
      </c>
      <c r="B1143" s="8">
        <f>IFERROR(__xludf.DUMMYFUNCTION("""COMPUTED_VALUE"""),63.0)</f>
        <v>63</v>
      </c>
    </row>
    <row r="1144">
      <c r="A1144" s="8">
        <f>IFERROR(__xludf.DUMMYFUNCTION("""COMPUTED_VALUE"""),1142.0)</f>
        <v>1142</v>
      </c>
      <c r="B1144" s="8">
        <f>IFERROR(__xludf.DUMMYFUNCTION("""COMPUTED_VALUE"""),48.0)</f>
        <v>48</v>
      </c>
    </row>
    <row r="1145">
      <c r="A1145" s="8">
        <f>IFERROR(__xludf.DUMMYFUNCTION("""COMPUTED_VALUE"""),1143.0)</f>
        <v>1143</v>
      </c>
      <c r="B1145" s="8">
        <f>IFERROR(__xludf.DUMMYFUNCTION("""COMPUTED_VALUE"""),32.0)</f>
        <v>32</v>
      </c>
    </row>
    <row r="1146">
      <c r="A1146" s="8">
        <f>IFERROR(__xludf.DUMMYFUNCTION("""COMPUTED_VALUE"""),1144.0)</f>
        <v>1144</v>
      </c>
      <c r="B1146" s="8">
        <f>IFERROR(__xludf.DUMMYFUNCTION("""COMPUTED_VALUE"""),49.0)</f>
        <v>49</v>
      </c>
    </row>
    <row r="1147">
      <c r="A1147" s="8">
        <f>IFERROR(__xludf.DUMMYFUNCTION("""COMPUTED_VALUE"""),1145.0)</f>
        <v>1145</v>
      </c>
      <c r="B1147" s="8">
        <f>IFERROR(__xludf.DUMMYFUNCTION("""COMPUTED_VALUE"""),62.0)</f>
        <v>62</v>
      </c>
    </row>
    <row r="1148">
      <c r="A1148" s="8">
        <f>IFERROR(__xludf.DUMMYFUNCTION("""COMPUTED_VALUE"""),1146.0)</f>
        <v>1146</v>
      </c>
      <c r="B1148" s="8">
        <f>IFERROR(__xludf.DUMMYFUNCTION("""COMPUTED_VALUE"""),33.0)</f>
        <v>33</v>
      </c>
    </row>
    <row r="1149">
      <c r="A1149" s="8">
        <f>IFERROR(__xludf.DUMMYFUNCTION("""COMPUTED_VALUE"""),1147.0)</f>
        <v>1147</v>
      </c>
      <c r="B1149" s="8">
        <f>IFERROR(__xludf.DUMMYFUNCTION("""COMPUTED_VALUE"""),46.0)</f>
        <v>46</v>
      </c>
    </row>
    <row r="1150">
      <c r="A1150" s="8">
        <f>IFERROR(__xludf.DUMMYFUNCTION("""COMPUTED_VALUE"""),1148.0)</f>
        <v>1148</v>
      </c>
      <c r="B1150" s="8">
        <f>IFERROR(__xludf.DUMMYFUNCTION("""COMPUTED_VALUE"""),38.0)</f>
        <v>38</v>
      </c>
    </row>
    <row r="1151">
      <c r="A1151" s="8">
        <f>IFERROR(__xludf.DUMMYFUNCTION("""COMPUTED_VALUE"""),1149.0)</f>
        <v>1149</v>
      </c>
      <c r="B1151" s="8">
        <f>IFERROR(__xludf.DUMMYFUNCTION("""COMPUTED_VALUE"""),35.0)</f>
        <v>35</v>
      </c>
    </row>
    <row r="1152">
      <c r="A1152" s="8">
        <f>IFERROR(__xludf.DUMMYFUNCTION("""COMPUTED_VALUE"""),1150.0)</f>
        <v>1150</v>
      </c>
      <c r="B1152" s="8">
        <f>IFERROR(__xludf.DUMMYFUNCTION("""COMPUTED_VALUE"""),35.0)</f>
        <v>35</v>
      </c>
    </row>
    <row r="1153">
      <c r="A1153" s="8">
        <f>IFERROR(__xludf.DUMMYFUNCTION("""COMPUTED_VALUE"""),1151.0)</f>
        <v>1151</v>
      </c>
      <c r="B1153" s="8">
        <f>IFERROR(__xludf.DUMMYFUNCTION("""COMPUTED_VALUE"""),26.0)</f>
        <v>26</v>
      </c>
    </row>
    <row r="1154">
      <c r="A1154" s="8">
        <f>IFERROR(__xludf.DUMMYFUNCTION("""COMPUTED_VALUE"""),1152.0)</f>
        <v>1152</v>
      </c>
      <c r="B1154" s="8">
        <f>IFERROR(__xludf.DUMMYFUNCTION("""COMPUTED_VALUE"""),31.0)</f>
        <v>31</v>
      </c>
    </row>
    <row r="1155">
      <c r="A1155" s="8">
        <f>IFERROR(__xludf.DUMMYFUNCTION("""COMPUTED_VALUE"""),1153.0)</f>
        <v>1153</v>
      </c>
      <c r="B1155" s="8">
        <f>IFERROR(__xludf.DUMMYFUNCTION("""COMPUTED_VALUE"""),55.0)</f>
        <v>55</v>
      </c>
    </row>
    <row r="1156">
      <c r="A1156" s="8">
        <f>IFERROR(__xludf.DUMMYFUNCTION("""COMPUTED_VALUE"""),1154.0)</f>
        <v>1154</v>
      </c>
      <c r="B1156" s="8">
        <f>IFERROR(__xludf.DUMMYFUNCTION("""COMPUTED_VALUE"""),45.0)</f>
        <v>45</v>
      </c>
    </row>
    <row r="1157">
      <c r="A1157" s="8">
        <f>IFERROR(__xludf.DUMMYFUNCTION("""COMPUTED_VALUE"""),1155.0)</f>
        <v>1155</v>
      </c>
      <c r="B1157" s="8">
        <f>IFERROR(__xludf.DUMMYFUNCTION("""COMPUTED_VALUE"""),58.0)</f>
        <v>58</v>
      </c>
    </row>
    <row r="1158">
      <c r="A1158" s="8">
        <f>IFERROR(__xludf.DUMMYFUNCTION("""COMPUTED_VALUE"""),1156.0)</f>
        <v>1156</v>
      </c>
      <c r="B1158" s="8">
        <f>IFERROR(__xludf.DUMMYFUNCTION("""COMPUTED_VALUE"""),39.0)</f>
        <v>39</v>
      </c>
    </row>
    <row r="1159">
      <c r="A1159" s="8">
        <f>IFERROR(__xludf.DUMMYFUNCTION("""COMPUTED_VALUE"""),1157.0)</f>
        <v>1157</v>
      </c>
      <c r="B1159" s="8">
        <f>IFERROR(__xludf.DUMMYFUNCTION("""COMPUTED_VALUE"""),46.0)</f>
        <v>46</v>
      </c>
    </row>
    <row r="1160">
      <c r="A1160" s="8">
        <f>IFERROR(__xludf.DUMMYFUNCTION("""COMPUTED_VALUE"""),1158.0)</f>
        <v>1158</v>
      </c>
      <c r="B1160" s="8">
        <f>IFERROR(__xludf.DUMMYFUNCTION("""COMPUTED_VALUE"""),59.0)</f>
        <v>59</v>
      </c>
    </row>
    <row r="1161">
      <c r="A1161" s="8">
        <f>IFERROR(__xludf.DUMMYFUNCTION("""COMPUTED_VALUE"""),1159.0)</f>
        <v>1159</v>
      </c>
      <c r="B1161" s="8">
        <f>IFERROR(__xludf.DUMMYFUNCTION("""COMPUTED_VALUE"""),32.0)</f>
        <v>32</v>
      </c>
    </row>
    <row r="1162">
      <c r="A1162" s="8">
        <f>IFERROR(__xludf.DUMMYFUNCTION("""COMPUTED_VALUE"""),1160.0)</f>
        <v>1160</v>
      </c>
      <c r="B1162" s="8">
        <f>IFERROR(__xludf.DUMMYFUNCTION("""COMPUTED_VALUE"""),40.0)</f>
        <v>40</v>
      </c>
    </row>
    <row r="1163">
      <c r="A1163" s="8">
        <f>IFERROR(__xludf.DUMMYFUNCTION("""COMPUTED_VALUE"""),1161.0)</f>
        <v>1161</v>
      </c>
      <c r="B1163" s="8">
        <f>IFERROR(__xludf.DUMMYFUNCTION("""COMPUTED_VALUE"""),68.0)</f>
        <v>68</v>
      </c>
    </row>
    <row r="1164">
      <c r="A1164" s="8">
        <f>IFERROR(__xludf.DUMMYFUNCTION("""COMPUTED_VALUE"""),1162.0)</f>
        <v>1162</v>
      </c>
      <c r="B1164" s="8">
        <f>IFERROR(__xludf.DUMMYFUNCTION("""COMPUTED_VALUE"""),68.0)</f>
        <v>68</v>
      </c>
    </row>
    <row r="1165">
      <c r="A1165" s="8">
        <f>IFERROR(__xludf.DUMMYFUNCTION("""COMPUTED_VALUE"""),1163.0)</f>
        <v>1163</v>
      </c>
      <c r="B1165" s="8">
        <f>IFERROR(__xludf.DUMMYFUNCTION("""COMPUTED_VALUE"""),48.0)</f>
        <v>48</v>
      </c>
    </row>
    <row r="1166">
      <c r="A1166" s="8">
        <f>IFERROR(__xludf.DUMMYFUNCTION("""COMPUTED_VALUE"""),1164.0)</f>
        <v>1164</v>
      </c>
      <c r="B1166" s="8">
        <f>IFERROR(__xludf.DUMMYFUNCTION("""COMPUTED_VALUE"""),62.0)</f>
        <v>62</v>
      </c>
    </row>
    <row r="1167">
      <c r="A1167" s="8">
        <f>IFERROR(__xludf.DUMMYFUNCTION("""COMPUTED_VALUE"""),1165.0)</f>
        <v>1165</v>
      </c>
      <c r="B1167" s="8">
        <f>IFERROR(__xludf.DUMMYFUNCTION("""COMPUTED_VALUE"""),53.0)</f>
        <v>53</v>
      </c>
    </row>
    <row r="1168">
      <c r="A1168" s="8">
        <f>IFERROR(__xludf.DUMMYFUNCTION("""COMPUTED_VALUE"""),1166.0)</f>
        <v>1166</v>
      </c>
      <c r="B1168" s="8">
        <f>IFERROR(__xludf.DUMMYFUNCTION("""COMPUTED_VALUE"""),28.0)</f>
        <v>28</v>
      </c>
    </row>
    <row r="1169">
      <c r="A1169" s="8">
        <f>IFERROR(__xludf.DUMMYFUNCTION("""COMPUTED_VALUE"""),1167.0)</f>
        <v>1167</v>
      </c>
      <c r="B1169" s="8">
        <f>IFERROR(__xludf.DUMMYFUNCTION("""COMPUTED_VALUE"""),41.0)</f>
        <v>41</v>
      </c>
    </row>
    <row r="1170">
      <c r="A1170" s="8">
        <f>IFERROR(__xludf.DUMMYFUNCTION("""COMPUTED_VALUE"""),1168.0)</f>
        <v>1168</v>
      </c>
      <c r="B1170" s="8">
        <f>IFERROR(__xludf.DUMMYFUNCTION("""COMPUTED_VALUE"""),38.0)</f>
        <v>38</v>
      </c>
    </row>
    <row r="1171">
      <c r="A1171" s="8">
        <f>IFERROR(__xludf.DUMMYFUNCTION("""COMPUTED_VALUE"""),1169.0)</f>
        <v>1169</v>
      </c>
      <c r="B1171" s="8">
        <f>IFERROR(__xludf.DUMMYFUNCTION("""COMPUTED_VALUE"""),46.0)</f>
        <v>46</v>
      </c>
    </row>
    <row r="1172">
      <c r="A1172" s="8">
        <f>IFERROR(__xludf.DUMMYFUNCTION("""COMPUTED_VALUE"""),1170.0)</f>
        <v>1170</v>
      </c>
      <c r="B1172" s="8">
        <f>IFERROR(__xludf.DUMMYFUNCTION("""COMPUTED_VALUE"""),49.0)</f>
        <v>49</v>
      </c>
    </row>
    <row r="1173">
      <c r="A1173" s="8">
        <f>IFERROR(__xludf.DUMMYFUNCTION("""COMPUTED_VALUE"""),1171.0)</f>
        <v>1171</v>
      </c>
      <c r="B1173" s="8">
        <f>IFERROR(__xludf.DUMMYFUNCTION("""COMPUTED_VALUE"""),56.0)</f>
        <v>56</v>
      </c>
    </row>
    <row r="1174">
      <c r="A1174" s="8">
        <f>IFERROR(__xludf.DUMMYFUNCTION("""COMPUTED_VALUE"""),1172.0)</f>
        <v>1172</v>
      </c>
      <c r="B1174" s="8">
        <f>IFERROR(__xludf.DUMMYFUNCTION("""COMPUTED_VALUE"""),37.0)</f>
        <v>37</v>
      </c>
    </row>
    <row r="1175">
      <c r="A1175" s="8">
        <f>IFERROR(__xludf.DUMMYFUNCTION("""COMPUTED_VALUE"""),1173.0)</f>
        <v>1173</v>
      </c>
      <c r="B1175" s="8">
        <f>IFERROR(__xludf.DUMMYFUNCTION("""COMPUTED_VALUE"""),23.0)</f>
        <v>23</v>
      </c>
    </row>
    <row r="1176">
      <c r="A1176" s="8">
        <f>IFERROR(__xludf.DUMMYFUNCTION("""COMPUTED_VALUE"""),1174.0)</f>
        <v>1174</v>
      </c>
      <c r="B1176" s="8">
        <f>IFERROR(__xludf.DUMMYFUNCTION("""COMPUTED_VALUE"""),38.0)</f>
        <v>38</v>
      </c>
    </row>
    <row r="1177">
      <c r="A1177" s="8">
        <f>IFERROR(__xludf.DUMMYFUNCTION("""COMPUTED_VALUE"""),1175.0)</f>
        <v>1175</v>
      </c>
      <c r="B1177" s="8">
        <f>IFERROR(__xludf.DUMMYFUNCTION("""COMPUTED_VALUE"""),28.0)</f>
        <v>28</v>
      </c>
    </row>
    <row r="1178">
      <c r="A1178" s="8">
        <f>IFERROR(__xludf.DUMMYFUNCTION("""COMPUTED_VALUE"""),1176.0)</f>
        <v>1176</v>
      </c>
      <c r="B1178" s="8">
        <f>IFERROR(__xludf.DUMMYFUNCTION("""COMPUTED_VALUE"""),29.0)</f>
        <v>29</v>
      </c>
    </row>
    <row r="1179">
      <c r="A1179" s="8">
        <f>IFERROR(__xludf.DUMMYFUNCTION("""COMPUTED_VALUE"""),1177.0)</f>
        <v>1177</v>
      </c>
      <c r="B1179" s="8">
        <f>IFERROR(__xludf.DUMMYFUNCTION("""COMPUTED_VALUE"""),53.0)</f>
        <v>53</v>
      </c>
    </row>
    <row r="1180">
      <c r="A1180" s="8">
        <f>IFERROR(__xludf.DUMMYFUNCTION("""COMPUTED_VALUE"""),1178.0)</f>
        <v>1178</v>
      </c>
      <c r="B1180" s="8">
        <f>IFERROR(__xludf.DUMMYFUNCTION("""COMPUTED_VALUE"""),39.0)</f>
        <v>39</v>
      </c>
    </row>
    <row r="1181">
      <c r="A1181" s="8">
        <f>IFERROR(__xludf.DUMMYFUNCTION("""COMPUTED_VALUE"""),1179.0)</f>
        <v>1179</v>
      </c>
      <c r="B1181" s="8">
        <f>IFERROR(__xludf.DUMMYFUNCTION("""COMPUTED_VALUE"""),39.0)</f>
        <v>39</v>
      </c>
    </row>
    <row r="1182">
      <c r="A1182" s="8">
        <f>IFERROR(__xludf.DUMMYFUNCTION("""COMPUTED_VALUE"""),1180.0)</f>
        <v>1180</v>
      </c>
      <c r="B1182" s="8">
        <f>IFERROR(__xludf.DUMMYFUNCTION("""COMPUTED_VALUE"""),31.0)</f>
        <v>31</v>
      </c>
    </row>
    <row r="1183">
      <c r="A1183" s="8">
        <f>IFERROR(__xludf.DUMMYFUNCTION("""COMPUTED_VALUE"""),1181.0)</f>
        <v>1181</v>
      </c>
      <c r="B1183" s="8">
        <f>IFERROR(__xludf.DUMMYFUNCTION("""COMPUTED_VALUE"""),43.0)</f>
        <v>43</v>
      </c>
    </row>
    <row r="1184">
      <c r="A1184" s="8">
        <f>IFERROR(__xludf.DUMMYFUNCTION("""COMPUTED_VALUE"""),1182.0)</f>
        <v>1182</v>
      </c>
      <c r="B1184" s="8">
        <f>IFERROR(__xludf.DUMMYFUNCTION("""COMPUTED_VALUE"""),21.0)</f>
        <v>21</v>
      </c>
    </row>
    <row r="1185">
      <c r="A1185" s="8">
        <f>IFERROR(__xludf.DUMMYFUNCTION("""COMPUTED_VALUE"""),1183.0)</f>
        <v>1183</v>
      </c>
      <c r="B1185" s="8">
        <f>IFERROR(__xludf.DUMMYFUNCTION("""COMPUTED_VALUE"""),54.0)</f>
        <v>54</v>
      </c>
    </row>
    <row r="1186">
      <c r="A1186" s="8">
        <f>IFERROR(__xludf.DUMMYFUNCTION("""COMPUTED_VALUE"""),1184.0)</f>
        <v>1184</v>
      </c>
      <c r="B1186" s="8">
        <f>IFERROR(__xludf.DUMMYFUNCTION("""COMPUTED_VALUE"""),55.0)</f>
        <v>55</v>
      </c>
    </row>
    <row r="1187">
      <c r="A1187" s="8">
        <f>IFERROR(__xludf.DUMMYFUNCTION("""COMPUTED_VALUE"""),1185.0)</f>
        <v>1185</v>
      </c>
      <c r="B1187" s="8">
        <f>IFERROR(__xludf.DUMMYFUNCTION("""COMPUTED_VALUE"""),63.0)</f>
        <v>63</v>
      </c>
    </row>
    <row r="1188">
      <c r="A1188" s="8">
        <f>IFERROR(__xludf.DUMMYFUNCTION("""COMPUTED_VALUE"""),1186.0)</f>
        <v>1186</v>
      </c>
      <c r="B1188" s="8">
        <f>IFERROR(__xludf.DUMMYFUNCTION("""COMPUTED_VALUE"""),66.0)</f>
        <v>66</v>
      </c>
    </row>
    <row r="1189">
      <c r="A1189" s="8">
        <f>IFERROR(__xludf.DUMMYFUNCTION("""COMPUTED_VALUE"""),1187.0)</f>
        <v>1187</v>
      </c>
      <c r="B1189" s="8">
        <f>IFERROR(__xludf.DUMMYFUNCTION("""COMPUTED_VALUE"""),27.0)</f>
        <v>27</v>
      </c>
    </row>
    <row r="1190">
      <c r="A1190" s="8">
        <f>IFERROR(__xludf.DUMMYFUNCTION("""COMPUTED_VALUE"""),1188.0)</f>
        <v>1188</v>
      </c>
      <c r="B1190" s="8">
        <f>IFERROR(__xludf.DUMMYFUNCTION("""COMPUTED_VALUE"""),85.0)</f>
        <v>85</v>
      </c>
    </row>
    <row r="1191">
      <c r="A1191" s="8">
        <f>IFERROR(__xludf.DUMMYFUNCTION("""COMPUTED_VALUE"""),1189.0)</f>
        <v>1189</v>
      </c>
      <c r="B1191" s="8">
        <f>IFERROR(__xludf.DUMMYFUNCTION("""COMPUTED_VALUE"""),64.0)</f>
        <v>64</v>
      </c>
    </row>
    <row r="1192">
      <c r="A1192" s="8">
        <f>IFERROR(__xludf.DUMMYFUNCTION("""COMPUTED_VALUE"""),1190.0)</f>
        <v>1190</v>
      </c>
      <c r="B1192" s="8">
        <f>IFERROR(__xludf.DUMMYFUNCTION("""COMPUTED_VALUE"""),48.0)</f>
        <v>48</v>
      </c>
    </row>
    <row r="1193">
      <c r="A1193" s="8">
        <f>IFERROR(__xludf.DUMMYFUNCTION("""COMPUTED_VALUE"""),1191.0)</f>
        <v>1191</v>
      </c>
      <c r="B1193" s="8">
        <f>IFERROR(__xludf.DUMMYFUNCTION("""COMPUTED_VALUE"""),33.0)</f>
        <v>33</v>
      </c>
    </row>
    <row r="1194">
      <c r="A1194" s="8">
        <f>IFERROR(__xludf.DUMMYFUNCTION("""COMPUTED_VALUE"""),1192.0)</f>
        <v>1192</v>
      </c>
      <c r="B1194" s="8">
        <f>IFERROR(__xludf.DUMMYFUNCTION("""COMPUTED_VALUE"""),53.0)</f>
        <v>53</v>
      </c>
    </row>
    <row r="1195">
      <c r="A1195" s="8">
        <f>IFERROR(__xludf.DUMMYFUNCTION("""COMPUTED_VALUE"""),1193.0)</f>
        <v>1193</v>
      </c>
      <c r="B1195" s="8">
        <f>IFERROR(__xludf.DUMMYFUNCTION("""COMPUTED_VALUE"""),43.0)</f>
        <v>43</v>
      </c>
    </row>
    <row r="1196">
      <c r="A1196" s="8">
        <f>IFERROR(__xludf.DUMMYFUNCTION("""COMPUTED_VALUE"""),1194.0)</f>
        <v>1194</v>
      </c>
      <c r="B1196" s="8">
        <f>IFERROR(__xludf.DUMMYFUNCTION("""COMPUTED_VALUE"""),26.0)</f>
        <v>26</v>
      </c>
    </row>
    <row r="1197">
      <c r="A1197" s="8">
        <f>IFERROR(__xludf.DUMMYFUNCTION("""COMPUTED_VALUE"""),1195.0)</f>
        <v>1195</v>
      </c>
      <c r="B1197" s="8">
        <f>IFERROR(__xludf.DUMMYFUNCTION("""COMPUTED_VALUE"""),58.0)</f>
        <v>58</v>
      </c>
    </row>
    <row r="1198">
      <c r="A1198" s="8">
        <f>IFERROR(__xludf.DUMMYFUNCTION("""COMPUTED_VALUE"""),1196.0)</f>
        <v>1196</v>
      </c>
      <c r="B1198" s="8">
        <f>IFERROR(__xludf.DUMMYFUNCTION("""COMPUTED_VALUE"""),38.0)</f>
        <v>38</v>
      </c>
    </row>
    <row r="1199">
      <c r="A1199" s="8">
        <f>IFERROR(__xludf.DUMMYFUNCTION("""COMPUTED_VALUE"""),1197.0)</f>
        <v>1197</v>
      </c>
      <c r="B1199" s="8">
        <f>IFERROR(__xludf.DUMMYFUNCTION("""COMPUTED_VALUE"""),50.0)</f>
        <v>50</v>
      </c>
    </row>
    <row r="1200">
      <c r="A1200" s="8">
        <f>IFERROR(__xludf.DUMMYFUNCTION("""COMPUTED_VALUE"""),1198.0)</f>
        <v>1198</v>
      </c>
      <c r="B1200" s="8">
        <f>IFERROR(__xludf.DUMMYFUNCTION("""COMPUTED_VALUE"""),52.0)</f>
        <v>52</v>
      </c>
    </row>
    <row r="1201">
      <c r="A1201" s="8">
        <f>IFERROR(__xludf.DUMMYFUNCTION("""COMPUTED_VALUE"""),1199.0)</f>
        <v>1199</v>
      </c>
      <c r="B1201" s="8">
        <f>IFERROR(__xludf.DUMMYFUNCTION("""COMPUTED_VALUE"""),80.0)</f>
        <v>80</v>
      </c>
    </row>
    <row r="1202">
      <c r="A1202" s="8">
        <f>IFERROR(__xludf.DUMMYFUNCTION("""COMPUTED_VALUE"""),1200.0)</f>
        <v>1200</v>
      </c>
      <c r="B1202" s="8">
        <f>IFERROR(__xludf.DUMMYFUNCTION("""COMPUTED_VALUE"""),37.0)</f>
        <v>37</v>
      </c>
    </row>
    <row r="1203">
      <c r="A1203" s="8">
        <f>IFERROR(__xludf.DUMMYFUNCTION("""COMPUTED_VALUE"""),1201.0)</f>
        <v>1201</v>
      </c>
      <c r="B1203" s="8">
        <f>IFERROR(__xludf.DUMMYFUNCTION("""COMPUTED_VALUE"""),53.0)</f>
        <v>53</v>
      </c>
    </row>
    <row r="1204">
      <c r="A1204" s="8">
        <f>IFERROR(__xludf.DUMMYFUNCTION("""COMPUTED_VALUE"""),1202.0)</f>
        <v>1202</v>
      </c>
      <c r="B1204" s="8">
        <f>IFERROR(__xludf.DUMMYFUNCTION("""COMPUTED_VALUE"""),62.0)</f>
        <v>62</v>
      </c>
    </row>
    <row r="1205">
      <c r="A1205" s="8">
        <f>IFERROR(__xludf.DUMMYFUNCTION("""COMPUTED_VALUE"""),1203.0)</f>
        <v>1203</v>
      </c>
      <c r="B1205" s="8">
        <f>IFERROR(__xludf.DUMMYFUNCTION("""COMPUTED_VALUE"""),38.0)</f>
        <v>38</v>
      </c>
    </row>
    <row r="1206">
      <c r="A1206" s="8">
        <f>IFERROR(__xludf.DUMMYFUNCTION("""COMPUTED_VALUE"""),1204.0)</f>
        <v>1204</v>
      </c>
      <c r="B1206" s="8">
        <f>IFERROR(__xludf.DUMMYFUNCTION("""COMPUTED_VALUE"""),59.0)</f>
        <v>59</v>
      </c>
    </row>
    <row r="1207">
      <c r="A1207" s="8">
        <f>IFERROR(__xludf.DUMMYFUNCTION("""COMPUTED_VALUE"""),1205.0)</f>
        <v>1205</v>
      </c>
      <c r="B1207" s="8">
        <f>IFERROR(__xludf.DUMMYFUNCTION("""COMPUTED_VALUE"""),29.0)</f>
        <v>29</v>
      </c>
    </row>
    <row r="1208">
      <c r="A1208" s="8">
        <f>IFERROR(__xludf.DUMMYFUNCTION("""COMPUTED_VALUE"""),1206.0)</f>
        <v>1206</v>
      </c>
      <c r="B1208" s="8">
        <f>IFERROR(__xludf.DUMMYFUNCTION("""COMPUTED_VALUE"""),39.0)</f>
        <v>39</v>
      </c>
    </row>
    <row r="1209">
      <c r="A1209" s="8">
        <f>IFERROR(__xludf.DUMMYFUNCTION("""COMPUTED_VALUE"""),1207.0)</f>
        <v>1207</v>
      </c>
      <c r="B1209" s="8">
        <f>IFERROR(__xludf.DUMMYFUNCTION("""COMPUTED_VALUE"""),36.0)</f>
        <v>36</v>
      </c>
    </row>
    <row r="1210">
      <c r="A1210" s="8">
        <f>IFERROR(__xludf.DUMMYFUNCTION("""COMPUTED_VALUE"""),1208.0)</f>
        <v>1208</v>
      </c>
      <c r="B1210" s="8">
        <f>IFERROR(__xludf.DUMMYFUNCTION("""COMPUTED_VALUE"""),27.0)</f>
        <v>27</v>
      </c>
    </row>
    <row r="1211">
      <c r="A1211" s="8">
        <f>IFERROR(__xludf.DUMMYFUNCTION("""COMPUTED_VALUE"""),1209.0)</f>
        <v>1209</v>
      </c>
      <c r="B1211" s="8">
        <f>IFERROR(__xludf.DUMMYFUNCTION("""COMPUTED_VALUE"""),72.0)</f>
        <v>72</v>
      </c>
    </row>
    <row r="1212">
      <c r="A1212" s="8">
        <f>IFERROR(__xludf.DUMMYFUNCTION("""COMPUTED_VALUE"""),1210.0)</f>
        <v>1210</v>
      </c>
      <c r="B1212" s="8">
        <f>IFERROR(__xludf.DUMMYFUNCTION("""COMPUTED_VALUE"""),32.0)</f>
        <v>32</v>
      </c>
    </row>
    <row r="1213">
      <c r="A1213" s="8">
        <f>IFERROR(__xludf.DUMMYFUNCTION("""COMPUTED_VALUE"""),1211.0)</f>
        <v>1211</v>
      </c>
      <c r="B1213" s="8">
        <f>IFERROR(__xludf.DUMMYFUNCTION("""COMPUTED_VALUE"""),30.0)</f>
        <v>30</v>
      </c>
    </row>
    <row r="1214">
      <c r="A1214" s="8">
        <f>IFERROR(__xludf.DUMMYFUNCTION("""COMPUTED_VALUE"""),1212.0)</f>
        <v>1212</v>
      </c>
      <c r="B1214" s="8">
        <f>IFERROR(__xludf.DUMMYFUNCTION("""COMPUTED_VALUE"""),34.0)</f>
        <v>34</v>
      </c>
    </row>
    <row r="1215">
      <c r="A1215" s="8">
        <f>IFERROR(__xludf.DUMMYFUNCTION("""COMPUTED_VALUE"""),1213.0)</f>
        <v>1213</v>
      </c>
      <c r="B1215" s="8">
        <f>IFERROR(__xludf.DUMMYFUNCTION("""COMPUTED_VALUE"""),42.0)</f>
        <v>42</v>
      </c>
    </row>
    <row r="1216">
      <c r="A1216" s="8">
        <f>IFERROR(__xludf.DUMMYFUNCTION("""COMPUTED_VALUE"""),1214.0)</f>
        <v>1214</v>
      </c>
      <c r="B1216" s="8">
        <f>IFERROR(__xludf.DUMMYFUNCTION("""COMPUTED_VALUE"""),52.0)</f>
        <v>52</v>
      </c>
    </row>
    <row r="1217">
      <c r="A1217" s="8">
        <f>IFERROR(__xludf.DUMMYFUNCTION("""COMPUTED_VALUE"""),1215.0)</f>
        <v>1215</v>
      </c>
      <c r="B1217" s="8">
        <f>IFERROR(__xludf.DUMMYFUNCTION("""COMPUTED_VALUE"""),50.0)</f>
        <v>50</v>
      </c>
    </row>
    <row r="1218">
      <c r="A1218" s="8">
        <f>IFERROR(__xludf.DUMMYFUNCTION("""COMPUTED_VALUE"""),1216.0)</f>
        <v>1216</v>
      </c>
      <c r="B1218" s="8">
        <f>IFERROR(__xludf.DUMMYFUNCTION("""COMPUTED_VALUE"""),44.0)</f>
        <v>44</v>
      </c>
    </row>
    <row r="1219">
      <c r="A1219" s="8">
        <f>IFERROR(__xludf.DUMMYFUNCTION("""COMPUTED_VALUE"""),1217.0)</f>
        <v>1217</v>
      </c>
      <c r="B1219" s="8">
        <f>IFERROR(__xludf.DUMMYFUNCTION("""COMPUTED_VALUE"""),37.0)</f>
        <v>37</v>
      </c>
    </row>
    <row r="1220">
      <c r="A1220" s="8">
        <f>IFERROR(__xludf.DUMMYFUNCTION("""COMPUTED_VALUE"""),1218.0)</f>
        <v>1218</v>
      </c>
      <c r="B1220" s="8">
        <f>IFERROR(__xludf.DUMMYFUNCTION("""COMPUTED_VALUE"""),30.0)</f>
        <v>30</v>
      </c>
    </row>
    <row r="1221">
      <c r="A1221" s="8">
        <f>IFERROR(__xludf.DUMMYFUNCTION("""COMPUTED_VALUE"""),1219.0)</f>
        <v>1219</v>
      </c>
      <c r="B1221" s="8">
        <f>IFERROR(__xludf.DUMMYFUNCTION("""COMPUTED_VALUE"""),44.0)</f>
        <v>44</v>
      </c>
    </row>
    <row r="1222">
      <c r="A1222" s="8">
        <f>IFERROR(__xludf.DUMMYFUNCTION("""COMPUTED_VALUE"""),1220.0)</f>
        <v>1220</v>
      </c>
      <c r="B1222" s="8">
        <f>IFERROR(__xludf.DUMMYFUNCTION("""COMPUTED_VALUE"""),59.0)</f>
        <v>59</v>
      </c>
    </row>
    <row r="1223">
      <c r="A1223" s="8">
        <f>IFERROR(__xludf.DUMMYFUNCTION("""COMPUTED_VALUE"""),1221.0)</f>
        <v>1221</v>
      </c>
      <c r="B1223" s="8">
        <f>IFERROR(__xludf.DUMMYFUNCTION("""COMPUTED_VALUE"""),35.0)</f>
        <v>35</v>
      </c>
    </row>
    <row r="1224">
      <c r="A1224" s="8">
        <f>IFERROR(__xludf.DUMMYFUNCTION("""COMPUTED_VALUE"""),1222.0)</f>
        <v>1222</v>
      </c>
      <c r="B1224" s="8">
        <f>IFERROR(__xludf.DUMMYFUNCTION("""COMPUTED_VALUE"""),57.0)</f>
        <v>57</v>
      </c>
    </row>
    <row r="1225">
      <c r="A1225" s="8">
        <f>IFERROR(__xludf.DUMMYFUNCTION("""COMPUTED_VALUE"""),1223.0)</f>
        <v>1223</v>
      </c>
      <c r="B1225" s="8">
        <f>IFERROR(__xludf.DUMMYFUNCTION("""COMPUTED_VALUE"""),43.0)</f>
        <v>43</v>
      </c>
    </row>
    <row r="1226">
      <c r="A1226" s="8">
        <f>IFERROR(__xludf.DUMMYFUNCTION("""COMPUTED_VALUE"""),1224.0)</f>
        <v>1224</v>
      </c>
      <c r="B1226" s="8">
        <f>IFERROR(__xludf.DUMMYFUNCTION("""COMPUTED_VALUE"""),40.0)</f>
        <v>40</v>
      </c>
    </row>
    <row r="1227">
      <c r="A1227" s="8">
        <f>IFERROR(__xludf.DUMMYFUNCTION("""COMPUTED_VALUE"""),1225.0)</f>
        <v>1225</v>
      </c>
      <c r="B1227" s="8">
        <f>IFERROR(__xludf.DUMMYFUNCTION("""COMPUTED_VALUE"""),42.0)</f>
        <v>42</v>
      </c>
    </row>
    <row r="1228">
      <c r="A1228" s="8">
        <f>IFERROR(__xludf.DUMMYFUNCTION("""COMPUTED_VALUE"""),1226.0)</f>
        <v>1226</v>
      </c>
      <c r="B1228" s="8">
        <f>IFERROR(__xludf.DUMMYFUNCTION("""COMPUTED_VALUE"""),59.0)</f>
        <v>59</v>
      </c>
    </row>
    <row r="1229">
      <c r="A1229" s="8">
        <f>IFERROR(__xludf.DUMMYFUNCTION("""COMPUTED_VALUE"""),1227.0)</f>
        <v>1227</v>
      </c>
      <c r="B1229" s="8">
        <f>IFERROR(__xludf.DUMMYFUNCTION("""COMPUTED_VALUE"""),31.0)</f>
        <v>31</v>
      </c>
    </row>
    <row r="1230">
      <c r="A1230" s="8">
        <f>IFERROR(__xludf.DUMMYFUNCTION("""COMPUTED_VALUE"""),1228.0)</f>
        <v>1228</v>
      </c>
      <c r="B1230" s="8">
        <f>IFERROR(__xludf.DUMMYFUNCTION("""COMPUTED_VALUE"""),62.0)</f>
        <v>62</v>
      </c>
    </row>
    <row r="1231">
      <c r="A1231" s="8">
        <f>IFERROR(__xludf.DUMMYFUNCTION("""COMPUTED_VALUE"""),1229.0)</f>
        <v>1229</v>
      </c>
      <c r="B1231" s="8">
        <f>IFERROR(__xludf.DUMMYFUNCTION("""COMPUTED_VALUE"""),23.0)</f>
        <v>23</v>
      </c>
    </row>
    <row r="1232">
      <c r="A1232" s="8">
        <f>IFERROR(__xludf.DUMMYFUNCTION("""COMPUTED_VALUE"""),1230.0)</f>
        <v>1230</v>
      </c>
      <c r="B1232" s="8">
        <f>IFERROR(__xludf.DUMMYFUNCTION("""COMPUTED_VALUE"""),38.0)</f>
        <v>38</v>
      </c>
    </row>
    <row r="1233">
      <c r="A1233" s="8">
        <f>IFERROR(__xludf.DUMMYFUNCTION("""COMPUTED_VALUE"""),1231.0)</f>
        <v>1231</v>
      </c>
      <c r="B1233" s="8">
        <f>IFERROR(__xludf.DUMMYFUNCTION("""COMPUTED_VALUE"""),38.0)</f>
        <v>38</v>
      </c>
    </row>
    <row r="1234">
      <c r="A1234" s="8">
        <f>IFERROR(__xludf.DUMMYFUNCTION("""COMPUTED_VALUE"""),1232.0)</f>
        <v>1232</v>
      </c>
      <c r="B1234" s="8">
        <f>IFERROR(__xludf.DUMMYFUNCTION("""COMPUTED_VALUE"""),20.0)</f>
        <v>20</v>
      </c>
    </row>
    <row r="1235">
      <c r="A1235" s="8">
        <f>IFERROR(__xludf.DUMMYFUNCTION("""COMPUTED_VALUE"""),1233.0)</f>
        <v>1233</v>
      </c>
      <c r="B1235" s="8">
        <f>IFERROR(__xludf.DUMMYFUNCTION("""COMPUTED_VALUE"""),46.0)</f>
        <v>46</v>
      </c>
    </row>
    <row r="1236">
      <c r="A1236" s="8">
        <f>IFERROR(__xludf.DUMMYFUNCTION("""COMPUTED_VALUE"""),1234.0)</f>
        <v>1234</v>
      </c>
      <c r="B1236" s="8">
        <f>IFERROR(__xludf.DUMMYFUNCTION("""COMPUTED_VALUE"""),33.0)</f>
        <v>33</v>
      </c>
    </row>
    <row r="1237">
      <c r="A1237" s="8">
        <f>IFERROR(__xludf.DUMMYFUNCTION("""COMPUTED_VALUE"""),1235.0)</f>
        <v>1235</v>
      </c>
      <c r="B1237" s="8">
        <f>IFERROR(__xludf.DUMMYFUNCTION("""COMPUTED_VALUE"""),37.0)</f>
        <v>37</v>
      </c>
    </row>
    <row r="1238">
      <c r="A1238" s="8">
        <f>IFERROR(__xludf.DUMMYFUNCTION("""COMPUTED_VALUE"""),1236.0)</f>
        <v>1236</v>
      </c>
      <c r="B1238" s="8">
        <f>IFERROR(__xludf.DUMMYFUNCTION("""COMPUTED_VALUE"""),60.0)</f>
        <v>60</v>
      </c>
    </row>
    <row r="1239">
      <c r="A1239" s="8">
        <f>IFERROR(__xludf.DUMMYFUNCTION("""COMPUTED_VALUE"""),1237.0)</f>
        <v>1237</v>
      </c>
      <c r="B1239" s="8">
        <f>IFERROR(__xludf.DUMMYFUNCTION("""COMPUTED_VALUE"""),37.0)</f>
        <v>37</v>
      </c>
    </row>
    <row r="1240">
      <c r="A1240" s="8">
        <f>IFERROR(__xludf.DUMMYFUNCTION("""COMPUTED_VALUE"""),1238.0)</f>
        <v>1238</v>
      </c>
      <c r="B1240" s="8">
        <f>IFERROR(__xludf.DUMMYFUNCTION("""COMPUTED_VALUE"""),60.0)</f>
        <v>60</v>
      </c>
    </row>
    <row r="1241">
      <c r="A1241" s="8">
        <f>IFERROR(__xludf.DUMMYFUNCTION("""COMPUTED_VALUE"""),1239.0)</f>
        <v>1239</v>
      </c>
      <c r="B1241" s="8">
        <f>IFERROR(__xludf.DUMMYFUNCTION("""COMPUTED_VALUE"""),34.0)</f>
        <v>34</v>
      </c>
    </row>
    <row r="1242">
      <c r="A1242" s="8">
        <f>IFERROR(__xludf.DUMMYFUNCTION("""COMPUTED_VALUE"""),1240.0)</f>
        <v>1240</v>
      </c>
      <c r="B1242" s="8">
        <f>IFERROR(__xludf.DUMMYFUNCTION("""COMPUTED_VALUE"""),46.0)</f>
        <v>46</v>
      </c>
    </row>
    <row r="1243">
      <c r="A1243" s="8">
        <f>IFERROR(__xludf.DUMMYFUNCTION("""COMPUTED_VALUE"""),1241.0)</f>
        <v>1241</v>
      </c>
      <c r="B1243" s="8">
        <f>IFERROR(__xludf.DUMMYFUNCTION("""COMPUTED_VALUE"""),50.0)</f>
        <v>50</v>
      </c>
    </row>
    <row r="1244">
      <c r="A1244" s="8">
        <f>IFERROR(__xludf.DUMMYFUNCTION("""COMPUTED_VALUE"""),1242.0)</f>
        <v>1242</v>
      </c>
      <c r="B1244" s="8">
        <f>IFERROR(__xludf.DUMMYFUNCTION("""COMPUTED_VALUE"""),44.0)</f>
        <v>44</v>
      </c>
    </row>
    <row r="1245">
      <c r="A1245" s="8">
        <f>IFERROR(__xludf.DUMMYFUNCTION("""COMPUTED_VALUE"""),1243.0)</f>
        <v>1243</v>
      </c>
      <c r="B1245" s="8">
        <f>IFERROR(__xludf.DUMMYFUNCTION("""COMPUTED_VALUE"""),63.0)</f>
        <v>63</v>
      </c>
    </row>
    <row r="1246">
      <c r="A1246" s="8">
        <f>IFERROR(__xludf.DUMMYFUNCTION("""COMPUTED_VALUE"""),1244.0)</f>
        <v>1244</v>
      </c>
      <c r="B1246" s="8">
        <f>IFERROR(__xludf.DUMMYFUNCTION("""COMPUTED_VALUE"""),61.0)</f>
        <v>61</v>
      </c>
    </row>
    <row r="1247">
      <c r="A1247" s="8">
        <f>IFERROR(__xludf.DUMMYFUNCTION("""COMPUTED_VALUE"""),1245.0)</f>
        <v>1245</v>
      </c>
      <c r="B1247" s="8">
        <f>IFERROR(__xludf.DUMMYFUNCTION("""COMPUTED_VALUE"""),55.0)</f>
        <v>55</v>
      </c>
    </row>
    <row r="1248">
      <c r="A1248" s="8">
        <f>IFERROR(__xludf.DUMMYFUNCTION("""COMPUTED_VALUE"""),1246.0)</f>
        <v>1246</v>
      </c>
      <c r="B1248" s="8">
        <f>IFERROR(__xludf.DUMMYFUNCTION("""COMPUTED_VALUE"""),29.0)</f>
        <v>29</v>
      </c>
    </row>
    <row r="1249">
      <c r="A1249" s="8">
        <f>IFERROR(__xludf.DUMMYFUNCTION("""COMPUTED_VALUE"""),1247.0)</f>
        <v>1247</v>
      </c>
      <c r="B1249" s="8">
        <f>IFERROR(__xludf.DUMMYFUNCTION("""COMPUTED_VALUE"""),51.0)</f>
        <v>51</v>
      </c>
    </row>
    <row r="1250">
      <c r="A1250" s="8">
        <f>IFERROR(__xludf.DUMMYFUNCTION("""COMPUTED_VALUE"""),1248.0)</f>
        <v>1248</v>
      </c>
      <c r="B1250" s="8">
        <f>IFERROR(__xludf.DUMMYFUNCTION("""COMPUTED_VALUE"""),46.0)</f>
        <v>46</v>
      </c>
    </row>
    <row r="1251">
      <c r="A1251" s="8">
        <f>IFERROR(__xludf.DUMMYFUNCTION("""COMPUTED_VALUE"""),1249.0)</f>
        <v>1249</v>
      </c>
      <c r="B1251" s="8">
        <f>IFERROR(__xludf.DUMMYFUNCTION("""COMPUTED_VALUE"""),41.0)</f>
        <v>41</v>
      </c>
    </row>
    <row r="1252">
      <c r="A1252" s="8">
        <f>IFERROR(__xludf.DUMMYFUNCTION("""COMPUTED_VALUE"""),1250.0)</f>
        <v>1250</v>
      </c>
      <c r="B1252" s="8">
        <f>IFERROR(__xludf.DUMMYFUNCTION("""COMPUTED_VALUE"""),59.0)</f>
        <v>59</v>
      </c>
    </row>
    <row r="1253">
      <c r="A1253" s="8">
        <f>IFERROR(__xludf.DUMMYFUNCTION("""COMPUTED_VALUE"""),1251.0)</f>
        <v>1251</v>
      </c>
      <c r="B1253" s="8">
        <f>IFERROR(__xludf.DUMMYFUNCTION("""COMPUTED_VALUE"""),39.0)</f>
        <v>39</v>
      </c>
    </row>
    <row r="1254">
      <c r="A1254" s="8">
        <f>IFERROR(__xludf.DUMMYFUNCTION("""COMPUTED_VALUE"""),1252.0)</f>
        <v>1252</v>
      </c>
      <c r="B1254" s="8">
        <f>IFERROR(__xludf.DUMMYFUNCTION("""COMPUTED_VALUE"""),28.0)</f>
        <v>28</v>
      </c>
    </row>
    <row r="1255">
      <c r="A1255" s="8">
        <f>IFERROR(__xludf.DUMMYFUNCTION("""COMPUTED_VALUE"""),1253.0)</f>
        <v>1253</v>
      </c>
      <c r="B1255" s="8">
        <f>IFERROR(__xludf.DUMMYFUNCTION("""COMPUTED_VALUE"""),52.0)</f>
        <v>52</v>
      </c>
    </row>
    <row r="1256">
      <c r="A1256" s="8">
        <f>IFERROR(__xludf.DUMMYFUNCTION("""COMPUTED_VALUE"""),1254.0)</f>
        <v>1254</v>
      </c>
      <c r="B1256" s="8">
        <f>IFERROR(__xludf.DUMMYFUNCTION("""COMPUTED_VALUE"""),49.0)</f>
        <v>49</v>
      </c>
    </row>
    <row r="1257">
      <c r="A1257" s="8">
        <f>IFERROR(__xludf.DUMMYFUNCTION("""COMPUTED_VALUE"""),1255.0)</f>
        <v>1255</v>
      </c>
      <c r="B1257" s="8">
        <f>IFERROR(__xludf.DUMMYFUNCTION("""COMPUTED_VALUE"""),35.0)</f>
        <v>35</v>
      </c>
    </row>
    <row r="1258">
      <c r="A1258" s="8">
        <f>IFERROR(__xludf.DUMMYFUNCTION("""COMPUTED_VALUE"""),1256.0)</f>
        <v>1256</v>
      </c>
      <c r="B1258" s="8">
        <f>IFERROR(__xludf.DUMMYFUNCTION("""COMPUTED_VALUE"""),41.0)</f>
        <v>41</v>
      </c>
    </row>
    <row r="1259">
      <c r="A1259" s="8">
        <f>IFERROR(__xludf.DUMMYFUNCTION("""COMPUTED_VALUE"""),1257.0)</f>
        <v>1257</v>
      </c>
      <c r="B1259" s="8">
        <f>IFERROR(__xludf.DUMMYFUNCTION("""COMPUTED_VALUE"""),36.0)</f>
        <v>36</v>
      </c>
    </row>
    <row r="1260">
      <c r="A1260" s="8">
        <f>IFERROR(__xludf.DUMMYFUNCTION("""COMPUTED_VALUE"""),1258.0)</f>
        <v>1258</v>
      </c>
      <c r="B1260" s="8">
        <f>IFERROR(__xludf.DUMMYFUNCTION("""COMPUTED_VALUE"""),73.0)</f>
        <v>73</v>
      </c>
    </row>
    <row r="1261">
      <c r="A1261" s="8">
        <f>IFERROR(__xludf.DUMMYFUNCTION("""COMPUTED_VALUE"""),1259.0)</f>
        <v>1259</v>
      </c>
      <c r="B1261" s="8">
        <f>IFERROR(__xludf.DUMMYFUNCTION("""COMPUTED_VALUE"""),32.0)</f>
        <v>32</v>
      </c>
    </row>
    <row r="1262">
      <c r="A1262" s="8">
        <f>IFERROR(__xludf.DUMMYFUNCTION("""COMPUTED_VALUE"""),1260.0)</f>
        <v>1260</v>
      </c>
      <c r="B1262" s="8">
        <f>IFERROR(__xludf.DUMMYFUNCTION("""COMPUTED_VALUE"""),59.0)</f>
        <v>59</v>
      </c>
    </row>
    <row r="1263">
      <c r="A1263" s="8">
        <f>IFERROR(__xludf.DUMMYFUNCTION("""COMPUTED_VALUE"""),1261.0)</f>
        <v>1261</v>
      </c>
      <c r="B1263" s="8">
        <f>IFERROR(__xludf.DUMMYFUNCTION("""COMPUTED_VALUE"""),60.0)</f>
        <v>60</v>
      </c>
    </row>
    <row r="1264">
      <c r="A1264" s="8">
        <f>IFERROR(__xludf.DUMMYFUNCTION("""COMPUTED_VALUE"""),1262.0)</f>
        <v>1262</v>
      </c>
      <c r="B1264" s="8">
        <f>IFERROR(__xludf.DUMMYFUNCTION("""COMPUTED_VALUE"""),20.0)</f>
        <v>20</v>
      </c>
    </row>
    <row r="1265">
      <c r="A1265" s="8">
        <f>IFERROR(__xludf.DUMMYFUNCTION("""COMPUTED_VALUE"""),1263.0)</f>
        <v>1263</v>
      </c>
      <c r="B1265" s="8">
        <f>IFERROR(__xludf.DUMMYFUNCTION("""COMPUTED_VALUE"""),47.0)</f>
        <v>47</v>
      </c>
    </row>
    <row r="1266">
      <c r="A1266" s="8">
        <f>IFERROR(__xludf.DUMMYFUNCTION("""COMPUTED_VALUE"""),1264.0)</f>
        <v>1264</v>
      </c>
      <c r="B1266" s="8">
        <f>IFERROR(__xludf.DUMMYFUNCTION("""COMPUTED_VALUE"""),40.0)</f>
        <v>40</v>
      </c>
    </row>
    <row r="1267">
      <c r="A1267" s="8">
        <f>IFERROR(__xludf.DUMMYFUNCTION("""COMPUTED_VALUE"""),1265.0)</f>
        <v>1265</v>
      </c>
      <c r="B1267" s="8">
        <f>IFERROR(__xludf.DUMMYFUNCTION("""COMPUTED_VALUE"""),63.0)</f>
        <v>63</v>
      </c>
    </row>
    <row r="1268">
      <c r="A1268" s="8">
        <f>IFERROR(__xludf.DUMMYFUNCTION("""COMPUTED_VALUE"""),1266.0)</f>
        <v>1266</v>
      </c>
      <c r="B1268" s="8">
        <f>IFERROR(__xludf.DUMMYFUNCTION("""COMPUTED_VALUE"""),26.0)</f>
        <v>26</v>
      </c>
    </row>
    <row r="1269">
      <c r="A1269" s="8">
        <f>IFERROR(__xludf.DUMMYFUNCTION("""COMPUTED_VALUE"""),1267.0)</f>
        <v>1267</v>
      </c>
      <c r="B1269" s="8">
        <f>IFERROR(__xludf.DUMMYFUNCTION("""COMPUTED_VALUE"""),27.0)</f>
        <v>27</v>
      </c>
    </row>
    <row r="1270">
      <c r="A1270" s="8">
        <f>IFERROR(__xludf.DUMMYFUNCTION("""COMPUTED_VALUE"""),1268.0)</f>
        <v>1268</v>
      </c>
      <c r="B1270" s="8">
        <f>IFERROR(__xludf.DUMMYFUNCTION("""COMPUTED_VALUE"""),41.0)</f>
        <v>41</v>
      </c>
    </row>
    <row r="1271">
      <c r="A1271" s="8">
        <f>IFERROR(__xludf.DUMMYFUNCTION("""COMPUTED_VALUE"""),1269.0)</f>
        <v>1269</v>
      </c>
      <c r="B1271" s="8">
        <f>IFERROR(__xludf.DUMMYFUNCTION("""COMPUTED_VALUE"""),47.0)</f>
        <v>47</v>
      </c>
    </row>
    <row r="1272">
      <c r="A1272" s="8">
        <f>IFERROR(__xludf.DUMMYFUNCTION("""COMPUTED_VALUE"""),1270.0)</f>
        <v>1270</v>
      </c>
      <c r="B1272" s="8">
        <f>IFERROR(__xludf.DUMMYFUNCTION("""COMPUTED_VALUE"""),21.0)</f>
        <v>21</v>
      </c>
    </row>
    <row r="1273">
      <c r="A1273" s="8">
        <f>IFERROR(__xludf.DUMMYFUNCTION("""COMPUTED_VALUE"""),1271.0)</f>
        <v>1271</v>
      </c>
      <c r="B1273" s="8">
        <f>IFERROR(__xludf.DUMMYFUNCTION("""COMPUTED_VALUE"""),54.0)</f>
        <v>54</v>
      </c>
    </row>
    <row r="1274">
      <c r="A1274" s="8">
        <f>IFERROR(__xludf.DUMMYFUNCTION("""COMPUTED_VALUE"""),1272.0)</f>
        <v>1272</v>
      </c>
      <c r="B1274" s="8">
        <f>IFERROR(__xludf.DUMMYFUNCTION("""COMPUTED_VALUE"""),33.0)</f>
        <v>33</v>
      </c>
    </row>
    <row r="1275">
      <c r="A1275" s="8">
        <f>IFERROR(__xludf.DUMMYFUNCTION("""COMPUTED_VALUE"""),1273.0)</f>
        <v>1273</v>
      </c>
      <c r="B1275" s="8">
        <f>IFERROR(__xludf.DUMMYFUNCTION("""COMPUTED_VALUE"""),34.0)</f>
        <v>34</v>
      </c>
    </row>
    <row r="1276">
      <c r="A1276" s="8">
        <f>IFERROR(__xludf.DUMMYFUNCTION("""COMPUTED_VALUE"""),1274.0)</f>
        <v>1274</v>
      </c>
      <c r="B1276" s="8">
        <f>IFERROR(__xludf.DUMMYFUNCTION("""COMPUTED_VALUE"""),45.0)</f>
        <v>45</v>
      </c>
    </row>
    <row r="1277">
      <c r="A1277" s="8">
        <f>IFERROR(__xludf.DUMMYFUNCTION("""COMPUTED_VALUE"""),1275.0)</f>
        <v>1275</v>
      </c>
      <c r="B1277" s="8">
        <f>IFERROR(__xludf.DUMMYFUNCTION("""COMPUTED_VALUE"""),34.0)</f>
        <v>34</v>
      </c>
    </row>
    <row r="1278">
      <c r="A1278" s="8">
        <f>IFERROR(__xludf.DUMMYFUNCTION("""COMPUTED_VALUE"""),1276.0)</f>
        <v>1276</v>
      </c>
      <c r="B1278" s="8">
        <f>IFERROR(__xludf.DUMMYFUNCTION("""COMPUTED_VALUE"""),37.0)</f>
        <v>37</v>
      </c>
    </row>
    <row r="1279">
      <c r="A1279" s="8">
        <f>IFERROR(__xludf.DUMMYFUNCTION("""COMPUTED_VALUE"""),1277.0)</f>
        <v>1277</v>
      </c>
      <c r="B1279" s="8">
        <f>IFERROR(__xludf.DUMMYFUNCTION("""COMPUTED_VALUE"""),49.0)</f>
        <v>49</v>
      </c>
    </row>
    <row r="1280">
      <c r="A1280" s="8">
        <f>IFERROR(__xludf.DUMMYFUNCTION("""COMPUTED_VALUE"""),1278.0)</f>
        <v>1278</v>
      </c>
      <c r="B1280" s="8">
        <f>IFERROR(__xludf.DUMMYFUNCTION("""COMPUTED_VALUE"""),59.0)</f>
        <v>59</v>
      </c>
    </row>
    <row r="1281">
      <c r="A1281" s="8">
        <f>IFERROR(__xludf.DUMMYFUNCTION("""COMPUTED_VALUE"""),1279.0)</f>
        <v>1279</v>
      </c>
      <c r="B1281" s="8">
        <f>IFERROR(__xludf.DUMMYFUNCTION("""COMPUTED_VALUE"""),32.0)</f>
        <v>32</v>
      </c>
    </row>
    <row r="1282">
      <c r="A1282" s="8">
        <f>IFERROR(__xludf.DUMMYFUNCTION("""COMPUTED_VALUE"""),1280.0)</f>
        <v>1280</v>
      </c>
      <c r="B1282" s="8">
        <f>IFERROR(__xludf.DUMMYFUNCTION("""COMPUTED_VALUE"""),48.0)</f>
        <v>48</v>
      </c>
    </row>
    <row r="1283">
      <c r="A1283" s="8">
        <f>IFERROR(__xludf.DUMMYFUNCTION("""COMPUTED_VALUE"""),1281.0)</f>
        <v>1281</v>
      </c>
      <c r="B1283" s="8">
        <f>IFERROR(__xludf.DUMMYFUNCTION("""COMPUTED_VALUE"""),50.0)</f>
        <v>50</v>
      </c>
    </row>
    <row r="1284">
      <c r="A1284" s="8">
        <f>IFERROR(__xludf.DUMMYFUNCTION("""COMPUTED_VALUE"""),1282.0)</f>
        <v>1282</v>
      </c>
      <c r="B1284" s="8">
        <f>IFERROR(__xludf.DUMMYFUNCTION("""COMPUTED_VALUE"""),38.0)</f>
        <v>38</v>
      </c>
    </row>
    <row r="1285">
      <c r="A1285" s="8">
        <f>IFERROR(__xludf.DUMMYFUNCTION("""COMPUTED_VALUE"""),1283.0)</f>
        <v>1283</v>
      </c>
      <c r="B1285" s="8">
        <f>IFERROR(__xludf.DUMMYFUNCTION("""COMPUTED_VALUE"""),33.0)</f>
        <v>33</v>
      </c>
    </row>
    <row r="1286">
      <c r="A1286" s="8">
        <f>IFERROR(__xludf.DUMMYFUNCTION("""COMPUTED_VALUE"""),1284.0)</f>
        <v>1284</v>
      </c>
      <c r="B1286" s="8">
        <f>IFERROR(__xludf.DUMMYFUNCTION("""COMPUTED_VALUE"""),43.0)</f>
        <v>43</v>
      </c>
    </row>
    <row r="1287">
      <c r="A1287" s="8">
        <f>IFERROR(__xludf.DUMMYFUNCTION("""COMPUTED_VALUE"""),1285.0)</f>
        <v>1285</v>
      </c>
      <c r="B1287" s="8">
        <f>IFERROR(__xludf.DUMMYFUNCTION("""COMPUTED_VALUE"""),37.0)</f>
        <v>37</v>
      </c>
    </row>
    <row r="1288">
      <c r="A1288" s="8">
        <f>IFERROR(__xludf.DUMMYFUNCTION("""COMPUTED_VALUE"""),1286.0)</f>
        <v>1286</v>
      </c>
      <c r="B1288" s="8">
        <f>IFERROR(__xludf.DUMMYFUNCTION("""COMPUTED_VALUE"""),37.0)</f>
        <v>37</v>
      </c>
    </row>
    <row r="1289">
      <c r="A1289" s="8">
        <f>IFERROR(__xludf.DUMMYFUNCTION("""COMPUTED_VALUE"""),1287.0)</f>
        <v>1287</v>
      </c>
      <c r="B1289" s="8">
        <f>IFERROR(__xludf.DUMMYFUNCTION("""COMPUTED_VALUE"""),23.0)</f>
        <v>23</v>
      </c>
    </row>
    <row r="1290">
      <c r="A1290" s="8">
        <f>IFERROR(__xludf.DUMMYFUNCTION("""COMPUTED_VALUE"""),1288.0)</f>
        <v>1288</v>
      </c>
      <c r="B1290" s="8">
        <f>IFERROR(__xludf.DUMMYFUNCTION("""COMPUTED_VALUE"""),39.0)</f>
        <v>39</v>
      </c>
    </row>
    <row r="1291">
      <c r="A1291" s="8">
        <f>IFERROR(__xludf.DUMMYFUNCTION("""COMPUTED_VALUE"""),1289.0)</f>
        <v>1289</v>
      </c>
      <c r="B1291" s="8">
        <f>IFERROR(__xludf.DUMMYFUNCTION("""COMPUTED_VALUE"""),34.0)</f>
        <v>34</v>
      </c>
    </row>
    <row r="1292">
      <c r="A1292" s="8">
        <f>IFERROR(__xludf.DUMMYFUNCTION("""COMPUTED_VALUE"""),1290.0)</f>
        <v>1290</v>
      </c>
      <c r="B1292" s="8">
        <f>IFERROR(__xludf.DUMMYFUNCTION("""COMPUTED_VALUE"""),35.0)</f>
        <v>35</v>
      </c>
    </row>
    <row r="1293">
      <c r="A1293" s="8">
        <f>IFERROR(__xludf.DUMMYFUNCTION("""COMPUTED_VALUE"""),1291.0)</f>
        <v>1291</v>
      </c>
      <c r="B1293" s="8">
        <f>IFERROR(__xludf.DUMMYFUNCTION("""COMPUTED_VALUE"""),61.0)</f>
        <v>61</v>
      </c>
    </row>
    <row r="1294">
      <c r="A1294" s="8">
        <f>IFERROR(__xludf.DUMMYFUNCTION("""COMPUTED_VALUE"""),1292.0)</f>
        <v>1292</v>
      </c>
      <c r="B1294" s="8">
        <f>IFERROR(__xludf.DUMMYFUNCTION("""COMPUTED_VALUE"""),60.0)</f>
        <v>60</v>
      </c>
    </row>
    <row r="1295">
      <c r="A1295" s="8">
        <f>IFERROR(__xludf.DUMMYFUNCTION("""COMPUTED_VALUE"""),1293.0)</f>
        <v>1293</v>
      </c>
      <c r="B1295" s="8">
        <f>IFERROR(__xludf.DUMMYFUNCTION("""COMPUTED_VALUE"""),36.0)</f>
        <v>36</v>
      </c>
    </row>
    <row r="1296">
      <c r="A1296" s="8">
        <f>IFERROR(__xludf.DUMMYFUNCTION("""COMPUTED_VALUE"""),1294.0)</f>
        <v>1294</v>
      </c>
      <c r="B1296" s="8">
        <f>IFERROR(__xludf.DUMMYFUNCTION("""COMPUTED_VALUE"""),29.0)</f>
        <v>29</v>
      </c>
    </row>
    <row r="1297">
      <c r="A1297" s="8">
        <f>IFERROR(__xludf.DUMMYFUNCTION("""COMPUTED_VALUE"""),1295.0)</f>
        <v>1295</v>
      </c>
      <c r="B1297" s="8">
        <f>IFERROR(__xludf.DUMMYFUNCTION("""COMPUTED_VALUE"""),42.0)</f>
        <v>42</v>
      </c>
    </row>
    <row r="1298">
      <c r="A1298" s="8">
        <f>IFERROR(__xludf.DUMMYFUNCTION("""COMPUTED_VALUE"""),1296.0)</f>
        <v>1296</v>
      </c>
      <c r="B1298" s="8">
        <f>IFERROR(__xludf.DUMMYFUNCTION("""COMPUTED_VALUE"""),56.0)</f>
        <v>56</v>
      </c>
    </row>
    <row r="1299">
      <c r="A1299" s="8">
        <f>IFERROR(__xludf.DUMMYFUNCTION("""COMPUTED_VALUE"""),1297.0)</f>
        <v>1297</v>
      </c>
      <c r="B1299" s="8">
        <f>IFERROR(__xludf.DUMMYFUNCTION("""COMPUTED_VALUE"""),34.0)</f>
        <v>34</v>
      </c>
    </row>
    <row r="1300">
      <c r="A1300" s="8">
        <f>IFERROR(__xludf.DUMMYFUNCTION("""COMPUTED_VALUE"""),1298.0)</f>
        <v>1298</v>
      </c>
      <c r="B1300" s="8">
        <f>IFERROR(__xludf.DUMMYFUNCTION("""COMPUTED_VALUE"""),55.0)</f>
        <v>55</v>
      </c>
    </row>
    <row r="1301">
      <c r="A1301" s="8">
        <f>IFERROR(__xludf.DUMMYFUNCTION("""COMPUTED_VALUE"""),1299.0)</f>
        <v>1299</v>
      </c>
      <c r="B1301" s="8">
        <f>IFERROR(__xludf.DUMMYFUNCTION("""COMPUTED_VALUE"""),42.0)</f>
        <v>42</v>
      </c>
    </row>
    <row r="1302">
      <c r="A1302" s="8">
        <f>IFERROR(__xludf.DUMMYFUNCTION("""COMPUTED_VALUE"""),1300.0)</f>
        <v>1300</v>
      </c>
      <c r="B1302" s="8">
        <f>IFERROR(__xludf.DUMMYFUNCTION("""COMPUTED_VALUE"""),65.0)</f>
        <v>65</v>
      </c>
    </row>
    <row r="1303">
      <c r="A1303" s="8">
        <f>IFERROR(__xludf.DUMMYFUNCTION("""COMPUTED_VALUE"""),1301.0)</f>
        <v>1301</v>
      </c>
      <c r="B1303" s="8">
        <f>IFERROR(__xludf.DUMMYFUNCTION("""COMPUTED_VALUE"""),35.0)</f>
        <v>35</v>
      </c>
    </row>
    <row r="1304">
      <c r="A1304" s="8">
        <f>IFERROR(__xludf.DUMMYFUNCTION("""COMPUTED_VALUE"""),1302.0)</f>
        <v>1302</v>
      </c>
      <c r="B1304" s="8">
        <f>IFERROR(__xludf.DUMMYFUNCTION("""COMPUTED_VALUE"""),35.0)</f>
        <v>35</v>
      </c>
    </row>
    <row r="1305">
      <c r="A1305" s="8">
        <f>IFERROR(__xludf.DUMMYFUNCTION("""COMPUTED_VALUE"""),1303.0)</f>
        <v>1303</v>
      </c>
      <c r="B1305" s="8">
        <f>IFERROR(__xludf.DUMMYFUNCTION("""COMPUTED_VALUE"""),38.0)</f>
        <v>38</v>
      </c>
    </row>
    <row r="1306">
      <c r="A1306" s="8">
        <f>IFERROR(__xludf.DUMMYFUNCTION("""COMPUTED_VALUE"""),1304.0)</f>
        <v>1304</v>
      </c>
      <c r="B1306" s="8">
        <f>IFERROR(__xludf.DUMMYFUNCTION("""COMPUTED_VALUE"""),51.0)</f>
        <v>51</v>
      </c>
    </row>
    <row r="1307">
      <c r="A1307" s="8">
        <f>IFERROR(__xludf.DUMMYFUNCTION("""COMPUTED_VALUE"""),1305.0)</f>
        <v>1305</v>
      </c>
      <c r="B1307" s="8">
        <f>IFERROR(__xludf.DUMMYFUNCTION("""COMPUTED_VALUE"""),40.0)</f>
        <v>40</v>
      </c>
    </row>
    <row r="1308">
      <c r="A1308" s="8">
        <f>IFERROR(__xludf.DUMMYFUNCTION("""COMPUTED_VALUE"""),1306.0)</f>
        <v>1306</v>
      </c>
      <c r="B1308" s="8">
        <f>IFERROR(__xludf.DUMMYFUNCTION("""COMPUTED_VALUE"""),48.0)</f>
        <v>48</v>
      </c>
    </row>
    <row r="1309">
      <c r="A1309" s="8">
        <f>IFERROR(__xludf.DUMMYFUNCTION("""COMPUTED_VALUE"""),1307.0)</f>
        <v>1307</v>
      </c>
      <c r="B1309" s="8">
        <f>IFERROR(__xludf.DUMMYFUNCTION("""COMPUTED_VALUE"""),45.0)</f>
        <v>45</v>
      </c>
    </row>
    <row r="1310">
      <c r="A1310" s="8">
        <f>IFERROR(__xludf.DUMMYFUNCTION("""COMPUTED_VALUE"""),1308.0)</f>
        <v>1308</v>
      </c>
      <c r="B1310" s="8">
        <f>IFERROR(__xludf.DUMMYFUNCTION("""COMPUTED_VALUE"""),35.0)</f>
        <v>35</v>
      </c>
    </row>
    <row r="1311">
      <c r="A1311" s="8">
        <f>IFERROR(__xludf.DUMMYFUNCTION("""COMPUTED_VALUE"""),1309.0)</f>
        <v>1309</v>
      </c>
      <c r="B1311" s="8">
        <f>IFERROR(__xludf.DUMMYFUNCTION("""COMPUTED_VALUE"""),41.0)</f>
        <v>41</v>
      </c>
    </row>
    <row r="1312">
      <c r="A1312" s="8">
        <f>IFERROR(__xludf.DUMMYFUNCTION("""COMPUTED_VALUE"""),1310.0)</f>
        <v>1310</v>
      </c>
      <c r="B1312" s="8">
        <f>IFERROR(__xludf.DUMMYFUNCTION("""COMPUTED_VALUE"""),65.0)</f>
        <v>65</v>
      </c>
    </row>
    <row r="1313">
      <c r="A1313" s="8">
        <f>IFERROR(__xludf.DUMMYFUNCTION("""COMPUTED_VALUE"""),1311.0)</f>
        <v>1311</v>
      </c>
      <c r="B1313" s="8">
        <f>IFERROR(__xludf.DUMMYFUNCTION("""COMPUTED_VALUE"""),54.0)</f>
        <v>54</v>
      </c>
    </row>
    <row r="1314">
      <c r="A1314" s="8">
        <f>IFERROR(__xludf.DUMMYFUNCTION("""COMPUTED_VALUE"""),1312.0)</f>
        <v>1312</v>
      </c>
      <c r="B1314" s="8">
        <f>IFERROR(__xludf.DUMMYFUNCTION("""COMPUTED_VALUE"""),41.0)</f>
        <v>41</v>
      </c>
    </row>
    <row r="1315">
      <c r="A1315" s="8">
        <f>IFERROR(__xludf.DUMMYFUNCTION("""COMPUTED_VALUE"""),1313.0)</f>
        <v>1313</v>
      </c>
      <c r="B1315" s="8">
        <f>IFERROR(__xludf.DUMMYFUNCTION("""COMPUTED_VALUE"""),43.0)</f>
        <v>43</v>
      </c>
    </row>
    <row r="1316">
      <c r="A1316" s="8">
        <f>IFERROR(__xludf.DUMMYFUNCTION("""COMPUTED_VALUE"""),1314.0)</f>
        <v>1314</v>
      </c>
      <c r="B1316" s="8">
        <f>IFERROR(__xludf.DUMMYFUNCTION("""COMPUTED_VALUE"""),32.0)</f>
        <v>32</v>
      </c>
    </row>
    <row r="1317">
      <c r="A1317" s="8">
        <f>IFERROR(__xludf.DUMMYFUNCTION("""COMPUTED_VALUE"""),1315.0)</f>
        <v>1315</v>
      </c>
      <c r="B1317" s="8">
        <f>IFERROR(__xludf.DUMMYFUNCTION("""COMPUTED_VALUE"""),33.0)</f>
        <v>33</v>
      </c>
    </row>
    <row r="1318">
      <c r="A1318" s="8">
        <f>IFERROR(__xludf.DUMMYFUNCTION("""COMPUTED_VALUE"""),1316.0)</f>
        <v>1316</v>
      </c>
      <c r="B1318" s="8">
        <f>IFERROR(__xludf.DUMMYFUNCTION("""COMPUTED_VALUE"""),35.0)</f>
        <v>35</v>
      </c>
    </row>
    <row r="1319">
      <c r="A1319" s="8">
        <f>IFERROR(__xludf.DUMMYFUNCTION("""COMPUTED_VALUE"""),1317.0)</f>
        <v>1317</v>
      </c>
      <c r="B1319" s="8">
        <f>IFERROR(__xludf.DUMMYFUNCTION("""COMPUTED_VALUE"""),47.0)</f>
        <v>47</v>
      </c>
    </row>
    <row r="1320">
      <c r="A1320" s="8">
        <f>IFERROR(__xludf.DUMMYFUNCTION("""COMPUTED_VALUE"""),1318.0)</f>
        <v>1318</v>
      </c>
      <c r="B1320" s="8">
        <f>IFERROR(__xludf.DUMMYFUNCTION("""COMPUTED_VALUE"""),59.0)</f>
        <v>59</v>
      </c>
    </row>
    <row r="1321">
      <c r="A1321" s="8">
        <f>IFERROR(__xludf.DUMMYFUNCTION("""COMPUTED_VALUE"""),1319.0)</f>
        <v>1319</v>
      </c>
      <c r="B1321" s="8">
        <f>IFERROR(__xludf.DUMMYFUNCTION("""COMPUTED_VALUE"""),31.0)</f>
        <v>31</v>
      </c>
    </row>
    <row r="1322">
      <c r="A1322" s="8">
        <f>IFERROR(__xludf.DUMMYFUNCTION("""COMPUTED_VALUE"""),1320.0)</f>
        <v>1320</v>
      </c>
      <c r="B1322" s="8">
        <f>IFERROR(__xludf.DUMMYFUNCTION("""COMPUTED_VALUE"""),44.0)</f>
        <v>44</v>
      </c>
    </row>
    <row r="1323">
      <c r="A1323" s="8">
        <f>IFERROR(__xludf.DUMMYFUNCTION("""COMPUTED_VALUE"""),1321.0)</f>
        <v>1321</v>
      </c>
      <c r="B1323" s="8">
        <f>IFERROR(__xludf.DUMMYFUNCTION("""COMPUTED_VALUE"""),35.0)</f>
        <v>35</v>
      </c>
    </row>
    <row r="1324">
      <c r="A1324" s="8">
        <f>IFERROR(__xludf.DUMMYFUNCTION("""COMPUTED_VALUE"""),1322.0)</f>
        <v>1322</v>
      </c>
      <c r="B1324" s="8">
        <f>IFERROR(__xludf.DUMMYFUNCTION("""COMPUTED_VALUE"""),31.0)</f>
        <v>31</v>
      </c>
    </row>
    <row r="1325">
      <c r="A1325" s="8">
        <f>IFERROR(__xludf.DUMMYFUNCTION("""COMPUTED_VALUE"""),1323.0)</f>
        <v>1323</v>
      </c>
      <c r="B1325" s="8">
        <f>IFERROR(__xludf.DUMMYFUNCTION("""COMPUTED_VALUE"""),44.0)</f>
        <v>44</v>
      </c>
    </row>
    <row r="1326">
      <c r="A1326" s="8">
        <f>IFERROR(__xludf.DUMMYFUNCTION("""COMPUTED_VALUE"""),1324.0)</f>
        <v>1324</v>
      </c>
      <c r="B1326" s="8">
        <f>IFERROR(__xludf.DUMMYFUNCTION("""COMPUTED_VALUE"""),34.0)</f>
        <v>34</v>
      </c>
    </row>
    <row r="1327">
      <c r="A1327" s="8">
        <f>IFERROR(__xludf.DUMMYFUNCTION("""COMPUTED_VALUE"""),1325.0)</f>
        <v>1325</v>
      </c>
      <c r="B1327" s="8">
        <f>IFERROR(__xludf.DUMMYFUNCTION("""COMPUTED_VALUE"""),33.0)</f>
        <v>33</v>
      </c>
    </row>
    <row r="1328">
      <c r="A1328" s="8">
        <f>IFERROR(__xludf.DUMMYFUNCTION("""COMPUTED_VALUE"""),1326.0)</f>
        <v>1326</v>
      </c>
      <c r="B1328" s="8">
        <f>IFERROR(__xludf.DUMMYFUNCTION("""COMPUTED_VALUE"""),51.0)</f>
        <v>51</v>
      </c>
    </row>
    <row r="1329">
      <c r="A1329" s="8">
        <f>IFERROR(__xludf.DUMMYFUNCTION("""COMPUTED_VALUE"""),1327.0)</f>
        <v>1327</v>
      </c>
      <c r="B1329" s="8">
        <f>IFERROR(__xludf.DUMMYFUNCTION("""COMPUTED_VALUE"""),49.0)</f>
        <v>49</v>
      </c>
    </row>
    <row r="1330">
      <c r="A1330" s="8">
        <f>IFERROR(__xludf.DUMMYFUNCTION("""COMPUTED_VALUE"""),1328.0)</f>
        <v>1328</v>
      </c>
      <c r="B1330" s="8">
        <f>IFERROR(__xludf.DUMMYFUNCTION("""COMPUTED_VALUE"""),53.0)</f>
        <v>53</v>
      </c>
    </row>
    <row r="1331">
      <c r="A1331" s="8">
        <f>IFERROR(__xludf.DUMMYFUNCTION("""COMPUTED_VALUE"""),1329.0)</f>
        <v>1329</v>
      </c>
      <c r="B1331" s="8">
        <f>IFERROR(__xludf.DUMMYFUNCTION("""COMPUTED_VALUE"""),51.0)</f>
        <v>51</v>
      </c>
    </row>
    <row r="1332">
      <c r="A1332" s="8">
        <f>IFERROR(__xludf.DUMMYFUNCTION("""COMPUTED_VALUE"""),1330.0)</f>
        <v>1330</v>
      </c>
      <c r="B1332" s="8">
        <f>IFERROR(__xludf.DUMMYFUNCTION("""COMPUTED_VALUE"""),39.0)</f>
        <v>39</v>
      </c>
    </row>
    <row r="1333">
      <c r="A1333" s="8">
        <f>IFERROR(__xludf.DUMMYFUNCTION("""COMPUTED_VALUE"""),1331.0)</f>
        <v>1331</v>
      </c>
      <c r="B1333" s="8">
        <f>IFERROR(__xludf.DUMMYFUNCTION("""COMPUTED_VALUE"""),48.0)</f>
        <v>48</v>
      </c>
    </row>
    <row r="1334">
      <c r="A1334" s="8">
        <f>IFERROR(__xludf.DUMMYFUNCTION("""COMPUTED_VALUE"""),1332.0)</f>
        <v>1332</v>
      </c>
      <c r="B1334" s="8">
        <f>IFERROR(__xludf.DUMMYFUNCTION("""COMPUTED_VALUE"""),26.0)</f>
        <v>26</v>
      </c>
    </row>
    <row r="1335">
      <c r="A1335" s="8">
        <f>IFERROR(__xludf.DUMMYFUNCTION("""COMPUTED_VALUE"""),1333.0)</f>
        <v>1333</v>
      </c>
      <c r="B1335" s="8">
        <f>IFERROR(__xludf.DUMMYFUNCTION("""COMPUTED_VALUE"""),25.0)</f>
        <v>25</v>
      </c>
    </row>
    <row r="1336">
      <c r="A1336" s="8">
        <f>IFERROR(__xludf.DUMMYFUNCTION("""COMPUTED_VALUE"""),1334.0)</f>
        <v>1334</v>
      </c>
      <c r="B1336" s="8">
        <f>IFERROR(__xludf.DUMMYFUNCTION("""COMPUTED_VALUE"""),31.0)</f>
        <v>31</v>
      </c>
    </row>
    <row r="1337">
      <c r="A1337" s="8">
        <f>IFERROR(__xludf.DUMMYFUNCTION("""COMPUTED_VALUE"""),1335.0)</f>
        <v>1335</v>
      </c>
      <c r="B1337" s="8">
        <f>IFERROR(__xludf.DUMMYFUNCTION("""COMPUTED_VALUE"""),23.0)</f>
        <v>23</v>
      </c>
    </row>
    <row r="1338">
      <c r="A1338" s="8">
        <f>IFERROR(__xludf.DUMMYFUNCTION("""COMPUTED_VALUE"""),1336.0)</f>
        <v>1336</v>
      </c>
      <c r="B1338" s="8">
        <f>IFERROR(__xludf.DUMMYFUNCTION("""COMPUTED_VALUE"""),36.0)</f>
        <v>36</v>
      </c>
    </row>
    <row r="1339">
      <c r="A1339" s="8">
        <f>IFERROR(__xludf.DUMMYFUNCTION("""COMPUTED_VALUE"""),1337.0)</f>
        <v>1337</v>
      </c>
      <c r="B1339" s="8">
        <f>IFERROR(__xludf.DUMMYFUNCTION("""COMPUTED_VALUE"""),56.0)</f>
        <v>56</v>
      </c>
    </row>
    <row r="1340">
      <c r="A1340" s="8">
        <f>IFERROR(__xludf.DUMMYFUNCTION("""COMPUTED_VALUE"""),1338.0)</f>
        <v>1338</v>
      </c>
      <c r="B1340" s="8">
        <f>IFERROR(__xludf.DUMMYFUNCTION("""COMPUTED_VALUE"""),48.0)</f>
        <v>48</v>
      </c>
    </row>
    <row r="1341">
      <c r="A1341" s="8">
        <f>IFERROR(__xludf.DUMMYFUNCTION("""COMPUTED_VALUE"""),1339.0)</f>
        <v>1339</v>
      </c>
      <c r="B1341" s="8">
        <f>IFERROR(__xludf.DUMMYFUNCTION("""COMPUTED_VALUE"""),40.0)</f>
        <v>40</v>
      </c>
    </row>
    <row r="1342">
      <c r="A1342" s="8">
        <f>IFERROR(__xludf.DUMMYFUNCTION("""COMPUTED_VALUE"""),1340.0)</f>
        <v>1340</v>
      </c>
      <c r="B1342" s="8">
        <f>IFERROR(__xludf.DUMMYFUNCTION("""COMPUTED_VALUE"""),42.0)</f>
        <v>42</v>
      </c>
    </row>
    <row r="1343">
      <c r="A1343" s="8">
        <f>IFERROR(__xludf.DUMMYFUNCTION("""COMPUTED_VALUE"""),1341.0)</f>
        <v>1341</v>
      </c>
      <c r="B1343" s="8">
        <f>IFERROR(__xludf.DUMMYFUNCTION("""COMPUTED_VALUE"""),37.0)</f>
        <v>37</v>
      </c>
    </row>
    <row r="1344">
      <c r="A1344" s="8">
        <f>IFERROR(__xludf.DUMMYFUNCTION("""COMPUTED_VALUE"""),1342.0)</f>
        <v>1342</v>
      </c>
      <c r="B1344" s="8">
        <f>IFERROR(__xludf.DUMMYFUNCTION("""COMPUTED_VALUE"""),42.0)</f>
        <v>42</v>
      </c>
    </row>
    <row r="1345">
      <c r="A1345" s="8">
        <f>IFERROR(__xludf.DUMMYFUNCTION("""COMPUTED_VALUE"""),1343.0)</f>
        <v>1343</v>
      </c>
      <c r="B1345" s="8">
        <f>IFERROR(__xludf.DUMMYFUNCTION("""COMPUTED_VALUE"""),27.0)</f>
        <v>27</v>
      </c>
    </row>
    <row r="1346">
      <c r="A1346" s="8">
        <f>IFERROR(__xludf.DUMMYFUNCTION("""COMPUTED_VALUE"""),1344.0)</f>
        <v>1344</v>
      </c>
      <c r="B1346" s="8">
        <f>IFERROR(__xludf.DUMMYFUNCTION("""COMPUTED_VALUE"""),71.0)</f>
        <v>71</v>
      </c>
    </row>
    <row r="1347">
      <c r="A1347" s="8">
        <f>IFERROR(__xludf.DUMMYFUNCTION("""COMPUTED_VALUE"""),1345.0)</f>
        <v>1345</v>
      </c>
      <c r="B1347" s="8">
        <f>IFERROR(__xludf.DUMMYFUNCTION("""COMPUTED_VALUE"""),25.0)</f>
        <v>25</v>
      </c>
    </row>
    <row r="1348">
      <c r="A1348" s="8">
        <f>IFERROR(__xludf.DUMMYFUNCTION("""COMPUTED_VALUE"""),1346.0)</f>
        <v>1346</v>
      </c>
      <c r="B1348" s="8">
        <f>IFERROR(__xludf.DUMMYFUNCTION("""COMPUTED_VALUE"""),38.0)</f>
        <v>38</v>
      </c>
    </row>
    <row r="1349">
      <c r="A1349" s="8">
        <f>IFERROR(__xludf.DUMMYFUNCTION("""COMPUTED_VALUE"""),1347.0)</f>
        <v>1347</v>
      </c>
      <c r="B1349" s="8">
        <f>IFERROR(__xludf.DUMMYFUNCTION("""COMPUTED_VALUE"""),48.0)</f>
        <v>48</v>
      </c>
    </row>
    <row r="1350">
      <c r="A1350" s="8">
        <f>IFERROR(__xludf.DUMMYFUNCTION("""COMPUTED_VALUE"""),1348.0)</f>
        <v>1348</v>
      </c>
      <c r="B1350" s="8">
        <f>IFERROR(__xludf.DUMMYFUNCTION("""COMPUTED_VALUE"""),25.0)</f>
        <v>25</v>
      </c>
    </row>
    <row r="1351">
      <c r="A1351" s="8">
        <f>IFERROR(__xludf.DUMMYFUNCTION("""COMPUTED_VALUE"""),1349.0)</f>
        <v>1349</v>
      </c>
      <c r="B1351" s="8">
        <f>IFERROR(__xludf.DUMMYFUNCTION("""COMPUTED_VALUE"""),28.0)</f>
        <v>28</v>
      </c>
    </row>
    <row r="1352">
      <c r="A1352" s="8">
        <f>IFERROR(__xludf.DUMMYFUNCTION("""COMPUTED_VALUE"""),1350.0)</f>
        <v>1350</v>
      </c>
      <c r="B1352" s="8">
        <f>IFERROR(__xludf.DUMMYFUNCTION("""COMPUTED_VALUE"""),56.0)</f>
        <v>56</v>
      </c>
    </row>
    <row r="1353">
      <c r="A1353" s="8">
        <f>IFERROR(__xludf.DUMMYFUNCTION("""COMPUTED_VALUE"""),1351.0)</f>
        <v>1351</v>
      </c>
      <c r="B1353" s="8">
        <f>IFERROR(__xludf.DUMMYFUNCTION("""COMPUTED_VALUE"""),46.0)</f>
        <v>46</v>
      </c>
    </row>
    <row r="1354">
      <c r="A1354" s="8">
        <f>IFERROR(__xludf.DUMMYFUNCTION("""COMPUTED_VALUE"""),1352.0)</f>
        <v>1352</v>
      </c>
      <c r="B1354" s="8">
        <f>IFERROR(__xludf.DUMMYFUNCTION("""COMPUTED_VALUE"""),50.0)</f>
        <v>50</v>
      </c>
    </row>
    <row r="1355">
      <c r="A1355" s="8">
        <f>IFERROR(__xludf.DUMMYFUNCTION("""COMPUTED_VALUE"""),1353.0)</f>
        <v>1353</v>
      </c>
      <c r="B1355" s="8">
        <f>IFERROR(__xludf.DUMMYFUNCTION("""COMPUTED_VALUE"""),61.0)</f>
        <v>61</v>
      </c>
    </row>
    <row r="1356">
      <c r="A1356" s="8">
        <f>IFERROR(__xludf.DUMMYFUNCTION("""COMPUTED_VALUE"""),1354.0)</f>
        <v>1354</v>
      </c>
      <c r="B1356" s="8">
        <f>IFERROR(__xludf.DUMMYFUNCTION("""COMPUTED_VALUE"""),42.0)</f>
        <v>42</v>
      </c>
    </row>
    <row r="1357">
      <c r="A1357" s="8">
        <f>IFERROR(__xludf.DUMMYFUNCTION("""COMPUTED_VALUE"""),1355.0)</f>
        <v>1355</v>
      </c>
      <c r="B1357" s="8">
        <f>IFERROR(__xludf.DUMMYFUNCTION("""COMPUTED_VALUE"""),40.0)</f>
        <v>40</v>
      </c>
    </row>
    <row r="1358">
      <c r="A1358" s="8">
        <f>IFERROR(__xludf.DUMMYFUNCTION("""COMPUTED_VALUE"""),1356.0)</f>
        <v>1356</v>
      </c>
      <c r="B1358" s="8">
        <f>IFERROR(__xludf.DUMMYFUNCTION("""COMPUTED_VALUE"""),40.0)</f>
        <v>40</v>
      </c>
    </row>
    <row r="1359">
      <c r="A1359" s="8">
        <f>IFERROR(__xludf.DUMMYFUNCTION("""COMPUTED_VALUE"""),1357.0)</f>
        <v>1357</v>
      </c>
      <c r="B1359" s="8">
        <f>IFERROR(__xludf.DUMMYFUNCTION("""COMPUTED_VALUE"""),52.0)</f>
        <v>52</v>
      </c>
    </row>
    <row r="1360">
      <c r="A1360" s="8">
        <f>IFERROR(__xludf.DUMMYFUNCTION("""COMPUTED_VALUE"""),1358.0)</f>
        <v>1358</v>
      </c>
      <c r="B1360" s="8">
        <f>IFERROR(__xludf.DUMMYFUNCTION("""COMPUTED_VALUE"""),33.0)</f>
        <v>33</v>
      </c>
    </row>
    <row r="1361">
      <c r="A1361" s="8">
        <f>IFERROR(__xludf.DUMMYFUNCTION("""COMPUTED_VALUE"""),1359.0)</f>
        <v>1359</v>
      </c>
      <c r="B1361" s="8">
        <f>IFERROR(__xludf.DUMMYFUNCTION("""COMPUTED_VALUE"""),32.0)</f>
        <v>32</v>
      </c>
    </row>
    <row r="1362">
      <c r="A1362" s="8">
        <f>IFERROR(__xludf.DUMMYFUNCTION("""COMPUTED_VALUE"""),1360.0)</f>
        <v>1360</v>
      </c>
      <c r="B1362" s="8">
        <f>IFERROR(__xludf.DUMMYFUNCTION("""COMPUTED_VALUE"""),47.0)</f>
        <v>47</v>
      </c>
    </row>
    <row r="1363">
      <c r="A1363" s="8">
        <f>IFERROR(__xludf.DUMMYFUNCTION("""COMPUTED_VALUE"""),1361.0)</f>
        <v>1361</v>
      </c>
      <c r="B1363" s="8">
        <f>IFERROR(__xludf.DUMMYFUNCTION("""COMPUTED_VALUE"""),69.0)</f>
        <v>69</v>
      </c>
    </row>
    <row r="1364">
      <c r="A1364" s="8">
        <f>IFERROR(__xludf.DUMMYFUNCTION("""COMPUTED_VALUE"""),1362.0)</f>
        <v>1362</v>
      </c>
      <c r="B1364" s="8">
        <f>IFERROR(__xludf.DUMMYFUNCTION("""COMPUTED_VALUE"""),48.0)</f>
        <v>48</v>
      </c>
    </row>
    <row r="1365">
      <c r="A1365" s="8">
        <f>IFERROR(__xludf.DUMMYFUNCTION("""COMPUTED_VALUE"""),1363.0)</f>
        <v>1363</v>
      </c>
      <c r="B1365" s="8">
        <f>IFERROR(__xludf.DUMMYFUNCTION("""COMPUTED_VALUE"""),41.0)</f>
        <v>41</v>
      </c>
    </row>
    <row r="1366">
      <c r="A1366" s="8">
        <f>IFERROR(__xludf.DUMMYFUNCTION("""COMPUTED_VALUE"""),1364.0)</f>
        <v>1364</v>
      </c>
      <c r="B1366" s="8">
        <f>IFERROR(__xludf.DUMMYFUNCTION("""COMPUTED_VALUE"""),66.0)</f>
        <v>66</v>
      </c>
    </row>
    <row r="1367">
      <c r="A1367" s="8">
        <f>IFERROR(__xludf.DUMMYFUNCTION("""COMPUTED_VALUE"""),1365.0)</f>
        <v>1365</v>
      </c>
      <c r="B1367" s="8">
        <f>IFERROR(__xludf.DUMMYFUNCTION("""COMPUTED_VALUE"""),38.0)</f>
        <v>38</v>
      </c>
    </row>
    <row r="1368">
      <c r="A1368" s="8">
        <f>IFERROR(__xludf.DUMMYFUNCTION("""COMPUTED_VALUE"""),1366.0)</f>
        <v>1366</v>
      </c>
      <c r="B1368" s="8">
        <f>IFERROR(__xludf.DUMMYFUNCTION("""COMPUTED_VALUE"""),44.0)</f>
        <v>44</v>
      </c>
    </row>
    <row r="1369">
      <c r="A1369" s="8">
        <f>IFERROR(__xludf.DUMMYFUNCTION("""COMPUTED_VALUE"""),1367.0)</f>
        <v>1367</v>
      </c>
      <c r="B1369" s="8">
        <f>IFERROR(__xludf.DUMMYFUNCTION("""COMPUTED_VALUE"""),40.0)</f>
        <v>40</v>
      </c>
    </row>
    <row r="1370">
      <c r="A1370" s="8">
        <f>IFERROR(__xludf.DUMMYFUNCTION("""COMPUTED_VALUE"""),1368.0)</f>
        <v>1368</v>
      </c>
      <c r="B1370" s="8">
        <f>IFERROR(__xludf.DUMMYFUNCTION("""COMPUTED_VALUE"""),36.0)</f>
        <v>36</v>
      </c>
    </row>
    <row r="1371">
      <c r="A1371" s="8">
        <f>IFERROR(__xludf.DUMMYFUNCTION("""COMPUTED_VALUE"""),1369.0)</f>
        <v>1369</v>
      </c>
      <c r="B1371" s="8">
        <f>IFERROR(__xludf.DUMMYFUNCTION("""COMPUTED_VALUE"""),40.0)</f>
        <v>40</v>
      </c>
    </row>
    <row r="1372">
      <c r="A1372" s="8">
        <f>IFERROR(__xludf.DUMMYFUNCTION("""COMPUTED_VALUE"""),1370.0)</f>
        <v>1370</v>
      </c>
      <c r="B1372" s="8">
        <f>IFERROR(__xludf.DUMMYFUNCTION("""COMPUTED_VALUE"""),36.0)</f>
        <v>36</v>
      </c>
    </row>
    <row r="1373">
      <c r="A1373" s="8">
        <f>IFERROR(__xludf.DUMMYFUNCTION("""COMPUTED_VALUE"""),1371.0)</f>
        <v>1371</v>
      </c>
      <c r="B1373" s="8">
        <f>IFERROR(__xludf.DUMMYFUNCTION("""COMPUTED_VALUE"""),48.0)</f>
        <v>48</v>
      </c>
    </row>
    <row r="1374">
      <c r="A1374" s="8">
        <f>IFERROR(__xludf.DUMMYFUNCTION("""COMPUTED_VALUE"""),1372.0)</f>
        <v>1372</v>
      </c>
      <c r="B1374" s="8">
        <f>IFERROR(__xludf.DUMMYFUNCTION("""COMPUTED_VALUE"""),52.0)</f>
        <v>52</v>
      </c>
    </row>
    <row r="1375">
      <c r="A1375" s="8">
        <f>IFERROR(__xludf.DUMMYFUNCTION("""COMPUTED_VALUE"""),1373.0)</f>
        <v>1373</v>
      </c>
      <c r="B1375" s="8">
        <f>IFERROR(__xludf.DUMMYFUNCTION("""COMPUTED_VALUE"""),44.0)</f>
        <v>44</v>
      </c>
    </row>
    <row r="1376">
      <c r="A1376" s="8">
        <f>IFERROR(__xludf.DUMMYFUNCTION("""COMPUTED_VALUE"""),1374.0)</f>
        <v>1374</v>
      </c>
      <c r="B1376" s="8">
        <f>IFERROR(__xludf.DUMMYFUNCTION("""COMPUTED_VALUE"""),49.0)</f>
        <v>49</v>
      </c>
    </row>
    <row r="1377">
      <c r="A1377" s="8">
        <f>IFERROR(__xludf.DUMMYFUNCTION("""COMPUTED_VALUE"""),1375.0)</f>
        <v>1375</v>
      </c>
      <c r="B1377" s="8">
        <f>IFERROR(__xludf.DUMMYFUNCTION("""COMPUTED_VALUE"""),40.0)</f>
        <v>40</v>
      </c>
    </row>
    <row r="1378">
      <c r="A1378" s="8">
        <f>IFERROR(__xludf.DUMMYFUNCTION("""COMPUTED_VALUE"""),1376.0)</f>
        <v>1376</v>
      </c>
      <c r="B1378" s="8">
        <f>IFERROR(__xludf.DUMMYFUNCTION("""COMPUTED_VALUE"""),43.0)</f>
        <v>43</v>
      </c>
    </row>
    <row r="1379">
      <c r="A1379" s="8">
        <f>IFERROR(__xludf.DUMMYFUNCTION("""COMPUTED_VALUE"""),1377.0)</f>
        <v>1377</v>
      </c>
      <c r="B1379" s="8">
        <f>IFERROR(__xludf.DUMMYFUNCTION("""COMPUTED_VALUE"""),49.0)</f>
        <v>49</v>
      </c>
    </row>
    <row r="1380">
      <c r="A1380" s="8">
        <f>IFERROR(__xludf.DUMMYFUNCTION("""COMPUTED_VALUE"""),1378.0)</f>
        <v>1378</v>
      </c>
      <c r="B1380" s="8">
        <f>IFERROR(__xludf.DUMMYFUNCTION("""COMPUTED_VALUE"""),43.0)</f>
        <v>43</v>
      </c>
    </row>
    <row r="1381">
      <c r="A1381" s="8">
        <f>IFERROR(__xludf.DUMMYFUNCTION("""COMPUTED_VALUE"""),1379.0)</f>
        <v>1379</v>
      </c>
      <c r="B1381" s="8">
        <f>IFERROR(__xludf.DUMMYFUNCTION("""COMPUTED_VALUE"""),29.0)</f>
        <v>29</v>
      </c>
    </row>
    <row r="1382">
      <c r="A1382" s="8">
        <f>IFERROR(__xludf.DUMMYFUNCTION("""COMPUTED_VALUE"""),1380.0)</f>
        <v>1380</v>
      </c>
      <c r="B1382" s="8">
        <f>IFERROR(__xludf.DUMMYFUNCTION("""COMPUTED_VALUE"""),66.0)</f>
        <v>66</v>
      </c>
    </row>
    <row r="1383">
      <c r="A1383" s="8">
        <f>IFERROR(__xludf.DUMMYFUNCTION("""COMPUTED_VALUE"""),1381.0)</f>
        <v>1381</v>
      </c>
      <c r="B1383" s="8">
        <f>IFERROR(__xludf.DUMMYFUNCTION("""COMPUTED_VALUE"""),54.0)</f>
        <v>54</v>
      </c>
    </row>
    <row r="1384">
      <c r="A1384" s="8">
        <f>IFERROR(__xludf.DUMMYFUNCTION("""COMPUTED_VALUE"""),1382.0)</f>
        <v>1382</v>
      </c>
      <c r="B1384" s="8">
        <f>IFERROR(__xludf.DUMMYFUNCTION("""COMPUTED_VALUE"""),49.0)</f>
        <v>49</v>
      </c>
    </row>
    <row r="1385">
      <c r="A1385" s="8">
        <f>IFERROR(__xludf.DUMMYFUNCTION("""COMPUTED_VALUE"""),1383.0)</f>
        <v>1383</v>
      </c>
      <c r="B1385" s="8">
        <f>IFERROR(__xludf.DUMMYFUNCTION("""COMPUTED_VALUE"""),34.0)</f>
        <v>34</v>
      </c>
    </row>
    <row r="1386">
      <c r="A1386" s="8">
        <f>IFERROR(__xludf.DUMMYFUNCTION("""COMPUTED_VALUE"""),1384.0)</f>
        <v>1384</v>
      </c>
      <c r="B1386" s="8">
        <f>IFERROR(__xludf.DUMMYFUNCTION("""COMPUTED_VALUE"""),62.0)</f>
        <v>62</v>
      </c>
    </row>
    <row r="1387">
      <c r="A1387" s="8">
        <f>IFERROR(__xludf.DUMMYFUNCTION("""COMPUTED_VALUE"""),1385.0)</f>
        <v>1385</v>
      </c>
      <c r="B1387" s="8">
        <f>IFERROR(__xludf.DUMMYFUNCTION("""COMPUTED_VALUE"""),49.0)</f>
        <v>49</v>
      </c>
    </row>
    <row r="1388">
      <c r="A1388" s="8">
        <f>IFERROR(__xludf.DUMMYFUNCTION("""COMPUTED_VALUE"""),1386.0)</f>
        <v>1386</v>
      </c>
      <c r="B1388" s="8">
        <f>IFERROR(__xludf.DUMMYFUNCTION("""COMPUTED_VALUE"""),42.0)</f>
        <v>42</v>
      </c>
    </row>
    <row r="1389">
      <c r="A1389" s="8">
        <f>IFERROR(__xludf.DUMMYFUNCTION("""COMPUTED_VALUE"""),1387.0)</f>
        <v>1387</v>
      </c>
      <c r="B1389" s="8">
        <f>IFERROR(__xludf.DUMMYFUNCTION("""COMPUTED_VALUE"""),55.0)</f>
        <v>55</v>
      </c>
    </row>
    <row r="1390">
      <c r="A1390" s="8">
        <f>IFERROR(__xludf.DUMMYFUNCTION("""COMPUTED_VALUE"""),1388.0)</f>
        <v>1388</v>
      </c>
      <c r="B1390" s="8">
        <f>IFERROR(__xludf.DUMMYFUNCTION("""COMPUTED_VALUE"""),30.0)</f>
        <v>30</v>
      </c>
    </row>
    <row r="1391">
      <c r="A1391" s="8">
        <f>IFERROR(__xludf.DUMMYFUNCTION("""COMPUTED_VALUE"""),1389.0)</f>
        <v>1389</v>
      </c>
      <c r="B1391" s="8">
        <f>IFERROR(__xludf.DUMMYFUNCTION("""COMPUTED_VALUE"""),54.0)</f>
        <v>54</v>
      </c>
    </row>
    <row r="1392">
      <c r="A1392" s="8">
        <f>IFERROR(__xludf.DUMMYFUNCTION("""COMPUTED_VALUE"""),1390.0)</f>
        <v>1390</v>
      </c>
      <c r="B1392" s="8">
        <f>IFERROR(__xludf.DUMMYFUNCTION("""COMPUTED_VALUE"""),38.0)</f>
        <v>38</v>
      </c>
    </row>
    <row r="1393">
      <c r="A1393" s="8">
        <f>IFERROR(__xludf.DUMMYFUNCTION("""COMPUTED_VALUE"""),1391.0)</f>
        <v>1391</v>
      </c>
      <c r="B1393" s="8">
        <f>IFERROR(__xludf.DUMMYFUNCTION("""COMPUTED_VALUE"""),43.0)</f>
        <v>43</v>
      </c>
    </row>
    <row r="1394">
      <c r="A1394" s="8">
        <f>IFERROR(__xludf.DUMMYFUNCTION("""COMPUTED_VALUE"""),1392.0)</f>
        <v>1392</v>
      </c>
      <c r="B1394" s="8">
        <f>IFERROR(__xludf.DUMMYFUNCTION("""COMPUTED_VALUE"""),39.0)</f>
        <v>39</v>
      </c>
    </row>
    <row r="1395">
      <c r="A1395" s="8">
        <f>IFERROR(__xludf.DUMMYFUNCTION("""COMPUTED_VALUE"""),1393.0)</f>
        <v>1393</v>
      </c>
      <c r="B1395" s="8">
        <f>IFERROR(__xludf.DUMMYFUNCTION("""COMPUTED_VALUE"""),26.0)</f>
        <v>26</v>
      </c>
    </row>
    <row r="1396">
      <c r="A1396" s="8">
        <f>IFERROR(__xludf.DUMMYFUNCTION("""COMPUTED_VALUE"""),1394.0)</f>
        <v>1394</v>
      </c>
      <c r="B1396" s="8">
        <f>IFERROR(__xludf.DUMMYFUNCTION("""COMPUTED_VALUE"""),34.0)</f>
        <v>34</v>
      </c>
    </row>
    <row r="1397">
      <c r="A1397" s="8">
        <f>IFERROR(__xludf.DUMMYFUNCTION("""COMPUTED_VALUE"""),1395.0)</f>
        <v>1395</v>
      </c>
      <c r="B1397" s="8">
        <f>IFERROR(__xludf.DUMMYFUNCTION("""COMPUTED_VALUE"""),65.0)</f>
        <v>65</v>
      </c>
    </row>
    <row r="1398">
      <c r="A1398" s="8">
        <f>IFERROR(__xludf.DUMMYFUNCTION("""COMPUTED_VALUE"""),1396.0)</f>
        <v>1396</v>
      </c>
      <c r="B1398" s="8">
        <f>IFERROR(__xludf.DUMMYFUNCTION("""COMPUTED_VALUE"""),36.0)</f>
        <v>36</v>
      </c>
    </row>
    <row r="1399">
      <c r="A1399" s="8">
        <f>IFERROR(__xludf.DUMMYFUNCTION("""COMPUTED_VALUE"""),1397.0)</f>
        <v>1397</v>
      </c>
      <c r="B1399" s="8">
        <f>IFERROR(__xludf.DUMMYFUNCTION("""COMPUTED_VALUE"""),23.0)</f>
        <v>23</v>
      </c>
    </row>
    <row r="1400">
      <c r="A1400" s="8">
        <f>IFERROR(__xludf.DUMMYFUNCTION("""COMPUTED_VALUE"""),1398.0)</f>
        <v>1398</v>
      </c>
      <c r="B1400" s="8">
        <f>IFERROR(__xludf.DUMMYFUNCTION("""COMPUTED_VALUE"""),43.0)</f>
        <v>43</v>
      </c>
    </row>
    <row r="1401">
      <c r="A1401" s="8">
        <f>IFERROR(__xludf.DUMMYFUNCTION("""COMPUTED_VALUE"""),1399.0)</f>
        <v>1399</v>
      </c>
      <c r="B1401" s="8">
        <f>IFERROR(__xludf.DUMMYFUNCTION("""COMPUTED_VALUE"""),35.0)</f>
        <v>35</v>
      </c>
    </row>
    <row r="1402">
      <c r="A1402" s="8">
        <f>IFERROR(__xludf.DUMMYFUNCTION("""COMPUTED_VALUE"""),1400.0)</f>
        <v>1400</v>
      </c>
      <c r="B1402" s="8">
        <f>IFERROR(__xludf.DUMMYFUNCTION("""COMPUTED_VALUE"""),37.0)</f>
        <v>37</v>
      </c>
    </row>
    <row r="1403">
      <c r="A1403" s="8">
        <f>IFERROR(__xludf.DUMMYFUNCTION("""COMPUTED_VALUE"""),1401.0)</f>
        <v>1401</v>
      </c>
      <c r="B1403" s="8">
        <f>IFERROR(__xludf.DUMMYFUNCTION("""COMPUTED_VALUE"""),44.0)</f>
        <v>44</v>
      </c>
    </row>
    <row r="1404">
      <c r="A1404" s="8">
        <f>IFERROR(__xludf.DUMMYFUNCTION("""COMPUTED_VALUE"""),1402.0)</f>
        <v>1402</v>
      </c>
      <c r="B1404" s="8">
        <f>IFERROR(__xludf.DUMMYFUNCTION("""COMPUTED_VALUE"""),48.0)</f>
        <v>48</v>
      </c>
    </row>
    <row r="1405">
      <c r="A1405" s="8">
        <f>IFERROR(__xludf.DUMMYFUNCTION("""COMPUTED_VALUE"""),1403.0)</f>
        <v>1403</v>
      </c>
      <c r="B1405" s="8">
        <f>IFERROR(__xludf.DUMMYFUNCTION("""COMPUTED_VALUE"""),43.0)</f>
        <v>43</v>
      </c>
    </row>
    <row r="1406">
      <c r="A1406" s="8">
        <f>IFERROR(__xludf.DUMMYFUNCTION("""COMPUTED_VALUE"""),1404.0)</f>
        <v>1404</v>
      </c>
      <c r="B1406" s="8">
        <f>IFERROR(__xludf.DUMMYFUNCTION("""COMPUTED_VALUE"""),50.0)</f>
        <v>50</v>
      </c>
    </row>
    <row r="1407">
      <c r="A1407" s="8">
        <f>IFERROR(__xludf.DUMMYFUNCTION("""COMPUTED_VALUE"""),1405.0)</f>
        <v>1405</v>
      </c>
      <c r="B1407" s="8">
        <f>IFERROR(__xludf.DUMMYFUNCTION("""COMPUTED_VALUE"""),37.0)</f>
        <v>37</v>
      </c>
    </row>
    <row r="1408">
      <c r="A1408" s="8">
        <f>IFERROR(__xludf.DUMMYFUNCTION("""COMPUTED_VALUE"""),1406.0)</f>
        <v>1406</v>
      </c>
      <c r="B1408" s="8">
        <f>IFERROR(__xludf.DUMMYFUNCTION("""COMPUTED_VALUE"""),59.0)</f>
        <v>59</v>
      </c>
    </row>
    <row r="1409">
      <c r="A1409" s="8">
        <f>IFERROR(__xludf.DUMMYFUNCTION("""COMPUTED_VALUE"""),1407.0)</f>
        <v>1407</v>
      </c>
      <c r="B1409" s="8">
        <f>IFERROR(__xludf.DUMMYFUNCTION("""COMPUTED_VALUE"""),56.0)</f>
        <v>56</v>
      </c>
    </row>
    <row r="1410">
      <c r="A1410" s="8">
        <f>IFERROR(__xludf.DUMMYFUNCTION("""COMPUTED_VALUE"""),1408.0)</f>
        <v>1408</v>
      </c>
      <c r="B1410" s="8">
        <f>IFERROR(__xludf.DUMMYFUNCTION("""COMPUTED_VALUE"""),30.0)</f>
        <v>30</v>
      </c>
    </row>
    <row r="1411">
      <c r="A1411" s="8">
        <f>IFERROR(__xludf.DUMMYFUNCTION("""COMPUTED_VALUE"""),1409.0)</f>
        <v>1409</v>
      </c>
      <c r="B1411" s="8">
        <f>IFERROR(__xludf.DUMMYFUNCTION("""COMPUTED_VALUE"""),67.0)</f>
        <v>67</v>
      </c>
    </row>
    <row r="1412">
      <c r="A1412" s="8">
        <f>IFERROR(__xludf.DUMMYFUNCTION("""COMPUTED_VALUE"""),1410.0)</f>
        <v>1410</v>
      </c>
      <c r="B1412" s="8">
        <f>IFERROR(__xludf.DUMMYFUNCTION("""COMPUTED_VALUE"""),45.0)</f>
        <v>45</v>
      </c>
    </row>
    <row r="1413">
      <c r="A1413" s="8">
        <f>IFERROR(__xludf.DUMMYFUNCTION("""COMPUTED_VALUE"""),1411.0)</f>
        <v>1411</v>
      </c>
      <c r="B1413" s="8">
        <f>IFERROR(__xludf.DUMMYFUNCTION("""COMPUTED_VALUE"""),44.0)</f>
        <v>44</v>
      </c>
    </row>
    <row r="1414">
      <c r="A1414" s="8">
        <f>IFERROR(__xludf.DUMMYFUNCTION("""COMPUTED_VALUE"""),1412.0)</f>
        <v>1412</v>
      </c>
      <c r="B1414" s="8">
        <f>IFERROR(__xludf.DUMMYFUNCTION("""COMPUTED_VALUE"""),32.0)</f>
        <v>32</v>
      </c>
    </row>
    <row r="1415">
      <c r="A1415" s="8">
        <f>IFERROR(__xludf.DUMMYFUNCTION("""COMPUTED_VALUE"""),1413.0)</f>
        <v>1413</v>
      </c>
      <c r="B1415" s="8">
        <f>IFERROR(__xludf.DUMMYFUNCTION("""COMPUTED_VALUE"""),37.0)</f>
        <v>37</v>
      </c>
    </row>
    <row r="1416">
      <c r="A1416" s="8">
        <f>IFERROR(__xludf.DUMMYFUNCTION("""COMPUTED_VALUE"""),1414.0)</f>
        <v>1414</v>
      </c>
      <c r="B1416" s="8">
        <f>IFERROR(__xludf.DUMMYFUNCTION("""COMPUTED_VALUE"""),39.0)</f>
        <v>39</v>
      </c>
    </row>
    <row r="1417">
      <c r="A1417" s="8">
        <f>IFERROR(__xludf.DUMMYFUNCTION("""COMPUTED_VALUE"""),1415.0)</f>
        <v>1415</v>
      </c>
      <c r="B1417" s="8">
        <f>IFERROR(__xludf.DUMMYFUNCTION("""COMPUTED_VALUE"""),63.0)</f>
        <v>63</v>
      </c>
    </row>
    <row r="1418">
      <c r="A1418" s="8">
        <f>IFERROR(__xludf.DUMMYFUNCTION("""COMPUTED_VALUE"""),1416.0)</f>
        <v>1416</v>
      </c>
      <c r="B1418" s="8">
        <f>IFERROR(__xludf.DUMMYFUNCTION("""COMPUTED_VALUE"""),54.0)</f>
        <v>54</v>
      </c>
    </row>
    <row r="1419">
      <c r="A1419" s="8">
        <f>IFERROR(__xludf.DUMMYFUNCTION("""COMPUTED_VALUE"""),1417.0)</f>
        <v>1417</v>
      </c>
      <c r="B1419" s="8">
        <f>IFERROR(__xludf.DUMMYFUNCTION("""COMPUTED_VALUE"""),40.0)</f>
        <v>40</v>
      </c>
    </row>
    <row r="1420">
      <c r="A1420" s="8">
        <f>IFERROR(__xludf.DUMMYFUNCTION("""COMPUTED_VALUE"""),1418.0)</f>
        <v>1418</v>
      </c>
      <c r="B1420" s="8">
        <f>IFERROR(__xludf.DUMMYFUNCTION("""COMPUTED_VALUE"""),46.0)</f>
        <v>46</v>
      </c>
    </row>
    <row r="1421">
      <c r="A1421" s="8">
        <f>IFERROR(__xludf.DUMMYFUNCTION("""COMPUTED_VALUE"""),1419.0)</f>
        <v>1419</v>
      </c>
      <c r="B1421" s="8">
        <f>IFERROR(__xludf.DUMMYFUNCTION("""COMPUTED_VALUE"""),23.0)</f>
        <v>23</v>
      </c>
    </row>
    <row r="1422">
      <c r="A1422" s="8">
        <f>IFERROR(__xludf.DUMMYFUNCTION("""COMPUTED_VALUE"""),1420.0)</f>
        <v>1420</v>
      </c>
      <c r="B1422" s="8">
        <f>IFERROR(__xludf.DUMMYFUNCTION("""COMPUTED_VALUE"""),42.0)</f>
        <v>42</v>
      </c>
    </row>
    <row r="1423">
      <c r="A1423" s="8">
        <f>IFERROR(__xludf.DUMMYFUNCTION("""COMPUTED_VALUE"""),1421.0)</f>
        <v>1421</v>
      </c>
      <c r="B1423" s="8">
        <f>IFERROR(__xludf.DUMMYFUNCTION("""COMPUTED_VALUE"""),30.0)</f>
        <v>30</v>
      </c>
    </row>
    <row r="1424">
      <c r="A1424" s="8">
        <f>IFERROR(__xludf.DUMMYFUNCTION("""COMPUTED_VALUE"""),1422.0)</f>
        <v>1422</v>
      </c>
      <c r="B1424" s="8">
        <f>IFERROR(__xludf.DUMMYFUNCTION("""COMPUTED_VALUE"""),29.0)</f>
        <v>29</v>
      </c>
    </row>
    <row r="1425">
      <c r="A1425" s="8">
        <f>IFERROR(__xludf.DUMMYFUNCTION("""COMPUTED_VALUE"""),1423.0)</f>
        <v>1423</v>
      </c>
      <c r="B1425" s="8">
        <f>IFERROR(__xludf.DUMMYFUNCTION("""COMPUTED_VALUE"""),47.0)</f>
        <v>47</v>
      </c>
    </row>
    <row r="1426">
      <c r="A1426" s="8">
        <f>IFERROR(__xludf.DUMMYFUNCTION("""COMPUTED_VALUE"""),1424.0)</f>
        <v>1424</v>
      </c>
      <c r="B1426" s="8">
        <f>IFERROR(__xludf.DUMMYFUNCTION("""COMPUTED_VALUE"""),36.0)</f>
        <v>36</v>
      </c>
    </row>
    <row r="1427">
      <c r="A1427" s="8">
        <f>IFERROR(__xludf.DUMMYFUNCTION("""COMPUTED_VALUE"""),1425.0)</f>
        <v>1425</v>
      </c>
      <c r="B1427" s="8">
        <f>IFERROR(__xludf.DUMMYFUNCTION("""COMPUTED_VALUE"""),52.0)</f>
        <v>52</v>
      </c>
    </row>
    <row r="1428">
      <c r="A1428" s="8">
        <f>IFERROR(__xludf.DUMMYFUNCTION("""COMPUTED_VALUE"""),1426.0)</f>
        <v>1426</v>
      </c>
      <c r="B1428" s="8">
        <f>IFERROR(__xludf.DUMMYFUNCTION("""COMPUTED_VALUE"""),40.0)</f>
        <v>40</v>
      </c>
    </row>
    <row r="1429">
      <c r="A1429" s="8">
        <f>IFERROR(__xludf.DUMMYFUNCTION("""COMPUTED_VALUE"""),1427.0)</f>
        <v>1427</v>
      </c>
      <c r="B1429" s="8">
        <f>IFERROR(__xludf.DUMMYFUNCTION("""COMPUTED_VALUE"""),45.0)</f>
        <v>45</v>
      </c>
    </row>
    <row r="1430">
      <c r="A1430" s="8">
        <f>IFERROR(__xludf.DUMMYFUNCTION("""COMPUTED_VALUE"""),1428.0)</f>
        <v>1428</v>
      </c>
      <c r="B1430" s="8">
        <f>IFERROR(__xludf.DUMMYFUNCTION("""COMPUTED_VALUE"""),36.0)</f>
        <v>36</v>
      </c>
    </row>
    <row r="1431">
      <c r="A1431" s="8">
        <f>IFERROR(__xludf.DUMMYFUNCTION("""COMPUTED_VALUE"""),1429.0)</f>
        <v>1429</v>
      </c>
      <c r="B1431" s="8">
        <f>IFERROR(__xludf.DUMMYFUNCTION("""COMPUTED_VALUE"""),34.0)</f>
        <v>34</v>
      </c>
    </row>
    <row r="1432">
      <c r="A1432" s="8">
        <f>IFERROR(__xludf.DUMMYFUNCTION("""COMPUTED_VALUE"""),1430.0)</f>
        <v>1430</v>
      </c>
      <c r="B1432" s="8">
        <f>IFERROR(__xludf.DUMMYFUNCTION("""COMPUTED_VALUE"""),66.0)</f>
        <v>66</v>
      </c>
    </row>
    <row r="1433">
      <c r="A1433" s="8">
        <f>IFERROR(__xludf.DUMMYFUNCTION("""COMPUTED_VALUE"""),1431.0)</f>
        <v>1431</v>
      </c>
      <c r="B1433" s="8">
        <f>IFERROR(__xludf.DUMMYFUNCTION("""COMPUTED_VALUE"""),45.0)</f>
        <v>45</v>
      </c>
    </row>
    <row r="1434">
      <c r="A1434" s="8">
        <f>IFERROR(__xludf.DUMMYFUNCTION("""COMPUTED_VALUE"""),1432.0)</f>
        <v>1432</v>
      </c>
      <c r="B1434" s="8">
        <f>IFERROR(__xludf.DUMMYFUNCTION("""COMPUTED_VALUE"""),48.0)</f>
        <v>48</v>
      </c>
    </row>
    <row r="1435">
      <c r="A1435" s="8">
        <f>IFERROR(__xludf.DUMMYFUNCTION("""COMPUTED_VALUE"""),1433.0)</f>
        <v>1433</v>
      </c>
      <c r="B1435" s="8">
        <f>IFERROR(__xludf.DUMMYFUNCTION("""COMPUTED_VALUE"""),26.0)</f>
        <v>26</v>
      </c>
    </row>
    <row r="1436">
      <c r="A1436" s="8">
        <f>IFERROR(__xludf.DUMMYFUNCTION("""COMPUTED_VALUE"""),1434.0)</f>
        <v>1434</v>
      </c>
      <c r="B1436" s="8">
        <f>IFERROR(__xludf.DUMMYFUNCTION("""COMPUTED_VALUE"""),59.0)</f>
        <v>59</v>
      </c>
    </row>
    <row r="1437">
      <c r="A1437" s="8">
        <f>IFERROR(__xludf.DUMMYFUNCTION("""COMPUTED_VALUE"""),1435.0)</f>
        <v>1435</v>
      </c>
      <c r="B1437" s="8">
        <f>IFERROR(__xludf.DUMMYFUNCTION("""COMPUTED_VALUE"""),33.0)</f>
        <v>33</v>
      </c>
    </row>
    <row r="1438">
      <c r="A1438" s="8">
        <f>IFERROR(__xludf.DUMMYFUNCTION("""COMPUTED_VALUE"""),1436.0)</f>
        <v>1436</v>
      </c>
      <c r="B1438" s="8">
        <f>IFERROR(__xludf.DUMMYFUNCTION("""COMPUTED_VALUE"""),53.0)</f>
        <v>53</v>
      </c>
    </row>
    <row r="1439">
      <c r="A1439" s="8">
        <f>IFERROR(__xludf.DUMMYFUNCTION("""COMPUTED_VALUE"""),1437.0)</f>
        <v>1437</v>
      </c>
      <c r="B1439" s="8">
        <f>IFERROR(__xludf.DUMMYFUNCTION("""COMPUTED_VALUE"""),52.0)</f>
        <v>52</v>
      </c>
    </row>
    <row r="1440">
      <c r="A1440" s="8">
        <f>IFERROR(__xludf.DUMMYFUNCTION("""COMPUTED_VALUE"""),1438.0)</f>
        <v>1438</v>
      </c>
      <c r="B1440" s="8">
        <f>IFERROR(__xludf.DUMMYFUNCTION("""COMPUTED_VALUE"""),39.0)</f>
        <v>39</v>
      </c>
    </row>
    <row r="1441">
      <c r="A1441" s="8">
        <f>IFERROR(__xludf.DUMMYFUNCTION("""COMPUTED_VALUE"""),1439.0)</f>
        <v>1439</v>
      </c>
      <c r="B1441" s="8">
        <f>IFERROR(__xludf.DUMMYFUNCTION("""COMPUTED_VALUE"""),51.0)</f>
        <v>51</v>
      </c>
    </row>
    <row r="1442">
      <c r="A1442" s="8">
        <f>IFERROR(__xludf.DUMMYFUNCTION("""COMPUTED_VALUE"""),1440.0)</f>
        <v>1440</v>
      </c>
      <c r="B1442" s="8">
        <f>IFERROR(__xludf.DUMMYFUNCTION("""COMPUTED_VALUE"""),31.0)</f>
        <v>31</v>
      </c>
    </row>
    <row r="1443">
      <c r="A1443" s="8">
        <f>IFERROR(__xludf.DUMMYFUNCTION("""COMPUTED_VALUE"""),1441.0)</f>
        <v>1441</v>
      </c>
      <c r="B1443" s="8">
        <f>IFERROR(__xludf.DUMMYFUNCTION("""COMPUTED_VALUE"""),43.0)</f>
        <v>43</v>
      </c>
    </row>
    <row r="1444">
      <c r="A1444" s="8">
        <f>IFERROR(__xludf.DUMMYFUNCTION("""COMPUTED_VALUE"""),1442.0)</f>
        <v>1442</v>
      </c>
      <c r="B1444" s="8">
        <f>IFERROR(__xludf.DUMMYFUNCTION("""COMPUTED_VALUE"""),57.0)</f>
        <v>57</v>
      </c>
    </row>
    <row r="1445">
      <c r="A1445" s="8">
        <f>IFERROR(__xludf.DUMMYFUNCTION("""COMPUTED_VALUE"""),1443.0)</f>
        <v>1443</v>
      </c>
      <c r="B1445" s="8">
        <f>IFERROR(__xludf.DUMMYFUNCTION("""COMPUTED_VALUE"""),39.0)</f>
        <v>39</v>
      </c>
    </row>
    <row r="1446">
      <c r="A1446" s="8">
        <f>IFERROR(__xludf.DUMMYFUNCTION("""COMPUTED_VALUE"""),1444.0)</f>
        <v>1444</v>
      </c>
      <c r="B1446" s="8">
        <f>IFERROR(__xludf.DUMMYFUNCTION("""COMPUTED_VALUE"""),36.0)</f>
        <v>36</v>
      </c>
    </row>
    <row r="1447">
      <c r="A1447" s="8">
        <f>IFERROR(__xludf.DUMMYFUNCTION("""COMPUTED_VALUE"""),1445.0)</f>
        <v>1445</v>
      </c>
      <c r="B1447" s="8">
        <f>IFERROR(__xludf.DUMMYFUNCTION("""COMPUTED_VALUE"""),38.0)</f>
        <v>38</v>
      </c>
    </row>
    <row r="1448">
      <c r="A1448" s="8">
        <f>IFERROR(__xludf.DUMMYFUNCTION("""COMPUTED_VALUE"""),1446.0)</f>
        <v>1446</v>
      </c>
      <c r="B1448" s="8">
        <f>IFERROR(__xludf.DUMMYFUNCTION("""COMPUTED_VALUE"""),59.0)</f>
        <v>59</v>
      </c>
    </row>
    <row r="1449">
      <c r="A1449" s="8">
        <f>IFERROR(__xludf.DUMMYFUNCTION("""COMPUTED_VALUE"""),1447.0)</f>
        <v>1447</v>
      </c>
      <c r="B1449" s="8">
        <f>IFERROR(__xludf.DUMMYFUNCTION("""COMPUTED_VALUE"""),37.0)</f>
        <v>37</v>
      </c>
    </row>
    <row r="1450">
      <c r="A1450" s="8">
        <f>IFERROR(__xludf.DUMMYFUNCTION("""COMPUTED_VALUE"""),1448.0)</f>
        <v>1448</v>
      </c>
      <c r="B1450" s="8">
        <f>IFERROR(__xludf.DUMMYFUNCTION("""COMPUTED_VALUE"""),48.0)</f>
        <v>48</v>
      </c>
    </row>
    <row r="1451">
      <c r="A1451" s="8">
        <f>IFERROR(__xludf.DUMMYFUNCTION("""COMPUTED_VALUE"""),1449.0)</f>
        <v>1449</v>
      </c>
      <c r="B1451" s="8">
        <f>IFERROR(__xludf.DUMMYFUNCTION("""COMPUTED_VALUE"""),47.0)</f>
        <v>47</v>
      </c>
    </row>
    <row r="1452">
      <c r="A1452" s="8">
        <f>IFERROR(__xludf.DUMMYFUNCTION("""COMPUTED_VALUE"""),1450.0)</f>
        <v>1450</v>
      </c>
      <c r="B1452" s="8">
        <f>IFERROR(__xludf.DUMMYFUNCTION("""COMPUTED_VALUE"""),36.0)</f>
        <v>36</v>
      </c>
    </row>
    <row r="1453">
      <c r="A1453" s="8">
        <f>IFERROR(__xludf.DUMMYFUNCTION("""COMPUTED_VALUE"""),1451.0)</f>
        <v>1451</v>
      </c>
      <c r="B1453" s="8">
        <f>IFERROR(__xludf.DUMMYFUNCTION("""COMPUTED_VALUE"""),25.0)</f>
        <v>25</v>
      </c>
    </row>
    <row r="1454">
      <c r="A1454" s="8">
        <f>IFERROR(__xludf.DUMMYFUNCTION("""COMPUTED_VALUE"""),1452.0)</f>
        <v>1452</v>
      </c>
      <c r="B1454" s="8">
        <f>IFERROR(__xludf.DUMMYFUNCTION("""COMPUTED_VALUE"""),30.0)</f>
        <v>30</v>
      </c>
    </row>
    <row r="1455">
      <c r="A1455" s="8">
        <f>IFERROR(__xludf.DUMMYFUNCTION("""COMPUTED_VALUE"""),1453.0)</f>
        <v>1453</v>
      </c>
      <c r="B1455" s="8">
        <f>IFERROR(__xludf.DUMMYFUNCTION("""COMPUTED_VALUE"""),57.0)</f>
        <v>57</v>
      </c>
    </row>
    <row r="1456">
      <c r="A1456" s="8">
        <f>IFERROR(__xludf.DUMMYFUNCTION("""COMPUTED_VALUE"""),1454.0)</f>
        <v>1454</v>
      </c>
      <c r="B1456" s="8">
        <f>IFERROR(__xludf.DUMMYFUNCTION("""COMPUTED_VALUE"""),55.0)</f>
        <v>55</v>
      </c>
    </row>
    <row r="1457">
      <c r="A1457" s="8">
        <f>IFERROR(__xludf.DUMMYFUNCTION("""COMPUTED_VALUE"""),1455.0)</f>
        <v>1455</v>
      </c>
      <c r="B1457" s="8">
        <f>IFERROR(__xludf.DUMMYFUNCTION("""COMPUTED_VALUE"""),24.0)</f>
        <v>24</v>
      </c>
    </row>
    <row r="1458">
      <c r="A1458" s="8">
        <f>IFERROR(__xludf.DUMMYFUNCTION("""COMPUTED_VALUE"""),1456.0)</f>
        <v>1456</v>
      </c>
      <c r="B1458" s="8">
        <f>IFERROR(__xludf.DUMMYFUNCTION("""COMPUTED_VALUE"""),38.0)</f>
        <v>38</v>
      </c>
    </row>
    <row r="1459">
      <c r="A1459" s="8">
        <f>IFERROR(__xludf.DUMMYFUNCTION("""COMPUTED_VALUE"""),1457.0)</f>
        <v>1457</v>
      </c>
      <c r="B1459" s="8">
        <f>IFERROR(__xludf.DUMMYFUNCTION("""COMPUTED_VALUE"""),37.0)</f>
        <v>37</v>
      </c>
    </row>
    <row r="1460">
      <c r="A1460" s="8">
        <f>IFERROR(__xludf.DUMMYFUNCTION("""COMPUTED_VALUE"""),1458.0)</f>
        <v>1458</v>
      </c>
      <c r="B1460" s="8">
        <f>IFERROR(__xludf.DUMMYFUNCTION("""COMPUTED_VALUE"""),35.0)</f>
        <v>35</v>
      </c>
    </row>
    <row r="1461">
      <c r="A1461" s="8">
        <f>IFERROR(__xludf.DUMMYFUNCTION("""COMPUTED_VALUE"""),1459.0)</f>
        <v>1459</v>
      </c>
      <c r="B1461" s="8">
        <f>IFERROR(__xludf.DUMMYFUNCTION("""COMPUTED_VALUE"""),34.0)</f>
        <v>34</v>
      </c>
    </row>
    <row r="1462">
      <c r="A1462" s="8">
        <f>IFERROR(__xludf.DUMMYFUNCTION("""COMPUTED_VALUE"""),1460.0)</f>
        <v>1460</v>
      </c>
      <c r="B1462" s="8">
        <f>IFERROR(__xludf.DUMMYFUNCTION("""COMPUTED_VALUE"""),34.0)</f>
        <v>34</v>
      </c>
    </row>
    <row r="1463">
      <c r="A1463" s="8">
        <f>IFERROR(__xludf.DUMMYFUNCTION("""COMPUTED_VALUE"""),1461.0)</f>
        <v>1461</v>
      </c>
      <c r="B1463" s="8">
        <f>IFERROR(__xludf.DUMMYFUNCTION("""COMPUTED_VALUE"""),49.0)</f>
        <v>49</v>
      </c>
    </row>
    <row r="1464">
      <c r="A1464" s="8">
        <f>IFERROR(__xludf.DUMMYFUNCTION("""COMPUTED_VALUE"""),1462.0)</f>
        <v>1462</v>
      </c>
      <c r="B1464" s="8">
        <f>IFERROR(__xludf.DUMMYFUNCTION("""COMPUTED_VALUE"""),29.0)</f>
        <v>29</v>
      </c>
    </row>
    <row r="1465">
      <c r="A1465" s="8">
        <f>IFERROR(__xludf.DUMMYFUNCTION("""COMPUTED_VALUE"""),1463.0)</f>
        <v>1463</v>
      </c>
      <c r="B1465" s="8">
        <f>IFERROR(__xludf.DUMMYFUNCTION("""COMPUTED_VALUE"""),44.0)</f>
        <v>44</v>
      </c>
    </row>
    <row r="1466">
      <c r="A1466" s="8">
        <f>IFERROR(__xludf.DUMMYFUNCTION("""COMPUTED_VALUE"""),1464.0)</f>
        <v>1464</v>
      </c>
      <c r="B1466" s="8">
        <f>IFERROR(__xludf.DUMMYFUNCTION("""COMPUTED_VALUE"""),48.0)</f>
        <v>48</v>
      </c>
    </row>
    <row r="1467">
      <c r="A1467" s="8">
        <f>IFERROR(__xludf.DUMMYFUNCTION("""COMPUTED_VALUE"""),1465.0)</f>
        <v>1465</v>
      </c>
      <c r="B1467" s="8">
        <f>IFERROR(__xludf.DUMMYFUNCTION("""COMPUTED_VALUE"""),23.0)</f>
        <v>23</v>
      </c>
    </row>
    <row r="1468">
      <c r="A1468" s="8">
        <f>IFERROR(__xludf.DUMMYFUNCTION("""COMPUTED_VALUE"""),1466.0)</f>
        <v>1466</v>
      </c>
      <c r="B1468" s="8">
        <f>IFERROR(__xludf.DUMMYFUNCTION("""COMPUTED_VALUE"""),45.0)</f>
        <v>45</v>
      </c>
    </row>
    <row r="1469">
      <c r="A1469" s="8">
        <f>IFERROR(__xludf.DUMMYFUNCTION("""COMPUTED_VALUE"""),1467.0)</f>
        <v>1467</v>
      </c>
      <c r="B1469" s="8">
        <f>IFERROR(__xludf.DUMMYFUNCTION("""COMPUTED_VALUE"""),38.0)</f>
        <v>38</v>
      </c>
    </row>
    <row r="1470">
      <c r="A1470" s="8">
        <f>IFERROR(__xludf.DUMMYFUNCTION("""COMPUTED_VALUE"""),1468.0)</f>
        <v>1468</v>
      </c>
      <c r="B1470" s="8">
        <f>IFERROR(__xludf.DUMMYFUNCTION("""COMPUTED_VALUE"""),41.0)</f>
        <v>41</v>
      </c>
    </row>
    <row r="1471">
      <c r="A1471" s="8">
        <f>IFERROR(__xludf.DUMMYFUNCTION("""COMPUTED_VALUE"""),1469.0)</f>
        <v>1469</v>
      </c>
      <c r="B1471" s="8">
        <f>IFERROR(__xludf.DUMMYFUNCTION("""COMPUTED_VALUE"""),53.0)</f>
        <v>53</v>
      </c>
    </row>
    <row r="1472">
      <c r="A1472" s="8">
        <f>IFERROR(__xludf.DUMMYFUNCTION("""COMPUTED_VALUE"""),1470.0)</f>
        <v>1470</v>
      </c>
      <c r="B1472" s="8">
        <f>IFERROR(__xludf.DUMMYFUNCTION("""COMPUTED_VALUE"""),29.0)</f>
        <v>29</v>
      </c>
    </row>
    <row r="1473">
      <c r="A1473" s="8">
        <f>IFERROR(__xludf.DUMMYFUNCTION("""COMPUTED_VALUE"""),1471.0)</f>
        <v>1471</v>
      </c>
      <c r="B1473" s="8">
        <f>IFERROR(__xludf.DUMMYFUNCTION("""COMPUTED_VALUE"""),35.0)</f>
        <v>35</v>
      </c>
    </row>
    <row r="1474">
      <c r="A1474" s="8">
        <f>IFERROR(__xludf.DUMMYFUNCTION("""COMPUTED_VALUE"""),1472.0)</f>
        <v>1472</v>
      </c>
      <c r="B1474" s="8">
        <f>IFERROR(__xludf.DUMMYFUNCTION("""COMPUTED_VALUE"""),33.0)</f>
        <v>33</v>
      </c>
    </row>
    <row r="1475">
      <c r="A1475" s="8">
        <f>IFERROR(__xludf.DUMMYFUNCTION("""COMPUTED_VALUE"""),1473.0)</f>
        <v>1473</v>
      </c>
      <c r="B1475" s="8">
        <f>IFERROR(__xludf.DUMMYFUNCTION("""COMPUTED_VALUE"""),28.0)</f>
        <v>28</v>
      </c>
    </row>
    <row r="1476">
      <c r="A1476" s="8">
        <f>IFERROR(__xludf.DUMMYFUNCTION("""COMPUTED_VALUE"""),1474.0)</f>
        <v>1474</v>
      </c>
      <c r="B1476" s="8">
        <f>IFERROR(__xludf.DUMMYFUNCTION("""COMPUTED_VALUE"""),45.0)</f>
        <v>45</v>
      </c>
    </row>
    <row r="1477">
      <c r="A1477" s="8">
        <f>IFERROR(__xludf.DUMMYFUNCTION("""COMPUTED_VALUE"""),1475.0)</f>
        <v>1475</v>
      </c>
      <c r="B1477" s="8">
        <f>IFERROR(__xludf.DUMMYFUNCTION("""COMPUTED_VALUE"""),54.0)</f>
        <v>54</v>
      </c>
    </row>
    <row r="1478">
      <c r="A1478" s="8">
        <f>IFERROR(__xludf.DUMMYFUNCTION("""COMPUTED_VALUE"""),1476.0)</f>
        <v>1476</v>
      </c>
      <c r="B1478" s="8">
        <f>IFERROR(__xludf.DUMMYFUNCTION("""COMPUTED_VALUE"""),39.0)</f>
        <v>39</v>
      </c>
    </row>
    <row r="1479">
      <c r="A1479" s="8">
        <f>IFERROR(__xludf.DUMMYFUNCTION("""COMPUTED_VALUE"""),1477.0)</f>
        <v>1477</v>
      </c>
      <c r="B1479" s="8">
        <f>IFERROR(__xludf.DUMMYFUNCTION("""COMPUTED_VALUE"""),39.0)</f>
        <v>39</v>
      </c>
    </row>
    <row r="1480">
      <c r="A1480" s="8">
        <f>IFERROR(__xludf.DUMMYFUNCTION("""COMPUTED_VALUE"""),1478.0)</f>
        <v>1478</v>
      </c>
      <c r="B1480" s="8">
        <f>IFERROR(__xludf.DUMMYFUNCTION("""COMPUTED_VALUE"""),36.0)</f>
        <v>36</v>
      </c>
    </row>
    <row r="1481">
      <c r="A1481" s="8">
        <f>IFERROR(__xludf.DUMMYFUNCTION("""COMPUTED_VALUE"""),1479.0)</f>
        <v>1479</v>
      </c>
      <c r="B1481" s="8">
        <f>IFERROR(__xludf.DUMMYFUNCTION("""COMPUTED_VALUE"""),21.0)</f>
        <v>21</v>
      </c>
    </row>
    <row r="1482">
      <c r="A1482" s="8">
        <f>IFERROR(__xludf.DUMMYFUNCTION("""COMPUTED_VALUE"""),1480.0)</f>
        <v>1480</v>
      </c>
      <c r="B1482" s="8">
        <f>IFERROR(__xludf.DUMMYFUNCTION("""COMPUTED_VALUE"""),26.0)</f>
        <v>26</v>
      </c>
    </row>
    <row r="1483">
      <c r="A1483" s="8">
        <f>IFERROR(__xludf.DUMMYFUNCTION("""COMPUTED_VALUE"""),1481.0)</f>
        <v>1481</v>
      </c>
      <c r="B1483" s="8">
        <f>IFERROR(__xludf.DUMMYFUNCTION("""COMPUTED_VALUE"""),39.0)</f>
        <v>39</v>
      </c>
    </row>
    <row r="1484">
      <c r="A1484" s="8">
        <f>IFERROR(__xludf.DUMMYFUNCTION("""COMPUTED_VALUE"""),1482.0)</f>
        <v>1482</v>
      </c>
      <c r="B1484" s="8">
        <f>IFERROR(__xludf.DUMMYFUNCTION("""COMPUTED_VALUE"""),36.0)</f>
        <v>36</v>
      </c>
    </row>
    <row r="1485">
      <c r="A1485" s="8">
        <f>IFERROR(__xludf.DUMMYFUNCTION("""COMPUTED_VALUE"""),1483.0)</f>
        <v>1483</v>
      </c>
      <c r="B1485" s="8">
        <f>IFERROR(__xludf.DUMMYFUNCTION("""COMPUTED_VALUE"""),31.0)</f>
        <v>31</v>
      </c>
    </row>
    <row r="1486">
      <c r="A1486" s="8">
        <f>IFERROR(__xludf.DUMMYFUNCTION("""COMPUTED_VALUE"""),1484.0)</f>
        <v>1484</v>
      </c>
      <c r="B1486" s="8">
        <f>IFERROR(__xludf.DUMMYFUNCTION("""COMPUTED_VALUE"""),20.0)</f>
        <v>20</v>
      </c>
    </row>
    <row r="1487">
      <c r="A1487" s="8">
        <f>IFERROR(__xludf.DUMMYFUNCTION("""COMPUTED_VALUE"""),1485.0)</f>
        <v>1485</v>
      </c>
      <c r="B1487" s="8">
        <f>IFERROR(__xludf.DUMMYFUNCTION("""COMPUTED_VALUE"""),35.0)</f>
        <v>35</v>
      </c>
    </row>
    <row r="1488">
      <c r="A1488" s="8">
        <f>IFERROR(__xludf.DUMMYFUNCTION("""COMPUTED_VALUE"""),1486.0)</f>
        <v>1486</v>
      </c>
      <c r="B1488" s="8">
        <f>IFERROR(__xludf.DUMMYFUNCTION("""COMPUTED_VALUE"""),70.0)</f>
        <v>70</v>
      </c>
    </row>
    <row r="1489">
      <c r="A1489" s="8">
        <f>IFERROR(__xludf.DUMMYFUNCTION("""COMPUTED_VALUE"""),1487.0)</f>
        <v>1487</v>
      </c>
      <c r="B1489" s="8">
        <f>IFERROR(__xludf.DUMMYFUNCTION("""COMPUTED_VALUE"""),39.0)</f>
        <v>39</v>
      </c>
    </row>
    <row r="1490">
      <c r="A1490" s="8">
        <f>IFERROR(__xludf.DUMMYFUNCTION("""COMPUTED_VALUE"""),1488.0)</f>
        <v>1488</v>
      </c>
      <c r="B1490" s="8">
        <f>IFERROR(__xludf.DUMMYFUNCTION("""COMPUTED_VALUE"""),45.0)</f>
        <v>45</v>
      </c>
    </row>
    <row r="1491">
      <c r="A1491" s="8">
        <f>IFERROR(__xludf.DUMMYFUNCTION("""COMPUTED_VALUE"""),1489.0)</f>
        <v>1489</v>
      </c>
      <c r="B1491" s="8">
        <f>IFERROR(__xludf.DUMMYFUNCTION("""COMPUTED_VALUE"""),36.0)</f>
        <v>36</v>
      </c>
    </row>
    <row r="1492">
      <c r="A1492" s="8">
        <f>IFERROR(__xludf.DUMMYFUNCTION("""COMPUTED_VALUE"""),1490.0)</f>
        <v>1490</v>
      </c>
      <c r="B1492" s="8">
        <f>IFERROR(__xludf.DUMMYFUNCTION("""COMPUTED_VALUE"""),26.0)</f>
        <v>26</v>
      </c>
    </row>
    <row r="1493">
      <c r="A1493" s="8">
        <f>IFERROR(__xludf.DUMMYFUNCTION("""COMPUTED_VALUE"""),1491.0)</f>
        <v>1491</v>
      </c>
      <c r="B1493" s="8">
        <f>IFERROR(__xludf.DUMMYFUNCTION("""COMPUTED_VALUE"""),78.0)</f>
        <v>78</v>
      </c>
    </row>
    <row r="1494">
      <c r="A1494" s="8">
        <f>IFERROR(__xludf.DUMMYFUNCTION("""COMPUTED_VALUE"""),1492.0)</f>
        <v>1492</v>
      </c>
      <c r="B1494" s="8">
        <f>IFERROR(__xludf.DUMMYFUNCTION("""COMPUTED_VALUE"""),39.0)</f>
        <v>39</v>
      </c>
    </row>
    <row r="1495">
      <c r="A1495" s="8">
        <f>IFERROR(__xludf.DUMMYFUNCTION("""COMPUTED_VALUE"""),1493.0)</f>
        <v>1493</v>
      </c>
      <c r="B1495" s="8">
        <f>IFERROR(__xludf.DUMMYFUNCTION("""COMPUTED_VALUE"""),43.0)</f>
        <v>43</v>
      </c>
    </row>
    <row r="1496">
      <c r="A1496" s="8">
        <f>IFERROR(__xludf.DUMMYFUNCTION("""COMPUTED_VALUE"""),1494.0)</f>
        <v>1494</v>
      </c>
      <c r="B1496" s="8">
        <f>IFERROR(__xludf.DUMMYFUNCTION("""COMPUTED_VALUE"""),33.0)</f>
        <v>33</v>
      </c>
    </row>
    <row r="1497">
      <c r="A1497" s="8">
        <f>IFERROR(__xludf.DUMMYFUNCTION("""COMPUTED_VALUE"""),1495.0)</f>
        <v>1495</v>
      </c>
      <c r="B1497" s="8">
        <f>IFERROR(__xludf.DUMMYFUNCTION("""COMPUTED_VALUE"""),35.0)</f>
        <v>35</v>
      </c>
    </row>
    <row r="1498">
      <c r="A1498" s="8">
        <f>IFERROR(__xludf.DUMMYFUNCTION("""COMPUTED_VALUE"""),1496.0)</f>
        <v>1496</v>
      </c>
      <c r="B1498" s="8">
        <f>IFERROR(__xludf.DUMMYFUNCTION("""COMPUTED_VALUE"""),51.0)</f>
        <v>51</v>
      </c>
    </row>
    <row r="1499">
      <c r="A1499" s="8">
        <f>IFERROR(__xludf.DUMMYFUNCTION("""COMPUTED_VALUE"""),1497.0)</f>
        <v>1497</v>
      </c>
      <c r="B1499" s="8">
        <f>IFERROR(__xludf.DUMMYFUNCTION("""COMPUTED_VALUE"""),41.0)</f>
        <v>41</v>
      </c>
    </row>
    <row r="1500">
      <c r="A1500" s="8">
        <f>IFERROR(__xludf.DUMMYFUNCTION("""COMPUTED_VALUE"""),1498.0)</f>
        <v>1498</v>
      </c>
      <c r="B1500" s="8">
        <f>IFERROR(__xludf.DUMMYFUNCTION("""COMPUTED_VALUE"""),27.0)</f>
        <v>27</v>
      </c>
    </row>
    <row r="1501">
      <c r="A1501" s="8">
        <f>IFERROR(__xludf.DUMMYFUNCTION("""COMPUTED_VALUE"""),1499.0)</f>
        <v>1499</v>
      </c>
      <c r="B1501" s="8">
        <f>IFERROR(__xludf.DUMMYFUNCTION("""COMPUTED_VALUE"""),44.0)</f>
        <v>44</v>
      </c>
    </row>
    <row r="1502">
      <c r="A1502" s="8">
        <f>IFERROR(__xludf.DUMMYFUNCTION("""COMPUTED_VALUE"""),1500.0)</f>
        <v>1500</v>
      </c>
      <c r="B1502" s="8">
        <f>IFERROR(__xludf.DUMMYFUNCTION("""COMPUTED_VALUE"""),38.0)</f>
        <v>38</v>
      </c>
    </row>
    <row r="1503">
      <c r="A1503" s="8">
        <f>IFERROR(__xludf.DUMMYFUNCTION("""COMPUTED_VALUE"""),1501.0)</f>
        <v>1501</v>
      </c>
      <c r="B1503" s="8">
        <f>IFERROR(__xludf.DUMMYFUNCTION("""COMPUTED_VALUE"""),52.0)</f>
        <v>52</v>
      </c>
    </row>
    <row r="1504">
      <c r="A1504" s="8">
        <f>IFERROR(__xludf.DUMMYFUNCTION("""COMPUTED_VALUE"""),1502.0)</f>
        <v>1502</v>
      </c>
      <c r="B1504" s="8">
        <f>IFERROR(__xludf.DUMMYFUNCTION("""COMPUTED_VALUE"""),60.0)</f>
        <v>60</v>
      </c>
    </row>
    <row r="1505">
      <c r="A1505" s="8">
        <f>IFERROR(__xludf.DUMMYFUNCTION("""COMPUTED_VALUE"""),1503.0)</f>
        <v>1503</v>
      </c>
      <c r="B1505" s="8">
        <f>IFERROR(__xludf.DUMMYFUNCTION("""COMPUTED_VALUE"""),36.0)</f>
        <v>36</v>
      </c>
    </row>
    <row r="1506">
      <c r="A1506" s="8">
        <f>IFERROR(__xludf.DUMMYFUNCTION("""COMPUTED_VALUE"""),1504.0)</f>
        <v>1504</v>
      </c>
      <c r="B1506" s="8">
        <f>IFERROR(__xludf.DUMMYFUNCTION("""COMPUTED_VALUE"""),44.0)</f>
        <v>44</v>
      </c>
    </row>
    <row r="1507">
      <c r="A1507" s="8">
        <f>IFERROR(__xludf.DUMMYFUNCTION("""COMPUTED_VALUE"""),1505.0)</f>
        <v>1505</v>
      </c>
      <c r="B1507" s="8">
        <f>IFERROR(__xludf.DUMMYFUNCTION("""COMPUTED_VALUE"""),34.0)</f>
        <v>34</v>
      </c>
    </row>
    <row r="1508">
      <c r="A1508" s="8">
        <f>IFERROR(__xludf.DUMMYFUNCTION("""COMPUTED_VALUE"""),1506.0)</f>
        <v>1506</v>
      </c>
      <c r="B1508" s="8">
        <f>IFERROR(__xludf.DUMMYFUNCTION("""COMPUTED_VALUE"""),41.0)</f>
        <v>41</v>
      </c>
    </row>
    <row r="1509">
      <c r="A1509" s="8">
        <f>IFERROR(__xludf.DUMMYFUNCTION("""COMPUTED_VALUE"""),1507.0)</f>
        <v>1507</v>
      </c>
      <c r="B1509" s="8">
        <f>IFERROR(__xludf.DUMMYFUNCTION("""COMPUTED_VALUE"""),47.0)</f>
        <v>47</v>
      </c>
    </row>
    <row r="1510">
      <c r="A1510" s="8">
        <f>IFERROR(__xludf.DUMMYFUNCTION("""COMPUTED_VALUE"""),1508.0)</f>
        <v>1508</v>
      </c>
      <c r="B1510" s="8">
        <f>IFERROR(__xludf.DUMMYFUNCTION("""COMPUTED_VALUE"""),60.0)</f>
        <v>60</v>
      </c>
    </row>
    <row r="1511">
      <c r="A1511" s="8">
        <f>IFERROR(__xludf.DUMMYFUNCTION("""COMPUTED_VALUE"""),1509.0)</f>
        <v>1509</v>
      </c>
      <c r="B1511" s="8">
        <f>IFERROR(__xludf.DUMMYFUNCTION("""COMPUTED_VALUE"""),38.0)</f>
        <v>38</v>
      </c>
    </row>
    <row r="1512">
      <c r="A1512" s="8">
        <f>IFERROR(__xludf.DUMMYFUNCTION("""COMPUTED_VALUE"""),1510.0)</f>
        <v>1510</v>
      </c>
      <c r="B1512" s="8">
        <f>IFERROR(__xludf.DUMMYFUNCTION("""COMPUTED_VALUE"""),31.0)</f>
        <v>31</v>
      </c>
    </row>
    <row r="1513">
      <c r="A1513" s="8">
        <f>IFERROR(__xludf.DUMMYFUNCTION("""COMPUTED_VALUE"""),1511.0)</f>
        <v>1511</v>
      </c>
      <c r="B1513" s="8">
        <f>IFERROR(__xludf.DUMMYFUNCTION("""COMPUTED_VALUE"""),39.0)</f>
        <v>39</v>
      </c>
    </row>
    <row r="1514">
      <c r="A1514" s="8">
        <f>IFERROR(__xludf.DUMMYFUNCTION("""COMPUTED_VALUE"""),1512.0)</f>
        <v>1512</v>
      </c>
      <c r="B1514" s="8">
        <f>IFERROR(__xludf.DUMMYFUNCTION("""COMPUTED_VALUE"""),46.0)</f>
        <v>46</v>
      </c>
    </row>
    <row r="1515">
      <c r="A1515" s="8">
        <f>IFERROR(__xludf.DUMMYFUNCTION("""COMPUTED_VALUE"""),1513.0)</f>
        <v>1513</v>
      </c>
      <c r="B1515" s="8">
        <f>IFERROR(__xludf.DUMMYFUNCTION("""COMPUTED_VALUE"""),63.0)</f>
        <v>63</v>
      </c>
    </row>
    <row r="1516">
      <c r="A1516" s="8">
        <f>IFERROR(__xludf.DUMMYFUNCTION("""COMPUTED_VALUE"""),1514.0)</f>
        <v>1514</v>
      </c>
      <c r="B1516" s="8">
        <f>IFERROR(__xludf.DUMMYFUNCTION("""COMPUTED_VALUE"""),33.0)</f>
        <v>33</v>
      </c>
    </row>
    <row r="1517">
      <c r="A1517" s="8">
        <f>IFERROR(__xludf.DUMMYFUNCTION("""COMPUTED_VALUE"""),1515.0)</f>
        <v>1515</v>
      </c>
      <c r="B1517" s="8">
        <f>IFERROR(__xludf.DUMMYFUNCTION("""COMPUTED_VALUE"""),56.0)</f>
        <v>56</v>
      </c>
    </row>
    <row r="1518">
      <c r="A1518" s="8">
        <f>IFERROR(__xludf.DUMMYFUNCTION("""COMPUTED_VALUE"""),1516.0)</f>
        <v>1516</v>
      </c>
      <c r="B1518" s="8">
        <f>IFERROR(__xludf.DUMMYFUNCTION("""COMPUTED_VALUE"""),40.0)</f>
        <v>40</v>
      </c>
    </row>
    <row r="1519">
      <c r="A1519" s="8">
        <f>IFERROR(__xludf.DUMMYFUNCTION("""COMPUTED_VALUE"""),1517.0)</f>
        <v>1517</v>
      </c>
      <c r="B1519" s="8">
        <f>IFERROR(__xludf.DUMMYFUNCTION("""COMPUTED_VALUE"""),48.0)</f>
        <v>48</v>
      </c>
    </row>
    <row r="1520">
      <c r="A1520" s="8">
        <f>IFERROR(__xludf.DUMMYFUNCTION("""COMPUTED_VALUE"""),1518.0)</f>
        <v>1518</v>
      </c>
      <c r="B1520" s="8">
        <f>IFERROR(__xludf.DUMMYFUNCTION("""COMPUTED_VALUE"""),37.0)</f>
        <v>37</v>
      </c>
    </row>
    <row r="1521">
      <c r="A1521" s="8">
        <f>IFERROR(__xludf.DUMMYFUNCTION("""COMPUTED_VALUE"""),1519.0)</f>
        <v>1519</v>
      </c>
      <c r="B1521" s="8">
        <f>IFERROR(__xludf.DUMMYFUNCTION("""COMPUTED_VALUE"""),32.0)</f>
        <v>32</v>
      </c>
    </row>
    <row r="1522">
      <c r="A1522" s="8">
        <f>IFERROR(__xludf.DUMMYFUNCTION("""COMPUTED_VALUE"""),1520.0)</f>
        <v>1520</v>
      </c>
      <c r="B1522" s="8">
        <f>IFERROR(__xludf.DUMMYFUNCTION("""COMPUTED_VALUE"""),57.0)</f>
        <v>57</v>
      </c>
    </row>
    <row r="1523">
      <c r="A1523" s="8">
        <f>IFERROR(__xludf.DUMMYFUNCTION("""COMPUTED_VALUE"""),1521.0)</f>
        <v>1521</v>
      </c>
      <c r="B1523" s="8">
        <f>IFERROR(__xludf.DUMMYFUNCTION("""COMPUTED_VALUE"""),45.0)</f>
        <v>45</v>
      </c>
    </row>
    <row r="1524">
      <c r="A1524" s="8">
        <f>IFERROR(__xludf.DUMMYFUNCTION("""COMPUTED_VALUE"""),1522.0)</f>
        <v>1522</v>
      </c>
      <c r="B1524" s="8">
        <f>IFERROR(__xludf.DUMMYFUNCTION("""COMPUTED_VALUE"""),24.0)</f>
        <v>24</v>
      </c>
    </row>
    <row r="1525">
      <c r="A1525" s="8">
        <f>IFERROR(__xludf.DUMMYFUNCTION("""COMPUTED_VALUE"""),1523.0)</f>
        <v>1523</v>
      </c>
      <c r="B1525" s="8">
        <f>IFERROR(__xludf.DUMMYFUNCTION("""COMPUTED_VALUE"""),69.0)</f>
        <v>69</v>
      </c>
    </row>
    <row r="1526">
      <c r="A1526" s="8">
        <f>IFERROR(__xludf.DUMMYFUNCTION("""COMPUTED_VALUE"""),1524.0)</f>
        <v>1524</v>
      </c>
      <c r="B1526" s="8">
        <f>IFERROR(__xludf.DUMMYFUNCTION("""COMPUTED_VALUE"""),38.0)</f>
        <v>38</v>
      </c>
    </row>
    <row r="1527">
      <c r="A1527" s="8">
        <f>IFERROR(__xludf.DUMMYFUNCTION("""COMPUTED_VALUE"""),1525.0)</f>
        <v>1525</v>
      </c>
      <c r="B1527" s="8">
        <f>IFERROR(__xludf.DUMMYFUNCTION("""COMPUTED_VALUE"""),79.0)</f>
        <v>79</v>
      </c>
    </row>
    <row r="1528">
      <c r="A1528" s="8">
        <f>IFERROR(__xludf.DUMMYFUNCTION("""COMPUTED_VALUE"""),1526.0)</f>
        <v>1526</v>
      </c>
      <c r="B1528" s="8">
        <f>IFERROR(__xludf.DUMMYFUNCTION("""COMPUTED_VALUE"""),47.0)</f>
        <v>47</v>
      </c>
    </row>
    <row r="1529">
      <c r="A1529" s="8">
        <f>IFERROR(__xludf.DUMMYFUNCTION("""COMPUTED_VALUE"""),1527.0)</f>
        <v>1527</v>
      </c>
      <c r="B1529" s="8">
        <f>IFERROR(__xludf.DUMMYFUNCTION("""COMPUTED_VALUE"""),56.0)</f>
        <v>56</v>
      </c>
    </row>
    <row r="1530">
      <c r="A1530" s="8">
        <f>IFERROR(__xludf.DUMMYFUNCTION("""COMPUTED_VALUE"""),1528.0)</f>
        <v>1528</v>
      </c>
      <c r="B1530" s="8">
        <f>IFERROR(__xludf.DUMMYFUNCTION("""COMPUTED_VALUE"""),54.0)</f>
        <v>54</v>
      </c>
    </row>
    <row r="1531">
      <c r="A1531" s="8">
        <f>IFERROR(__xludf.DUMMYFUNCTION("""COMPUTED_VALUE"""),1529.0)</f>
        <v>1529</v>
      </c>
      <c r="B1531" s="8">
        <f>IFERROR(__xludf.DUMMYFUNCTION("""COMPUTED_VALUE"""),48.0)</f>
        <v>48</v>
      </c>
    </row>
    <row r="1532">
      <c r="A1532" s="8">
        <f>IFERROR(__xludf.DUMMYFUNCTION("""COMPUTED_VALUE"""),1530.0)</f>
        <v>1530</v>
      </c>
      <c r="B1532" s="8">
        <f>IFERROR(__xludf.DUMMYFUNCTION("""COMPUTED_VALUE"""),41.0)</f>
        <v>41</v>
      </c>
    </row>
    <row r="1533">
      <c r="A1533" s="8">
        <f>IFERROR(__xludf.DUMMYFUNCTION("""COMPUTED_VALUE"""),1531.0)</f>
        <v>1531</v>
      </c>
      <c r="B1533" s="8">
        <f>IFERROR(__xludf.DUMMYFUNCTION("""COMPUTED_VALUE"""),68.0)</f>
        <v>68</v>
      </c>
    </row>
    <row r="1534">
      <c r="A1534" s="8">
        <f>IFERROR(__xludf.DUMMYFUNCTION("""COMPUTED_VALUE"""),1532.0)</f>
        <v>1532</v>
      </c>
      <c r="B1534" s="8">
        <f>IFERROR(__xludf.DUMMYFUNCTION("""COMPUTED_VALUE"""),49.0)</f>
        <v>49</v>
      </c>
    </row>
    <row r="1535">
      <c r="A1535" s="8">
        <f>IFERROR(__xludf.DUMMYFUNCTION("""COMPUTED_VALUE"""),1533.0)</f>
        <v>1533</v>
      </c>
      <c r="B1535" s="8">
        <f>IFERROR(__xludf.DUMMYFUNCTION("""COMPUTED_VALUE"""),30.0)</f>
        <v>30</v>
      </c>
    </row>
    <row r="1536">
      <c r="A1536" s="8">
        <f>IFERROR(__xludf.DUMMYFUNCTION("""COMPUTED_VALUE"""),1534.0)</f>
        <v>1534</v>
      </c>
      <c r="B1536" s="8">
        <f>IFERROR(__xludf.DUMMYFUNCTION("""COMPUTED_VALUE"""),52.0)</f>
        <v>52</v>
      </c>
    </row>
    <row r="1537">
      <c r="A1537" s="8">
        <f>IFERROR(__xludf.DUMMYFUNCTION("""COMPUTED_VALUE"""),1535.0)</f>
        <v>1535</v>
      </c>
      <c r="B1537" s="8">
        <f>IFERROR(__xludf.DUMMYFUNCTION("""COMPUTED_VALUE"""),42.0)</f>
        <v>42</v>
      </c>
    </row>
    <row r="1538">
      <c r="A1538" s="8">
        <f>IFERROR(__xludf.DUMMYFUNCTION("""COMPUTED_VALUE"""),1536.0)</f>
        <v>1536</v>
      </c>
      <c r="B1538" s="8">
        <f>IFERROR(__xludf.DUMMYFUNCTION("""COMPUTED_VALUE"""),51.0)</f>
        <v>51</v>
      </c>
    </row>
    <row r="1539">
      <c r="A1539" s="8">
        <f>IFERROR(__xludf.DUMMYFUNCTION("""COMPUTED_VALUE"""),1537.0)</f>
        <v>1537</v>
      </c>
      <c r="B1539" s="8">
        <f>IFERROR(__xludf.DUMMYFUNCTION("""COMPUTED_VALUE"""),44.0)</f>
        <v>44</v>
      </c>
    </row>
    <row r="1540">
      <c r="A1540" s="8">
        <f>IFERROR(__xludf.DUMMYFUNCTION("""COMPUTED_VALUE"""),1538.0)</f>
        <v>1538</v>
      </c>
      <c r="B1540" s="8">
        <f>IFERROR(__xludf.DUMMYFUNCTION("""COMPUTED_VALUE"""),52.0)</f>
        <v>52</v>
      </c>
    </row>
    <row r="1541">
      <c r="A1541" s="8">
        <f>IFERROR(__xludf.DUMMYFUNCTION("""COMPUTED_VALUE"""),1539.0)</f>
        <v>1539</v>
      </c>
      <c r="B1541" s="8">
        <f>IFERROR(__xludf.DUMMYFUNCTION("""COMPUTED_VALUE"""),38.0)</f>
        <v>38</v>
      </c>
    </row>
    <row r="1542">
      <c r="A1542" s="8">
        <f>IFERROR(__xludf.DUMMYFUNCTION("""COMPUTED_VALUE"""),1540.0)</f>
        <v>1540</v>
      </c>
      <c r="B1542" s="8">
        <f>IFERROR(__xludf.DUMMYFUNCTION("""COMPUTED_VALUE"""),38.0)</f>
        <v>38</v>
      </c>
    </row>
    <row r="1543">
      <c r="A1543" s="8">
        <f>IFERROR(__xludf.DUMMYFUNCTION("""COMPUTED_VALUE"""),1541.0)</f>
        <v>1541</v>
      </c>
      <c r="B1543" s="8">
        <f>IFERROR(__xludf.DUMMYFUNCTION("""COMPUTED_VALUE"""),29.0)</f>
        <v>29</v>
      </c>
    </row>
    <row r="1544">
      <c r="A1544" s="8">
        <f>IFERROR(__xludf.DUMMYFUNCTION("""COMPUTED_VALUE"""),1542.0)</f>
        <v>1542</v>
      </c>
      <c r="B1544" s="8">
        <f>IFERROR(__xludf.DUMMYFUNCTION("""COMPUTED_VALUE"""),34.0)</f>
        <v>34</v>
      </c>
    </row>
    <row r="1545">
      <c r="A1545" s="8">
        <f>IFERROR(__xludf.DUMMYFUNCTION("""COMPUTED_VALUE"""),1543.0)</f>
        <v>1543</v>
      </c>
      <c r="B1545" s="8">
        <f>IFERROR(__xludf.DUMMYFUNCTION("""COMPUTED_VALUE"""),62.0)</f>
        <v>62</v>
      </c>
    </row>
    <row r="1546">
      <c r="A1546" s="8">
        <f>IFERROR(__xludf.DUMMYFUNCTION("""COMPUTED_VALUE"""),1544.0)</f>
        <v>1544</v>
      </c>
      <c r="B1546" s="8">
        <f>IFERROR(__xludf.DUMMYFUNCTION("""COMPUTED_VALUE"""),67.0)</f>
        <v>67</v>
      </c>
    </row>
    <row r="1547">
      <c r="A1547" s="8">
        <f>IFERROR(__xludf.DUMMYFUNCTION("""COMPUTED_VALUE"""),1545.0)</f>
        <v>1545</v>
      </c>
      <c r="B1547" s="8">
        <f>IFERROR(__xludf.DUMMYFUNCTION("""COMPUTED_VALUE"""),77.0)</f>
        <v>77</v>
      </c>
    </row>
    <row r="1548">
      <c r="A1548" s="8">
        <f>IFERROR(__xludf.DUMMYFUNCTION("""COMPUTED_VALUE"""),1546.0)</f>
        <v>1546</v>
      </c>
      <c r="B1548" s="8">
        <f>IFERROR(__xludf.DUMMYFUNCTION("""COMPUTED_VALUE"""),67.0)</f>
        <v>67</v>
      </c>
    </row>
    <row r="1549">
      <c r="A1549" s="8">
        <f>IFERROR(__xludf.DUMMYFUNCTION("""COMPUTED_VALUE"""),1547.0)</f>
        <v>1547</v>
      </c>
      <c r="B1549" s="8">
        <f>IFERROR(__xludf.DUMMYFUNCTION("""COMPUTED_VALUE"""),31.0)</f>
        <v>31</v>
      </c>
    </row>
    <row r="1550">
      <c r="A1550" s="8">
        <f>IFERROR(__xludf.DUMMYFUNCTION("""COMPUTED_VALUE"""),1548.0)</f>
        <v>1548</v>
      </c>
      <c r="B1550" s="8">
        <f>IFERROR(__xludf.DUMMYFUNCTION("""COMPUTED_VALUE"""),41.0)</f>
        <v>41</v>
      </c>
    </row>
    <row r="1551">
      <c r="A1551" s="8">
        <f>IFERROR(__xludf.DUMMYFUNCTION("""COMPUTED_VALUE"""),1549.0)</f>
        <v>1549</v>
      </c>
      <c r="B1551" s="8">
        <f>IFERROR(__xludf.DUMMYFUNCTION("""COMPUTED_VALUE"""),61.0)</f>
        <v>61</v>
      </c>
    </row>
    <row r="1552">
      <c r="A1552" s="8">
        <f>IFERROR(__xludf.DUMMYFUNCTION("""COMPUTED_VALUE"""),1550.0)</f>
        <v>1550</v>
      </c>
      <c r="B1552" s="8">
        <f>IFERROR(__xludf.DUMMYFUNCTION("""COMPUTED_VALUE"""),64.0)</f>
        <v>64</v>
      </c>
    </row>
    <row r="1553">
      <c r="A1553" s="8">
        <f>IFERROR(__xludf.DUMMYFUNCTION("""COMPUTED_VALUE"""),1551.0)</f>
        <v>1551</v>
      </c>
      <c r="B1553" s="8">
        <f>IFERROR(__xludf.DUMMYFUNCTION("""COMPUTED_VALUE"""),30.0)</f>
        <v>30</v>
      </c>
    </row>
    <row r="1554">
      <c r="A1554" s="8">
        <f>IFERROR(__xludf.DUMMYFUNCTION("""COMPUTED_VALUE"""),1552.0)</f>
        <v>1552</v>
      </c>
      <c r="B1554" s="8">
        <f>IFERROR(__xludf.DUMMYFUNCTION("""COMPUTED_VALUE"""),47.0)</f>
        <v>47</v>
      </c>
    </row>
    <row r="1555">
      <c r="A1555" s="8">
        <f>IFERROR(__xludf.DUMMYFUNCTION("""COMPUTED_VALUE"""),1553.0)</f>
        <v>1553</v>
      </c>
      <c r="B1555" s="8">
        <f>IFERROR(__xludf.DUMMYFUNCTION("""COMPUTED_VALUE"""),45.0)</f>
        <v>45</v>
      </c>
    </row>
    <row r="1556">
      <c r="A1556" s="8">
        <f>IFERROR(__xludf.DUMMYFUNCTION("""COMPUTED_VALUE"""),1554.0)</f>
        <v>1554</v>
      </c>
      <c r="B1556" s="8">
        <f>IFERROR(__xludf.DUMMYFUNCTION("""COMPUTED_VALUE"""),35.0)</f>
        <v>35</v>
      </c>
    </row>
    <row r="1557">
      <c r="A1557" s="8">
        <f>IFERROR(__xludf.DUMMYFUNCTION("""COMPUTED_VALUE"""),1555.0)</f>
        <v>1555</v>
      </c>
      <c r="B1557" s="8">
        <f>IFERROR(__xludf.DUMMYFUNCTION("""COMPUTED_VALUE"""),26.0)</f>
        <v>26</v>
      </c>
    </row>
    <row r="1558">
      <c r="A1558" s="8">
        <f>IFERROR(__xludf.DUMMYFUNCTION("""COMPUTED_VALUE"""),1556.0)</f>
        <v>1556</v>
      </c>
      <c r="B1558" s="8">
        <f>IFERROR(__xludf.DUMMYFUNCTION("""COMPUTED_VALUE"""),35.0)</f>
        <v>35</v>
      </c>
    </row>
    <row r="1559">
      <c r="A1559" s="8">
        <f>IFERROR(__xludf.DUMMYFUNCTION("""COMPUTED_VALUE"""),1557.0)</f>
        <v>1557</v>
      </c>
      <c r="B1559" s="8">
        <f>IFERROR(__xludf.DUMMYFUNCTION("""COMPUTED_VALUE"""),66.0)</f>
        <v>66</v>
      </c>
    </row>
    <row r="1560">
      <c r="A1560" s="8">
        <f>IFERROR(__xludf.DUMMYFUNCTION("""COMPUTED_VALUE"""),1558.0)</f>
        <v>1558</v>
      </c>
      <c r="B1560" s="8">
        <f>IFERROR(__xludf.DUMMYFUNCTION("""COMPUTED_VALUE"""),62.0)</f>
        <v>62</v>
      </c>
    </row>
    <row r="1561">
      <c r="A1561" s="8">
        <f>IFERROR(__xludf.DUMMYFUNCTION("""COMPUTED_VALUE"""),1559.0)</f>
        <v>1559</v>
      </c>
      <c r="B1561" s="8">
        <f>IFERROR(__xludf.DUMMYFUNCTION("""COMPUTED_VALUE"""),29.0)</f>
        <v>29</v>
      </c>
    </row>
    <row r="1562">
      <c r="A1562" s="8">
        <f>IFERROR(__xludf.DUMMYFUNCTION("""COMPUTED_VALUE"""),1560.0)</f>
        <v>1560</v>
      </c>
      <c r="B1562" s="8">
        <f>IFERROR(__xludf.DUMMYFUNCTION("""COMPUTED_VALUE"""),33.0)</f>
        <v>33</v>
      </c>
    </row>
    <row r="1563">
      <c r="A1563" s="8">
        <f>IFERROR(__xludf.DUMMYFUNCTION("""COMPUTED_VALUE"""),1561.0)</f>
        <v>1561</v>
      </c>
      <c r="B1563" s="8">
        <f>IFERROR(__xludf.DUMMYFUNCTION("""COMPUTED_VALUE"""),53.0)</f>
        <v>53</v>
      </c>
    </row>
    <row r="1564">
      <c r="A1564" s="8">
        <f>IFERROR(__xludf.DUMMYFUNCTION("""COMPUTED_VALUE"""),1562.0)</f>
        <v>1562</v>
      </c>
      <c r="B1564" s="8">
        <f>IFERROR(__xludf.DUMMYFUNCTION("""COMPUTED_VALUE"""),38.0)</f>
        <v>38</v>
      </c>
    </row>
    <row r="1565">
      <c r="A1565" s="8">
        <f>IFERROR(__xludf.DUMMYFUNCTION("""COMPUTED_VALUE"""),1563.0)</f>
        <v>1563</v>
      </c>
      <c r="B1565" s="8">
        <f>IFERROR(__xludf.DUMMYFUNCTION("""COMPUTED_VALUE"""),39.0)</f>
        <v>39</v>
      </c>
    </row>
    <row r="1566">
      <c r="A1566" s="8">
        <f>IFERROR(__xludf.DUMMYFUNCTION("""COMPUTED_VALUE"""),1564.0)</f>
        <v>1564</v>
      </c>
      <c r="B1566" s="8">
        <f>IFERROR(__xludf.DUMMYFUNCTION("""COMPUTED_VALUE"""),48.0)</f>
        <v>48</v>
      </c>
    </row>
    <row r="1567">
      <c r="A1567" s="8">
        <f>IFERROR(__xludf.DUMMYFUNCTION("""COMPUTED_VALUE"""),1565.0)</f>
        <v>1565</v>
      </c>
      <c r="B1567" s="8">
        <f>IFERROR(__xludf.DUMMYFUNCTION("""COMPUTED_VALUE"""),30.0)</f>
        <v>30</v>
      </c>
    </row>
    <row r="1568">
      <c r="A1568" s="8">
        <f>IFERROR(__xludf.DUMMYFUNCTION("""COMPUTED_VALUE"""),1566.0)</f>
        <v>1566</v>
      </c>
      <c r="B1568" s="8">
        <f>IFERROR(__xludf.DUMMYFUNCTION("""COMPUTED_VALUE"""),49.0)</f>
        <v>49</v>
      </c>
    </row>
    <row r="1569">
      <c r="A1569" s="8">
        <f>IFERROR(__xludf.DUMMYFUNCTION("""COMPUTED_VALUE"""),1567.0)</f>
        <v>1567</v>
      </c>
      <c r="B1569" s="8">
        <f>IFERROR(__xludf.DUMMYFUNCTION("""COMPUTED_VALUE"""),64.0)</f>
        <v>64</v>
      </c>
    </row>
    <row r="1570">
      <c r="A1570" s="8">
        <f>IFERROR(__xludf.DUMMYFUNCTION("""COMPUTED_VALUE"""),1568.0)</f>
        <v>1568</v>
      </c>
      <c r="B1570" s="8">
        <f>IFERROR(__xludf.DUMMYFUNCTION("""COMPUTED_VALUE"""),45.0)</f>
        <v>45</v>
      </c>
    </row>
    <row r="1571">
      <c r="A1571" s="8">
        <f>IFERROR(__xludf.DUMMYFUNCTION("""COMPUTED_VALUE"""),1569.0)</f>
        <v>1569</v>
      </c>
      <c r="B1571" s="8">
        <f>IFERROR(__xludf.DUMMYFUNCTION("""COMPUTED_VALUE"""),56.0)</f>
        <v>56</v>
      </c>
    </row>
    <row r="1572">
      <c r="A1572" s="8">
        <f>IFERROR(__xludf.DUMMYFUNCTION("""COMPUTED_VALUE"""),1570.0)</f>
        <v>1570</v>
      </c>
      <c r="B1572" s="8">
        <f>IFERROR(__xludf.DUMMYFUNCTION("""COMPUTED_VALUE"""),32.0)</f>
        <v>32</v>
      </c>
    </row>
    <row r="1573">
      <c r="A1573" s="8">
        <f>IFERROR(__xludf.DUMMYFUNCTION("""COMPUTED_VALUE"""),1571.0)</f>
        <v>1571</v>
      </c>
      <c r="B1573" s="8">
        <f>IFERROR(__xludf.DUMMYFUNCTION("""COMPUTED_VALUE"""),43.0)</f>
        <v>43</v>
      </c>
    </row>
    <row r="1574">
      <c r="A1574" s="8">
        <f>IFERROR(__xludf.DUMMYFUNCTION("""COMPUTED_VALUE"""),1572.0)</f>
        <v>1572</v>
      </c>
      <c r="B1574" s="8">
        <f>IFERROR(__xludf.DUMMYFUNCTION("""COMPUTED_VALUE"""),48.0)</f>
        <v>48</v>
      </c>
    </row>
    <row r="1575">
      <c r="A1575" s="8">
        <f>IFERROR(__xludf.DUMMYFUNCTION("""COMPUTED_VALUE"""),1573.0)</f>
        <v>1573</v>
      </c>
      <c r="B1575" s="8">
        <f>IFERROR(__xludf.DUMMYFUNCTION("""COMPUTED_VALUE"""),53.0)</f>
        <v>53</v>
      </c>
    </row>
    <row r="1576">
      <c r="A1576" s="8">
        <f>IFERROR(__xludf.DUMMYFUNCTION("""COMPUTED_VALUE"""),1574.0)</f>
        <v>1574</v>
      </c>
      <c r="B1576" s="8">
        <f>IFERROR(__xludf.DUMMYFUNCTION("""COMPUTED_VALUE"""),41.0)</f>
        <v>41</v>
      </c>
    </row>
    <row r="1577">
      <c r="A1577" s="8">
        <f>IFERROR(__xludf.DUMMYFUNCTION("""COMPUTED_VALUE"""),1575.0)</f>
        <v>1575</v>
      </c>
      <c r="B1577" s="8">
        <f>IFERROR(__xludf.DUMMYFUNCTION("""COMPUTED_VALUE"""),40.0)</f>
        <v>40</v>
      </c>
    </row>
    <row r="1578">
      <c r="A1578" s="8">
        <f>IFERROR(__xludf.DUMMYFUNCTION("""COMPUTED_VALUE"""),1576.0)</f>
        <v>1576</v>
      </c>
      <c r="B1578" s="8">
        <f>IFERROR(__xludf.DUMMYFUNCTION("""COMPUTED_VALUE"""),32.0)</f>
        <v>32</v>
      </c>
    </row>
    <row r="1579">
      <c r="A1579" s="8">
        <f>IFERROR(__xludf.DUMMYFUNCTION("""COMPUTED_VALUE"""),1577.0)</f>
        <v>1577</v>
      </c>
      <c r="B1579" s="8">
        <f>IFERROR(__xludf.DUMMYFUNCTION("""COMPUTED_VALUE"""),68.0)</f>
        <v>68</v>
      </c>
    </row>
    <row r="1580">
      <c r="A1580" s="8">
        <f>IFERROR(__xludf.DUMMYFUNCTION("""COMPUTED_VALUE"""),1578.0)</f>
        <v>1578</v>
      </c>
      <c r="B1580" s="8">
        <f>IFERROR(__xludf.DUMMYFUNCTION("""COMPUTED_VALUE"""),65.0)</f>
        <v>65</v>
      </c>
    </row>
    <row r="1581">
      <c r="A1581" s="8">
        <f>IFERROR(__xludf.DUMMYFUNCTION("""COMPUTED_VALUE"""),1579.0)</f>
        <v>1579</v>
      </c>
      <c r="B1581" s="8">
        <f>IFERROR(__xludf.DUMMYFUNCTION("""COMPUTED_VALUE"""),39.0)</f>
        <v>39</v>
      </c>
    </row>
    <row r="1582">
      <c r="A1582" s="8">
        <f>IFERROR(__xludf.DUMMYFUNCTION("""COMPUTED_VALUE"""),1580.0)</f>
        <v>1580</v>
      </c>
      <c r="B1582" s="8">
        <f>IFERROR(__xludf.DUMMYFUNCTION("""COMPUTED_VALUE"""),43.0)</f>
        <v>43</v>
      </c>
    </row>
    <row r="1583">
      <c r="A1583" s="8">
        <f>IFERROR(__xludf.DUMMYFUNCTION("""COMPUTED_VALUE"""),1581.0)</f>
        <v>1581</v>
      </c>
      <c r="B1583" s="8">
        <f>IFERROR(__xludf.DUMMYFUNCTION("""COMPUTED_VALUE"""),26.0)</f>
        <v>26</v>
      </c>
    </row>
    <row r="1584">
      <c r="A1584" s="8">
        <f>IFERROR(__xludf.DUMMYFUNCTION("""COMPUTED_VALUE"""),1582.0)</f>
        <v>1582</v>
      </c>
      <c r="B1584" s="8">
        <f>IFERROR(__xludf.DUMMYFUNCTION("""COMPUTED_VALUE"""),35.0)</f>
        <v>35</v>
      </c>
    </row>
    <row r="1585">
      <c r="A1585" s="8">
        <f>IFERROR(__xludf.DUMMYFUNCTION("""COMPUTED_VALUE"""),1583.0)</f>
        <v>1583</v>
      </c>
      <c r="B1585" s="8">
        <f>IFERROR(__xludf.DUMMYFUNCTION("""COMPUTED_VALUE"""),53.0)</f>
        <v>53</v>
      </c>
    </row>
    <row r="1586">
      <c r="A1586" s="8">
        <f>IFERROR(__xludf.DUMMYFUNCTION("""COMPUTED_VALUE"""),1584.0)</f>
        <v>1584</v>
      </c>
      <c r="B1586" s="8">
        <f>IFERROR(__xludf.DUMMYFUNCTION("""COMPUTED_VALUE"""),22.0)</f>
        <v>22</v>
      </c>
    </row>
    <row r="1587">
      <c r="A1587" s="8">
        <f>IFERROR(__xludf.DUMMYFUNCTION("""COMPUTED_VALUE"""),1585.0)</f>
        <v>1585</v>
      </c>
      <c r="B1587" s="8">
        <f>IFERROR(__xludf.DUMMYFUNCTION("""COMPUTED_VALUE"""),45.0)</f>
        <v>45</v>
      </c>
    </row>
    <row r="1588">
      <c r="A1588" s="8">
        <f>IFERROR(__xludf.DUMMYFUNCTION("""COMPUTED_VALUE"""),1586.0)</f>
        <v>1586</v>
      </c>
      <c r="B1588" s="8">
        <f>IFERROR(__xludf.DUMMYFUNCTION("""COMPUTED_VALUE"""),72.0)</f>
        <v>72</v>
      </c>
    </row>
    <row r="1589">
      <c r="A1589" s="8">
        <f>IFERROR(__xludf.DUMMYFUNCTION("""COMPUTED_VALUE"""),1587.0)</f>
        <v>1587</v>
      </c>
      <c r="B1589" s="8">
        <f>IFERROR(__xludf.DUMMYFUNCTION("""COMPUTED_VALUE"""),56.0)</f>
        <v>56</v>
      </c>
    </row>
    <row r="1590">
      <c r="A1590" s="8">
        <f>IFERROR(__xludf.DUMMYFUNCTION("""COMPUTED_VALUE"""),1588.0)</f>
        <v>1588</v>
      </c>
      <c r="B1590" s="8">
        <f>IFERROR(__xludf.DUMMYFUNCTION("""COMPUTED_VALUE"""),71.0)</f>
        <v>71</v>
      </c>
    </row>
    <row r="1591">
      <c r="A1591" s="8">
        <f>IFERROR(__xludf.DUMMYFUNCTION("""COMPUTED_VALUE"""),1589.0)</f>
        <v>1589</v>
      </c>
      <c r="B1591" s="8">
        <f>IFERROR(__xludf.DUMMYFUNCTION("""COMPUTED_VALUE"""),29.0)</f>
        <v>29</v>
      </c>
    </row>
    <row r="1592">
      <c r="A1592" s="8">
        <f>IFERROR(__xludf.DUMMYFUNCTION("""COMPUTED_VALUE"""),1590.0)</f>
        <v>1590</v>
      </c>
      <c r="B1592" s="8">
        <f>IFERROR(__xludf.DUMMYFUNCTION("""COMPUTED_VALUE"""),48.0)</f>
        <v>48</v>
      </c>
    </row>
    <row r="1593">
      <c r="A1593" s="8">
        <f>IFERROR(__xludf.DUMMYFUNCTION("""COMPUTED_VALUE"""),1591.0)</f>
        <v>1591</v>
      </c>
      <c r="B1593" s="8">
        <f>IFERROR(__xludf.DUMMYFUNCTION("""COMPUTED_VALUE"""),39.0)</f>
        <v>39</v>
      </c>
    </row>
    <row r="1594">
      <c r="A1594" s="8">
        <f>IFERROR(__xludf.DUMMYFUNCTION("""COMPUTED_VALUE"""),1592.0)</f>
        <v>1592</v>
      </c>
      <c r="B1594" s="8">
        <f>IFERROR(__xludf.DUMMYFUNCTION("""COMPUTED_VALUE"""),51.0)</f>
        <v>51</v>
      </c>
    </row>
    <row r="1595">
      <c r="A1595" s="8">
        <f>IFERROR(__xludf.DUMMYFUNCTION("""COMPUTED_VALUE"""),1593.0)</f>
        <v>1593</v>
      </c>
      <c r="B1595" s="8">
        <f>IFERROR(__xludf.DUMMYFUNCTION("""COMPUTED_VALUE"""),59.0)</f>
        <v>59</v>
      </c>
    </row>
    <row r="1596">
      <c r="A1596" s="8">
        <f>IFERROR(__xludf.DUMMYFUNCTION("""COMPUTED_VALUE"""),1594.0)</f>
        <v>1594</v>
      </c>
      <c r="B1596" s="8">
        <f>IFERROR(__xludf.DUMMYFUNCTION("""COMPUTED_VALUE"""),52.0)</f>
        <v>52</v>
      </c>
    </row>
    <row r="1597">
      <c r="A1597" s="8">
        <f>IFERROR(__xludf.DUMMYFUNCTION("""COMPUTED_VALUE"""),1595.0)</f>
        <v>1595</v>
      </c>
      <c r="B1597" s="8">
        <f>IFERROR(__xludf.DUMMYFUNCTION("""COMPUTED_VALUE"""),41.0)</f>
        <v>41</v>
      </c>
    </row>
    <row r="1598">
      <c r="A1598" s="8">
        <f>IFERROR(__xludf.DUMMYFUNCTION("""COMPUTED_VALUE"""),1596.0)</f>
        <v>1596</v>
      </c>
      <c r="B1598" s="8">
        <f>IFERROR(__xludf.DUMMYFUNCTION("""COMPUTED_VALUE"""),50.0)</f>
        <v>50</v>
      </c>
    </row>
    <row r="1599">
      <c r="A1599" s="8">
        <f>IFERROR(__xludf.DUMMYFUNCTION("""COMPUTED_VALUE"""),1597.0)</f>
        <v>1597</v>
      </c>
      <c r="B1599" s="8">
        <f>IFERROR(__xludf.DUMMYFUNCTION("""COMPUTED_VALUE"""),39.0)</f>
        <v>39</v>
      </c>
    </row>
    <row r="1600">
      <c r="A1600" s="8">
        <f>IFERROR(__xludf.DUMMYFUNCTION("""COMPUTED_VALUE"""),1598.0)</f>
        <v>1598</v>
      </c>
      <c r="B1600" s="8">
        <f>IFERROR(__xludf.DUMMYFUNCTION("""COMPUTED_VALUE"""),46.0)</f>
        <v>46</v>
      </c>
    </row>
    <row r="1601">
      <c r="A1601" s="8">
        <f>IFERROR(__xludf.DUMMYFUNCTION("""COMPUTED_VALUE"""),1599.0)</f>
        <v>1599</v>
      </c>
      <c r="B1601" s="8">
        <f>IFERROR(__xludf.DUMMYFUNCTION("""COMPUTED_VALUE"""),25.0)</f>
        <v>25</v>
      </c>
    </row>
    <row r="1602">
      <c r="A1602" s="8">
        <f>IFERROR(__xludf.DUMMYFUNCTION("""COMPUTED_VALUE"""),1600.0)</f>
        <v>1600</v>
      </c>
      <c r="B1602" s="8">
        <f>IFERROR(__xludf.DUMMYFUNCTION("""COMPUTED_VALUE"""),54.0)</f>
        <v>54</v>
      </c>
    </row>
    <row r="1603">
      <c r="A1603" s="8">
        <f>IFERROR(__xludf.DUMMYFUNCTION("""COMPUTED_VALUE"""),1601.0)</f>
        <v>1601</v>
      </c>
      <c r="B1603" s="8">
        <f>IFERROR(__xludf.DUMMYFUNCTION("""COMPUTED_VALUE"""),54.0)</f>
        <v>54</v>
      </c>
    </row>
    <row r="1604">
      <c r="A1604" s="8">
        <f>IFERROR(__xludf.DUMMYFUNCTION("""COMPUTED_VALUE"""),1602.0)</f>
        <v>1602</v>
      </c>
      <c r="B1604" s="8">
        <f>IFERROR(__xludf.DUMMYFUNCTION("""COMPUTED_VALUE"""),51.0)</f>
        <v>51</v>
      </c>
    </row>
    <row r="1605">
      <c r="A1605" s="8">
        <f>IFERROR(__xludf.DUMMYFUNCTION("""COMPUTED_VALUE"""),1603.0)</f>
        <v>1603</v>
      </c>
      <c r="B1605" s="8">
        <f>IFERROR(__xludf.DUMMYFUNCTION("""COMPUTED_VALUE"""),47.0)</f>
        <v>47</v>
      </c>
    </row>
    <row r="1606">
      <c r="A1606" s="8">
        <f>IFERROR(__xludf.DUMMYFUNCTION("""COMPUTED_VALUE"""),1604.0)</f>
        <v>1604</v>
      </c>
      <c r="B1606" s="8">
        <f>IFERROR(__xludf.DUMMYFUNCTION("""COMPUTED_VALUE"""),79.0)</f>
        <v>79</v>
      </c>
    </row>
    <row r="1607">
      <c r="A1607" s="8">
        <f>IFERROR(__xludf.DUMMYFUNCTION("""COMPUTED_VALUE"""),1605.0)</f>
        <v>1605</v>
      </c>
      <c r="B1607" s="8">
        <f>IFERROR(__xludf.DUMMYFUNCTION("""COMPUTED_VALUE"""),55.0)</f>
        <v>55</v>
      </c>
    </row>
    <row r="1608">
      <c r="A1608" s="8">
        <f>IFERROR(__xludf.DUMMYFUNCTION("""COMPUTED_VALUE"""),1606.0)</f>
        <v>1606</v>
      </c>
      <c r="B1608" s="8">
        <f>IFERROR(__xludf.DUMMYFUNCTION("""COMPUTED_VALUE"""),58.0)</f>
        <v>58</v>
      </c>
    </row>
    <row r="1609">
      <c r="A1609" s="8">
        <f>IFERROR(__xludf.DUMMYFUNCTION("""COMPUTED_VALUE"""),1607.0)</f>
        <v>1607</v>
      </c>
      <c r="B1609" s="8">
        <f>IFERROR(__xludf.DUMMYFUNCTION("""COMPUTED_VALUE"""),66.0)</f>
        <v>66</v>
      </c>
    </row>
    <row r="1610">
      <c r="A1610" s="8">
        <f>IFERROR(__xludf.DUMMYFUNCTION("""COMPUTED_VALUE"""),1608.0)</f>
        <v>1608</v>
      </c>
      <c r="B1610" s="8">
        <f>IFERROR(__xludf.DUMMYFUNCTION("""COMPUTED_VALUE"""),53.0)</f>
        <v>53</v>
      </c>
    </row>
    <row r="1611">
      <c r="A1611" s="8">
        <f>IFERROR(__xludf.DUMMYFUNCTION("""COMPUTED_VALUE"""),1609.0)</f>
        <v>1609</v>
      </c>
      <c r="B1611" s="8">
        <f>IFERROR(__xludf.DUMMYFUNCTION("""COMPUTED_VALUE"""),40.0)</f>
        <v>40</v>
      </c>
    </row>
    <row r="1612">
      <c r="A1612" s="8">
        <f>IFERROR(__xludf.DUMMYFUNCTION("""COMPUTED_VALUE"""),1610.0)</f>
        <v>1610</v>
      </c>
      <c r="B1612" s="8">
        <f>IFERROR(__xludf.DUMMYFUNCTION("""COMPUTED_VALUE"""),30.0)</f>
        <v>30</v>
      </c>
    </row>
    <row r="1613">
      <c r="A1613" s="8">
        <f>IFERROR(__xludf.DUMMYFUNCTION("""COMPUTED_VALUE"""),1611.0)</f>
        <v>1611</v>
      </c>
      <c r="B1613" s="8">
        <f>IFERROR(__xludf.DUMMYFUNCTION("""COMPUTED_VALUE"""),50.0)</f>
        <v>50</v>
      </c>
    </row>
    <row r="1614">
      <c r="A1614" s="8">
        <f>IFERROR(__xludf.DUMMYFUNCTION("""COMPUTED_VALUE"""),1612.0)</f>
        <v>1612</v>
      </c>
      <c r="B1614" s="8">
        <f>IFERROR(__xludf.DUMMYFUNCTION("""COMPUTED_VALUE"""),33.0)</f>
        <v>33</v>
      </c>
    </row>
    <row r="1615">
      <c r="A1615" s="8">
        <f>IFERROR(__xludf.DUMMYFUNCTION("""COMPUTED_VALUE"""),1613.0)</f>
        <v>1613</v>
      </c>
      <c r="B1615" s="8">
        <f>IFERROR(__xludf.DUMMYFUNCTION("""COMPUTED_VALUE"""),33.0)</f>
        <v>33</v>
      </c>
    </row>
    <row r="1616">
      <c r="A1616" s="8">
        <f>IFERROR(__xludf.DUMMYFUNCTION("""COMPUTED_VALUE"""),1614.0)</f>
        <v>1614</v>
      </c>
      <c r="B1616" s="8">
        <f>IFERROR(__xludf.DUMMYFUNCTION("""COMPUTED_VALUE"""),43.0)</f>
        <v>43</v>
      </c>
    </row>
    <row r="1617">
      <c r="A1617" s="8">
        <f>IFERROR(__xludf.DUMMYFUNCTION("""COMPUTED_VALUE"""),1615.0)</f>
        <v>1615</v>
      </c>
      <c r="B1617" s="8">
        <f>IFERROR(__xludf.DUMMYFUNCTION("""COMPUTED_VALUE"""),45.0)</f>
        <v>45</v>
      </c>
    </row>
    <row r="1618">
      <c r="A1618" s="8">
        <f>IFERROR(__xludf.DUMMYFUNCTION("""COMPUTED_VALUE"""),1616.0)</f>
        <v>1616</v>
      </c>
      <c r="B1618" s="8">
        <f>IFERROR(__xludf.DUMMYFUNCTION("""COMPUTED_VALUE"""),85.0)</f>
        <v>85</v>
      </c>
    </row>
    <row r="1619">
      <c r="A1619" s="8">
        <f>IFERROR(__xludf.DUMMYFUNCTION("""COMPUTED_VALUE"""),1617.0)</f>
        <v>1617</v>
      </c>
      <c r="B1619" s="8">
        <f>IFERROR(__xludf.DUMMYFUNCTION("""COMPUTED_VALUE"""),27.0)</f>
        <v>27</v>
      </c>
    </row>
    <row r="1620">
      <c r="A1620" s="8">
        <f>IFERROR(__xludf.DUMMYFUNCTION("""COMPUTED_VALUE"""),1618.0)</f>
        <v>1618</v>
      </c>
      <c r="B1620" s="8">
        <f>IFERROR(__xludf.DUMMYFUNCTION("""COMPUTED_VALUE"""),34.0)</f>
        <v>34</v>
      </c>
    </row>
    <row r="1621">
      <c r="A1621" s="8">
        <f>IFERROR(__xludf.DUMMYFUNCTION("""COMPUTED_VALUE"""),1619.0)</f>
        <v>1619</v>
      </c>
      <c r="B1621" s="8">
        <f>IFERROR(__xludf.DUMMYFUNCTION("""COMPUTED_VALUE"""),49.0)</f>
        <v>49</v>
      </c>
    </row>
    <row r="1622">
      <c r="A1622" s="8">
        <f>IFERROR(__xludf.DUMMYFUNCTION("""COMPUTED_VALUE"""),1620.0)</f>
        <v>1620</v>
      </c>
      <c r="B1622" s="8">
        <f>IFERROR(__xludf.DUMMYFUNCTION("""COMPUTED_VALUE"""),66.0)</f>
        <v>66</v>
      </c>
    </row>
    <row r="1623">
      <c r="A1623" s="8">
        <f>IFERROR(__xludf.DUMMYFUNCTION("""COMPUTED_VALUE"""),1621.0)</f>
        <v>1621</v>
      </c>
      <c r="B1623" s="8">
        <f>IFERROR(__xludf.DUMMYFUNCTION("""COMPUTED_VALUE"""),24.0)</f>
        <v>24</v>
      </c>
    </row>
    <row r="1624">
      <c r="A1624" s="8">
        <f>IFERROR(__xludf.DUMMYFUNCTION("""COMPUTED_VALUE"""),1622.0)</f>
        <v>1622</v>
      </c>
      <c r="B1624" s="8">
        <f>IFERROR(__xludf.DUMMYFUNCTION("""COMPUTED_VALUE"""),44.0)</f>
        <v>44</v>
      </c>
    </row>
    <row r="1625">
      <c r="A1625" s="8">
        <f>IFERROR(__xludf.DUMMYFUNCTION("""COMPUTED_VALUE"""),1623.0)</f>
        <v>1623</v>
      </c>
      <c r="B1625" s="8">
        <f>IFERROR(__xludf.DUMMYFUNCTION("""COMPUTED_VALUE"""),26.0)</f>
        <v>26</v>
      </c>
    </row>
    <row r="1626">
      <c r="A1626" s="8">
        <f>IFERROR(__xludf.DUMMYFUNCTION("""COMPUTED_VALUE"""),1624.0)</f>
        <v>1624</v>
      </c>
      <c r="B1626" s="8">
        <f>IFERROR(__xludf.DUMMYFUNCTION("""COMPUTED_VALUE"""),58.0)</f>
        <v>58</v>
      </c>
    </row>
    <row r="1627">
      <c r="A1627" s="8">
        <f>IFERROR(__xludf.DUMMYFUNCTION("""COMPUTED_VALUE"""),1625.0)</f>
        <v>1625</v>
      </c>
      <c r="B1627" s="8">
        <f>IFERROR(__xludf.DUMMYFUNCTION("""COMPUTED_VALUE"""),44.0)</f>
        <v>44</v>
      </c>
    </row>
    <row r="1628">
      <c r="A1628" s="8">
        <f>IFERROR(__xludf.DUMMYFUNCTION("""COMPUTED_VALUE"""),1626.0)</f>
        <v>1626</v>
      </c>
      <c r="B1628" s="8">
        <f>IFERROR(__xludf.DUMMYFUNCTION("""COMPUTED_VALUE"""),37.0)</f>
        <v>37</v>
      </c>
    </row>
    <row r="1629">
      <c r="A1629" s="8">
        <f>IFERROR(__xludf.DUMMYFUNCTION("""COMPUTED_VALUE"""),1627.0)</f>
        <v>1627</v>
      </c>
      <c r="B1629" s="8">
        <f>IFERROR(__xludf.DUMMYFUNCTION("""COMPUTED_VALUE"""),47.0)</f>
        <v>47</v>
      </c>
    </row>
    <row r="1630">
      <c r="A1630" s="8">
        <f>IFERROR(__xludf.DUMMYFUNCTION("""COMPUTED_VALUE"""),1628.0)</f>
        <v>1628</v>
      </c>
      <c r="B1630" s="8">
        <f>IFERROR(__xludf.DUMMYFUNCTION("""COMPUTED_VALUE"""),32.0)</f>
        <v>32</v>
      </c>
    </row>
    <row r="1631">
      <c r="A1631" s="8">
        <f>IFERROR(__xludf.DUMMYFUNCTION("""COMPUTED_VALUE"""),1629.0)</f>
        <v>1629</v>
      </c>
      <c r="B1631" s="8">
        <f>IFERROR(__xludf.DUMMYFUNCTION("""COMPUTED_VALUE"""),35.0)</f>
        <v>35</v>
      </c>
    </row>
    <row r="1632">
      <c r="A1632" s="8">
        <f>IFERROR(__xludf.DUMMYFUNCTION("""COMPUTED_VALUE"""),1630.0)</f>
        <v>1630</v>
      </c>
      <c r="B1632" s="8">
        <f>IFERROR(__xludf.DUMMYFUNCTION("""COMPUTED_VALUE"""),56.0)</f>
        <v>56</v>
      </c>
    </row>
    <row r="1633">
      <c r="A1633" s="8">
        <f>IFERROR(__xludf.DUMMYFUNCTION("""COMPUTED_VALUE"""),1631.0)</f>
        <v>1631</v>
      </c>
      <c r="B1633" s="8">
        <f>IFERROR(__xludf.DUMMYFUNCTION("""COMPUTED_VALUE"""),34.0)</f>
        <v>34</v>
      </c>
    </row>
    <row r="1634">
      <c r="A1634" s="8">
        <f>IFERROR(__xludf.DUMMYFUNCTION("""COMPUTED_VALUE"""),1632.0)</f>
        <v>1632</v>
      </c>
      <c r="B1634" s="8">
        <f>IFERROR(__xludf.DUMMYFUNCTION("""COMPUTED_VALUE"""),34.0)</f>
        <v>34</v>
      </c>
    </row>
    <row r="1635">
      <c r="A1635" s="8">
        <f>IFERROR(__xludf.DUMMYFUNCTION("""COMPUTED_VALUE"""),1633.0)</f>
        <v>1633</v>
      </c>
      <c r="B1635" s="8">
        <f>IFERROR(__xludf.DUMMYFUNCTION("""COMPUTED_VALUE"""),37.0)</f>
        <v>37</v>
      </c>
    </row>
    <row r="1636">
      <c r="A1636" s="8">
        <f>IFERROR(__xludf.DUMMYFUNCTION("""COMPUTED_VALUE"""),1634.0)</f>
        <v>1634</v>
      </c>
      <c r="B1636" s="8">
        <f>IFERROR(__xludf.DUMMYFUNCTION("""COMPUTED_VALUE"""),34.0)</f>
        <v>34</v>
      </c>
    </row>
    <row r="1637">
      <c r="A1637" s="8">
        <f>IFERROR(__xludf.DUMMYFUNCTION("""COMPUTED_VALUE"""),1635.0)</f>
        <v>1635</v>
      </c>
      <c r="B1637" s="8">
        <f>IFERROR(__xludf.DUMMYFUNCTION("""COMPUTED_VALUE"""),38.0)</f>
        <v>38</v>
      </c>
    </row>
    <row r="1638">
      <c r="A1638" s="8">
        <f>IFERROR(__xludf.DUMMYFUNCTION("""COMPUTED_VALUE"""),1636.0)</f>
        <v>1636</v>
      </c>
      <c r="B1638" s="8">
        <f>IFERROR(__xludf.DUMMYFUNCTION("""COMPUTED_VALUE"""),35.0)</f>
        <v>35</v>
      </c>
    </row>
    <row r="1639">
      <c r="A1639" s="8">
        <f>IFERROR(__xludf.DUMMYFUNCTION("""COMPUTED_VALUE"""),1637.0)</f>
        <v>1637</v>
      </c>
      <c r="B1639" s="8">
        <f>IFERROR(__xludf.DUMMYFUNCTION("""COMPUTED_VALUE"""),53.0)</f>
        <v>53</v>
      </c>
    </row>
    <row r="1640">
      <c r="A1640" s="8">
        <f>IFERROR(__xludf.DUMMYFUNCTION("""COMPUTED_VALUE"""),1638.0)</f>
        <v>1638</v>
      </c>
      <c r="B1640" s="8">
        <f>IFERROR(__xludf.DUMMYFUNCTION("""COMPUTED_VALUE"""),34.0)</f>
        <v>34</v>
      </c>
    </row>
    <row r="1641">
      <c r="A1641" s="8">
        <f>IFERROR(__xludf.DUMMYFUNCTION("""COMPUTED_VALUE"""),1639.0)</f>
        <v>1639</v>
      </c>
      <c r="B1641" s="8">
        <f>IFERROR(__xludf.DUMMYFUNCTION("""COMPUTED_VALUE"""),38.0)</f>
        <v>38</v>
      </c>
    </row>
    <row r="1642">
      <c r="A1642" s="8">
        <f>IFERROR(__xludf.DUMMYFUNCTION("""COMPUTED_VALUE"""),1640.0)</f>
        <v>1640</v>
      </c>
      <c r="B1642" s="8">
        <f>IFERROR(__xludf.DUMMYFUNCTION("""COMPUTED_VALUE"""),38.0)</f>
        <v>38</v>
      </c>
    </row>
    <row r="1643">
      <c r="A1643" s="8">
        <f>IFERROR(__xludf.DUMMYFUNCTION("""COMPUTED_VALUE"""),1641.0)</f>
        <v>1641</v>
      </c>
      <c r="B1643" s="8">
        <f>IFERROR(__xludf.DUMMYFUNCTION("""COMPUTED_VALUE"""),35.0)</f>
        <v>35</v>
      </c>
    </row>
    <row r="1644">
      <c r="A1644" s="8">
        <f>IFERROR(__xludf.DUMMYFUNCTION("""COMPUTED_VALUE"""),1642.0)</f>
        <v>1642</v>
      </c>
      <c r="B1644" s="8">
        <f>IFERROR(__xludf.DUMMYFUNCTION("""COMPUTED_VALUE"""),52.0)</f>
        <v>52</v>
      </c>
    </row>
    <row r="1645">
      <c r="A1645" s="8">
        <f>IFERROR(__xludf.DUMMYFUNCTION("""COMPUTED_VALUE"""),1643.0)</f>
        <v>1643</v>
      </c>
      <c r="B1645" s="8">
        <f>IFERROR(__xludf.DUMMYFUNCTION("""COMPUTED_VALUE"""),37.0)</f>
        <v>37</v>
      </c>
    </row>
    <row r="1646">
      <c r="A1646" s="8">
        <f>IFERROR(__xludf.DUMMYFUNCTION("""COMPUTED_VALUE"""),1644.0)</f>
        <v>1644</v>
      </c>
      <c r="B1646" s="8">
        <f>IFERROR(__xludf.DUMMYFUNCTION("""COMPUTED_VALUE"""),45.0)</f>
        <v>45</v>
      </c>
    </row>
    <row r="1647">
      <c r="A1647" s="8">
        <f>IFERROR(__xludf.DUMMYFUNCTION("""COMPUTED_VALUE"""),1645.0)</f>
        <v>1645</v>
      </c>
      <c r="B1647" s="8">
        <f>IFERROR(__xludf.DUMMYFUNCTION("""COMPUTED_VALUE"""),39.0)</f>
        <v>39</v>
      </c>
    </row>
    <row r="1648">
      <c r="A1648" s="8">
        <f>IFERROR(__xludf.DUMMYFUNCTION("""COMPUTED_VALUE"""),1646.0)</f>
        <v>1646</v>
      </c>
      <c r="B1648" s="8">
        <f>IFERROR(__xludf.DUMMYFUNCTION("""COMPUTED_VALUE"""),32.0)</f>
        <v>32</v>
      </c>
    </row>
    <row r="1649">
      <c r="A1649" s="8">
        <f>IFERROR(__xludf.DUMMYFUNCTION("""COMPUTED_VALUE"""),1647.0)</f>
        <v>1647</v>
      </c>
      <c r="B1649" s="8">
        <f>IFERROR(__xludf.DUMMYFUNCTION("""COMPUTED_VALUE"""),36.0)</f>
        <v>36</v>
      </c>
    </row>
    <row r="1650">
      <c r="A1650" s="8">
        <f>IFERROR(__xludf.DUMMYFUNCTION("""COMPUTED_VALUE"""),1648.0)</f>
        <v>1648</v>
      </c>
      <c r="B1650" s="8">
        <f>IFERROR(__xludf.DUMMYFUNCTION("""COMPUTED_VALUE"""),39.0)</f>
        <v>39</v>
      </c>
    </row>
    <row r="1651">
      <c r="A1651" s="8">
        <f>IFERROR(__xludf.DUMMYFUNCTION("""COMPUTED_VALUE"""),1649.0)</f>
        <v>1649</v>
      </c>
      <c r="B1651" s="8">
        <f>IFERROR(__xludf.DUMMYFUNCTION("""COMPUTED_VALUE"""),29.0)</f>
        <v>29</v>
      </c>
    </row>
    <row r="1652">
      <c r="A1652" s="8">
        <f>IFERROR(__xludf.DUMMYFUNCTION("""COMPUTED_VALUE"""),1650.0)</f>
        <v>1650</v>
      </c>
      <c r="B1652" s="8">
        <f>IFERROR(__xludf.DUMMYFUNCTION("""COMPUTED_VALUE"""),35.0)</f>
        <v>35</v>
      </c>
    </row>
    <row r="1653">
      <c r="A1653" s="8">
        <f>IFERROR(__xludf.DUMMYFUNCTION("""COMPUTED_VALUE"""),1651.0)</f>
        <v>1651</v>
      </c>
      <c r="B1653" s="8">
        <f>IFERROR(__xludf.DUMMYFUNCTION("""COMPUTED_VALUE"""),41.0)</f>
        <v>41</v>
      </c>
    </row>
    <row r="1654">
      <c r="A1654" s="8">
        <f>IFERROR(__xludf.DUMMYFUNCTION("""COMPUTED_VALUE"""),1652.0)</f>
        <v>1652</v>
      </c>
      <c r="B1654" s="8">
        <f>IFERROR(__xludf.DUMMYFUNCTION("""COMPUTED_VALUE"""),31.0)</f>
        <v>31</v>
      </c>
    </row>
    <row r="1655">
      <c r="A1655" s="8">
        <f>IFERROR(__xludf.DUMMYFUNCTION("""COMPUTED_VALUE"""),1653.0)</f>
        <v>1653</v>
      </c>
      <c r="B1655" s="8">
        <f>IFERROR(__xludf.DUMMYFUNCTION("""COMPUTED_VALUE"""),46.0)</f>
        <v>46</v>
      </c>
    </row>
    <row r="1656">
      <c r="A1656" s="8">
        <f>IFERROR(__xludf.DUMMYFUNCTION("""COMPUTED_VALUE"""),1654.0)</f>
        <v>1654</v>
      </c>
      <c r="B1656" s="8">
        <f>IFERROR(__xludf.DUMMYFUNCTION("""COMPUTED_VALUE"""),37.0)</f>
        <v>37</v>
      </c>
    </row>
    <row r="1657">
      <c r="A1657" s="8">
        <f>IFERROR(__xludf.DUMMYFUNCTION("""COMPUTED_VALUE"""),1655.0)</f>
        <v>1655</v>
      </c>
      <c r="B1657" s="8">
        <f>IFERROR(__xludf.DUMMYFUNCTION("""COMPUTED_VALUE"""),41.0)</f>
        <v>41</v>
      </c>
    </row>
    <row r="1658">
      <c r="A1658" s="8">
        <f>IFERROR(__xludf.DUMMYFUNCTION("""COMPUTED_VALUE"""),1656.0)</f>
        <v>1656</v>
      </c>
      <c r="B1658" s="8">
        <f>IFERROR(__xludf.DUMMYFUNCTION("""COMPUTED_VALUE"""),55.0)</f>
        <v>55</v>
      </c>
    </row>
    <row r="1659">
      <c r="A1659" s="8">
        <f>IFERROR(__xludf.DUMMYFUNCTION("""COMPUTED_VALUE"""),1657.0)</f>
        <v>1657</v>
      </c>
      <c r="B1659" s="8">
        <f>IFERROR(__xludf.DUMMYFUNCTION("""COMPUTED_VALUE"""),26.0)</f>
        <v>26</v>
      </c>
    </row>
    <row r="1660">
      <c r="A1660" s="8">
        <f>IFERROR(__xludf.DUMMYFUNCTION("""COMPUTED_VALUE"""),1658.0)</f>
        <v>1658</v>
      </c>
      <c r="B1660" s="8">
        <f>IFERROR(__xludf.DUMMYFUNCTION("""COMPUTED_VALUE"""),51.0)</f>
        <v>51</v>
      </c>
    </row>
    <row r="1661">
      <c r="A1661" s="8">
        <f>IFERROR(__xludf.DUMMYFUNCTION("""COMPUTED_VALUE"""),1659.0)</f>
        <v>1659</v>
      </c>
      <c r="B1661" s="8">
        <f>IFERROR(__xludf.DUMMYFUNCTION("""COMPUTED_VALUE"""),47.0)</f>
        <v>47</v>
      </c>
    </row>
    <row r="1662">
      <c r="A1662" s="8">
        <f>IFERROR(__xludf.DUMMYFUNCTION("""COMPUTED_VALUE"""),1660.0)</f>
        <v>1660</v>
      </c>
      <c r="B1662" s="8">
        <f>IFERROR(__xludf.DUMMYFUNCTION("""COMPUTED_VALUE"""),32.0)</f>
        <v>32</v>
      </c>
    </row>
    <row r="1663">
      <c r="A1663" s="8">
        <f>IFERROR(__xludf.DUMMYFUNCTION("""COMPUTED_VALUE"""),1661.0)</f>
        <v>1661</v>
      </c>
      <c r="B1663" s="8">
        <f>IFERROR(__xludf.DUMMYFUNCTION("""COMPUTED_VALUE"""),49.0)</f>
        <v>49</v>
      </c>
    </row>
    <row r="1664">
      <c r="A1664" s="8">
        <f>IFERROR(__xludf.DUMMYFUNCTION("""COMPUTED_VALUE"""),1662.0)</f>
        <v>1662</v>
      </c>
      <c r="B1664" s="8">
        <f>IFERROR(__xludf.DUMMYFUNCTION("""COMPUTED_VALUE"""),34.0)</f>
        <v>34</v>
      </c>
    </row>
    <row r="1665">
      <c r="A1665" s="8">
        <f>IFERROR(__xludf.DUMMYFUNCTION("""COMPUTED_VALUE"""),1663.0)</f>
        <v>1663</v>
      </c>
      <c r="B1665" s="8">
        <f>IFERROR(__xludf.DUMMYFUNCTION("""COMPUTED_VALUE"""),27.0)</f>
        <v>27</v>
      </c>
    </row>
    <row r="1666">
      <c r="A1666" s="8">
        <f>IFERROR(__xludf.DUMMYFUNCTION("""COMPUTED_VALUE"""),1664.0)</f>
        <v>1664</v>
      </c>
      <c r="B1666" s="8">
        <f>IFERROR(__xludf.DUMMYFUNCTION("""COMPUTED_VALUE"""),56.0)</f>
        <v>56</v>
      </c>
    </row>
    <row r="1667">
      <c r="A1667" s="8">
        <f>IFERROR(__xludf.DUMMYFUNCTION("""COMPUTED_VALUE"""),1665.0)</f>
        <v>1665</v>
      </c>
      <c r="B1667" s="8">
        <f>IFERROR(__xludf.DUMMYFUNCTION("""COMPUTED_VALUE"""),28.0)</f>
        <v>28</v>
      </c>
    </row>
    <row r="1668">
      <c r="A1668" s="8">
        <f>IFERROR(__xludf.DUMMYFUNCTION("""COMPUTED_VALUE"""),1666.0)</f>
        <v>1666</v>
      </c>
      <c r="B1668" s="8">
        <f>IFERROR(__xludf.DUMMYFUNCTION("""COMPUTED_VALUE"""),56.0)</f>
        <v>56</v>
      </c>
    </row>
    <row r="1669">
      <c r="A1669" s="8">
        <f>IFERROR(__xludf.DUMMYFUNCTION("""COMPUTED_VALUE"""),1667.0)</f>
        <v>1667</v>
      </c>
      <c r="B1669" s="8">
        <f>IFERROR(__xludf.DUMMYFUNCTION("""COMPUTED_VALUE"""),70.0)</f>
        <v>70</v>
      </c>
    </row>
    <row r="1670">
      <c r="A1670" s="8">
        <f>IFERROR(__xludf.DUMMYFUNCTION("""COMPUTED_VALUE"""),1668.0)</f>
        <v>1668</v>
      </c>
      <c r="B1670" s="8">
        <f>IFERROR(__xludf.DUMMYFUNCTION("""COMPUTED_VALUE"""),31.0)</f>
        <v>31</v>
      </c>
    </row>
    <row r="1671">
      <c r="A1671" s="8">
        <f>IFERROR(__xludf.DUMMYFUNCTION("""COMPUTED_VALUE"""),1669.0)</f>
        <v>1669</v>
      </c>
      <c r="B1671" s="8">
        <f>IFERROR(__xludf.DUMMYFUNCTION("""COMPUTED_VALUE"""),58.0)</f>
        <v>58</v>
      </c>
    </row>
    <row r="1672">
      <c r="A1672" s="8">
        <f>IFERROR(__xludf.DUMMYFUNCTION("""COMPUTED_VALUE"""),1670.0)</f>
        <v>1670</v>
      </c>
      <c r="B1672" s="8">
        <f>IFERROR(__xludf.DUMMYFUNCTION("""COMPUTED_VALUE"""),63.0)</f>
        <v>63</v>
      </c>
    </row>
    <row r="1673">
      <c r="A1673" s="8">
        <f>IFERROR(__xludf.DUMMYFUNCTION("""COMPUTED_VALUE"""),1671.0)</f>
        <v>1671</v>
      </c>
      <c r="B1673" s="8">
        <f>IFERROR(__xludf.DUMMYFUNCTION("""COMPUTED_VALUE"""),26.0)</f>
        <v>26</v>
      </c>
    </row>
    <row r="1674">
      <c r="A1674" s="8">
        <f>IFERROR(__xludf.DUMMYFUNCTION("""COMPUTED_VALUE"""),1672.0)</f>
        <v>1672</v>
      </c>
      <c r="B1674" s="8">
        <f>IFERROR(__xludf.DUMMYFUNCTION("""COMPUTED_VALUE"""),51.0)</f>
        <v>51</v>
      </c>
    </row>
    <row r="1675">
      <c r="A1675" s="8">
        <f>IFERROR(__xludf.DUMMYFUNCTION("""COMPUTED_VALUE"""),1673.0)</f>
        <v>1673</v>
      </c>
      <c r="B1675" s="8">
        <f>IFERROR(__xludf.DUMMYFUNCTION("""COMPUTED_VALUE"""),63.0)</f>
        <v>63</v>
      </c>
    </row>
    <row r="1676">
      <c r="A1676" s="8">
        <f>IFERROR(__xludf.DUMMYFUNCTION("""COMPUTED_VALUE"""),1674.0)</f>
        <v>1674</v>
      </c>
      <c r="B1676" s="8">
        <f>IFERROR(__xludf.DUMMYFUNCTION("""COMPUTED_VALUE"""),33.0)</f>
        <v>33</v>
      </c>
    </row>
    <row r="1677">
      <c r="A1677" s="8">
        <f>IFERROR(__xludf.DUMMYFUNCTION("""COMPUTED_VALUE"""),1675.0)</f>
        <v>1675</v>
      </c>
      <c r="B1677" s="8">
        <f>IFERROR(__xludf.DUMMYFUNCTION("""COMPUTED_VALUE"""),36.0)</f>
        <v>36</v>
      </c>
    </row>
    <row r="1678">
      <c r="A1678" s="8">
        <f>IFERROR(__xludf.DUMMYFUNCTION("""COMPUTED_VALUE"""),1676.0)</f>
        <v>1676</v>
      </c>
      <c r="B1678" s="8">
        <f>IFERROR(__xludf.DUMMYFUNCTION("""COMPUTED_VALUE"""),54.0)</f>
        <v>54</v>
      </c>
    </row>
    <row r="1679">
      <c r="A1679" s="8">
        <f>IFERROR(__xludf.DUMMYFUNCTION("""COMPUTED_VALUE"""),1677.0)</f>
        <v>1677</v>
      </c>
      <c r="B1679" s="8">
        <f>IFERROR(__xludf.DUMMYFUNCTION("""COMPUTED_VALUE"""),26.0)</f>
        <v>26</v>
      </c>
    </row>
    <row r="1680">
      <c r="A1680" s="8">
        <f>IFERROR(__xludf.DUMMYFUNCTION("""COMPUTED_VALUE"""),1678.0)</f>
        <v>1678</v>
      </c>
      <c r="B1680" s="8">
        <f>IFERROR(__xludf.DUMMYFUNCTION("""COMPUTED_VALUE"""),48.0)</f>
        <v>48</v>
      </c>
    </row>
    <row r="1681">
      <c r="A1681" s="8">
        <f>IFERROR(__xludf.DUMMYFUNCTION("""COMPUTED_VALUE"""),1679.0)</f>
        <v>1679</v>
      </c>
      <c r="B1681" s="8">
        <f>IFERROR(__xludf.DUMMYFUNCTION("""COMPUTED_VALUE"""),33.0)</f>
        <v>33</v>
      </c>
    </row>
    <row r="1682">
      <c r="A1682" s="8">
        <f>IFERROR(__xludf.DUMMYFUNCTION("""COMPUTED_VALUE"""),1680.0)</f>
        <v>1680</v>
      </c>
      <c r="B1682" s="8">
        <f>IFERROR(__xludf.DUMMYFUNCTION("""COMPUTED_VALUE"""),24.0)</f>
        <v>24</v>
      </c>
    </row>
    <row r="1683">
      <c r="A1683" s="8">
        <f>IFERROR(__xludf.DUMMYFUNCTION("""COMPUTED_VALUE"""),1681.0)</f>
        <v>1681</v>
      </c>
      <c r="B1683" s="8">
        <f>IFERROR(__xludf.DUMMYFUNCTION("""COMPUTED_VALUE"""),26.0)</f>
        <v>26</v>
      </c>
    </row>
    <row r="1684">
      <c r="A1684" s="8">
        <f>IFERROR(__xludf.DUMMYFUNCTION("""COMPUTED_VALUE"""),1682.0)</f>
        <v>1682</v>
      </c>
      <c r="B1684" s="8">
        <f>IFERROR(__xludf.DUMMYFUNCTION("""COMPUTED_VALUE"""),56.0)</f>
        <v>56</v>
      </c>
    </row>
    <row r="1685">
      <c r="A1685" s="8">
        <f>IFERROR(__xludf.DUMMYFUNCTION("""COMPUTED_VALUE"""),1683.0)</f>
        <v>1683</v>
      </c>
      <c r="B1685" s="8">
        <f>IFERROR(__xludf.DUMMYFUNCTION("""COMPUTED_VALUE"""),63.0)</f>
        <v>63</v>
      </c>
    </row>
    <row r="1686">
      <c r="A1686" s="8">
        <f>IFERROR(__xludf.DUMMYFUNCTION("""COMPUTED_VALUE"""),1684.0)</f>
        <v>1684</v>
      </c>
      <c r="B1686" s="8">
        <f>IFERROR(__xludf.DUMMYFUNCTION("""COMPUTED_VALUE"""),43.0)</f>
        <v>43</v>
      </c>
    </row>
    <row r="1687">
      <c r="A1687" s="8">
        <f>IFERROR(__xludf.DUMMYFUNCTION("""COMPUTED_VALUE"""),1685.0)</f>
        <v>1685</v>
      </c>
      <c r="B1687" s="8">
        <f>IFERROR(__xludf.DUMMYFUNCTION("""COMPUTED_VALUE"""),39.0)</f>
        <v>39</v>
      </c>
    </row>
    <row r="1688">
      <c r="A1688" s="8">
        <f>IFERROR(__xludf.DUMMYFUNCTION("""COMPUTED_VALUE"""),1686.0)</f>
        <v>1686</v>
      </c>
      <c r="B1688" s="8">
        <f>IFERROR(__xludf.DUMMYFUNCTION("""COMPUTED_VALUE"""),32.0)</f>
        <v>32</v>
      </c>
    </row>
    <row r="1689">
      <c r="A1689" s="8">
        <f>IFERROR(__xludf.DUMMYFUNCTION("""COMPUTED_VALUE"""),1687.0)</f>
        <v>1687</v>
      </c>
      <c r="B1689" s="8">
        <f>IFERROR(__xludf.DUMMYFUNCTION("""COMPUTED_VALUE"""),28.0)</f>
        <v>28</v>
      </c>
    </row>
    <row r="1690">
      <c r="A1690" s="8">
        <f>IFERROR(__xludf.DUMMYFUNCTION("""COMPUTED_VALUE"""),1688.0)</f>
        <v>1688</v>
      </c>
      <c r="B1690" s="8">
        <f>IFERROR(__xludf.DUMMYFUNCTION("""COMPUTED_VALUE"""),37.0)</f>
        <v>37</v>
      </c>
    </row>
    <row r="1691">
      <c r="A1691" s="8">
        <f>IFERROR(__xludf.DUMMYFUNCTION("""COMPUTED_VALUE"""),1689.0)</f>
        <v>1689</v>
      </c>
      <c r="B1691" s="8">
        <f>IFERROR(__xludf.DUMMYFUNCTION("""COMPUTED_VALUE"""),42.0)</f>
        <v>42</v>
      </c>
    </row>
    <row r="1692">
      <c r="A1692" s="8">
        <f>IFERROR(__xludf.DUMMYFUNCTION("""COMPUTED_VALUE"""),1690.0)</f>
        <v>1690</v>
      </c>
      <c r="B1692" s="8">
        <f>IFERROR(__xludf.DUMMYFUNCTION("""COMPUTED_VALUE"""),33.0)</f>
        <v>33</v>
      </c>
    </row>
    <row r="1693">
      <c r="A1693" s="8">
        <f>IFERROR(__xludf.DUMMYFUNCTION("""COMPUTED_VALUE"""),1691.0)</f>
        <v>1691</v>
      </c>
      <c r="B1693" s="8">
        <f>IFERROR(__xludf.DUMMYFUNCTION("""COMPUTED_VALUE"""),45.0)</f>
        <v>45</v>
      </c>
    </row>
    <row r="1694">
      <c r="A1694" s="8">
        <f>IFERROR(__xludf.DUMMYFUNCTION("""COMPUTED_VALUE"""),1692.0)</f>
        <v>1692</v>
      </c>
      <c r="B1694" s="8">
        <f>IFERROR(__xludf.DUMMYFUNCTION("""COMPUTED_VALUE"""),63.0)</f>
        <v>63</v>
      </c>
    </row>
    <row r="1695">
      <c r="A1695" s="8">
        <f>IFERROR(__xludf.DUMMYFUNCTION("""COMPUTED_VALUE"""),1693.0)</f>
        <v>1693</v>
      </c>
      <c r="B1695" s="8">
        <f>IFERROR(__xludf.DUMMYFUNCTION("""COMPUTED_VALUE"""),38.0)</f>
        <v>38</v>
      </c>
    </row>
    <row r="1696">
      <c r="A1696" s="8">
        <f>IFERROR(__xludf.DUMMYFUNCTION("""COMPUTED_VALUE"""),1694.0)</f>
        <v>1694</v>
      </c>
      <c r="B1696" s="8">
        <f>IFERROR(__xludf.DUMMYFUNCTION("""COMPUTED_VALUE"""),45.0)</f>
        <v>45</v>
      </c>
    </row>
    <row r="1697">
      <c r="A1697" s="8">
        <f>IFERROR(__xludf.DUMMYFUNCTION("""COMPUTED_VALUE"""),1695.0)</f>
        <v>1695</v>
      </c>
      <c r="B1697" s="8">
        <f>IFERROR(__xludf.DUMMYFUNCTION("""COMPUTED_VALUE"""),40.0)</f>
        <v>40</v>
      </c>
    </row>
    <row r="1698">
      <c r="A1698" s="8">
        <f>IFERROR(__xludf.DUMMYFUNCTION("""COMPUTED_VALUE"""),1696.0)</f>
        <v>1696</v>
      </c>
      <c r="B1698" s="8">
        <f>IFERROR(__xludf.DUMMYFUNCTION("""COMPUTED_VALUE"""),52.0)</f>
        <v>52</v>
      </c>
    </row>
    <row r="1699">
      <c r="A1699" s="8">
        <f>IFERROR(__xludf.DUMMYFUNCTION("""COMPUTED_VALUE"""),1697.0)</f>
        <v>1697</v>
      </c>
      <c r="B1699" s="8">
        <f>IFERROR(__xludf.DUMMYFUNCTION("""COMPUTED_VALUE"""),53.0)</f>
        <v>53</v>
      </c>
    </row>
    <row r="1700">
      <c r="A1700" s="8">
        <f>IFERROR(__xludf.DUMMYFUNCTION("""COMPUTED_VALUE"""),1698.0)</f>
        <v>1698</v>
      </c>
      <c r="B1700" s="8">
        <f>IFERROR(__xludf.DUMMYFUNCTION("""COMPUTED_VALUE"""),47.0)</f>
        <v>47</v>
      </c>
    </row>
    <row r="1701">
      <c r="A1701" s="8">
        <f>IFERROR(__xludf.DUMMYFUNCTION("""COMPUTED_VALUE"""),1699.0)</f>
        <v>1699</v>
      </c>
      <c r="B1701" s="8">
        <f>IFERROR(__xludf.DUMMYFUNCTION("""COMPUTED_VALUE"""),43.0)</f>
        <v>43</v>
      </c>
    </row>
    <row r="1702">
      <c r="A1702" s="8">
        <f>IFERROR(__xludf.DUMMYFUNCTION("""COMPUTED_VALUE"""),1700.0)</f>
        <v>1700</v>
      </c>
      <c r="B1702" s="8">
        <f>IFERROR(__xludf.DUMMYFUNCTION("""COMPUTED_VALUE"""),37.0)</f>
        <v>37</v>
      </c>
    </row>
    <row r="1703">
      <c r="A1703" s="8">
        <f>IFERROR(__xludf.DUMMYFUNCTION("""COMPUTED_VALUE"""),1701.0)</f>
        <v>1701</v>
      </c>
      <c r="B1703" s="8">
        <f>IFERROR(__xludf.DUMMYFUNCTION("""COMPUTED_VALUE"""),38.0)</f>
        <v>38</v>
      </c>
    </row>
    <row r="1704">
      <c r="A1704" s="8">
        <f>IFERROR(__xludf.DUMMYFUNCTION("""COMPUTED_VALUE"""),1702.0)</f>
        <v>1702</v>
      </c>
      <c r="B1704" s="8">
        <f>IFERROR(__xludf.DUMMYFUNCTION("""COMPUTED_VALUE"""),33.0)</f>
        <v>33</v>
      </c>
    </row>
    <row r="1705">
      <c r="A1705" s="8">
        <f>IFERROR(__xludf.DUMMYFUNCTION("""COMPUTED_VALUE"""),1703.0)</f>
        <v>1703</v>
      </c>
      <c r="B1705" s="8">
        <f>IFERROR(__xludf.DUMMYFUNCTION("""COMPUTED_VALUE"""),42.0)</f>
        <v>42</v>
      </c>
    </row>
    <row r="1706">
      <c r="A1706" s="8">
        <f>IFERROR(__xludf.DUMMYFUNCTION("""COMPUTED_VALUE"""),1704.0)</f>
        <v>1704</v>
      </c>
      <c r="B1706" s="8">
        <f>IFERROR(__xludf.DUMMYFUNCTION("""COMPUTED_VALUE"""),48.0)</f>
        <v>48</v>
      </c>
    </row>
    <row r="1707">
      <c r="A1707" s="8">
        <f>IFERROR(__xludf.DUMMYFUNCTION("""COMPUTED_VALUE"""),1705.0)</f>
        <v>1705</v>
      </c>
      <c r="B1707" s="8">
        <f>IFERROR(__xludf.DUMMYFUNCTION("""COMPUTED_VALUE"""),58.0)</f>
        <v>58</v>
      </c>
    </row>
    <row r="1708">
      <c r="A1708" s="8">
        <f>IFERROR(__xludf.DUMMYFUNCTION("""COMPUTED_VALUE"""),1706.0)</f>
        <v>1706</v>
      </c>
      <c r="B1708" s="8">
        <f>IFERROR(__xludf.DUMMYFUNCTION("""COMPUTED_VALUE"""),29.0)</f>
        <v>29</v>
      </c>
    </row>
    <row r="1709">
      <c r="A1709" s="8">
        <f>IFERROR(__xludf.DUMMYFUNCTION("""COMPUTED_VALUE"""),1707.0)</f>
        <v>1707</v>
      </c>
      <c r="B1709" s="8">
        <f>IFERROR(__xludf.DUMMYFUNCTION("""COMPUTED_VALUE"""),36.0)</f>
        <v>36</v>
      </c>
    </row>
    <row r="1710">
      <c r="A1710" s="8">
        <f>IFERROR(__xludf.DUMMYFUNCTION("""COMPUTED_VALUE"""),1708.0)</f>
        <v>1708</v>
      </c>
      <c r="B1710" s="8">
        <f>IFERROR(__xludf.DUMMYFUNCTION("""COMPUTED_VALUE"""),28.0)</f>
        <v>28</v>
      </c>
    </row>
    <row r="1711">
      <c r="A1711" s="8">
        <f>IFERROR(__xludf.DUMMYFUNCTION("""COMPUTED_VALUE"""),1709.0)</f>
        <v>1709</v>
      </c>
      <c r="B1711" s="8">
        <f>IFERROR(__xludf.DUMMYFUNCTION("""COMPUTED_VALUE"""),53.0)</f>
        <v>53</v>
      </c>
    </row>
    <row r="1712">
      <c r="A1712" s="8">
        <f>IFERROR(__xludf.DUMMYFUNCTION("""COMPUTED_VALUE"""),1710.0)</f>
        <v>1710</v>
      </c>
      <c r="B1712" s="8">
        <f>IFERROR(__xludf.DUMMYFUNCTION("""COMPUTED_VALUE"""),30.0)</f>
        <v>30</v>
      </c>
    </row>
    <row r="1713">
      <c r="A1713" s="8">
        <f>IFERROR(__xludf.DUMMYFUNCTION("""COMPUTED_VALUE"""),1711.0)</f>
        <v>1711</v>
      </c>
      <c r="B1713" s="8">
        <f>IFERROR(__xludf.DUMMYFUNCTION("""COMPUTED_VALUE"""),37.0)</f>
        <v>37</v>
      </c>
    </row>
    <row r="1714">
      <c r="A1714" s="8">
        <f>IFERROR(__xludf.DUMMYFUNCTION("""COMPUTED_VALUE"""),1712.0)</f>
        <v>1712</v>
      </c>
      <c r="B1714" s="8">
        <f>IFERROR(__xludf.DUMMYFUNCTION("""COMPUTED_VALUE"""),53.0)</f>
        <v>53</v>
      </c>
    </row>
    <row r="1715">
      <c r="A1715" s="8">
        <f>IFERROR(__xludf.DUMMYFUNCTION("""COMPUTED_VALUE"""),1713.0)</f>
        <v>1713</v>
      </c>
      <c r="B1715" s="8">
        <f>IFERROR(__xludf.DUMMYFUNCTION("""COMPUTED_VALUE"""),71.0)</f>
        <v>71</v>
      </c>
    </row>
    <row r="1716">
      <c r="A1716" s="8">
        <f>IFERROR(__xludf.DUMMYFUNCTION("""COMPUTED_VALUE"""),1714.0)</f>
        <v>1714</v>
      </c>
      <c r="B1716" s="8">
        <f>IFERROR(__xludf.DUMMYFUNCTION("""COMPUTED_VALUE"""),59.0)</f>
        <v>59</v>
      </c>
    </row>
    <row r="1717">
      <c r="A1717" s="8">
        <f>IFERROR(__xludf.DUMMYFUNCTION("""COMPUTED_VALUE"""),1715.0)</f>
        <v>1715</v>
      </c>
      <c r="B1717" s="8">
        <f>IFERROR(__xludf.DUMMYFUNCTION("""COMPUTED_VALUE"""),41.0)</f>
        <v>41</v>
      </c>
    </row>
    <row r="1718">
      <c r="A1718" s="8">
        <f>IFERROR(__xludf.DUMMYFUNCTION("""COMPUTED_VALUE"""),1716.0)</f>
        <v>1716</v>
      </c>
      <c r="B1718" s="8">
        <f>IFERROR(__xludf.DUMMYFUNCTION("""COMPUTED_VALUE"""),54.0)</f>
        <v>54</v>
      </c>
    </row>
    <row r="1719">
      <c r="A1719" s="8">
        <f>IFERROR(__xludf.DUMMYFUNCTION("""COMPUTED_VALUE"""),1717.0)</f>
        <v>1717</v>
      </c>
      <c r="B1719" s="8">
        <f>IFERROR(__xludf.DUMMYFUNCTION("""COMPUTED_VALUE"""),39.0)</f>
        <v>39</v>
      </c>
    </row>
    <row r="1720">
      <c r="A1720" s="8">
        <f>IFERROR(__xludf.DUMMYFUNCTION("""COMPUTED_VALUE"""),1718.0)</f>
        <v>1718</v>
      </c>
      <c r="B1720" s="8">
        <f>IFERROR(__xludf.DUMMYFUNCTION("""COMPUTED_VALUE"""),36.0)</f>
        <v>36</v>
      </c>
    </row>
    <row r="1721">
      <c r="A1721" s="8">
        <f>IFERROR(__xludf.DUMMYFUNCTION("""COMPUTED_VALUE"""),1719.0)</f>
        <v>1719</v>
      </c>
      <c r="B1721" s="8">
        <f>IFERROR(__xludf.DUMMYFUNCTION("""COMPUTED_VALUE"""),53.0)</f>
        <v>53</v>
      </c>
    </row>
    <row r="1722">
      <c r="A1722" s="8">
        <f>IFERROR(__xludf.DUMMYFUNCTION("""COMPUTED_VALUE"""),1720.0)</f>
        <v>1720</v>
      </c>
      <c r="B1722" s="8">
        <f>IFERROR(__xludf.DUMMYFUNCTION("""COMPUTED_VALUE"""),37.0)</f>
        <v>37</v>
      </c>
    </row>
    <row r="1723">
      <c r="A1723" s="8">
        <f>IFERROR(__xludf.DUMMYFUNCTION("""COMPUTED_VALUE"""),1721.0)</f>
        <v>1721</v>
      </c>
      <c r="B1723" s="8">
        <f>IFERROR(__xludf.DUMMYFUNCTION("""COMPUTED_VALUE"""),38.0)</f>
        <v>38</v>
      </c>
    </row>
    <row r="1724">
      <c r="A1724" s="8">
        <f>IFERROR(__xludf.DUMMYFUNCTION("""COMPUTED_VALUE"""),1722.0)</f>
        <v>1722</v>
      </c>
      <c r="B1724" s="8">
        <f>IFERROR(__xludf.DUMMYFUNCTION("""COMPUTED_VALUE"""),30.0)</f>
        <v>30</v>
      </c>
    </row>
    <row r="1725">
      <c r="A1725" s="8">
        <f>IFERROR(__xludf.DUMMYFUNCTION("""COMPUTED_VALUE"""),1723.0)</f>
        <v>1723</v>
      </c>
      <c r="B1725" s="8">
        <f>IFERROR(__xludf.DUMMYFUNCTION("""COMPUTED_VALUE"""),19.0)</f>
        <v>19</v>
      </c>
    </row>
    <row r="1726">
      <c r="A1726" s="8">
        <f>IFERROR(__xludf.DUMMYFUNCTION("""COMPUTED_VALUE"""),1724.0)</f>
        <v>1724</v>
      </c>
      <c r="B1726" s="8">
        <f>IFERROR(__xludf.DUMMYFUNCTION("""COMPUTED_VALUE"""),35.0)</f>
        <v>35</v>
      </c>
    </row>
    <row r="1727">
      <c r="A1727" s="8">
        <f>IFERROR(__xludf.DUMMYFUNCTION("""COMPUTED_VALUE"""),1725.0)</f>
        <v>1725</v>
      </c>
      <c r="B1727" s="8">
        <f>IFERROR(__xludf.DUMMYFUNCTION("""COMPUTED_VALUE"""),48.0)</f>
        <v>48</v>
      </c>
    </row>
    <row r="1728">
      <c r="A1728" s="8">
        <f>IFERROR(__xludf.DUMMYFUNCTION("""COMPUTED_VALUE"""),1726.0)</f>
        <v>1726</v>
      </c>
      <c r="B1728" s="8">
        <f>IFERROR(__xludf.DUMMYFUNCTION("""COMPUTED_VALUE"""),65.0)</f>
        <v>65</v>
      </c>
    </row>
    <row r="1729">
      <c r="A1729" s="8">
        <f>IFERROR(__xludf.DUMMYFUNCTION("""COMPUTED_VALUE"""),1727.0)</f>
        <v>1727</v>
      </c>
      <c r="B1729" s="8">
        <f>IFERROR(__xludf.DUMMYFUNCTION("""COMPUTED_VALUE"""),45.0)</f>
        <v>45</v>
      </c>
    </row>
    <row r="1730">
      <c r="A1730" s="8">
        <f>IFERROR(__xludf.DUMMYFUNCTION("""COMPUTED_VALUE"""),1728.0)</f>
        <v>1728</v>
      </c>
      <c r="B1730" s="8">
        <f>IFERROR(__xludf.DUMMYFUNCTION("""COMPUTED_VALUE"""),58.0)</f>
        <v>58</v>
      </c>
    </row>
    <row r="1731">
      <c r="A1731" s="8">
        <f>IFERROR(__xludf.DUMMYFUNCTION("""COMPUTED_VALUE"""),1729.0)</f>
        <v>1729</v>
      </c>
      <c r="B1731" s="8">
        <f>IFERROR(__xludf.DUMMYFUNCTION("""COMPUTED_VALUE"""),66.0)</f>
        <v>66</v>
      </c>
    </row>
    <row r="1732">
      <c r="A1732" s="8">
        <f>IFERROR(__xludf.DUMMYFUNCTION("""COMPUTED_VALUE"""),1730.0)</f>
        <v>1730</v>
      </c>
      <c r="B1732" s="8">
        <f>IFERROR(__xludf.DUMMYFUNCTION("""COMPUTED_VALUE"""),64.0)</f>
        <v>64</v>
      </c>
    </row>
    <row r="1733">
      <c r="A1733" s="8">
        <f>IFERROR(__xludf.DUMMYFUNCTION("""COMPUTED_VALUE"""),1731.0)</f>
        <v>1731</v>
      </c>
      <c r="B1733" s="8">
        <f>IFERROR(__xludf.DUMMYFUNCTION("""COMPUTED_VALUE"""),59.0)</f>
        <v>59</v>
      </c>
    </row>
    <row r="1734">
      <c r="A1734" s="8">
        <f>IFERROR(__xludf.DUMMYFUNCTION("""COMPUTED_VALUE"""),1732.0)</f>
        <v>1732</v>
      </c>
      <c r="B1734" s="8">
        <f>IFERROR(__xludf.DUMMYFUNCTION("""COMPUTED_VALUE"""),35.0)</f>
        <v>35</v>
      </c>
    </row>
    <row r="1735">
      <c r="A1735" s="8">
        <f>IFERROR(__xludf.DUMMYFUNCTION("""COMPUTED_VALUE"""),1733.0)</f>
        <v>1733</v>
      </c>
      <c r="B1735" s="8">
        <f>IFERROR(__xludf.DUMMYFUNCTION("""COMPUTED_VALUE"""),28.0)</f>
        <v>28</v>
      </c>
    </row>
    <row r="1736">
      <c r="A1736" s="8">
        <f>IFERROR(__xludf.DUMMYFUNCTION("""COMPUTED_VALUE"""),1734.0)</f>
        <v>1734</v>
      </c>
      <c r="B1736" s="8">
        <f>IFERROR(__xludf.DUMMYFUNCTION("""COMPUTED_VALUE"""),38.0)</f>
        <v>38</v>
      </c>
    </row>
    <row r="1737">
      <c r="A1737" s="8">
        <f>IFERROR(__xludf.DUMMYFUNCTION("""COMPUTED_VALUE"""),1735.0)</f>
        <v>1735</v>
      </c>
      <c r="B1737" s="8">
        <f>IFERROR(__xludf.DUMMYFUNCTION("""COMPUTED_VALUE"""),46.0)</f>
        <v>46</v>
      </c>
    </row>
    <row r="1738">
      <c r="A1738" s="8">
        <f>IFERROR(__xludf.DUMMYFUNCTION("""COMPUTED_VALUE"""),1736.0)</f>
        <v>1736</v>
      </c>
      <c r="B1738" s="8">
        <f>IFERROR(__xludf.DUMMYFUNCTION("""COMPUTED_VALUE"""),35.0)</f>
        <v>35</v>
      </c>
    </row>
    <row r="1739">
      <c r="A1739" s="8">
        <f>IFERROR(__xludf.DUMMYFUNCTION("""COMPUTED_VALUE"""),1737.0)</f>
        <v>1737</v>
      </c>
      <c r="B1739" s="8">
        <f>IFERROR(__xludf.DUMMYFUNCTION("""COMPUTED_VALUE"""),59.0)</f>
        <v>59</v>
      </c>
    </row>
    <row r="1740">
      <c r="A1740" s="8">
        <f>IFERROR(__xludf.DUMMYFUNCTION("""COMPUTED_VALUE"""),1738.0)</f>
        <v>1738</v>
      </c>
      <c r="B1740" s="8">
        <f>IFERROR(__xludf.DUMMYFUNCTION("""COMPUTED_VALUE"""),55.0)</f>
        <v>55</v>
      </c>
    </row>
    <row r="1741">
      <c r="A1741" s="8">
        <f>IFERROR(__xludf.DUMMYFUNCTION("""COMPUTED_VALUE"""),1739.0)</f>
        <v>1739</v>
      </c>
      <c r="B1741" s="8">
        <f>IFERROR(__xludf.DUMMYFUNCTION("""COMPUTED_VALUE"""),29.0)</f>
        <v>29</v>
      </c>
    </row>
    <row r="1742">
      <c r="A1742" s="8">
        <f>IFERROR(__xludf.DUMMYFUNCTION("""COMPUTED_VALUE"""),1740.0)</f>
        <v>1740</v>
      </c>
      <c r="B1742" s="8">
        <f>IFERROR(__xludf.DUMMYFUNCTION("""COMPUTED_VALUE"""),31.0)</f>
        <v>31</v>
      </c>
    </row>
    <row r="1743">
      <c r="A1743" s="8">
        <f>IFERROR(__xludf.DUMMYFUNCTION("""COMPUTED_VALUE"""),1741.0)</f>
        <v>1741</v>
      </c>
      <c r="B1743" s="8">
        <f>IFERROR(__xludf.DUMMYFUNCTION("""COMPUTED_VALUE"""),60.0)</f>
        <v>60</v>
      </c>
    </row>
    <row r="1744">
      <c r="A1744" s="8">
        <f>IFERROR(__xludf.DUMMYFUNCTION("""COMPUTED_VALUE"""),1742.0)</f>
        <v>1742</v>
      </c>
      <c r="B1744" s="8">
        <f>IFERROR(__xludf.DUMMYFUNCTION("""COMPUTED_VALUE"""),55.0)</f>
        <v>55</v>
      </c>
    </row>
    <row r="1745">
      <c r="A1745" s="8">
        <f>IFERROR(__xludf.DUMMYFUNCTION("""COMPUTED_VALUE"""),1743.0)</f>
        <v>1743</v>
      </c>
      <c r="B1745" s="8">
        <f>IFERROR(__xludf.DUMMYFUNCTION("""COMPUTED_VALUE"""),41.0)</f>
        <v>41</v>
      </c>
    </row>
    <row r="1746">
      <c r="A1746" s="8">
        <f>IFERROR(__xludf.DUMMYFUNCTION("""COMPUTED_VALUE"""),1744.0)</f>
        <v>1744</v>
      </c>
      <c r="B1746" s="8">
        <f>IFERROR(__xludf.DUMMYFUNCTION("""COMPUTED_VALUE"""),60.0)</f>
        <v>60</v>
      </c>
    </row>
    <row r="1747">
      <c r="A1747" s="8">
        <f>IFERROR(__xludf.DUMMYFUNCTION("""COMPUTED_VALUE"""),1745.0)</f>
        <v>1745</v>
      </c>
      <c r="B1747" s="8">
        <f>IFERROR(__xludf.DUMMYFUNCTION("""COMPUTED_VALUE"""),54.0)</f>
        <v>54</v>
      </c>
    </row>
    <row r="1748">
      <c r="A1748" s="8">
        <f>IFERROR(__xludf.DUMMYFUNCTION("""COMPUTED_VALUE"""),1746.0)</f>
        <v>1746</v>
      </c>
      <c r="B1748" s="8">
        <f>IFERROR(__xludf.DUMMYFUNCTION("""COMPUTED_VALUE"""),51.0)</f>
        <v>51</v>
      </c>
    </row>
    <row r="1749">
      <c r="A1749" s="8">
        <f>IFERROR(__xludf.DUMMYFUNCTION("""COMPUTED_VALUE"""),1747.0)</f>
        <v>1747</v>
      </c>
      <c r="B1749" s="8">
        <f>IFERROR(__xludf.DUMMYFUNCTION("""COMPUTED_VALUE"""),42.0)</f>
        <v>42</v>
      </c>
    </row>
    <row r="1750">
      <c r="A1750" s="8">
        <f>IFERROR(__xludf.DUMMYFUNCTION("""COMPUTED_VALUE"""),1748.0)</f>
        <v>1748</v>
      </c>
      <c r="B1750" s="8">
        <f>IFERROR(__xludf.DUMMYFUNCTION("""COMPUTED_VALUE"""),32.0)</f>
        <v>32</v>
      </c>
    </row>
    <row r="1751">
      <c r="A1751" s="8">
        <f>IFERROR(__xludf.DUMMYFUNCTION("""COMPUTED_VALUE"""),1749.0)</f>
        <v>1749</v>
      </c>
      <c r="B1751" s="8">
        <f>IFERROR(__xludf.DUMMYFUNCTION("""COMPUTED_VALUE"""),35.0)</f>
        <v>35</v>
      </c>
    </row>
    <row r="1752">
      <c r="A1752" s="8">
        <f>IFERROR(__xludf.DUMMYFUNCTION("""COMPUTED_VALUE"""),1750.0)</f>
        <v>1750</v>
      </c>
      <c r="B1752" s="8">
        <f>IFERROR(__xludf.DUMMYFUNCTION("""COMPUTED_VALUE"""),34.0)</f>
        <v>34</v>
      </c>
    </row>
    <row r="1753">
      <c r="A1753" s="8">
        <f>IFERROR(__xludf.DUMMYFUNCTION("""COMPUTED_VALUE"""),1751.0)</f>
        <v>1751</v>
      </c>
      <c r="B1753" s="8">
        <f>IFERROR(__xludf.DUMMYFUNCTION("""COMPUTED_VALUE"""),27.0)</f>
        <v>27</v>
      </c>
    </row>
    <row r="1754">
      <c r="A1754" s="8">
        <f>IFERROR(__xludf.DUMMYFUNCTION("""COMPUTED_VALUE"""),1752.0)</f>
        <v>1752</v>
      </c>
      <c r="B1754" s="8">
        <f>IFERROR(__xludf.DUMMYFUNCTION("""COMPUTED_VALUE"""),56.0)</f>
        <v>56</v>
      </c>
    </row>
    <row r="1755">
      <c r="A1755" s="8">
        <f>IFERROR(__xludf.DUMMYFUNCTION("""COMPUTED_VALUE"""),1753.0)</f>
        <v>1753</v>
      </c>
      <c r="B1755" s="8">
        <f>IFERROR(__xludf.DUMMYFUNCTION("""COMPUTED_VALUE"""),26.0)</f>
        <v>26</v>
      </c>
    </row>
    <row r="1756">
      <c r="A1756" s="8">
        <f>IFERROR(__xludf.DUMMYFUNCTION("""COMPUTED_VALUE"""),1754.0)</f>
        <v>1754</v>
      </c>
      <c r="B1756" s="8">
        <f>IFERROR(__xludf.DUMMYFUNCTION("""COMPUTED_VALUE"""),39.0)</f>
        <v>39</v>
      </c>
    </row>
    <row r="1757">
      <c r="A1757" s="8">
        <f>IFERROR(__xludf.DUMMYFUNCTION("""COMPUTED_VALUE"""),1755.0)</f>
        <v>1755</v>
      </c>
      <c r="B1757" s="8">
        <f>IFERROR(__xludf.DUMMYFUNCTION("""COMPUTED_VALUE"""),27.0)</f>
        <v>27</v>
      </c>
    </row>
    <row r="1758">
      <c r="A1758" s="8">
        <f>IFERROR(__xludf.DUMMYFUNCTION("""COMPUTED_VALUE"""),1756.0)</f>
        <v>1756</v>
      </c>
      <c r="B1758" s="8">
        <f>IFERROR(__xludf.DUMMYFUNCTION("""COMPUTED_VALUE"""),35.0)</f>
        <v>35</v>
      </c>
    </row>
    <row r="1759">
      <c r="A1759" s="8">
        <f>IFERROR(__xludf.DUMMYFUNCTION("""COMPUTED_VALUE"""),1757.0)</f>
        <v>1757</v>
      </c>
      <c r="B1759" s="8">
        <f>IFERROR(__xludf.DUMMYFUNCTION("""COMPUTED_VALUE"""),53.0)</f>
        <v>53</v>
      </c>
    </row>
    <row r="1760">
      <c r="A1760" s="8">
        <f>IFERROR(__xludf.DUMMYFUNCTION("""COMPUTED_VALUE"""),1758.0)</f>
        <v>1758</v>
      </c>
      <c r="B1760" s="8">
        <f>IFERROR(__xludf.DUMMYFUNCTION("""COMPUTED_VALUE"""),28.0)</f>
        <v>28</v>
      </c>
    </row>
    <row r="1761">
      <c r="A1761" s="8">
        <f>IFERROR(__xludf.DUMMYFUNCTION("""COMPUTED_VALUE"""),1759.0)</f>
        <v>1759</v>
      </c>
      <c r="B1761" s="8">
        <f>IFERROR(__xludf.DUMMYFUNCTION("""COMPUTED_VALUE"""),59.0)</f>
        <v>59</v>
      </c>
    </row>
    <row r="1762">
      <c r="A1762" s="8">
        <f>IFERROR(__xludf.DUMMYFUNCTION("""COMPUTED_VALUE"""),1760.0)</f>
        <v>1760</v>
      </c>
      <c r="B1762" s="8">
        <f>IFERROR(__xludf.DUMMYFUNCTION("""COMPUTED_VALUE"""),46.0)</f>
        <v>46</v>
      </c>
    </row>
    <row r="1763">
      <c r="A1763" s="8">
        <f>IFERROR(__xludf.DUMMYFUNCTION("""COMPUTED_VALUE"""),1761.0)</f>
        <v>1761</v>
      </c>
      <c r="B1763" s="8">
        <f>IFERROR(__xludf.DUMMYFUNCTION("""COMPUTED_VALUE"""),34.0)</f>
        <v>34</v>
      </c>
    </row>
    <row r="1764">
      <c r="A1764" s="8">
        <f>IFERROR(__xludf.DUMMYFUNCTION("""COMPUTED_VALUE"""),1762.0)</f>
        <v>1762</v>
      </c>
      <c r="B1764" s="8">
        <f>IFERROR(__xludf.DUMMYFUNCTION("""COMPUTED_VALUE"""),56.0)</f>
        <v>56</v>
      </c>
    </row>
    <row r="1765">
      <c r="A1765" s="8">
        <f>IFERROR(__xludf.DUMMYFUNCTION("""COMPUTED_VALUE"""),1763.0)</f>
        <v>1763</v>
      </c>
      <c r="B1765" s="8">
        <f>IFERROR(__xludf.DUMMYFUNCTION("""COMPUTED_VALUE"""),45.0)</f>
        <v>45</v>
      </c>
    </row>
    <row r="1766">
      <c r="A1766" s="8">
        <f>IFERROR(__xludf.DUMMYFUNCTION("""COMPUTED_VALUE"""),1764.0)</f>
        <v>1764</v>
      </c>
      <c r="B1766" s="8">
        <f>IFERROR(__xludf.DUMMYFUNCTION("""COMPUTED_VALUE"""),38.0)</f>
        <v>38</v>
      </c>
    </row>
    <row r="1767">
      <c r="A1767" s="8">
        <f>IFERROR(__xludf.DUMMYFUNCTION("""COMPUTED_VALUE"""),1765.0)</f>
        <v>1765</v>
      </c>
      <c r="B1767" s="8">
        <f>IFERROR(__xludf.DUMMYFUNCTION("""COMPUTED_VALUE"""),36.0)</f>
        <v>36</v>
      </c>
    </row>
    <row r="1768">
      <c r="A1768" s="8">
        <f>IFERROR(__xludf.DUMMYFUNCTION("""COMPUTED_VALUE"""),1766.0)</f>
        <v>1766</v>
      </c>
      <c r="B1768" s="8">
        <f>IFERROR(__xludf.DUMMYFUNCTION("""COMPUTED_VALUE"""),24.0)</f>
        <v>24</v>
      </c>
    </row>
    <row r="1769">
      <c r="A1769" s="8">
        <f>IFERROR(__xludf.DUMMYFUNCTION("""COMPUTED_VALUE"""),1767.0)</f>
        <v>1767</v>
      </c>
      <c r="B1769" s="8">
        <f>IFERROR(__xludf.DUMMYFUNCTION("""COMPUTED_VALUE"""),39.0)</f>
        <v>39</v>
      </c>
    </row>
    <row r="1770">
      <c r="A1770" s="8">
        <f>IFERROR(__xludf.DUMMYFUNCTION("""COMPUTED_VALUE"""),1768.0)</f>
        <v>1768</v>
      </c>
      <c r="B1770" s="8">
        <f>IFERROR(__xludf.DUMMYFUNCTION("""COMPUTED_VALUE"""),35.0)</f>
        <v>35</v>
      </c>
    </row>
    <row r="1771">
      <c r="A1771" s="8">
        <f>IFERROR(__xludf.DUMMYFUNCTION("""COMPUTED_VALUE"""),1769.0)</f>
        <v>1769</v>
      </c>
      <c r="B1771" s="8">
        <f>IFERROR(__xludf.DUMMYFUNCTION("""COMPUTED_VALUE"""),47.0)</f>
        <v>47</v>
      </c>
    </row>
    <row r="1772">
      <c r="A1772" s="8">
        <f>IFERROR(__xludf.DUMMYFUNCTION("""COMPUTED_VALUE"""),1770.0)</f>
        <v>1770</v>
      </c>
      <c r="B1772" s="8">
        <f>IFERROR(__xludf.DUMMYFUNCTION("""COMPUTED_VALUE"""),60.0)</f>
        <v>60</v>
      </c>
    </row>
    <row r="1773">
      <c r="A1773" s="8">
        <f>IFERROR(__xludf.DUMMYFUNCTION("""COMPUTED_VALUE"""),1771.0)</f>
        <v>1771</v>
      </c>
      <c r="B1773" s="8">
        <f>IFERROR(__xludf.DUMMYFUNCTION("""COMPUTED_VALUE"""),46.0)</f>
        <v>46</v>
      </c>
    </row>
    <row r="1774">
      <c r="A1774" s="8">
        <f>IFERROR(__xludf.DUMMYFUNCTION("""COMPUTED_VALUE"""),1772.0)</f>
        <v>1772</v>
      </c>
      <c r="B1774" s="8">
        <f>IFERROR(__xludf.DUMMYFUNCTION("""COMPUTED_VALUE"""),35.0)</f>
        <v>35</v>
      </c>
    </row>
    <row r="1775">
      <c r="A1775" s="8">
        <f>IFERROR(__xludf.DUMMYFUNCTION("""COMPUTED_VALUE"""),1773.0)</f>
        <v>1773</v>
      </c>
      <c r="B1775" s="8">
        <f>IFERROR(__xludf.DUMMYFUNCTION("""COMPUTED_VALUE"""),26.0)</f>
        <v>26</v>
      </c>
    </row>
    <row r="1776">
      <c r="A1776" s="8">
        <f>IFERROR(__xludf.DUMMYFUNCTION("""COMPUTED_VALUE"""),1774.0)</f>
        <v>1774</v>
      </c>
      <c r="B1776" s="8">
        <f>IFERROR(__xludf.DUMMYFUNCTION("""COMPUTED_VALUE"""),70.0)</f>
        <v>70</v>
      </c>
    </row>
    <row r="1777">
      <c r="A1777" s="8">
        <f>IFERROR(__xludf.DUMMYFUNCTION("""COMPUTED_VALUE"""),1775.0)</f>
        <v>1775</v>
      </c>
      <c r="B1777" s="8">
        <f>IFERROR(__xludf.DUMMYFUNCTION("""COMPUTED_VALUE"""),53.0)</f>
        <v>53</v>
      </c>
    </row>
    <row r="1778">
      <c r="A1778" s="8">
        <f>IFERROR(__xludf.DUMMYFUNCTION("""COMPUTED_VALUE"""),1776.0)</f>
        <v>1776</v>
      </c>
      <c r="B1778" s="8">
        <f>IFERROR(__xludf.DUMMYFUNCTION("""COMPUTED_VALUE"""),35.0)</f>
        <v>35</v>
      </c>
    </row>
    <row r="1779">
      <c r="A1779" s="8">
        <f>IFERROR(__xludf.DUMMYFUNCTION("""COMPUTED_VALUE"""),1777.0)</f>
        <v>1777</v>
      </c>
      <c r="B1779" s="8">
        <f>IFERROR(__xludf.DUMMYFUNCTION("""COMPUTED_VALUE"""),24.0)</f>
        <v>24</v>
      </c>
    </row>
    <row r="1780">
      <c r="A1780" s="8">
        <f>IFERROR(__xludf.DUMMYFUNCTION("""COMPUTED_VALUE"""),1778.0)</f>
        <v>1778</v>
      </c>
      <c r="B1780" s="8">
        <f>IFERROR(__xludf.DUMMYFUNCTION("""COMPUTED_VALUE"""),30.0)</f>
        <v>30</v>
      </c>
    </row>
    <row r="1781">
      <c r="A1781" s="8">
        <f>IFERROR(__xludf.DUMMYFUNCTION("""COMPUTED_VALUE"""),1779.0)</f>
        <v>1779</v>
      </c>
      <c r="B1781" s="8">
        <f>IFERROR(__xludf.DUMMYFUNCTION("""COMPUTED_VALUE"""),36.0)</f>
        <v>36</v>
      </c>
    </row>
    <row r="1782">
      <c r="A1782" s="8">
        <f>IFERROR(__xludf.DUMMYFUNCTION("""COMPUTED_VALUE"""),1780.0)</f>
        <v>1780</v>
      </c>
      <c r="B1782" s="8">
        <f>IFERROR(__xludf.DUMMYFUNCTION("""COMPUTED_VALUE"""),73.0)</f>
        <v>73</v>
      </c>
    </row>
    <row r="1783">
      <c r="A1783" s="8">
        <f>IFERROR(__xludf.DUMMYFUNCTION("""COMPUTED_VALUE"""),1781.0)</f>
        <v>1781</v>
      </c>
      <c r="B1783" s="8">
        <f>IFERROR(__xludf.DUMMYFUNCTION("""COMPUTED_VALUE"""),34.0)</f>
        <v>34</v>
      </c>
    </row>
    <row r="1784">
      <c r="A1784" s="8">
        <f>IFERROR(__xludf.DUMMYFUNCTION("""COMPUTED_VALUE"""),1782.0)</f>
        <v>1782</v>
      </c>
      <c r="B1784" s="8">
        <f>IFERROR(__xludf.DUMMYFUNCTION("""COMPUTED_VALUE"""),41.0)</f>
        <v>41</v>
      </c>
    </row>
    <row r="1785">
      <c r="A1785" s="8">
        <f>IFERROR(__xludf.DUMMYFUNCTION("""COMPUTED_VALUE"""),1783.0)</f>
        <v>1783</v>
      </c>
      <c r="B1785" s="8">
        <f>IFERROR(__xludf.DUMMYFUNCTION("""COMPUTED_VALUE"""),41.0)</f>
        <v>41</v>
      </c>
    </row>
    <row r="1786">
      <c r="A1786" s="8">
        <f>IFERROR(__xludf.DUMMYFUNCTION("""COMPUTED_VALUE"""),1784.0)</f>
        <v>1784</v>
      </c>
      <c r="B1786" s="8">
        <f>IFERROR(__xludf.DUMMYFUNCTION("""COMPUTED_VALUE"""),37.0)</f>
        <v>37</v>
      </c>
    </row>
    <row r="1787">
      <c r="A1787" s="8">
        <f>IFERROR(__xludf.DUMMYFUNCTION("""COMPUTED_VALUE"""),1785.0)</f>
        <v>1785</v>
      </c>
      <c r="B1787" s="8">
        <f>IFERROR(__xludf.DUMMYFUNCTION("""COMPUTED_VALUE"""),43.0)</f>
        <v>43</v>
      </c>
    </row>
    <row r="1788">
      <c r="A1788" s="8">
        <f>IFERROR(__xludf.DUMMYFUNCTION("""COMPUTED_VALUE"""),1786.0)</f>
        <v>1786</v>
      </c>
      <c r="B1788" s="8">
        <f>IFERROR(__xludf.DUMMYFUNCTION("""COMPUTED_VALUE"""),41.0)</f>
        <v>41</v>
      </c>
    </row>
    <row r="1789">
      <c r="A1789" s="8">
        <f>IFERROR(__xludf.DUMMYFUNCTION("""COMPUTED_VALUE"""),1787.0)</f>
        <v>1787</v>
      </c>
      <c r="B1789" s="8">
        <f>IFERROR(__xludf.DUMMYFUNCTION("""COMPUTED_VALUE"""),32.0)</f>
        <v>32</v>
      </c>
    </row>
    <row r="1790">
      <c r="A1790" s="8">
        <f>IFERROR(__xludf.DUMMYFUNCTION("""COMPUTED_VALUE"""),1788.0)</f>
        <v>1788</v>
      </c>
      <c r="B1790" s="8">
        <f>IFERROR(__xludf.DUMMYFUNCTION("""COMPUTED_VALUE"""),22.0)</f>
        <v>22</v>
      </c>
    </row>
    <row r="1791">
      <c r="A1791" s="8">
        <f>IFERROR(__xludf.DUMMYFUNCTION("""COMPUTED_VALUE"""),1789.0)</f>
        <v>1789</v>
      </c>
      <c r="B1791" s="8">
        <f>IFERROR(__xludf.DUMMYFUNCTION("""COMPUTED_VALUE"""),30.0)</f>
        <v>30</v>
      </c>
    </row>
    <row r="1792">
      <c r="A1792" s="8">
        <f>IFERROR(__xludf.DUMMYFUNCTION("""COMPUTED_VALUE"""),1790.0)</f>
        <v>1790</v>
      </c>
      <c r="B1792" s="8">
        <f>IFERROR(__xludf.DUMMYFUNCTION("""COMPUTED_VALUE"""),26.0)</f>
        <v>26</v>
      </c>
    </row>
    <row r="1793">
      <c r="A1793" s="8">
        <f>IFERROR(__xludf.DUMMYFUNCTION("""COMPUTED_VALUE"""),1791.0)</f>
        <v>1791</v>
      </c>
      <c r="B1793" s="8">
        <f>IFERROR(__xludf.DUMMYFUNCTION("""COMPUTED_VALUE"""),43.0)</f>
        <v>43</v>
      </c>
    </row>
    <row r="1794">
      <c r="A1794" s="8">
        <f>IFERROR(__xludf.DUMMYFUNCTION("""COMPUTED_VALUE"""),1792.0)</f>
        <v>1792</v>
      </c>
      <c r="B1794" s="8">
        <f>IFERROR(__xludf.DUMMYFUNCTION("""COMPUTED_VALUE"""),66.0)</f>
        <v>66</v>
      </c>
    </row>
    <row r="1795">
      <c r="A1795" s="8">
        <f>IFERROR(__xludf.DUMMYFUNCTION("""COMPUTED_VALUE"""),1793.0)</f>
        <v>1793</v>
      </c>
      <c r="B1795" s="8">
        <f>IFERROR(__xludf.DUMMYFUNCTION("""COMPUTED_VALUE"""),39.0)</f>
        <v>39</v>
      </c>
    </row>
    <row r="1796">
      <c r="A1796" s="8">
        <f>IFERROR(__xludf.DUMMYFUNCTION("""COMPUTED_VALUE"""),1794.0)</f>
        <v>1794</v>
      </c>
      <c r="B1796" s="8">
        <f>IFERROR(__xludf.DUMMYFUNCTION("""COMPUTED_VALUE"""),37.0)</f>
        <v>37</v>
      </c>
    </row>
    <row r="1797">
      <c r="A1797" s="8">
        <f>IFERROR(__xludf.DUMMYFUNCTION("""COMPUTED_VALUE"""),1795.0)</f>
        <v>1795</v>
      </c>
      <c r="B1797" s="8">
        <f>IFERROR(__xludf.DUMMYFUNCTION("""COMPUTED_VALUE"""),56.0)</f>
        <v>56</v>
      </c>
    </row>
    <row r="1798">
      <c r="A1798" s="8">
        <f>IFERROR(__xludf.DUMMYFUNCTION("""COMPUTED_VALUE"""),1796.0)</f>
        <v>1796</v>
      </c>
      <c r="B1798" s="8">
        <f>IFERROR(__xludf.DUMMYFUNCTION("""COMPUTED_VALUE"""),37.0)</f>
        <v>37</v>
      </c>
    </row>
    <row r="1799">
      <c r="A1799" s="8">
        <f>IFERROR(__xludf.DUMMYFUNCTION("""COMPUTED_VALUE"""),1797.0)</f>
        <v>1797</v>
      </c>
      <c r="B1799" s="8">
        <f>IFERROR(__xludf.DUMMYFUNCTION("""COMPUTED_VALUE"""),29.0)</f>
        <v>29</v>
      </c>
    </row>
    <row r="1800">
      <c r="A1800" s="8">
        <f>IFERROR(__xludf.DUMMYFUNCTION("""COMPUTED_VALUE"""),1798.0)</f>
        <v>1798</v>
      </c>
      <c r="B1800" s="8">
        <f>IFERROR(__xludf.DUMMYFUNCTION("""COMPUTED_VALUE"""),62.0)</f>
        <v>62</v>
      </c>
    </row>
    <row r="1801">
      <c r="A1801" s="8">
        <f>IFERROR(__xludf.DUMMYFUNCTION("""COMPUTED_VALUE"""),1799.0)</f>
        <v>1799</v>
      </c>
      <c r="B1801" s="8">
        <f>IFERROR(__xludf.DUMMYFUNCTION("""COMPUTED_VALUE"""),66.0)</f>
        <v>66</v>
      </c>
    </row>
    <row r="1802">
      <c r="A1802" s="8">
        <f>IFERROR(__xludf.DUMMYFUNCTION("""COMPUTED_VALUE"""),1800.0)</f>
        <v>1800</v>
      </c>
      <c r="B1802" s="8">
        <f>IFERROR(__xludf.DUMMYFUNCTION("""COMPUTED_VALUE"""),32.0)</f>
        <v>32</v>
      </c>
    </row>
    <row r="1803">
      <c r="A1803" s="8">
        <f>IFERROR(__xludf.DUMMYFUNCTION("""COMPUTED_VALUE"""),1801.0)</f>
        <v>1801</v>
      </c>
      <c r="B1803" s="8">
        <f>IFERROR(__xludf.DUMMYFUNCTION("""COMPUTED_VALUE"""),23.0)</f>
        <v>23</v>
      </c>
    </row>
    <row r="1804">
      <c r="A1804" s="8">
        <f>IFERROR(__xludf.DUMMYFUNCTION("""COMPUTED_VALUE"""),1802.0)</f>
        <v>1802</v>
      </c>
      <c r="B1804" s="8">
        <f>IFERROR(__xludf.DUMMYFUNCTION("""COMPUTED_VALUE"""),43.0)</f>
        <v>43</v>
      </c>
    </row>
    <row r="1805">
      <c r="A1805" s="8">
        <f>IFERROR(__xludf.DUMMYFUNCTION("""COMPUTED_VALUE"""),1803.0)</f>
        <v>1803</v>
      </c>
      <c r="B1805" s="8">
        <f>IFERROR(__xludf.DUMMYFUNCTION("""COMPUTED_VALUE"""),41.0)</f>
        <v>41</v>
      </c>
    </row>
    <row r="1806">
      <c r="A1806" s="8">
        <f>IFERROR(__xludf.DUMMYFUNCTION("""COMPUTED_VALUE"""),1804.0)</f>
        <v>1804</v>
      </c>
      <c r="B1806" s="8">
        <f>IFERROR(__xludf.DUMMYFUNCTION("""COMPUTED_VALUE"""),27.0)</f>
        <v>27</v>
      </c>
    </row>
    <row r="1807">
      <c r="A1807" s="8">
        <f>IFERROR(__xludf.DUMMYFUNCTION("""COMPUTED_VALUE"""),1805.0)</f>
        <v>1805</v>
      </c>
      <c r="B1807" s="8">
        <f>IFERROR(__xludf.DUMMYFUNCTION("""COMPUTED_VALUE"""),43.0)</f>
        <v>43</v>
      </c>
    </row>
    <row r="1808">
      <c r="A1808" s="8">
        <f>IFERROR(__xludf.DUMMYFUNCTION("""COMPUTED_VALUE"""),1806.0)</f>
        <v>1806</v>
      </c>
      <c r="B1808" s="8">
        <f>IFERROR(__xludf.DUMMYFUNCTION("""COMPUTED_VALUE"""),37.0)</f>
        <v>37</v>
      </c>
    </row>
    <row r="1809">
      <c r="A1809" s="8">
        <f>IFERROR(__xludf.DUMMYFUNCTION("""COMPUTED_VALUE"""),1807.0)</f>
        <v>1807</v>
      </c>
      <c r="B1809" s="8">
        <f>IFERROR(__xludf.DUMMYFUNCTION("""COMPUTED_VALUE"""),42.0)</f>
        <v>42</v>
      </c>
    </row>
    <row r="1810">
      <c r="A1810" s="8">
        <f>IFERROR(__xludf.DUMMYFUNCTION("""COMPUTED_VALUE"""),1808.0)</f>
        <v>1808</v>
      </c>
      <c r="B1810" s="8">
        <f>IFERROR(__xludf.DUMMYFUNCTION("""COMPUTED_VALUE"""),25.0)</f>
        <v>25</v>
      </c>
    </row>
    <row r="1811">
      <c r="A1811" s="8">
        <f>IFERROR(__xludf.DUMMYFUNCTION("""COMPUTED_VALUE"""),1809.0)</f>
        <v>1809</v>
      </c>
      <c r="B1811" s="8">
        <f>IFERROR(__xludf.DUMMYFUNCTION("""COMPUTED_VALUE"""),39.0)</f>
        <v>39</v>
      </c>
    </row>
    <row r="1812">
      <c r="A1812" s="8">
        <f>IFERROR(__xludf.DUMMYFUNCTION("""COMPUTED_VALUE"""),1810.0)</f>
        <v>1810</v>
      </c>
      <c r="B1812" s="8">
        <f>IFERROR(__xludf.DUMMYFUNCTION("""COMPUTED_VALUE"""),23.0)</f>
        <v>23</v>
      </c>
    </row>
    <row r="1813">
      <c r="A1813" s="8">
        <f>IFERROR(__xludf.DUMMYFUNCTION("""COMPUTED_VALUE"""),1811.0)</f>
        <v>1811</v>
      </c>
      <c r="B1813" s="8">
        <f>IFERROR(__xludf.DUMMYFUNCTION("""COMPUTED_VALUE"""),35.0)</f>
        <v>35</v>
      </c>
    </row>
    <row r="1814">
      <c r="A1814" s="8">
        <f>IFERROR(__xludf.DUMMYFUNCTION("""COMPUTED_VALUE"""),1812.0)</f>
        <v>1812</v>
      </c>
      <c r="B1814" s="8">
        <f>IFERROR(__xludf.DUMMYFUNCTION("""COMPUTED_VALUE"""),38.0)</f>
        <v>38</v>
      </c>
    </row>
    <row r="1815">
      <c r="A1815" s="8">
        <f>IFERROR(__xludf.DUMMYFUNCTION("""COMPUTED_VALUE"""),1813.0)</f>
        <v>1813</v>
      </c>
      <c r="B1815" s="8">
        <f>IFERROR(__xludf.DUMMYFUNCTION("""COMPUTED_VALUE"""),53.0)</f>
        <v>53</v>
      </c>
    </row>
    <row r="1816">
      <c r="A1816" s="8">
        <f>IFERROR(__xludf.DUMMYFUNCTION("""COMPUTED_VALUE"""),1814.0)</f>
        <v>1814</v>
      </c>
      <c r="B1816" s="8">
        <f>IFERROR(__xludf.DUMMYFUNCTION("""COMPUTED_VALUE"""),31.0)</f>
        <v>31</v>
      </c>
    </row>
    <row r="1817">
      <c r="A1817" s="8">
        <f>IFERROR(__xludf.DUMMYFUNCTION("""COMPUTED_VALUE"""),1815.0)</f>
        <v>1815</v>
      </c>
      <c r="B1817" s="8">
        <f>IFERROR(__xludf.DUMMYFUNCTION("""COMPUTED_VALUE"""),57.0)</f>
        <v>57</v>
      </c>
    </row>
    <row r="1818">
      <c r="A1818" s="8">
        <f>IFERROR(__xludf.DUMMYFUNCTION("""COMPUTED_VALUE"""),1816.0)</f>
        <v>1816</v>
      </c>
      <c r="B1818" s="8">
        <f>IFERROR(__xludf.DUMMYFUNCTION("""COMPUTED_VALUE"""),37.0)</f>
        <v>37</v>
      </c>
    </row>
    <row r="1819">
      <c r="A1819" s="8">
        <f>IFERROR(__xludf.DUMMYFUNCTION("""COMPUTED_VALUE"""),1817.0)</f>
        <v>1817</v>
      </c>
      <c r="B1819" s="8">
        <f>IFERROR(__xludf.DUMMYFUNCTION("""COMPUTED_VALUE"""),35.0)</f>
        <v>35</v>
      </c>
    </row>
    <row r="1820">
      <c r="A1820" s="8">
        <f>IFERROR(__xludf.DUMMYFUNCTION("""COMPUTED_VALUE"""),1818.0)</f>
        <v>1818</v>
      </c>
      <c r="B1820" s="8">
        <f>IFERROR(__xludf.DUMMYFUNCTION("""COMPUTED_VALUE"""),31.0)</f>
        <v>31</v>
      </c>
    </row>
    <row r="1821">
      <c r="A1821" s="8">
        <f>IFERROR(__xludf.DUMMYFUNCTION("""COMPUTED_VALUE"""),1819.0)</f>
        <v>1819</v>
      </c>
      <c r="B1821" s="8">
        <f>IFERROR(__xludf.DUMMYFUNCTION("""COMPUTED_VALUE"""),38.0)</f>
        <v>38</v>
      </c>
    </row>
    <row r="1822">
      <c r="A1822" s="8">
        <f>IFERROR(__xludf.DUMMYFUNCTION("""COMPUTED_VALUE"""),1820.0)</f>
        <v>1820</v>
      </c>
      <c r="B1822" s="8">
        <f>IFERROR(__xludf.DUMMYFUNCTION("""COMPUTED_VALUE"""),56.0)</f>
        <v>56</v>
      </c>
    </row>
    <row r="1823">
      <c r="A1823" s="8">
        <f>IFERROR(__xludf.DUMMYFUNCTION("""COMPUTED_VALUE"""),1821.0)</f>
        <v>1821</v>
      </c>
      <c r="B1823" s="8">
        <f>IFERROR(__xludf.DUMMYFUNCTION("""COMPUTED_VALUE"""),62.0)</f>
        <v>62</v>
      </c>
    </row>
    <row r="1824">
      <c r="A1824" s="8">
        <f>IFERROR(__xludf.DUMMYFUNCTION("""COMPUTED_VALUE"""),1822.0)</f>
        <v>1822</v>
      </c>
      <c r="B1824" s="8">
        <f>IFERROR(__xludf.DUMMYFUNCTION("""COMPUTED_VALUE"""),43.0)</f>
        <v>43</v>
      </c>
    </row>
    <row r="1825">
      <c r="A1825" s="8">
        <f>IFERROR(__xludf.DUMMYFUNCTION("""COMPUTED_VALUE"""),1823.0)</f>
        <v>1823</v>
      </c>
      <c r="B1825" s="8">
        <f>IFERROR(__xludf.DUMMYFUNCTION("""COMPUTED_VALUE"""),55.0)</f>
        <v>55</v>
      </c>
    </row>
    <row r="1826">
      <c r="A1826" s="8">
        <f>IFERROR(__xludf.DUMMYFUNCTION("""COMPUTED_VALUE"""),1824.0)</f>
        <v>1824</v>
      </c>
      <c r="B1826" s="8">
        <f>IFERROR(__xludf.DUMMYFUNCTION("""COMPUTED_VALUE"""),66.0)</f>
        <v>66</v>
      </c>
    </row>
    <row r="1827">
      <c r="A1827" s="8">
        <f>IFERROR(__xludf.DUMMYFUNCTION("""COMPUTED_VALUE"""),1825.0)</f>
        <v>1825</v>
      </c>
      <c r="B1827" s="8">
        <f>IFERROR(__xludf.DUMMYFUNCTION("""COMPUTED_VALUE"""),24.0)</f>
        <v>24</v>
      </c>
    </row>
    <row r="1828">
      <c r="A1828" s="8">
        <f>IFERROR(__xludf.DUMMYFUNCTION("""COMPUTED_VALUE"""),1826.0)</f>
        <v>1826</v>
      </c>
      <c r="B1828" s="8">
        <f>IFERROR(__xludf.DUMMYFUNCTION("""COMPUTED_VALUE"""),27.0)</f>
        <v>27</v>
      </c>
    </row>
    <row r="1829">
      <c r="A1829" s="8">
        <f>IFERROR(__xludf.DUMMYFUNCTION("""COMPUTED_VALUE"""),1827.0)</f>
        <v>1827</v>
      </c>
      <c r="B1829" s="8">
        <f>IFERROR(__xludf.DUMMYFUNCTION("""COMPUTED_VALUE"""),24.0)</f>
        <v>24</v>
      </c>
    </row>
    <row r="1830">
      <c r="A1830" s="8">
        <f>IFERROR(__xludf.DUMMYFUNCTION("""COMPUTED_VALUE"""),1828.0)</f>
        <v>1828</v>
      </c>
      <c r="B1830" s="8">
        <f>IFERROR(__xludf.DUMMYFUNCTION("""COMPUTED_VALUE"""),43.0)</f>
        <v>43</v>
      </c>
    </row>
    <row r="1831">
      <c r="A1831" s="8">
        <f>IFERROR(__xludf.DUMMYFUNCTION("""COMPUTED_VALUE"""),1829.0)</f>
        <v>1829</v>
      </c>
      <c r="B1831" s="8">
        <f>IFERROR(__xludf.DUMMYFUNCTION("""COMPUTED_VALUE"""),40.0)</f>
        <v>40</v>
      </c>
    </row>
    <row r="1832">
      <c r="A1832" s="8">
        <f>IFERROR(__xludf.DUMMYFUNCTION("""COMPUTED_VALUE"""),1830.0)</f>
        <v>1830</v>
      </c>
      <c r="B1832" s="8">
        <f>IFERROR(__xludf.DUMMYFUNCTION("""COMPUTED_VALUE"""),47.0)</f>
        <v>47</v>
      </c>
    </row>
    <row r="1833">
      <c r="A1833" s="8">
        <f>IFERROR(__xludf.DUMMYFUNCTION("""COMPUTED_VALUE"""),1831.0)</f>
        <v>1831</v>
      </c>
      <c r="B1833" s="8">
        <f>IFERROR(__xludf.DUMMYFUNCTION("""COMPUTED_VALUE"""),28.0)</f>
        <v>28</v>
      </c>
    </row>
    <row r="1834">
      <c r="A1834" s="8">
        <f>IFERROR(__xludf.DUMMYFUNCTION("""COMPUTED_VALUE"""),1832.0)</f>
        <v>1832</v>
      </c>
      <c r="B1834" s="8">
        <f>IFERROR(__xludf.DUMMYFUNCTION("""COMPUTED_VALUE"""),37.0)</f>
        <v>37</v>
      </c>
    </row>
    <row r="1835">
      <c r="A1835" s="8">
        <f>IFERROR(__xludf.DUMMYFUNCTION("""COMPUTED_VALUE"""),1833.0)</f>
        <v>1833</v>
      </c>
      <c r="B1835" s="8">
        <f>IFERROR(__xludf.DUMMYFUNCTION("""COMPUTED_VALUE"""),35.0)</f>
        <v>35</v>
      </c>
    </row>
    <row r="1836">
      <c r="A1836" s="8">
        <f>IFERROR(__xludf.DUMMYFUNCTION("""COMPUTED_VALUE"""),1834.0)</f>
        <v>1834</v>
      </c>
      <c r="B1836" s="8">
        <f>IFERROR(__xludf.DUMMYFUNCTION("""COMPUTED_VALUE"""),33.0)</f>
        <v>33</v>
      </c>
    </row>
    <row r="1837">
      <c r="A1837" s="8">
        <f>IFERROR(__xludf.DUMMYFUNCTION("""COMPUTED_VALUE"""),1835.0)</f>
        <v>1835</v>
      </c>
      <c r="B1837" s="8">
        <f>IFERROR(__xludf.DUMMYFUNCTION("""COMPUTED_VALUE"""),57.0)</f>
        <v>57</v>
      </c>
    </row>
    <row r="1838">
      <c r="A1838" s="8">
        <f>IFERROR(__xludf.DUMMYFUNCTION("""COMPUTED_VALUE"""),1836.0)</f>
        <v>1836</v>
      </c>
      <c r="B1838" s="8">
        <f>IFERROR(__xludf.DUMMYFUNCTION("""COMPUTED_VALUE"""),43.0)</f>
        <v>43</v>
      </c>
    </row>
    <row r="1839">
      <c r="A1839" s="8">
        <f>IFERROR(__xludf.DUMMYFUNCTION("""COMPUTED_VALUE"""),1837.0)</f>
        <v>1837</v>
      </c>
      <c r="B1839" s="8">
        <f>IFERROR(__xludf.DUMMYFUNCTION("""COMPUTED_VALUE"""),36.0)</f>
        <v>36</v>
      </c>
    </row>
    <row r="1840">
      <c r="A1840" s="8">
        <f>IFERROR(__xludf.DUMMYFUNCTION("""COMPUTED_VALUE"""),1838.0)</f>
        <v>1838</v>
      </c>
      <c r="B1840" s="8">
        <f>IFERROR(__xludf.DUMMYFUNCTION("""COMPUTED_VALUE"""),33.0)</f>
        <v>33</v>
      </c>
    </row>
    <row r="1841">
      <c r="A1841" s="8">
        <f>IFERROR(__xludf.DUMMYFUNCTION("""COMPUTED_VALUE"""),1839.0)</f>
        <v>1839</v>
      </c>
      <c r="B1841" s="8">
        <f>IFERROR(__xludf.DUMMYFUNCTION("""COMPUTED_VALUE"""),48.0)</f>
        <v>48</v>
      </c>
    </row>
    <row r="1842">
      <c r="A1842" s="8">
        <f>IFERROR(__xludf.DUMMYFUNCTION("""COMPUTED_VALUE"""),1840.0)</f>
        <v>1840</v>
      </c>
      <c r="B1842" s="8">
        <f>IFERROR(__xludf.DUMMYFUNCTION("""COMPUTED_VALUE"""),33.0)</f>
        <v>33</v>
      </c>
    </row>
    <row r="1843">
      <c r="A1843" s="8">
        <f>IFERROR(__xludf.DUMMYFUNCTION("""COMPUTED_VALUE"""),1841.0)</f>
        <v>1841</v>
      </c>
      <c r="B1843" s="8">
        <f>IFERROR(__xludf.DUMMYFUNCTION("""COMPUTED_VALUE"""),58.0)</f>
        <v>58</v>
      </c>
    </row>
    <row r="1844">
      <c r="A1844" s="8">
        <f>IFERROR(__xludf.DUMMYFUNCTION("""COMPUTED_VALUE"""),1842.0)</f>
        <v>1842</v>
      </c>
      <c r="B1844" s="8">
        <f>IFERROR(__xludf.DUMMYFUNCTION("""COMPUTED_VALUE"""),49.0)</f>
        <v>49</v>
      </c>
    </row>
    <row r="1845">
      <c r="A1845" s="8">
        <f>IFERROR(__xludf.DUMMYFUNCTION("""COMPUTED_VALUE"""),1843.0)</f>
        <v>1843</v>
      </c>
      <c r="B1845" s="8">
        <f>IFERROR(__xludf.DUMMYFUNCTION("""COMPUTED_VALUE"""),35.0)</f>
        <v>35</v>
      </c>
    </row>
    <row r="1846">
      <c r="A1846" s="8">
        <f>IFERROR(__xludf.DUMMYFUNCTION("""COMPUTED_VALUE"""),1844.0)</f>
        <v>1844</v>
      </c>
      <c r="B1846" s="8">
        <f>IFERROR(__xludf.DUMMYFUNCTION("""COMPUTED_VALUE"""),32.0)</f>
        <v>32</v>
      </c>
    </row>
    <row r="1847">
      <c r="A1847" s="8">
        <f>IFERROR(__xludf.DUMMYFUNCTION("""COMPUTED_VALUE"""),1845.0)</f>
        <v>1845</v>
      </c>
      <c r="B1847" s="8">
        <f>IFERROR(__xludf.DUMMYFUNCTION("""COMPUTED_VALUE"""),34.0)</f>
        <v>34</v>
      </c>
    </row>
    <row r="1848">
      <c r="A1848" s="8">
        <f>IFERROR(__xludf.DUMMYFUNCTION("""COMPUTED_VALUE"""),1846.0)</f>
        <v>1846</v>
      </c>
      <c r="B1848" s="8">
        <f>IFERROR(__xludf.DUMMYFUNCTION("""COMPUTED_VALUE"""),36.0)</f>
        <v>36</v>
      </c>
    </row>
    <row r="1849">
      <c r="A1849" s="8">
        <f>IFERROR(__xludf.DUMMYFUNCTION("""COMPUTED_VALUE"""),1847.0)</f>
        <v>1847</v>
      </c>
      <c r="B1849" s="8">
        <f>IFERROR(__xludf.DUMMYFUNCTION("""COMPUTED_VALUE"""),66.0)</f>
        <v>66</v>
      </c>
    </row>
    <row r="1850">
      <c r="A1850" s="8">
        <f>IFERROR(__xludf.DUMMYFUNCTION("""COMPUTED_VALUE"""),1848.0)</f>
        <v>1848</v>
      </c>
      <c r="B1850" s="8">
        <f>IFERROR(__xludf.DUMMYFUNCTION("""COMPUTED_VALUE"""),39.0)</f>
        <v>39</v>
      </c>
    </row>
    <row r="1851">
      <c r="A1851" s="8">
        <f>IFERROR(__xludf.DUMMYFUNCTION("""COMPUTED_VALUE"""),1849.0)</f>
        <v>1849</v>
      </c>
      <c r="B1851" s="8">
        <f>IFERROR(__xludf.DUMMYFUNCTION("""COMPUTED_VALUE"""),28.0)</f>
        <v>28</v>
      </c>
    </row>
    <row r="1852">
      <c r="A1852" s="8">
        <f>IFERROR(__xludf.DUMMYFUNCTION("""COMPUTED_VALUE"""),1850.0)</f>
        <v>1850</v>
      </c>
      <c r="B1852" s="8">
        <f>IFERROR(__xludf.DUMMYFUNCTION("""COMPUTED_VALUE"""),31.0)</f>
        <v>31</v>
      </c>
    </row>
    <row r="1853">
      <c r="A1853" s="8">
        <f>IFERROR(__xludf.DUMMYFUNCTION("""COMPUTED_VALUE"""),1851.0)</f>
        <v>1851</v>
      </c>
      <c r="B1853" s="8">
        <f>IFERROR(__xludf.DUMMYFUNCTION("""COMPUTED_VALUE"""),63.0)</f>
        <v>63</v>
      </c>
    </row>
    <row r="1854">
      <c r="A1854" s="8">
        <f>IFERROR(__xludf.DUMMYFUNCTION("""COMPUTED_VALUE"""),1852.0)</f>
        <v>1852</v>
      </c>
      <c r="B1854" s="8">
        <f>IFERROR(__xludf.DUMMYFUNCTION("""COMPUTED_VALUE"""),41.0)</f>
        <v>41</v>
      </c>
    </row>
    <row r="1855">
      <c r="A1855" s="8">
        <f>IFERROR(__xludf.DUMMYFUNCTION("""COMPUTED_VALUE"""),1853.0)</f>
        <v>1853</v>
      </c>
      <c r="B1855" s="8">
        <f>IFERROR(__xludf.DUMMYFUNCTION("""COMPUTED_VALUE"""),41.0)</f>
        <v>41</v>
      </c>
    </row>
    <row r="1856">
      <c r="A1856" s="8">
        <f>IFERROR(__xludf.DUMMYFUNCTION("""COMPUTED_VALUE"""),1854.0)</f>
        <v>1854</v>
      </c>
      <c r="B1856" s="8">
        <f>IFERROR(__xludf.DUMMYFUNCTION("""COMPUTED_VALUE"""),33.0)</f>
        <v>33</v>
      </c>
    </row>
    <row r="1857">
      <c r="A1857" s="8">
        <f>IFERROR(__xludf.DUMMYFUNCTION("""COMPUTED_VALUE"""),1855.0)</f>
        <v>1855</v>
      </c>
      <c r="B1857" s="8">
        <f>IFERROR(__xludf.DUMMYFUNCTION("""COMPUTED_VALUE"""),43.0)</f>
        <v>43</v>
      </c>
    </row>
    <row r="1858">
      <c r="A1858" s="8">
        <f>IFERROR(__xludf.DUMMYFUNCTION("""COMPUTED_VALUE"""),1856.0)</f>
        <v>1856</v>
      </c>
      <c r="B1858" s="8">
        <f>IFERROR(__xludf.DUMMYFUNCTION("""COMPUTED_VALUE"""),59.0)</f>
        <v>59</v>
      </c>
    </row>
    <row r="1859">
      <c r="A1859" s="8">
        <f>IFERROR(__xludf.DUMMYFUNCTION("""COMPUTED_VALUE"""),1857.0)</f>
        <v>1857</v>
      </c>
      <c r="B1859" s="8">
        <f>IFERROR(__xludf.DUMMYFUNCTION("""COMPUTED_VALUE"""),30.0)</f>
        <v>30</v>
      </c>
    </row>
    <row r="1860">
      <c r="A1860" s="8">
        <f>IFERROR(__xludf.DUMMYFUNCTION("""COMPUTED_VALUE"""),1858.0)</f>
        <v>1858</v>
      </c>
      <c r="B1860" s="8">
        <f>IFERROR(__xludf.DUMMYFUNCTION("""COMPUTED_VALUE"""),63.0)</f>
        <v>63</v>
      </c>
    </row>
    <row r="1861">
      <c r="A1861" s="8">
        <f>IFERROR(__xludf.DUMMYFUNCTION("""COMPUTED_VALUE"""),1859.0)</f>
        <v>1859</v>
      </c>
      <c r="B1861" s="8">
        <f>IFERROR(__xludf.DUMMYFUNCTION("""COMPUTED_VALUE"""),34.0)</f>
        <v>34</v>
      </c>
    </row>
    <row r="1862">
      <c r="A1862" s="8">
        <f>IFERROR(__xludf.DUMMYFUNCTION("""COMPUTED_VALUE"""),1860.0)</f>
        <v>1860</v>
      </c>
      <c r="B1862" s="8">
        <f>IFERROR(__xludf.DUMMYFUNCTION("""COMPUTED_VALUE"""),58.0)</f>
        <v>58</v>
      </c>
    </row>
    <row r="1863">
      <c r="A1863" s="8">
        <f>IFERROR(__xludf.DUMMYFUNCTION("""COMPUTED_VALUE"""),1861.0)</f>
        <v>1861</v>
      </c>
      <c r="B1863" s="8">
        <f>IFERROR(__xludf.DUMMYFUNCTION("""COMPUTED_VALUE"""),35.0)</f>
        <v>35</v>
      </c>
    </row>
    <row r="1864">
      <c r="A1864" s="8">
        <f>IFERROR(__xludf.DUMMYFUNCTION("""COMPUTED_VALUE"""),1862.0)</f>
        <v>1862</v>
      </c>
      <c r="B1864" s="8">
        <f>IFERROR(__xludf.DUMMYFUNCTION("""COMPUTED_VALUE"""),34.0)</f>
        <v>34</v>
      </c>
    </row>
    <row r="1865">
      <c r="A1865" s="8">
        <f>IFERROR(__xludf.DUMMYFUNCTION("""COMPUTED_VALUE"""),1863.0)</f>
        <v>1863</v>
      </c>
      <c r="B1865" s="8">
        <f>IFERROR(__xludf.DUMMYFUNCTION("""COMPUTED_VALUE"""),36.0)</f>
        <v>36</v>
      </c>
    </row>
    <row r="1866">
      <c r="A1866" s="8">
        <f>IFERROR(__xludf.DUMMYFUNCTION("""COMPUTED_VALUE"""),1864.0)</f>
        <v>1864</v>
      </c>
      <c r="B1866" s="8">
        <f>IFERROR(__xludf.DUMMYFUNCTION("""COMPUTED_VALUE"""),35.0)</f>
        <v>35</v>
      </c>
    </row>
    <row r="1867">
      <c r="A1867" s="8">
        <f>IFERROR(__xludf.DUMMYFUNCTION("""COMPUTED_VALUE"""),1865.0)</f>
        <v>1865</v>
      </c>
      <c r="B1867" s="8">
        <f>IFERROR(__xludf.DUMMYFUNCTION("""COMPUTED_VALUE"""),39.0)</f>
        <v>39</v>
      </c>
    </row>
    <row r="1868">
      <c r="A1868" s="8">
        <f>IFERROR(__xludf.DUMMYFUNCTION("""COMPUTED_VALUE"""),1866.0)</f>
        <v>1866</v>
      </c>
      <c r="B1868" s="8">
        <f>IFERROR(__xludf.DUMMYFUNCTION("""COMPUTED_VALUE"""),39.0)</f>
        <v>39</v>
      </c>
    </row>
    <row r="1869">
      <c r="A1869" s="8">
        <f>IFERROR(__xludf.DUMMYFUNCTION("""COMPUTED_VALUE"""),1867.0)</f>
        <v>1867</v>
      </c>
      <c r="B1869" s="8">
        <f>IFERROR(__xludf.DUMMYFUNCTION("""COMPUTED_VALUE"""),33.0)</f>
        <v>33</v>
      </c>
    </row>
    <row r="1870">
      <c r="A1870" s="8">
        <f>IFERROR(__xludf.DUMMYFUNCTION("""COMPUTED_VALUE"""),1868.0)</f>
        <v>1868</v>
      </c>
      <c r="B1870" s="8">
        <f>IFERROR(__xludf.DUMMYFUNCTION("""COMPUTED_VALUE"""),50.0)</f>
        <v>50</v>
      </c>
    </row>
    <row r="1871">
      <c r="A1871" s="8">
        <f>IFERROR(__xludf.DUMMYFUNCTION("""COMPUTED_VALUE"""),1869.0)</f>
        <v>1869</v>
      </c>
      <c r="B1871" s="8">
        <f>IFERROR(__xludf.DUMMYFUNCTION("""COMPUTED_VALUE"""),32.0)</f>
        <v>32</v>
      </c>
    </row>
    <row r="1872">
      <c r="A1872" s="8">
        <f>IFERROR(__xludf.DUMMYFUNCTION("""COMPUTED_VALUE"""),1870.0)</f>
        <v>1870</v>
      </c>
      <c r="B1872" s="8">
        <f>IFERROR(__xludf.DUMMYFUNCTION("""COMPUTED_VALUE"""),33.0)</f>
        <v>33</v>
      </c>
    </row>
    <row r="1873">
      <c r="A1873" s="8">
        <f>IFERROR(__xludf.DUMMYFUNCTION("""COMPUTED_VALUE"""),1871.0)</f>
        <v>1871</v>
      </c>
      <c r="B1873" s="8">
        <f>IFERROR(__xludf.DUMMYFUNCTION("""COMPUTED_VALUE"""),39.0)</f>
        <v>39</v>
      </c>
    </row>
    <row r="1874">
      <c r="A1874" s="8">
        <f>IFERROR(__xludf.DUMMYFUNCTION("""COMPUTED_VALUE"""),1872.0)</f>
        <v>1872</v>
      </c>
      <c r="B1874" s="8">
        <f>IFERROR(__xludf.DUMMYFUNCTION("""COMPUTED_VALUE"""),65.0)</f>
        <v>65</v>
      </c>
    </row>
    <row r="1875">
      <c r="A1875" s="8">
        <f>IFERROR(__xludf.DUMMYFUNCTION("""COMPUTED_VALUE"""),1873.0)</f>
        <v>1873</v>
      </c>
      <c r="B1875" s="8">
        <f>IFERROR(__xludf.DUMMYFUNCTION("""COMPUTED_VALUE"""),43.0)</f>
        <v>43</v>
      </c>
    </row>
    <row r="1876">
      <c r="A1876" s="8">
        <f>IFERROR(__xludf.DUMMYFUNCTION("""COMPUTED_VALUE"""),1874.0)</f>
        <v>1874</v>
      </c>
      <c r="B1876" s="8">
        <f>IFERROR(__xludf.DUMMYFUNCTION("""COMPUTED_VALUE"""),44.0)</f>
        <v>44</v>
      </c>
    </row>
    <row r="1877">
      <c r="A1877" s="8">
        <f>IFERROR(__xludf.DUMMYFUNCTION("""COMPUTED_VALUE"""),1875.0)</f>
        <v>1875</v>
      </c>
      <c r="B1877" s="8">
        <f>IFERROR(__xludf.DUMMYFUNCTION("""COMPUTED_VALUE"""),38.0)</f>
        <v>38</v>
      </c>
    </row>
    <row r="1878">
      <c r="A1878" s="8">
        <f>IFERROR(__xludf.DUMMYFUNCTION("""COMPUTED_VALUE"""),1876.0)</f>
        <v>1876</v>
      </c>
      <c r="B1878" s="8">
        <f>IFERROR(__xludf.DUMMYFUNCTION("""COMPUTED_VALUE"""),37.0)</f>
        <v>37</v>
      </c>
    </row>
    <row r="1879">
      <c r="A1879" s="8">
        <f>IFERROR(__xludf.DUMMYFUNCTION("""COMPUTED_VALUE"""),1877.0)</f>
        <v>1877</v>
      </c>
      <c r="B1879" s="8">
        <f>IFERROR(__xludf.DUMMYFUNCTION("""COMPUTED_VALUE"""),39.0)</f>
        <v>39</v>
      </c>
    </row>
    <row r="1880">
      <c r="A1880" s="8">
        <f>IFERROR(__xludf.DUMMYFUNCTION("""COMPUTED_VALUE"""),1878.0)</f>
        <v>1878</v>
      </c>
      <c r="B1880" s="8">
        <f>IFERROR(__xludf.DUMMYFUNCTION("""COMPUTED_VALUE"""),36.0)</f>
        <v>36</v>
      </c>
    </row>
    <row r="1881">
      <c r="A1881" s="8">
        <f>IFERROR(__xludf.DUMMYFUNCTION("""COMPUTED_VALUE"""),1879.0)</f>
        <v>1879</v>
      </c>
      <c r="B1881" s="8">
        <f>IFERROR(__xludf.DUMMYFUNCTION("""COMPUTED_VALUE"""),67.0)</f>
        <v>67</v>
      </c>
    </row>
    <row r="1882">
      <c r="A1882" s="8">
        <f>IFERROR(__xludf.DUMMYFUNCTION("""COMPUTED_VALUE"""),1880.0)</f>
        <v>1880</v>
      </c>
      <c r="B1882" s="8">
        <f>IFERROR(__xludf.DUMMYFUNCTION("""COMPUTED_VALUE"""),51.0)</f>
        <v>51</v>
      </c>
    </row>
    <row r="1883">
      <c r="A1883" s="8">
        <f>IFERROR(__xludf.DUMMYFUNCTION("""COMPUTED_VALUE"""),1881.0)</f>
        <v>1881</v>
      </c>
      <c r="B1883" s="8">
        <f>IFERROR(__xludf.DUMMYFUNCTION("""COMPUTED_VALUE"""),26.0)</f>
        <v>26</v>
      </c>
    </row>
    <row r="1884">
      <c r="A1884" s="8">
        <f>IFERROR(__xludf.DUMMYFUNCTION("""COMPUTED_VALUE"""),1882.0)</f>
        <v>1882</v>
      </c>
      <c r="B1884" s="8">
        <f>IFERROR(__xludf.DUMMYFUNCTION("""COMPUTED_VALUE"""),38.0)</f>
        <v>38</v>
      </c>
    </row>
    <row r="1885">
      <c r="A1885" s="8">
        <f>IFERROR(__xludf.DUMMYFUNCTION("""COMPUTED_VALUE"""),1883.0)</f>
        <v>1883</v>
      </c>
      <c r="B1885" s="8">
        <f>IFERROR(__xludf.DUMMYFUNCTION("""COMPUTED_VALUE"""),44.0)</f>
        <v>44</v>
      </c>
    </row>
    <row r="1886">
      <c r="A1886" s="8">
        <f>IFERROR(__xludf.DUMMYFUNCTION("""COMPUTED_VALUE"""),1884.0)</f>
        <v>1884</v>
      </c>
      <c r="B1886" s="8">
        <f>IFERROR(__xludf.DUMMYFUNCTION("""COMPUTED_VALUE"""),56.0)</f>
        <v>56</v>
      </c>
    </row>
    <row r="1887">
      <c r="A1887" s="8">
        <f>IFERROR(__xludf.DUMMYFUNCTION("""COMPUTED_VALUE"""),1885.0)</f>
        <v>1885</v>
      </c>
      <c r="B1887" s="8">
        <f>IFERROR(__xludf.DUMMYFUNCTION("""COMPUTED_VALUE"""),41.0)</f>
        <v>41</v>
      </c>
    </row>
    <row r="1888">
      <c r="A1888" s="8">
        <f>IFERROR(__xludf.DUMMYFUNCTION("""COMPUTED_VALUE"""),1886.0)</f>
        <v>1886</v>
      </c>
      <c r="B1888" s="8">
        <f>IFERROR(__xludf.DUMMYFUNCTION("""COMPUTED_VALUE"""),36.0)</f>
        <v>36</v>
      </c>
    </row>
    <row r="1889">
      <c r="A1889" s="8">
        <f>IFERROR(__xludf.DUMMYFUNCTION("""COMPUTED_VALUE"""),1887.0)</f>
        <v>1887</v>
      </c>
      <c r="B1889" s="8">
        <f>IFERROR(__xludf.DUMMYFUNCTION("""COMPUTED_VALUE"""),39.0)</f>
        <v>39</v>
      </c>
    </row>
    <row r="1890">
      <c r="A1890" s="8">
        <f>IFERROR(__xludf.DUMMYFUNCTION("""COMPUTED_VALUE"""),1888.0)</f>
        <v>1888</v>
      </c>
      <c r="B1890" s="8">
        <f>IFERROR(__xludf.DUMMYFUNCTION("""COMPUTED_VALUE"""),38.0)</f>
        <v>38</v>
      </c>
    </row>
    <row r="1891">
      <c r="A1891" s="8">
        <f>IFERROR(__xludf.DUMMYFUNCTION("""COMPUTED_VALUE"""),1889.0)</f>
        <v>1889</v>
      </c>
      <c r="B1891" s="8">
        <f>IFERROR(__xludf.DUMMYFUNCTION("""COMPUTED_VALUE"""),41.0)</f>
        <v>41</v>
      </c>
    </row>
    <row r="1892">
      <c r="A1892" s="8">
        <f>IFERROR(__xludf.DUMMYFUNCTION("""COMPUTED_VALUE"""),1890.0)</f>
        <v>1890</v>
      </c>
      <c r="B1892" s="8">
        <f>IFERROR(__xludf.DUMMYFUNCTION("""COMPUTED_VALUE"""),42.0)</f>
        <v>42</v>
      </c>
    </row>
    <row r="1893">
      <c r="A1893" s="8">
        <f>IFERROR(__xludf.DUMMYFUNCTION("""COMPUTED_VALUE"""),1891.0)</f>
        <v>1891</v>
      </c>
      <c r="B1893" s="8">
        <f>IFERROR(__xludf.DUMMYFUNCTION("""COMPUTED_VALUE"""),42.0)</f>
        <v>42</v>
      </c>
    </row>
    <row r="1894">
      <c r="A1894" s="8">
        <f>IFERROR(__xludf.DUMMYFUNCTION("""COMPUTED_VALUE"""),1892.0)</f>
        <v>1892</v>
      </c>
      <c r="B1894" s="8">
        <f>IFERROR(__xludf.DUMMYFUNCTION("""COMPUTED_VALUE"""),33.0)</f>
        <v>33</v>
      </c>
    </row>
    <row r="1895">
      <c r="A1895" s="8">
        <f>IFERROR(__xludf.DUMMYFUNCTION("""COMPUTED_VALUE"""),1893.0)</f>
        <v>1893</v>
      </c>
      <c r="B1895" s="8">
        <f>IFERROR(__xludf.DUMMYFUNCTION("""COMPUTED_VALUE"""),50.0)</f>
        <v>50</v>
      </c>
    </row>
    <row r="1896">
      <c r="A1896" s="8">
        <f>IFERROR(__xludf.DUMMYFUNCTION("""COMPUTED_VALUE"""),1894.0)</f>
        <v>1894</v>
      </c>
      <c r="B1896" s="8">
        <f>IFERROR(__xludf.DUMMYFUNCTION("""COMPUTED_VALUE"""),53.0)</f>
        <v>53</v>
      </c>
    </row>
    <row r="1897">
      <c r="A1897" s="8">
        <f>IFERROR(__xludf.DUMMYFUNCTION("""COMPUTED_VALUE"""),1895.0)</f>
        <v>1895</v>
      </c>
      <c r="B1897" s="8">
        <f>IFERROR(__xludf.DUMMYFUNCTION("""COMPUTED_VALUE"""),39.0)</f>
        <v>39</v>
      </c>
    </row>
    <row r="1898">
      <c r="A1898" s="8">
        <f>IFERROR(__xludf.DUMMYFUNCTION("""COMPUTED_VALUE"""),1896.0)</f>
        <v>1896</v>
      </c>
      <c r="B1898" s="8">
        <f>IFERROR(__xludf.DUMMYFUNCTION("""COMPUTED_VALUE"""),39.0)</f>
        <v>39</v>
      </c>
    </row>
    <row r="1899">
      <c r="A1899" s="8">
        <f>IFERROR(__xludf.DUMMYFUNCTION("""COMPUTED_VALUE"""),1897.0)</f>
        <v>1897</v>
      </c>
      <c r="B1899" s="8">
        <f>IFERROR(__xludf.DUMMYFUNCTION("""COMPUTED_VALUE"""),59.0)</f>
        <v>59</v>
      </c>
    </row>
    <row r="1900">
      <c r="A1900" s="8">
        <f>IFERROR(__xludf.DUMMYFUNCTION("""COMPUTED_VALUE"""),1898.0)</f>
        <v>1898</v>
      </c>
      <c r="B1900" s="8">
        <f>IFERROR(__xludf.DUMMYFUNCTION("""COMPUTED_VALUE"""),38.0)</f>
        <v>38</v>
      </c>
    </row>
    <row r="1901">
      <c r="A1901" s="8">
        <f>IFERROR(__xludf.DUMMYFUNCTION("""COMPUTED_VALUE"""),1899.0)</f>
        <v>1899</v>
      </c>
      <c r="B1901" s="8">
        <f>IFERROR(__xludf.DUMMYFUNCTION("""COMPUTED_VALUE"""),25.0)</f>
        <v>25</v>
      </c>
    </row>
    <row r="1902">
      <c r="A1902" s="8">
        <f>IFERROR(__xludf.DUMMYFUNCTION("""COMPUTED_VALUE"""),1900.0)</f>
        <v>1900</v>
      </c>
      <c r="B1902" s="8">
        <f>IFERROR(__xludf.DUMMYFUNCTION("""COMPUTED_VALUE"""),56.0)</f>
        <v>56</v>
      </c>
    </row>
    <row r="1903">
      <c r="A1903" s="8">
        <f>IFERROR(__xludf.DUMMYFUNCTION("""COMPUTED_VALUE"""),1901.0)</f>
        <v>1901</v>
      </c>
      <c r="B1903" s="8">
        <f>IFERROR(__xludf.DUMMYFUNCTION("""COMPUTED_VALUE"""),41.0)</f>
        <v>41</v>
      </c>
    </row>
    <row r="1904">
      <c r="A1904" s="8">
        <f>IFERROR(__xludf.DUMMYFUNCTION("""COMPUTED_VALUE"""),1902.0)</f>
        <v>1902</v>
      </c>
      <c r="B1904" s="8">
        <f>IFERROR(__xludf.DUMMYFUNCTION("""COMPUTED_VALUE"""),52.0)</f>
        <v>52</v>
      </c>
    </row>
    <row r="1905">
      <c r="A1905" s="8">
        <f>IFERROR(__xludf.DUMMYFUNCTION("""COMPUTED_VALUE"""),1903.0)</f>
        <v>1903</v>
      </c>
      <c r="B1905" s="8">
        <f>IFERROR(__xludf.DUMMYFUNCTION("""COMPUTED_VALUE"""),56.0)</f>
        <v>56</v>
      </c>
    </row>
    <row r="1906">
      <c r="A1906" s="8">
        <f>IFERROR(__xludf.DUMMYFUNCTION("""COMPUTED_VALUE"""),1904.0)</f>
        <v>1904</v>
      </c>
      <c r="B1906" s="8">
        <f>IFERROR(__xludf.DUMMYFUNCTION("""COMPUTED_VALUE"""),46.0)</f>
        <v>46</v>
      </c>
    </row>
    <row r="1907">
      <c r="A1907" s="8">
        <f>IFERROR(__xludf.DUMMYFUNCTION("""COMPUTED_VALUE"""),1905.0)</f>
        <v>1905</v>
      </c>
      <c r="B1907" s="8">
        <f>IFERROR(__xludf.DUMMYFUNCTION("""COMPUTED_VALUE"""),26.0)</f>
        <v>26</v>
      </c>
    </row>
    <row r="1908">
      <c r="A1908" s="8">
        <f>IFERROR(__xludf.DUMMYFUNCTION("""COMPUTED_VALUE"""),1906.0)</f>
        <v>1906</v>
      </c>
      <c r="B1908" s="8">
        <f>IFERROR(__xludf.DUMMYFUNCTION("""COMPUTED_VALUE"""),47.0)</f>
        <v>47</v>
      </c>
    </row>
    <row r="1909">
      <c r="A1909" s="8">
        <f>IFERROR(__xludf.DUMMYFUNCTION("""COMPUTED_VALUE"""),1907.0)</f>
        <v>1907</v>
      </c>
      <c r="B1909" s="8">
        <f>IFERROR(__xludf.DUMMYFUNCTION("""COMPUTED_VALUE"""),54.0)</f>
        <v>54</v>
      </c>
    </row>
    <row r="1910">
      <c r="A1910" s="8">
        <f>IFERROR(__xludf.DUMMYFUNCTION("""COMPUTED_VALUE"""),1908.0)</f>
        <v>1908</v>
      </c>
      <c r="B1910" s="8">
        <f>IFERROR(__xludf.DUMMYFUNCTION("""COMPUTED_VALUE"""),41.0)</f>
        <v>41</v>
      </c>
    </row>
    <row r="1911">
      <c r="A1911" s="8">
        <f>IFERROR(__xludf.DUMMYFUNCTION("""COMPUTED_VALUE"""),1909.0)</f>
        <v>1909</v>
      </c>
      <c r="B1911" s="8">
        <f>IFERROR(__xludf.DUMMYFUNCTION("""COMPUTED_VALUE"""),56.0)</f>
        <v>56</v>
      </c>
    </row>
    <row r="1912">
      <c r="A1912" s="8">
        <f>IFERROR(__xludf.DUMMYFUNCTION("""COMPUTED_VALUE"""),1910.0)</f>
        <v>1910</v>
      </c>
      <c r="B1912" s="8">
        <f>IFERROR(__xludf.DUMMYFUNCTION("""COMPUTED_VALUE"""),66.0)</f>
        <v>66</v>
      </c>
    </row>
    <row r="1913">
      <c r="A1913" s="8">
        <f>IFERROR(__xludf.DUMMYFUNCTION("""COMPUTED_VALUE"""),1911.0)</f>
        <v>1911</v>
      </c>
      <c r="B1913" s="8">
        <f>IFERROR(__xludf.DUMMYFUNCTION("""COMPUTED_VALUE"""),39.0)</f>
        <v>39</v>
      </c>
    </row>
    <row r="1914">
      <c r="A1914" s="8">
        <f>IFERROR(__xludf.DUMMYFUNCTION("""COMPUTED_VALUE"""),1912.0)</f>
        <v>1912</v>
      </c>
      <c r="B1914" s="8">
        <f>IFERROR(__xludf.DUMMYFUNCTION("""COMPUTED_VALUE"""),49.0)</f>
        <v>49</v>
      </c>
    </row>
    <row r="1915">
      <c r="A1915" s="8">
        <f>IFERROR(__xludf.DUMMYFUNCTION("""COMPUTED_VALUE"""),1913.0)</f>
        <v>1913</v>
      </c>
      <c r="B1915" s="8">
        <f>IFERROR(__xludf.DUMMYFUNCTION("""COMPUTED_VALUE"""),57.0)</f>
        <v>57</v>
      </c>
    </row>
    <row r="1916">
      <c r="A1916" s="8">
        <f>IFERROR(__xludf.DUMMYFUNCTION("""COMPUTED_VALUE"""),1914.0)</f>
        <v>1914</v>
      </c>
      <c r="B1916" s="8">
        <f>IFERROR(__xludf.DUMMYFUNCTION("""COMPUTED_VALUE"""),57.0)</f>
        <v>57</v>
      </c>
    </row>
    <row r="1917">
      <c r="A1917" s="8">
        <f>IFERROR(__xludf.DUMMYFUNCTION("""COMPUTED_VALUE"""),1915.0)</f>
        <v>1915</v>
      </c>
      <c r="B1917" s="8">
        <f>IFERROR(__xludf.DUMMYFUNCTION("""COMPUTED_VALUE"""),35.0)</f>
        <v>35</v>
      </c>
    </row>
    <row r="1918">
      <c r="A1918" s="8">
        <f>IFERROR(__xludf.DUMMYFUNCTION("""COMPUTED_VALUE"""),1916.0)</f>
        <v>1916</v>
      </c>
      <c r="B1918" s="8">
        <f>IFERROR(__xludf.DUMMYFUNCTION("""COMPUTED_VALUE"""),32.0)</f>
        <v>32</v>
      </c>
    </row>
    <row r="1919">
      <c r="A1919" s="8">
        <f>IFERROR(__xludf.DUMMYFUNCTION("""COMPUTED_VALUE"""),1917.0)</f>
        <v>1917</v>
      </c>
      <c r="B1919" s="8">
        <f>IFERROR(__xludf.DUMMYFUNCTION("""COMPUTED_VALUE"""),72.0)</f>
        <v>72</v>
      </c>
    </row>
    <row r="1920">
      <c r="A1920" s="8">
        <f>IFERROR(__xludf.DUMMYFUNCTION("""COMPUTED_VALUE"""),1918.0)</f>
        <v>1918</v>
      </c>
      <c r="B1920" s="8">
        <f>IFERROR(__xludf.DUMMYFUNCTION("""COMPUTED_VALUE"""),36.0)</f>
        <v>36</v>
      </c>
    </row>
    <row r="1921">
      <c r="A1921" s="8">
        <f>IFERROR(__xludf.DUMMYFUNCTION("""COMPUTED_VALUE"""),1919.0)</f>
        <v>1919</v>
      </c>
      <c r="B1921" s="8">
        <f>IFERROR(__xludf.DUMMYFUNCTION("""COMPUTED_VALUE"""),41.0)</f>
        <v>41</v>
      </c>
    </row>
    <row r="1922">
      <c r="A1922" s="8">
        <f>IFERROR(__xludf.DUMMYFUNCTION("""COMPUTED_VALUE"""),1920.0)</f>
        <v>1920</v>
      </c>
      <c r="B1922" s="8">
        <f>IFERROR(__xludf.DUMMYFUNCTION("""COMPUTED_VALUE"""),25.0)</f>
        <v>25</v>
      </c>
    </row>
    <row r="1923">
      <c r="A1923" s="8">
        <f>IFERROR(__xludf.DUMMYFUNCTION("""COMPUTED_VALUE"""),1921.0)</f>
        <v>1921</v>
      </c>
      <c r="B1923" s="8">
        <f>IFERROR(__xludf.DUMMYFUNCTION("""COMPUTED_VALUE"""),60.0)</f>
        <v>60</v>
      </c>
    </row>
    <row r="1924">
      <c r="A1924" s="8">
        <f>IFERROR(__xludf.DUMMYFUNCTION("""COMPUTED_VALUE"""),1922.0)</f>
        <v>1922</v>
      </c>
      <c r="B1924" s="8">
        <f>IFERROR(__xludf.DUMMYFUNCTION("""COMPUTED_VALUE"""),49.0)</f>
        <v>49</v>
      </c>
    </row>
    <row r="1925">
      <c r="A1925" s="8">
        <f>IFERROR(__xludf.DUMMYFUNCTION("""COMPUTED_VALUE"""),1923.0)</f>
        <v>1923</v>
      </c>
      <c r="B1925" s="8">
        <f>IFERROR(__xludf.DUMMYFUNCTION("""COMPUTED_VALUE"""),45.0)</f>
        <v>45</v>
      </c>
    </row>
    <row r="1926">
      <c r="A1926" s="8">
        <f>IFERROR(__xludf.DUMMYFUNCTION("""COMPUTED_VALUE"""),1924.0)</f>
        <v>1924</v>
      </c>
      <c r="B1926" s="8">
        <f>IFERROR(__xludf.DUMMYFUNCTION("""COMPUTED_VALUE"""),68.0)</f>
        <v>68</v>
      </c>
    </row>
    <row r="1927">
      <c r="A1927" s="8">
        <f>IFERROR(__xludf.DUMMYFUNCTION("""COMPUTED_VALUE"""),1925.0)</f>
        <v>1925</v>
      </c>
      <c r="B1927" s="8">
        <f>IFERROR(__xludf.DUMMYFUNCTION("""COMPUTED_VALUE"""),28.0)</f>
        <v>28</v>
      </c>
    </row>
    <row r="1928">
      <c r="A1928" s="8">
        <f>IFERROR(__xludf.DUMMYFUNCTION("""COMPUTED_VALUE"""),1926.0)</f>
        <v>1926</v>
      </c>
      <c r="B1928" s="8">
        <f>IFERROR(__xludf.DUMMYFUNCTION("""COMPUTED_VALUE"""),59.0)</f>
        <v>59</v>
      </c>
    </row>
    <row r="1929">
      <c r="A1929" s="8">
        <f>IFERROR(__xludf.DUMMYFUNCTION("""COMPUTED_VALUE"""),1927.0)</f>
        <v>1927</v>
      </c>
      <c r="B1929" s="8">
        <f>IFERROR(__xludf.DUMMYFUNCTION("""COMPUTED_VALUE"""),38.0)</f>
        <v>38</v>
      </c>
    </row>
    <row r="1930">
      <c r="A1930" s="8">
        <f>IFERROR(__xludf.DUMMYFUNCTION("""COMPUTED_VALUE"""),1928.0)</f>
        <v>1928</v>
      </c>
      <c r="B1930" s="8">
        <f>IFERROR(__xludf.DUMMYFUNCTION("""COMPUTED_VALUE"""),28.0)</f>
        <v>28</v>
      </c>
    </row>
    <row r="1931">
      <c r="A1931" s="8">
        <f>IFERROR(__xludf.DUMMYFUNCTION("""COMPUTED_VALUE"""),1929.0)</f>
        <v>1929</v>
      </c>
      <c r="B1931" s="8">
        <f>IFERROR(__xludf.DUMMYFUNCTION("""COMPUTED_VALUE"""),50.0)</f>
        <v>50</v>
      </c>
    </row>
    <row r="1932">
      <c r="A1932" s="8">
        <f>IFERROR(__xludf.DUMMYFUNCTION("""COMPUTED_VALUE"""),1930.0)</f>
        <v>1930</v>
      </c>
      <c r="B1932" s="8">
        <f>IFERROR(__xludf.DUMMYFUNCTION("""COMPUTED_VALUE"""),55.0)</f>
        <v>55</v>
      </c>
    </row>
    <row r="1933">
      <c r="A1933" s="8">
        <f>IFERROR(__xludf.DUMMYFUNCTION("""COMPUTED_VALUE"""),1931.0)</f>
        <v>1931</v>
      </c>
      <c r="B1933" s="8">
        <f>IFERROR(__xludf.DUMMYFUNCTION("""COMPUTED_VALUE"""),48.0)</f>
        <v>48</v>
      </c>
    </row>
    <row r="1934">
      <c r="A1934" s="8">
        <f>IFERROR(__xludf.DUMMYFUNCTION("""COMPUTED_VALUE"""),1932.0)</f>
        <v>1932</v>
      </c>
      <c r="B1934" s="8">
        <f>IFERROR(__xludf.DUMMYFUNCTION("""COMPUTED_VALUE"""),50.0)</f>
        <v>50</v>
      </c>
    </row>
    <row r="1935">
      <c r="A1935" s="8">
        <f>IFERROR(__xludf.DUMMYFUNCTION("""COMPUTED_VALUE"""),1933.0)</f>
        <v>1933</v>
      </c>
      <c r="B1935" s="8">
        <f>IFERROR(__xludf.DUMMYFUNCTION("""COMPUTED_VALUE"""),37.0)</f>
        <v>37</v>
      </c>
    </row>
    <row r="1936">
      <c r="A1936" s="8">
        <f>IFERROR(__xludf.DUMMYFUNCTION("""COMPUTED_VALUE"""),1934.0)</f>
        <v>1934</v>
      </c>
      <c r="B1936" s="8">
        <f>IFERROR(__xludf.DUMMYFUNCTION("""COMPUTED_VALUE"""),56.0)</f>
        <v>56</v>
      </c>
    </row>
    <row r="1937">
      <c r="A1937" s="8">
        <f>IFERROR(__xludf.DUMMYFUNCTION("""COMPUTED_VALUE"""),1935.0)</f>
        <v>1935</v>
      </c>
      <c r="B1937" s="8">
        <f>IFERROR(__xludf.DUMMYFUNCTION("""COMPUTED_VALUE"""),50.0)</f>
        <v>50</v>
      </c>
    </row>
    <row r="1938">
      <c r="A1938" s="8">
        <f>IFERROR(__xludf.DUMMYFUNCTION("""COMPUTED_VALUE"""),1936.0)</f>
        <v>1936</v>
      </c>
      <c r="B1938" s="8">
        <f>IFERROR(__xludf.DUMMYFUNCTION("""COMPUTED_VALUE"""),49.0)</f>
        <v>49</v>
      </c>
    </row>
    <row r="1939">
      <c r="A1939" s="8">
        <f>IFERROR(__xludf.DUMMYFUNCTION("""COMPUTED_VALUE"""),1937.0)</f>
        <v>1937</v>
      </c>
      <c r="B1939" s="8">
        <f>IFERROR(__xludf.DUMMYFUNCTION("""COMPUTED_VALUE"""),41.0)</f>
        <v>41</v>
      </c>
    </row>
    <row r="1940">
      <c r="A1940" s="8">
        <f>IFERROR(__xludf.DUMMYFUNCTION("""COMPUTED_VALUE"""),1938.0)</f>
        <v>1938</v>
      </c>
      <c r="B1940" s="8">
        <f>IFERROR(__xludf.DUMMYFUNCTION("""COMPUTED_VALUE"""),68.0)</f>
        <v>68</v>
      </c>
    </row>
    <row r="1941">
      <c r="A1941" s="8">
        <f>IFERROR(__xludf.DUMMYFUNCTION("""COMPUTED_VALUE"""),1939.0)</f>
        <v>1939</v>
      </c>
      <c r="B1941" s="8">
        <f>IFERROR(__xludf.DUMMYFUNCTION("""COMPUTED_VALUE"""),76.0)</f>
        <v>76</v>
      </c>
    </row>
    <row r="1942">
      <c r="A1942" s="8">
        <f>IFERROR(__xludf.DUMMYFUNCTION("""COMPUTED_VALUE"""),1940.0)</f>
        <v>1940</v>
      </c>
      <c r="B1942" s="8">
        <f>IFERROR(__xludf.DUMMYFUNCTION("""COMPUTED_VALUE"""),50.0)</f>
        <v>50</v>
      </c>
    </row>
    <row r="1943">
      <c r="A1943" s="8">
        <f>IFERROR(__xludf.DUMMYFUNCTION("""COMPUTED_VALUE"""),1941.0)</f>
        <v>1941</v>
      </c>
      <c r="B1943" s="8">
        <f>IFERROR(__xludf.DUMMYFUNCTION("""COMPUTED_VALUE"""),42.0)</f>
        <v>42</v>
      </c>
    </row>
    <row r="1944">
      <c r="A1944" s="8">
        <f>IFERROR(__xludf.DUMMYFUNCTION("""COMPUTED_VALUE"""),1942.0)</f>
        <v>1942</v>
      </c>
      <c r="B1944" s="8">
        <f>IFERROR(__xludf.DUMMYFUNCTION("""COMPUTED_VALUE"""),37.0)</f>
        <v>37</v>
      </c>
    </row>
    <row r="1945">
      <c r="A1945" s="8">
        <f>IFERROR(__xludf.DUMMYFUNCTION("""COMPUTED_VALUE"""),1943.0)</f>
        <v>1943</v>
      </c>
      <c r="B1945" s="8">
        <f>IFERROR(__xludf.DUMMYFUNCTION("""COMPUTED_VALUE"""),44.0)</f>
        <v>44</v>
      </c>
    </row>
    <row r="1946">
      <c r="A1946" s="8">
        <f>IFERROR(__xludf.DUMMYFUNCTION("""COMPUTED_VALUE"""),1944.0)</f>
        <v>1944</v>
      </c>
      <c r="B1946" s="8">
        <f>IFERROR(__xludf.DUMMYFUNCTION("""COMPUTED_VALUE"""),46.0)</f>
        <v>46</v>
      </c>
    </row>
    <row r="1947">
      <c r="A1947" s="8">
        <f>IFERROR(__xludf.DUMMYFUNCTION("""COMPUTED_VALUE"""),1945.0)</f>
        <v>1945</v>
      </c>
      <c r="B1947" s="8">
        <f>IFERROR(__xludf.DUMMYFUNCTION("""COMPUTED_VALUE"""),49.0)</f>
        <v>49</v>
      </c>
    </row>
    <row r="1948">
      <c r="A1948" s="8">
        <f>IFERROR(__xludf.DUMMYFUNCTION("""COMPUTED_VALUE"""),1946.0)</f>
        <v>1946</v>
      </c>
      <c r="B1948" s="8">
        <f>IFERROR(__xludf.DUMMYFUNCTION("""COMPUTED_VALUE"""),35.0)</f>
        <v>35</v>
      </c>
    </row>
    <row r="1949">
      <c r="A1949" s="8">
        <f>IFERROR(__xludf.DUMMYFUNCTION("""COMPUTED_VALUE"""),1947.0)</f>
        <v>1947</v>
      </c>
      <c r="B1949" s="8">
        <f>IFERROR(__xludf.DUMMYFUNCTION("""COMPUTED_VALUE"""),64.0)</f>
        <v>64</v>
      </c>
    </row>
    <row r="1950">
      <c r="A1950" s="8">
        <f>IFERROR(__xludf.DUMMYFUNCTION("""COMPUTED_VALUE"""),1948.0)</f>
        <v>1948</v>
      </c>
      <c r="B1950" s="8">
        <f>IFERROR(__xludf.DUMMYFUNCTION("""COMPUTED_VALUE"""),29.0)</f>
        <v>29</v>
      </c>
    </row>
    <row r="1951">
      <c r="A1951" s="8">
        <f>IFERROR(__xludf.DUMMYFUNCTION("""COMPUTED_VALUE"""),1949.0)</f>
        <v>1949</v>
      </c>
      <c r="B1951" s="8">
        <f>IFERROR(__xludf.DUMMYFUNCTION("""COMPUTED_VALUE"""),31.0)</f>
        <v>31</v>
      </c>
    </row>
    <row r="1952">
      <c r="A1952" s="8">
        <f>IFERROR(__xludf.DUMMYFUNCTION("""COMPUTED_VALUE"""),1950.0)</f>
        <v>1950</v>
      </c>
      <c r="B1952" s="8">
        <f>IFERROR(__xludf.DUMMYFUNCTION("""COMPUTED_VALUE"""),21.0)</f>
        <v>21</v>
      </c>
    </row>
    <row r="1953">
      <c r="A1953" s="8">
        <f>IFERROR(__xludf.DUMMYFUNCTION("""COMPUTED_VALUE"""),1951.0)</f>
        <v>1951</v>
      </c>
      <c r="B1953" s="8">
        <f>IFERROR(__xludf.DUMMYFUNCTION("""COMPUTED_VALUE"""),60.0)</f>
        <v>60</v>
      </c>
    </row>
    <row r="1954">
      <c r="A1954" s="8">
        <f>IFERROR(__xludf.DUMMYFUNCTION("""COMPUTED_VALUE"""),1952.0)</f>
        <v>1952</v>
      </c>
      <c r="B1954" s="8">
        <f>IFERROR(__xludf.DUMMYFUNCTION("""COMPUTED_VALUE"""),45.0)</f>
        <v>45</v>
      </c>
    </row>
    <row r="1955">
      <c r="A1955" s="8">
        <f>IFERROR(__xludf.DUMMYFUNCTION("""COMPUTED_VALUE"""),1953.0)</f>
        <v>1953</v>
      </c>
      <c r="B1955" s="8">
        <f>IFERROR(__xludf.DUMMYFUNCTION("""COMPUTED_VALUE"""),60.0)</f>
        <v>60</v>
      </c>
    </row>
    <row r="1956">
      <c r="A1956" s="8">
        <f>IFERROR(__xludf.DUMMYFUNCTION("""COMPUTED_VALUE"""),1954.0)</f>
        <v>1954</v>
      </c>
      <c r="B1956" s="8">
        <f>IFERROR(__xludf.DUMMYFUNCTION("""COMPUTED_VALUE"""),44.0)</f>
        <v>44</v>
      </c>
    </row>
    <row r="1957">
      <c r="A1957" s="8">
        <f>IFERROR(__xludf.DUMMYFUNCTION("""COMPUTED_VALUE"""),1955.0)</f>
        <v>1955</v>
      </c>
      <c r="B1957" s="8">
        <f>IFERROR(__xludf.DUMMYFUNCTION("""COMPUTED_VALUE"""),55.0)</f>
        <v>55</v>
      </c>
    </row>
    <row r="1958">
      <c r="A1958" s="8">
        <f>IFERROR(__xludf.DUMMYFUNCTION("""COMPUTED_VALUE"""),1956.0)</f>
        <v>1956</v>
      </c>
      <c r="B1958" s="8">
        <f>IFERROR(__xludf.DUMMYFUNCTION("""COMPUTED_VALUE"""),23.0)</f>
        <v>23</v>
      </c>
    </row>
    <row r="1959">
      <c r="A1959" s="8">
        <f>IFERROR(__xludf.DUMMYFUNCTION("""COMPUTED_VALUE"""),1957.0)</f>
        <v>1957</v>
      </c>
      <c r="B1959" s="8">
        <f>IFERROR(__xludf.DUMMYFUNCTION("""COMPUTED_VALUE"""),66.0)</f>
        <v>66</v>
      </c>
    </row>
    <row r="1960">
      <c r="A1960" s="8">
        <f>IFERROR(__xludf.DUMMYFUNCTION("""COMPUTED_VALUE"""),1958.0)</f>
        <v>1958</v>
      </c>
      <c r="B1960" s="8">
        <f>IFERROR(__xludf.DUMMYFUNCTION("""COMPUTED_VALUE"""),51.0)</f>
        <v>51</v>
      </c>
    </row>
    <row r="1961">
      <c r="A1961" s="8">
        <f>IFERROR(__xludf.DUMMYFUNCTION("""COMPUTED_VALUE"""),1959.0)</f>
        <v>1959</v>
      </c>
      <c r="B1961" s="8">
        <f>IFERROR(__xludf.DUMMYFUNCTION("""COMPUTED_VALUE"""),28.0)</f>
        <v>28</v>
      </c>
    </row>
    <row r="1962">
      <c r="A1962" s="8">
        <f>IFERROR(__xludf.DUMMYFUNCTION("""COMPUTED_VALUE"""),1960.0)</f>
        <v>1960</v>
      </c>
      <c r="B1962" s="8">
        <f>IFERROR(__xludf.DUMMYFUNCTION("""COMPUTED_VALUE"""),61.0)</f>
        <v>61</v>
      </c>
    </row>
    <row r="1963">
      <c r="A1963" s="8">
        <f>IFERROR(__xludf.DUMMYFUNCTION("""COMPUTED_VALUE"""),1961.0)</f>
        <v>1961</v>
      </c>
      <c r="B1963" s="8">
        <f>IFERROR(__xludf.DUMMYFUNCTION("""COMPUTED_VALUE"""),39.0)</f>
        <v>39</v>
      </c>
    </row>
    <row r="1964">
      <c r="A1964" s="8">
        <f>IFERROR(__xludf.DUMMYFUNCTION("""COMPUTED_VALUE"""),1962.0)</f>
        <v>1962</v>
      </c>
      <c r="B1964" s="8">
        <f>IFERROR(__xludf.DUMMYFUNCTION("""COMPUTED_VALUE"""),44.0)</f>
        <v>44</v>
      </c>
    </row>
    <row r="1965">
      <c r="A1965" s="8">
        <f>IFERROR(__xludf.DUMMYFUNCTION("""COMPUTED_VALUE"""),1963.0)</f>
        <v>1963</v>
      </c>
      <c r="B1965" s="8">
        <f>IFERROR(__xludf.DUMMYFUNCTION("""COMPUTED_VALUE"""),31.0)</f>
        <v>31</v>
      </c>
    </row>
    <row r="1966">
      <c r="A1966" s="8">
        <f>IFERROR(__xludf.DUMMYFUNCTION("""COMPUTED_VALUE"""),1964.0)</f>
        <v>1964</v>
      </c>
      <c r="B1966" s="8">
        <f>IFERROR(__xludf.DUMMYFUNCTION("""COMPUTED_VALUE"""),31.0)</f>
        <v>31</v>
      </c>
    </row>
    <row r="1967">
      <c r="A1967" s="8">
        <f>IFERROR(__xludf.DUMMYFUNCTION("""COMPUTED_VALUE"""),1965.0)</f>
        <v>1965</v>
      </c>
      <c r="B1967" s="8">
        <f>IFERROR(__xludf.DUMMYFUNCTION("""COMPUTED_VALUE"""),38.0)</f>
        <v>38</v>
      </c>
    </row>
    <row r="1968">
      <c r="A1968" s="8">
        <f>IFERROR(__xludf.DUMMYFUNCTION("""COMPUTED_VALUE"""),1966.0)</f>
        <v>1966</v>
      </c>
      <c r="B1968" s="8">
        <f>IFERROR(__xludf.DUMMYFUNCTION("""COMPUTED_VALUE"""),34.0)</f>
        <v>34</v>
      </c>
    </row>
    <row r="1969">
      <c r="A1969" s="8">
        <f>IFERROR(__xludf.DUMMYFUNCTION("""COMPUTED_VALUE"""),1967.0)</f>
        <v>1967</v>
      </c>
      <c r="B1969" s="8">
        <f>IFERROR(__xludf.DUMMYFUNCTION("""COMPUTED_VALUE"""),57.0)</f>
        <v>57</v>
      </c>
    </row>
    <row r="1970">
      <c r="A1970" s="8">
        <f>IFERROR(__xludf.DUMMYFUNCTION("""COMPUTED_VALUE"""),1968.0)</f>
        <v>1968</v>
      </c>
      <c r="B1970" s="8">
        <f>IFERROR(__xludf.DUMMYFUNCTION("""COMPUTED_VALUE"""),63.0)</f>
        <v>63</v>
      </c>
    </row>
    <row r="1971">
      <c r="A1971" s="8">
        <f>IFERROR(__xludf.DUMMYFUNCTION("""COMPUTED_VALUE"""),1969.0)</f>
        <v>1969</v>
      </c>
      <c r="B1971" s="8">
        <f>IFERROR(__xludf.DUMMYFUNCTION("""COMPUTED_VALUE"""),41.0)</f>
        <v>41</v>
      </c>
    </row>
    <row r="1972">
      <c r="A1972" s="8">
        <f>IFERROR(__xludf.DUMMYFUNCTION("""COMPUTED_VALUE"""),1970.0)</f>
        <v>1970</v>
      </c>
      <c r="B1972" s="8">
        <f>IFERROR(__xludf.DUMMYFUNCTION("""COMPUTED_VALUE"""),31.0)</f>
        <v>31</v>
      </c>
    </row>
    <row r="1973">
      <c r="A1973" s="8">
        <f>IFERROR(__xludf.DUMMYFUNCTION("""COMPUTED_VALUE"""),1971.0)</f>
        <v>1971</v>
      </c>
      <c r="B1973" s="8">
        <f>IFERROR(__xludf.DUMMYFUNCTION("""COMPUTED_VALUE"""),43.0)</f>
        <v>43</v>
      </c>
    </row>
    <row r="1974">
      <c r="A1974" s="8">
        <f>IFERROR(__xludf.DUMMYFUNCTION("""COMPUTED_VALUE"""),1972.0)</f>
        <v>1972</v>
      </c>
      <c r="B1974" s="8">
        <f>IFERROR(__xludf.DUMMYFUNCTION("""COMPUTED_VALUE"""),32.0)</f>
        <v>32</v>
      </c>
    </row>
    <row r="1975">
      <c r="A1975" s="8">
        <f>IFERROR(__xludf.DUMMYFUNCTION("""COMPUTED_VALUE"""),1973.0)</f>
        <v>1973</v>
      </c>
      <c r="B1975" s="8">
        <f>IFERROR(__xludf.DUMMYFUNCTION("""COMPUTED_VALUE"""),36.0)</f>
        <v>36</v>
      </c>
    </row>
    <row r="1976">
      <c r="A1976" s="8">
        <f>IFERROR(__xludf.DUMMYFUNCTION("""COMPUTED_VALUE"""),1974.0)</f>
        <v>1974</v>
      </c>
      <c r="B1976" s="8">
        <f>IFERROR(__xludf.DUMMYFUNCTION("""COMPUTED_VALUE"""),50.0)</f>
        <v>50</v>
      </c>
    </row>
    <row r="1977">
      <c r="A1977" s="8">
        <f>IFERROR(__xludf.DUMMYFUNCTION("""COMPUTED_VALUE"""),1975.0)</f>
        <v>1975</v>
      </c>
      <c r="B1977" s="8">
        <f>IFERROR(__xludf.DUMMYFUNCTION("""COMPUTED_VALUE"""),27.0)</f>
        <v>27</v>
      </c>
    </row>
    <row r="1978">
      <c r="A1978" s="8">
        <f>IFERROR(__xludf.DUMMYFUNCTION("""COMPUTED_VALUE"""),1976.0)</f>
        <v>1976</v>
      </c>
      <c r="B1978" s="8">
        <f>IFERROR(__xludf.DUMMYFUNCTION("""COMPUTED_VALUE"""),66.0)</f>
        <v>66</v>
      </c>
    </row>
    <row r="1979">
      <c r="A1979" s="8">
        <f>IFERROR(__xludf.DUMMYFUNCTION("""COMPUTED_VALUE"""),1977.0)</f>
        <v>1977</v>
      </c>
      <c r="B1979" s="8">
        <f>IFERROR(__xludf.DUMMYFUNCTION("""COMPUTED_VALUE"""),46.0)</f>
        <v>46</v>
      </c>
    </row>
    <row r="1980">
      <c r="A1980" s="8">
        <f>IFERROR(__xludf.DUMMYFUNCTION("""COMPUTED_VALUE"""),1978.0)</f>
        <v>1978</v>
      </c>
      <c r="B1980" s="8">
        <f>IFERROR(__xludf.DUMMYFUNCTION("""COMPUTED_VALUE"""),27.0)</f>
        <v>27</v>
      </c>
    </row>
    <row r="1981">
      <c r="A1981" s="8">
        <f>IFERROR(__xludf.DUMMYFUNCTION("""COMPUTED_VALUE"""),1979.0)</f>
        <v>1979</v>
      </c>
      <c r="B1981" s="8">
        <f>IFERROR(__xludf.DUMMYFUNCTION("""COMPUTED_VALUE"""),39.0)</f>
        <v>39</v>
      </c>
    </row>
    <row r="1982">
      <c r="A1982" s="8">
        <f>IFERROR(__xludf.DUMMYFUNCTION("""COMPUTED_VALUE"""),1980.0)</f>
        <v>1980</v>
      </c>
      <c r="B1982" s="8">
        <f>IFERROR(__xludf.DUMMYFUNCTION("""COMPUTED_VALUE"""),43.0)</f>
        <v>43</v>
      </c>
    </row>
    <row r="1983">
      <c r="A1983" s="8">
        <f>IFERROR(__xludf.DUMMYFUNCTION("""COMPUTED_VALUE"""),1981.0)</f>
        <v>1981</v>
      </c>
      <c r="B1983" s="8">
        <f>IFERROR(__xludf.DUMMYFUNCTION("""COMPUTED_VALUE"""),36.0)</f>
        <v>36</v>
      </c>
    </row>
    <row r="1984">
      <c r="A1984" s="8">
        <f>IFERROR(__xludf.DUMMYFUNCTION("""COMPUTED_VALUE"""),1982.0)</f>
        <v>1982</v>
      </c>
      <c r="B1984" s="8">
        <f>IFERROR(__xludf.DUMMYFUNCTION("""COMPUTED_VALUE"""),39.0)</f>
        <v>39</v>
      </c>
    </row>
    <row r="1985">
      <c r="A1985" s="8">
        <f>IFERROR(__xludf.DUMMYFUNCTION("""COMPUTED_VALUE"""),1983.0)</f>
        <v>1983</v>
      </c>
      <c r="B1985" s="8">
        <f>IFERROR(__xludf.DUMMYFUNCTION("""COMPUTED_VALUE"""),61.0)</f>
        <v>61</v>
      </c>
    </row>
    <row r="1986">
      <c r="A1986" s="8">
        <f>IFERROR(__xludf.DUMMYFUNCTION("""COMPUTED_VALUE"""),1984.0)</f>
        <v>1984</v>
      </c>
      <c r="B1986" s="8">
        <f>IFERROR(__xludf.DUMMYFUNCTION("""COMPUTED_VALUE"""),67.0)</f>
        <v>67</v>
      </c>
    </row>
    <row r="1987">
      <c r="A1987" s="8">
        <f>IFERROR(__xludf.DUMMYFUNCTION("""COMPUTED_VALUE"""),1985.0)</f>
        <v>1985</v>
      </c>
      <c r="B1987" s="8">
        <f>IFERROR(__xludf.DUMMYFUNCTION("""COMPUTED_VALUE"""),46.0)</f>
        <v>46</v>
      </c>
    </row>
    <row r="1988">
      <c r="A1988" s="8">
        <f>IFERROR(__xludf.DUMMYFUNCTION("""COMPUTED_VALUE"""),1986.0)</f>
        <v>1986</v>
      </c>
      <c r="B1988" s="8">
        <f>IFERROR(__xludf.DUMMYFUNCTION("""COMPUTED_VALUE"""),38.0)</f>
        <v>38</v>
      </c>
    </row>
    <row r="1989">
      <c r="A1989" s="8">
        <f>IFERROR(__xludf.DUMMYFUNCTION("""COMPUTED_VALUE"""),1987.0)</f>
        <v>1987</v>
      </c>
      <c r="B1989" s="8">
        <f>IFERROR(__xludf.DUMMYFUNCTION("""COMPUTED_VALUE"""),42.0)</f>
        <v>42</v>
      </c>
    </row>
    <row r="1990">
      <c r="A1990" s="8">
        <f>IFERROR(__xludf.DUMMYFUNCTION("""COMPUTED_VALUE"""),1988.0)</f>
        <v>1988</v>
      </c>
      <c r="B1990" s="8">
        <f>IFERROR(__xludf.DUMMYFUNCTION("""COMPUTED_VALUE"""),32.0)</f>
        <v>32</v>
      </c>
    </row>
    <row r="1991">
      <c r="A1991" s="8">
        <f>IFERROR(__xludf.DUMMYFUNCTION("""COMPUTED_VALUE"""),1989.0)</f>
        <v>1989</v>
      </c>
      <c r="B1991" s="8">
        <f>IFERROR(__xludf.DUMMYFUNCTION("""COMPUTED_VALUE"""),29.0)</f>
        <v>29</v>
      </c>
    </row>
    <row r="1992">
      <c r="A1992" s="8">
        <f>IFERROR(__xludf.DUMMYFUNCTION("""COMPUTED_VALUE"""),1990.0)</f>
        <v>1990</v>
      </c>
      <c r="B1992" s="8">
        <f>IFERROR(__xludf.DUMMYFUNCTION("""COMPUTED_VALUE"""),67.0)</f>
        <v>67</v>
      </c>
    </row>
    <row r="1993">
      <c r="A1993" s="8">
        <f>IFERROR(__xludf.DUMMYFUNCTION("""COMPUTED_VALUE"""),1991.0)</f>
        <v>1991</v>
      </c>
      <c r="B1993" s="8">
        <f>IFERROR(__xludf.DUMMYFUNCTION("""COMPUTED_VALUE"""),43.0)</f>
        <v>43</v>
      </c>
    </row>
    <row r="1994">
      <c r="A1994" s="8">
        <f>IFERROR(__xludf.DUMMYFUNCTION("""COMPUTED_VALUE"""),1992.0)</f>
        <v>1992</v>
      </c>
      <c r="B1994" s="8">
        <f>IFERROR(__xludf.DUMMYFUNCTION("""COMPUTED_VALUE"""),64.0)</f>
        <v>64</v>
      </c>
    </row>
    <row r="1995">
      <c r="A1995" s="8">
        <f>IFERROR(__xludf.DUMMYFUNCTION("""COMPUTED_VALUE"""),1993.0)</f>
        <v>1993</v>
      </c>
      <c r="B1995" s="8">
        <f>IFERROR(__xludf.DUMMYFUNCTION("""COMPUTED_VALUE"""),36.0)</f>
        <v>36</v>
      </c>
    </row>
    <row r="1996">
      <c r="A1996" s="8">
        <f>IFERROR(__xludf.DUMMYFUNCTION("""COMPUTED_VALUE"""),1994.0)</f>
        <v>1994</v>
      </c>
      <c r="B1996" s="8">
        <f>IFERROR(__xludf.DUMMYFUNCTION("""COMPUTED_VALUE"""),37.0)</f>
        <v>37</v>
      </c>
    </row>
    <row r="1997">
      <c r="A1997" s="8">
        <f>IFERROR(__xludf.DUMMYFUNCTION("""COMPUTED_VALUE"""),1995.0)</f>
        <v>1995</v>
      </c>
      <c r="B1997" s="8">
        <f>IFERROR(__xludf.DUMMYFUNCTION("""COMPUTED_VALUE"""),38.0)</f>
        <v>38</v>
      </c>
    </row>
    <row r="1998">
      <c r="A1998" s="8">
        <f>IFERROR(__xludf.DUMMYFUNCTION("""COMPUTED_VALUE"""),1996.0)</f>
        <v>1996</v>
      </c>
      <c r="B1998" s="8">
        <f>IFERROR(__xludf.DUMMYFUNCTION("""COMPUTED_VALUE"""),48.0)</f>
        <v>48</v>
      </c>
    </row>
    <row r="1999">
      <c r="A1999" s="8">
        <f>IFERROR(__xludf.DUMMYFUNCTION("""COMPUTED_VALUE"""),1997.0)</f>
        <v>1997</v>
      </c>
      <c r="B1999" s="8">
        <f>IFERROR(__xludf.DUMMYFUNCTION("""COMPUTED_VALUE"""),35.0)</f>
        <v>35</v>
      </c>
    </row>
    <row r="2000">
      <c r="A2000" s="8">
        <f>IFERROR(__xludf.DUMMYFUNCTION("""COMPUTED_VALUE"""),1998.0)</f>
        <v>1998</v>
      </c>
      <c r="B2000" s="8">
        <f>IFERROR(__xludf.DUMMYFUNCTION("""COMPUTED_VALUE"""),25.0)</f>
        <v>25</v>
      </c>
    </row>
    <row r="2001">
      <c r="A2001" s="8">
        <f>IFERROR(__xludf.DUMMYFUNCTION("""COMPUTED_VALUE"""),1999.0)</f>
        <v>1999</v>
      </c>
      <c r="B2001" s="8">
        <f>IFERROR(__xludf.DUMMYFUNCTION("""COMPUTED_VALUE"""),26.0)</f>
        <v>26</v>
      </c>
    </row>
    <row r="2002">
      <c r="A2002" s="8">
        <f>IFERROR(__xludf.DUMMYFUNCTION("""COMPUTED_VALUE"""),2000.0)</f>
        <v>2000</v>
      </c>
      <c r="B2002" s="8">
        <f>IFERROR(__xludf.DUMMYFUNCTION("""COMPUTED_VALUE"""),57.0)</f>
        <v>57</v>
      </c>
    </row>
    <row r="2003">
      <c r="A2003" s="8">
        <f>IFERROR(__xludf.DUMMYFUNCTION("""COMPUTED_VALUE"""),2001.0)</f>
        <v>2001</v>
      </c>
      <c r="B2003" s="8">
        <f>IFERROR(__xludf.DUMMYFUNCTION("""COMPUTED_VALUE"""),38.0)</f>
        <v>38</v>
      </c>
    </row>
    <row r="2004">
      <c r="A2004" s="8">
        <f>IFERROR(__xludf.DUMMYFUNCTION("""COMPUTED_VALUE"""),2002.0)</f>
        <v>2002</v>
      </c>
      <c r="B2004" s="8">
        <f>IFERROR(__xludf.DUMMYFUNCTION("""COMPUTED_VALUE"""),34.0)</f>
        <v>34</v>
      </c>
    </row>
    <row r="2005">
      <c r="A2005" s="8">
        <f>IFERROR(__xludf.DUMMYFUNCTION("""COMPUTED_VALUE"""),2003.0)</f>
        <v>2003</v>
      </c>
      <c r="B2005" s="8">
        <f>IFERROR(__xludf.DUMMYFUNCTION("""COMPUTED_VALUE"""),33.0)</f>
        <v>33</v>
      </c>
    </row>
    <row r="2006">
      <c r="A2006" s="8">
        <f>IFERROR(__xludf.DUMMYFUNCTION("""COMPUTED_VALUE"""),2004.0)</f>
        <v>2004</v>
      </c>
      <c r="B2006" s="8">
        <f>IFERROR(__xludf.DUMMYFUNCTION("""COMPUTED_VALUE"""),35.0)</f>
        <v>35</v>
      </c>
    </row>
    <row r="2007">
      <c r="A2007" s="8">
        <f>IFERROR(__xludf.DUMMYFUNCTION("""COMPUTED_VALUE"""),2005.0)</f>
        <v>2005</v>
      </c>
      <c r="B2007" s="8">
        <f>IFERROR(__xludf.DUMMYFUNCTION("""COMPUTED_VALUE"""),43.0)</f>
        <v>43</v>
      </c>
    </row>
    <row r="2008">
      <c r="A2008" s="8">
        <f>IFERROR(__xludf.DUMMYFUNCTION("""COMPUTED_VALUE"""),2006.0)</f>
        <v>2006</v>
      </c>
      <c r="B2008" s="8">
        <f>IFERROR(__xludf.DUMMYFUNCTION("""COMPUTED_VALUE"""),83.0)</f>
        <v>83</v>
      </c>
    </row>
    <row r="2009">
      <c r="A2009" s="8">
        <f>IFERROR(__xludf.DUMMYFUNCTION("""COMPUTED_VALUE"""),2007.0)</f>
        <v>2007</v>
      </c>
      <c r="B2009" s="8">
        <f>IFERROR(__xludf.DUMMYFUNCTION("""COMPUTED_VALUE"""),53.0)</f>
        <v>53</v>
      </c>
    </row>
    <row r="2010">
      <c r="A2010" s="8">
        <f>IFERROR(__xludf.DUMMYFUNCTION("""COMPUTED_VALUE"""),2008.0)</f>
        <v>2008</v>
      </c>
      <c r="B2010" s="8">
        <f>IFERROR(__xludf.DUMMYFUNCTION("""COMPUTED_VALUE"""),41.0)</f>
        <v>41</v>
      </c>
    </row>
    <row r="2011">
      <c r="A2011" s="8">
        <f>IFERROR(__xludf.DUMMYFUNCTION("""COMPUTED_VALUE"""),2009.0)</f>
        <v>2009</v>
      </c>
      <c r="B2011" s="8">
        <f>IFERROR(__xludf.DUMMYFUNCTION("""COMPUTED_VALUE"""),44.0)</f>
        <v>44</v>
      </c>
    </row>
    <row r="2012">
      <c r="A2012" s="8">
        <f>IFERROR(__xludf.DUMMYFUNCTION("""COMPUTED_VALUE"""),2010.0)</f>
        <v>2010</v>
      </c>
      <c r="B2012" s="8">
        <f>IFERROR(__xludf.DUMMYFUNCTION("""COMPUTED_VALUE"""),56.0)</f>
        <v>56</v>
      </c>
    </row>
    <row r="2013">
      <c r="A2013" s="8">
        <f>IFERROR(__xludf.DUMMYFUNCTION("""COMPUTED_VALUE"""),2011.0)</f>
        <v>2011</v>
      </c>
      <c r="B2013" s="8">
        <f>IFERROR(__xludf.DUMMYFUNCTION("""COMPUTED_VALUE"""),41.0)</f>
        <v>41</v>
      </c>
    </row>
    <row r="2014">
      <c r="A2014" s="8">
        <f>IFERROR(__xludf.DUMMYFUNCTION("""COMPUTED_VALUE"""),2012.0)</f>
        <v>2012</v>
      </c>
      <c r="B2014" s="8">
        <f>IFERROR(__xludf.DUMMYFUNCTION("""COMPUTED_VALUE"""),23.0)</f>
        <v>23</v>
      </c>
    </row>
    <row r="2015">
      <c r="A2015" s="8">
        <f>IFERROR(__xludf.DUMMYFUNCTION("""COMPUTED_VALUE"""),2013.0)</f>
        <v>2013</v>
      </c>
      <c r="B2015" s="8">
        <f>IFERROR(__xludf.DUMMYFUNCTION("""COMPUTED_VALUE"""),42.0)</f>
        <v>42</v>
      </c>
    </row>
    <row r="2016">
      <c r="A2016" s="8">
        <f>IFERROR(__xludf.DUMMYFUNCTION("""COMPUTED_VALUE"""),2014.0)</f>
        <v>2014</v>
      </c>
      <c r="B2016" s="8">
        <f>IFERROR(__xludf.DUMMYFUNCTION("""COMPUTED_VALUE"""),36.0)</f>
        <v>36</v>
      </c>
    </row>
    <row r="2017">
      <c r="A2017" s="8">
        <f>IFERROR(__xludf.DUMMYFUNCTION("""COMPUTED_VALUE"""),2015.0)</f>
        <v>2015</v>
      </c>
      <c r="B2017" s="8">
        <f>IFERROR(__xludf.DUMMYFUNCTION("""COMPUTED_VALUE"""),79.0)</f>
        <v>79</v>
      </c>
    </row>
    <row r="2018">
      <c r="A2018" s="8">
        <f>IFERROR(__xludf.DUMMYFUNCTION("""COMPUTED_VALUE"""),2016.0)</f>
        <v>2016</v>
      </c>
      <c r="B2018" s="8">
        <f>IFERROR(__xludf.DUMMYFUNCTION("""COMPUTED_VALUE"""),66.0)</f>
        <v>66</v>
      </c>
    </row>
    <row r="2019">
      <c r="A2019" s="8">
        <f>IFERROR(__xludf.DUMMYFUNCTION("""COMPUTED_VALUE"""),2017.0)</f>
        <v>2017</v>
      </c>
      <c r="B2019" s="8">
        <f>IFERROR(__xludf.DUMMYFUNCTION("""COMPUTED_VALUE"""),41.0)</f>
        <v>41</v>
      </c>
    </row>
    <row r="2020">
      <c r="A2020" s="8">
        <f>IFERROR(__xludf.DUMMYFUNCTION("""COMPUTED_VALUE"""),2018.0)</f>
        <v>2018</v>
      </c>
      <c r="B2020" s="8">
        <f>IFERROR(__xludf.DUMMYFUNCTION("""COMPUTED_VALUE"""),33.0)</f>
        <v>33</v>
      </c>
    </row>
    <row r="2021">
      <c r="A2021" s="8">
        <f>IFERROR(__xludf.DUMMYFUNCTION("""COMPUTED_VALUE"""),2019.0)</f>
        <v>2019</v>
      </c>
      <c r="B2021" s="8">
        <f>IFERROR(__xludf.DUMMYFUNCTION("""COMPUTED_VALUE"""),29.0)</f>
        <v>29</v>
      </c>
    </row>
    <row r="2022">
      <c r="A2022" s="8">
        <f>IFERROR(__xludf.DUMMYFUNCTION("""COMPUTED_VALUE"""),2020.0)</f>
        <v>2020</v>
      </c>
      <c r="B2022" s="8">
        <f>IFERROR(__xludf.DUMMYFUNCTION("""COMPUTED_VALUE"""),21.0)</f>
        <v>21</v>
      </c>
    </row>
    <row r="2023">
      <c r="A2023" s="8">
        <f>IFERROR(__xludf.DUMMYFUNCTION("""COMPUTED_VALUE"""),2021.0)</f>
        <v>2021</v>
      </c>
      <c r="B2023" s="8">
        <f>IFERROR(__xludf.DUMMYFUNCTION("""COMPUTED_VALUE"""),56.0)</f>
        <v>56</v>
      </c>
    </row>
    <row r="2024">
      <c r="A2024" s="8">
        <f>IFERROR(__xludf.DUMMYFUNCTION("""COMPUTED_VALUE"""),2022.0)</f>
        <v>2022</v>
      </c>
      <c r="B2024" s="8">
        <f>IFERROR(__xludf.DUMMYFUNCTION("""COMPUTED_VALUE"""),31.0)</f>
        <v>31</v>
      </c>
    </row>
    <row r="2025">
      <c r="A2025" s="8">
        <f>IFERROR(__xludf.DUMMYFUNCTION("""COMPUTED_VALUE"""),2023.0)</f>
        <v>2023</v>
      </c>
      <c r="B2025" s="8">
        <f>IFERROR(__xludf.DUMMYFUNCTION("""COMPUTED_VALUE"""),68.0)</f>
        <v>68</v>
      </c>
    </row>
    <row r="2026">
      <c r="A2026" s="8">
        <f>IFERROR(__xludf.DUMMYFUNCTION("""COMPUTED_VALUE"""),2024.0)</f>
        <v>2024</v>
      </c>
      <c r="B2026" s="8">
        <f>IFERROR(__xludf.DUMMYFUNCTION("""COMPUTED_VALUE"""),45.0)</f>
        <v>45</v>
      </c>
    </row>
    <row r="2027">
      <c r="A2027" s="8">
        <f>IFERROR(__xludf.DUMMYFUNCTION("""COMPUTED_VALUE"""),2025.0)</f>
        <v>2025</v>
      </c>
      <c r="B2027" s="8">
        <f>IFERROR(__xludf.DUMMYFUNCTION("""COMPUTED_VALUE"""),37.0)</f>
        <v>37</v>
      </c>
    </row>
    <row r="2028">
      <c r="A2028" s="8">
        <f>IFERROR(__xludf.DUMMYFUNCTION("""COMPUTED_VALUE"""),2026.0)</f>
        <v>2026</v>
      </c>
      <c r="B2028" s="8">
        <f>IFERROR(__xludf.DUMMYFUNCTION("""COMPUTED_VALUE"""),32.0)</f>
        <v>32</v>
      </c>
    </row>
    <row r="2029">
      <c r="A2029" s="8">
        <f>IFERROR(__xludf.DUMMYFUNCTION("""COMPUTED_VALUE"""),2027.0)</f>
        <v>2027</v>
      </c>
      <c r="B2029" s="8">
        <f>IFERROR(__xludf.DUMMYFUNCTION("""COMPUTED_VALUE"""),36.0)</f>
        <v>36</v>
      </c>
    </row>
    <row r="2030">
      <c r="A2030" s="8">
        <f>IFERROR(__xludf.DUMMYFUNCTION("""COMPUTED_VALUE"""),2028.0)</f>
        <v>2028</v>
      </c>
      <c r="B2030" s="8">
        <f>IFERROR(__xludf.DUMMYFUNCTION("""COMPUTED_VALUE"""),48.0)</f>
        <v>48</v>
      </c>
    </row>
    <row r="2031">
      <c r="A2031" s="8">
        <f>IFERROR(__xludf.DUMMYFUNCTION("""COMPUTED_VALUE"""),2029.0)</f>
        <v>2029</v>
      </c>
      <c r="B2031" s="8">
        <f>IFERROR(__xludf.DUMMYFUNCTION("""COMPUTED_VALUE"""),48.0)</f>
        <v>48</v>
      </c>
    </row>
    <row r="2032">
      <c r="A2032" s="8">
        <f>IFERROR(__xludf.DUMMYFUNCTION("""COMPUTED_VALUE"""),2030.0)</f>
        <v>2030</v>
      </c>
      <c r="B2032" s="8">
        <f>IFERROR(__xludf.DUMMYFUNCTION("""COMPUTED_VALUE"""),64.0)</f>
        <v>64</v>
      </c>
    </row>
    <row r="2033">
      <c r="A2033" s="8">
        <f>IFERROR(__xludf.DUMMYFUNCTION("""COMPUTED_VALUE"""),2031.0)</f>
        <v>2031</v>
      </c>
      <c r="B2033" s="8">
        <f>IFERROR(__xludf.DUMMYFUNCTION("""COMPUTED_VALUE"""),49.0)</f>
        <v>49</v>
      </c>
    </row>
    <row r="2034">
      <c r="A2034" s="8">
        <f>IFERROR(__xludf.DUMMYFUNCTION("""COMPUTED_VALUE"""),2032.0)</f>
        <v>2032</v>
      </c>
      <c r="B2034" s="8">
        <f>IFERROR(__xludf.DUMMYFUNCTION("""COMPUTED_VALUE"""),37.0)</f>
        <v>37</v>
      </c>
    </row>
    <row r="2035">
      <c r="A2035" s="8">
        <f>IFERROR(__xludf.DUMMYFUNCTION("""COMPUTED_VALUE"""),2033.0)</f>
        <v>2033</v>
      </c>
      <c r="B2035" s="8">
        <f>IFERROR(__xludf.DUMMYFUNCTION("""COMPUTED_VALUE"""),47.0)</f>
        <v>47</v>
      </c>
    </row>
    <row r="2036">
      <c r="A2036" s="8">
        <f>IFERROR(__xludf.DUMMYFUNCTION("""COMPUTED_VALUE"""),2034.0)</f>
        <v>2034</v>
      </c>
      <c r="B2036" s="8">
        <f>IFERROR(__xludf.DUMMYFUNCTION("""COMPUTED_VALUE"""),67.0)</f>
        <v>67</v>
      </c>
    </row>
    <row r="2037">
      <c r="A2037" s="8">
        <f>IFERROR(__xludf.DUMMYFUNCTION("""COMPUTED_VALUE"""),2035.0)</f>
        <v>2035</v>
      </c>
      <c r="B2037" s="8">
        <f>IFERROR(__xludf.DUMMYFUNCTION("""COMPUTED_VALUE"""),30.0)</f>
        <v>30</v>
      </c>
    </row>
    <row r="2038">
      <c r="A2038" s="8">
        <f>IFERROR(__xludf.DUMMYFUNCTION("""COMPUTED_VALUE"""),2036.0)</f>
        <v>2036</v>
      </c>
      <c r="B2038" s="8">
        <f>IFERROR(__xludf.DUMMYFUNCTION("""COMPUTED_VALUE"""),55.0)</f>
        <v>55</v>
      </c>
    </row>
    <row r="2039">
      <c r="A2039" s="8">
        <f>IFERROR(__xludf.DUMMYFUNCTION("""COMPUTED_VALUE"""),2037.0)</f>
        <v>2037</v>
      </c>
      <c r="B2039" s="8">
        <f>IFERROR(__xludf.DUMMYFUNCTION("""COMPUTED_VALUE"""),60.0)</f>
        <v>60</v>
      </c>
    </row>
    <row r="2040">
      <c r="A2040" s="8">
        <f>IFERROR(__xludf.DUMMYFUNCTION("""COMPUTED_VALUE"""),2038.0)</f>
        <v>2038</v>
      </c>
      <c r="B2040" s="8">
        <f>IFERROR(__xludf.DUMMYFUNCTION("""COMPUTED_VALUE"""),39.0)</f>
        <v>39</v>
      </c>
    </row>
    <row r="2041">
      <c r="A2041" s="8">
        <f>IFERROR(__xludf.DUMMYFUNCTION("""COMPUTED_VALUE"""),2039.0)</f>
        <v>2039</v>
      </c>
      <c r="B2041" s="8">
        <f>IFERROR(__xludf.DUMMYFUNCTION("""COMPUTED_VALUE"""),53.0)</f>
        <v>53</v>
      </c>
    </row>
    <row r="2042">
      <c r="A2042" s="8">
        <f>IFERROR(__xludf.DUMMYFUNCTION("""COMPUTED_VALUE"""),2040.0)</f>
        <v>2040</v>
      </c>
      <c r="B2042" s="8">
        <f>IFERROR(__xludf.DUMMYFUNCTION("""COMPUTED_VALUE"""),39.0)</f>
        <v>39</v>
      </c>
    </row>
    <row r="2043">
      <c r="A2043" s="8">
        <f>IFERROR(__xludf.DUMMYFUNCTION("""COMPUTED_VALUE"""),2041.0)</f>
        <v>2041</v>
      </c>
      <c r="B2043" s="8">
        <f>IFERROR(__xludf.DUMMYFUNCTION("""COMPUTED_VALUE"""),49.0)</f>
        <v>49</v>
      </c>
    </row>
    <row r="2044">
      <c r="A2044" s="8">
        <f>IFERROR(__xludf.DUMMYFUNCTION("""COMPUTED_VALUE"""),2042.0)</f>
        <v>2042</v>
      </c>
      <c r="B2044" s="8">
        <f>IFERROR(__xludf.DUMMYFUNCTION("""COMPUTED_VALUE"""),33.0)</f>
        <v>33</v>
      </c>
    </row>
    <row r="2045">
      <c r="A2045" s="8">
        <f>IFERROR(__xludf.DUMMYFUNCTION("""COMPUTED_VALUE"""),2043.0)</f>
        <v>2043</v>
      </c>
      <c r="B2045" s="8">
        <f>IFERROR(__xludf.DUMMYFUNCTION("""COMPUTED_VALUE"""),52.0)</f>
        <v>52</v>
      </c>
    </row>
    <row r="2046">
      <c r="A2046" s="8">
        <f>IFERROR(__xludf.DUMMYFUNCTION("""COMPUTED_VALUE"""),2044.0)</f>
        <v>2044</v>
      </c>
      <c r="B2046" s="8">
        <f>IFERROR(__xludf.DUMMYFUNCTION("""COMPUTED_VALUE"""),36.0)</f>
        <v>36</v>
      </c>
    </row>
    <row r="2047">
      <c r="A2047" s="8">
        <f>IFERROR(__xludf.DUMMYFUNCTION("""COMPUTED_VALUE"""),2045.0)</f>
        <v>2045</v>
      </c>
      <c r="B2047" s="8">
        <f>IFERROR(__xludf.DUMMYFUNCTION("""COMPUTED_VALUE"""),74.0)</f>
        <v>74</v>
      </c>
    </row>
    <row r="2048">
      <c r="A2048" s="8">
        <f>IFERROR(__xludf.DUMMYFUNCTION("""COMPUTED_VALUE"""),2046.0)</f>
        <v>2046</v>
      </c>
      <c r="B2048" s="8">
        <f>IFERROR(__xludf.DUMMYFUNCTION("""COMPUTED_VALUE"""),35.0)</f>
        <v>35</v>
      </c>
    </row>
    <row r="2049">
      <c r="A2049" s="8">
        <f>IFERROR(__xludf.DUMMYFUNCTION("""COMPUTED_VALUE"""),2047.0)</f>
        <v>2047</v>
      </c>
      <c r="B2049" s="8">
        <f>IFERROR(__xludf.DUMMYFUNCTION("""COMPUTED_VALUE"""),62.0)</f>
        <v>62</v>
      </c>
    </row>
    <row r="2050">
      <c r="A2050" s="8">
        <f>IFERROR(__xludf.DUMMYFUNCTION("""COMPUTED_VALUE"""),2048.0)</f>
        <v>2048</v>
      </c>
      <c r="B2050" s="8">
        <f>IFERROR(__xludf.DUMMYFUNCTION("""COMPUTED_VALUE"""),43.0)</f>
        <v>43</v>
      </c>
    </row>
    <row r="2051">
      <c r="A2051" s="8">
        <f>IFERROR(__xludf.DUMMYFUNCTION("""COMPUTED_VALUE"""),2049.0)</f>
        <v>2049</v>
      </c>
      <c r="B2051" s="8">
        <f>IFERROR(__xludf.DUMMYFUNCTION("""COMPUTED_VALUE"""),39.0)</f>
        <v>39</v>
      </c>
    </row>
    <row r="2052">
      <c r="A2052" s="8">
        <f>IFERROR(__xludf.DUMMYFUNCTION("""COMPUTED_VALUE"""),2050.0)</f>
        <v>2050</v>
      </c>
      <c r="B2052" s="8">
        <f>IFERROR(__xludf.DUMMYFUNCTION("""COMPUTED_VALUE"""),41.0)</f>
        <v>41</v>
      </c>
    </row>
    <row r="2053">
      <c r="A2053" s="8">
        <f>IFERROR(__xludf.DUMMYFUNCTION("""COMPUTED_VALUE"""),2051.0)</f>
        <v>2051</v>
      </c>
      <c r="B2053" s="8">
        <f>IFERROR(__xludf.DUMMYFUNCTION("""COMPUTED_VALUE"""),37.0)</f>
        <v>37</v>
      </c>
    </row>
    <row r="2054">
      <c r="A2054" s="8">
        <f>IFERROR(__xludf.DUMMYFUNCTION("""COMPUTED_VALUE"""),2052.0)</f>
        <v>2052</v>
      </c>
      <c r="B2054" s="8">
        <f>IFERROR(__xludf.DUMMYFUNCTION("""COMPUTED_VALUE"""),26.0)</f>
        <v>26</v>
      </c>
    </row>
    <row r="2055">
      <c r="A2055" s="8">
        <f>IFERROR(__xludf.DUMMYFUNCTION("""COMPUTED_VALUE"""),2053.0)</f>
        <v>2053</v>
      </c>
      <c r="B2055" s="8">
        <f>IFERROR(__xludf.DUMMYFUNCTION("""COMPUTED_VALUE"""),33.0)</f>
        <v>33</v>
      </c>
    </row>
    <row r="2056">
      <c r="A2056" s="8">
        <f>IFERROR(__xludf.DUMMYFUNCTION("""COMPUTED_VALUE"""),2054.0)</f>
        <v>2054</v>
      </c>
      <c r="B2056" s="8">
        <f>IFERROR(__xludf.DUMMYFUNCTION("""COMPUTED_VALUE"""),39.0)</f>
        <v>39</v>
      </c>
    </row>
    <row r="2057">
      <c r="A2057" s="8">
        <f>IFERROR(__xludf.DUMMYFUNCTION("""COMPUTED_VALUE"""),2055.0)</f>
        <v>2055</v>
      </c>
      <c r="B2057" s="8">
        <f>IFERROR(__xludf.DUMMYFUNCTION("""COMPUTED_VALUE"""),39.0)</f>
        <v>39</v>
      </c>
    </row>
    <row r="2058">
      <c r="A2058" s="8">
        <f>IFERROR(__xludf.DUMMYFUNCTION("""COMPUTED_VALUE"""),2056.0)</f>
        <v>2056</v>
      </c>
      <c r="B2058" s="8">
        <f>IFERROR(__xludf.DUMMYFUNCTION("""COMPUTED_VALUE"""),58.0)</f>
        <v>58</v>
      </c>
    </row>
    <row r="2059">
      <c r="A2059" s="8">
        <f>IFERROR(__xludf.DUMMYFUNCTION("""COMPUTED_VALUE"""),2057.0)</f>
        <v>2057</v>
      </c>
      <c r="B2059" s="8">
        <f>IFERROR(__xludf.DUMMYFUNCTION("""COMPUTED_VALUE"""),42.0)</f>
        <v>42</v>
      </c>
    </row>
    <row r="2060">
      <c r="A2060" s="8">
        <f>IFERROR(__xludf.DUMMYFUNCTION("""COMPUTED_VALUE"""),2058.0)</f>
        <v>2058</v>
      </c>
      <c r="B2060" s="8">
        <f>IFERROR(__xludf.DUMMYFUNCTION("""COMPUTED_VALUE"""),57.0)</f>
        <v>57</v>
      </c>
    </row>
    <row r="2061">
      <c r="A2061" s="8">
        <f>IFERROR(__xludf.DUMMYFUNCTION("""COMPUTED_VALUE"""),2059.0)</f>
        <v>2059</v>
      </c>
      <c r="B2061" s="8">
        <f>IFERROR(__xludf.DUMMYFUNCTION("""COMPUTED_VALUE"""),38.0)</f>
        <v>38</v>
      </c>
    </row>
    <row r="2062">
      <c r="A2062" s="8">
        <f>IFERROR(__xludf.DUMMYFUNCTION("""COMPUTED_VALUE"""),2060.0)</f>
        <v>2060</v>
      </c>
      <c r="B2062" s="8">
        <f>IFERROR(__xludf.DUMMYFUNCTION("""COMPUTED_VALUE"""),41.0)</f>
        <v>41</v>
      </c>
    </row>
    <row r="2063">
      <c r="A2063" s="8">
        <f>IFERROR(__xludf.DUMMYFUNCTION("""COMPUTED_VALUE"""),2061.0)</f>
        <v>2061</v>
      </c>
      <c r="B2063" s="8">
        <f>IFERROR(__xludf.DUMMYFUNCTION("""COMPUTED_VALUE"""),61.0)</f>
        <v>61</v>
      </c>
    </row>
    <row r="2064">
      <c r="A2064" s="8">
        <f>IFERROR(__xludf.DUMMYFUNCTION("""COMPUTED_VALUE"""),2062.0)</f>
        <v>2062</v>
      </c>
      <c r="B2064" s="8">
        <f>IFERROR(__xludf.DUMMYFUNCTION("""COMPUTED_VALUE"""),39.0)</f>
        <v>39</v>
      </c>
    </row>
    <row r="2065">
      <c r="A2065" s="8">
        <f>IFERROR(__xludf.DUMMYFUNCTION("""COMPUTED_VALUE"""),2063.0)</f>
        <v>2063</v>
      </c>
      <c r="B2065" s="8">
        <f>IFERROR(__xludf.DUMMYFUNCTION("""COMPUTED_VALUE"""),26.0)</f>
        <v>26</v>
      </c>
    </row>
    <row r="2066">
      <c r="A2066" s="8">
        <f>IFERROR(__xludf.DUMMYFUNCTION("""COMPUTED_VALUE"""),2064.0)</f>
        <v>2064</v>
      </c>
      <c r="B2066" s="8">
        <f>IFERROR(__xludf.DUMMYFUNCTION("""COMPUTED_VALUE"""),63.0)</f>
        <v>63</v>
      </c>
    </row>
    <row r="2067">
      <c r="A2067" s="8">
        <f>IFERROR(__xludf.DUMMYFUNCTION("""COMPUTED_VALUE"""),2065.0)</f>
        <v>2065</v>
      </c>
      <c r="B2067" s="8">
        <f>IFERROR(__xludf.DUMMYFUNCTION("""COMPUTED_VALUE"""),23.0)</f>
        <v>23</v>
      </c>
    </row>
    <row r="2068">
      <c r="A2068" s="8">
        <f>IFERROR(__xludf.DUMMYFUNCTION("""COMPUTED_VALUE"""),2066.0)</f>
        <v>2066</v>
      </c>
      <c r="B2068" s="8">
        <f>IFERROR(__xludf.DUMMYFUNCTION("""COMPUTED_VALUE"""),59.0)</f>
        <v>59</v>
      </c>
    </row>
    <row r="2069">
      <c r="A2069" s="8">
        <f>IFERROR(__xludf.DUMMYFUNCTION("""COMPUTED_VALUE"""),2067.0)</f>
        <v>2067</v>
      </c>
      <c r="B2069" s="8">
        <f>IFERROR(__xludf.DUMMYFUNCTION("""COMPUTED_VALUE"""),63.0)</f>
        <v>63</v>
      </c>
    </row>
    <row r="2070">
      <c r="A2070" s="8">
        <f>IFERROR(__xludf.DUMMYFUNCTION("""COMPUTED_VALUE"""),2068.0)</f>
        <v>2068</v>
      </c>
      <c r="B2070" s="8">
        <f>IFERROR(__xludf.DUMMYFUNCTION("""COMPUTED_VALUE"""),42.0)</f>
        <v>42</v>
      </c>
    </row>
    <row r="2071">
      <c r="A2071" s="8">
        <f>IFERROR(__xludf.DUMMYFUNCTION("""COMPUTED_VALUE"""),2069.0)</f>
        <v>2069</v>
      </c>
      <c r="B2071" s="8">
        <f>IFERROR(__xludf.DUMMYFUNCTION("""COMPUTED_VALUE"""),51.0)</f>
        <v>51</v>
      </c>
    </row>
    <row r="2072">
      <c r="A2072" s="8">
        <f>IFERROR(__xludf.DUMMYFUNCTION("""COMPUTED_VALUE"""),2070.0)</f>
        <v>2070</v>
      </c>
      <c r="B2072" s="8">
        <f>IFERROR(__xludf.DUMMYFUNCTION("""COMPUTED_VALUE"""),23.0)</f>
        <v>23</v>
      </c>
    </row>
    <row r="2073">
      <c r="A2073" s="8">
        <f>IFERROR(__xludf.DUMMYFUNCTION("""COMPUTED_VALUE"""),2071.0)</f>
        <v>2071</v>
      </c>
      <c r="B2073" s="8">
        <f>IFERROR(__xludf.DUMMYFUNCTION("""COMPUTED_VALUE"""),23.0)</f>
        <v>23</v>
      </c>
    </row>
    <row r="2074">
      <c r="A2074" s="8">
        <f>IFERROR(__xludf.DUMMYFUNCTION("""COMPUTED_VALUE"""),2072.0)</f>
        <v>2072</v>
      </c>
      <c r="B2074" s="8">
        <f>IFERROR(__xludf.DUMMYFUNCTION("""COMPUTED_VALUE"""),33.0)</f>
        <v>33</v>
      </c>
    </row>
    <row r="2075">
      <c r="A2075" s="8">
        <f>IFERROR(__xludf.DUMMYFUNCTION("""COMPUTED_VALUE"""),2073.0)</f>
        <v>2073</v>
      </c>
      <c r="B2075" s="8">
        <f>IFERROR(__xludf.DUMMYFUNCTION("""COMPUTED_VALUE"""),64.0)</f>
        <v>64</v>
      </c>
    </row>
    <row r="2076">
      <c r="A2076" s="8">
        <f>IFERROR(__xludf.DUMMYFUNCTION("""COMPUTED_VALUE"""),2074.0)</f>
        <v>2074</v>
      </c>
      <c r="B2076" s="8">
        <f>IFERROR(__xludf.DUMMYFUNCTION("""COMPUTED_VALUE"""),33.0)</f>
        <v>33</v>
      </c>
    </row>
    <row r="2077">
      <c r="A2077" s="8">
        <f>IFERROR(__xludf.DUMMYFUNCTION("""COMPUTED_VALUE"""),2075.0)</f>
        <v>2075</v>
      </c>
      <c r="B2077" s="8">
        <f>IFERROR(__xludf.DUMMYFUNCTION("""COMPUTED_VALUE"""),40.0)</f>
        <v>40</v>
      </c>
    </row>
    <row r="2078">
      <c r="A2078" s="8">
        <f>IFERROR(__xludf.DUMMYFUNCTION("""COMPUTED_VALUE"""),2076.0)</f>
        <v>2076</v>
      </c>
      <c r="B2078" s="8">
        <f>IFERROR(__xludf.DUMMYFUNCTION("""COMPUTED_VALUE"""),60.0)</f>
        <v>60</v>
      </c>
    </row>
    <row r="2079">
      <c r="A2079" s="8">
        <f>IFERROR(__xludf.DUMMYFUNCTION("""COMPUTED_VALUE"""),2077.0)</f>
        <v>2077</v>
      </c>
      <c r="B2079" s="8">
        <f>IFERROR(__xludf.DUMMYFUNCTION("""COMPUTED_VALUE"""),36.0)</f>
        <v>36</v>
      </c>
    </row>
    <row r="2080">
      <c r="A2080" s="8">
        <f>IFERROR(__xludf.DUMMYFUNCTION("""COMPUTED_VALUE"""),2078.0)</f>
        <v>2078</v>
      </c>
      <c r="B2080" s="8">
        <f>IFERROR(__xludf.DUMMYFUNCTION("""COMPUTED_VALUE"""),35.0)</f>
        <v>35</v>
      </c>
    </row>
    <row r="2081">
      <c r="A2081" s="8">
        <f>IFERROR(__xludf.DUMMYFUNCTION("""COMPUTED_VALUE"""),2079.0)</f>
        <v>2079</v>
      </c>
      <c r="B2081" s="8">
        <f>IFERROR(__xludf.DUMMYFUNCTION("""COMPUTED_VALUE"""),68.0)</f>
        <v>68</v>
      </c>
    </row>
    <row r="2082">
      <c r="A2082" s="8">
        <f>IFERROR(__xludf.DUMMYFUNCTION("""COMPUTED_VALUE"""),2080.0)</f>
        <v>2080</v>
      </c>
      <c r="B2082" s="8">
        <f>IFERROR(__xludf.DUMMYFUNCTION("""COMPUTED_VALUE"""),53.0)</f>
        <v>53</v>
      </c>
    </row>
    <row r="2083">
      <c r="A2083" s="8">
        <f>IFERROR(__xludf.DUMMYFUNCTION("""COMPUTED_VALUE"""),2081.0)</f>
        <v>2081</v>
      </c>
      <c r="B2083" s="8">
        <f>IFERROR(__xludf.DUMMYFUNCTION("""COMPUTED_VALUE"""),32.0)</f>
        <v>32</v>
      </c>
    </row>
    <row r="2084">
      <c r="A2084" s="8">
        <f>IFERROR(__xludf.DUMMYFUNCTION("""COMPUTED_VALUE"""),2082.0)</f>
        <v>2082</v>
      </c>
      <c r="B2084" s="8">
        <f>IFERROR(__xludf.DUMMYFUNCTION("""COMPUTED_VALUE"""),70.0)</f>
        <v>70</v>
      </c>
    </row>
    <row r="2085">
      <c r="A2085" s="8">
        <f>IFERROR(__xludf.DUMMYFUNCTION("""COMPUTED_VALUE"""),2083.0)</f>
        <v>2083</v>
      </c>
      <c r="B2085" s="8">
        <f>IFERROR(__xludf.DUMMYFUNCTION("""COMPUTED_VALUE"""),28.0)</f>
        <v>28</v>
      </c>
    </row>
    <row r="2086">
      <c r="A2086" s="8">
        <f>IFERROR(__xludf.DUMMYFUNCTION("""COMPUTED_VALUE"""),2084.0)</f>
        <v>2084</v>
      </c>
      <c r="B2086" s="8">
        <f>IFERROR(__xludf.DUMMYFUNCTION("""COMPUTED_VALUE"""),38.0)</f>
        <v>38</v>
      </c>
    </row>
    <row r="2087">
      <c r="A2087" s="8">
        <f>IFERROR(__xludf.DUMMYFUNCTION("""COMPUTED_VALUE"""),2085.0)</f>
        <v>2085</v>
      </c>
      <c r="B2087" s="8">
        <f>IFERROR(__xludf.DUMMYFUNCTION("""COMPUTED_VALUE"""),21.0)</f>
        <v>21</v>
      </c>
    </row>
    <row r="2088">
      <c r="A2088" s="8">
        <f>IFERROR(__xludf.DUMMYFUNCTION("""COMPUTED_VALUE"""),2086.0)</f>
        <v>2086</v>
      </c>
      <c r="B2088" s="8">
        <f>IFERROR(__xludf.DUMMYFUNCTION("""COMPUTED_VALUE"""),41.0)</f>
        <v>41</v>
      </c>
    </row>
    <row r="2089">
      <c r="A2089" s="8">
        <f>IFERROR(__xludf.DUMMYFUNCTION("""COMPUTED_VALUE"""),2087.0)</f>
        <v>2087</v>
      </c>
      <c r="B2089" s="8">
        <f>IFERROR(__xludf.DUMMYFUNCTION("""COMPUTED_VALUE"""),32.0)</f>
        <v>32</v>
      </c>
    </row>
    <row r="2090">
      <c r="A2090" s="8">
        <f>IFERROR(__xludf.DUMMYFUNCTION("""COMPUTED_VALUE"""),2088.0)</f>
        <v>2088</v>
      </c>
      <c r="B2090" s="8">
        <f>IFERROR(__xludf.DUMMYFUNCTION("""COMPUTED_VALUE"""),50.0)</f>
        <v>50</v>
      </c>
    </row>
    <row r="2091">
      <c r="A2091" s="8">
        <f>IFERROR(__xludf.DUMMYFUNCTION("""COMPUTED_VALUE"""),2089.0)</f>
        <v>2089</v>
      </c>
      <c r="B2091" s="8">
        <f>IFERROR(__xludf.DUMMYFUNCTION("""COMPUTED_VALUE"""),37.0)</f>
        <v>37</v>
      </c>
    </row>
    <row r="2092">
      <c r="A2092" s="8">
        <f>IFERROR(__xludf.DUMMYFUNCTION("""COMPUTED_VALUE"""),2090.0)</f>
        <v>2090</v>
      </c>
      <c r="B2092" s="8">
        <f>IFERROR(__xludf.DUMMYFUNCTION("""COMPUTED_VALUE"""),39.0)</f>
        <v>39</v>
      </c>
    </row>
    <row r="2093">
      <c r="A2093" s="8">
        <f>IFERROR(__xludf.DUMMYFUNCTION("""COMPUTED_VALUE"""),2091.0)</f>
        <v>2091</v>
      </c>
      <c r="B2093" s="8">
        <f>IFERROR(__xludf.DUMMYFUNCTION("""COMPUTED_VALUE"""),28.0)</f>
        <v>28</v>
      </c>
    </row>
    <row r="2094">
      <c r="A2094" s="8">
        <f>IFERROR(__xludf.DUMMYFUNCTION("""COMPUTED_VALUE"""),2092.0)</f>
        <v>2092</v>
      </c>
      <c r="B2094" s="8">
        <f>IFERROR(__xludf.DUMMYFUNCTION("""COMPUTED_VALUE"""),51.0)</f>
        <v>51</v>
      </c>
    </row>
    <row r="2095">
      <c r="A2095" s="8">
        <f>IFERROR(__xludf.DUMMYFUNCTION("""COMPUTED_VALUE"""),2093.0)</f>
        <v>2093</v>
      </c>
      <c r="B2095" s="8">
        <f>IFERROR(__xludf.DUMMYFUNCTION("""COMPUTED_VALUE"""),48.0)</f>
        <v>48</v>
      </c>
    </row>
    <row r="2096">
      <c r="A2096" s="8">
        <f>IFERROR(__xludf.DUMMYFUNCTION("""COMPUTED_VALUE"""),2094.0)</f>
        <v>2094</v>
      </c>
      <c r="B2096" s="8">
        <f>IFERROR(__xludf.DUMMYFUNCTION("""COMPUTED_VALUE"""),36.0)</f>
        <v>36</v>
      </c>
    </row>
    <row r="2097">
      <c r="A2097" s="8">
        <f>IFERROR(__xludf.DUMMYFUNCTION("""COMPUTED_VALUE"""),2095.0)</f>
        <v>2095</v>
      </c>
      <c r="B2097" s="8">
        <f>IFERROR(__xludf.DUMMYFUNCTION("""COMPUTED_VALUE"""),36.0)</f>
        <v>36</v>
      </c>
    </row>
    <row r="2098">
      <c r="A2098" s="8">
        <f>IFERROR(__xludf.DUMMYFUNCTION("""COMPUTED_VALUE"""),2096.0)</f>
        <v>2096</v>
      </c>
      <c r="B2098" s="8">
        <f>IFERROR(__xludf.DUMMYFUNCTION("""COMPUTED_VALUE"""),24.0)</f>
        <v>24</v>
      </c>
    </row>
    <row r="2099">
      <c r="A2099" s="8">
        <f>IFERROR(__xludf.DUMMYFUNCTION("""COMPUTED_VALUE"""),2097.0)</f>
        <v>2097</v>
      </c>
      <c r="B2099" s="8">
        <f>IFERROR(__xludf.DUMMYFUNCTION("""COMPUTED_VALUE"""),39.0)</f>
        <v>39</v>
      </c>
    </row>
    <row r="2100">
      <c r="A2100" s="8">
        <f>IFERROR(__xludf.DUMMYFUNCTION("""COMPUTED_VALUE"""),2098.0)</f>
        <v>2098</v>
      </c>
      <c r="B2100" s="8">
        <f>IFERROR(__xludf.DUMMYFUNCTION("""COMPUTED_VALUE"""),46.0)</f>
        <v>46</v>
      </c>
    </row>
    <row r="2101">
      <c r="A2101" s="8">
        <f>IFERROR(__xludf.DUMMYFUNCTION("""COMPUTED_VALUE"""),2099.0)</f>
        <v>2099</v>
      </c>
      <c r="B2101" s="8">
        <f>IFERROR(__xludf.DUMMYFUNCTION("""COMPUTED_VALUE"""),27.0)</f>
        <v>27</v>
      </c>
    </row>
    <row r="2102">
      <c r="A2102" s="8">
        <f>IFERROR(__xludf.DUMMYFUNCTION("""COMPUTED_VALUE"""),2100.0)</f>
        <v>2100</v>
      </c>
      <c r="B2102" s="8">
        <f>IFERROR(__xludf.DUMMYFUNCTION("""COMPUTED_VALUE"""),34.0)</f>
        <v>34</v>
      </c>
    </row>
    <row r="2103">
      <c r="A2103" s="8">
        <f>IFERROR(__xludf.DUMMYFUNCTION("""COMPUTED_VALUE"""),2101.0)</f>
        <v>2101</v>
      </c>
      <c r="B2103" s="8">
        <f>IFERROR(__xludf.DUMMYFUNCTION("""COMPUTED_VALUE"""),41.0)</f>
        <v>41</v>
      </c>
    </row>
    <row r="2104">
      <c r="A2104" s="8">
        <f>IFERROR(__xludf.DUMMYFUNCTION("""COMPUTED_VALUE"""),2102.0)</f>
        <v>2102</v>
      </c>
      <c r="B2104" s="8">
        <f>IFERROR(__xludf.DUMMYFUNCTION("""COMPUTED_VALUE"""),29.0)</f>
        <v>29</v>
      </c>
    </row>
    <row r="2105">
      <c r="A2105" s="8">
        <f>IFERROR(__xludf.DUMMYFUNCTION("""COMPUTED_VALUE"""),2103.0)</f>
        <v>2103</v>
      </c>
      <c r="B2105" s="8">
        <f>IFERROR(__xludf.DUMMYFUNCTION("""COMPUTED_VALUE"""),49.0)</f>
        <v>49</v>
      </c>
    </row>
    <row r="2106">
      <c r="A2106" s="8">
        <f>IFERROR(__xludf.DUMMYFUNCTION("""COMPUTED_VALUE"""),2104.0)</f>
        <v>2104</v>
      </c>
      <c r="B2106" s="8">
        <f>IFERROR(__xludf.DUMMYFUNCTION("""COMPUTED_VALUE"""),37.0)</f>
        <v>37</v>
      </c>
    </row>
    <row r="2107">
      <c r="A2107" s="8">
        <f>IFERROR(__xludf.DUMMYFUNCTION("""COMPUTED_VALUE"""),2105.0)</f>
        <v>2105</v>
      </c>
      <c r="B2107" s="8">
        <f>IFERROR(__xludf.DUMMYFUNCTION("""COMPUTED_VALUE"""),35.0)</f>
        <v>35</v>
      </c>
    </row>
    <row r="2108">
      <c r="A2108" s="8">
        <f>IFERROR(__xludf.DUMMYFUNCTION("""COMPUTED_VALUE"""),2106.0)</f>
        <v>2106</v>
      </c>
      <c r="B2108" s="8">
        <f>IFERROR(__xludf.DUMMYFUNCTION("""COMPUTED_VALUE"""),37.0)</f>
        <v>37</v>
      </c>
    </row>
    <row r="2109">
      <c r="A2109" s="8">
        <f>IFERROR(__xludf.DUMMYFUNCTION("""COMPUTED_VALUE"""),2107.0)</f>
        <v>2107</v>
      </c>
      <c r="B2109" s="8">
        <f>IFERROR(__xludf.DUMMYFUNCTION("""COMPUTED_VALUE"""),32.0)</f>
        <v>32</v>
      </c>
    </row>
    <row r="2110">
      <c r="A2110" s="8">
        <f>IFERROR(__xludf.DUMMYFUNCTION("""COMPUTED_VALUE"""),2108.0)</f>
        <v>2108</v>
      </c>
      <c r="B2110" s="8">
        <f>IFERROR(__xludf.DUMMYFUNCTION("""COMPUTED_VALUE"""),30.0)</f>
        <v>30</v>
      </c>
    </row>
    <row r="2111">
      <c r="A2111" s="8">
        <f>IFERROR(__xludf.DUMMYFUNCTION("""COMPUTED_VALUE"""),2109.0)</f>
        <v>2109</v>
      </c>
      <c r="B2111" s="8">
        <f>IFERROR(__xludf.DUMMYFUNCTION("""COMPUTED_VALUE"""),36.0)</f>
        <v>36</v>
      </c>
    </row>
    <row r="2112">
      <c r="A2112" s="8">
        <f>IFERROR(__xludf.DUMMYFUNCTION("""COMPUTED_VALUE"""),2110.0)</f>
        <v>2110</v>
      </c>
      <c r="B2112" s="8">
        <f>IFERROR(__xludf.DUMMYFUNCTION("""COMPUTED_VALUE"""),66.0)</f>
        <v>66</v>
      </c>
    </row>
    <row r="2113">
      <c r="A2113" s="8">
        <f>IFERROR(__xludf.DUMMYFUNCTION("""COMPUTED_VALUE"""),2111.0)</f>
        <v>2111</v>
      </c>
      <c r="B2113" s="8">
        <f>IFERROR(__xludf.DUMMYFUNCTION("""COMPUTED_VALUE"""),44.0)</f>
        <v>44</v>
      </c>
    </row>
    <row r="2114">
      <c r="A2114" s="8">
        <f>IFERROR(__xludf.DUMMYFUNCTION("""COMPUTED_VALUE"""),2112.0)</f>
        <v>2112</v>
      </c>
      <c r="B2114" s="8">
        <f>IFERROR(__xludf.DUMMYFUNCTION("""COMPUTED_VALUE"""),56.0)</f>
        <v>56</v>
      </c>
    </row>
    <row r="2115">
      <c r="A2115" s="8">
        <f>IFERROR(__xludf.DUMMYFUNCTION("""COMPUTED_VALUE"""),2113.0)</f>
        <v>2113</v>
      </c>
      <c r="B2115" s="8">
        <f>IFERROR(__xludf.DUMMYFUNCTION("""COMPUTED_VALUE"""),44.0)</f>
        <v>44</v>
      </c>
    </row>
    <row r="2116">
      <c r="A2116" s="8">
        <f>IFERROR(__xludf.DUMMYFUNCTION("""COMPUTED_VALUE"""),2114.0)</f>
        <v>2114</v>
      </c>
      <c r="B2116" s="8">
        <f>IFERROR(__xludf.DUMMYFUNCTION("""COMPUTED_VALUE"""),38.0)</f>
        <v>38</v>
      </c>
    </row>
    <row r="2117">
      <c r="A2117" s="8">
        <f>IFERROR(__xludf.DUMMYFUNCTION("""COMPUTED_VALUE"""),2115.0)</f>
        <v>2115</v>
      </c>
      <c r="B2117" s="8">
        <f>IFERROR(__xludf.DUMMYFUNCTION("""COMPUTED_VALUE"""),68.0)</f>
        <v>68</v>
      </c>
    </row>
    <row r="2118">
      <c r="A2118" s="8">
        <f>IFERROR(__xludf.DUMMYFUNCTION("""COMPUTED_VALUE"""),2116.0)</f>
        <v>2116</v>
      </c>
      <c r="B2118" s="8">
        <f>IFERROR(__xludf.DUMMYFUNCTION("""COMPUTED_VALUE"""),41.0)</f>
        <v>41</v>
      </c>
    </row>
    <row r="2119">
      <c r="A2119" s="8">
        <f>IFERROR(__xludf.DUMMYFUNCTION("""COMPUTED_VALUE"""),2117.0)</f>
        <v>2117</v>
      </c>
      <c r="B2119" s="8">
        <f>IFERROR(__xludf.DUMMYFUNCTION("""COMPUTED_VALUE"""),34.0)</f>
        <v>34</v>
      </c>
    </row>
    <row r="2120">
      <c r="A2120" s="8">
        <f>IFERROR(__xludf.DUMMYFUNCTION("""COMPUTED_VALUE"""),2118.0)</f>
        <v>2118</v>
      </c>
      <c r="B2120" s="8">
        <f>IFERROR(__xludf.DUMMYFUNCTION("""COMPUTED_VALUE"""),65.0)</f>
        <v>65</v>
      </c>
    </row>
    <row r="2121">
      <c r="A2121" s="8">
        <f>IFERROR(__xludf.DUMMYFUNCTION("""COMPUTED_VALUE"""),2119.0)</f>
        <v>2119</v>
      </c>
      <c r="B2121" s="8">
        <f>IFERROR(__xludf.DUMMYFUNCTION("""COMPUTED_VALUE"""),84.0)</f>
        <v>84</v>
      </c>
    </row>
    <row r="2122">
      <c r="A2122" s="8">
        <f>IFERROR(__xludf.DUMMYFUNCTION("""COMPUTED_VALUE"""),2120.0)</f>
        <v>2120</v>
      </c>
      <c r="B2122" s="8">
        <f>IFERROR(__xludf.DUMMYFUNCTION("""COMPUTED_VALUE"""),44.0)</f>
        <v>44</v>
      </c>
    </row>
    <row r="2123">
      <c r="A2123" s="8">
        <f>IFERROR(__xludf.DUMMYFUNCTION("""COMPUTED_VALUE"""),2121.0)</f>
        <v>2121</v>
      </c>
      <c r="B2123" s="8">
        <f>IFERROR(__xludf.DUMMYFUNCTION("""COMPUTED_VALUE"""),60.0)</f>
        <v>60</v>
      </c>
    </row>
    <row r="2124">
      <c r="A2124" s="8">
        <f>IFERROR(__xludf.DUMMYFUNCTION("""COMPUTED_VALUE"""),2122.0)</f>
        <v>2122</v>
      </c>
      <c r="B2124" s="8">
        <f>IFERROR(__xludf.DUMMYFUNCTION("""COMPUTED_VALUE"""),39.0)</f>
        <v>39</v>
      </c>
    </row>
    <row r="2125">
      <c r="A2125" s="8">
        <f>IFERROR(__xludf.DUMMYFUNCTION("""COMPUTED_VALUE"""),2123.0)</f>
        <v>2123</v>
      </c>
      <c r="B2125" s="8">
        <f>IFERROR(__xludf.DUMMYFUNCTION("""COMPUTED_VALUE"""),39.0)</f>
        <v>39</v>
      </c>
    </row>
    <row r="2126">
      <c r="A2126" s="8">
        <f>IFERROR(__xludf.DUMMYFUNCTION("""COMPUTED_VALUE"""),2124.0)</f>
        <v>2124</v>
      </c>
      <c r="B2126" s="8">
        <f>IFERROR(__xludf.DUMMYFUNCTION("""COMPUTED_VALUE"""),39.0)</f>
        <v>39</v>
      </c>
    </row>
    <row r="2127">
      <c r="A2127" s="8">
        <f>IFERROR(__xludf.DUMMYFUNCTION("""COMPUTED_VALUE"""),2125.0)</f>
        <v>2125</v>
      </c>
      <c r="B2127" s="8">
        <f>IFERROR(__xludf.DUMMYFUNCTION("""COMPUTED_VALUE"""),27.0)</f>
        <v>27</v>
      </c>
    </row>
    <row r="2128">
      <c r="A2128" s="8">
        <f>IFERROR(__xludf.DUMMYFUNCTION("""COMPUTED_VALUE"""),2126.0)</f>
        <v>2126</v>
      </c>
      <c r="B2128" s="8">
        <f>IFERROR(__xludf.DUMMYFUNCTION("""COMPUTED_VALUE"""),56.0)</f>
        <v>56</v>
      </c>
    </row>
    <row r="2129">
      <c r="A2129" s="8">
        <f>IFERROR(__xludf.DUMMYFUNCTION("""COMPUTED_VALUE"""),2127.0)</f>
        <v>2127</v>
      </c>
      <c r="B2129" s="8">
        <f>IFERROR(__xludf.DUMMYFUNCTION("""COMPUTED_VALUE"""),60.0)</f>
        <v>60</v>
      </c>
    </row>
    <row r="2130">
      <c r="A2130" s="8">
        <f>IFERROR(__xludf.DUMMYFUNCTION("""COMPUTED_VALUE"""),2128.0)</f>
        <v>2128</v>
      </c>
      <c r="B2130" s="8">
        <f>IFERROR(__xludf.DUMMYFUNCTION("""COMPUTED_VALUE"""),35.0)</f>
        <v>35</v>
      </c>
    </row>
    <row r="2131">
      <c r="A2131" s="8">
        <f>IFERROR(__xludf.DUMMYFUNCTION("""COMPUTED_VALUE"""),2129.0)</f>
        <v>2129</v>
      </c>
      <c r="B2131" s="8">
        <f>IFERROR(__xludf.DUMMYFUNCTION("""COMPUTED_VALUE"""),60.0)</f>
        <v>60</v>
      </c>
    </row>
    <row r="2132">
      <c r="A2132" s="8">
        <f>IFERROR(__xludf.DUMMYFUNCTION("""COMPUTED_VALUE"""),2130.0)</f>
        <v>2130</v>
      </c>
      <c r="B2132" s="8">
        <f>IFERROR(__xludf.DUMMYFUNCTION("""COMPUTED_VALUE"""),34.0)</f>
        <v>34</v>
      </c>
    </row>
    <row r="2133">
      <c r="A2133" s="8">
        <f>IFERROR(__xludf.DUMMYFUNCTION("""COMPUTED_VALUE"""),2131.0)</f>
        <v>2131</v>
      </c>
      <c r="B2133" s="8">
        <f>IFERROR(__xludf.DUMMYFUNCTION("""COMPUTED_VALUE"""),54.0)</f>
        <v>54</v>
      </c>
    </row>
    <row r="2134">
      <c r="A2134" s="8">
        <f>IFERROR(__xludf.DUMMYFUNCTION("""COMPUTED_VALUE"""),2132.0)</f>
        <v>2132</v>
      </c>
      <c r="B2134" s="8">
        <f>IFERROR(__xludf.DUMMYFUNCTION("""COMPUTED_VALUE"""),25.0)</f>
        <v>25</v>
      </c>
    </row>
    <row r="2135">
      <c r="A2135" s="8">
        <f>IFERROR(__xludf.DUMMYFUNCTION("""COMPUTED_VALUE"""),2133.0)</f>
        <v>2133</v>
      </c>
      <c r="B2135" s="8">
        <f>IFERROR(__xludf.DUMMYFUNCTION("""COMPUTED_VALUE"""),42.0)</f>
        <v>42</v>
      </c>
    </row>
    <row r="2136">
      <c r="A2136" s="8">
        <f>IFERROR(__xludf.DUMMYFUNCTION("""COMPUTED_VALUE"""),2134.0)</f>
        <v>2134</v>
      </c>
      <c r="B2136" s="8">
        <f>IFERROR(__xludf.DUMMYFUNCTION("""COMPUTED_VALUE"""),36.0)</f>
        <v>36</v>
      </c>
    </row>
    <row r="2137">
      <c r="A2137" s="8">
        <f>IFERROR(__xludf.DUMMYFUNCTION("""COMPUTED_VALUE"""),2135.0)</f>
        <v>2135</v>
      </c>
      <c r="B2137" s="8">
        <f>IFERROR(__xludf.DUMMYFUNCTION("""COMPUTED_VALUE"""),34.0)</f>
        <v>34</v>
      </c>
    </row>
    <row r="2138">
      <c r="A2138" s="8">
        <f>IFERROR(__xludf.DUMMYFUNCTION("""COMPUTED_VALUE"""),2136.0)</f>
        <v>2136</v>
      </c>
      <c r="B2138" s="8">
        <f>IFERROR(__xludf.DUMMYFUNCTION("""COMPUTED_VALUE"""),33.0)</f>
        <v>33</v>
      </c>
    </row>
    <row r="2139">
      <c r="A2139" s="8">
        <f>IFERROR(__xludf.DUMMYFUNCTION("""COMPUTED_VALUE"""),2137.0)</f>
        <v>2137</v>
      </c>
      <c r="B2139" s="8">
        <f>IFERROR(__xludf.DUMMYFUNCTION("""COMPUTED_VALUE"""),41.0)</f>
        <v>41</v>
      </c>
    </row>
    <row r="2140">
      <c r="A2140" s="8">
        <f>IFERROR(__xludf.DUMMYFUNCTION("""COMPUTED_VALUE"""),2138.0)</f>
        <v>2138</v>
      </c>
      <c r="B2140" s="8">
        <f>IFERROR(__xludf.DUMMYFUNCTION("""COMPUTED_VALUE"""),42.0)</f>
        <v>42</v>
      </c>
    </row>
    <row r="2141">
      <c r="A2141" s="8">
        <f>IFERROR(__xludf.DUMMYFUNCTION("""COMPUTED_VALUE"""),2139.0)</f>
        <v>2139</v>
      </c>
      <c r="B2141" s="8">
        <f>IFERROR(__xludf.DUMMYFUNCTION("""COMPUTED_VALUE"""),38.0)</f>
        <v>38</v>
      </c>
    </row>
    <row r="2142">
      <c r="A2142" s="8">
        <f>IFERROR(__xludf.DUMMYFUNCTION("""COMPUTED_VALUE"""),2140.0)</f>
        <v>2140</v>
      </c>
      <c r="B2142" s="8">
        <f>IFERROR(__xludf.DUMMYFUNCTION("""COMPUTED_VALUE"""),52.0)</f>
        <v>52</v>
      </c>
    </row>
    <row r="2143">
      <c r="A2143" s="8">
        <f>IFERROR(__xludf.DUMMYFUNCTION("""COMPUTED_VALUE"""),2141.0)</f>
        <v>2141</v>
      </c>
      <c r="B2143" s="8">
        <f>IFERROR(__xludf.DUMMYFUNCTION("""COMPUTED_VALUE"""),58.0)</f>
        <v>58</v>
      </c>
    </row>
    <row r="2144">
      <c r="A2144" s="8">
        <f>IFERROR(__xludf.DUMMYFUNCTION("""COMPUTED_VALUE"""),2142.0)</f>
        <v>2142</v>
      </c>
      <c r="B2144" s="8">
        <f>IFERROR(__xludf.DUMMYFUNCTION("""COMPUTED_VALUE"""),21.0)</f>
        <v>21</v>
      </c>
    </row>
    <row r="2145">
      <c r="A2145" s="8">
        <f>IFERROR(__xludf.DUMMYFUNCTION("""COMPUTED_VALUE"""),2143.0)</f>
        <v>2143</v>
      </c>
      <c r="B2145" s="8">
        <f>IFERROR(__xludf.DUMMYFUNCTION("""COMPUTED_VALUE"""),34.0)</f>
        <v>34</v>
      </c>
    </row>
    <row r="2146">
      <c r="A2146" s="8">
        <f>IFERROR(__xludf.DUMMYFUNCTION("""COMPUTED_VALUE"""),2144.0)</f>
        <v>2144</v>
      </c>
      <c r="B2146" s="8">
        <f>IFERROR(__xludf.DUMMYFUNCTION("""COMPUTED_VALUE"""),46.0)</f>
        <v>46</v>
      </c>
    </row>
    <row r="2147">
      <c r="A2147" s="8">
        <f>IFERROR(__xludf.DUMMYFUNCTION("""COMPUTED_VALUE"""),2145.0)</f>
        <v>2145</v>
      </c>
      <c r="B2147" s="8">
        <f>IFERROR(__xludf.DUMMYFUNCTION("""COMPUTED_VALUE"""),30.0)</f>
        <v>30</v>
      </c>
    </row>
    <row r="2148">
      <c r="A2148" s="8">
        <f>IFERROR(__xludf.DUMMYFUNCTION("""COMPUTED_VALUE"""),2146.0)</f>
        <v>2146</v>
      </c>
      <c r="B2148" s="8">
        <f>IFERROR(__xludf.DUMMYFUNCTION("""COMPUTED_VALUE"""),60.0)</f>
        <v>60</v>
      </c>
    </row>
    <row r="2149">
      <c r="A2149" s="8">
        <f>IFERROR(__xludf.DUMMYFUNCTION("""COMPUTED_VALUE"""),2147.0)</f>
        <v>2147</v>
      </c>
      <c r="B2149" s="8">
        <f>IFERROR(__xludf.DUMMYFUNCTION("""COMPUTED_VALUE"""),29.0)</f>
        <v>29</v>
      </c>
    </row>
    <row r="2150">
      <c r="A2150" s="8">
        <f>IFERROR(__xludf.DUMMYFUNCTION("""COMPUTED_VALUE"""),2148.0)</f>
        <v>2148</v>
      </c>
      <c r="B2150" s="8">
        <f>IFERROR(__xludf.DUMMYFUNCTION("""COMPUTED_VALUE"""),68.0)</f>
        <v>68</v>
      </c>
    </row>
    <row r="2151">
      <c r="A2151" s="8">
        <f>IFERROR(__xludf.DUMMYFUNCTION("""COMPUTED_VALUE"""),2149.0)</f>
        <v>2149</v>
      </c>
      <c r="B2151" s="8">
        <f>IFERROR(__xludf.DUMMYFUNCTION("""COMPUTED_VALUE"""),36.0)</f>
        <v>36</v>
      </c>
    </row>
    <row r="2152">
      <c r="A2152" s="8">
        <f>IFERROR(__xludf.DUMMYFUNCTION("""COMPUTED_VALUE"""),2150.0)</f>
        <v>2150</v>
      </c>
      <c r="B2152" s="8">
        <f>IFERROR(__xludf.DUMMYFUNCTION("""COMPUTED_VALUE"""),35.0)</f>
        <v>35</v>
      </c>
    </row>
    <row r="2153">
      <c r="A2153" s="8">
        <f>IFERROR(__xludf.DUMMYFUNCTION("""COMPUTED_VALUE"""),2151.0)</f>
        <v>2151</v>
      </c>
      <c r="B2153" s="8">
        <f>IFERROR(__xludf.DUMMYFUNCTION("""COMPUTED_VALUE"""),53.0)</f>
        <v>53</v>
      </c>
    </row>
    <row r="2154">
      <c r="A2154" s="8">
        <f>IFERROR(__xludf.DUMMYFUNCTION("""COMPUTED_VALUE"""),2152.0)</f>
        <v>2152</v>
      </c>
      <c r="B2154" s="8">
        <f>IFERROR(__xludf.DUMMYFUNCTION("""COMPUTED_VALUE"""),37.0)</f>
        <v>37</v>
      </c>
    </row>
    <row r="2155">
      <c r="A2155" s="8">
        <f>IFERROR(__xludf.DUMMYFUNCTION("""COMPUTED_VALUE"""),2153.0)</f>
        <v>2153</v>
      </c>
      <c r="B2155" s="8">
        <f>IFERROR(__xludf.DUMMYFUNCTION("""COMPUTED_VALUE"""),67.0)</f>
        <v>67</v>
      </c>
    </row>
    <row r="2156">
      <c r="A2156" s="8">
        <f>IFERROR(__xludf.DUMMYFUNCTION("""COMPUTED_VALUE"""),2154.0)</f>
        <v>2154</v>
      </c>
      <c r="B2156" s="8">
        <f>IFERROR(__xludf.DUMMYFUNCTION("""COMPUTED_VALUE"""),23.0)</f>
        <v>23</v>
      </c>
    </row>
    <row r="2157">
      <c r="A2157" s="8">
        <f>IFERROR(__xludf.DUMMYFUNCTION("""COMPUTED_VALUE"""),2155.0)</f>
        <v>2155</v>
      </c>
      <c r="B2157" s="8">
        <f>IFERROR(__xludf.DUMMYFUNCTION("""COMPUTED_VALUE"""),25.0)</f>
        <v>25</v>
      </c>
    </row>
    <row r="2158">
      <c r="A2158" s="8">
        <f>IFERROR(__xludf.DUMMYFUNCTION("""COMPUTED_VALUE"""),2156.0)</f>
        <v>2156</v>
      </c>
      <c r="B2158" s="8">
        <f>IFERROR(__xludf.DUMMYFUNCTION("""COMPUTED_VALUE"""),62.0)</f>
        <v>62</v>
      </c>
    </row>
    <row r="2159">
      <c r="A2159" s="8">
        <f>IFERROR(__xludf.DUMMYFUNCTION("""COMPUTED_VALUE"""),2157.0)</f>
        <v>2157</v>
      </c>
      <c r="B2159" s="8">
        <f>IFERROR(__xludf.DUMMYFUNCTION("""COMPUTED_VALUE"""),35.0)</f>
        <v>35</v>
      </c>
    </row>
    <row r="2160">
      <c r="A2160" s="8">
        <f>IFERROR(__xludf.DUMMYFUNCTION("""COMPUTED_VALUE"""),2158.0)</f>
        <v>2158</v>
      </c>
      <c r="B2160" s="8">
        <f>IFERROR(__xludf.DUMMYFUNCTION("""COMPUTED_VALUE"""),46.0)</f>
        <v>46</v>
      </c>
    </row>
    <row r="2161">
      <c r="A2161" s="8">
        <f>IFERROR(__xludf.DUMMYFUNCTION("""COMPUTED_VALUE"""),2159.0)</f>
        <v>2159</v>
      </c>
      <c r="B2161" s="8">
        <f>IFERROR(__xludf.DUMMYFUNCTION("""COMPUTED_VALUE"""),39.0)</f>
        <v>39</v>
      </c>
    </row>
    <row r="2162">
      <c r="A2162" s="8">
        <f>IFERROR(__xludf.DUMMYFUNCTION("""COMPUTED_VALUE"""),2160.0)</f>
        <v>2160</v>
      </c>
      <c r="B2162" s="8">
        <f>IFERROR(__xludf.DUMMYFUNCTION("""COMPUTED_VALUE"""),65.0)</f>
        <v>65</v>
      </c>
    </row>
    <row r="2163">
      <c r="A2163" s="8">
        <f>IFERROR(__xludf.DUMMYFUNCTION("""COMPUTED_VALUE"""),2161.0)</f>
        <v>2161</v>
      </c>
      <c r="B2163" s="8">
        <f>IFERROR(__xludf.DUMMYFUNCTION("""COMPUTED_VALUE"""),30.0)</f>
        <v>30</v>
      </c>
    </row>
    <row r="2164">
      <c r="A2164" s="8">
        <f>IFERROR(__xludf.DUMMYFUNCTION("""COMPUTED_VALUE"""),2162.0)</f>
        <v>2162</v>
      </c>
      <c r="B2164" s="8">
        <f>IFERROR(__xludf.DUMMYFUNCTION("""COMPUTED_VALUE"""),48.0)</f>
        <v>48</v>
      </c>
    </row>
    <row r="2165">
      <c r="A2165" s="8">
        <f>IFERROR(__xludf.DUMMYFUNCTION("""COMPUTED_VALUE"""),2163.0)</f>
        <v>2163</v>
      </c>
      <c r="B2165" s="8">
        <f>IFERROR(__xludf.DUMMYFUNCTION("""COMPUTED_VALUE"""),59.0)</f>
        <v>59</v>
      </c>
    </row>
    <row r="2166">
      <c r="A2166" s="8">
        <f>IFERROR(__xludf.DUMMYFUNCTION("""COMPUTED_VALUE"""),2164.0)</f>
        <v>2164</v>
      </c>
      <c r="B2166" s="8">
        <f>IFERROR(__xludf.DUMMYFUNCTION("""COMPUTED_VALUE"""),53.0)</f>
        <v>53</v>
      </c>
    </row>
    <row r="2167">
      <c r="A2167" s="8">
        <f>IFERROR(__xludf.DUMMYFUNCTION("""COMPUTED_VALUE"""),2165.0)</f>
        <v>2165</v>
      </c>
      <c r="B2167" s="8">
        <f>IFERROR(__xludf.DUMMYFUNCTION("""COMPUTED_VALUE"""),46.0)</f>
        <v>46</v>
      </c>
    </row>
    <row r="2168">
      <c r="A2168" s="8">
        <f>IFERROR(__xludf.DUMMYFUNCTION("""COMPUTED_VALUE"""),2166.0)</f>
        <v>2166</v>
      </c>
      <c r="B2168" s="8">
        <f>IFERROR(__xludf.DUMMYFUNCTION("""COMPUTED_VALUE"""),33.0)</f>
        <v>33</v>
      </c>
    </row>
    <row r="2169">
      <c r="A2169" s="8">
        <f>IFERROR(__xludf.DUMMYFUNCTION("""COMPUTED_VALUE"""),2167.0)</f>
        <v>2167</v>
      </c>
      <c r="B2169" s="8">
        <f>IFERROR(__xludf.DUMMYFUNCTION("""COMPUTED_VALUE"""),49.0)</f>
        <v>49</v>
      </c>
    </row>
    <row r="2170">
      <c r="A2170" s="8">
        <f>IFERROR(__xludf.DUMMYFUNCTION("""COMPUTED_VALUE"""),2168.0)</f>
        <v>2168</v>
      </c>
      <c r="B2170" s="8">
        <f>IFERROR(__xludf.DUMMYFUNCTION("""COMPUTED_VALUE"""),36.0)</f>
        <v>36</v>
      </c>
    </row>
    <row r="2171">
      <c r="A2171" s="8">
        <f>IFERROR(__xludf.DUMMYFUNCTION("""COMPUTED_VALUE"""),2169.0)</f>
        <v>2169</v>
      </c>
      <c r="B2171" s="8">
        <f>IFERROR(__xludf.DUMMYFUNCTION("""COMPUTED_VALUE"""),36.0)</f>
        <v>36</v>
      </c>
    </row>
    <row r="2172">
      <c r="A2172" s="8">
        <f>IFERROR(__xludf.DUMMYFUNCTION("""COMPUTED_VALUE"""),2170.0)</f>
        <v>2170</v>
      </c>
      <c r="B2172" s="8">
        <f>IFERROR(__xludf.DUMMYFUNCTION("""COMPUTED_VALUE"""),39.0)</f>
        <v>39</v>
      </c>
    </row>
    <row r="2173">
      <c r="A2173" s="8">
        <f>IFERROR(__xludf.DUMMYFUNCTION("""COMPUTED_VALUE"""),2171.0)</f>
        <v>2171</v>
      </c>
      <c r="B2173" s="8">
        <f>IFERROR(__xludf.DUMMYFUNCTION("""COMPUTED_VALUE"""),51.0)</f>
        <v>51</v>
      </c>
    </row>
    <row r="2174">
      <c r="A2174" s="8">
        <f>IFERROR(__xludf.DUMMYFUNCTION("""COMPUTED_VALUE"""),2172.0)</f>
        <v>2172</v>
      </c>
      <c r="B2174" s="8">
        <f>IFERROR(__xludf.DUMMYFUNCTION("""COMPUTED_VALUE"""),35.0)</f>
        <v>35</v>
      </c>
    </row>
    <row r="2175">
      <c r="A2175" s="8">
        <f>IFERROR(__xludf.DUMMYFUNCTION("""COMPUTED_VALUE"""),2173.0)</f>
        <v>2173</v>
      </c>
      <c r="B2175" s="8">
        <f>IFERROR(__xludf.DUMMYFUNCTION("""COMPUTED_VALUE"""),38.0)</f>
        <v>38</v>
      </c>
    </row>
    <row r="2176">
      <c r="A2176" s="8">
        <f>IFERROR(__xludf.DUMMYFUNCTION("""COMPUTED_VALUE"""),2174.0)</f>
        <v>2174</v>
      </c>
      <c r="B2176" s="8">
        <f>IFERROR(__xludf.DUMMYFUNCTION("""COMPUTED_VALUE"""),59.0)</f>
        <v>59</v>
      </c>
    </row>
    <row r="2177">
      <c r="A2177" s="8">
        <f>IFERROR(__xludf.DUMMYFUNCTION("""COMPUTED_VALUE"""),2175.0)</f>
        <v>2175</v>
      </c>
      <c r="B2177" s="8">
        <f>IFERROR(__xludf.DUMMYFUNCTION("""COMPUTED_VALUE"""),73.0)</f>
        <v>73</v>
      </c>
    </row>
    <row r="2178">
      <c r="A2178" s="8">
        <f>IFERROR(__xludf.DUMMYFUNCTION("""COMPUTED_VALUE"""),2176.0)</f>
        <v>2176</v>
      </c>
      <c r="B2178" s="8">
        <f>IFERROR(__xludf.DUMMYFUNCTION("""COMPUTED_VALUE"""),63.0)</f>
        <v>63</v>
      </c>
    </row>
    <row r="2179">
      <c r="A2179" s="8">
        <f>IFERROR(__xludf.DUMMYFUNCTION("""COMPUTED_VALUE"""),2177.0)</f>
        <v>2177</v>
      </c>
      <c r="B2179" s="8">
        <f>IFERROR(__xludf.DUMMYFUNCTION("""COMPUTED_VALUE"""),28.0)</f>
        <v>28</v>
      </c>
    </row>
    <row r="2180">
      <c r="A2180" s="8">
        <f>IFERROR(__xludf.DUMMYFUNCTION("""COMPUTED_VALUE"""),2178.0)</f>
        <v>2178</v>
      </c>
      <c r="B2180" s="8">
        <f>IFERROR(__xludf.DUMMYFUNCTION("""COMPUTED_VALUE"""),32.0)</f>
        <v>32</v>
      </c>
    </row>
    <row r="2181">
      <c r="A2181" s="8">
        <f>IFERROR(__xludf.DUMMYFUNCTION("""COMPUTED_VALUE"""),2179.0)</f>
        <v>2179</v>
      </c>
      <c r="B2181" s="8">
        <f>IFERROR(__xludf.DUMMYFUNCTION("""COMPUTED_VALUE"""),44.0)</f>
        <v>44</v>
      </c>
    </row>
    <row r="2182">
      <c r="A2182" s="8">
        <f>IFERROR(__xludf.DUMMYFUNCTION("""COMPUTED_VALUE"""),2180.0)</f>
        <v>2180</v>
      </c>
      <c r="B2182" s="8">
        <f>IFERROR(__xludf.DUMMYFUNCTION("""COMPUTED_VALUE"""),26.0)</f>
        <v>26</v>
      </c>
    </row>
    <row r="2183">
      <c r="A2183" s="8">
        <f>IFERROR(__xludf.DUMMYFUNCTION("""COMPUTED_VALUE"""),2181.0)</f>
        <v>2181</v>
      </c>
      <c r="B2183" s="8">
        <f>IFERROR(__xludf.DUMMYFUNCTION("""COMPUTED_VALUE"""),42.0)</f>
        <v>42</v>
      </c>
    </row>
    <row r="2184">
      <c r="A2184" s="8">
        <f>IFERROR(__xludf.DUMMYFUNCTION("""COMPUTED_VALUE"""),2182.0)</f>
        <v>2182</v>
      </c>
      <c r="B2184" s="8">
        <f>IFERROR(__xludf.DUMMYFUNCTION("""COMPUTED_VALUE"""),48.0)</f>
        <v>48</v>
      </c>
    </row>
    <row r="2185">
      <c r="A2185" s="8">
        <f>IFERROR(__xludf.DUMMYFUNCTION("""COMPUTED_VALUE"""),2183.0)</f>
        <v>2183</v>
      </c>
      <c r="B2185" s="8">
        <f>IFERROR(__xludf.DUMMYFUNCTION("""COMPUTED_VALUE"""),32.0)</f>
        <v>32</v>
      </c>
    </row>
    <row r="2186">
      <c r="A2186" s="8">
        <f>IFERROR(__xludf.DUMMYFUNCTION("""COMPUTED_VALUE"""),2184.0)</f>
        <v>2184</v>
      </c>
      <c r="B2186" s="8">
        <f>IFERROR(__xludf.DUMMYFUNCTION("""COMPUTED_VALUE"""),52.0)</f>
        <v>52</v>
      </c>
    </row>
    <row r="2187">
      <c r="A2187" s="8">
        <f>IFERROR(__xludf.DUMMYFUNCTION("""COMPUTED_VALUE"""),2185.0)</f>
        <v>2185</v>
      </c>
      <c r="B2187" s="8">
        <f>IFERROR(__xludf.DUMMYFUNCTION("""COMPUTED_VALUE"""),31.0)</f>
        <v>31</v>
      </c>
    </row>
    <row r="2188">
      <c r="A2188" s="8">
        <f>IFERROR(__xludf.DUMMYFUNCTION("""COMPUTED_VALUE"""),2186.0)</f>
        <v>2186</v>
      </c>
      <c r="B2188" s="8">
        <f>IFERROR(__xludf.DUMMYFUNCTION("""COMPUTED_VALUE"""),32.0)</f>
        <v>32</v>
      </c>
    </row>
    <row r="2189">
      <c r="A2189" s="8">
        <f>IFERROR(__xludf.DUMMYFUNCTION("""COMPUTED_VALUE"""),2187.0)</f>
        <v>2187</v>
      </c>
      <c r="B2189" s="8">
        <f>IFERROR(__xludf.DUMMYFUNCTION("""COMPUTED_VALUE"""),51.0)</f>
        <v>51</v>
      </c>
    </row>
    <row r="2190">
      <c r="A2190" s="8">
        <f>IFERROR(__xludf.DUMMYFUNCTION("""COMPUTED_VALUE"""),2188.0)</f>
        <v>2188</v>
      </c>
      <c r="B2190" s="8">
        <f>IFERROR(__xludf.DUMMYFUNCTION("""COMPUTED_VALUE"""),40.0)</f>
        <v>40</v>
      </c>
    </row>
    <row r="2191">
      <c r="A2191" s="8">
        <f>IFERROR(__xludf.DUMMYFUNCTION("""COMPUTED_VALUE"""),2189.0)</f>
        <v>2189</v>
      </c>
      <c r="B2191" s="8">
        <f>IFERROR(__xludf.DUMMYFUNCTION("""COMPUTED_VALUE"""),35.0)</f>
        <v>35</v>
      </c>
    </row>
    <row r="2192">
      <c r="A2192" s="8">
        <f>IFERROR(__xludf.DUMMYFUNCTION("""COMPUTED_VALUE"""),2190.0)</f>
        <v>2190</v>
      </c>
      <c r="B2192" s="8">
        <f>IFERROR(__xludf.DUMMYFUNCTION("""COMPUTED_VALUE"""),56.0)</f>
        <v>56</v>
      </c>
    </row>
    <row r="2193">
      <c r="A2193" s="8">
        <f>IFERROR(__xludf.DUMMYFUNCTION("""COMPUTED_VALUE"""),2191.0)</f>
        <v>2191</v>
      </c>
      <c r="B2193" s="8">
        <f>IFERROR(__xludf.DUMMYFUNCTION("""COMPUTED_VALUE"""),37.0)</f>
        <v>37</v>
      </c>
    </row>
    <row r="2194">
      <c r="A2194" s="8">
        <f>IFERROR(__xludf.DUMMYFUNCTION("""COMPUTED_VALUE"""),2192.0)</f>
        <v>2192</v>
      </c>
      <c r="B2194" s="8">
        <f>IFERROR(__xludf.DUMMYFUNCTION("""COMPUTED_VALUE"""),46.0)</f>
        <v>46</v>
      </c>
    </row>
    <row r="2195">
      <c r="A2195" s="8">
        <f>IFERROR(__xludf.DUMMYFUNCTION("""COMPUTED_VALUE"""),2193.0)</f>
        <v>2193</v>
      </c>
      <c r="B2195" s="8">
        <f>IFERROR(__xludf.DUMMYFUNCTION("""COMPUTED_VALUE"""),67.0)</f>
        <v>67</v>
      </c>
    </row>
    <row r="2196">
      <c r="A2196" s="8">
        <f>IFERROR(__xludf.DUMMYFUNCTION("""COMPUTED_VALUE"""),2194.0)</f>
        <v>2194</v>
      </c>
      <c r="B2196" s="8">
        <f>IFERROR(__xludf.DUMMYFUNCTION("""COMPUTED_VALUE"""),38.0)</f>
        <v>38</v>
      </c>
    </row>
    <row r="2197">
      <c r="A2197" s="8">
        <f>IFERROR(__xludf.DUMMYFUNCTION("""COMPUTED_VALUE"""),2195.0)</f>
        <v>2195</v>
      </c>
      <c r="B2197" s="8">
        <f>IFERROR(__xludf.DUMMYFUNCTION("""COMPUTED_VALUE"""),33.0)</f>
        <v>33</v>
      </c>
    </row>
    <row r="2198">
      <c r="A2198" s="8">
        <f>IFERROR(__xludf.DUMMYFUNCTION("""COMPUTED_VALUE"""),2196.0)</f>
        <v>2196</v>
      </c>
      <c r="B2198" s="8">
        <f>IFERROR(__xludf.DUMMYFUNCTION("""COMPUTED_VALUE"""),46.0)</f>
        <v>46</v>
      </c>
    </row>
    <row r="2199">
      <c r="A2199" s="8">
        <f>IFERROR(__xludf.DUMMYFUNCTION("""COMPUTED_VALUE"""),2197.0)</f>
        <v>2197</v>
      </c>
      <c r="B2199" s="8">
        <f>IFERROR(__xludf.DUMMYFUNCTION("""COMPUTED_VALUE"""),34.0)</f>
        <v>34</v>
      </c>
    </row>
    <row r="2200">
      <c r="A2200" s="8">
        <f>IFERROR(__xludf.DUMMYFUNCTION("""COMPUTED_VALUE"""),2198.0)</f>
        <v>2198</v>
      </c>
      <c r="B2200" s="8">
        <f>IFERROR(__xludf.DUMMYFUNCTION("""COMPUTED_VALUE"""),63.0)</f>
        <v>63</v>
      </c>
    </row>
    <row r="2201">
      <c r="A2201" s="8">
        <f>IFERROR(__xludf.DUMMYFUNCTION("""COMPUTED_VALUE"""),2199.0)</f>
        <v>2199</v>
      </c>
      <c r="B2201" s="8">
        <f>IFERROR(__xludf.DUMMYFUNCTION("""COMPUTED_VALUE"""),34.0)</f>
        <v>34</v>
      </c>
    </row>
    <row r="2202">
      <c r="A2202" s="8">
        <f>IFERROR(__xludf.DUMMYFUNCTION("""COMPUTED_VALUE"""),2200.0)</f>
        <v>2200</v>
      </c>
      <c r="B2202" s="8">
        <f>IFERROR(__xludf.DUMMYFUNCTION("""COMPUTED_VALUE"""),50.0)</f>
        <v>50</v>
      </c>
    </row>
    <row r="2203">
      <c r="A2203" s="8">
        <f>IFERROR(__xludf.DUMMYFUNCTION("""COMPUTED_VALUE"""),2201.0)</f>
        <v>2201</v>
      </c>
      <c r="B2203" s="8">
        <f>IFERROR(__xludf.DUMMYFUNCTION("""COMPUTED_VALUE"""),36.0)</f>
        <v>36</v>
      </c>
    </row>
    <row r="2204">
      <c r="A2204" s="8">
        <f>IFERROR(__xludf.DUMMYFUNCTION("""COMPUTED_VALUE"""),2202.0)</f>
        <v>2202</v>
      </c>
      <c r="B2204" s="8">
        <f>IFERROR(__xludf.DUMMYFUNCTION("""COMPUTED_VALUE"""),39.0)</f>
        <v>39</v>
      </c>
    </row>
    <row r="2205">
      <c r="A2205" s="8">
        <f>IFERROR(__xludf.DUMMYFUNCTION("""COMPUTED_VALUE"""),2203.0)</f>
        <v>2203</v>
      </c>
      <c r="B2205" s="8">
        <f>IFERROR(__xludf.DUMMYFUNCTION("""COMPUTED_VALUE"""),44.0)</f>
        <v>44</v>
      </c>
    </row>
    <row r="2206">
      <c r="A2206" s="8">
        <f>IFERROR(__xludf.DUMMYFUNCTION("""COMPUTED_VALUE"""),2204.0)</f>
        <v>2204</v>
      </c>
      <c r="B2206" s="8">
        <f>IFERROR(__xludf.DUMMYFUNCTION("""COMPUTED_VALUE"""),48.0)</f>
        <v>48</v>
      </c>
    </row>
    <row r="2207">
      <c r="A2207" s="8">
        <f>IFERROR(__xludf.DUMMYFUNCTION("""COMPUTED_VALUE"""),2205.0)</f>
        <v>2205</v>
      </c>
      <c r="B2207" s="8">
        <f>IFERROR(__xludf.DUMMYFUNCTION("""COMPUTED_VALUE"""),44.0)</f>
        <v>44</v>
      </c>
    </row>
    <row r="2208">
      <c r="A2208" s="8">
        <f>IFERROR(__xludf.DUMMYFUNCTION("""COMPUTED_VALUE"""),2206.0)</f>
        <v>2206</v>
      </c>
      <c r="B2208" s="8">
        <f>IFERROR(__xludf.DUMMYFUNCTION("""COMPUTED_VALUE"""),57.0)</f>
        <v>57</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sheetData>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75"/>
    <col customWidth="1" min="3" max="3" width="16.0"/>
  </cols>
  <sheetData>
    <row r="1">
      <c r="A1" s="7" t="s">
        <v>3784</v>
      </c>
    </row>
    <row r="2">
      <c r="A2" s="7" t="s">
        <v>5</v>
      </c>
      <c r="B2" s="7" t="s">
        <v>3785</v>
      </c>
    </row>
    <row r="3">
      <c r="A3" s="7" t="s">
        <v>3786</v>
      </c>
      <c r="B3" s="7" t="s">
        <v>3787</v>
      </c>
      <c r="C3" s="7" t="s">
        <v>3788</v>
      </c>
      <c r="E3" s="7" t="s">
        <v>3789</v>
      </c>
    </row>
    <row r="4">
      <c r="F4" s="7" t="s">
        <v>3790</v>
      </c>
    </row>
    <row r="5">
      <c r="A5" s="10" t="s">
        <v>3791</v>
      </c>
      <c r="B5" s="10" t="s">
        <v>3792</v>
      </c>
      <c r="C5" s="10" t="s">
        <v>3793</v>
      </c>
      <c r="F5" s="7" t="s">
        <v>3794</v>
      </c>
    </row>
    <row r="6">
      <c r="A6" s="8" t="str">
        <f>IFERROR(__xludf.DUMMYFUNCTION("unique(Data!I2:I1000)"),"Initmates")</f>
        <v>Initmates</v>
      </c>
      <c r="B6" s="8" t="str">
        <f>IFERROR(__xludf.DUMMYFUNCTION("unique(Data!J2:J1000)"),"Intimate")</f>
        <v>Intimate</v>
      </c>
      <c r="C6" s="8" t="str">
        <f>IFERROR(__xludf.DUMMYFUNCTION("unique(Data!K2:K1000)"),"Intimates")</f>
        <v>Intimates</v>
      </c>
      <c r="F6" s="7" t="s">
        <v>3795</v>
      </c>
    </row>
    <row r="7">
      <c r="A7" s="8" t="str">
        <f>IFERROR(__xludf.DUMMYFUNCTION("""COMPUTED_VALUE"""),"General")</f>
        <v>General</v>
      </c>
      <c r="B7" s="8" t="str">
        <f>IFERROR(__xludf.DUMMYFUNCTION("""COMPUTED_VALUE"""),"Dresses")</f>
        <v>Dresses</v>
      </c>
      <c r="C7" s="8" t="str">
        <f>IFERROR(__xludf.DUMMYFUNCTION("""COMPUTED_VALUE"""),"Dresses")</f>
        <v>Dresses</v>
      </c>
      <c r="F7" s="7" t="s">
        <v>3796</v>
      </c>
    </row>
    <row r="8">
      <c r="A8" s="8" t="str">
        <f>IFERROR(__xludf.DUMMYFUNCTION("""COMPUTED_VALUE"""),"General Petite")</f>
        <v>General Petite</v>
      </c>
      <c r="B8" s="8" t="str">
        <f>IFERROR(__xludf.DUMMYFUNCTION("""COMPUTED_VALUE"""),"Bottoms")</f>
        <v>Bottoms</v>
      </c>
      <c r="C8" s="8" t="str">
        <f>IFERROR(__xludf.DUMMYFUNCTION("""COMPUTED_VALUE"""),"Pants")</f>
        <v>Pants</v>
      </c>
      <c r="G8" s="7" t="s">
        <v>3797</v>
      </c>
    </row>
    <row r="9">
      <c r="B9" s="8" t="str">
        <f>IFERROR(__xludf.DUMMYFUNCTION("""COMPUTED_VALUE"""),"Tops")</f>
        <v>Tops</v>
      </c>
      <c r="C9" s="8" t="str">
        <f>IFERROR(__xludf.DUMMYFUNCTION("""COMPUTED_VALUE"""),"Blouses")</f>
        <v>Blouses</v>
      </c>
      <c r="G9" s="7" t="s">
        <v>3798</v>
      </c>
    </row>
    <row r="10">
      <c r="B10" s="8" t="str">
        <f>IFERROR(__xludf.DUMMYFUNCTION("""COMPUTED_VALUE"""),"Jackets")</f>
        <v>Jackets</v>
      </c>
      <c r="C10" s="8" t="str">
        <f>IFERROR(__xludf.DUMMYFUNCTION("""COMPUTED_VALUE"""),"Knits")</f>
        <v>Knits</v>
      </c>
    </row>
    <row r="11">
      <c r="B11" s="8" t="str">
        <f>IFERROR(__xludf.DUMMYFUNCTION("""COMPUTED_VALUE"""),"Trend")</f>
        <v>Trend</v>
      </c>
      <c r="C11" s="8" t="str">
        <f>IFERROR(__xludf.DUMMYFUNCTION("""COMPUTED_VALUE"""),"Outerwear")</f>
        <v>Outerwear</v>
      </c>
    </row>
    <row r="12">
      <c r="C12" s="8" t="str">
        <f>IFERROR(__xludf.DUMMYFUNCTION("""COMPUTED_VALUE"""),"Lounge")</f>
        <v>Lounge</v>
      </c>
    </row>
    <row r="13">
      <c r="C13" s="8" t="str">
        <f>IFERROR(__xludf.DUMMYFUNCTION("""COMPUTED_VALUE"""),"Sweaters")</f>
        <v>Sweaters</v>
      </c>
    </row>
    <row r="14">
      <c r="C14" s="8" t="str">
        <f>IFERROR(__xludf.DUMMYFUNCTION("""COMPUTED_VALUE"""),"Skirts")</f>
        <v>Skirts</v>
      </c>
    </row>
    <row r="15">
      <c r="C15" s="8" t="str">
        <f>IFERROR(__xludf.DUMMYFUNCTION("""COMPUTED_VALUE"""),"Fine gauge")</f>
        <v>Fine gauge</v>
      </c>
    </row>
    <row r="16">
      <c r="C16" s="8" t="str">
        <f>IFERROR(__xludf.DUMMYFUNCTION("""COMPUTED_VALUE"""),"Sleep")</f>
        <v>Sleep</v>
      </c>
    </row>
    <row r="17">
      <c r="C17" s="8" t="str">
        <f>IFERROR(__xludf.DUMMYFUNCTION("""COMPUTED_VALUE"""),"Jackets")</f>
        <v>Jackets</v>
      </c>
    </row>
    <row r="18">
      <c r="C18" s="8" t="str">
        <f>IFERROR(__xludf.DUMMYFUNCTION("""COMPUTED_VALUE"""),"Swim")</f>
        <v>Swim</v>
      </c>
    </row>
    <row r="19">
      <c r="C19" s="8" t="str">
        <f>IFERROR(__xludf.DUMMYFUNCTION("""COMPUTED_VALUE"""),"Trend")</f>
        <v>Trend</v>
      </c>
    </row>
    <row r="20">
      <c r="C20" s="8" t="str">
        <f>IFERROR(__xludf.DUMMYFUNCTION("""COMPUTED_VALUE"""),"Jeans")</f>
        <v>Jeans</v>
      </c>
    </row>
    <row r="21">
      <c r="C21" s="8" t="str">
        <f>IFERROR(__xludf.DUMMYFUNCTION("""COMPUTED_VALUE"""),"Legwear")</f>
        <v>Legwear</v>
      </c>
    </row>
    <row r="22">
      <c r="C22" s="8" t="str">
        <f>IFERROR(__xludf.DUMMYFUNCTION("""COMPUTED_VALUE"""),"Shorts")</f>
        <v>Shorts</v>
      </c>
    </row>
    <row r="23">
      <c r="C23" s="8" t="str">
        <f>IFERROR(__xludf.DUMMYFUNCTION("""COMPUTED_VALUE"""),"Layering")</f>
        <v>Layering</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75"/>
  </cols>
  <sheetData>
    <row r="1">
      <c r="A1" s="5" t="s">
        <v>5</v>
      </c>
      <c r="C1" s="5" t="s">
        <v>7</v>
      </c>
      <c r="E1" s="5" t="s">
        <v>8</v>
      </c>
    </row>
    <row r="2">
      <c r="A2" s="7" t="s">
        <v>6</v>
      </c>
      <c r="C2" s="7" t="s">
        <v>6</v>
      </c>
      <c r="E2" s="7" t="s">
        <v>6</v>
      </c>
    </row>
    <row r="3">
      <c r="A3" s="8">
        <f>IFERROR(__xludf.DUMMYFUNCTION("sort(unique(Main_data!F2:F990))"),1.0)</f>
        <v>1</v>
      </c>
      <c r="C3" s="7">
        <v>1.0</v>
      </c>
      <c r="E3" s="8" t="str">
        <f>IFERROR(__xludf.DUMMYFUNCTION("sort(unique(Main_data!I2:I990))"),"General")</f>
        <v>General</v>
      </c>
    </row>
    <row r="4">
      <c r="A4" s="8">
        <f>IFERROR(__xludf.DUMMYFUNCTION("""COMPUTED_VALUE"""),2.0)</f>
        <v>2</v>
      </c>
      <c r="C4" s="7">
        <v>0.0</v>
      </c>
      <c r="E4" s="8" t="str">
        <f>IFERROR(__xludf.DUMMYFUNCTION("""COMPUTED_VALUE"""),"General Petite")</f>
        <v>General Petite</v>
      </c>
    </row>
    <row r="5">
      <c r="A5" s="8">
        <f>IFERROR(__xludf.DUMMYFUNCTION("""COMPUTED_VALUE"""),3.0)</f>
        <v>3</v>
      </c>
      <c r="E5" s="8" t="str">
        <f>IFERROR(__xludf.DUMMYFUNCTION("""COMPUTED_VALUE"""),"Initmates")</f>
        <v>Initmates</v>
      </c>
    </row>
    <row r="6">
      <c r="A6" s="8">
        <f>IFERROR(__xludf.DUMMYFUNCTION("""COMPUTED_VALUE"""),4.0)</f>
        <v>4</v>
      </c>
    </row>
    <row r="7">
      <c r="A7" s="8">
        <f>IFERROR(__xludf.DUMMYFUNCTION("""COMPUTED_VALUE"""),5.0)</f>
        <v>5</v>
      </c>
    </row>
    <row r="10">
      <c r="A10" s="7" t="s">
        <v>9</v>
      </c>
      <c r="B10" s="8" t="str">
        <f>if(Dashboard!$L$14="All",""," F="&amp; Dashboard!$L$14 )</f>
        <v/>
      </c>
      <c r="C10" s="7" t="s">
        <v>10</v>
      </c>
    </row>
    <row r="11">
      <c r="A11" s="7" t="s">
        <v>11</v>
      </c>
      <c r="B11" s="8" t="str">
        <f>if(Dashboard!$L$16="All",""," G="&amp;Dashboard!$L$16)</f>
        <v/>
      </c>
      <c r="C11" s="7" t="s">
        <v>12</v>
      </c>
      <c r="G11" s="8" t="str">
        <f>Dashboard!$L$10</f>
        <v/>
      </c>
      <c r="H11" s="8" t="str">
        <f>Dashboard!$L$12</f>
        <v/>
      </c>
    </row>
    <row r="12">
      <c r="A12" s="7" t="s">
        <v>13</v>
      </c>
      <c r="B12" s="8" t="str">
        <f>if(Dashboard!$L$18="All",""," I='" &amp;Dashboard!$L$18&amp; "'")</f>
        <v/>
      </c>
      <c r="C12" s="7" t="s">
        <v>14</v>
      </c>
    </row>
    <row r="13">
      <c r="A13" s="7" t="s">
        <v>15</v>
      </c>
      <c r="B13" s="8" t="str">
        <f>if(Dashboard!$L$10," C&gt;="&amp;Dashboard!$L$10,"")</f>
        <v/>
      </c>
      <c r="C13" s="7" t="s">
        <v>16</v>
      </c>
    </row>
    <row r="14">
      <c r="A14" s="7" t="s">
        <v>17</v>
      </c>
      <c r="B14" s="9" t="str">
        <f>if(Dashboard!$L$12," C&lt;="&amp;Dashboard!$L$12,"")</f>
        <v/>
      </c>
      <c r="C14" s="7" t="s">
        <v>16</v>
      </c>
    </row>
    <row r="15">
      <c r="A15" s="7" t="s">
        <v>18</v>
      </c>
      <c r="B15" s="8" t="str">
        <f>TEXTJOIN(" AND",TRUE,B10:B14)</f>
        <v/>
      </c>
    </row>
    <row r="16">
      <c r="A16" s="7" t="s">
        <v>19</v>
      </c>
      <c r="B16" s="8" t="str">
        <f>if(AND(NOT(Dashboard!L10),NOT(Dashboard!L12),Dashboard!$L$14="All",Dashboard!$L$16="All",Dashboard!L18="All"),"","WHERE"&amp;B15)</f>
        <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6.88"/>
  </cols>
  <sheetData>
    <row r="1">
      <c r="A1" s="10" t="s">
        <v>20</v>
      </c>
      <c r="B1" s="11" t="s">
        <v>21</v>
      </c>
      <c r="C1" s="10" t="s">
        <v>22</v>
      </c>
      <c r="D1" s="10" t="s">
        <v>23</v>
      </c>
      <c r="E1" s="11" t="s">
        <v>24</v>
      </c>
      <c r="F1" s="10" t="s">
        <v>5</v>
      </c>
      <c r="G1" s="11" t="s">
        <v>25</v>
      </c>
      <c r="H1" s="11" t="s">
        <v>26</v>
      </c>
      <c r="I1" s="11" t="s">
        <v>27</v>
      </c>
      <c r="J1" s="11" t="s">
        <v>28</v>
      </c>
      <c r="K1" s="11" t="s">
        <v>29</v>
      </c>
      <c r="L1" s="12"/>
    </row>
    <row r="2">
      <c r="A2" s="13">
        <v>0.0</v>
      </c>
      <c r="B2" s="13">
        <v>767.0</v>
      </c>
      <c r="C2" s="13">
        <v>33.0</v>
      </c>
      <c r="D2" s="12"/>
      <c r="E2" s="12" t="s">
        <v>30</v>
      </c>
      <c r="F2" s="13">
        <v>4.0</v>
      </c>
      <c r="G2" s="13">
        <v>1.0</v>
      </c>
      <c r="H2" s="13">
        <v>0.0</v>
      </c>
      <c r="I2" s="13" t="s">
        <v>31</v>
      </c>
      <c r="J2" s="13" t="s">
        <v>32</v>
      </c>
      <c r="K2" s="13" t="s">
        <v>33</v>
      </c>
      <c r="L2" s="13"/>
    </row>
    <row r="3">
      <c r="A3" s="13">
        <v>1.0</v>
      </c>
      <c r="B3" s="13">
        <v>1080.0</v>
      </c>
      <c r="C3" s="13">
        <v>34.0</v>
      </c>
      <c r="D3" s="12"/>
      <c r="E3" s="12" t="s">
        <v>34</v>
      </c>
      <c r="F3" s="13">
        <v>5.0</v>
      </c>
      <c r="G3" s="13">
        <v>1.0</v>
      </c>
      <c r="H3" s="13">
        <v>4.0</v>
      </c>
      <c r="I3" s="13" t="s">
        <v>35</v>
      </c>
      <c r="J3" s="13" t="s">
        <v>36</v>
      </c>
      <c r="K3" s="13" t="s">
        <v>36</v>
      </c>
      <c r="L3" s="13"/>
    </row>
    <row r="4">
      <c r="A4" s="13">
        <v>2.0</v>
      </c>
      <c r="B4" s="13">
        <v>1077.0</v>
      </c>
      <c r="C4" s="13">
        <v>60.0</v>
      </c>
      <c r="D4" s="12" t="s">
        <v>37</v>
      </c>
      <c r="E4" s="12" t="s">
        <v>38</v>
      </c>
      <c r="F4" s="13">
        <v>3.0</v>
      </c>
      <c r="G4" s="13">
        <v>0.0</v>
      </c>
      <c r="H4" s="13">
        <v>0.0</v>
      </c>
      <c r="I4" s="13" t="s">
        <v>35</v>
      </c>
      <c r="J4" s="13" t="s">
        <v>36</v>
      </c>
      <c r="K4" s="13" t="s">
        <v>36</v>
      </c>
      <c r="L4" s="13"/>
    </row>
    <row r="5">
      <c r="A5" s="13">
        <v>3.0</v>
      </c>
      <c r="B5" s="13">
        <v>1049.0</v>
      </c>
      <c r="C5" s="13">
        <v>50.0</v>
      </c>
      <c r="D5" s="12" t="s">
        <v>39</v>
      </c>
      <c r="E5" s="12" t="s">
        <v>40</v>
      </c>
      <c r="F5" s="13">
        <v>5.0</v>
      </c>
      <c r="G5" s="13">
        <v>1.0</v>
      </c>
      <c r="H5" s="13">
        <v>0.0</v>
      </c>
      <c r="I5" s="13" t="s">
        <v>41</v>
      </c>
      <c r="J5" s="13" t="s">
        <v>42</v>
      </c>
      <c r="K5" s="13" t="s">
        <v>43</v>
      </c>
      <c r="L5" s="13"/>
    </row>
    <row r="6">
      <c r="A6" s="13">
        <v>4.0</v>
      </c>
      <c r="B6" s="13">
        <v>847.0</v>
      </c>
      <c r="C6" s="13">
        <v>47.0</v>
      </c>
      <c r="D6" s="12" t="s">
        <v>44</v>
      </c>
      <c r="E6" s="12" t="s">
        <v>45</v>
      </c>
      <c r="F6" s="13">
        <v>5.0</v>
      </c>
      <c r="G6" s="13">
        <v>1.0</v>
      </c>
      <c r="H6" s="13">
        <v>6.0</v>
      </c>
      <c r="I6" s="13" t="s">
        <v>35</v>
      </c>
      <c r="J6" s="13" t="s">
        <v>46</v>
      </c>
      <c r="K6" s="13" t="s">
        <v>47</v>
      </c>
      <c r="L6" s="13"/>
    </row>
    <row r="7">
      <c r="A7" s="13">
        <v>5.0</v>
      </c>
      <c r="B7" s="13">
        <v>1080.0</v>
      </c>
      <c r="C7" s="13">
        <v>49.0</v>
      </c>
      <c r="D7" s="12" t="s">
        <v>48</v>
      </c>
      <c r="E7" s="12" t="s">
        <v>49</v>
      </c>
      <c r="F7" s="13">
        <v>2.0</v>
      </c>
      <c r="G7" s="13">
        <v>0.0</v>
      </c>
      <c r="H7" s="13">
        <v>4.0</v>
      </c>
      <c r="I7" s="13" t="s">
        <v>35</v>
      </c>
      <c r="J7" s="13" t="s">
        <v>36</v>
      </c>
      <c r="K7" s="13" t="s">
        <v>36</v>
      </c>
      <c r="L7" s="13"/>
    </row>
    <row r="8">
      <c r="A8" s="13">
        <v>6.0</v>
      </c>
      <c r="B8" s="13">
        <v>858.0</v>
      </c>
      <c r="C8" s="13">
        <v>39.0</v>
      </c>
      <c r="D8" s="12" t="s">
        <v>50</v>
      </c>
      <c r="E8" s="12" t="s">
        <v>51</v>
      </c>
      <c r="F8" s="13">
        <v>5.0</v>
      </c>
      <c r="G8" s="13">
        <v>1.0</v>
      </c>
      <c r="H8" s="13">
        <v>1.0</v>
      </c>
      <c r="I8" s="13" t="s">
        <v>41</v>
      </c>
      <c r="J8" s="13" t="s">
        <v>46</v>
      </c>
      <c r="K8" s="13" t="s">
        <v>52</v>
      </c>
      <c r="L8" s="13"/>
    </row>
    <row r="9">
      <c r="A9" s="13">
        <v>7.0</v>
      </c>
      <c r="B9" s="13">
        <v>858.0</v>
      </c>
      <c r="C9" s="13">
        <v>39.0</v>
      </c>
      <c r="D9" s="12" t="s">
        <v>53</v>
      </c>
      <c r="E9" s="12" t="s">
        <v>54</v>
      </c>
      <c r="F9" s="13">
        <v>4.0</v>
      </c>
      <c r="G9" s="13">
        <v>1.0</v>
      </c>
      <c r="H9" s="13">
        <v>4.0</v>
      </c>
      <c r="I9" s="13" t="s">
        <v>41</v>
      </c>
      <c r="J9" s="13" t="s">
        <v>46</v>
      </c>
      <c r="K9" s="13" t="s">
        <v>52</v>
      </c>
      <c r="L9" s="13"/>
    </row>
    <row r="10">
      <c r="A10" s="13">
        <v>8.0</v>
      </c>
      <c r="B10" s="13">
        <v>1077.0</v>
      </c>
      <c r="C10" s="13">
        <v>24.0</v>
      </c>
      <c r="D10" s="12" t="s">
        <v>55</v>
      </c>
      <c r="E10" s="12" t="s">
        <v>56</v>
      </c>
      <c r="F10" s="13">
        <v>5.0</v>
      </c>
      <c r="G10" s="13">
        <v>1.0</v>
      </c>
      <c r="H10" s="13">
        <v>0.0</v>
      </c>
      <c r="I10" s="13" t="s">
        <v>35</v>
      </c>
      <c r="J10" s="13" t="s">
        <v>36</v>
      </c>
      <c r="K10" s="13" t="s">
        <v>36</v>
      </c>
      <c r="L10" s="13"/>
    </row>
    <row r="11">
      <c r="A11" s="13">
        <v>9.0</v>
      </c>
      <c r="B11" s="13">
        <v>1077.0</v>
      </c>
      <c r="C11" s="13">
        <v>34.0</v>
      </c>
      <c r="D11" s="12" t="s">
        <v>57</v>
      </c>
      <c r="E11" s="12" t="s">
        <v>58</v>
      </c>
      <c r="F11" s="13">
        <v>5.0</v>
      </c>
      <c r="G11" s="13">
        <v>1.0</v>
      </c>
      <c r="H11" s="13">
        <v>0.0</v>
      </c>
      <c r="I11" s="13" t="s">
        <v>35</v>
      </c>
      <c r="J11" s="13" t="s">
        <v>36</v>
      </c>
      <c r="K11" s="13" t="s">
        <v>36</v>
      </c>
      <c r="L11" s="13"/>
    </row>
    <row r="12">
      <c r="A12" s="13">
        <v>10.0</v>
      </c>
      <c r="B12" s="13">
        <v>1077.0</v>
      </c>
      <c r="C12" s="13">
        <v>53.0</v>
      </c>
      <c r="D12" s="12" t="s">
        <v>59</v>
      </c>
      <c r="E12" s="12" t="s">
        <v>60</v>
      </c>
      <c r="F12" s="13">
        <v>3.0</v>
      </c>
      <c r="G12" s="13">
        <v>0.0</v>
      </c>
      <c r="H12" s="13">
        <v>14.0</v>
      </c>
      <c r="I12" s="13" t="s">
        <v>35</v>
      </c>
      <c r="J12" s="13" t="s">
        <v>36</v>
      </c>
      <c r="K12" s="13" t="s">
        <v>36</v>
      </c>
      <c r="L12" s="13"/>
    </row>
    <row r="13">
      <c r="A13" s="13">
        <v>11.0</v>
      </c>
      <c r="B13" s="13">
        <v>1095.0</v>
      </c>
      <c r="C13" s="13">
        <v>39.0</v>
      </c>
      <c r="D13" s="12"/>
      <c r="E13" s="12" t="s">
        <v>61</v>
      </c>
      <c r="F13" s="13">
        <v>5.0</v>
      </c>
      <c r="G13" s="13">
        <v>1.0</v>
      </c>
      <c r="H13" s="13">
        <v>2.0</v>
      </c>
      <c r="I13" s="13" t="s">
        <v>41</v>
      </c>
      <c r="J13" s="13" t="s">
        <v>36</v>
      </c>
      <c r="K13" s="13" t="s">
        <v>36</v>
      </c>
      <c r="L13" s="13"/>
    </row>
    <row r="14">
      <c r="A14" s="13">
        <v>12.0</v>
      </c>
      <c r="B14" s="13">
        <v>1095.0</v>
      </c>
      <c r="C14" s="13">
        <v>53.0</v>
      </c>
      <c r="D14" s="12" t="s">
        <v>62</v>
      </c>
      <c r="E14" s="12" t="s">
        <v>63</v>
      </c>
      <c r="F14" s="13">
        <v>5.0</v>
      </c>
      <c r="G14" s="13">
        <v>1.0</v>
      </c>
      <c r="H14" s="13">
        <v>2.0</v>
      </c>
      <c r="I14" s="13" t="s">
        <v>41</v>
      </c>
      <c r="J14" s="13" t="s">
        <v>36</v>
      </c>
      <c r="K14" s="13" t="s">
        <v>36</v>
      </c>
      <c r="L14" s="13"/>
    </row>
    <row r="15">
      <c r="A15" s="13">
        <v>13.0</v>
      </c>
      <c r="B15" s="13">
        <v>767.0</v>
      </c>
      <c r="C15" s="13">
        <v>44.0</v>
      </c>
      <c r="D15" s="12" t="s">
        <v>64</v>
      </c>
      <c r="E15" s="12" t="s">
        <v>65</v>
      </c>
      <c r="F15" s="13">
        <v>5.0</v>
      </c>
      <c r="G15" s="13">
        <v>1.0</v>
      </c>
      <c r="H15" s="13">
        <v>0.0</v>
      </c>
      <c r="I15" s="13" t="s">
        <v>31</v>
      </c>
      <c r="J15" s="13" t="s">
        <v>32</v>
      </c>
      <c r="K15" s="13" t="s">
        <v>33</v>
      </c>
      <c r="L15" s="13"/>
    </row>
    <row r="16">
      <c r="A16" s="13">
        <v>14.0</v>
      </c>
      <c r="B16" s="13">
        <v>1077.0</v>
      </c>
      <c r="C16" s="13">
        <v>50.0</v>
      </c>
      <c r="D16" s="12" t="s">
        <v>66</v>
      </c>
      <c r="E16" s="12" t="s">
        <v>67</v>
      </c>
      <c r="F16" s="13">
        <v>3.0</v>
      </c>
      <c r="G16" s="13">
        <v>1.0</v>
      </c>
      <c r="H16" s="13">
        <v>1.0</v>
      </c>
      <c r="I16" s="13" t="s">
        <v>35</v>
      </c>
      <c r="J16" s="13" t="s">
        <v>36</v>
      </c>
      <c r="K16" s="13" t="s">
        <v>36</v>
      </c>
      <c r="L16" s="13"/>
    </row>
    <row r="17">
      <c r="A17" s="13">
        <v>15.0</v>
      </c>
      <c r="B17" s="13">
        <v>1065.0</v>
      </c>
      <c r="C17" s="13">
        <v>47.0</v>
      </c>
      <c r="D17" s="12" t="s">
        <v>68</v>
      </c>
      <c r="E17" s="12" t="s">
        <v>69</v>
      </c>
      <c r="F17" s="13">
        <v>4.0</v>
      </c>
      <c r="G17" s="13">
        <v>1.0</v>
      </c>
      <c r="H17" s="13">
        <v>3.0</v>
      </c>
      <c r="I17" s="13" t="s">
        <v>35</v>
      </c>
      <c r="J17" s="13" t="s">
        <v>42</v>
      </c>
      <c r="K17" s="13" t="s">
        <v>43</v>
      </c>
      <c r="L17" s="13"/>
    </row>
    <row r="18">
      <c r="A18" s="13">
        <v>16.0</v>
      </c>
      <c r="B18" s="13">
        <v>1065.0</v>
      </c>
      <c r="C18" s="13">
        <v>34.0</v>
      </c>
      <c r="D18" s="12" t="s">
        <v>70</v>
      </c>
      <c r="E18" s="12" t="s">
        <v>71</v>
      </c>
      <c r="F18" s="13">
        <v>3.0</v>
      </c>
      <c r="G18" s="13">
        <v>1.0</v>
      </c>
      <c r="H18" s="13">
        <v>2.0</v>
      </c>
      <c r="I18" s="13" t="s">
        <v>35</v>
      </c>
      <c r="J18" s="13" t="s">
        <v>42</v>
      </c>
      <c r="K18" s="13" t="s">
        <v>43</v>
      </c>
      <c r="L18" s="13"/>
    </row>
    <row r="19">
      <c r="A19" s="13">
        <v>17.0</v>
      </c>
      <c r="B19" s="13">
        <v>853.0</v>
      </c>
      <c r="C19" s="13">
        <v>41.0</v>
      </c>
      <c r="D19" s="12" t="s">
        <v>72</v>
      </c>
      <c r="E19" s="12" t="s">
        <v>73</v>
      </c>
      <c r="F19" s="13">
        <v>5.0</v>
      </c>
      <c r="G19" s="13">
        <v>1.0</v>
      </c>
      <c r="H19" s="13">
        <v>0.0</v>
      </c>
      <c r="I19" s="13" t="s">
        <v>35</v>
      </c>
      <c r="J19" s="13" t="s">
        <v>46</v>
      </c>
      <c r="K19" s="13" t="s">
        <v>47</v>
      </c>
      <c r="L19" s="13"/>
    </row>
    <row r="20">
      <c r="A20" s="13">
        <v>18.0</v>
      </c>
      <c r="B20" s="13">
        <v>1120.0</v>
      </c>
      <c r="C20" s="13">
        <v>32.0</v>
      </c>
      <c r="D20" s="12" t="s">
        <v>74</v>
      </c>
      <c r="E20" s="12" t="s">
        <v>75</v>
      </c>
      <c r="F20" s="13">
        <v>5.0</v>
      </c>
      <c r="G20" s="13">
        <v>1.0</v>
      </c>
      <c r="H20" s="13">
        <v>0.0</v>
      </c>
      <c r="I20" s="13" t="s">
        <v>35</v>
      </c>
      <c r="J20" s="13" t="s">
        <v>76</v>
      </c>
      <c r="K20" s="13" t="s">
        <v>77</v>
      </c>
      <c r="L20" s="13"/>
    </row>
    <row r="21">
      <c r="A21" s="13">
        <v>19.0</v>
      </c>
      <c r="B21" s="13">
        <v>1077.0</v>
      </c>
      <c r="C21" s="13">
        <v>47.0</v>
      </c>
      <c r="D21" s="12" t="s">
        <v>78</v>
      </c>
      <c r="E21" s="12" t="s">
        <v>79</v>
      </c>
      <c r="F21" s="13">
        <v>5.0</v>
      </c>
      <c r="G21" s="13">
        <v>1.0</v>
      </c>
      <c r="H21" s="13">
        <v>0.0</v>
      </c>
      <c r="I21" s="13" t="s">
        <v>35</v>
      </c>
      <c r="J21" s="13" t="s">
        <v>36</v>
      </c>
      <c r="K21" s="13" t="s">
        <v>36</v>
      </c>
      <c r="L21" s="13"/>
    </row>
    <row r="22">
      <c r="A22" s="13">
        <v>20.0</v>
      </c>
      <c r="B22" s="13">
        <v>847.0</v>
      </c>
      <c r="C22" s="13">
        <v>33.0</v>
      </c>
      <c r="D22" s="12" t="s">
        <v>80</v>
      </c>
      <c r="E22" s="12" t="s">
        <v>81</v>
      </c>
      <c r="F22" s="13">
        <v>4.0</v>
      </c>
      <c r="G22" s="13">
        <v>1.0</v>
      </c>
      <c r="H22" s="13">
        <v>2.0</v>
      </c>
      <c r="I22" s="13" t="s">
        <v>35</v>
      </c>
      <c r="J22" s="13" t="s">
        <v>46</v>
      </c>
      <c r="K22" s="13" t="s">
        <v>47</v>
      </c>
      <c r="L22" s="13"/>
    </row>
    <row r="23">
      <c r="A23" s="13">
        <v>21.0</v>
      </c>
      <c r="B23" s="13">
        <v>1080.0</v>
      </c>
      <c r="C23" s="13">
        <v>55.0</v>
      </c>
      <c r="D23" s="12" t="s">
        <v>82</v>
      </c>
      <c r="E23" s="12" t="s">
        <v>83</v>
      </c>
      <c r="F23" s="13">
        <v>4.0</v>
      </c>
      <c r="G23" s="13">
        <v>1.0</v>
      </c>
      <c r="H23" s="13">
        <v>14.0</v>
      </c>
      <c r="I23" s="13" t="s">
        <v>35</v>
      </c>
      <c r="J23" s="13" t="s">
        <v>36</v>
      </c>
      <c r="K23" s="13" t="s">
        <v>36</v>
      </c>
      <c r="L23" s="13"/>
    </row>
    <row r="24">
      <c r="A24" s="13">
        <v>22.0</v>
      </c>
      <c r="B24" s="13">
        <v>1077.0</v>
      </c>
      <c r="C24" s="13">
        <v>31.0</v>
      </c>
      <c r="D24" s="12" t="s">
        <v>84</v>
      </c>
      <c r="E24" s="12" t="s">
        <v>85</v>
      </c>
      <c r="F24" s="13">
        <v>2.0</v>
      </c>
      <c r="G24" s="13">
        <v>0.0</v>
      </c>
      <c r="H24" s="13">
        <v>7.0</v>
      </c>
      <c r="I24" s="13" t="s">
        <v>35</v>
      </c>
      <c r="J24" s="13" t="s">
        <v>36</v>
      </c>
      <c r="K24" s="13" t="s">
        <v>36</v>
      </c>
      <c r="L24" s="13"/>
    </row>
    <row r="25">
      <c r="A25" s="13">
        <v>23.0</v>
      </c>
      <c r="B25" s="13">
        <v>1077.0</v>
      </c>
      <c r="C25" s="13">
        <v>34.0</v>
      </c>
      <c r="D25" s="12" t="s">
        <v>86</v>
      </c>
      <c r="E25" s="12" t="s">
        <v>87</v>
      </c>
      <c r="F25" s="13">
        <v>3.0</v>
      </c>
      <c r="G25" s="13">
        <v>1.0</v>
      </c>
      <c r="H25" s="13">
        <v>0.0</v>
      </c>
      <c r="I25" s="13" t="s">
        <v>35</v>
      </c>
      <c r="J25" s="13" t="s">
        <v>36</v>
      </c>
      <c r="K25" s="13" t="s">
        <v>36</v>
      </c>
      <c r="L25" s="13"/>
    </row>
    <row r="26">
      <c r="A26" s="13">
        <v>24.0</v>
      </c>
      <c r="B26" s="13">
        <v>847.0</v>
      </c>
      <c r="C26" s="13">
        <v>55.0</v>
      </c>
      <c r="D26" s="12" t="s">
        <v>88</v>
      </c>
      <c r="E26" s="12" t="s">
        <v>89</v>
      </c>
      <c r="F26" s="13">
        <v>5.0</v>
      </c>
      <c r="G26" s="13">
        <v>1.0</v>
      </c>
      <c r="H26" s="13">
        <v>0.0</v>
      </c>
      <c r="I26" s="13" t="s">
        <v>35</v>
      </c>
      <c r="J26" s="13" t="s">
        <v>46</v>
      </c>
      <c r="K26" s="13" t="s">
        <v>47</v>
      </c>
      <c r="L26" s="13"/>
    </row>
    <row r="27">
      <c r="A27" s="13">
        <v>25.0</v>
      </c>
      <c r="B27" s="13">
        <v>697.0</v>
      </c>
      <c r="C27" s="13">
        <v>31.0</v>
      </c>
      <c r="D27" s="12" t="s">
        <v>90</v>
      </c>
      <c r="E27" s="12" t="s">
        <v>91</v>
      </c>
      <c r="F27" s="13">
        <v>3.0</v>
      </c>
      <c r="G27" s="13">
        <v>0.0</v>
      </c>
      <c r="H27" s="13">
        <v>0.0</v>
      </c>
      <c r="I27" s="13" t="s">
        <v>31</v>
      </c>
      <c r="J27" s="13" t="s">
        <v>32</v>
      </c>
      <c r="K27" s="13" t="s">
        <v>92</v>
      </c>
      <c r="L27" s="13"/>
    </row>
    <row r="28">
      <c r="A28" s="13">
        <v>26.0</v>
      </c>
      <c r="B28" s="13">
        <v>949.0</v>
      </c>
      <c r="C28" s="13">
        <v>33.0</v>
      </c>
      <c r="D28" s="12" t="s">
        <v>93</v>
      </c>
      <c r="E28" s="12" t="s">
        <v>94</v>
      </c>
      <c r="F28" s="13">
        <v>2.0</v>
      </c>
      <c r="G28" s="13">
        <v>0.0</v>
      </c>
      <c r="H28" s="13">
        <v>0.0</v>
      </c>
      <c r="I28" s="13" t="s">
        <v>35</v>
      </c>
      <c r="J28" s="13" t="s">
        <v>46</v>
      </c>
      <c r="K28" s="13" t="s">
        <v>95</v>
      </c>
      <c r="L28" s="13"/>
    </row>
    <row r="29">
      <c r="A29" s="13">
        <v>27.0</v>
      </c>
      <c r="B29" s="13">
        <v>1003.0</v>
      </c>
      <c r="C29" s="13">
        <v>31.0</v>
      </c>
      <c r="D29" s="12" t="s">
        <v>96</v>
      </c>
      <c r="E29" s="12" t="s">
        <v>97</v>
      </c>
      <c r="F29" s="13">
        <v>4.0</v>
      </c>
      <c r="G29" s="13">
        <v>1.0</v>
      </c>
      <c r="H29" s="13">
        <v>0.0</v>
      </c>
      <c r="I29" s="13" t="s">
        <v>35</v>
      </c>
      <c r="J29" s="13" t="s">
        <v>42</v>
      </c>
      <c r="K29" s="13" t="s">
        <v>98</v>
      </c>
      <c r="L29" s="13"/>
    </row>
    <row r="30">
      <c r="A30" s="13">
        <v>28.0</v>
      </c>
      <c r="B30" s="13">
        <v>684.0</v>
      </c>
      <c r="C30" s="13">
        <v>53.0</v>
      </c>
      <c r="D30" s="12" t="s">
        <v>99</v>
      </c>
      <c r="E30" s="12" t="s">
        <v>100</v>
      </c>
      <c r="F30" s="13">
        <v>5.0</v>
      </c>
      <c r="G30" s="13">
        <v>1.0</v>
      </c>
      <c r="H30" s="13">
        <v>2.0</v>
      </c>
      <c r="I30" s="13" t="s">
        <v>31</v>
      </c>
      <c r="J30" s="13" t="s">
        <v>32</v>
      </c>
      <c r="K30" s="13" t="s">
        <v>92</v>
      </c>
      <c r="L30" s="13"/>
    </row>
    <row r="31">
      <c r="A31" s="13">
        <v>29.0</v>
      </c>
      <c r="B31" s="13">
        <v>4.0</v>
      </c>
      <c r="C31" s="13">
        <v>28.0</v>
      </c>
      <c r="D31" s="12" t="s">
        <v>101</v>
      </c>
      <c r="E31" s="12" t="s">
        <v>102</v>
      </c>
      <c r="F31" s="13">
        <v>5.0</v>
      </c>
      <c r="G31" s="13">
        <v>1.0</v>
      </c>
      <c r="H31" s="13">
        <v>0.0</v>
      </c>
      <c r="I31" s="13" t="s">
        <v>35</v>
      </c>
      <c r="J31" s="13" t="s">
        <v>46</v>
      </c>
      <c r="K31" s="13" t="s">
        <v>95</v>
      </c>
      <c r="L31" s="13"/>
    </row>
    <row r="32">
      <c r="A32" s="13">
        <v>30.0</v>
      </c>
      <c r="B32" s="13">
        <v>1060.0</v>
      </c>
      <c r="C32" s="13">
        <v>33.0</v>
      </c>
      <c r="D32" s="12"/>
      <c r="E32" s="12" t="s">
        <v>103</v>
      </c>
      <c r="F32" s="13">
        <v>5.0</v>
      </c>
      <c r="G32" s="13">
        <v>1.0</v>
      </c>
      <c r="H32" s="13">
        <v>0.0</v>
      </c>
      <c r="I32" s="13" t="s">
        <v>41</v>
      </c>
      <c r="J32" s="13" t="s">
        <v>42</v>
      </c>
      <c r="K32" s="13" t="s">
        <v>43</v>
      </c>
      <c r="L32" s="13"/>
    </row>
    <row r="33">
      <c r="A33" s="13">
        <v>31.0</v>
      </c>
      <c r="B33" s="13">
        <v>1060.0</v>
      </c>
      <c r="C33" s="13">
        <v>46.0</v>
      </c>
      <c r="D33" s="12" t="s">
        <v>104</v>
      </c>
      <c r="E33" s="12" t="s">
        <v>105</v>
      </c>
      <c r="F33" s="13">
        <v>5.0</v>
      </c>
      <c r="G33" s="13">
        <v>1.0</v>
      </c>
      <c r="H33" s="13">
        <v>7.0</v>
      </c>
      <c r="I33" s="13" t="s">
        <v>41</v>
      </c>
      <c r="J33" s="13" t="s">
        <v>42</v>
      </c>
      <c r="K33" s="13" t="s">
        <v>43</v>
      </c>
      <c r="L33" s="13"/>
    </row>
    <row r="34">
      <c r="A34" s="13">
        <v>32.0</v>
      </c>
      <c r="B34" s="13">
        <v>1060.0</v>
      </c>
      <c r="C34" s="13">
        <v>21.0</v>
      </c>
      <c r="D34" s="12" t="s">
        <v>106</v>
      </c>
      <c r="E34" s="12" t="s">
        <v>107</v>
      </c>
      <c r="F34" s="13">
        <v>5.0</v>
      </c>
      <c r="G34" s="13">
        <v>1.0</v>
      </c>
      <c r="H34" s="13">
        <v>0.0</v>
      </c>
      <c r="I34" s="13" t="s">
        <v>41</v>
      </c>
      <c r="J34" s="13" t="s">
        <v>42</v>
      </c>
      <c r="K34" s="13" t="s">
        <v>43</v>
      </c>
      <c r="L34" s="13"/>
    </row>
    <row r="35">
      <c r="A35" s="13">
        <v>33.0</v>
      </c>
      <c r="B35" s="13">
        <v>949.0</v>
      </c>
      <c r="C35" s="13">
        <v>36.0</v>
      </c>
      <c r="D35" s="12" t="s">
        <v>108</v>
      </c>
      <c r="E35" s="12" t="s">
        <v>109</v>
      </c>
      <c r="F35" s="13">
        <v>2.0</v>
      </c>
      <c r="G35" s="13">
        <v>0.0</v>
      </c>
      <c r="H35" s="13">
        <v>0.0</v>
      </c>
      <c r="I35" s="13" t="s">
        <v>35</v>
      </c>
      <c r="J35" s="13" t="s">
        <v>46</v>
      </c>
      <c r="K35" s="13" t="s">
        <v>95</v>
      </c>
      <c r="L35" s="13"/>
    </row>
    <row r="36">
      <c r="A36" s="13">
        <v>34.0</v>
      </c>
      <c r="B36" s="13">
        <v>697.0</v>
      </c>
      <c r="C36" s="13">
        <v>39.0</v>
      </c>
      <c r="D36" s="12" t="s">
        <v>110</v>
      </c>
      <c r="E36" s="12" t="s">
        <v>111</v>
      </c>
      <c r="F36" s="13">
        <v>5.0</v>
      </c>
      <c r="G36" s="13">
        <v>1.0</v>
      </c>
      <c r="H36" s="13">
        <v>0.0</v>
      </c>
      <c r="I36" s="13" t="s">
        <v>31</v>
      </c>
      <c r="J36" s="13" t="s">
        <v>32</v>
      </c>
      <c r="K36" s="13" t="s">
        <v>92</v>
      </c>
      <c r="L36" s="13"/>
    </row>
    <row r="37">
      <c r="A37" s="13">
        <v>35.0</v>
      </c>
      <c r="B37" s="13">
        <v>1060.0</v>
      </c>
      <c r="C37" s="13">
        <v>65.0</v>
      </c>
      <c r="D37" s="12" t="s">
        <v>112</v>
      </c>
      <c r="E37" s="12" t="s">
        <v>113</v>
      </c>
      <c r="F37" s="13">
        <v>4.0</v>
      </c>
      <c r="G37" s="13">
        <v>1.0</v>
      </c>
      <c r="H37" s="13">
        <v>3.0</v>
      </c>
      <c r="I37" s="13" t="s">
        <v>41</v>
      </c>
      <c r="J37" s="13" t="s">
        <v>42</v>
      </c>
      <c r="K37" s="13" t="s">
        <v>43</v>
      </c>
      <c r="L37" s="13"/>
    </row>
    <row r="38">
      <c r="A38" s="13">
        <v>36.0</v>
      </c>
      <c r="B38" s="13">
        <v>1002.0</v>
      </c>
      <c r="C38" s="13">
        <v>29.0</v>
      </c>
      <c r="D38" s="12"/>
      <c r="E38" s="12" t="s">
        <v>114</v>
      </c>
      <c r="F38" s="13">
        <v>4.0</v>
      </c>
      <c r="G38" s="13">
        <v>1.0</v>
      </c>
      <c r="H38" s="13">
        <v>5.0</v>
      </c>
      <c r="I38" s="13" t="s">
        <v>35</v>
      </c>
      <c r="J38" s="13" t="s">
        <v>42</v>
      </c>
      <c r="K38" s="13" t="s">
        <v>98</v>
      </c>
      <c r="L38" s="13"/>
    </row>
    <row r="39">
      <c r="A39" s="13">
        <v>37.0</v>
      </c>
      <c r="B39" s="13">
        <v>949.0</v>
      </c>
      <c r="C39" s="13">
        <v>38.0</v>
      </c>
      <c r="D39" s="12" t="s">
        <v>115</v>
      </c>
      <c r="E39" s="12" t="s">
        <v>116</v>
      </c>
      <c r="F39" s="13">
        <v>5.0</v>
      </c>
      <c r="G39" s="13">
        <v>1.0</v>
      </c>
      <c r="H39" s="13">
        <v>1.0</v>
      </c>
      <c r="I39" s="13" t="s">
        <v>35</v>
      </c>
      <c r="J39" s="13" t="s">
        <v>46</v>
      </c>
      <c r="K39" s="13" t="s">
        <v>95</v>
      </c>
      <c r="L39" s="13"/>
    </row>
    <row r="40">
      <c r="A40" s="13">
        <v>38.0</v>
      </c>
      <c r="B40" s="13">
        <v>684.0</v>
      </c>
      <c r="C40" s="13">
        <v>36.0</v>
      </c>
      <c r="D40" s="12"/>
      <c r="E40" s="12" t="s">
        <v>117</v>
      </c>
      <c r="F40" s="13">
        <v>5.0</v>
      </c>
      <c r="G40" s="13">
        <v>1.0</v>
      </c>
      <c r="H40" s="13">
        <v>2.0</v>
      </c>
      <c r="I40" s="13" t="s">
        <v>31</v>
      </c>
      <c r="J40" s="13" t="s">
        <v>32</v>
      </c>
      <c r="K40" s="13" t="s">
        <v>92</v>
      </c>
      <c r="L40" s="13"/>
    </row>
    <row r="41">
      <c r="A41" s="13">
        <v>39.0</v>
      </c>
      <c r="B41" s="13">
        <v>862.0</v>
      </c>
      <c r="C41" s="13">
        <v>59.0</v>
      </c>
      <c r="D41" s="12"/>
      <c r="E41" s="12" t="s">
        <v>118</v>
      </c>
      <c r="F41" s="13">
        <v>5.0</v>
      </c>
      <c r="G41" s="13">
        <v>1.0</v>
      </c>
      <c r="H41" s="13">
        <v>0.0</v>
      </c>
      <c r="I41" s="13" t="s">
        <v>35</v>
      </c>
      <c r="J41" s="13" t="s">
        <v>46</v>
      </c>
      <c r="K41" s="13" t="s">
        <v>52</v>
      </c>
      <c r="L41" s="13"/>
    </row>
    <row r="42">
      <c r="A42" s="13">
        <v>40.0</v>
      </c>
      <c r="B42" s="13">
        <v>862.0</v>
      </c>
      <c r="C42" s="13">
        <v>47.0</v>
      </c>
      <c r="D42" s="12"/>
      <c r="E42" s="12" t="s">
        <v>119</v>
      </c>
      <c r="F42" s="13">
        <v>4.0</v>
      </c>
      <c r="G42" s="13">
        <v>1.0</v>
      </c>
      <c r="H42" s="13">
        <v>1.0</v>
      </c>
      <c r="I42" s="13" t="s">
        <v>35</v>
      </c>
      <c r="J42" s="13" t="s">
        <v>46</v>
      </c>
      <c r="K42" s="13" t="s">
        <v>52</v>
      </c>
      <c r="L42" s="13"/>
    </row>
    <row r="43">
      <c r="A43" s="13">
        <v>41.0</v>
      </c>
      <c r="B43" s="13">
        <v>862.0</v>
      </c>
      <c r="C43" s="13">
        <v>40.0</v>
      </c>
      <c r="D43" s="12"/>
      <c r="E43" s="12" t="s">
        <v>120</v>
      </c>
      <c r="F43" s="13">
        <v>5.0</v>
      </c>
      <c r="G43" s="13">
        <v>1.0</v>
      </c>
      <c r="H43" s="13">
        <v>0.0</v>
      </c>
      <c r="I43" s="13" t="s">
        <v>35</v>
      </c>
      <c r="J43" s="13" t="s">
        <v>46</v>
      </c>
      <c r="K43" s="13" t="s">
        <v>52</v>
      </c>
      <c r="L43" s="13"/>
    </row>
    <row r="44">
      <c r="A44" s="13">
        <v>42.0</v>
      </c>
      <c r="B44" s="13">
        <v>910.0</v>
      </c>
      <c r="C44" s="13">
        <v>23.0</v>
      </c>
      <c r="D44" s="12" t="s">
        <v>121</v>
      </c>
      <c r="E44" s="12" t="s">
        <v>122</v>
      </c>
      <c r="F44" s="13">
        <v>5.0</v>
      </c>
      <c r="G44" s="13">
        <v>1.0</v>
      </c>
      <c r="H44" s="13">
        <v>0.0</v>
      </c>
      <c r="I44" s="13" t="s">
        <v>35</v>
      </c>
      <c r="J44" s="13" t="s">
        <v>46</v>
      </c>
      <c r="K44" s="13" t="s">
        <v>123</v>
      </c>
      <c r="L44" s="13"/>
    </row>
    <row r="45">
      <c r="A45" s="13">
        <v>43.0</v>
      </c>
      <c r="B45" s="13">
        <v>89.0</v>
      </c>
      <c r="C45" s="13">
        <v>67.0</v>
      </c>
      <c r="D45" s="12" t="s">
        <v>124</v>
      </c>
      <c r="E45" s="12" t="s">
        <v>125</v>
      </c>
      <c r="F45" s="13">
        <v>4.0</v>
      </c>
      <c r="G45" s="13">
        <v>1.0</v>
      </c>
      <c r="H45" s="13">
        <v>1.0</v>
      </c>
      <c r="I45" s="13" t="s">
        <v>31</v>
      </c>
      <c r="J45" s="13" t="s">
        <v>32</v>
      </c>
      <c r="K45" s="13" t="s">
        <v>126</v>
      </c>
      <c r="L45" s="13"/>
    </row>
    <row r="46">
      <c r="A46" s="13">
        <v>44.0</v>
      </c>
      <c r="B46" s="13">
        <v>862.0</v>
      </c>
      <c r="C46" s="13">
        <v>48.0</v>
      </c>
      <c r="D46" s="12" t="s">
        <v>127</v>
      </c>
      <c r="E46" s="12" t="s">
        <v>128</v>
      </c>
      <c r="F46" s="13">
        <v>5.0</v>
      </c>
      <c r="G46" s="13">
        <v>1.0</v>
      </c>
      <c r="H46" s="13">
        <v>9.0</v>
      </c>
      <c r="I46" s="13" t="s">
        <v>35</v>
      </c>
      <c r="J46" s="13" t="s">
        <v>46</v>
      </c>
      <c r="K46" s="13" t="s">
        <v>52</v>
      </c>
      <c r="L46" s="13"/>
    </row>
    <row r="47">
      <c r="A47" s="13">
        <v>45.0</v>
      </c>
      <c r="B47" s="13">
        <v>862.0</v>
      </c>
      <c r="C47" s="13">
        <v>43.0</v>
      </c>
      <c r="D47" s="12" t="s">
        <v>129</v>
      </c>
      <c r="E47" s="12" t="s">
        <v>130</v>
      </c>
      <c r="F47" s="13">
        <v>4.0</v>
      </c>
      <c r="G47" s="13">
        <v>1.0</v>
      </c>
      <c r="H47" s="13">
        <v>0.0</v>
      </c>
      <c r="I47" s="13" t="s">
        <v>35</v>
      </c>
      <c r="J47" s="13" t="s">
        <v>46</v>
      </c>
      <c r="K47" s="13" t="s">
        <v>52</v>
      </c>
      <c r="L47" s="13"/>
    </row>
    <row r="48">
      <c r="A48" s="13">
        <v>46.0</v>
      </c>
      <c r="B48" s="13">
        <v>862.0</v>
      </c>
      <c r="C48" s="13">
        <v>40.0</v>
      </c>
      <c r="D48" s="12"/>
      <c r="E48" s="12" t="s">
        <v>131</v>
      </c>
      <c r="F48" s="13">
        <v>5.0</v>
      </c>
      <c r="G48" s="13">
        <v>1.0</v>
      </c>
      <c r="H48" s="13">
        <v>0.0</v>
      </c>
      <c r="I48" s="13" t="s">
        <v>35</v>
      </c>
      <c r="J48" s="13" t="s">
        <v>46</v>
      </c>
      <c r="K48" s="13" t="s">
        <v>52</v>
      </c>
      <c r="L48" s="13"/>
    </row>
    <row r="49">
      <c r="A49" s="13">
        <v>47.0</v>
      </c>
      <c r="B49" s="13">
        <v>823.0</v>
      </c>
      <c r="C49" s="13">
        <v>52.0</v>
      </c>
      <c r="D49" s="12"/>
      <c r="E49" s="12" t="s">
        <v>132</v>
      </c>
      <c r="F49" s="13">
        <v>5.0</v>
      </c>
      <c r="G49" s="13">
        <v>1.0</v>
      </c>
      <c r="H49" s="13">
        <v>0.0</v>
      </c>
      <c r="I49" s="13" t="s">
        <v>35</v>
      </c>
      <c r="J49" s="13" t="s">
        <v>46</v>
      </c>
      <c r="K49" s="13" t="s">
        <v>47</v>
      </c>
      <c r="L49" s="13"/>
    </row>
    <row r="50">
      <c r="A50" s="13">
        <v>48.0</v>
      </c>
      <c r="B50" s="13">
        <v>910.0</v>
      </c>
      <c r="C50" s="13">
        <v>56.0</v>
      </c>
      <c r="D50" s="12" t="s">
        <v>133</v>
      </c>
      <c r="E50" s="12" t="s">
        <v>134</v>
      </c>
      <c r="F50" s="13">
        <v>5.0</v>
      </c>
      <c r="G50" s="13">
        <v>1.0</v>
      </c>
      <c r="H50" s="13">
        <v>0.0</v>
      </c>
      <c r="I50" s="13" t="s">
        <v>35</v>
      </c>
      <c r="J50" s="13" t="s">
        <v>46</v>
      </c>
      <c r="K50" s="13" t="s">
        <v>123</v>
      </c>
      <c r="L50" s="13"/>
    </row>
    <row r="51">
      <c r="A51" s="13">
        <v>49.0</v>
      </c>
      <c r="B51" s="13">
        <v>862.0</v>
      </c>
      <c r="C51" s="13">
        <v>33.0</v>
      </c>
      <c r="D51" s="12" t="s">
        <v>135</v>
      </c>
      <c r="E51" s="12" t="s">
        <v>136</v>
      </c>
      <c r="F51" s="13">
        <v>5.0</v>
      </c>
      <c r="G51" s="13">
        <v>1.0</v>
      </c>
      <c r="H51" s="13">
        <v>0.0</v>
      </c>
      <c r="I51" s="13" t="s">
        <v>35</v>
      </c>
      <c r="J51" s="13" t="s">
        <v>46</v>
      </c>
      <c r="K51" s="13" t="s">
        <v>52</v>
      </c>
      <c r="L51" s="13"/>
    </row>
    <row r="52">
      <c r="A52" s="13">
        <v>50.0</v>
      </c>
      <c r="B52" s="13">
        <v>862.0</v>
      </c>
      <c r="C52" s="13">
        <v>46.0</v>
      </c>
      <c r="D52" s="12" t="s">
        <v>137</v>
      </c>
      <c r="E52" s="12" t="s">
        <v>138</v>
      </c>
      <c r="F52" s="13">
        <v>4.0</v>
      </c>
      <c r="G52" s="13">
        <v>1.0</v>
      </c>
      <c r="H52" s="13">
        <v>1.0</v>
      </c>
      <c r="I52" s="13" t="s">
        <v>35</v>
      </c>
      <c r="J52" s="13" t="s">
        <v>46</v>
      </c>
      <c r="K52" s="13" t="s">
        <v>52</v>
      </c>
      <c r="L52" s="13"/>
    </row>
    <row r="53">
      <c r="A53" s="13">
        <v>51.0</v>
      </c>
      <c r="B53" s="13">
        <v>862.0</v>
      </c>
      <c r="C53" s="13">
        <v>41.0</v>
      </c>
      <c r="D53" s="12" t="s">
        <v>139</v>
      </c>
      <c r="E53" s="12" t="s">
        <v>140</v>
      </c>
      <c r="F53" s="13">
        <v>5.0</v>
      </c>
      <c r="G53" s="13">
        <v>1.0</v>
      </c>
      <c r="H53" s="13">
        <v>2.0</v>
      </c>
      <c r="I53" s="13" t="s">
        <v>35</v>
      </c>
      <c r="J53" s="13" t="s">
        <v>46</v>
      </c>
      <c r="K53" s="13" t="s">
        <v>52</v>
      </c>
      <c r="L53" s="13"/>
    </row>
    <row r="54">
      <c r="A54" s="13">
        <v>52.0</v>
      </c>
      <c r="B54" s="13">
        <v>1104.0</v>
      </c>
      <c r="C54" s="13">
        <v>39.0</v>
      </c>
      <c r="D54" s="12"/>
      <c r="E54" s="12" t="s">
        <v>141</v>
      </c>
      <c r="F54" s="13">
        <v>3.0</v>
      </c>
      <c r="G54" s="13">
        <v>1.0</v>
      </c>
      <c r="H54" s="13">
        <v>3.0</v>
      </c>
      <c r="I54" s="13" t="s">
        <v>35</v>
      </c>
      <c r="J54" s="13" t="s">
        <v>36</v>
      </c>
      <c r="K54" s="13" t="s">
        <v>36</v>
      </c>
      <c r="L54" s="13"/>
    </row>
    <row r="55">
      <c r="A55" s="13">
        <v>53.0</v>
      </c>
      <c r="B55" s="13">
        <v>862.0</v>
      </c>
      <c r="C55" s="13">
        <v>39.0</v>
      </c>
      <c r="D55" s="12" t="s">
        <v>142</v>
      </c>
      <c r="E55" s="12" t="s">
        <v>143</v>
      </c>
      <c r="F55" s="13">
        <v>5.0</v>
      </c>
      <c r="G55" s="13">
        <v>1.0</v>
      </c>
      <c r="H55" s="13">
        <v>34.0</v>
      </c>
      <c r="I55" s="13" t="s">
        <v>35</v>
      </c>
      <c r="J55" s="13" t="s">
        <v>46</v>
      </c>
      <c r="K55" s="13" t="s">
        <v>52</v>
      </c>
      <c r="L55" s="13"/>
    </row>
    <row r="56">
      <c r="A56" s="13">
        <v>54.0</v>
      </c>
      <c r="B56" s="13">
        <v>862.0</v>
      </c>
      <c r="C56" s="13">
        <v>66.0</v>
      </c>
      <c r="D56" s="12" t="s">
        <v>144</v>
      </c>
      <c r="E56" s="12" t="s">
        <v>145</v>
      </c>
      <c r="F56" s="13">
        <v>4.0</v>
      </c>
      <c r="G56" s="13">
        <v>1.0</v>
      </c>
      <c r="H56" s="13">
        <v>2.0</v>
      </c>
      <c r="I56" s="13" t="s">
        <v>35</v>
      </c>
      <c r="J56" s="13" t="s">
        <v>46</v>
      </c>
      <c r="K56" s="13" t="s">
        <v>52</v>
      </c>
      <c r="L56" s="13"/>
    </row>
    <row r="57">
      <c r="A57" s="13">
        <v>55.0</v>
      </c>
      <c r="B57" s="13">
        <v>862.0</v>
      </c>
      <c r="C57" s="13">
        <v>61.0</v>
      </c>
      <c r="D57" s="12" t="s">
        <v>146</v>
      </c>
      <c r="E57" s="12" t="s">
        <v>147</v>
      </c>
      <c r="F57" s="13">
        <v>5.0</v>
      </c>
      <c r="G57" s="13">
        <v>1.0</v>
      </c>
      <c r="H57" s="13">
        <v>2.0</v>
      </c>
      <c r="I57" s="13" t="s">
        <v>35</v>
      </c>
      <c r="J57" s="13" t="s">
        <v>46</v>
      </c>
      <c r="K57" s="13" t="s">
        <v>52</v>
      </c>
      <c r="L57" s="13"/>
    </row>
    <row r="58">
      <c r="A58" s="13">
        <v>56.0</v>
      </c>
      <c r="B58" s="13">
        <v>368.0</v>
      </c>
      <c r="C58" s="13">
        <v>33.0</v>
      </c>
      <c r="D58" s="12"/>
      <c r="E58" s="12" t="s">
        <v>148</v>
      </c>
      <c r="F58" s="13">
        <v>2.0</v>
      </c>
      <c r="G58" s="13">
        <v>0.0</v>
      </c>
      <c r="H58" s="13">
        <v>3.0</v>
      </c>
      <c r="I58" s="13" t="s">
        <v>31</v>
      </c>
      <c r="J58" s="13" t="s">
        <v>32</v>
      </c>
      <c r="K58" s="13" t="s">
        <v>33</v>
      </c>
      <c r="L58" s="13"/>
    </row>
    <row r="59">
      <c r="A59" s="13">
        <v>57.0</v>
      </c>
      <c r="B59" s="13">
        <v>862.0</v>
      </c>
      <c r="C59" s="13">
        <v>31.0</v>
      </c>
      <c r="D59" s="12" t="s">
        <v>149</v>
      </c>
      <c r="E59" s="12" t="s">
        <v>150</v>
      </c>
      <c r="F59" s="13">
        <v>3.0</v>
      </c>
      <c r="G59" s="13">
        <v>0.0</v>
      </c>
      <c r="H59" s="13">
        <v>0.0</v>
      </c>
      <c r="I59" s="13" t="s">
        <v>35</v>
      </c>
      <c r="J59" s="13" t="s">
        <v>46</v>
      </c>
      <c r="K59" s="13" t="s">
        <v>52</v>
      </c>
      <c r="L59" s="13"/>
    </row>
    <row r="60">
      <c r="A60" s="13">
        <v>58.0</v>
      </c>
      <c r="B60" s="13">
        <v>1095.0</v>
      </c>
      <c r="C60" s="13">
        <v>36.0</v>
      </c>
      <c r="D60" s="12"/>
      <c r="E60" s="12" t="s">
        <v>151</v>
      </c>
      <c r="F60" s="13">
        <v>4.0</v>
      </c>
      <c r="G60" s="13">
        <v>1.0</v>
      </c>
      <c r="H60" s="13">
        <v>0.0</v>
      </c>
      <c r="I60" s="13" t="s">
        <v>41</v>
      </c>
      <c r="J60" s="13" t="s">
        <v>36</v>
      </c>
      <c r="K60" s="13" t="s">
        <v>36</v>
      </c>
      <c r="L60" s="13"/>
    </row>
    <row r="61">
      <c r="A61" s="13">
        <v>59.0</v>
      </c>
      <c r="B61" s="13">
        <v>368.0</v>
      </c>
      <c r="C61" s="13">
        <v>52.0</v>
      </c>
      <c r="D61" s="12" t="s">
        <v>152</v>
      </c>
      <c r="E61" s="12" t="s">
        <v>153</v>
      </c>
      <c r="F61" s="13">
        <v>4.0</v>
      </c>
      <c r="G61" s="13">
        <v>1.0</v>
      </c>
      <c r="H61" s="13">
        <v>1.0</v>
      </c>
      <c r="I61" s="13" t="s">
        <v>31</v>
      </c>
      <c r="J61" s="13" t="s">
        <v>32</v>
      </c>
      <c r="K61" s="13" t="s">
        <v>33</v>
      </c>
      <c r="L61" s="13"/>
    </row>
    <row r="62">
      <c r="A62" s="13">
        <v>60.0</v>
      </c>
      <c r="B62" s="13">
        <v>1095.0</v>
      </c>
      <c r="C62" s="13">
        <v>41.0</v>
      </c>
      <c r="D62" s="12" t="s">
        <v>154</v>
      </c>
      <c r="E62" s="12" t="s">
        <v>155</v>
      </c>
      <c r="F62" s="13">
        <v>5.0</v>
      </c>
      <c r="G62" s="13">
        <v>1.0</v>
      </c>
      <c r="H62" s="13">
        <v>0.0</v>
      </c>
      <c r="I62" s="13" t="s">
        <v>41</v>
      </c>
      <c r="J62" s="13" t="s">
        <v>36</v>
      </c>
      <c r="K62" s="13" t="s">
        <v>36</v>
      </c>
      <c r="L62" s="13"/>
    </row>
    <row r="63">
      <c r="A63" s="13">
        <v>61.0</v>
      </c>
      <c r="B63" s="13">
        <v>368.0</v>
      </c>
      <c r="C63" s="13">
        <v>36.0</v>
      </c>
      <c r="D63" s="12" t="s">
        <v>156</v>
      </c>
      <c r="E63" s="12" t="s">
        <v>157</v>
      </c>
      <c r="F63" s="13">
        <v>1.0</v>
      </c>
      <c r="G63" s="13">
        <v>0.0</v>
      </c>
      <c r="H63" s="13">
        <v>0.0</v>
      </c>
      <c r="I63" s="13" t="s">
        <v>31</v>
      </c>
      <c r="J63" s="13" t="s">
        <v>32</v>
      </c>
      <c r="K63" s="13" t="s">
        <v>33</v>
      </c>
      <c r="L63" s="13"/>
    </row>
    <row r="64">
      <c r="A64" s="13">
        <v>62.0</v>
      </c>
      <c r="B64" s="13">
        <v>862.0</v>
      </c>
      <c r="C64" s="13">
        <v>28.0</v>
      </c>
      <c r="D64" s="12" t="s">
        <v>158</v>
      </c>
      <c r="E64" s="12" t="s">
        <v>159</v>
      </c>
      <c r="F64" s="13">
        <v>5.0</v>
      </c>
      <c r="G64" s="13">
        <v>1.0</v>
      </c>
      <c r="H64" s="13">
        <v>0.0</v>
      </c>
      <c r="I64" s="13" t="s">
        <v>35</v>
      </c>
      <c r="J64" s="13" t="s">
        <v>46</v>
      </c>
      <c r="K64" s="13" t="s">
        <v>52</v>
      </c>
      <c r="L64" s="13"/>
    </row>
    <row r="65">
      <c r="A65" s="13">
        <v>63.0</v>
      </c>
      <c r="B65" s="13">
        <v>862.0</v>
      </c>
      <c r="C65" s="13">
        <v>57.0</v>
      </c>
      <c r="D65" s="12" t="s">
        <v>160</v>
      </c>
      <c r="E65" s="12" t="s">
        <v>161</v>
      </c>
      <c r="F65" s="13">
        <v>5.0</v>
      </c>
      <c r="G65" s="13">
        <v>1.0</v>
      </c>
      <c r="H65" s="13">
        <v>1.0</v>
      </c>
      <c r="I65" s="13" t="s">
        <v>35</v>
      </c>
      <c r="J65" s="13" t="s">
        <v>46</v>
      </c>
      <c r="K65" s="13" t="s">
        <v>52</v>
      </c>
      <c r="L65" s="13"/>
    </row>
    <row r="66">
      <c r="A66" s="13">
        <v>64.0</v>
      </c>
      <c r="B66" s="13">
        <v>862.0</v>
      </c>
      <c r="C66" s="13">
        <v>43.0</v>
      </c>
      <c r="D66" s="12" t="s">
        <v>162</v>
      </c>
      <c r="E66" s="12" t="s">
        <v>163</v>
      </c>
      <c r="F66" s="13">
        <v>5.0</v>
      </c>
      <c r="G66" s="13">
        <v>1.0</v>
      </c>
      <c r="H66" s="13">
        <v>0.0</v>
      </c>
      <c r="I66" s="13" t="s">
        <v>35</v>
      </c>
      <c r="J66" s="13" t="s">
        <v>46</v>
      </c>
      <c r="K66" s="13" t="s">
        <v>52</v>
      </c>
      <c r="L66" s="13"/>
    </row>
    <row r="67">
      <c r="A67" s="13">
        <v>65.0</v>
      </c>
      <c r="B67" s="13">
        <v>862.0</v>
      </c>
      <c r="C67" s="13">
        <v>58.0</v>
      </c>
      <c r="D67" s="12"/>
      <c r="E67" s="12" t="s">
        <v>164</v>
      </c>
      <c r="F67" s="13">
        <v>4.0</v>
      </c>
      <c r="G67" s="13">
        <v>1.0</v>
      </c>
      <c r="H67" s="13">
        <v>2.0</v>
      </c>
      <c r="I67" s="13" t="s">
        <v>35</v>
      </c>
      <c r="J67" s="13" t="s">
        <v>46</v>
      </c>
      <c r="K67" s="13" t="s">
        <v>52</v>
      </c>
      <c r="L67" s="13"/>
    </row>
    <row r="68">
      <c r="A68" s="13">
        <v>66.0</v>
      </c>
      <c r="B68" s="13">
        <v>862.0</v>
      </c>
      <c r="C68" s="13">
        <v>60.0</v>
      </c>
      <c r="D68" s="12" t="s">
        <v>165</v>
      </c>
      <c r="E68" s="12" t="s">
        <v>166</v>
      </c>
      <c r="F68" s="13">
        <v>4.0</v>
      </c>
      <c r="G68" s="13">
        <v>1.0</v>
      </c>
      <c r="H68" s="13">
        <v>9.0</v>
      </c>
      <c r="I68" s="13" t="s">
        <v>35</v>
      </c>
      <c r="J68" s="13" t="s">
        <v>46</v>
      </c>
      <c r="K68" s="13" t="s">
        <v>52</v>
      </c>
      <c r="L68" s="13"/>
    </row>
    <row r="69">
      <c r="A69" s="13">
        <v>67.0</v>
      </c>
      <c r="B69" s="13">
        <v>862.0</v>
      </c>
      <c r="C69" s="13">
        <v>40.0</v>
      </c>
      <c r="D69" s="12" t="s">
        <v>167</v>
      </c>
      <c r="E69" s="12" t="s">
        <v>168</v>
      </c>
      <c r="F69" s="13">
        <v>5.0</v>
      </c>
      <c r="G69" s="13">
        <v>1.0</v>
      </c>
      <c r="H69" s="13">
        <v>1.0</v>
      </c>
      <c r="I69" s="13" t="s">
        <v>35</v>
      </c>
      <c r="J69" s="13" t="s">
        <v>46</v>
      </c>
      <c r="K69" s="13" t="s">
        <v>52</v>
      </c>
      <c r="L69" s="13"/>
    </row>
    <row r="70">
      <c r="A70" s="13">
        <v>68.0</v>
      </c>
      <c r="B70" s="13">
        <v>862.0</v>
      </c>
      <c r="C70" s="13">
        <v>37.0</v>
      </c>
      <c r="D70" s="12" t="s">
        <v>169</v>
      </c>
      <c r="E70" s="12" t="s">
        <v>170</v>
      </c>
      <c r="F70" s="13">
        <v>2.0</v>
      </c>
      <c r="G70" s="13">
        <v>0.0</v>
      </c>
      <c r="H70" s="13">
        <v>0.0</v>
      </c>
      <c r="I70" s="13" t="s">
        <v>35</v>
      </c>
      <c r="J70" s="13" t="s">
        <v>46</v>
      </c>
      <c r="K70" s="13" t="s">
        <v>52</v>
      </c>
      <c r="L70" s="13"/>
    </row>
    <row r="71">
      <c r="A71" s="13">
        <v>69.0</v>
      </c>
      <c r="B71" s="13">
        <v>1078.0</v>
      </c>
      <c r="C71" s="13">
        <v>56.0</v>
      </c>
      <c r="D71" s="12" t="s">
        <v>171</v>
      </c>
      <c r="E71" s="12" t="s">
        <v>172</v>
      </c>
      <c r="F71" s="13">
        <v>3.0</v>
      </c>
      <c r="G71" s="13">
        <v>0.0</v>
      </c>
      <c r="H71" s="13">
        <v>1.0</v>
      </c>
      <c r="I71" s="13" t="s">
        <v>41</v>
      </c>
      <c r="J71" s="13" t="s">
        <v>36</v>
      </c>
      <c r="K71" s="13" t="s">
        <v>36</v>
      </c>
      <c r="L71" s="13"/>
    </row>
    <row r="72">
      <c r="A72" s="13">
        <v>70.0</v>
      </c>
      <c r="B72" s="13">
        <v>845.0</v>
      </c>
      <c r="C72" s="13">
        <v>38.0</v>
      </c>
      <c r="D72" s="12" t="s">
        <v>173</v>
      </c>
      <c r="E72" s="12" t="s">
        <v>174</v>
      </c>
      <c r="F72" s="13">
        <v>4.0</v>
      </c>
      <c r="G72" s="13">
        <v>1.0</v>
      </c>
      <c r="H72" s="13">
        <v>10.0</v>
      </c>
      <c r="I72" s="13" t="s">
        <v>41</v>
      </c>
      <c r="J72" s="13" t="s">
        <v>46</v>
      </c>
      <c r="K72" s="13" t="s">
        <v>47</v>
      </c>
      <c r="L72" s="13"/>
    </row>
    <row r="73">
      <c r="A73" s="13">
        <v>71.0</v>
      </c>
      <c r="B73" s="13">
        <v>822.0</v>
      </c>
      <c r="C73" s="13">
        <v>36.0</v>
      </c>
      <c r="D73" s="12" t="s">
        <v>175</v>
      </c>
      <c r="E73" s="12" t="s">
        <v>176</v>
      </c>
      <c r="F73" s="13">
        <v>2.0</v>
      </c>
      <c r="G73" s="13">
        <v>0.0</v>
      </c>
      <c r="H73" s="13">
        <v>0.0</v>
      </c>
      <c r="I73" s="13" t="s">
        <v>35</v>
      </c>
      <c r="J73" s="13" t="s">
        <v>46</v>
      </c>
      <c r="K73" s="13" t="s">
        <v>47</v>
      </c>
      <c r="L73" s="13"/>
    </row>
    <row r="74">
      <c r="A74" s="13">
        <v>72.0</v>
      </c>
      <c r="B74" s="13">
        <v>850.0</v>
      </c>
      <c r="C74" s="13">
        <v>27.0</v>
      </c>
      <c r="D74" s="12" t="s">
        <v>177</v>
      </c>
      <c r="E74" s="12" t="s">
        <v>178</v>
      </c>
      <c r="F74" s="13">
        <v>5.0</v>
      </c>
      <c r="G74" s="13">
        <v>1.0</v>
      </c>
      <c r="H74" s="13">
        <v>4.0</v>
      </c>
      <c r="I74" s="13" t="s">
        <v>35</v>
      </c>
      <c r="J74" s="13" t="s">
        <v>46</v>
      </c>
      <c r="K74" s="13" t="s">
        <v>47</v>
      </c>
      <c r="L74" s="13"/>
    </row>
    <row r="75">
      <c r="A75" s="13">
        <v>73.0</v>
      </c>
      <c r="B75" s="13">
        <v>866.0</v>
      </c>
      <c r="C75" s="13">
        <v>47.0</v>
      </c>
      <c r="D75" s="12"/>
      <c r="E75" s="12" t="s">
        <v>179</v>
      </c>
      <c r="F75" s="13">
        <v>4.0</v>
      </c>
      <c r="G75" s="13">
        <v>1.0</v>
      </c>
      <c r="H75" s="13">
        <v>0.0</v>
      </c>
      <c r="I75" s="13" t="s">
        <v>41</v>
      </c>
      <c r="J75" s="13" t="s">
        <v>46</v>
      </c>
      <c r="K75" s="13" t="s">
        <v>52</v>
      </c>
      <c r="L75" s="13"/>
    </row>
    <row r="76">
      <c r="A76" s="13">
        <v>74.0</v>
      </c>
      <c r="B76" s="13">
        <v>1081.0</v>
      </c>
      <c r="C76" s="13">
        <v>59.0</v>
      </c>
      <c r="D76" s="12"/>
      <c r="E76" s="12" t="s">
        <v>180</v>
      </c>
      <c r="F76" s="13">
        <v>5.0</v>
      </c>
      <c r="G76" s="13">
        <v>1.0</v>
      </c>
      <c r="H76" s="13">
        <v>1.0</v>
      </c>
      <c r="I76" s="13" t="s">
        <v>41</v>
      </c>
      <c r="J76" s="13" t="s">
        <v>36</v>
      </c>
      <c r="K76" s="13" t="s">
        <v>36</v>
      </c>
      <c r="L76" s="13"/>
    </row>
    <row r="77">
      <c r="A77" s="13">
        <v>75.0</v>
      </c>
      <c r="B77" s="13">
        <v>845.0</v>
      </c>
      <c r="C77" s="13">
        <v>48.0</v>
      </c>
      <c r="D77" s="12" t="s">
        <v>181</v>
      </c>
      <c r="E77" s="12" t="s">
        <v>182</v>
      </c>
      <c r="F77" s="13">
        <v>5.0</v>
      </c>
      <c r="G77" s="13">
        <v>1.0</v>
      </c>
      <c r="H77" s="13">
        <v>5.0</v>
      </c>
      <c r="I77" s="13" t="s">
        <v>41</v>
      </c>
      <c r="J77" s="13" t="s">
        <v>46</v>
      </c>
      <c r="K77" s="13" t="s">
        <v>47</v>
      </c>
      <c r="L77" s="13"/>
    </row>
    <row r="78">
      <c r="A78" s="13">
        <v>76.0</v>
      </c>
      <c r="B78" s="13">
        <v>1082.0</v>
      </c>
      <c r="C78" s="13">
        <v>31.0</v>
      </c>
      <c r="D78" s="12" t="s">
        <v>183</v>
      </c>
      <c r="E78" s="12" t="s">
        <v>184</v>
      </c>
      <c r="F78" s="13">
        <v>4.0</v>
      </c>
      <c r="G78" s="13">
        <v>1.0</v>
      </c>
      <c r="H78" s="13">
        <v>0.0</v>
      </c>
      <c r="I78" s="13" t="s">
        <v>35</v>
      </c>
      <c r="J78" s="13" t="s">
        <v>36</v>
      </c>
      <c r="K78" s="13" t="s">
        <v>36</v>
      </c>
      <c r="L78" s="13"/>
    </row>
    <row r="79">
      <c r="A79" s="13">
        <v>77.0</v>
      </c>
      <c r="B79" s="13">
        <v>850.0</v>
      </c>
      <c r="C79" s="13">
        <v>28.0</v>
      </c>
      <c r="D79" s="12" t="s">
        <v>185</v>
      </c>
      <c r="E79" s="12" t="s">
        <v>186</v>
      </c>
      <c r="F79" s="13">
        <v>2.0</v>
      </c>
      <c r="G79" s="13">
        <v>0.0</v>
      </c>
      <c r="H79" s="13">
        <v>0.0</v>
      </c>
      <c r="I79" s="13" t="s">
        <v>41</v>
      </c>
      <c r="J79" s="13" t="s">
        <v>46</v>
      </c>
      <c r="K79" s="13" t="s">
        <v>47</v>
      </c>
      <c r="L79" s="13"/>
    </row>
    <row r="80">
      <c r="A80" s="13">
        <v>78.0</v>
      </c>
      <c r="B80" s="13">
        <v>836.0</v>
      </c>
      <c r="C80" s="13">
        <v>47.0</v>
      </c>
      <c r="D80" s="12" t="s">
        <v>187</v>
      </c>
      <c r="E80" s="12" t="s">
        <v>188</v>
      </c>
      <c r="F80" s="13">
        <v>5.0</v>
      </c>
      <c r="G80" s="13">
        <v>1.0</v>
      </c>
      <c r="H80" s="13">
        <v>1.0</v>
      </c>
      <c r="I80" s="13" t="s">
        <v>35</v>
      </c>
      <c r="J80" s="13" t="s">
        <v>46</v>
      </c>
      <c r="K80" s="13" t="s">
        <v>47</v>
      </c>
      <c r="L80" s="13"/>
    </row>
    <row r="81">
      <c r="A81" s="13">
        <v>79.0</v>
      </c>
      <c r="B81" s="13">
        <v>1081.0</v>
      </c>
      <c r="C81" s="13">
        <v>62.0</v>
      </c>
      <c r="D81" s="12" t="s">
        <v>189</v>
      </c>
      <c r="E81" s="12" t="s">
        <v>190</v>
      </c>
      <c r="F81" s="13">
        <v>4.0</v>
      </c>
      <c r="G81" s="13">
        <v>1.0</v>
      </c>
      <c r="H81" s="13">
        <v>2.0</v>
      </c>
      <c r="I81" s="13" t="s">
        <v>41</v>
      </c>
      <c r="J81" s="13" t="s">
        <v>36</v>
      </c>
      <c r="K81" s="13" t="s">
        <v>36</v>
      </c>
      <c r="L81" s="13"/>
    </row>
    <row r="82">
      <c r="A82" s="13">
        <v>80.0</v>
      </c>
      <c r="B82" s="13">
        <v>1072.0</v>
      </c>
      <c r="C82" s="13">
        <v>68.0</v>
      </c>
      <c r="D82" s="12" t="s">
        <v>191</v>
      </c>
      <c r="E82" s="12" t="s">
        <v>192</v>
      </c>
      <c r="F82" s="13">
        <v>5.0</v>
      </c>
      <c r="G82" s="13">
        <v>1.0</v>
      </c>
      <c r="H82" s="13">
        <v>1.0</v>
      </c>
      <c r="I82" s="13" t="s">
        <v>35</v>
      </c>
      <c r="J82" s="13" t="s">
        <v>36</v>
      </c>
      <c r="K82" s="13" t="s">
        <v>36</v>
      </c>
      <c r="L82" s="13"/>
    </row>
    <row r="83">
      <c r="A83" s="13">
        <v>81.0</v>
      </c>
      <c r="B83" s="13">
        <v>863.0</v>
      </c>
      <c r="C83" s="13">
        <v>61.0</v>
      </c>
      <c r="D83" s="12"/>
      <c r="E83" s="12" t="s">
        <v>193</v>
      </c>
      <c r="F83" s="13">
        <v>5.0</v>
      </c>
      <c r="G83" s="13">
        <v>1.0</v>
      </c>
      <c r="H83" s="13">
        <v>4.0</v>
      </c>
      <c r="I83" s="13" t="s">
        <v>41</v>
      </c>
      <c r="J83" s="13" t="s">
        <v>46</v>
      </c>
      <c r="K83" s="13" t="s">
        <v>52</v>
      </c>
      <c r="L83" s="13"/>
    </row>
    <row r="84">
      <c r="A84" s="13">
        <v>82.0</v>
      </c>
      <c r="B84" s="13">
        <v>1133.0</v>
      </c>
      <c r="C84" s="13">
        <v>33.0</v>
      </c>
      <c r="D84" s="12" t="s">
        <v>194</v>
      </c>
      <c r="E84" s="12" t="s">
        <v>195</v>
      </c>
      <c r="F84" s="13">
        <v>5.0</v>
      </c>
      <c r="G84" s="13">
        <v>1.0</v>
      </c>
      <c r="H84" s="13">
        <v>0.0</v>
      </c>
      <c r="I84" s="13" t="s">
        <v>35</v>
      </c>
      <c r="J84" s="13" t="s">
        <v>76</v>
      </c>
      <c r="K84" s="13" t="s">
        <v>77</v>
      </c>
      <c r="L84" s="13"/>
    </row>
    <row r="85">
      <c r="A85" s="13">
        <v>83.0</v>
      </c>
      <c r="B85" s="13">
        <v>822.0</v>
      </c>
      <c r="C85" s="13">
        <v>68.0</v>
      </c>
      <c r="D85" s="12" t="s">
        <v>196</v>
      </c>
      <c r="E85" s="12" t="s">
        <v>197</v>
      </c>
      <c r="F85" s="13">
        <v>5.0</v>
      </c>
      <c r="G85" s="13">
        <v>1.0</v>
      </c>
      <c r="H85" s="13">
        <v>3.0</v>
      </c>
      <c r="I85" s="13" t="s">
        <v>35</v>
      </c>
      <c r="J85" s="13" t="s">
        <v>46</v>
      </c>
      <c r="K85" s="13" t="s">
        <v>47</v>
      </c>
      <c r="L85" s="13"/>
    </row>
    <row r="86">
      <c r="A86" s="13">
        <v>84.0</v>
      </c>
      <c r="B86" s="13">
        <v>861.0</v>
      </c>
      <c r="C86" s="13">
        <v>37.0</v>
      </c>
      <c r="D86" s="12" t="s">
        <v>198</v>
      </c>
      <c r="E86" s="12" t="s">
        <v>199</v>
      </c>
      <c r="F86" s="13">
        <v>3.0</v>
      </c>
      <c r="G86" s="13">
        <v>1.0</v>
      </c>
      <c r="H86" s="13">
        <v>0.0</v>
      </c>
      <c r="I86" s="13" t="s">
        <v>41</v>
      </c>
      <c r="J86" s="13" t="s">
        <v>46</v>
      </c>
      <c r="K86" s="13" t="s">
        <v>52</v>
      </c>
      <c r="L86" s="13"/>
    </row>
    <row r="87">
      <c r="A87" s="13">
        <v>85.0</v>
      </c>
      <c r="B87" s="13">
        <v>866.0</v>
      </c>
      <c r="C87" s="13">
        <v>58.0</v>
      </c>
      <c r="D87" s="12"/>
      <c r="E87" s="12" t="s">
        <v>200</v>
      </c>
      <c r="F87" s="13">
        <v>1.0</v>
      </c>
      <c r="G87" s="13">
        <v>0.0</v>
      </c>
      <c r="H87" s="13">
        <v>2.0</v>
      </c>
      <c r="I87" s="13" t="s">
        <v>41</v>
      </c>
      <c r="J87" s="13" t="s">
        <v>46</v>
      </c>
      <c r="K87" s="13" t="s">
        <v>52</v>
      </c>
      <c r="L87" s="13"/>
    </row>
    <row r="88">
      <c r="A88" s="13">
        <v>86.0</v>
      </c>
      <c r="B88" s="13">
        <v>850.0</v>
      </c>
      <c r="C88" s="13">
        <v>39.0</v>
      </c>
      <c r="D88" s="12" t="s">
        <v>201</v>
      </c>
      <c r="E88" s="12" t="s">
        <v>202</v>
      </c>
      <c r="F88" s="13">
        <v>4.0</v>
      </c>
      <c r="G88" s="13">
        <v>1.0</v>
      </c>
      <c r="H88" s="13">
        <v>0.0</v>
      </c>
      <c r="I88" s="13" t="s">
        <v>41</v>
      </c>
      <c r="J88" s="13" t="s">
        <v>46</v>
      </c>
      <c r="K88" s="13" t="s">
        <v>47</v>
      </c>
      <c r="L88" s="13"/>
    </row>
    <row r="89">
      <c r="A89" s="13">
        <v>87.0</v>
      </c>
      <c r="B89" s="13">
        <v>1081.0</v>
      </c>
      <c r="C89" s="13">
        <v>39.0</v>
      </c>
      <c r="D89" s="12" t="s">
        <v>203</v>
      </c>
      <c r="E89" s="12" t="s">
        <v>204</v>
      </c>
      <c r="F89" s="13">
        <v>4.0</v>
      </c>
      <c r="G89" s="13">
        <v>1.0</v>
      </c>
      <c r="H89" s="13">
        <v>9.0</v>
      </c>
      <c r="I89" s="13" t="s">
        <v>41</v>
      </c>
      <c r="J89" s="13" t="s">
        <v>36</v>
      </c>
      <c r="K89" s="13" t="s">
        <v>36</v>
      </c>
      <c r="L89" s="13"/>
    </row>
    <row r="90">
      <c r="A90" s="13">
        <v>88.0</v>
      </c>
      <c r="B90" s="13">
        <v>845.0</v>
      </c>
      <c r="C90" s="13">
        <v>38.0</v>
      </c>
      <c r="D90" s="12" t="s">
        <v>205</v>
      </c>
      <c r="E90" s="12" t="s">
        <v>206</v>
      </c>
      <c r="F90" s="13">
        <v>2.0</v>
      </c>
      <c r="G90" s="13">
        <v>0.0</v>
      </c>
      <c r="H90" s="13">
        <v>4.0</v>
      </c>
      <c r="I90" s="13" t="s">
        <v>41</v>
      </c>
      <c r="J90" s="13" t="s">
        <v>46</v>
      </c>
      <c r="K90" s="13" t="s">
        <v>47</v>
      </c>
      <c r="L90" s="13"/>
    </row>
    <row r="91">
      <c r="A91" s="13">
        <v>89.0</v>
      </c>
      <c r="B91" s="13">
        <v>836.0</v>
      </c>
      <c r="C91" s="13">
        <v>24.0</v>
      </c>
      <c r="D91" s="12" t="s">
        <v>207</v>
      </c>
      <c r="E91" s="12" t="s">
        <v>208</v>
      </c>
      <c r="F91" s="13">
        <v>4.0</v>
      </c>
      <c r="G91" s="13">
        <v>1.0</v>
      </c>
      <c r="H91" s="13">
        <v>3.0</v>
      </c>
      <c r="I91" s="13" t="s">
        <v>35</v>
      </c>
      <c r="J91" s="13" t="s">
        <v>46</v>
      </c>
      <c r="K91" s="13" t="s">
        <v>47</v>
      </c>
      <c r="L91" s="13"/>
    </row>
    <row r="92">
      <c r="A92" s="13">
        <v>90.0</v>
      </c>
      <c r="B92" s="13">
        <v>1078.0</v>
      </c>
      <c r="C92" s="13">
        <v>51.0</v>
      </c>
      <c r="D92" s="12" t="s">
        <v>209</v>
      </c>
      <c r="E92" s="12" t="s">
        <v>210</v>
      </c>
      <c r="F92" s="13">
        <v>4.0</v>
      </c>
      <c r="G92" s="13">
        <v>1.0</v>
      </c>
      <c r="H92" s="13">
        <v>0.0</v>
      </c>
      <c r="I92" s="13" t="s">
        <v>41</v>
      </c>
      <c r="J92" s="13" t="s">
        <v>36</v>
      </c>
      <c r="K92" s="13" t="s">
        <v>36</v>
      </c>
      <c r="L92" s="13"/>
    </row>
    <row r="93">
      <c r="A93" s="13">
        <v>91.0</v>
      </c>
      <c r="B93" s="13">
        <v>850.0</v>
      </c>
      <c r="C93" s="13">
        <v>29.0</v>
      </c>
      <c r="D93" s="12"/>
      <c r="E93" s="12" t="s">
        <v>211</v>
      </c>
      <c r="F93" s="13">
        <v>5.0</v>
      </c>
      <c r="G93" s="13">
        <v>1.0</v>
      </c>
      <c r="H93" s="13">
        <v>5.0</v>
      </c>
      <c r="I93" s="13" t="s">
        <v>41</v>
      </c>
      <c r="J93" s="13" t="s">
        <v>46</v>
      </c>
      <c r="K93" s="13" t="s">
        <v>47</v>
      </c>
      <c r="L93" s="13"/>
    </row>
    <row r="94">
      <c r="A94" s="13">
        <v>92.0</v>
      </c>
      <c r="B94" s="13">
        <v>861.0</v>
      </c>
      <c r="C94" s="13">
        <v>23.0</v>
      </c>
      <c r="D94" s="12"/>
      <c r="E94" s="12"/>
      <c r="F94" s="13">
        <v>5.0</v>
      </c>
      <c r="G94" s="13">
        <v>1.0</v>
      </c>
      <c r="H94" s="13">
        <v>0.0</v>
      </c>
      <c r="I94" s="13" t="s">
        <v>41</v>
      </c>
      <c r="J94" s="13" t="s">
        <v>46</v>
      </c>
      <c r="K94" s="13" t="s">
        <v>52</v>
      </c>
      <c r="L94" s="13"/>
    </row>
    <row r="95">
      <c r="A95" s="13">
        <v>93.0</v>
      </c>
      <c r="B95" s="13">
        <v>1081.0</v>
      </c>
      <c r="C95" s="13">
        <v>31.0</v>
      </c>
      <c r="D95" s="12"/>
      <c r="E95" s="12"/>
      <c r="F95" s="13">
        <v>5.0</v>
      </c>
      <c r="G95" s="13">
        <v>1.0</v>
      </c>
      <c r="H95" s="13">
        <v>0.0</v>
      </c>
      <c r="I95" s="13" t="s">
        <v>35</v>
      </c>
      <c r="J95" s="13" t="s">
        <v>36</v>
      </c>
      <c r="K95" s="13" t="s">
        <v>36</v>
      </c>
      <c r="L95" s="13"/>
    </row>
    <row r="96">
      <c r="A96" s="13">
        <v>94.0</v>
      </c>
      <c r="B96" s="13">
        <v>850.0</v>
      </c>
      <c r="C96" s="13">
        <v>23.0</v>
      </c>
      <c r="D96" s="12" t="s">
        <v>212</v>
      </c>
      <c r="E96" s="12" t="s">
        <v>213</v>
      </c>
      <c r="F96" s="13">
        <v>4.0</v>
      </c>
      <c r="G96" s="13">
        <v>1.0</v>
      </c>
      <c r="H96" s="13">
        <v>3.0</v>
      </c>
      <c r="I96" s="13" t="s">
        <v>41</v>
      </c>
      <c r="J96" s="13" t="s">
        <v>46</v>
      </c>
      <c r="K96" s="13" t="s">
        <v>47</v>
      </c>
      <c r="L96" s="13"/>
    </row>
    <row r="97">
      <c r="A97" s="13">
        <v>95.0</v>
      </c>
      <c r="B97" s="13">
        <v>863.0</v>
      </c>
      <c r="C97" s="13">
        <v>83.0</v>
      </c>
      <c r="D97" s="12" t="s">
        <v>214</v>
      </c>
      <c r="E97" s="12" t="s">
        <v>215</v>
      </c>
      <c r="F97" s="13">
        <v>5.0</v>
      </c>
      <c r="G97" s="13">
        <v>1.0</v>
      </c>
      <c r="H97" s="13">
        <v>14.0</v>
      </c>
      <c r="I97" s="13" t="s">
        <v>35</v>
      </c>
      <c r="J97" s="13" t="s">
        <v>46</v>
      </c>
      <c r="K97" s="13" t="s">
        <v>52</v>
      </c>
      <c r="L97" s="13"/>
    </row>
    <row r="98">
      <c r="A98" s="13">
        <v>96.0</v>
      </c>
      <c r="B98" s="13">
        <v>845.0</v>
      </c>
      <c r="C98" s="13">
        <v>44.0</v>
      </c>
      <c r="D98" s="12"/>
      <c r="E98" s="12" t="s">
        <v>216</v>
      </c>
      <c r="F98" s="13">
        <v>1.0</v>
      </c>
      <c r="G98" s="13">
        <v>0.0</v>
      </c>
      <c r="H98" s="13">
        <v>0.0</v>
      </c>
      <c r="I98" s="13" t="s">
        <v>41</v>
      </c>
      <c r="J98" s="13" t="s">
        <v>46</v>
      </c>
      <c r="K98" s="13" t="s">
        <v>47</v>
      </c>
      <c r="L98" s="13"/>
    </row>
    <row r="99">
      <c r="A99" s="13">
        <v>97.0</v>
      </c>
      <c r="B99" s="13">
        <v>861.0</v>
      </c>
      <c r="C99" s="13">
        <v>44.0</v>
      </c>
      <c r="D99" s="12" t="s">
        <v>205</v>
      </c>
      <c r="E99" s="12" t="s">
        <v>217</v>
      </c>
      <c r="F99" s="13">
        <v>1.0</v>
      </c>
      <c r="G99" s="13">
        <v>0.0</v>
      </c>
      <c r="H99" s="13">
        <v>0.0</v>
      </c>
      <c r="I99" s="13" t="s">
        <v>41</v>
      </c>
      <c r="J99" s="13" t="s">
        <v>46</v>
      </c>
      <c r="K99" s="13" t="s">
        <v>52</v>
      </c>
      <c r="L99" s="13"/>
    </row>
    <row r="100">
      <c r="A100" s="13">
        <v>98.0</v>
      </c>
      <c r="B100" s="13">
        <v>1133.0</v>
      </c>
      <c r="C100" s="13">
        <v>50.0</v>
      </c>
      <c r="D100" s="12"/>
      <c r="E100" s="12"/>
      <c r="F100" s="13">
        <v>5.0</v>
      </c>
      <c r="G100" s="13">
        <v>1.0</v>
      </c>
      <c r="H100" s="13">
        <v>0.0</v>
      </c>
      <c r="I100" s="13" t="s">
        <v>35</v>
      </c>
      <c r="J100" s="13" t="s">
        <v>76</v>
      </c>
      <c r="K100" s="13" t="s">
        <v>77</v>
      </c>
      <c r="L100" s="13"/>
    </row>
    <row r="101">
      <c r="A101" s="13">
        <v>99.0</v>
      </c>
      <c r="B101" s="13">
        <v>861.0</v>
      </c>
      <c r="C101" s="13">
        <v>33.0</v>
      </c>
      <c r="D101" s="12" t="s">
        <v>218</v>
      </c>
      <c r="E101" s="12" t="s">
        <v>219</v>
      </c>
      <c r="F101" s="13">
        <v>3.0</v>
      </c>
      <c r="G101" s="13">
        <v>0.0</v>
      </c>
      <c r="H101" s="13">
        <v>17.0</v>
      </c>
      <c r="I101" s="13" t="s">
        <v>41</v>
      </c>
      <c r="J101" s="13" t="s">
        <v>46</v>
      </c>
      <c r="K101" s="13" t="s">
        <v>52</v>
      </c>
      <c r="L101" s="13"/>
    </row>
    <row r="102">
      <c r="A102" s="13">
        <v>100.0</v>
      </c>
      <c r="B102" s="13">
        <v>861.0</v>
      </c>
      <c r="C102" s="13">
        <v>39.0</v>
      </c>
      <c r="D102" s="12" t="s">
        <v>220</v>
      </c>
      <c r="E102" s="12" t="s">
        <v>221</v>
      </c>
      <c r="F102" s="13">
        <v>4.0</v>
      </c>
      <c r="G102" s="13">
        <v>1.0</v>
      </c>
      <c r="H102" s="13">
        <v>0.0</v>
      </c>
      <c r="I102" s="13" t="s">
        <v>41</v>
      </c>
      <c r="J102" s="13" t="s">
        <v>46</v>
      </c>
      <c r="K102" s="13" t="s">
        <v>52</v>
      </c>
      <c r="L102" s="13"/>
    </row>
    <row r="103">
      <c r="A103" s="13">
        <v>101.0</v>
      </c>
      <c r="B103" s="13">
        <v>863.0</v>
      </c>
      <c r="C103" s="13">
        <v>40.0</v>
      </c>
      <c r="D103" s="12" t="s">
        <v>222</v>
      </c>
      <c r="E103" s="12" t="s">
        <v>223</v>
      </c>
      <c r="F103" s="13">
        <v>4.0</v>
      </c>
      <c r="G103" s="13">
        <v>1.0</v>
      </c>
      <c r="H103" s="13">
        <v>5.0</v>
      </c>
      <c r="I103" s="13" t="s">
        <v>35</v>
      </c>
      <c r="J103" s="13" t="s">
        <v>46</v>
      </c>
      <c r="K103" s="13" t="s">
        <v>52</v>
      </c>
      <c r="L103" s="13"/>
    </row>
    <row r="104">
      <c r="A104" s="13">
        <v>102.0</v>
      </c>
      <c r="B104" s="13">
        <v>822.0</v>
      </c>
      <c r="C104" s="13">
        <v>69.0</v>
      </c>
      <c r="D104" s="12" t="s">
        <v>224</v>
      </c>
      <c r="E104" s="12" t="s">
        <v>225</v>
      </c>
      <c r="F104" s="13">
        <v>5.0</v>
      </c>
      <c r="G104" s="13">
        <v>1.0</v>
      </c>
      <c r="H104" s="13">
        <v>2.0</v>
      </c>
      <c r="I104" s="13" t="s">
        <v>35</v>
      </c>
      <c r="J104" s="13" t="s">
        <v>46</v>
      </c>
      <c r="K104" s="13" t="s">
        <v>47</v>
      </c>
      <c r="L104" s="13"/>
    </row>
    <row r="105">
      <c r="A105" s="13">
        <v>103.0</v>
      </c>
      <c r="B105" s="13">
        <v>822.0</v>
      </c>
      <c r="C105" s="13">
        <v>23.0</v>
      </c>
      <c r="D105" s="12" t="s">
        <v>226</v>
      </c>
      <c r="E105" s="12" t="s">
        <v>227</v>
      </c>
      <c r="F105" s="13">
        <v>2.0</v>
      </c>
      <c r="G105" s="13">
        <v>0.0</v>
      </c>
      <c r="H105" s="13">
        <v>9.0</v>
      </c>
      <c r="I105" s="13" t="s">
        <v>35</v>
      </c>
      <c r="J105" s="13" t="s">
        <v>46</v>
      </c>
      <c r="K105" s="13" t="s">
        <v>47</v>
      </c>
      <c r="L105" s="13"/>
    </row>
    <row r="106">
      <c r="A106" s="13">
        <v>104.0</v>
      </c>
      <c r="B106" s="13">
        <v>863.0</v>
      </c>
      <c r="C106" s="13">
        <v>51.0</v>
      </c>
      <c r="D106" s="12"/>
      <c r="E106" s="12" t="s">
        <v>228</v>
      </c>
      <c r="F106" s="13">
        <v>2.0</v>
      </c>
      <c r="G106" s="13">
        <v>0.0</v>
      </c>
      <c r="H106" s="13">
        <v>0.0</v>
      </c>
      <c r="I106" s="13" t="s">
        <v>35</v>
      </c>
      <c r="J106" s="13" t="s">
        <v>46</v>
      </c>
      <c r="K106" s="13" t="s">
        <v>52</v>
      </c>
      <c r="L106" s="13"/>
    </row>
    <row r="107">
      <c r="A107" s="13">
        <v>105.0</v>
      </c>
      <c r="B107" s="13">
        <v>836.0</v>
      </c>
      <c r="C107" s="13">
        <v>66.0</v>
      </c>
      <c r="D107" s="12" t="s">
        <v>229</v>
      </c>
      <c r="E107" s="12" t="s">
        <v>230</v>
      </c>
      <c r="F107" s="13">
        <v>5.0</v>
      </c>
      <c r="G107" s="13">
        <v>1.0</v>
      </c>
      <c r="H107" s="13">
        <v>0.0</v>
      </c>
      <c r="I107" s="13" t="s">
        <v>35</v>
      </c>
      <c r="J107" s="13" t="s">
        <v>46</v>
      </c>
      <c r="K107" s="13" t="s">
        <v>47</v>
      </c>
      <c r="L107" s="13"/>
    </row>
    <row r="108">
      <c r="A108" s="13">
        <v>106.0</v>
      </c>
      <c r="B108" s="13">
        <v>836.0</v>
      </c>
      <c r="C108" s="13">
        <v>47.0</v>
      </c>
      <c r="D108" s="12" t="s">
        <v>231</v>
      </c>
      <c r="E108" s="12" t="s">
        <v>232</v>
      </c>
      <c r="F108" s="13">
        <v>4.0</v>
      </c>
      <c r="G108" s="13">
        <v>1.0</v>
      </c>
      <c r="H108" s="13">
        <v>11.0</v>
      </c>
      <c r="I108" s="13" t="s">
        <v>35</v>
      </c>
      <c r="J108" s="13" t="s">
        <v>46</v>
      </c>
      <c r="K108" s="13" t="s">
        <v>47</v>
      </c>
      <c r="L108" s="13"/>
    </row>
    <row r="109">
      <c r="A109" s="13">
        <v>107.0</v>
      </c>
      <c r="B109" s="13">
        <v>836.0</v>
      </c>
      <c r="C109" s="13">
        <v>66.0</v>
      </c>
      <c r="D109" s="12" t="s">
        <v>233</v>
      </c>
      <c r="E109" s="12" t="s">
        <v>234</v>
      </c>
      <c r="F109" s="13">
        <v>4.0</v>
      </c>
      <c r="G109" s="13">
        <v>1.0</v>
      </c>
      <c r="H109" s="13">
        <v>0.0</v>
      </c>
      <c r="I109" s="13" t="s">
        <v>35</v>
      </c>
      <c r="J109" s="13" t="s">
        <v>46</v>
      </c>
      <c r="K109" s="13" t="s">
        <v>47</v>
      </c>
      <c r="L109" s="13"/>
    </row>
    <row r="110">
      <c r="A110" s="13">
        <v>108.0</v>
      </c>
      <c r="B110" s="13">
        <v>836.0</v>
      </c>
      <c r="C110" s="13">
        <v>23.0</v>
      </c>
      <c r="D110" s="12" t="s">
        <v>235</v>
      </c>
      <c r="E110" s="12" t="s">
        <v>236</v>
      </c>
      <c r="F110" s="13">
        <v>5.0</v>
      </c>
      <c r="G110" s="13">
        <v>1.0</v>
      </c>
      <c r="H110" s="13">
        <v>3.0</v>
      </c>
      <c r="I110" s="13" t="s">
        <v>35</v>
      </c>
      <c r="J110" s="13" t="s">
        <v>46</v>
      </c>
      <c r="K110" s="13" t="s">
        <v>47</v>
      </c>
      <c r="L110" s="13"/>
    </row>
    <row r="111">
      <c r="A111" s="13">
        <v>109.0</v>
      </c>
      <c r="B111" s="13">
        <v>1081.0</v>
      </c>
      <c r="C111" s="13">
        <v>47.0</v>
      </c>
      <c r="D111" s="12"/>
      <c r="E111" s="12" t="s">
        <v>237</v>
      </c>
      <c r="F111" s="13">
        <v>5.0</v>
      </c>
      <c r="G111" s="13">
        <v>1.0</v>
      </c>
      <c r="H111" s="13">
        <v>0.0</v>
      </c>
      <c r="I111" s="13" t="s">
        <v>35</v>
      </c>
      <c r="J111" s="13" t="s">
        <v>36</v>
      </c>
      <c r="K111" s="13" t="s">
        <v>36</v>
      </c>
      <c r="L111" s="13"/>
    </row>
    <row r="112">
      <c r="A112" s="13">
        <v>110.0</v>
      </c>
      <c r="B112" s="13">
        <v>861.0</v>
      </c>
      <c r="C112" s="13">
        <v>44.0</v>
      </c>
      <c r="D112" s="12" t="s">
        <v>238</v>
      </c>
      <c r="E112" s="12" t="s">
        <v>239</v>
      </c>
      <c r="F112" s="13">
        <v>1.0</v>
      </c>
      <c r="G112" s="13">
        <v>0.0</v>
      </c>
      <c r="H112" s="13">
        <v>11.0</v>
      </c>
      <c r="I112" s="13" t="s">
        <v>41</v>
      </c>
      <c r="J112" s="13" t="s">
        <v>46</v>
      </c>
      <c r="K112" s="13" t="s">
        <v>52</v>
      </c>
      <c r="L112" s="13"/>
    </row>
    <row r="113">
      <c r="A113" s="13">
        <v>111.0</v>
      </c>
      <c r="B113" s="13">
        <v>1081.0</v>
      </c>
      <c r="C113" s="13">
        <v>44.0</v>
      </c>
      <c r="D113" s="12" t="s">
        <v>240</v>
      </c>
      <c r="E113" s="12" t="s">
        <v>241</v>
      </c>
      <c r="F113" s="13">
        <v>3.0</v>
      </c>
      <c r="G113" s="13">
        <v>1.0</v>
      </c>
      <c r="H113" s="13">
        <v>4.0</v>
      </c>
      <c r="I113" s="13" t="s">
        <v>35</v>
      </c>
      <c r="J113" s="13" t="s">
        <v>36</v>
      </c>
      <c r="K113" s="13" t="s">
        <v>36</v>
      </c>
      <c r="L113" s="13"/>
    </row>
    <row r="114">
      <c r="A114" s="13">
        <v>112.0</v>
      </c>
      <c r="B114" s="13">
        <v>836.0</v>
      </c>
      <c r="C114" s="13">
        <v>50.0</v>
      </c>
      <c r="D114" s="12" t="s">
        <v>242</v>
      </c>
      <c r="E114" s="12" t="s">
        <v>243</v>
      </c>
      <c r="F114" s="13">
        <v>5.0</v>
      </c>
      <c r="G114" s="13">
        <v>1.0</v>
      </c>
      <c r="H114" s="13">
        <v>24.0</v>
      </c>
      <c r="I114" s="13" t="s">
        <v>35</v>
      </c>
      <c r="J114" s="13" t="s">
        <v>46</v>
      </c>
      <c r="K114" s="13" t="s">
        <v>47</v>
      </c>
      <c r="L114" s="13"/>
    </row>
    <row r="115">
      <c r="A115" s="13">
        <v>113.0</v>
      </c>
      <c r="B115" s="13">
        <v>1081.0</v>
      </c>
      <c r="C115" s="13">
        <v>61.0</v>
      </c>
      <c r="D115" s="12" t="s">
        <v>244</v>
      </c>
      <c r="E115" s="12" t="s">
        <v>245</v>
      </c>
      <c r="F115" s="13">
        <v>5.0</v>
      </c>
      <c r="G115" s="13">
        <v>1.0</v>
      </c>
      <c r="H115" s="13">
        <v>3.0</v>
      </c>
      <c r="I115" s="13" t="s">
        <v>35</v>
      </c>
      <c r="J115" s="13" t="s">
        <v>36</v>
      </c>
      <c r="K115" s="13" t="s">
        <v>36</v>
      </c>
      <c r="L115" s="13"/>
    </row>
    <row r="116">
      <c r="A116" s="13">
        <v>114.0</v>
      </c>
      <c r="B116" s="13">
        <v>1082.0</v>
      </c>
      <c r="C116" s="13">
        <v>32.0</v>
      </c>
      <c r="D116" s="12" t="s">
        <v>246</v>
      </c>
      <c r="E116" s="12" t="s">
        <v>247</v>
      </c>
      <c r="F116" s="13">
        <v>2.0</v>
      </c>
      <c r="G116" s="13">
        <v>0.0</v>
      </c>
      <c r="H116" s="13">
        <v>0.0</v>
      </c>
      <c r="I116" s="13" t="s">
        <v>35</v>
      </c>
      <c r="J116" s="13" t="s">
        <v>36</v>
      </c>
      <c r="K116" s="13" t="s">
        <v>36</v>
      </c>
      <c r="L116" s="13"/>
    </row>
    <row r="117">
      <c r="A117" s="13">
        <v>115.0</v>
      </c>
      <c r="B117" s="13">
        <v>863.0</v>
      </c>
      <c r="C117" s="13">
        <v>52.0</v>
      </c>
      <c r="D117" s="12" t="s">
        <v>248</v>
      </c>
      <c r="E117" s="12" t="s">
        <v>249</v>
      </c>
      <c r="F117" s="13">
        <v>4.0</v>
      </c>
      <c r="G117" s="13">
        <v>1.0</v>
      </c>
      <c r="H117" s="13">
        <v>0.0</v>
      </c>
      <c r="I117" s="13" t="s">
        <v>35</v>
      </c>
      <c r="J117" s="13" t="s">
        <v>46</v>
      </c>
      <c r="K117" s="13" t="s">
        <v>52</v>
      </c>
      <c r="L117" s="13"/>
    </row>
    <row r="118">
      <c r="A118" s="13">
        <v>116.0</v>
      </c>
      <c r="B118" s="13">
        <v>1072.0</v>
      </c>
      <c r="C118" s="13">
        <v>51.0</v>
      </c>
      <c r="D118" s="12" t="s">
        <v>250</v>
      </c>
      <c r="E118" s="12" t="s">
        <v>251</v>
      </c>
      <c r="F118" s="13">
        <v>4.0</v>
      </c>
      <c r="G118" s="13">
        <v>1.0</v>
      </c>
      <c r="H118" s="13">
        <v>1.0</v>
      </c>
      <c r="I118" s="13" t="s">
        <v>35</v>
      </c>
      <c r="J118" s="13" t="s">
        <v>36</v>
      </c>
      <c r="K118" s="13" t="s">
        <v>36</v>
      </c>
      <c r="L118" s="13"/>
    </row>
    <row r="119">
      <c r="A119" s="13">
        <v>117.0</v>
      </c>
      <c r="B119" s="13">
        <v>1078.0</v>
      </c>
      <c r="C119" s="13">
        <v>32.0</v>
      </c>
      <c r="D119" s="12"/>
      <c r="E119" s="12" t="s">
        <v>252</v>
      </c>
      <c r="F119" s="13">
        <v>5.0</v>
      </c>
      <c r="G119" s="13">
        <v>1.0</v>
      </c>
      <c r="H119" s="13">
        <v>2.0</v>
      </c>
      <c r="I119" s="13" t="s">
        <v>41</v>
      </c>
      <c r="J119" s="13" t="s">
        <v>36</v>
      </c>
      <c r="K119" s="13" t="s">
        <v>36</v>
      </c>
      <c r="L119" s="13"/>
    </row>
    <row r="120">
      <c r="A120" s="13">
        <v>118.0</v>
      </c>
      <c r="B120" s="13">
        <v>850.0</v>
      </c>
      <c r="C120" s="13">
        <v>37.0</v>
      </c>
      <c r="D120" s="12" t="s">
        <v>253</v>
      </c>
      <c r="E120" s="12" t="s">
        <v>254</v>
      </c>
      <c r="F120" s="13">
        <v>2.0</v>
      </c>
      <c r="G120" s="13">
        <v>0.0</v>
      </c>
      <c r="H120" s="13">
        <v>0.0</v>
      </c>
      <c r="I120" s="13" t="s">
        <v>35</v>
      </c>
      <c r="J120" s="13" t="s">
        <v>46</v>
      </c>
      <c r="K120" s="13" t="s">
        <v>47</v>
      </c>
      <c r="L120" s="13"/>
    </row>
    <row r="121">
      <c r="A121" s="13">
        <v>119.0</v>
      </c>
      <c r="B121" s="13">
        <v>836.0</v>
      </c>
      <c r="C121" s="13">
        <v>54.0</v>
      </c>
      <c r="D121" s="12" t="s">
        <v>255</v>
      </c>
      <c r="E121" s="12" t="s">
        <v>256</v>
      </c>
      <c r="F121" s="13">
        <v>5.0</v>
      </c>
      <c r="G121" s="13">
        <v>1.0</v>
      </c>
      <c r="H121" s="13">
        <v>4.0</v>
      </c>
      <c r="I121" s="13" t="s">
        <v>35</v>
      </c>
      <c r="J121" s="13" t="s">
        <v>46</v>
      </c>
      <c r="K121" s="13" t="s">
        <v>47</v>
      </c>
      <c r="L121" s="13"/>
    </row>
    <row r="122">
      <c r="A122" s="13">
        <v>120.0</v>
      </c>
      <c r="B122" s="13">
        <v>861.0</v>
      </c>
      <c r="C122" s="13">
        <v>33.0</v>
      </c>
      <c r="D122" s="12" t="s">
        <v>257</v>
      </c>
      <c r="E122" s="12" t="s">
        <v>258</v>
      </c>
      <c r="F122" s="13">
        <v>5.0</v>
      </c>
      <c r="G122" s="13">
        <v>1.0</v>
      </c>
      <c r="H122" s="13">
        <v>0.0</v>
      </c>
      <c r="I122" s="13" t="s">
        <v>41</v>
      </c>
      <c r="J122" s="13" t="s">
        <v>46</v>
      </c>
      <c r="K122" s="13" t="s">
        <v>52</v>
      </c>
      <c r="L122" s="13"/>
    </row>
    <row r="123">
      <c r="A123" s="13">
        <v>121.0</v>
      </c>
      <c r="B123" s="13">
        <v>966.0</v>
      </c>
      <c r="C123" s="13">
        <v>63.0</v>
      </c>
      <c r="D123" s="12"/>
      <c r="E123" s="12" t="s">
        <v>259</v>
      </c>
      <c r="F123" s="13">
        <v>5.0</v>
      </c>
      <c r="G123" s="13">
        <v>1.0</v>
      </c>
      <c r="H123" s="13">
        <v>0.0</v>
      </c>
      <c r="I123" s="13" t="s">
        <v>35</v>
      </c>
      <c r="J123" s="13" t="s">
        <v>76</v>
      </c>
      <c r="K123" s="13" t="s">
        <v>76</v>
      </c>
      <c r="L123" s="13"/>
    </row>
    <row r="124">
      <c r="A124" s="13">
        <v>122.0</v>
      </c>
      <c r="B124" s="13">
        <v>1196.0</v>
      </c>
      <c r="C124" s="13">
        <v>29.0</v>
      </c>
      <c r="D124" s="12"/>
      <c r="E124" s="12" t="s">
        <v>260</v>
      </c>
      <c r="F124" s="13">
        <v>5.0</v>
      </c>
      <c r="G124" s="13">
        <v>1.0</v>
      </c>
      <c r="H124" s="13">
        <v>0.0</v>
      </c>
      <c r="I124" s="13" t="s">
        <v>41</v>
      </c>
      <c r="J124" s="13" t="s">
        <v>36</v>
      </c>
      <c r="K124" s="13" t="s">
        <v>36</v>
      </c>
      <c r="L124" s="13"/>
    </row>
    <row r="125">
      <c r="A125" s="13">
        <v>123.0</v>
      </c>
      <c r="B125" s="13">
        <v>836.0</v>
      </c>
      <c r="C125" s="13">
        <v>24.0</v>
      </c>
      <c r="D125" s="12" t="s">
        <v>261</v>
      </c>
      <c r="E125" s="12" t="s">
        <v>262</v>
      </c>
      <c r="F125" s="13">
        <v>5.0</v>
      </c>
      <c r="G125" s="13">
        <v>1.0</v>
      </c>
      <c r="H125" s="13">
        <v>0.0</v>
      </c>
      <c r="I125" s="13" t="s">
        <v>35</v>
      </c>
      <c r="J125" s="13" t="s">
        <v>46</v>
      </c>
      <c r="K125" s="13" t="s">
        <v>47</v>
      </c>
      <c r="L125" s="13"/>
    </row>
    <row r="126">
      <c r="A126" s="13">
        <v>124.0</v>
      </c>
      <c r="B126" s="13">
        <v>923.0</v>
      </c>
      <c r="C126" s="13">
        <v>50.0</v>
      </c>
      <c r="D126" s="12" t="s">
        <v>263</v>
      </c>
      <c r="E126" s="12" t="s">
        <v>264</v>
      </c>
      <c r="F126" s="13">
        <v>3.0</v>
      </c>
      <c r="G126" s="13">
        <v>0.0</v>
      </c>
      <c r="H126" s="13">
        <v>2.0</v>
      </c>
      <c r="I126" s="13" t="s">
        <v>35</v>
      </c>
      <c r="J126" s="13" t="s">
        <v>46</v>
      </c>
      <c r="K126" s="13" t="s">
        <v>95</v>
      </c>
      <c r="L126" s="13"/>
    </row>
    <row r="127">
      <c r="A127" s="13">
        <v>125.0</v>
      </c>
      <c r="B127" s="13">
        <v>1072.0</v>
      </c>
      <c r="C127" s="13">
        <v>34.0</v>
      </c>
      <c r="D127" s="12" t="s">
        <v>265</v>
      </c>
      <c r="E127" s="12" t="s">
        <v>266</v>
      </c>
      <c r="F127" s="13">
        <v>3.0</v>
      </c>
      <c r="G127" s="13">
        <v>1.0</v>
      </c>
      <c r="H127" s="13">
        <v>1.0</v>
      </c>
      <c r="I127" s="13" t="s">
        <v>35</v>
      </c>
      <c r="J127" s="13" t="s">
        <v>36</v>
      </c>
      <c r="K127" s="13" t="s">
        <v>36</v>
      </c>
      <c r="L127" s="13"/>
    </row>
    <row r="128">
      <c r="A128" s="13">
        <v>126.0</v>
      </c>
      <c r="B128" s="13">
        <v>1133.0</v>
      </c>
      <c r="C128" s="13">
        <v>71.0</v>
      </c>
      <c r="D128" s="12"/>
      <c r="E128" s="12" t="s">
        <v>267</v>
      </c>
      <c r="F128" s="13">
        <v>4.0</v>
      </c>
      <c r="G128" s="13">
        <v>1.0</v>
      </c>
      <c r="H128" s="13">
        <v>0.0</v>
      </c>
      <c r="I128" s="13" t="s">
        <v>35</v>
      </c>
      <c r="J128" s="13" t="s">
        <v>76</v>
      </c>
      <c r="K128" s="13" t="s">
        <v>77</v>
      </c>
      <c r="L128" s="13"/>
    </row>
    <row r="129">
      <c r="A129" s="13">
        <v>127.0</v>
      </c>
      <c r="B129" s="13">
        <v>1133.0</v>
      </c>
      <c r="C129" s="13">
        <v>30.0</v>
      </c>
      <c r="D129" s="12"/>
      <c r="E129" s="12" t="s">
        <v>268</v>
      </c>
      <c r="F129" s="13">
        <v>5.0</v>
      </c>
      <c r="G129" s="13">
        <v>1.0</v>
      </c>
      <c r="H129" s="13">
        <v>0.0</v>
      </c>
      <c r="I129" s="13" t="s">
        <v>35</v>
      </c>
      <c r="J129" s="13" t="s">
        <v>76</v>
      </c>
      <c r="K129" s="13" t="s">
        <v>77</v>
      </c>
      <c r="L129" s="13"/>
    </row>
    <row r="130">
      <c r="A130" s="13">
        <v>128.0</v>
      </c>
      <c r="B130" s="13">
        <v>966.0</v>
      </c>
      <c r="C130" s="13">
        <v>52.0</v>
      </c>
      <c r="D130" s="12" t="s">
        <v>269</v>
      </c>
      <c r="E130" s="12" t="s">
        <v>270</v>
      </c>
      <c r="F130" s="13">
        <v>4.0</v>
      </c>
      <c r="G130" s="13">
        <v>1.0</v>
      </c>
      <c r="H130" s="13">
        <v>0.0</v>
      </c>
      <c r="I130" s="13" t="s">
        <v>35</v>
      </c>
      <c r="J130" s="13" t="s">
        <v>76</v>
      </c>
      <c r="K130" s="13" t="s">
        <v>76</v>
      </c>
      <c r="L130" s="13"/>
    </row>
    <row r="131">
      <c r="A131" s="13">
        <v>129.0</v>
      </c>
      <c r="B131" s="13">
        <v>863.0</v>
      </c>
      <c r="C131" s="13">
        <v>28.0</v>
      </c>
      <c r="D131" s="12" t="s">
        <v>271</v>
      </c>
      <c r="E131" s="12" t="s">
        <v>272</v>
      </c>
      <c r="F131" s="13">
        <v>5.0</v>
      </c>
      <c r="G131" s="13">
        <v>1.0</v>
      </c>
      <c r="H131" s="13">
        <v>0.0</v>
      </c>
      <c r="I131" s="13" t="s">
        <v>35</v>
      </c>
      <c r="J131" s="13" t="s">
        <v>46</v>
      </c>
      <c r="K131" s="13" t="s">
        <v>52</v>
      </c>
      <c r="L131" s="13"/>
    </row>
    <row r="132">
      <c r="A132" s="13">
        <v>130.0</v>
      </c>
      <c r="B132" s="13">
        <v>845.0</v>
      </c>
      <c r="C132" s="13">
        <v>62.0</v>
      </c>
      <c r="D132" s="12"/>
      <c r="E132" s="12" t="s">
        <v>273</v>
      </c>
      <c r="F132" s="13">
        <v>4.0</v>
      </c>
      <c r="G132" s="13">
        <v>1.0</v>
      </c>
      <c r="H132" s="13">
        <v>3.0</v>
      </c>
      <c r="I132" s="13" t="s">
        <v>41</v>
      </c>
      <c r="J132" s="13" t="s">
        <v>46</v>
      </c>
      <c r="K132" s="13" t="s">
        <v>47</v>
      </c>
      <c r="L132" s="13"/>
    </row>
    <row r="133">
      <c r="A133" s="13">
        <v>131.0</v>
      </c>
      <c r="B133" s="13">
        <v>1081.0</v>
      </c>
      <c r="C133" s="13">
        <v>39.0</v>
      </c>
      <c r="D133" s="12" t="s">
        <v>274</v>
      </c>
      <c r="E133" s="12" t="s">
        <v>275</v>
      </c>
      <c r="F133" s="13">
        <v>3.0</v>
      </c>
      <c r="G133" s="13">
        <v>1.0</v>
      </c>
      <c r="H133" s="13">
        <v>0.0</v>
      </c>
      <c r="I133" s="13" t="s">
        <v>35</v>
      </c>
      <c r="J133" s="13" t="s">
        <v>36</v>
      </c>
      <c r="K133" s="13" t="s">
        <v>36</v>
      </c>
      <c r="L133" s="13"/>
    </row>
    <row r="134">
      <c r="A134" s="13">
        <v>132.0</v>
      </c>
      <c r="B134" s="13">
        <v>861.0</v>
      </c>
      <c r="C134" s="13">
        <v>46.0</v>
      </c>
      <c r="D134" s="12" t="s">
        <v>218</v>
      </c>
      <c r="E134" s="12" t="s">
        <v>276</v>
      </c>
      <c r="F134" s="13">
        <v>4.0</v>
      </c>
      <c r="G134" s="13">
        <v>1.0</v>
      </c>
      <c r="H134" s="13">
        <v>1.0</v>
      </c>
      <c r="I134" s="13" t="s">
        <v>41</v>
      </c>
      <c r="J134" s="13" t="s">
        <v>46</v>
      </c>
      <c r="K134" s="13" t="s">
        <v>52</v>
      </c>
      <c r="L134" s="13"/>
    </row>
    <row r="135">
      <c r="A135" s="13">
        <v>133.0</v>
      </c>
      <c r="B135" s="13">
        <v>966.0</v>
      </c>
      <c r="C135" s="13">
        <v>36.0</v>
      </c>
      <c r="D135" s="12" t="s">
        <v>277</v>
      </c>
      <c r="E135" s="12" t="s">
        <v>278</v>
      </c>
      <c r="F135" s="13">
        <v>5.0</v>
      </c>
      <c r="G135" s="13">
        <v>1.0</v>
      </c>
      <c r="H135" s="13">
        <v>0.0</v>
      </c>
      <c r="I135" s="13" t="s">
        <v>35</v>
      </c>
      <c r="J135" s="13" t="s">
        <v>76</v>
      </c>
      <c r="K135" s="13" t="s">
        <v>76</v>
      </c>
      <c r="L135" s="13"/>
    </row>
    <row r="136">
      <c r="A136" s="13">
        <v>134.0</v>
      </c>
      <c r="B136" s="13">
        <v>845.0</v>
      </c>
      <c r="C136" s="13">
        <v>65.0</v>
      </c>
      <c r="D136" s="12" t="s">
        <v>279</v>
      </c>
      <c r="E136" s="12" t="s">
        <v>280</v>
      </c>
      <c r="F136" s="13">
        <v>5.0</v>
      </c>
      <c r="G136" s="13">
        <v>1.0</v>
      </c>
      <c r="H136" s="13">
        <v>12.0</v>
      </c>
      <c r="I136" s="13" t="s">
        <v>41</v>
      </c>
      <c r="J136" s="13" t="s">
        <v>46</v>
      </c>
      <c r="K136" s="13" t="s">
        <v>47</v>
      </c>
      <c r="L136" s="13"/>
    </row>
    <row r="137">
      <c r="A137" s="13">
        <v>135.0</v>
      </c>
      <c r="B137" s="13">
        <v>861.0</v>
      </c>
      <c r="C137" s="13">
        <v>35.0</v>
      </c>
      <c r="D137" s="12"/>
      <c r="E137" s="12"/>
      <c r="F137" s="13">
        <v>4.0</v>
      </c>
      <c r="G137" s="13">
        <v>1.0</v>
      </c>
      <c r="H137" s="13">
        <v>0.0</v>
      </c>
      <c r="I137" s="13" t="s">
        <v>41</v>
      </c>
      <c r="J137" s="13" t="s">
        <v>46</v>
      </c>
      <c r="K137" s="13" t="s">
        <v>52</v>
      </c>
      <c r="L137" s="13"/>
    </row>
    <row r="138">
      <c r="A138" s="13">
        <v>136.0</v>
      </c>
      <c r="B138" s="13">
        <v>966.0</v>
      </c>
      <c r="C138" s="13">
        <v>31.0</v>
      </c>
      <c r="D138" s="12" t="s">
        <v>281</v>
      </c>
      <c r="E138" s="12" t="s">
        <v>282</v>
      </c>
      <c r="F138" s="13">
        <v>4.0</v>
      </c>
      <c r="G138" s="13">
        <v>1.0</v>
      </c>
      <c r="H138" s="13">
        <v>0.0</v>
      </c>
      <c r="I138" s="13" t="s">
        <v>35</v>
      </c>
      <c r="J138" s="13" t="s">
        <v>76</v>
      </c>
      <c r="K138" s="13" t="s">
        <v>76</v>
      </c>
      <c r="L138" s="13"/>
    </row>
    <row r="139">
      <c r="A139" s="13">
        <v>137.0</v>
      </c>
      <c r="B139" s="13">
        <v>836.0</v>
      </c>
      <c r="C139" s="13">
        <v>52.0</v>
      </c>
      <c r="D139" s="12" t="s">
        <v>283</v>
      </c>
      <c r="E139" s="12" t="s">
        <v>284</v>
      </c>
      <c r="F139" s="13">
        <v>4.0</v>
      </c>
      <c r="G139" s="13">
        <v>1.0</v>
      </c>
      <c r="H139" s="13">
        <v>0.0</v>
      </c>
      <c r="I139" s="13" t="s">
        <v>35</v>
      </c>
      <c r="J139" s="13" t="s">
        <v>46</v>
      </c>
      <c r="K139" s="13" t="s">
        <v>47</v>
      </c>
      <c r="L139" s="13"/>
    </row>
    <row r="140">
      <c r="A140" s="13">
        <v>138.0</v>
      </c>
      <c r="B140" s="13">
        <v>126.0</v>
      </c>
      <c r="C140" s="13">
        <v>34.0</v>
      </c>
      <c r="D140" s="12" t="s">
        <v>285</v>
      </c>
      <c r="E140" s="12" t="s">
        <v>286</v>
      </c>
      <c r="F140" s="13">
        <v>4.0</v>
      </c>
      <c r="G140" s="13">
        <v>1.0</v>
      </c>
      <c r="H140" s="13">
        <v>1.0</v>
      </c>
      <c r="I140" s="13" t="s">
        <v>31</v>
      </c>
      <c r="J140" s="13" t="s">
        <v>32</v>
      </c>
      <c r="K140" s="13" t="s">
        <v>92</v>
      </c>
      <c r="L140" s="13"/>
    </row>
    <row r="141">
      <c r="A141" s="13">
        <v>139.0</v>
      </c>
      <c r="B141" s="13">
        <v>1008.0</v>
      </c>
      <c r="C141" s="13">
        <v>31.0</v>
      </c>
      <c r="D141" s="12" t="s">
        <v>287</v>
      </c>
      <c r="E141" s="12" t="s">
        <v>288</v>
      </c>
      <c r="F141" s="13">
        <v>5.0</v>
      </c>
      <c r="G141" s="13">
        <v>1.0</v>
      </c>
      <c r="H141" s="13">
        <v>1.0</v>
      </c>
      <c r="I141" s="13" t="s">
        <v>35</v>
      </c>
      <c r="J141" s="13" t="s">
        <v>42</v>
      </c>
      <c r="K141" s="13" t="s">
        <v>98</v>
      </c>
      <c r="L141" s="13"/>
    </row>
    <row r="142">
      <c r="A142" s="13">
        <v>140.0</v>
      </c>
      <c r="B142" s="13">
        <v>829.0</v>
      </c>
      <c r="C142" s="13">
        <v>36.0</v>
      </c>
      <c r="D142" s="12" t="s">
        <v>289</v>
      </c>
      <c r="E142" s="12" t="s">
        <v>290</v>
      </c>
      <c r="F142" s="13">
        <v>5.0</v>
      </c>
      <c r="G142" s="13">
        <v>1.0</v>
      </c>
      <c r="H142" s="13">
        <v>0.0</v>
      </c>
      <c r="I142" s="13" t="s">
        <v>35</v>
      </c>
      <c r="J142" s="13" t="s">
        <v>46</v>
      </c>
      <c r="K142" s="13" t="s">
        <v>47</v>
      </c>
      <c r="L142" s="13"/>
    </row>
    <row r="143">
      <c r="A143" s="13">
        <v>141.0</v>
      </c>
      <c r="B143" s="13">
        <v>828.0</v>
      </c>
      <c r="C143" s="13">
        <v>39.0</v>
      </c>
      <c r="D143" s="12"/>
      <c r="E143" s="12" t="s">
        <v>291</v>
      </c>
      <c r="F143" s="13">
        <v>4.0</v>
      </c>
      <c r="G143" s="13">
        <v>1.0</v>
      </c>
      <c r="H143" s="13">
        <v>2.0</v>
      </c>
      <c r="I143" s="13" t="s">
        <v>35</v>
      </c>
      <c r="J143" s="13" t="s">
        <v>46</v>
      </c>
      <c r="K143" s="13" t="s">
        <v>47</v>
      </c>
      <c r="L143" s="13"/>
    </row>
    <row r="144">
      <c r="A144" s="13">
        <v>142.0</v>
      </c>
      <c r="B144" s="13">
        <v>1126.0</v>
      </c>
      <c r="C144" s="13">
        <v>35.0</v>
      </c>
      <c r="D144" s="12"/>
      <c r="E144" s="12"/>
      <c r="F144" s="13">
        <v>5.0</v>
      </c>
      <c r="G144" s="13">
        <v>1.0</v>
      </c>
      <c r="H144" s="13">
        <v>0.0</v>
      </c>
      <c r="I144" s="13" t="s">
        <v>35</v>
      </c>
      <c r="J144" s="13" t="s">
        <v>76</v>
      </c>
      <c r="K144" s="13" t="s">
        <v>77</v>
      </c>
      <c r="L144" s="13"/>
    </row>
    <row r="145">
      <c r="A145" s="13">
        <v>143.0</v>
      </c>
      <c r="B145" s="13">
        <v>1008.0</v>
      </c>
      <c r="C145" s="13">
        <v>51.0</v>
      </c>
      <c r="D145" s="12" t="s">
        <v>292</v>
      </c>
      <c r="E145" s="12" t="s">
        <v>293</v>
      </c>
      <c r="F145" s="13">
        <v>5.0</v>
      </c>
      <c r="G145" s="13">
        <v>1.0</v>
      </c>
      <c r="H145" s="13">
        <v>0.0</v>
      </c>
      <c r="I145" s="13" t="s">
        <v>35</v>
      </c>
      <c r="J145" s="13" t="s">
        <v>42</v>
      </c>
      <c r="K145" s="13" t="s">
        <v>98</v>
      </c>
      <c r="L145" s="13"/>
    </row>
    <row r="146">
      <c r="A146" s="13">
        <v>144.0</v>
      </c>
      <c r="B146" s="13">
        <v>829.0</v>
      </c>
      <c r="C146" s="13">
        <v>39.0</v>
      </c>
      <c r="D146" s="12" t="s">
        <v>294</v>
      </c>
      <c r="E146" s="12" t="s">
        <v>295</v>
      </c>
      <c r="F146" s="13">
        <v>3.0</v>
      </c>
      <c r="G146" s="13">
        <v>0.0</v>
      </c>
      <c r="H146" s="13">
        <v>9.0</v>
      </c>
      <c r="I146" s="13" t="s">
        <v>35</v>
      </c>
      <c r="J146" s="13" t="s">
        <v>46</v>
      </c>
      <c r="K146" s="13" t="s">
        <v>47</v>
      </c>
      <c r="L146" s="13"/>
    </row>
    <row r="147">
      <c r="A147" s="13">
        <v>145.0</v>
      </c>
      <c r="B147" s="13">
        <v>828.0</v>
      </c>
      <c r="C147" s="13">
        <v>39.0</v>
      </c>
      <c r="D147" s="12" t="s">
        <v>296</v>
      </c>
      <c r="E147" s="12" t="s">
        <v>297</v>
      </c>
      <c r="F147" s="13">
        <v>3.0</v>
      </c>
      <c r="G147" s="13">
        <v>1.0</v>
      </c>
      <c r="H147" s="13">
        <v>2.0</v>
      </c>
      <c r="I147" s="13" t="s">
        <v>35</v>
      </c>
      <c r="J147" s="13" t="s">
        <v>46</v>
      </c>
      <c r="K147" s="13" t="s">
        <v>47</v>
      </c>
      <c r="L147" s="13"/>
    </row>
    <row r="148">
      <c r="A148" s="13">
        <v>146.0</v>
      </c>
      <c r="B148" s="13">
        <v>1008.0</v>
      </c>
      <c r="C148" s="13">
        <v>39.0</v>
      </c>
      <c r="D148" s="12" t="s">
        <v>298</v>
      </c>
      <c r="E148" s="12" t="s">
        <v>299</v>
      </c>
      <c r="F148" s="13">
        <v>5.0</v>
      </c>
      <c r="G148" s="13">
        <v>1.0</v>
      </c>
      <c r="H148" s="13">
        <v>0.0</v>
      </c>
      <c r="I148" s="13" t="s">
        <v>35</v>
      </c>
      <c r="J148" s="13" t="s">
        <v>42</v>
      </c>
      <c r="K148" s="13" t="s">
        <v>98</v>
      </c>
      <c r="L148" s="13"/>
    </row>
    <row r="149">
      <c r="A149" s="13">
        <v>147.0</v>
      </c>
      <c r="B149" s="13">
        <v>1011.0</v>
      </c>
      <c r="C149" s="13">
        <v>47.0</v>
      </c>
      <c r="D149" s="12" t="s">
        <v>300</v>
      </c>
      <c r="E149" s="12" t="s">
        <v>301</v>
      </c>
      <c r="F149" s="13">
        <v>5.0</v>
      </c>
      <c r="G149" s="13">
        <v>1.0</v>
      </c>
      <c r="H149" s="13">
        <v>1.0</v>
      </c>
      <c r="I149" s="13" t="s">
        <v>35</v>
      </c>
      <c r="J149" s="13" t="s">
        <v>42</v>
      </c>
      <c r="K149" s="13" t="s">
        <v>98</v>
      </c>
      <c r="L149" s="13"/>
    </row>
    <row r="150">
      <c r="A150" s="13">
        <v>148.0</v>
      </c>
      <c r="B150" s="13">
        <v>1008.0</v>
      </c>
      <c r="C150" s="13">
        <v>64.0</v>
      </c>
      <c r="D150" s="12" t="s">
        <v>302</v>
      </c>
      <c r="E150" s="12" t="s">
        <v>303</v>
      </c>
      <c r="F150" s="13">
        <v>5.0</v>
      </c>
      <c r="G150" s="13">
        <v>1.0</v>
      </c>
      <c r="H150" s="13">
        <v>0.0</v>
      </c>
      <c r="I150" s="13" t="s">
        <v>35</v>
      </c>
      <c r="J150" s="13" t="s">
        <v>42</v>
      </c>
      <c r="K150" s="13" t="s">
        <v>98</v>
      </c>
      <c r="L150" s="13"/>
    </row>
    <row r="151">
      <c r="A151" s="13">
        <v>149.0</v>
      </c>
      <c r="B151" s="13">
        <v>1008.0</v>
      </c>
      <c r="C151" s="13">
        <v>38.0</v>
      </c>
      <c r="D151" s="12" t="s">
        <v>304</v>
      </c>
      <c r="E151" s="12" t="s">
        <v>305</v>
      </c>
      <c r="F151" s="13">
        <v>5.0</v>
      </c>
      <c r="G151" s="13">
        <v>1.0</v>
      </c>
      <c r="H151" s="13">
        <v>2.0</v>
      </c>
      <c r="I151" s="13" t="s">
        <v>35</v>
      </c>
      <c r="J151" s="13" t="s">
        <v>42</v>
      </c>
      <c r="K151" s="13" t="s">
        <v>98</v>
      </c>
      <c r="L151" s="13"/>
    </row>
    <row r="152">
      <c r="A152" s="13">
        <v>150.0</v>
      </c>
      <c r="B152" s="13">
        <v>1008.0</v>
      </c>
      <c r="C152" s="13">
        <v>36.0</v>
      </c>
      <c r="D152" s="12" t="s">
        <v>306</v>
      </c>
      <c r="E152" s="12" t="s">
        <v>307</v>
      </c>
      <c r="F152" s="13">
        <v>5.0</v>
      </c>
      <c r="G152" s="13">
        <v>1.0</v>
      </c>
      <c r="H152" s="13">
        <v>1.0</v>
      </c>
      <c r="I152" s="13" t="s">
        <v>35</v>
      </c>
      <c r="J152" s="13" t="s">
        <v>42</v>
      </c>
      <c r="K152" s="13" t="s">
        <v>98</v>
      </c>
      <c r="L152" s="13"/>
    </row>
    <row r="153">
      <c r="A153" s="13">
        <v>151.0</v>
      </c>
      <c r="B153" s="13">
        <v>1008.0</v>
      </c>
      <c r="C153" s="13">
        <v>39.0</v>
      </c>
      <c r="D153" s="12" t="s">
        <v>233</v>
      </c>
      <c r="E153" s="12" t="s">
        <v>308</v>
      </c>
      <c r="F153" s="13">
        <v>4.0</v>
      </c>
      <c r="G153" s="13">
        <v>1.0</v>
      </c>
      <c r="H153" s="13">
        <v>0.0</v>
      </c>
      <c r="I153" s="13" t="s">
        <v>35</v>
      </c>
      <c r="J153" s="13" t="s">
        <v>42</v>
      </c>
      <c r="K153" s="13" t="s">
        <v>98</v>
      </c>
      <c r="L153" s="13"/>
    </row>
    <row r="154">
      <c r="A154" s="13">
        <v>152.0</v>
      </c>
      <c r="B154" s="13">
        <v>829.0</v>
      </c>
      <c r="C154" s="13">
        <v>53.0</v>
      </c>
      <c r="D154" s="12" t="s">
        <v>309</v>
      </c>
      <c r="E154" s="12" t="s">
        <v>310</v>
      </c>
      <c r="F154" s="13">
        <v>3.0</v>
      </c>
      <c r="G154" s="13">
        <v>0.0</v>
      </c>
      <c r="H154" s="13">
        <v>0.0</v>
      </c>
      <c r="I154" s="13" t="s">
        <v>35</v>
      </c>
      <c r="J154" s="13" t="s">
        <v>46</v>
      </c>
      <c r="K154" s="13" t="s">
        <v>47</v>
      </c>
      <c r="L154" s="13"/>
    </row>
    <row r="155">
      <c r="A155" s="13">
        <v>153.0</v>
      </c>
      <c r="B155" s="13">
        <v>829.0</v>
      </c>
      <c r="C155" s="13">
        <v>36.0</v>
      </c>
      <c r="D155" s="12" t="s">
        <v>311</v>
      </c>
      <c r="E155" s="12" t="s">
        <v>312</v>
      </c>
      <c r="F155" s="13">
        <v>3.0</v>
      </c>
      <c r="G155" s="13">
        <v>1.0</v>
      </c>
      <c r="H155" s="13">
        <v>1.0</v>
      </c>
      <c r="I155" s="13" t="s">
        <v>35</v>
      </c>
      <c r="J155" s="13" t="s">
        <v>46</v>
      </c>
      <c r="K155" s="13" t="s">
        <v>47</v>
      </c>
      <c r="L155" s="13"/>
    </row>
    <row r="156">
      <c r="A156" s="13">
        <v>154.0</v>
      </c>
      <c r="B156" s="13">
        <v>829.0</v>
      </c>
      <c r="C156" s="13">
        <v>44.0</v>
      </c>
      <c r="D156" s="12" t="s">
        <v>313</v>
      </c>
      <c r="E156" s="12" t="s">
        <v>314</v>
      </c>
      <c r="F156" s="13">
        <v>3.0</v>
      </c>
      <c r="G156" s="13">
        <v>1.0</v>
      </c>
      <c r="H156" s="13">
        <v>0.0</v>
      </c>
      <c r="I156" s="13" t="s">
        <v>41</v>
      </c>
      <c r="J156" s="13" t="s">
        <v>46</v>
      </c>
      <c r="K156" s="13" t="s">
        <v>47</v>
      </c>
      <c r="L156" s="13"/>
    </row>
    <row r="157">
      <c r="A157" s="13">
        <v>155.0</v>
      </c>
      <c r="B157" s="13">
        <v>829.0</v>
      </c>
      <c r="C157" s="13">
        <v>48.0</v>
      </c>
      <c r="D157" s="12" t="s">
        <v>315</v>
      </c>
      <c r="E157" s="12" t="s">
        <v>316</v>
      </c>
      <c r="F157" s="13">
        <v>5.0</v>
      </c>
      <c r="G157" s="13">
        <v>1.0</v>
      </c>
      <c r="H157" s="13">
        <v>0.0</v>
      </c>
      <c r="I157" s="13" t="s">
        <v>41</v>
      </c>
      <c r="J157" s="13" t="s">
        <v>46</v>
      </c>
      <c r="K157" s="13" t="s">
        <v>47</v>
      </c>
      <c r="L157" s="13"/>
    </row>
    <row r="158">
      <c r="A158" s="13">
        <v>156.0</v>
      </c>
      <c r="B158" s="13">
        <v>1008.0</v>
      </c>
      <c r="C158" s="13">
        <v>37.0</v>
      </c>
      <c r="D158" s="12"/>
      <c r="E158" s="12" t="s">
        <v>317</v>
      </c>
      <c r="F158" s="13">
        <v>5.0</v>
      </c>
      <c r="G158" s="13">
        <v>1.0</v>
      </c>
      <c r="H158" s="13">
        <v>1.0</v>
      </c>
      <c r="I158" s="13" t="s">
        <v>35</v>
      </c>
      <c r="J158" s="13" t="s">
        <v>42</v>
      </c>
      <c r="K158" s="13" t="s">
        <v>98</v>
      </c>
      <c r="L158" s="13"/>
    </row>
    <row r="159">
      <c r="A159" s="13">
        <v>157.0</v>
      </c>
      <c r="B159" s="13">
        <v>523.0</v>
      </c>
      <c r="C159" s="13">
        <v>43.0</v>
      </c>
      <c r="D159" s="12" t="s">
        <v>318</v>
      </c>
      <c r="E159" s="12" t="s">
        <v>319</v>
      </c>
      <c r="F159" s="13">
        <v>3.0</v>
      </c>
      <c r="G159" s="13">
        <v>0.0</v>
      </c>
      <c r="H159" s="13">
        <v>2.0</v>
      </c>
      <c r="I159" s="13" t="s">
        <v>31</v>
      </c>
      <c r="J159" s="13" t="s">
        <v>32</v>
      </c>
      <c r="K159" s="13" t="s">
        <v>320</v>
      </c>
      <c r="L159" s="13"/>
    </row>
    <row r="160">
      <c r="A160" s="13">
        <v>158.0</v>
      </c>
      <c r="B160" s="13">
        <v>829.0</v>
      </c>
      <c r="C160" s="13">
        <v>53.0</v>
      </c>
      <c r="D160" s="12"/>
      <c r="E160" s="12" t="s">
        <v>321</v>
      </c>
      <c r="F160" s="13">
        <v>4.0</v>
      </c>
      <c r="G160" s="13">
        <v>1.0</v>
      </c>
      <c r="H160" s="13">
        <v>7.0</v>
      </c>
      <c r="I160" s="13" t="s">
        <v>41</v>
      </c>
      <c r="J160" s="13" t="s">
        <v>46</v>
      </c>
      <c r="K160" s="13" t="s">
        <v>47</v>
      </c>
      <c r="L160" s="13"/>
    </row>
    <row r="161">
      <c r="A161" s="13">
        <v>159.0</v>
      </c>
      <c r="B161" s="13">
        <v>829.0</v>
      </c>
      <c r="C161" s="13">
        <v>33.0</v>
      </c>
      <c r="D161" s="12" t="s">
        <v>322</v>
      </c>
      <c r="E161" s="12" t="s">
        <v>323</v>
      </c>
      <c r="F161" s="13">
        <v>4.0</v>
      </c>
      <c r="G161" s="13">
        <v>1.0</v>
      </c>
      <c r="H161" s="13">
        <v>0.0</v>
      </c>
      <c r="I161" s="13" t="s">
        <v>41</v>
      </c>
      <c r="J161" s="13" t="s">
        <v>46</v>
      </c>
      <c r="K161" s="13" t="s">
        <v>47</v>
      </c>
      <c r="L161" s="13"/>
    </row>
    <row r="162">
      <c r="A162" s="13">
        <v>160.0</v>
      </c>
      <c r="B162" s="13">
        <v>1126.0</v>
      </c>
      <c r="C162" s="13">
        <v>39.0</v>
      </c>
      <c r="D162" s="12" t="s">
        <v>324</v>
      </c>
      <c r="E162" s="12" t="s">
        <v>325</v>
      </c>
      <c r="F162" s="13">
        <v>4.0</v>
      </c>
      <c r="G162" s="13">
        <v>1.0</v>
      </c>
      <c r="H162" s="13">
        <v>0.0</v>
      </c>
      <c r="I162" s="13" t="s">
        <v>35</v>
      </c>
      <c r="J162" s="13" t="s">
        <v>76</v>
      </c>
      <c r="K162" s="13" t="s">
        <v>77</v>
      </c>
      <c r="L162" s="13"/>
    </row>
    <row r="163">
      <c r="A163" s="13">
        <v>161.0</v>
      </c>
      <c r="B163" s="13">
        <v>829.0</v>
      </c>
      <c r="C163" s="13">
        <v>52.0</v>
      </c>
      <c r="D163" s="12" t="s">
        <v>326</v>
      </c>
      <c r="E163" s="12" t="s">
        <v>327</v>
      </c>
      <c r="F163" s="13">
        <v>1.0</v>
      </c>
      <c r="G163" s="13">
        <v>0.0</v>
      </c>
      <c r="H163" s="13">
        <v>8.0</v>
      </c>
      <c r="I163" s="13" t="s">
        <v>41</v>
      </c>
      <c r="J163" s="13" t="s">
        <v>46</v>
      </c>
      <c r="K163" s="13" t="s">
        <v>47</v>
      </c>
      <c r="L163" s="13"/>
    </row>
    <row r="164">
      <c r="A164" s="13">
        <v>162.0</v>
      </c>
      <c r="B164" s="13">
        <v>829.0</v>
      </c>
      <c r="C164" s="13">
        <v>64.0</v>
      </c>
      <c r="D164" s="12" t="s">
        <v>328</v>
      </c>
      <c r="E164" s="12" t="s">
        <v>329</v>
      </c>
      <c r="F164" s="13">
        <v>4.0</v>
      </c>
      <c r="G164" s="13">
        <v>1.0</v>
      </c>
      <c r="H164" s="13">
        <v>2.0</v>
      </c>
      <c r="I164" s="13" t="s">
        <v>41</v>
      </c>
      <c r="J164" s="13" t="s">
        <v>46</v>
      </c>
      <c r="K164" s="13" t="s">
        <v>47</v>
      </c>
      <c r="L164" s="13"/>
    </row>
    <row r="165">
      <c r="A165" s="13">
        <v>163.0</v>
      </c>
      <c r="B165" s="13">
        <v>1008.0</v>
      </c>
      <c r="C165" s="13">
        <v>52.0</v>
      </c>
      <c r="D165" s="12" t="s">
        <v>330</v>
      </c>
      <c r="E165" s="12" t="s">
        <v>331</v>
      </c>
      <c r="F165" s="13">
        <v>5.0</v>
      </c>
      <c r="G165" s="13">
        <v>1.0</v>
      </c>
      <c r="H165" s="13">
        <v>7.0</v>
      </c>
      <c r="I165" s="13" t="s">
        <v>35</v>
      </c>
      <c r="J165" s="13" t="s">
        <v>42</v>
      </c>
      <c r="K165" s="13" t="s">
        <v>98</v>
      </c>
      <c r="L165" s="13"/>
    </row>
    <row r="166">
      <c r="A166" s="13">
        <v>164.0</v>
      </c>
      <c r="B166" s="13">
        <v>1126.0</v>
      </c>
      <c r="C166" s="13">
        <v>42.0</v>
      </c>
      <c r="D166" s="12" t="s">
        <v>332</v>
      </c>
      <c r="E166" s="12" t="s">
        <v>333</v>
      </c>
      <c r="F166" s="13">
        <v>4.0</v>
      </c>
      <c r="G166" s="13">
        <v>1.0</v>
      </c>
      <c r="H166" s="13">
        <v>0.0</v>
      </c>
      <c r="I166" s="13" t="s">
        <v>35</v>
      </c>
      <c r="J166" s="13" t="s">
        <v>76</v>
      </c>
      <c r="K166" s="13" t="s">
        <v>77</v>
      </c>
      <c r="L166" s="13"/>
    </row>
    <row r="167">
      <c r="A167" s="13">
        <v>165.0</v>
      </c>
      <c r="B167" s="13">
        <v>829.0</v>
      </c>
      <c r="C167" s="13">
        <v>35.0</v>
      </c>
      <c r="D167" s="12"/>
      <c r="E167" s="12"/>
      <c r="F167" s="13">
        <v>3.0</v>
      </c>
      <c r="G167" s="13">
        <v>0.0</v>
      </c>
      <c r="H167" s="13">
        <v>0.0</v>
      </c>
      <c r="I167" s="13" t="s">
        <v>41</v>
      </c>
      <c r="J167" s="13" t="s">
        <v>46</v>
      </c>
      <c r="K167" s="13" t="s">
        <v>47</v>
      </c>
      <c r="L167" s="13"/>
    </row>
    <row r="168">
      <c r="A168" s="13">
        <v>166.0</v>
      </c>
      <c r="B168" s="13">
        <v>1020.0</v>
      </c>
      <c r="C168" s="13">
        <v>56.0</v>
      </c>
      <c r="D168" s="12" t="s">
        <v>334</v>
      </c>
      <c r="E168" s="12" t="s">
        <v>335</v>
      </c>
      <c r="F168" s="13">
        <v>5.0</v>
      </c>
      <c r="G168" s="13">
        <v>1.0</v>
      </c>
      <c r="H168" s="13">
        <v>6.0</v>
      </c>
      <c r="I168" s="13" t="s">
        <v>41</v>
      </c>
      <c r="J168" s="13" t="s">
        <v>42</v>
      </c>
      <c r="K168" s="13" t="s">
        <v>98</v>
      </c>
      <c r="L168" s="13"/>
    </row>
    <row r="169">
      <c r="A169" s="13">
        <v>167.0</v>
      </c>
      <c r="B169" s="13">
        <v>895.0</v>
      </c>
      <c r="C169" s="13">
        <v>55.0</v>
      </c>
      <c r="D169" s="12" t="s">
        <v>336</v>
      </c>
      <c r="E169" s="12" t="s">
        <v>337</v>
      </c>
      <c r="F169" s="13">
        <v>5.0</v>
      </c>
      <c r="G169" s="13">
        <v>1.0</v>
      </c>
      <c r="H169" s="13">
        <v>0.0</v>
      </c>
      <c r="I169" s="13" t="s">
        <v>35</v>
      </c>
      <c r="J169" s="13" t="s">
        <v>46</v>
      </c>
      <c r="K169" s="13" t="s">
        <v>123</v>
      </c>
      <c r="L169" s="13"/>
    </row>
    <row r="170">
      <c r="A170" s="13">
        <v>168.0</v>
      </c>
      <c r="B170" s="13">
        <v>862.0</v>
      </c>
      <c r="C170" s="13">
        <v>40.0</v>
      </c>
      <c r="D170" s="12"/>
      <c r="E170" s="12"/>
      <c r="F170" s="13">
        <v>5.0</v>
      </c>
      <c r="G170" s="13">
        <v>1.0</v>
      </c>
      <c r="H170" s="13">
        <v>0.0</v>
      </c>
      <c r="I170" s="13" t="s">
        <v>35</v>
      </c>
      <c r="J170" s="13" t="s">
        <v>46</v>
      </c>
      <c r="K170" s="13" t="s">
        <v>52</v>
      </c>
      <c r="L170" s="13"/>
    </row>
    <row r="171">
      <c r="A171" s="13">
        <v>169.0</v>
      </c>
      <c r="B171" s="13">
        <v>1104.0</v>
      </c>
      <c r="C171" s="13">
        <v>47.0</v>
      </c>
      <c r="D171" s="12" t="s">
        <v>338</v>
      </c>
      <c r="E171" s="12" t="s">
        <v>339</v>
      </c>
      <c r="F171" s="13">
        <v>5.0</v>
      </c>
      <c r="G171" s="13">
        <v>1.0</v>
      </c>
      <c r="H171" s="13">
        <v>3.0</v>
      </c>
      <c r="I171" s="13" t="s">
        <v>35</v>
      </c>
      <c r="J171" s="13" t="s">
        <v>36</v>
      </c>
      <c r="K171" s="13" t="s">
        <v>36</v>
      </c>
      <c r="L171" s="13"/>
    </row>
    <row r="172">
      <c r="A172" s="13">
        <v>170.0</v>
      </c>
      <c r="B172" s="13">
        <v>670.0</v>
      </c>
      <c r="C172" s="13">
        <v>36.0</v>
      </c>
      <c r="D172" s="12" t="s">
        <v>340</v>
      </c>
      <c r="E172" s="12" t="s">
        <v>341</v>
      </c>
      <c r="F172" s="13">
        <v>5.0</v>
      </c>
      <c r="G172" s="13">
        <v>1.0</v>
      </c>
      <c r="H172" s="13">
        <v>0.0</v>
      </c>
      <c r="I172" s="13" t="s">
        <v>31</v>
      </c>
      <c r="J172" s="13" t="s">
        <v>32</v>
      </c>
      <c r="K172" s="13" t="s">
        <v>126</v>
      </c>
      <c r="L172" s="13"/>
    </row>
    <row r="173">
      <c r="A173" s="13">
        <v>171.0</v>
      </c>
      <c r="B173" s="13">
        <v>329.0</v>
      </c>
      <c r="C173" s="13">
        <v>46.0</v>
      </c>
      <c r="D173" s="12" t="s">
        <v>342</v>
      </c>
      <c r="E173" s="12" t="s">
        <v>343</v>
      </c>
      <c r="F173" s="13">
        <v>5.0</v>
      </c>
      <c r="G173" s="13">
        <v>1.0</v>
      </c>
      <c r="H173" s="13">
        <v>0.0</v>
      </c>
      <c r="I173" s="13" t="s">
        <v>31</v>
      </c>
      <c r="J173" s="13" t="s">
        <v>32</v>
      </c>
      <c r="K173" s="13" t="s">
        <v>126</v>
      </c>
      <c r="L173" s="13"/>
    </row>
    <row r="174">
      <c r="A174" s="13">
        <v>172.0</v>
      </c>
      <c r="B174" s="13">
        <v>670.0</v>
      </c>
      <c r="C174" s="13">
        <v>66.0</v>
      </c>
      <c r="D174" s="12" t="s">
        <v>344</v>
      </c>
      <c r="E174" s="12" t="s">
        <v>345</v>
      </c>
      <c r="F174" s="13">
        <v>4.0</v>
      </c>
      <c r="G174" s="13">
        <v>1.0</v>
      </c>
      <c r="H174" s="13">
        <v>0.0</v>
      </c>
      <c r="I174" s="13" t="s">
        <v>31</v>
      </c>
      <c r="J174" s="13" t="s">
        <v>32</v>
      </c>
      <c r="K174" s="13" t="s">
        <v>126</v>
      </c>
      <c r="L174" s="13"/>
    </row>
    <row r="175">
      <c r="A175" s="13">
        <v>173.0</v>
      </c>
      <c r="B175" s="13">
        <v>868.0</v>
      </c>
      <c r="C175" s="13">
        <v>51.0</v>
      </c>
      <c r="D175" s="12" t="s">
        <v>346</v>
      </c>
      <c r="E175" s="12" t="s">
        <v>347</v>
      </c>
      <c r="F175" s="13">
        <v>4.0</v>
      </c>
      <c r="G175" s="13">
        <v>1.0</v>
      </c>
      <c r="H175" s="13">
        <v>0.0</v>
      </c>
      <c r="I175" s="13" t="s">
        <v>41</v>
      </c>
      <c r="J175" s="13" t="s">
        <v>46</v>
      </c>
      <c r="K175" s="13" t="s">
        <v>52</v>
      </c>
      <c r="L175" s="13"/>
    </row>
    <row r="176">
      <c r="A176" s="13">
        <v>174.0</v>
      </c>
      <c r="B176" s="13">
        <v>1020.0</v>
      </c>
      <c r="C176" s="13">
        <v>34.0</v>
      </c>
      <c r="D176" s="12" t="s">
        <v>348</v>
      </c>
      <c r="E176" s="12" t="s">
        <v>349</v>
      </c>
      <c r="F176" s="13">
        <v>5.0</v>
      </c>
      <c r="G176" s="13">
        <v>1.0</v>
      </c>
      <c r="H176" s="13">
        <v>5.0</v>
      </c>
      <c r="I176" s="13" t="s">
        <v>41</v>
      </c>
      <c r="J176" s="13" t="s">
        <v>42</v>
      </c>
      <c r="K176" s="13" t="s">
        <v>98</v>
      </c>
      <c r="L176" s="13"/>
    </row>
    <row r="177">
      <c r="A177" s="13">
        <v>175.0</v>
      </c>
      <c r="B177" s="13">
        <v>862.0</v>
      </c>
      <c r="C177" s="13">
        <v>30.0</v>
      </c>
      <c r="D177" s="12" t="s">
        <v>350</v>
      </c>
      <c r="E177" s="12" t="s">
        <v>351</v>
      </c>
      <c r="F177" s="13">
        <v>4.0</v>
      </c>
      <c r="G177" s="13">
        <v>1.0</v>
      </c>
      <c r="H177" s="13">
        <v>4.0</v>
      </c>
      <c r="I177" s="13" t="s">
        <v>35</v>
      </c>
      <c r="J177" s="13" t="s">
        <v>46</v>
      </c>
      <c r="K177" s="13" t="s">
        <v>52</v>
      </c>
      <c r="L177" s="13"/>
    </row>
    <row r="178">
      <c r="A178" s="13">
        <v>176.0</v>
      </c>
      <c r="B178" s="13">
        <v>895.0</v>
      </c>
      <c r="C178" s="13">
        <v>43.0</v>
      </c>
      <c r="D178" s="12" t="s">
        <v>352</v>
      </c>
      <c r="E178" s="12" t="s">
        <v>353</v>
      </c>
      <c r="F178" s="13">
        <v>5.0</v>
      </c>
      <c r="G178" s="13">
        <v>1.0</v>
      </c>
      <c r="H178" s="13">
        <v>9.0</v>
      </c>
      <c r="I178" s="13" t="s">
        <v>35</v>
      </c>
      <c r="J178" s="13" t="s">
        <v>46</v>
      </c>
      <c r="K178" s="13" t="s">
        <v>123</v>
      </c>
      <c r="L178" s="13"/>
    </row>
    <row r="179">
      <c r="A179" s="13">
        <v>177.0</v>
      </c>
      <c r="B179" s="13">
        <v>895.0</v>
      </c>
      <c r="C179" s="13">
        <v>52.0</v>
      </c>
      <c r="D179" s="12"/>
      <c r="E179" s="12" t="s">
        <v>354</v>
      </c>
      <c r="F179" s="13">
        <v>5.0</v>
      </c>
      <c r="G179" s="13">
        <v>1.0</v>
      </c>
      <c r="H179" s="13">
        <v>0.0</v>
      </c>
      <c r="I179" s="13" t="s">
        <v>35</v>
      </c>
      <c r="J179" s="13" t="s">
        <v>46</v>
      </c>
      <c r="K179" s="13" t="s">
        <v>123</v>
      </c>
      <c r="L179" s="13"/>
    </row>
    <row r="180">
      <c r="A180" s="13">
        <v>178.0</v>
      </c>
      <c r="B180" s="13">
        <v>1094.0</v>
      </c>
      <c r="C180" s="13">
        <v>35.0</v>
      </c>
      <c r="D180" s="12" t="s">
        <v>355</v>
      </c>
      <c r="E180" s="12" t="s">
        <v>356</v>
      </c>
      <c r="F180" s="13">
        <v>2.0</v>
      </c>
      <c r="G180" s="13">
        <v>0.0</v>
      </c>
      <c r="H180" s="13">
        <v>0.0</v>
      </c>
      <c r="I180" s="13" t="s">
        <v>41</v>
      </c>
      <c r="J180" s="13" t="s">
        <v>36</v>
      </c>
      <c r="K180" s="13" t="s">
        <v>36</v>
      </c>
      <c r="L180" s="13"/>
    </row>
    <row r="181">
      <c r="A181" s="13">
        <v>179.0</v>
      </c>
      <c r="B181" s="13">
        <v>895.0</v>
      </c>
      <c r="C181" s="13">
        <v>41.0</v>
      </c>
      <c r="D181" s="12" t="s">
        <v>357</v>
      </c>
      <c r="E181" s="12" t="s">
        <v>358</v>
      </c>
      <c r="F181" s="13">
        <v>5.0</v>
      </c>
      <c r="G181" s="13">
        <v>1.0</v>
      </c>
      <c r="H181" s="13">
        <v>3.0</v>
      </c>
      <c r="I181" s="13" t="s">
        <v>35</v>
      </c>
      <c r="J181" s="13" t="s">
        <v>46</v>
      </c>
      <c r="K181" s="13" t="s">
        <v>123</v>
      </c>
      <c r="L181" s="13"/>
    </row>
    <row r="182">
      <c r="A182" s="13">
        <v>180.0</v>
      </c>
      <c r="B182" s="13">
        <v>895.0</v>
      </c>
      <c r="C182" s="13">
        <v>39.0</v>
      </c>
      <c r="D182" s="12" t="s">
        <v>359</v>
      </c>
      <c r="E182" s="12" t="s">
        <v>360</v>
      </c>
      <c r="F182" s="13">
        <v>5.0</v>
      </c>
      <c r="G182" s="13">
        <v>1.0</v>
      </c>
      <c r="H182" s="13">
        <v>1.0</v>
      </c>
      <c r="I182" s="13" t="s">
        <v>35</v>
      </c>
      <c r="J182" s="13" t="s">
        <v>46</v>
      </c>
      <c r="K182" s="13" t="s">
        <v>123</v>
      </c>
      <c r="L182" s="13"/>
    </row>
    <row r="183">
      <c r="A183" s="13">
        <v>181.0</v>
      </c>
      <c r="B183" s="13">
        <v>1020.0</v>
      </c>
      <c r="C183" s="13">
        <v>39.0</v>
      </c>
      <c r="D183" s="12" t="s">
        <v>340</v>
      </c>
      <c r="E183" s="12" t="s">
        <v>361</v>
      </c>
      <c r="F183" s="13">
        <v>4.0</v>
      </c>
      <c r="G183" s="13">
        <v>1.0</v>
      </c>
      <c r="H183" s="13">
        <v>1.0</v>
      </c>
      <c r="I183" s="13" t="s">
        <v>41</v>
      </c>
      <c r="J183" s="13" t="s">
        <v>42</v>
      </c>
      <c r="K183" s="13" t="s">
        <v>98</v>
      </c>
      <c r="L183" s="13"/>
    </row>
    <row r="184">
      <c r="A184" s="13">
        <v>182.0</v>
      </c>
      <c r="B184" s="13">
        <v>895.0</v>
      </c>
      <c r="C184" s="13">
        <v>50.0</v>
      </c>
      <c r="D184" s="12" t="s">
        <v>362</v>
      </c>
      <c r="E184" s="12" t="s">
        <v>363</v>
      </c>
      <c r="F184" s="13">
        <v>5.0</v>
      </c>
      <c r="G184" s="13">
        <v>1.0</v>
      </c>
      <c r="H184" s="13">
        <v>5.0</v>
      </c>
      <c r="I184" s="13" t="s">
        <v>35</v>
      </c>
      <c r="J184" s="13" t="s">
        <v>46</v>
      </c>
      <c r="K184" s="13" t="s">
        <v>123</v>
      </c>
      <c r="L184" s="13"/>
    </row>
    <row r="185">
      <c r="A185" s="13">
        <v>183.0</v>
      </c>
      <c r="B185" s="13">
        <v>1020.0</v>
      </c>
      <c r="C185" s="13">
        <v>27.0</v>
      </c>
      <c r="D185" s="12" t="s">
        <v>364</v>
      </c>
      <c r="E185" s="12" t="s">
        <v>365</v>
      </c>
      <c r="F185" s="13">
        <v>4.0</v>
      </c>
      <c r="G185" s="13">
        <v>1.0</v>
      </c>
      <c r="H185" s="13">
        <v>1.0</v>
      </c>
      <c r="I185" s="13" t="s">
        <v>41</v>
      </c>
      <c r="J185" s="13" t="s">
        <v>42</v>
      </c>
      <c r="K185" s="13" t="s">
        <v>98</v>
      </c>
      <c r="L185" s="13"/>
    </row>
    <row r="186">
      <c r="A186" s="13">
        <v>184.0</v>
      </c>
      <c r="B186" s="13">
        <v>895.0</v>
      </c>
      <c r="C186" s="13">
        <v>33.0</v>
      </c>
      <c r="D186" s="12" t="s">
        <v>366</v>
      </c>
      <c r="E186" s="12" t="s">
        <v>367</v>
      </c>
      <c r="F186" s="13">
        <v>2.0</v>
      </c>
      <c r="G186" s="13">
        <v>0.0</v>
      </c>
      <c r="H186" s="13">
        <v>8.0</v>
      </c>
      <c r="I186" s="13" t="s">
        <v>35</v>
      </c>
      <c r="J186" s="13" t="s">
        <v>46</v>
      </c>
      <c r="K186" s="13" t="s">
        <v>123</v>
      </c>
      <c r="L186" s="13"/>
    </row>
    <row r="187">
      <c r="A187" s="13">
        <v>185.0</v>
      </c>
      <c r="B187" s="13">
        <v>895.0</v>
      </c>
      <c r="C187" s="13">
        <v>35.0</v>
      </c>
      <c r="D187" s="12" t="s">
        <v>368</v>
      </c>
      <c r="E187" s="12" t="s">
        <v>369</v>
      </c>
      <c r="F187" s="13">
        <v>2.0</v>
      </c>
      <c r="G187" s="13">
        <v>0.0</v>
      </c>
      <c r="H187" s="13">
        <v>0.0</v>
      </c>
      <c r="I187" s="13" t="s">
        <v>35</v>
      </c>
      <c r="J187" s="13" t="s">
        <v>46</v>
      </c>
      <c r="K187" s="13" t="s">
        <v>123</v>
      </c>
      <c r="L187" s="13"/>
    </row>
    <row r="188">
      <c r="A188" s="13">
        <v>186.0</v>
      </c>
      <c r="B188" s="13">
        <v>1020.0</v>
      </c>
      <c r="C188" s="13">
        <v>34.0</v>
      </c>
      <c r="D188" s="12" t="s">
        <v>370</v>
      </c>
      <c r="E188" s="12" t="s">
        <v>371</v>
      </c>
      <c r="F188" s="13">
        <v>4.0</v>
      </c>
      <c r="G188" s="13">
        <v>1.0</v>
      </c>
      <c r="H188" s="13">
        <v>0.0</v>
      </c>
      <c r="I188" s="13" t="s">
        <v>41</v>
      </c>
      <c r="J188" s="13" t="s">
        <v>42</v>
      </c>
      <c r="K188" s="13" t="s">
        <v>98</v>
      </c>
      <c r="L188" s="13"/>
    </row>
    <row r="189">
      <c r="A189" s="13">
        <v>187.0</v>
      </c>
      <c r="B189" s="13">
        <v>596.0</v>
      </c>
      <c r="C189" s="13">
        <v>41.0</v>
      </c>
      <c r="D189" s="12" t="s">
        <v>372</v>
      </c>
      <c r="E189" s="12" t="s">
        <v>373</v>
      </c>
      <c r="F189" s="13">
        <v>5.0</v>
      </c>
      <c r="G189" s="13">
        <v>1.0</v>
      </c>
      <c r="H189" s="13">
        <v>2.0</v>
      </c>
      <c r="I189" s="13" t="s">
        <v>35</v>
      </c>
      <c r="J189" s="13" t="s">
        <v>374</v>
      </c>
      <c r="K189" s="13" t="s">
        <v>374</v>
      </c>
      <c r="L189" s="13"/>
    </row>
    <row r="190">
      <c r="A190" s="13">
        <v>188.0</v>
      </c>
      <c r="B190" s="13">
        <v>1094.0</v>
      </c>
      <c r="C190" s="13">
        <v>54.0</v>
      </c>
      <c r="D190" s="12" t="s">
        <v>375</v>
      </c>
      <c r="E190" s="12" t="s">
        <v>376</v>
      </c>
      <c r="F190" s="13">
        <v>4.0</v>
      </c>
      <c r="G190" s="13">
        <v>1.0</v>
      </c>
      <c r="H190" s="13">
        <v>0.0</v>
      </c>
      <c r="I190" s="13" t="s">
        <v>41</v>
      </c>
      <c r="J190" s="13" t="s">
        <v>36</v>
      </c>
      <c r="K190" s="13" t="s">
        <v>36</v>
      </c>
      <c r="L190" s="13"/>
    </row>
    <row r="191">
      <c r="A191" s="13">
        <v>189.0</v>
      </c>
      <c r="B191" s="13">
        <v>1020.0</v>
      </c>
      <c r="C191" s="13">
        <v>41.0</v>
      </c>
      <c r="D191" s="12" t="s">
        <v>377</v>
      </c>
      <c r="E191" s="12" t="s">
        <v>378</v>
      </c>
      <c r="F191" s="13">
        <v>4.0</v>
      </c>
      <c r="G191" s="13">
        <v>1.0</v>
      </c>
      <c r="H191" s="13">
        <v>4.0</v>
      </c>
      <c r="I191" s="13" t="s">
        <v>41</v>
      </c>
      <c r="J191" s="13" t="s">
        <v>42</v>
      </c>
      <c r="K191" s="13" t="s">
        <v>98</v>
      </c>
      <c r="L191" s="13"/>
    </row>
    <row r="192">
      <c r="A192" s="13">
        <v>190.0</v>
      </c>
      <c r="B192" s="13">
        <v>895.0</v>
      </c>
      <c r="C192" s="13">
        <v>47.0</v>
      </c>
      <c r="D192" s="12" t="s">
        <v>379</v>
      </c>
      <c r="E192" s="12" t="s">
        <v>380</v>
      </c>
      <c r="F192" s="13">
        <v>4.0</v>
      </c>
      <c r="G192" s="13">
        <v>1.0</v>
      </c>
      <c r="H192" s="13">
        <v>0.0</v>
      </c>
      <c r="I192" s="13" t="s">
        <v>41</v>
      </c>
      <c r="J192" s="13" t="s">
        <v>46</v>
      </c>
      <c r="K192" s="13" t="s">
        <v>123</v>
      </c>
      <c r="L192" s="13"/>
    </row>
    <row r="193">
      <c r="A193" s="13">
        <v>191.0</v>
      </c>
      <c r="B193" s="13">
        <v>895.0</v>
      </c>
      <c r="C193" s="13">
        <v>52.0</v>
      </c>
      <c r="D193" s="12" t="s">
        <v>381</v>
      </c>
      <c r="E193" s="12" t="s">
        <v>382</v>
      </c>
      <c r="F193" s="13">
        <v>2.0</v>
      </c>
      <c r="G193" s="13">
        <v>0.0</v>
      </c>
      <c r="H193" s="13">
        <v>3.0</v>
      </c>
      <c r="I193" s="13" t="s">
        <v>41</v>
      </c>
      <c r="J193" s="13" t="s">
        <v>46</v>
      </c>
      <c r="K193" s="13" t="s">
        <v>123</v>
      </c>
      <c r="L193" s="13"/>
    </row>
    <row r="194">
      <c r="A194" s="13">
        <v>192.0</v>
      </c>
      <c r="B194" s="13">
        <v>895.0</v>
      </c>
      <c r="C194" s="13">
        <v>46.0</v>
      </c>
      <c r="D194" s="12"/>
      <c r="E194" s="12"/>
      <c r="F194" s="13">
        <v>5.0</v>
      </c>
      <c r="G194" s="13">
        <v>1.0</v>
      </c>
      <c r="H194" s="13">
        <v>0.0</v>
      </c>
      <c r="I194" s="13" t="s">
        <v>41</v>
      </c>
      <c r="J194" s="13" t="s">
        <v>46</v>
      </c>
      <c r="K194" s="13" t="s">
        <v>123</v>
      </c>
      <c r="L194" s="13"/>
    </row>
    <row r="195">
      <c r="A195" s="13">
        <v>193.0</v>
      </c>
      <c r="B195" s="13">
        <v>1020.0</v>
      </c>
      <c r="C195" s="13">
        <v>22.0</v>
      </c>
      <c r="D195" s="12"/>
      <c r="E195" s="12" t="s">
        <v>383</v>
      </c>
      <c r="F195" s="13">
        <v>5.0</v>
      </c>
      <c r="G195" s="13">
        <v>1.0</v>
      </c>
      <c r="H195" s="13">
        <v>1.0</v>
      </c>
      <c r="I195" s="13" t="s">
        <v>41</v>
      </c>
      <c r="J195" s="13" t="s">
        <v>42</v>
      </c>
      <c r="K195" s="13" t="s">
        <v>98</v>
      </c>
      <c r="L195" s="13"/>
    </row>
    <row r="196">
      <c r="A196" s="13">
        <v>194.0</v>
      </c>
      <c r="B196" s="13">
        <v>1098.0</v>
      </c>
      <c r="C196" s="13">
        <v>40.0</v>
      </c>
      <c r="D196" s="12"/>
      <c r="E196" s="12" t="s">
        <v>384</v>
      </c>
      <c r="F196" s="13">
        <v>3.0</v>
      </c>
      <c r="G196" s="13">
        <v>1.0</v>
      </c>
      <c r="H196" s="13">
        <v>0.0</v>
      </c>
      <c r="I196" s="13" t="s">
        <v>35</v>
      </c>
      <c r="J196" s="13" t="s">
        <v>36</v>
      </c>
      <c r="K196" s="13" t="s">
        <v>36</v>
      </c>
      <c r="L196" s="13"/>
    </row>
    <row r="197">
      <c r="A197" s="13">
        <v>195.0</v>
      </c>
      <c r="B197" s="13">
        <v>895.0</v>
      </c>
      <c r="C197" s="13">
        <v>62.0</v>
      </c>
      <c r="D197" s="12" t="s">
        <v>385</v>
      </c>
      <c r="E197" s="12" t="s">
        <v>386</v>
      </c>
      <c r="F197" s="13">
        <v>5.0</v>
      </c>
      <c r="G197" s="13">
        <v>1.0</v>
      </c>
      <c r="H197" s="13">
        <v>9.0</v>
      </c>
      <c r="I197" s="13" t="s">
        <v>41</v>
      </c>
      <c r="J197" s="13" t="s">
        <v>46</v>
      </c>
      <c r="K197" s="13" t="s">
        <v>123</v>
      </c>
      <c r="L197" s="13"/>
    </row>
    <row r="198">
      <c r="A198" s="13">
        <v>196.0</v>
      </c>
      <c r="B198" s="13">
        <v>862.0</v>
      </c>
      <c r="C198" s="13">
        <v>26.0</v>
      </c>
      <c r="D198" s="12" t="s">
        <v>387</v>
      </c>
      <c r="E198" s="12" t="s">
        <v>388</v>
      </c>
      <c r="F198" s="13">
        <v>5.0</v>
      </c>
      <c r="G198" s="13">
        <v>1.0</v>
      </c>
      <c r="H198" s="13">
        <v>2.0</v>
      </c>
      <c r="I198" s="13" t="s">
        <v>41</v>
      </c>
      <c r="J198" s="13" t="s">
        <v>46</v>
      </c>
      <c r="K198" s="13" t="s">
        <v>52</v>
      </c>
      <c r="L198" s="13"/>
    </row>
    <row r="199">
      <c r="A199" s="13">
        <v>197.0</v>
      </c>
      <c r="B199" s="13">
        <v>1020.0</v>
      </c>
      <c r="C199" s="13">
        <v>38.0</v>
      </c>
      <c r="D199" s="12" t="s">
        <v>389</v>
      </c>
      <c r="E199" s="12" t="s">
        <v>390</v>
      </c>
      <c r="F199" s="13">
        <v>5.0</v>
      </c>
      <c r="G199" s="13">
        <v>1.0</v>
      </c>
      <c r="H199" s="13">
        <v>3.0</v>
      </c>
      <c r="I199" s="13" t="s">
        <v>41</v>
      </c>
      <c r="J199" s="13" t="s">
        <v>42</v>
      </c>
      <c r="K199" s="13" t="s">
        <v>98</v>
      </c>
      <c r="L199" s="13"/>
    </row>
    <row r="200">
      <c r="A200" s="13">
        <v>198.0</v>
      </c>
      <c r="B200" s="13">
        <v>895.0</v>
      </c>
      <c r="C200" s="13">
        <v>53.0</v>
      </c>
      <c r="D200" s="12" t="s">
        <v>391</v>
      </c>
      <c r="E200" s="12" t="s">
        <v>392</v>
      </c>
      <c r="F200" s="13">
        <v>5.0</v>
      </c>
      <c r="G200" s="13">
        <v>1.0</v>
      </c>
      <c r="H200" s="13">
        <v>0.0</v>
      </c>
      <c r="I200" s="13" t="s">
        <v>35</v>
      </c>
      <c r="J200" s="13" t="s">
        <v>46</v>
      </c>
      <c r="K200" s="13" t="s">
        <v>123</v>
      </c>
      <c r="L200" s="13"/>
    </row>
    <row r="201">
      <c r="A201" s="13">
        <v>199.0</v>
      </c>
      <c r="B201" s="13">
        <v>1020.0</v>
      </c>
      <c r="C201" s="13">
        <v>49.0</v>
      </c>
      <c r="D201" s="12" t="s">
        <v>238</v>
      </c>
      <c r="E201" s="12" t="s">
        <v>393</v>
      </c>
      <c r="F201" s="13">
        <v>3.0</v>
      </c>
      <c r="G201" s="13">
        <v>0.0</v>
      </c>
      <c r="H201" s="13">
        <v>0.0</v>
      </c>
      <c r="I201" s="13" t="s">
        <v>41</v>
      </c>
      <c r="J201" s="13" t="s">
        <v>42</v>
      </c>
      <c r="K201" s="13" t="s">
        <v>98</v>
      </c>
      <c r="L201" s="13"/>
    </row>
    <row r="202">
      <c r="A202" s="13">
        <v>200.0</v>
      </c>
      <c r="B202" s="13">
        <v>895.0</v>
      </c>
      <c r="C202" s="13">
        <v>43.0</v>
      </c>
      <c r="D202" s="12" t="s">
        <v>394</v>
      </c>
      <c r="E202" s="12" t="s">
        <v>395</v>
      </c>
      <c r="F202" s="13">
        <v>3.0</v>
      </c>
      <c r="G202" s="13">
        <v>0.0</v>
      </c>
      <c r="H202" s="13">
        <v>0.0</v>
      </c>
      <c r="I202" s="13" t="s">
        <v>35</v>
      </c>
      <c r="J202" s="13" t="s">
        <v>46</v>
      </c>
      <c r="K202" s="13" t="s">
        <v>123</v>
      </c>
      <c r="L202" s="13"/>
    </row>
    <row r="203">
      <c r="A203" s="13">
        <v>201.0</v>
      </c>
      <c r="B203" s="13">
        <v>895.0</v>
      </c>
      <c r="C203" s="13">
        <v>36.0</v>
      </c>
      <c r="D203" s="12"/>
      <c r="E203" s="12"/>
      <c r="F203" s="13">
        <v>5.0</v>
      </c>
      <c r="G203" s="13">
        <v>1.0</v>
      </c>
      <c r="H203" s="13">
        <v>0.0</v>
      </c>
      <c r="I203" s="13" t="s">
        <v>35</v>
      </c>
      <c r="J203" s="13" t="s">
        <v>46</v>
      </c>
      <c r="K203" s="13" t="s">
        <v>123</v>
      </c>
      <c r="L203" s="13"/>
    </row>
    <row r="204">
      <c r="A204" s="13">
        <v>202.0</v>
      </c>
      <c r="B204" s="13">
        <v>895.0</v>
      </c>
      <c r="C204" s="13">
        <v>36.0</v>
      </c>
      <c r="D204" s="12" t="s">
        <v>396</v>
      </c>
      <c r="E204" s="12" t="s">
        <v>397</v>
      </c>
      <c r="F204" s="13">
        <v>3.0</v>
      </c>
      <c r="G204" s="13">
        <v>0.0</v>
      </c>
      <c r="H204" s="13">
        <v>0.0</v>
      </c>
      <c r="I204" s="13" t="s">
        <v>35</v>
      </c>
      <c r="J204" s="13" t="s">
        <v>46</v>
      </c>
      <c r="K204" s="13" t="s">
        <v>123</v>
      </c>
      <c r="L204" s="13"/>
    </row>
    <row r="205">
      <c r="A205" s="13">
        <v>203.0</v>
      </c>
      <c r="B205" s="13">
        <v>895.0</v>
      </c>
      <c r="C205" s="13">
        <v>63.0</v>
      </c>
      <c r="D205" s="12" t="s">
        <v>398</v>
      </c>
      <c r="E205" s="12" t="s">
        <v>399</v>
      </c>
      <c r="F205" s="13">
        <v>5.0</v>
      </c>
      <c r="G205" s="13">
        <v>1.0</v>
      </c>
      <c r="H205" s="13">
        <v>1.0</v>
      </c>
      <c r="I205" s="13" t="s">
        <v>35</v>
      </c>
      <c r="J205" s="13" t="s">
        <v>46</v>
      </c>
      <c r="K205" s="13" t="s">
        <v>123</v>
      </c>
      <c r="L205" s="13"/>
    </row>
    <row r="206">
      <c r="A206" s="13">
        <v>204.0</v>
      </c>
      <c r="B206" s="13">
        <v>828.0</v>
      </c>
      <c r="C206" s="13">
        <v>56.0</v>
      </c>
      <c r="D206" s="12" t="s">
        <v>400</v>
      </c>
      <c r="E206" s="12" t="s">
        <v>401</v>
      </c>
      <c r="F206" s="13">
        <v>4.0</v>
      </c>
      <c r="G206" s="13">
        <v>0.0</v>
      </c>
      <c r="H206" s="13">
        <v>4.0</v>
      </c>
      <c r="I206" s="13" t="s">
        <v>35</v>
      </c>
      <c r="J206" s="13" t="s">
        <v>46</v>
      </c>
      <c r="K206" s="13" t="s">
        <v>47</v>
      </c>
      <c r="L206" s="13"/>
    </row>
    <row r="207">
      <c r="A207" s="13">
        <v>205.0</v>
      </c>
      <c r="B207" s="13">
        <v>1020.0</v>
      </c>
      <c r="C207" s="13">
        <v>48.0</v>
      </c>
      <c r="D207" s="12" t="s">
        <v>402</v>
      </c>
      <c r="E207" s="12" t="s">
        <v>403</v>
      </c>
      <c r="F207" s="13">
        <v>3.0</v>
      </c>
      <c r="G207" s="13">
        <v>0.0</v>
      </c>
      <c r="H207" s="13">
        <v>9.0</v>
      </c>
      <c r="I207" s="13" t="s">
        <v>41</v>
      </c>
      <c r="J207" s="13" t="s">
        <v>42</v>
      </c>
      <c r="K207" s="13" t="s">
        <v>98</v>
      </c>
      <c r="L207" s="13"/>
    </row>
    <row r="208">
      <c r="A208" s="13">
        <v>206.0</v>
      </c>
      <c r="B208" s="13">
        <v>862.0</v>
      </c>
      <c r="C208" s="13">
        <v>43.0</v>
      </c>
      <c r="D208" s="12"/>
      <c r="E208" s="12" t="s">
        <v>404</v>
      </c>
      <c r="F208" s="13">
        <v>5.0</v>
      </c>
      <c r="G208" s="13">
        <v>1.0</v>
      </c>
      <c r="H208" s="13">
        <v>1.0</v>
      </c>
      <c r="I208" s="13" t="s">
        <v>35</v>
      </c>
      <c r="J208" s="13" t="s">
        <v>46</v>
      </c>
      <c r="K208" s="13" t="s">
        <v>52</v>
      </c>
      <c r="L208" s="13"/>
    </row>
    <row r="209">
      <c r="A209" s="13">
        <v>207.0</v>
      </c>
      <c r="B209" s="13">
        <v>1020.0</v>
      </c>
      <c r="C209" s="13">
        <v>44.0</v>
      </c>
      <c r="D209" s="12" t="s">
        <v>405</v>
      </c>
      <c r="E209" s="12" t="s">
        <v>406</v>
      </c>
      <c r="F209" s="13">
        <v>4.0</v>
      </c>
      <c r="G209" s="13">
        <v>1.0</v>
      </c>
      <c r="H209" s="13">
        <v>1.0</v>
      </c>
      <c r="I209" s="13" t="s">
        <v>41</v>
      </c>
      <c r="J209" s="13" t="s">
        <v>42</v>
      </c>
      <c r="K209" s="13" t="s">
        <v>98</v>
      </c>
      <c r="L209" s="13"/>
    </row>
    <row r="210">
      <c r="A210" s="13">
        <v>208.0</v>
      </c>
      <c r="B210" s="13">
        <v>895.0</v>
      </c>
      <c r="C210" s="13">
        <v>40.0</v>
      </c>
      <c r="D210" s="12"/>
      <c r="E210" s="12" t="s">
        <v>407</v>
      </c>
      <c r="F210" s="13">
        <v>5.0</v>
      </c>
      <c r="G210" s="13">
        <v>1.0</v>
      </c>
      <c r="H210" s="13">
        <v>0.0</v>
      </c>
      <c r="I210" s="13" t="s">
        <v>35</v>
      </c>
      <c r="J210" s="13" t="s">
        <v>46</v>
      </c>
      <c r="K210" s="13" t="s">
        <v>123</v>
      </c>
      <c r="L210" s="13"/>
    </row>
    <row r="211">
      <c r="A211" s="13">
        <v>209.0</v>
      </c>
      <c r="B211" s="13">
        <v>862.0</v>
      </c>
      <c r="C211" s="13">
        <v>44.0</v>
      </c>
      <c r="D211" s="12"/>
      <c r="E211" s="12" t="s">
        <v>408</v>
      </c>
      <c r="F211" s="13">
        <v>1.0</v>
      </c>
      <c r="G211" s="13">
        <v>0.0</v>
      </c>
      <c r="H211" s="13">
        <v>1.0</v>
      </c>
      <c r="I211" s="13" t="s">
        <v>35</v>
      </c>
      <c r="J211" s="13" t="s">
        <v>46</v>
      </c>
      <c r="K211" s="13" t="s">
        <v>52</v>
      </c>
      <c r="L211" s="13"/>
    </row>
    <row r="212">
      <c r="A212" s="13">
        <v>210.0</v>
      </c>
      <c r="B212" s="13">
        <v>895.0</v>
      </c>
      <c r="C212" s="13">
        <v>54.0</v>
      </c>
      <c r="D212" s="12" t="s">
        <v>409</v>
      </c>
      <c r="E212" s="12" t="s">
        <v>410</v>
      </c>
      <c r="F212" s="13">
        <v>5.0</v>
      </c>
      <c r="G212" s="13">
        <v>1.0</v>
      </c>
      <c r="H212" s="13">
        <v>0.0</v>
      </c>
      <c r="I212" s="13" t="s">
        <v>35</v>
      </c>
      <c r="J212" s="13" t="s">
        <v>46</v>
      </c>
      <c r="K212" s="13" t="s">
        <v>123</v>
      </c>
      <c r="L212" s="13"/>
    </row>
    <row r="213">
      <c r="A213" s="13">
        <v>211.0</v>
      </c>
      <c r="B213" s="13">
        <v>1020.0</v>
      </c>
      <c r="C213" s="13">
        <v>72.0</v>
      </c>
      <c r="D213" s="12"/>
      <c r="E213" s="12" t="s">
        <v>411</v>
      </c>
      <c r="F213" s="13">
        <v>4.0</v>
      </c>
      <c r="G213" s="13">
        <v>1.0</v>
      </c>
      <c r="H213" s="13">
        <v>5.0</v>
      </c>
      <c r="I213" s="13" t="s">
        <v>41</v>
      </c>
      <c r="J213" s="13" t="s">
        <v>42</v>
      </c>
      <c r="K213" s="13" t="s">
        <v>98</v>
      </c>
      <c r="L213" s="13"/>
    </row>
    <row r="214">
      <c r="A214" s="13">
        <v>212.0</v>
      </c>
      <c r="B214" s="13">
        <v>1075.0</v>
      </c>
      <c r="C214" s="13">
        <v>52.0</v>
      </c>
      <c r="D214" s="12" t="s">
        <v>412</v>
      </c>
      <c r="E214" s="12" t="s">
        <v>413</v>
      </c>
      <c r="F214" s="13">
        <v>4.0</v>
      </c>
      <c r="G214" s="13">
        <v>1.0</v>
      </c>
      <c r="H214" s="13">
        <v>3.0</v>
      </c>
      <c r="I214" s="13" t="s">
        <v>35</v>
      </c>
      <c r="J214" s="13" t="s">
        <v>36</v>
      </c>
      <c r="K214" s="13" t="s">
        <v>36</v>
      </c>
      <c r="L214" s="13"/>
    </row>
    <row r="215">
      <c r="A215" s="13">
        <v>213.0</v>
      </c>
      <c r="B215" s="13">
        <v>1104.0</v>
      </c>
      <c r="C215" s="13">
        <v>47.0</v>
      </c>
      <c r="D215" s="12" t="s">
        <v>414</v>
      </c>
      <c r="E215" s="12" t="s">
        <v>415</v>
      </c>
      <c r="F215" s="13">
        <v>5.0</v>
      </c>
      <c r="G215" s="13">
        <v>1.0</v>
      </c>
      <c r="H215" s="13">
        <v>0.0</v>
      </c>
      <c r="I215" s="13" t="s">
        <v>35</v>
      </c>
      <c r="J215" s="13" t="s">
        <v>36</v>
      </c>
      <c r="K215" s="13" t="s">
        <v>36</v>
      </c>
      <c r="L215" s="13"/>
    </row>
    <row r="216">
      <c r="A216" s="13">
        <v>214.0</v>
      </c>
      <c r="B216" s="13">
        <v>1020.0</v>
      </c>
      <c r="C216" s="13">
        <v>67.0</v>
      </c>
      <c r="D216" s="12" t="s">
        <v>416</v>
      </c>
      <c r="E216" s="12" t="s">
        <v>417</v>
      </c>
      <c r="F216" s="13">
        <v>1.0</v>
      </c>
      <c r="G216" s="13">
        <v>0.0</v>
      </c>
      <c r="H216" s="13">
        <v>17.0</v>
      </c>
      <c r="I216" s="13" t="s">
        <v>41</v>
      </c>
      <c r="J216" s="13" t="s">
        <v>42</v>
      </c>
      <c r="K216" s="13" t="s">
        <v>98</v>
      </c>
      <c r="L216" s="13"/>
    </row>
    <row r="217">
      <c r="A217" s="13">
        <v>215.0</v>
      </c>
      <c r="B217" s="13">
        <v>1094.0</v>
      </c>
      <c r="C217" s="13">
        <v>39.0</v>
      </c>
      <c r="D217" s="12" t="s">
        <v>418</v>
      </c>
      <c r="E217" s="12" t="s">
        <v>419</v>
      </c>
      <c r="F217" s="13">
        <v>5.0</v>
      </c>
      <c r="G217" s="13">
        <v>1.0</v>
      </c>
      <c r="H217" s="13">
        <v>0.0</v>
      </c>
      <c r="I217" s="13" t="s">
        <v>41</v>
      </c>
      <c r="J217" s="13" t="s">
        <v>36</v>
      </c>
      <c r="K217" s="13" t="s">
        <v>36</v>
      </c>
      <c r="L217" s="13"/>
    </row>
    <row r="218">
      <c r="A218" s="13">
        <v>216.0</v>
      </c>
      <c r="B218" s="13">
        <v>305.0</v>
      </c>
      <c r="C218" s="13">
        <v>46.0</v>
      </c>
      <c r="D218" s="12" t="s">
        <v>420</v>
      </c>
      <c r="E218" s="12" t="s">
        <v>421</v>
      </c>
      <c r="F218" s="13">
        <v>2.0</v>
      </c>
      <c r="G218" s="13">
        <v>0.0</v>
      </c>
      <c r="H218" s="13">
        <v>0.0</v>
      </c>
      <c r="I218" s="13" t="s">
        <v>31</v>
      </c>
      <c r="J218" s="13" t="s">
        <v>32</v>
      </c>
      <c r="K218" s="13" t="s">
        <v>320</v>
      </c>
      <c r="L218" s="13"/>
    </row>
    <row r="219">
      <c r="A219" s="13">
        <v>217.0</v>
      </c>
      <c r="B219" s="13">
        <v>828.0</v>
      </c>
      <c r="C219" s="13">
        <v>64.0</v>
      </c>
      <c r="D219" s="12" t="s">
        <v>422</v>
      </c>
      <c r="E219" s="12" t="s">
        <v>423</v>
      </c>
      <c r="F219" s="13">
        <v>5.0</v>
      </c>
      <c r="G219" s="13">
        <v>1.0</v>
      </c>
      <c r="H219" s="13">
        <v>3.0</v>
      </c>
      <c r="I219" s="13" t="s">
        <v>35</v>
      </c>
      <c r="J219" s="13" t="s">
        <v>46</v>
      </c>
      <c r="K219" s="13" t="s">
        <v>47</v>
      </c>
      <c r="L219" s="13"/>
    </row>
    <row r="220">
      <c r="A220" s="13">
        <v>218.0</v>
      </c>
      <c r="B220" s="13">
        <v>1094.0</v>
      </c>
      <c r="C220" s="13">
        <v>30.0</v>
      </c>
      <c r="D220" s="12" t="s">
        <v>424</v>
      </c>
      <c r="E220" s="12" t="s">
        <v>425</v>
      </c>
      <c r="F220" s="13">
        <v>5.0</v>
      </c>
      <c r="G220" s="13">
        <v>1.0</v>
      </c>
      <c r="H220" s="13">
        <v>0.0</v>
      </c>
      <c r="I220" s="13" t="s">
        <v>41</v>
      </c>
      <c r="J220" s="13" t="s">
        <v>36</v>
      </c>
      <c r="K220" s="13" t="s">
        <v>36</v>
      </c>
      <c r="L220" s="13"/>
    </row>
    <row r="221">
      <c r="A221" s="13">
        <v>219.0</v>
      </c>
      <c r="B221" s="13">
        <v>828.0</v>
      </c>
      <c r="C221" s="13">
        <v>38.0</v>
      </c>
      <c r="D221" s="12"/>
      <c r="E221" s="12" t="s">
        <v>426</v>
      </c>
      <c r="F221" s="13">
        <v>5.0</v>
      </c>
      <c r="G221" s="13">
        <v>1.0</v>
      </c>
      <c r="H221" s="13">
        <v>1.0</v>
      </c>
      <c r="I221" s="13" t="s">
        <v>35</v>
      </c>
      <c r="J221" s="13" t="s">
        <v>46</v>
      </c>
      <c r="K221" s="13" t="s">
        <v>47</v>
      </c>
      <c r="L221" s="13"/>
    </row>
    <row r="222">
      <c r="A222" s="13">
        <v>220.0</v>
      </c>
      <c r="B222" s="13">
        <v>895.0</v>
      </c>
      <c r="C222" s="13">
        <v>36.0</v>
      </c>
      <c r="D222" s="12" t="s">
        <v>427</v>
      </c>
      <c r="E222" s="12" t="s">
        <v>428</v>
      </c>
      <c r="F222" s="13">
        <v>4.0</v>
      </c>
      <c r="G222" s="13">
        <v>1.0</v>
      </c>
      <c r="H222" s="13">
        <v>5.0</v>
      </c>
      <c r="I222" s="13" t="s">
        <v>41</v>
      </c>
      <c r="J222" s="13" t="s">
        <v>46</v>
      </c>
      <c r="K222" s="13" t="s">
        <v>123</v>
      </c>
      <c r="L222" s="13"/>
    </row>
    <row r="223">
      <c r="A223" s="13">
        <v>221.0</v>
      </c>
      <c r="B223" s="13">
        <v>1020.0</v>
      </c>
      <c r="C223" s="13">
        <v>52.0</v>
      </c>
      <c r="D223" s="12" t="s">
        <v>429</v>
      </c>
      <c r="E223" s="12" t="s">
        <v>430</v>
      </c>
      <c r="F223" s="13">
        <v>5.0</v>
      </c>
      <c r="G223" s="13">
        <v>1.0</v>
      </c>
      <c r="H223" s="13">
        <v>1.0</v>
      </c>
      <c r="I223" s="13" t="s">
        <v>41</v>
      </c>
      <c r="J223" s="13" t="s">
        <v>42</v>
      </c>
      <c r="K223" s="13" t="s">
        <v>98</v>
      </c>
      <c r="L223" s="13"/>
    </row>
    <row r="224">
      <c r="A224" s="13">
        <v>222.0</v>
      </c>
      <c r="B224" s="13">
        <v>895.0</v>
      </c>
      <c r="C224" s="13">
        <v>61.0</v>
      </c>
      <c r="D224" s="12"/>
      <c r="E224" s="12" t="s">
        <v>431</v>
      </c>
      <c r="F224" s="13">
        <v>5.0</v>
      </c>
      <c r="G224" s="13">
        <v>1.0</v>
      </c>
      <c r="H224" s="13">
        <v>0.0</v>
      </c>
      <c r="I224" s="13" t="s">
        <v>41</v>
      </c>
      <c r="J224" s="13" t="s">
        <v>46</v>
      </c>
      <c r="K224" s="13" t="s">
        <v>123</v>
      </c>
      <c r="L224" s="13"/>
    </row>
    <row r="225">
      <c r="A225" s="13">
        <v>223.0</v>
      </c>
      <c r="B225" s="13">
        <v>647.0</v>
      </c>
      <c r="C225" s="13">
        <v>29.0</v>
      </c>
      <c r="D225" s="12" t="s">
        <v>432</v>
      </c>
      <c r="E225" s="12" t="s">
        <v>433</v>
      </c>
      <c r="F225" s="13">
        <v>5.0</v>
      </c>
      <c r="G225" s="13">
        <v>1.0</v>
      </c>
      <c r="H225" s="13">
        <v>1.0</v>
      </c>
      <c r="I225" s="13" t="s">
        <v>41</v>
      </c>
      <c r="J225" s="13" t="s">
        <v>32</v>
      </c>
      <c r="K225" s="13" t="s">
        <v>92</v>
      </c>
      <c r="L225" s="13"/>
    </row>
    <row r="226">
      <c r="A226" s="13">
        <v>224.0</v>
      </c>
      <c r="B226" s="13">
        <v>1025.0</v>
      </c>
      <c r="C226" s="13">
        <v>38.0</v>
      </c>
      <c r="D226" s="12"/>
      <c r="E226" s="12" t="s">
        <v>434</v>
      </c>
      <c r="F226" s="13">
        <v>4.0</v>
      </c>
      <c r="G226" s="13">
        <v>1.0</v>
      </c>
      <c r="H226" s="13">
        <v>10.0</v>
      </c>
      <c r="I226" s="13" t="s">
        <v>35</v>
      </c>
      <c r="J226" s="13" t="s">
        <v>42</v>
      </c>
      <c r="K226" s="13" t="s">
        <v>435</v>
      </c>
      <c r="L226" s="13"/>
    </row>
    <row r="227">
      <c r="A227" s="13">
        <v>225.0</v>
      </c>
      <c r="B227" s="13">
        <v>1025.0</v>
      </c>
      <c r="C227" s="13">
        <v>35.0</v>
      </c>
      <c r="D227" s="12" t="s">
        <v>436</v>
      </c>
      <c r="E227" s="12" t="s">
        <v>437</v>
      </c>
      <c r="F227" s="13">
        <v>5.0</v>
      </c>
      <c r="G227" s="13">
        <v>1.0</v>
      </c>
      <c r="H227" s="13">
        <v>14.0</v>
      </c>
      <c r="I227" s="13" t="s">
        <v>35</v>
      </c>
      <c r="J227" s="13" t="s">
        <v>42</v>
      </c>
      <c r="K227" s="13" t="s">
        <v>435</v>
      </c>
      <c r="L227" s="13"/>
    </row>
    <row r="228">
      <c r="A228" s="13">
        <v>226.0</v>
      </c>
      <c r="B228" s="13">
        <v>815.0</v>
      </c>
      <c r="C228" s="13">
        <v>55.0</v>
      </c>
      <c r="D228" s="12" t="s">
        <v>379</v>
      </c>
      <c r="E228" s="12" t="s">
        <v>438</v>
      </c>
      <c r="F228" s="13">
        <v>5.0</v>
      </c>
      <c r="G228" s="13">
        <v>1.0</v>
      </c>
      <c r="H228" s="13">
        <v>1.0</v>
      </c>
      <c r="I228" s="13" t="s">
        <v>41</v>
      </c>
      <c r="J228" s="13" t="s">
        <v>46</v>
      </c>
      <c r="K228" s="13" t="s">
        <v>47</v>
      </c>
      <c r="L228" s="13"/>
    </row>
    <row r="229">
      <c r="A229" s="13">
        <v>227.0</v>
      </c>
      <c r="B229" s="13">
        <v>1066.0</v>
      </c>
      <c r="C229" s="13">
        <v>57.0</v>
      </c>
      <c r="D229" s="12" t="s">
        <v>439</v>
      </c>
      <c r="E229" s="12" t="s">
        <v>440</v>
      </c>
      <c r="F229" s="13">
        <v>4.0</v>
      </c>
      <c r="G229" s="13">
        <v>1.0</v>
      </c>
      <c r="H229" s="13">
        <v>3.0</v>
      </c>
      <c r="I229" s="13" t="s">
        <v>35</v>
      </c>
      <c r="J229" s="13" t="s">
        <v>42</v>
      </c>
      <c r="K229" s="13" t="s">
        <v>43</v>
      </c>
      <c r="L229" s="13"/>
    </row>
    <row r="230">
      <c r="A230" s="13">
        <v>228.0</v>
      </c>
      <c r="B230" s="13">
        <v>840.0</v>
      </c>
      <c r="C230" s="13">
        <v>55.0</v>
      </c>
      <c r="D230" s="12" t="s">
        <v>441</v>
      </c>
      <c r="E230" s="12" t="s">
        <v>442</v>
      </c>
      <c r="F230" s="13">
        <v>4.0</v>
      </c>
      <c r="G230" s="13">
        <v>1.0</v>
      </c>
      <c r="H230" s="13">
        <v>5.0</v>
      </c>
      <c r="I230" s="13" t="s">
        <v>35</v>
      </c>
      <c r="J230" s="13" t="s">
        <v>46</v>
      </c>
      <c r="K230" s="13" t="s">
        <v>47</v>
      </c>
      <c r="L230" s="13"/>
    </row>
    <row r="231">
      <c r="A231" s="13">
        <v>229.0</v>
      </c>
      <c r="B231" s="13">
        <v>1026.0</v>
      </c>
      <c r="C231" s="13">
        <v>39.0</v>
      </c>
      <c r="D231" s="12" t="s">
        <v>443</v>
      </c>
      <c r="E231" s="12" t="s">
        <v>444</v>
      </c>
      <c r="F231" s="13">
        <v>4.0</v>
      </c>
      <c r="G231" s="13">
        <v>1.0</v>
      </c>
      <c r="H231" s="13">
        <v>0.0</v>
      </c>
      <c r="I231" s="13" t="s">
        <v>35</v>
      </c>
      <c r="J231" s="13" t="s">
        <v>42</v>
      </c>
      <c r="K231" s="13" t="s">
        <v>435</v>
      </c>
      <c r="L231" s="13"/>
    </row>
    <row r="232">
      <c r="A232" s="13">
        <v>230.0</v>
      </c>
      <c r="B232" s="13">
        <v>840.0</v>
      </c>
      <c r="C232" s="13">
        <v>39.0</v>
      </c>
      <c r="D232" s="12" t="s">
        <v>445</v>
      </c>
      <c r="E232" s="12" t="s">
        <v>446</v>
      </c>
      <c r="F232" s="13">
        <v>5.0</v>
      </c>
      <c r="G232" s="13">
        <v>1.0</v>
      </c>
      <c r="H232" s="13">
        <v>13.0</v>
      </c>
      <c r="I232" s="13" t="s">
        <v>35</v>
      </c>
      <c r="J232" s="13" t="s">
        <v>46</v>
      </c>
      <c r="K232" s="13" t="s">
        <v>47</v>
      </c>
      <c r="L232" s="13"/>
    </row>
    <row r="233">
      <c r="A233" s="13">
        <v>231.0</v>
      </c>
      <c r="B233" s="13">
        <v>1066.0</v>
      </c>
      <c r="C233" s="13">
        <v>46.0</v>
      </c>
      <c r="D233" s="12" t="s">
        <v>447</v>
      </c>
      <c r="E233" s="12" t="s">
        <v>448</v>
      </c>
      <c r="F233" s="13">
        <v>5.0</v>
      </c>
      <c r="G233" s="13">
        <v>1.0</v>
      </c>
      <c r="H233" s="13">
        <v>8.0</v>
      </c>
      <c r="I233" s="13" t="s">
        <v>35</v>
      </c>
      <c r="J233" s="13" t="s">
        <v>42</v>
      </c>
      <c r="K233" s="13" t="s">
        <v>43</v>
      </c>
      <c r="L233" s="13"/>
    </row>
    <row r="234">
      <c r="A234" s="13">
        <v>232.0</v>
      </c>
      <c r="B234" s="13">
        <v>840.0</v>
      </c>
      <c r="C234" s="13">
        <v>37.0</v>
      </c>
      <c r="D234" s="12" t="s">
        <v>449</v>
      </c>
      <c r="E234" s="12" t="s">
        <v>450</v>
      </c>
      <c r="F234" s="13">
        <v>2.0</v>
      </c>
      <c r="G234" s="13">
        <v>0.0</v>
      </c>
      <c r="H234" s="13">
        <v>1.0</v>
      </c>
      <c r="I234" s="13" t="s">
        <v>35</v>
      </c>
      <c r="J234" s="13" t="s">
        <v>46</v>
      </c>
      <c r="K234" s="13" t="s">
        <v>47</v>
      </c>
      <c r="L234" s="13"/>
    </row>
    <row r="235">
      <c r="A235" s="13">
        <v>233.0</v>
      </c>
      <c r="B235" s="13">
        <v>1030.0</v>
      </c>
      <c r="C235" s="13">
        <v>29.0</v>
      </c>
      <c r="D235" s="12" t="s">
        <v>451</v>
      </c>
      <c r="E235" s="12" t="s">
        <v>452</v>
      </c>
      <c r="F235" s="13">
        <v>5.0</v>
      </c>
      <c r="G235" s="13">
        <v>1.0</v>
      </c>
      <c r="H235" s="13">
        <v>1.0</v>
      </c>
      <c r="I235" s="13" t="s">
        <v>35</v>
      </c>
      <c r="J235" s="13" t="s">
        <v>42</v>
      </c>
      <c r="K235" s="13" t="s">
        <v>435</v>
      </c>
      <c r="L235" s="13"/>
    </row>
    <row r="236">
      <c r="A236" s="13">
        <v>234.0</v>
      </c>
      <c r="B236" s="13">
        <v>840.0</v>
      </c>
      <c r="C236" s="13">
        <v>83.0</v>
      </c>
      <c r="D236" s="12" t="s">
        <v>453</v>
      </c>
      <c r="E236" s="12" t="s">
        <v>454</v>
      </c>
      <c r="F236" s="13">
        <v>5.0</v>
      </c>
      <c r="G236" s="13">
        <v>1.0</v>
      </c>
      <c r="H236" s="13">
        <v>0.0</v>
      </c>
      <c r="I236" s="13" t="s">
        <v>35</v>
      </c>
      <c r="J236" s="13" t="s">
        <v>46</v>
      </c>
      <c r="K236" s="13" t="s">
        <v>47</v>
      </c>
      <c r="L236" s="13"/>
    </row>
    <row r="237">
      <c r="A237" s="13">
        <v>235.0</v>
      </c>
      <c r="B237" s="13">
        <v>1066.0</v>
      </c>
      <c r="C237" s="13">
        <v>29.0</v>
      </c>
      <c r="D237" s="12" t="s">
        <v>455</v>
      </c>
      <c r="E237" s="12" t="s">
        <v>456</v>
      </c>
      <c r="F237" s="13">
        <v>5.0</v>
      </c>
      <c r="G237" s="13">
        <v>1.0</v>
      </c>
      <c r="H237" s="13">
        <v>1.0</v>
      </c>
      <c r="I237" s="13" t="s">
        <v>35</v>
      </c>
      <c r="J237" s="13" t="s">
        <v>42</v>
      </c>
      <c r="K237" s="13" t="s">
        <v>43</v>
      </c>
      <c r="L237" s="13"/>
    </row>
    <row r="238">
      <c r="A238" s="13">
        <v>236.0</v>
      </c>
      <c r="B238" s="13">
        <v>647.0</v>
      </c>
      <c r="C238" s="13">
        <v>49.0</v>
      </c>
      <c r="D238" s="12" t="s">
        <v>457</v>
      </c>
      <c r="E238" s="12" t="s">
        <v>458</v>
      </c>
      <c r="F238" s="13">
        <v>5.0</v>
      </c>
      <c r="G238" s="13">
        <v>1.0</v>
      </c>
      <c r="H238" s="13">
        <v>0.0</v>
      </c>
      <c r="I238" s="13" t="s">
        <v>41</v>
      </c>
      <c r="J238" s="13" t="s">
        <v>32</v>
      </c>
      <c r="K238" s="13" t="s">
        <v>92</v>
      </c>
      <c r="L238" s="13"/>
    </row>
    <row r="239">
      <c r="A239" s="13">
        <v>237.0</v>
      </c>
      <c r="B239" s="13">
        <v>1066.0</v>
      </c>
      <c r="C239" s="13">
        <v>42.0</v>
      </c>
      <c r="D239" s="12" t="s">
        <v>459</v>
      </c>
      <c r="E239" s="12" t="s">
        <v>460</v>
      </c>
      <c r="F239" s="13">
        <v>2.0</v>
      </c>
      <c r="G239" s="13">
        <v>0.0</v>
      </c>
      <c r="H239" s="13">
        <v>0.0</v>
      </c>
      <c r="I239" s="13" t="s">
        <v>35</v>
      </c>
      <c r="J239" s="13" t="s">
        <v>42</v>
      </c>
      <c r="K239" s="13" t="s">
        <v>43</v>
      </c>
      <c r="L239" s="13"/>
    </row>
    <row r="240">
      <c r="A240" s="13">
        <v>238.0</v>
      </c>
      <c r="B240" s="13">
        <v>872.0</v>
      </c>
      <c r="C240" s="13">
        <v>63.0</v>
      </c>
      <c r="D240" s="12" t="s">
        <v>461</v>
      </c>
      <c r="E240" s="12" t="s">
        <v>462</v>
      </c>
      <c r="F240" s="13">
        <v>5.0</v>
      </c>
      <c r="G240" s="13">
        <v>1.0</v>
      </c>
      <c r="H240" s="13">
        <v>0.0</v>
      </c>
      <c r="I240" s="13" t="s">
        <v>35</v>
      </c>
      <c r="J240" s="13" t="s">
        <v>46</v>
      </c>
      <c r="K240" s="13" t="s">
        <v>52</v>
      </c>
      <c r="L240" s="13"/>
    </row>
    <row r="241">
      <c r="A241" s="13">
        <v>239.0</v>
      </c>
      <c r="B241" s="13">
        <v>840.0</v>
      </c>
      <c r="C241" s="13">
        <v>56.0</v>
      </c>
      <c r="D241" s="12"/>
      <c r="E241" s="12" t="s">
        <v>463</v>
      </c>
      <c r="F241" s="13">
        <v>3.0</v>
      </c>
      <c r="G241" s="13">
        <v>0.0</v>
      </c>
      <c r="H241" s="13">
        <v>20.0</v>
      </c>
      <c r="I241" s="13" t="s">
        <v>35</v>
      </c>
      <c r="J241" s="13" t="s">
        <v>46</v>
      </c>
      <c r="K241" s="13" t="s">
        <v>47</v>
      </c>
      <c r="L241" s="13"/>
    </row>
    <row r="242">
      <c r="A242" s="13">
        <v>240.0</v>
      </c>
      <c r="B242" s="13">
        <v>1066.0</v>
      </c>
      <c r="C242" s="13">
        <v>55.0</v>
      </c>
      <c r="D242" s="12" t="s">
        <v>464</v>
      </c>
      <c r="E242" s="12" t="s">
        <v>465</v>
      </c>
      <c r="F242" s="13">
        <v>4.0</v>
      </c>
      <c r="G242" s="13">
        <v>1.0</v>
      </c>
      <c r="H242" s="13">
        <v>0.0</v>
      </c>
      <c r="I242" s="13" t="s">
        <v>35</v>
      </c>
      <c r="J242" s="13" t="s">
        <v>42</v>
      </c>
      <c r="K242" s="13" t="s">
        <v>43</v>
      </c>
      <c r="L242" s="13"/>
    </row>
    <row r="243">
      <c r="A243" s="13">
        <v>241.0</v>
      </c>
      <c r="B243" s="13">
        <v>647.0</v>
      </c>
      <c r="C243" s="13">
        <v>32.0</v>
      </c>
      <c r="D243" s="12" t="s">
        <v>466</v>
      </c>
      <c r="E243" s="12" t="s">
        <v>467</v>
      </c>
      <c r="F243" s="13">
        <v>1.0</v>
      </c>
      <c r="G243" s="13">
        <v>0.0</v>
      </c>
      <c r="H243" s="13">
        <v>3.0</v>
      </c>
      <c r="I243" s="13" t="s">
        <v>41</v>
      </c>
      <c r="J243" s="13" t="s">
        <v>32</v>
      </c>
      <c r="K243" s="13" t="s">
        <v>92</v>
      </c>
      <c r="L243" s="13"/>
    </row>
    <row r="244">
      <c r="A244" s="13">
        <v>242.0</v>
      </c>
      <c r="B244" s="13">
        <v>1066.0</v>
      </c>
      <c r="C244" s="13">
        <v>26.0</v>
      </c>
      <c r="D244" s="12" t="s">
        <v>468</v>
      </c>
      <c r="E244" s="12" t="s">
        <v>469</v>
      </c>
      <c r="F244" s="13">
        <v>5.0</v>
      </c>
      <c r="G244" s="13">
        <v>1.0</v>
      </c>
      <c r="H244" s="13">
        <v>0.0</v>
      </c>
      <c r="I244" s="13" t="s">
        <v>35</v>
      </c>
      <c r="J244" s="13" t="s">
        <v>42</v>
      </c>
      <c r="K244" s="13" t="s">
        <v>43</v>
      </c>
      <c r="L244" s="13"/>
    </row>
    <row r="245">
      <c r="A245" s="13">
        <v>243.0</v>
      </c>
      <c r="B245" s="13">
        <v>840.0</v>
      </c>
      <c r="C245" s="13">
        <v>60.0</v>
      </c>
      <c r="D245" s="12"/>
      <c r="E245" s="12" t="s">
        <v>470</v>
      </c>
      <c r="F245" s="13">
        <v>4.0</v>
      </c>
      <c r="G245" s="13">
        <v>1.0</v>
      </c>
      <c r="H245" s="13">
        <v>0.0</v>
      </c>
      <c r="I245" s="13" t="s">
        <v>35</v>
      </c>
      <c r="J245" s="13" t="s">
        <v>46</v>
      </c>
      <c r="K245" s="13" t="s">
        <v>47</v>
      </c>
      <c r="L245" s="13"/>
    </row>
    <row r="246">
      <c r="A246" s="13">
        <v>244.0</v>
      </c>
      <c r="B246" s="13">
        <v>1066.0</v>
      </c>
      <c r="C246" s="13">
        <v>48.0</v>
      </c>
      <c r="D246" s="12" t="s">
        <v>471</v>
      </c>
      <c r="E246" s="12" t="s">
        <v>472</v>
      </c>
      <c r="F246" s="13">
        <v>3.0</v>
      </c>
      <c r="G246" s="13">
        <v>1.0</v>
      </c>
      <c r="H246" s="13">
        <v>0.0</v>
      </c>
      <c r="I246" s="13" t="s">
        <v>35</v>
      </c>
      <c r="J246" s="13" t="s">
        <v>42</v>
      </c>
      <c r="K246" s="13" t="s">
        <v>43</v>
      </c>
      <c r="L246" s="13"/>
    </row>
    <row r="247">
      <c r="A247" s="13">
        <v>245.0</v>
      </c>
      <c r="B247" s="13">
        <v>872.0</v>
      </c>
      <c r="C247" s="13">
        <v>38.0</v>
      </c>
      <c r="D247" s="12" t="s">
        <v>473</v>
      </c>
      <c r="E247" s="12" t="s">
        <v>474</v>
      </c>
      <c r="F247" s="13">
        <v>5.0</v>
      </c>
      <c r="G247" s="13">
        <v>1.0</v>
      </c>
      <c r="H247" s="13">
        <v>0.0</v>
      </c>
      <c r="I247" s="13" t="s">
        <v>35</v>
      </c>
      <c r="J247" s="13" t="s">
        <v>46</v>
      </c>
      <c r="K247" s="13" t="s">
        <v>52</v>
      </c>
      <c r="L247" s="13"/>
    </row>
    <row r="248">
      <c r="A248" s="13">
        <v>246.0</v>
      </c>
      <c r="B248" s="13">
        <v>1066.0</v>
      </c>
      <c r="C248" s="13">
        <v>49.0</v>
      </c>
      <c r="D248" s="12" t="s">
        <v>475</v>
      </c>
      <c r="E248" s="12" t="s">
        <v>476</v>
      </c>
      <c r="F248" s="13">
        <v>3.0</v>
      </c>
      <c r="G248" s="13">
        <v>1.0</v>
      </c>
      <c r="H248" s="13">
        <v>1.0</v>
      </c>
      <c r="I248" s="13" t="s">
        <v>35</v>
      </c>
      <c r="J248" s="13" t="s">
        <v>42</v>
      </c>
      <c r="K248" s="13" t="s">
        <v>43</v>
      </c>
      <c r="L248" s="13"/>
    </row>
    <row r="249">
      <c r="A249" s="13">
        <v>247.0</v>
      </c>
      <c r="B249" s="13">
        <v>1115.0</v>
      </c>
      <c r="C249" s="13">
        <v>41.0</v>
      </c>
      <c r="D249" s="12" t="s">
        <v>477</v>
      </c>
      <c r="E249" s="12" t="s">
        <v>478</v>
      </c>
      <c r="F249" s="13">
        <v>4.0</v>
      </c>
      <c r="G249" s="13">
        <v>1.0</v>
      </c>
      <c r="H249" s="13">
        <v>1.0</v>
      </c>
      <c r="I249" s="13" t="s">
        <v>35</v>
      </c>
      <c r="J249" s="13" t="s">
        <v>76</v>
      </c>
      <c r="K249" s="13" t="s">
        <v>77</v>
      </c>
      <c r="L249" s="13"/>
    </row>
    <row r="250">
      <c r="A250" s="13">
        <v>248.0</v>
      </c>
      <c r="B250" s="13">
        <v>1030.0</v>
      </c>
      <c r="C250" s="13">
        <v>28.0</v>
      </c>
      <c r="D250" s="12"/>
      <c r="E250" s="12"/>
      <c r="F250" s="13">
        <v>5.0</v>
      </c>
      <c r="G250" s="13">
        <v>1.0</v>
      </c>
      <c r="H250" s="13">
        <v>0.0</v>
      </c>
      <c r="I250" s="13" t="s">
        <v>35</v>
      </c>
      <c r="J250" s="13" t="s">
        <v>42</v>
      </c>
      <c r="K250" s="13" t="s">
        <v>435</v>
      </c>
      <c r="L250" s="13"/>
    </row>
    <row r="251">
      <c r="A251" s="13">
        <v>249.0</v>
      </c>
      <c r="B251" s="13">
        <v>1018.0</v>
      </c>
      <c r="C251" s="13">
        <v>28.0</v>
      </c>
      <c r="D251" s="12"/>
      <c r="E251" s="12" t="s">
        <v>479</v>
      </c>
      <c r="F251" s="13">
        <v>4.0</v>
      </c>
      <c r="G251" s="13">
        <v>1.0</v>
      </c>
      <c r="H251" s="13">
        <v>0.0</v>
      </c>
      <c r="I251" s="13" t="s">
        <v>35</v>
      </c>
      <c r="J251" s="13" t="s">
        <v>42</v>
      </c>
      <c r="K251" s="13" t="s">
        <v>98</v>
      </c>
      <c r="L251" s="13"/>
    </row>
    <row r="252">
      <c r="A252" s="13">
        <v>250.0</v>
      </c>
      <c r="B252" s="13">
        <v>1026.0</v>
      </c>
      <c r="C252" s="13">
        <v>48.0</v>
      </c>
      <c r="D252" s="12" t="s">
        <v>480</v>
      </c>
      <c r="E252" s="12" t="s">
        <v>481</v>
      </c>
      <c r="F252" s="13">
        <v>5.0</v>
      </c>
      <c r="G252" s="13">
        <v>1.0</v>
      </c>
      <c r="H252" s="13">
        <v>1.0</v>
      </c>
      <c r="I252" s="13" t="s">
        <v>35</v>
      </c>
      <c r="J252" s="13" t="s">
        <v>42</v>
      </c>
      <c r="K252" s="13" t="s">
        <v>435</v>
      </c>
      <c r="L252" s="13"/>
    </row>
    <row r="253">
      <c r="A253" s="13">
        <v>251.0</v>
      </c>
      <c r="B253" s="13">
        <v>840.0</v>
      </c>
      <c r="C253" s="13">
        <v>32.0</v>
      </c>
      <c r="D253" s="12" t="s">
        <v>482</v>
      </c>
      <c r="E253" s="12" t="s">
        <v>483</v>
      </c>
      <c r="F253" s="13">
        <v>5.0</v>
      </c>
      <c r="G253" s="13">
        <v>1.0</v>
      </c>
      <c r="H253" s="13">
        <v>0.0</v>
      </c>
      <c r="I253" s="13" t="s">
        <v>35</v>
      </c>
      <c r="J253" s="13" t="s">
        <v>46</v>
      </c>
      <c r="K253" s="13" t="s">
        <v>47</v>
      </c>
      <c r="L253" s="13"/>
    </row>
    <row r="254">
      <c r="A254" s="13">
        <v>252.0</v>
      </c>
      <c r="B254" s="13">
        <v>1066.0</v>
      </c>
      <c r="C254" s="13">
        <v>29.0</v>
      </c>
      <c r="D254" s="12" t="s">
        <v>484</v>
      </c>
      <c r="E254" s="12" t="s">
        <v>485</v>
      </c>
      <c r="F254" s="13">
        <v>5.0</v>
      </c>
      <c r="G254" s="13">
        <v>1.0</v>
      </c>
      <c r="H254" s="13">
        <v>1.0</v>
      </c>
      <c r="I254" s="13" t="s">
        <v>35</v>
      </c>
      <c r="J254" s="13" t="s">
        <v>42</v>
      </c>
      <c r="K254" s="13" t="s">
        <v>43</v>
      </c>
      <c r="L254" s="13"/>
    </row>
    <row r="255">
      <c r="A255" s="13">
        <v>253.0</v>
      </c>
      <c r="B255" s="13">
        <v>647.0</v>
      </c>
      <c r="C255" s="13">
        <v>32.0</v>
      </c>
      <c r="D255" s="12" t="s">
        <v>486</v>
      </c>
      <c r="E255" s="12" t="s">
        <v>487</v>
      </c>
      <c r="F255" s="13">
        <v>5.0</v>
      </c>
      <c r="G255" s="13">
        <v>1.0</v>
      </c>
      <c r="H255" s="13">
        <v>6.0</v>
      </c>
      <c r="I255" s="13" t="s">
        <v>41</v>
      </c>
      <c r="J255" s="13" t="s">
        <v>32</v>
      </c>
      <c r="K255" s="13" t="s">
        <v>92</v>
      </c>
      <c r="L255" s="13"/>
    </row>
    <row r="256">
      <c r="A256" s="13">
        <v>254.0</v>
      </c>
      <c r="B256" s="13">
        <v>840.0</v>
      </c>
      <c r="C256" s="13">
        <v>28.0</v>
      </c>
      <c r="D256" s="12"/>
      <c r="E256" s="12" t="s">
        <v>488</v>
      </c>
      <c r="F256" s="13">
        <v>5.0</v>
      </c>
      <c r="G256" s="13">
        <v>1.0</v>
      </c>
      <c r="H256" s="13">
        <v>0.0</v>
      </c>
      <c r="I256" s="13" t="s">
        <v>35</v>
      </c>
      <c r="J256" s="13" t="s">
        <v>46</v>
      </c>
      <c r="K256" s="13" t="s">
        <v>47</v>
      </c>
      <c r="L256" s="13"/>
    </row>
    <row r="257">
      <c r="A257" s="13">
        <v>255.0</v>
      </c>
      <c r="B257" s="13">
        <v>840.0</v>
      </c>
      <c r="C257" s="13">
        <v>51.0</v>
      </c>
      <c r="D257" s="12" t="s">
        <v>489</v>
      </c>
      <c r="E257" s="12" t="s">
        <v>490</v>
      </c>
      <c r="F257" s="13">
        <v>4.0</v>
      </c>
      <c r="G257" s="13">
        <v>1.0</v>
      </c>
      <c r="H257" s="13">
        <v>1.0</v>
      </c>
      <c r="I257" s="13" t="s">
        <v>35</v>
      </c>
      <c r="J257" s="13" t="s">
        <v>46</v>
      </c>
      <c r="K257" s="13" t="s">
        <v>47</v>
      </c>
      <c r="L257" s="13"/>
    </row>
    <row r="258">
      <c r="A258" s="13">
        <v>256.0</v>
      </c>
      <c r="B258" s="13">
        <v>840.0</v>
      </c>
      <c r="C258" s="13">
        <v>44.0</v>
      </c>
      <c r="D258" s="12" t="s">
        <v>491</v>
      </c>
      <c r="E258" s="12" t="s">
        <v>492</v>
      </c>
      <c r="F258" s="13">
        <v>5.0</v>
      </c>
      <c r="G258" s="13">
        <v>1.0</v>
      </c>
      <c r="H258" s="13">
        <v>1.0</v>
      </c>
      <c r="I258" s="13" t="s">
        <v>35</v>
      </c>
      <c r="J258" s="13" t="s">
        <v>46</v>
      </c>
      <c r="K258" s="13" t="s">
        <v>47</v>
      </c>
      <c r="L258" s="13"/>
    </row>
    <row r="259">
      <c r="A259" s="13">
        <v>257.0</v>
      </c>
      <c r="B259" s="13">
        <v>1018.0</v>
      </c>
      <c r="C259" s="13">
        <v>43.0</v>
      </c>
      <c r="D259" s="12" t="s">
        <v>493</v>
      </c>
      <c r="E259" s="12" t="s">
        <v>494</v>
      </c>
      <c r="F259" s="13">
        <v>4.0</v>
      </c>
      <c r="G259" s="13">
        <v>1.0</v>
      </c>
      <c r="H259" s="13">
        <v>0.0</v>
      </c>
      <c r="I259" s="13" t="s">
        <v>35</v>
      </c>
      <c r="J259" s="13" t="s">
        <v>42</v>
      </c>
      <c r="K259" s="13" t="s">
        <v>98</v>
      </c>
      <c r="L259" s="13"/>
    </row>
    <row r="260">
      <c r="A260" s="13">
        <v>258.0</v>
      </c>
      <c r="B260" s="13">
        <v>840.0</v>
      </c>
      <c r="C260" s="13">
        <v>48.0</v>
      </c>
      <c r="D260" s="12" t="s">
        <v>495</v>
      </c>
      <c r="E260" s="12" t="s">
        <v>496</v>
      </c>
      <c r="F260" s="13">
        <v>3.0</v>
      </c>
      <c r="G260" s="13">
        <v>0.0</v>
      </c>
      <c r="H260" s="13">
        <v>1.0</v>
      </c>
      <c r="I260" s="13" t="s">
        <v>35</v>
      </c>
      <c r="J260" s="13" t="s">
        <v>46</v>
      </c>
      <c r="K260" s="13" t="s">
        <v>47</v>
      </c>
      <c r="L260" s="13"/>
    </row>
    <row r="261">
      <c r="A261" s="13">
        <v>259.0</v>
      </c>
      <c r="B261" s="13">
        <v>824.0</v>
      </c>
      <c r="C261" s="13">
        <v>37.0</v>
      </c>
      <c r="D261" s="12" t="s">
        <v>162</v>
      </c>
      <c r="E261" s="12" t="s">
        <v>497</v>
      </c>
      <c r="F261" s="13">
        <v>5.0</v>
      </c>
      <c r="G261" s="13">
        <v>1.0</v>
      </c>
      <c r="H261" s="13">
        <v>1.0</v>
      </c>
      <c r="I261" s="13" t="s">
        <v>35</v>
      </c>
      <c r="J261" s="13" t="s">
        <v>46</v>
      </c>
      <c r="K261" s="13" t="s">
        <v>47</v>
      </c>
      <c r="L261" s="13"/>
    </row>
    <row r="262">
      <c r="A262" s="13">
        <v>260.0</v>
      </c>
      <c r="B262" s="13">
        <v>1115.0</v>
      </c>
      <c r="C262" s="13">
        <v>31.0</v>
      </c>
      <c r="D262" s="12" t="s">
        <v>498</v>
      </c>
      <c r="E262" s="12" t="s">
        <v>499</v>
      </c>
      <c r="F262" s="13">
        <v>5.0</v>
      </c>
      <c r="G262" s="13">
        <v>1.0</v>
      </c>
      <c r="H262" s="13">
        <v>2.0</v>
      </c>
      <c r="I262" s="13" t="s">
        <v>35</v>
      </c>
      <c r="J262" s="13" t="s">
        <v>76</v>
      </c>
      <c r="K262" s="13" t="s">
        <v>77</v>
      </c>
      <c r="L262" s="13"/>
    </row>
    <row r="263">
      <c r="A263" s="13">
        <v>261.0</v>
      </c>
      <c r="B263" s="13">
        <v>840.0</v>
      </c>
      <c r="C263" s="13">
        <v>50.0</v>
      </c>
      <c r="D263" s="12" t="s">
        <v>500</v>
      </c>
      <c r="E263" s="12" t="s">
        <v>501</v>
      </c>
      <c r="F263" s="13">
        <v>5.0</v>
      </c>
      <c r="G263" s="13">
        <v>1.0</v>
      </c>
      <c r="H263" s="13">
        <v>0.0</v>
      </c>
      <c r="I263" s="13" t="s">
        <v>35</v>
      </c>
      <c r="J263" s="13" t="s">
        <v>46</v>
      </c>
      <c r="K263" s="13" t="s">
        <v>47</v>
      </c>
      <c r="L263" s="13"/>
    </row>
    <row r="264">
      <c r="A264" s="13">
        <v>262.0</v>
      </c>
      <c r="B264" s="13">
        <v>878.0</v>
      </c>
      <c r="C264" s="13">
        <v>47.0</v>
      </c>
      <c r="D264" s="12" t="s">
        <v>502</v>
      </c>
      <c r="E264" s="12" t="s">
        <v>503</v>
      </c>
      <c r="F264" s="13">
        <v>3.0</v>
      </c>
      <c r="G264" s="13">
        <v>0.0</v>
      </c>
      <c r="H264" s="13">
        <v>1.0</v>
      </c>
      <c r="I264" s="13" t="s">
        <v>35</v>
      </c>
      <c r="J264" s="13" t="s">
        <v>46</v>
      </c>
      <c r="K264" s="13" t="s">
        <v>52</v>
      </c>
      <c r="L264" s="13"/>
    </row>
    <row r="265">
      <c r="A265" s="13">
        <v>263.0</v>
      </c>
      <c r="B265" s="13">
        <v>984.0</v>
      </c>
      <c r="C265" s="13">
        <v>56.0</v>
      </c>
      <c r="D265" s="12" t="s">
        <v>504</v>
      </c>
      <c r="E265" s="12" t="s">
        <v>505</v>
      </c>
      <c r="F265" s="13">
        <v>5.0</v>
      </c>
      <c r="G265" s="13">
        <v>1.0</v>
      </c>
      <c r="H265" s="13">
        <v>2.0</v>
      </c>
      <c r="I265" s="13" t="s">
        <v>41</v>
      </c>
      <c r="J265" s="13" t="s">
        <v>76</v>
      </c>
      <c r="K265" s="13" t="s">
        <v>76</v>
      </c>
      <c r="L265" s="13"/>
    </row>
    <row r="266">
      <c r="A266" s="13">
        <v>264.0</v>
      </c>
      <c r="B266" s="13">
        <v>1104.0</v>
      </c>
      <c r="C266" s="13">
        <v>25.0</v>
      </c>
      <c r="D266" s="12" t="s">
        <v>506</v>
      </c>
      <c r="E266" s="12" t="s">
        <v>507</v>
      </c>
      <c r="F266" s="13">
        <v>5.0</v>
      </c>
      <c r="G266" s="13">
        <v>1.0</v>
      </c>
      <c r="H266" s="13">
        <v>6.0</v>
      </c>
      <c r="I266" s="13" t="s">
        <v>35</v>
      </c>
      <c r="J266" s="13" t="s">
        <v>36</v>
      </c>
      <c r="K266" s="13" t="s">
        <v>36</v>
      </c>
      <c r="L266" s="13"/>
    </row>
    <row r="267">
      <c r="A267" s="13">
        <v>265.0</v>
      </c>
      <c r="B267" s="13">
        <v>878.0</v>
      </c>
      <c r="C267" s="13">
        <v>63.0</v>
      </c>
      <c r="D267" s="12"/>
      <c r="E267" s="12"/>
      <c r="F267" s="13">
        <v>4.0</v>
      </c>
      <c r="G267" s="13">
        <v>1.0</v>
      </c>
      <c r="H267" s="13">
        <v>0.0</v>
      </c>
      <c r="I267" s="13" t="s">
        <v>35</v>
      </c>
      <c r="J267" s="13" t="s">
        <v>46</v>
      </c>
      <c r="K267" s="13" t="s">
        <v>52</v>
      </c>
      <c r="L267" s="13"/>
    </row>
    <row r="268">
      <c r="A268" s="13">
        <v>266.0</v>
      </c>
      <c r="B268" s="13">
        <v>1104.0</v>
      </c>
      <c r="C268" s="13">
        <v>54.0</v>
      </c>
      <c r="D268" s="12" t="s">
        <v>508</v>
      </c>
      <c r="E268" s="12" t="s">
        <v>509</v>
      </c>
      <c r="F268" s="13">
        <v>5.0</v>
      </c>
      <c r="G268" s="13">
        <v>1.0</v>
      </c>
      <c r="H268" s="13">
        <v>0.0</v>
      </c>
      <c r="I268" s="13" t="s">
        <v>35</v>
      </c>
      <c r="J268" s="13" t="s">
        <v>36</v>
      </c>
      <c r="K268" s="13" t="s">
        <v>36</v>
      </c>
      <c r="L268" s="13"/>
    </row>
    <row r="269">
      <c r="A269" s="13">
        <v>267.0</v>
      </c>
      <c r="B269" s="13">
        <v>984.0</v>
      </c>
      <c r="C269" s="13">
        <v>28.0</v>
      </c>
      <c r="D269" s="12" t="s">
        <v>510</v>
      </c>
      <c r="E269" s="12" t="s">
        <v>511</v>
      </c>
      <c r="F269" s="13">
        <v>4.0</v>
      </c>
      <c r="G269" s="13">
        <v>1.0</v>
      </c>
      <c r="H269" s="13">
        <v>0.0</v>
      </c>
      <c r="I269" s="13" t="s">
        <v>41</v>
      </c>
      <c r="J269" s="13" t="s">
        <v>76</v>
      </c>
      <c r="K269" s="13" t="s">
        <v>76</v>
      </c>
      <c r="L269" s="13"/>
    </row>
    <row r="270">
      <c r="A270" s="13">
        <v>268.0</v>
      </c>
      <c r="B270" s="13">
        <v>866.0</v>
      </c>
      <c r="C270" s="13">
        <v>26.0</v>
      </c>
      <c r="D270" s="12" t="s">
        <v>512</v>
      </c>
      <c r="E270" s="12" t="s">
        <v>513</v>
      </c>
      <c r="F270" s="13">
        <v>4.0</v>
      </c>
      <c r="G270" s="13">
        <v>1.0</v>
      </c>
      <c r="H270" s="13">
        <v>0.0</v>
      </c>
      <c r="I270" s="13" t="s">
        <v>35</v>
      </c>
      <c r="J270" s="13" t="s">
        <v>46</v>
      </c>
      <c r="K270" s="13" t="s">
        <v>52</v>
      </c>
      <c r="L270" s="13"/>
    </row>
    <row r="271">
      <c r="A271" s="13">
        <v>269.0</v>
      </c>
      <c r="B271" s="13">
        <v>1104.0</v>
      </c>
      <c r="C271" s="13">
        <v>29.0</v>
      </c>
      <c r="D271" s="12"/>
      <c r="E271" s="12" t="s">
        <v>514</v>
      </c>
      <c r="F271" s="13">
        <v>5.0</v>
      </c>
      <c r="G271" s="13">
        <v>1.0</v>
      </c>
      <c r="H271" s="13">
        <v>0.0</v>
      </c>
      <c r="I271" s="13" t="s">
        <v>35</v>
      </c>
      <c r="J271" s="13" t="s">
        <v>36</v>
      </c>
      <c r="K271" s="13" t="s">
        <v>36</v>
      </c>
      <c r="L271" s="13"/>
    </row>
    <row r="272">
      <c r="A272" s="13">
        <v>270.0</v>
      </c>
      <c r="B272" s="13">
        <v>868.0</v>
      </c>
      <c r="C272" s="13">
        <v>61.0</v>
      </c>
      <c r="D272" s="12" t="s">
        <v>515</v>
      </c>
      <c r="E272" s="12" t="s">
        <v>516</v>
      </c>
      <c r="F272" s="13">
        <v>3.0</v>
      </c>
      <c r="G272" s="13">
        <v>1.0</v>
      </c>
      <c r="H272" s="13">
        <v>0.0</v>
      </c>
      <c r="I272" s="13" t="s">
        <v>35</v>
      </c>
      <c r="J272" s="13" t="s">
        <v>46</v>
      </c>
      <c r="K272" s="13" t="s">
        <v>52</v>
      </c>
      <c r="L272" s="13"/>
    </row>
    <row r="273">
      <c r="A273" s="13">
        <v>271.0</v>
      </c>
      <c r="B273" s="13">
        <v>984.0</v>
      </c>
      <c r="C273" s="13">
        <v>45.0</v>
      </c>
      <c r="D273" s="12" t="s">
        <v>517</v>
      </c>
      <c r="E273" s="12" t="s">
        <v>518</v>
      </c>
      <c r="F273" s="13">
        <v>5.0</v>
      </c>
      <c r="G273" s="13">
        <v>1.0</v>
      </c>
      <c r="H273" s="13">
        <v>1.0</v>
      </c>
      <c r="I273" s="13" t="s">
        <v>41</v>
      </c>
      <c r="J273" s="13" t="s">
        <v>76</v>
      </c>
      <c r="K273" s="13" t="s">
        <v>76</v>
      </c>
      <c r="L273" s="13"/>
    </row>
    <row r="274">
      <c r="A274" s="13">
        <v>272.0</v>
      </c>
      <c r="B274" s="13">
        <v>984.0</v>
      </c>
      <c r="C274" s="13">
        <v>39.0</v>
      </c>
      <c r="D274" s="12" t="s">
        <v>519</v>
      </c>
      <c r="E274" s="12" t="s">
        <v>520</v>
      </c>
      <c r="F274" s="13">
        <v>5.0</v>
      </c>
      <c r="G274" s="13">
        <v>1.0</v>
      </c>
      <c r="H274" s="13">
        <v>7.0</v>
      </c>
      <c r="I274" s="13" t="s">
        <v>41</v>
      </c>
      <c r="J274" s="13" t="s">
        <v>76</v>
      </c>
      <c r="K274" s="13" t="s">
        <v>76</v>
      </c>
      <c r="L274" s="13"/>
    </row>
    <row r="275">
      <c r="A275" s="13">
        <v>273.0</v>
      </c>
      <c r="B275" s="13">
        <v>1104.0</v>
      </c>
      <c r="C275" s="13">
        <v>36.0</v>
      </c>
      <c r="D275" s="12" t="s">
        <v>436</v>
      </c>
      <c r="E275" s="12" t="s">
        <v>521</v>
      </c>
      <c r="F275" s="13">
        <v>5.0</v>
      </c>
      <c r="G275" s="13">
        <v>1.0</v>
      </c>
      <c r="H275" s="13">
        <v>0.0</v>
      </c>
      <c r="I275" s="13" t="s">
        <v>35</v>
      </c>
      <c r="J275" s="13" t="s">
        <v>36</v>
      </c>
      <c r="K275" s="13" t="s">
        <v>36</v>
      </c>
      <c r="L275" s="13"/>
    </row>
    <row r="276">
      <c r="A276" s="13">
        <v>274.0</v>
      </c>
      <c r="B276" s="13">
        <v>878.0</v>
      </c>
      <c r="C276" s="13">
        <v>41.0</v>
      </c>
      <c r="D276" s="12" t="s">
        <v>522</v>
      </c>
      <c r="E276" s="12" t="s">
        <v>523</v>
      </c>
      <c r="F276" s="13">
        <v>5.0</v>
      </c>
      <c r="G276" s="13">
        <v>1.0</v>
      </c>
      <c r="H276" s="13">
        <v>11.0</v>
      </c>
      <c r="I276" s="13" t="s">
        <v>35</v>
      </c>
      <c r="J276" s="13" t="s">
        <v>46</v>
      </c>
      <c r="K276" s="13" t="s">
        <v>52</v>
      </c>
      <c r="L276" s="13"/>
    </row>
    <row r="277">
      <c r="A277" s="13">
        <v>275.0</v>
      </c>
      <c r="B277" s="13">
        <v>1182.0</v>
      </c>
      <c r="C277" s="13">
        <v>37.0</v>
      </c>
      <c r="D277" s="12" t="s">
        <v>524</v>
      </c>
      <c r="E277" s="12" t="s">
        <v>525</v>
      </c>
      <c r="F277" s="13">
        <v>5.0</v>
      </c>
      <c r="G277" s="13">
        <v>1.0</v>
      </c>
      <c r="H277" s="13">
        <v>0.0</v>
      </c>
      <c r="I277" s="13" t="s">
        <v>41</v>
      </c>
      <c r="J277" s="13" t="s">
        <v>46</v>
      </c>
      <c r="K277" s="13" t="s">
        <v>52</v>
      </c>
      <c r="L277" s="13"/>
    </row>
    <row r="278">
      <c r="A278" s="13">
        <v>276.0</v>
      </c>
      <c r="B278" s="13">
        <v>868.0</v>
      </c>
      <c r="C278" s="13">
        <v>55.0</v>
      </c>
      <c r="D278" s="12" t="s">
        <v>526</v>
      </c>
      <c r="E278" s="12" t="s">
        <v>527</v>
      </c>
      <c r="F278" s="13">
        <v>5.0</v>
      </c>
      <c r="G278" s="13">
        <v>1.0</v>
      </c>
      <c r="H278" s="13">
        <v>0.0</v>
      </c>
      <c r="I278" s="13" t="s">
        <v>35</v>
      </c>
      <c r="J278" s="13" t="s">
        <v>46</v>
      </c>
      <c r="K278" s="13" t="s">
        <v>52</v>
      </c>
      <c r="L278" s="13"/>
    </row>
    <row r="279">
      <c r="A279" s="13">
        <v>277.0</v>
      </c>
      <c r="B279" s="13">
        <v>868.0</v>
      </c>
      <c r="C279" s="13">
        <v>83.0</v>
      </c>
      <c r="D279" s="12" t="s">
        <v>528</v>
      </c>
      <c r="E279" s="12" t="s">
        <v>529</v>
      </c>
      <c r="F279" s="13">
        <v>5.0</v>
      </c>
      <c r="G279" s="13">
        <v>1.0</v>
      </c>
      <c r="H279" s="13">
        <v>1.0</v>
      </c>
      <c r="I279" s="13" t="s">
        <v>35</v>
      </c>
      <c r="J279" s="13" t="s">
        <v>46</v>
      </c>
      <c r="K279" s="13" t="s">
        <v>52</v>
      </c>
      <c r="L279" s="13"/>
    </row>
    <row r="280">
      <c r="A280" s="13">
        <v>278.0</v>
      </c>
      <c r="B280" s="13">
        <v>868.0</v>
      </c>
      <c r="C280" s="13">
        <v>35.0</v>
      </c>
      <c r="D280" s="12" t="s">
        <v>530</v>
      </c>
      <c r="E280" s="12" t="s">
        <v>531</v>
      </c>
      <c r="F280" s="13">
        <v>3.0</v>
      </c>
      <c r="G280" s="13">
        <v>1.0</v>
      </c>
      <c r="H280" s="13">
        <v>2.0</v>
      </c>
      <c r="I280" s="13" t="s">
        <v>35</v>
      </c>
      <c r="J280" s="13" t="s">
        <v>46</v>
      </c>
      <c r="K280" s="13" t="s">
        <v>52</v>
      </c>
      <c r="L280" s="13"/>
    </row>
    <row r="281">
      <c r="A281" s="13">
        <v>279.0</v>
      </c>
      <c r="B281" s="13">
        <v>565.0</v>
      </c>
      <c r="C281" s="13">
        <v>38.0</v>
      </c>
      <c r="D281" s="12"/>
      <c r="E281" s="12" t="s">
        <v>532</v>
      </c>
      <c r="F281" s="13">
        <v>5.0</v>
      </c>
      <c r="G281" s="13">
        <v>1.0</v>
      </c>
      <c r="H281" s="13">
        <v>3.0</v>
      </c>
      <c r="I281" s="13" t="s">
        <v>41</v>
      </c>
      <c r="J281" s="13" t="s">
        <v>374</v>
      </c>
      <c r="K281" s="13" t="s">
        <v>374</v>
      </c>
      <c r="L281" s="13"/>
    </row>
    <row r="282">
      <c r="A282" s="13">
        <v>280.0</v>
      </c>
      <c r="B282" s="13">
        <v>984.0</v>
      </c>
      <c r="C282" s="13">
        <v>35.0</v>
      </c>
      <c r="D282" s="12" t="s">
        <v>533</v>
      </c>
      <c r="E282" s="12" t="s">
        <v>534</v>
      </c>
      <c r="F282" s="13">
        <v>5.0</v>
      </c>
      <c r="G282" s="13">
        <v>1.0</v>
      </c>
      <c r="H282" s="13">
        <v>0.0</v>
      </c>
      <c r="I282" s="13" t="s">
        <v>41</v>
      </c>
      <c r="J282" s="13" t="s">
        <v>76</v>
      </c>
      <c r="K282" s="13" t="s">
        <v>76</v>
      </c>
      <c r="L282" s="13"/>
    </row>
    <row r="283">
      <c r="A283" s="13">
        <v>281.0</v>
      </c>
      <c r="B283" s="13">
        <v>1104.0</v>
      </c>
      <c r="C283" s="13">
        <v>45.0</v>
      </c>
      <c r="D283" s="12"/>
      <c r="E283" s="12" t="s">
        <v>535</v>
      </c>
      <c r="F283" s="13">
        <v>5.0</v>
      </c>
      <c r="G283" s="13">
        <v>1.0</v>
      </c>
      <c r="H283" s="13">
        <v>7.0</v>
      </c>
      <c r="I283" s="13" t="s">
        <v>35</v>
      </c>
      <c r="J283" s="13" t="s">
        <v>36</v>
      </c>
      <c r="K283" s="13" t="s">
        <v>36</v>
      </c>
      <c r="L283" s="13"/>
    </row>
    <row r="284">
      <c r="A284" s="13">
        <v>282.0</v>
      </c>
      <c r="B284" s="13">
        <v>868.0</v>
      </c>
      <c r="C284" s="13">
        <v>65.0</v>
      </c>
      <c r="D284" s="12"/>
      <c r="E284" s="12" t="s">
        <v>536</v>
      </c>
      <c r="F284" s="13">
        <v>5.0</v>
      </c>
      <c r="G284" s="13">
        <v>1.0</v>
      </c>
      <c r="H284" s="13">
        <v>4.0</v>
      </c>
      <c r="I284" s="13" t="s">
        <v>35</v>
      </c>
      <c r="J284" s="13" t="s">
        <v>46</v>
      </c>
      <c r="K284" s="13" t="s">
        <v>52</v>
      </c>
      <c r="L284" s="13"/>
    </row>
    <row r="285">
      <c r="A285" s="13">
        <v>283.0</v>
      </c>
      <c r="B285" s="13">
        <v>878.0</v>
      </c>
      <c r="C285" s="13">
        <v>41.0</v>
      </c>
      <c r="D285" s="12" t="s">
        <v>537</v>
      </c>
      <c r="E285" s="12" t="s">
        <v>538</v>
      </c>
      <c r="F285" s="13">
        <v>5.0</v>
      </c>
      <c r="G285" s="13">
        <v>1.0</v>
      </c>
      <c r="H285" s="13">
        <v>1.0</v>
      </c>
      <c r="I285" s="13" t="s">
        <v>35</v>
      </c>
      <c r="J285" s="13" t="s">
        <v>46</v>
      </c>
      <c r="K285" s="13" t="s">
        <v>52</v>
      </c>
      <c r="L285" s="13"/>
    </row>
    <row r="286">
      <c r="A286" s="13">
        <v>284.0</v>
      </c>
      <c r="B286" s="13">
        <v>868.0</v>
      </c>
      <c r="C286" s="13">
        <v>69.0</v>
      </c>
      <c r="D286" s="12" t="s">
        <v>539</v>
      </c>
      <c r="E286" s="12" t="s">
        <v>540</v>
      </c>
      <c r="F286" s="13">
        <v>4.0</v>
      </c>
      <c r="G286" s="13">
        <v>1.0</v>
      </c>
      <c r="H286" s="13">
        <v>0.0</v>
      </c>
      <c r="I286" s="13" t="s">
        <v>35</v>
      </c>
      <c r="J286" s="13" t="s">
        <v>46</v>
      </c>
      <c r="K286" s="13" t="s">
        <v>52</v>
      </c>
      <c r="L286" s="13"/>
    </row>
    <row r="287">
      <c r="A287" s="13">
        <v>285.0</v>
      </c>
      <c r="B287" s="13">
        <v>1104.0</v>
      </c>
      <c r="C287" s="13">
        <v>36.0</v>
      </c>
      <c r="D287" s="12" t="s">
        <v>110</v>
      </c>
      <c r="E287" s="12" t="s">
        <v>541</v>
      </c>
      <c r="F287" s="13">
        <v>5.0</v>
      </c>
      <c r="G287" s="13">
        <v>1.0</v>
      </c>
      <c r="H287" s="13">
        <v>0.0</v>
      </c>
      <c r="I287" s="13" t="s">
        <v>35</v>
      </c>
      <c r="J287" s="13" t="s">
        <v>36</v>
      </c>
      <c r="K287" s="13" t="s">
        <v>36</v>
      </c>
      <c r="L287" s="13"/>
    </row>
    <row r="288">
      <c r="A288" s="13">
        <v>286.0</v>
      </c>
      <c r="B288" s="13">
        <v>868.0</v>
      </c>
      <c r="C288" s="13">
        <v>42.0</v>
      </c>
      <c r="D288" s="12"/>
      <c r="E288" s="12" t="s">
        <v>542</v>
      </c>
      <c r="F288" s="13">
        <v>2.0</v>
      </c>
      <c r="G288" s="13">
        <v>0.0</v>
      </c>
      <c r="H288" s="13">
        <v>1.0</v>
      </c>
      <c r="I288" s="13" t="s">
        <v>35</v>
      </c>
      <c r="J288" s="13" t="s">
        <v>46</v>
      </c>
      <c r="K288" s="13" t="s">
        <v>52</v>
      </c>
      <c r="L288" s="13"/>
    </row>
    <row r="289">
      <c r="A289" s="13">
        <v>287.0</v>
      </c>
      <c r="B289" s="13">
        <v>984.0</v>
      </c>
      <c r="C289" s="13">
        <v>69.0</v>
      </c>
      <c r="D289" s="12"/>
      <c r="E289" s="12" t="s">
        <v>543</v>
      </c>
      <c r="F289" s="13">
        <v>5.0</v>
      </c>
      <c r="G289" s="13">
        <v>1.0</v>
      </c>
      <c r="H289" s="13">
        <v>0.0</v>
      </c>
      <c r="I289" s="13" t="s">
        <v>41</v>
      </c>
      <c r="J289" s="13" t="s">
        <v>76</v>
      </c>
      <c r="K289" s="13" t="s">
        <v>76</v>
      </c>
      <c r="L289" s="13"/>
    </row>
    <row r="290">
      <c r="A290" s="13">
        <v>288.0</v>
      </c>
      <c r="B290" s="13">
        <v>878.0</v>
      </c>
      <c r="C290" s="13">
        <v>46.0</v>
      </c>
      <c r="D290" s="12" t="s">
        <v>544</v>
      </c>
      <c r="E290" s="12" t="s">
        <v>545</v>
      </c>
      <c r="F290" s="13">
        <v>2.0</v>
      </c>
      <c r="G290" s="13">
        <v>0.0</v>
      </c>
      <c r="H290" s="13">
        <v>0.0</v>
      </c>
      <c r="I290" s="13" t="s">
        <v>35</v>
      </c>
      <c r="J290" s="13" t="s">
        <v>46</v>
      </c>
      <c r="K290" s="13" t="s">
        <v>52</v>
      </c>
      <c r="L290" s="13"/>
    </row>
    <row r="291">
      <c r="A291" s="13">
        <v>289.0</v>
      </c>
      <c r="B291" s="13">
        <v>984.0</v>
      </c>
      <c r="C291" s="13">
        <v>55.0</v>
      </c>
      <c r="D291" s="12" t="s">
        <v>546</v>
      </c>
      <c r="E291" s="12" t="s">
        <v>547</v>
      </c>
      <c r="F291" s="13">
        <v>5.0</v>
      </c>
      <c r="G291" s="13">
        <v>1.0</v>
      </c>
      <c r="H291" s="13">
        <v>0.0</v>
      </c>
      <c r="I291" s="13" t="s">
        <v>41</v>
      </c>
      <c r="J291" s="13" t="s">
        <v>76</v>
      </c>
      <c r="K291" s="13" t="s">
        <v>76</v>
      </c>
      <c r="L291" s="13"/>
    </row>
    <row r="292">
      <c r="A292" s="13">
        <v>290.0</v>
      </c>
      <c r="B292" s="13">
        <v>984.0</v>
      </c>
      <c r="C292" s="13">
        <v>36.0</v>
      </c>
      <c r="D292" s="12" t="s">
        <v>480</v>
      </c>
      <c r="E292" s="12" t="s">
        <v>548</v>
      </c>
      <c r="F292" s="13">
        <v>5.0</v>
      </c>
      <c r="G292" s="13">
        <v>1.0</v>
      </c>
      <c r="H292" s="13">
        <v>2.0</v>
      </c>
      <c r="I292" s="13" t="s">
        <v>41</v>
      </c>
      <c r="J292" s="13" t="s">
        <v>76</v>
      </c>
      <c r="K292" s="13" t="s">
        <v>76</v>
      </c>
      <c r="L292" s="13"/>
    </row>
    <row r="293">
      <c r="A293" s="13">
        <v>291.0</v>
      </c>
      <c r="B293" s="13">
        <v>984.0</v>
      </c>
      <c r="C293" s="13">
        <v>71.0</v>
      </c>
      <c r="D293" s="12"/>
      <c r="E293" s="12" t="s">
        <v>549</v>
      </c>
      <c r="F293" s="13">
        <v>5.0</v>
      </c>
      <c r="G293" s="13">
        <v>1.0</v>
      </c>
      <c r="H293" s="13">
        <v>0.0</v>
      </c>
      <c r="I293" s="13" t="s">
        <v>41</v>
      </c>
      <c r="J293" s="13" t="s">
        <v>76</v>
      </c>
      <c r="K293" s="13" t="s">
        <v>76</v>
      </c>
      <c r="L293" s="13"/>
    </row>
    <row r="294">
      <c r="A294" s="13">
        <v>292.0</v>
      </c>
      <c r="B294" s="13">
        <v>1024.0</v>
      </c>
      <c r="C294" s="13">
        <v>65.0</v>
      </c>
      <c r="D294" s="12" t="s">
        <v>550</v>
      </c>
      <c r="E294" s="12" t="s">
        <v>551</v>
      </c>
      <c r="F294" s="13">
        <v>5.0</v>
      </c>
      <c r="G294" s="13">
        <v>1.0</v>
      </c>
      <c r="H294" s="13">
        <v>0.0</v>
      </c>
      <c r="I294" s="13" t="s">
        <v>35</v>
      </c>
      <c r="J294" s="13" t="s">
        <v>42</v>
      </c>
      <c r="K294" s="13" t="s">
        <v>435</v>
      </c>
      <c r="L294" s="13"/>
    </row>
    <row r="295">
      <c r="A295" s="13">
        <v>293.0</v>
      </c>
      <c r="B295" s="13">
        <v>984.0</v>
      </c>
      <c r="C295" s="13">
        <v>68.0</v>
      </c>
      <c r="D295" s="12" t="s">
        <v>552</v>
      </c>
      <c r="E295" s="12" t="s">
        <v>553</v>
      </c>
      <c r="F295" s="13">
        <v>3.0</v>
      </c>
      <c r="G295" s="13">
        <v>1.0</v>
      </c>
      <c r="H295" s="13">
        <v>16.0</v>
      </c>
      <c r="I295" s="13" t="s">
        <v>41</v>
      </c>
      <c r="J295" s="13" t="s">
        <v>76</v>
      </c>
      <c r="K295" s="13" t="s">
        <v>76</v>
      </c>
      <c r="L295" s="13"/>
    </row>
    <row r="296">
      <c r="A296" s="13">
        <v>294.0</v>
      </c>
      <c r="B296" s="13">
        <v>984.0</v>
      </c>
      <c r="C296" s="13">
        <v>43.0</v>
      </c>
      <c r="D296" s="12" t="s">
        <v>554</v>
      </c>
      <c r="E296" s="12" t="s">
        <v>555</v>
      </c>
      <c r="F296" s="13">
        <v>5.0</v>
      </c>
      <c r="G296" s="13">
        <v>1.0</v>
      </c>
      <c r="H296" s="13">
        <v>3.0</v>
      </c>
      <c r="I296" s="13" t="s">
        <v>41</v>
      </c>
      <c r="J296" s="13" t="s">
        <v>76</v>
      </c>
      <c r="K296" s="13" t="s">
        <v>76</v>
      </c>
      <c r="L296" s="13"/>
    </row>
    <row r="297">
      <c r="A297" s="13">
        <v>295.0</v>
      </c>
      <c r="B297" s="13">
        <v>1104.0</v>
      </c>
      <c r="C297" s="13">
        <v>30.0</v>
      </c>
      <c r="D297" s="12"/>
      <c r="E297" s="12" t="s">
        <v>556</v>
      </c>
      <c r="F297" s="13">
        <v>5.0</v>
      </c>
      <c r="G297" s="13">
        <v>1.0</v>
      </c>
      <c r="H297" s="13">
        <v>7.0</v>
      </c>
      <c r="I297" s="13" t="s">
        <v>35</v>
      </c>
      <c r="J297" s="13" t="s">
        <v>36</v>
      </c>
      <c r="K297" s="13" t="s">
        <v>36</v>
      </c>
      <c r="L297" s="13"/>
    </row>
    <row r="298">
      <c r="A298" s="13">
        <v>296.0</v>
      </c>
      <c r="B298" s="13">
        <v>1024.0</v>
      </c>
      <c r="C298" s="13">
        <v>40.0</v>
      </c>
      <c r="D298" s="12" t="s">
        <v>557</v>
      </c>
      <c r="E298" s="12" t="s">
        <v>558</v>
      </c>
      <c r="F298" s="13">
        <v>5.0</v>
      </c>
      <c r="G298" s="13">
        <v>1.0</v>
      </c>
      <c r="H298" s="13">
        <v>0.0</v>
      </c>
      <c r="I298" s="13" t="s">
        <v>35</v>
      </c>
      <c r="J298" s="13" t="s">
        <v>42</v>
      </c>
      <c r="K298" s="13" t="s">
        <v>435</v>
      </c>
      <c r="L298" s="13"/>
    </row>
    <row r="299">
      <c r="A299" s="13">
        <v>297.0</v>
      </c>
      <c r="B299" s="13">
        <v>984.0</v>
      </c>
      <c r="C299" s="13">
        <v>47.0</v>
      </c>
      <c r="D299" s="12" t="s">
        <v>559</v>
      </c>
      <c r="E299" s="12" t="s">
        <v>560</v>
      </c>
      <c r="F299" s="13">
        <v>5.0</v>
      </c>
      <c r="G299" s="13">
        <v>1.0</v>
      </c>
      <c r="H299" s="13">
        <v>0.0</v>
      </c>
      <c r="I299" s="13" t="s">
        <v>41</v>
      </c>
      <c r="J299" s="13" t="s">
        <v>76</v>
      </c>
      <c r="K299" s="13" t="s">
        <v>76</v>
      </c>
      <c r="L299" s="13"/>
    </row>
    <row r="300">
      <c r="A300" s="13">
        <v>298.0</v>
      </c>
      <c r="B300" s="13">
        <v>1104.0</v>
      </c>
      <c r="C300" s="13">
        <v>39.0</v>
      </c>
      <c r="D300" s="12"/>
      <c r="E300" s="12"/>
      <c r="F300" s="13">
        <v>5.0</v>
      </c>
      <c r="G300" s="13">
        <v>1.0</v>
      </c>
      <c r="H300" s="13">
        <v>0.0</v>
      </c>
      <c r="I300" s="13" t="s">
        <v>35</v>
      </c>
      <c r="J300" s="13" t="s">
        <v>36</v>
      </c>
      <c r="K300" s="13" t="s">
        <v>36</v>
      </c>
      <c r="L300" s="13"/>
    </row>
    <row r="301">
      <c r="A301" s="13">
        <v>299.0</v>
      </c>
      <c r="B301" s="13">
        <v>984.0</v>
      </c>
      <c r="C301" s="13">
        <v>34.0</v>
      </c>
      <c r="D301" s="12" t="s">
        <v>561</v>
      </c>
      <c r="E301" s="12" t="s">
        <v>562</v>
      </c>
      <c r="F301" s="13">
        <v>5.0</v>
      </c>
      <c r="G301" s="13">
        <v>1.0</v>
      </c>
      <c r="H301" s="13">
        <v>0.0</v>
      </c>
      <c r="I301" s="13" t="s">
        <v>41</v>
      </c>
      <c r="J301" s="13" t="s">
        <v>76</v>
      </c>
      <c r="K301" s="13" t="s">
        <v>76</v>
      </c>
      <c r="L301" s="13"/>
    </row>
    <row r="302">
      <c r="A302" s="13">
        <v>300.0</v>
      </c>
      <c r="B302" s="13">
        <v>1104.0</v>
      </c>
      <c r="C302" s="13">
        <v>38.0</v>
      </c>
      <c r="D302" s="12"/>
      <c r="E302" s="12" t="s">
        <v>563</v>
      </c>
      <c r="F302" s="13">
        <v>4.0</v>
      </c>
      <c r="G302" s="13">
        <v>1.0</v>
      </c>
      <c r="H302" s="13">
        <v>1.0</v>
      </c>
      <c r="I302" s="13" t="s">
        <v>35</v>
      </c>
      <c r="J302" s="13" t="s">
        <v>36</v>
      </c>
      <c r="K302" s="13" t="s">
        <v>36</v>
      </c>
      <c r="L302" s="13"/>
    </row>
    <row r="303">
      <c r="A303" s="13">
        <v>301.0</v>
      </c>
      <c r="B303" s="13">
        <v>984.0</v>
      </c>
      <c r="C303" s="13">
        <v>38.0</v>
      </c>
      <c r="D303" s="12" t="s">
        <v>564</v>
      </c>
      <c r="E303" s="12" t="s">
        <v>565</v>
      </c>
      <c r="F303" s="13">
        <v>5.0</v>
      </c>
      <c r="G303" s="13">
        <v>1.0</v>
      </c>
      <c r="H303" s="13">
        <v>0.0</v>
      </c>
      <c r="I303" s="13" t="s">
        <v>41</v>
      </c>
      <c r="J303" s="13" t="s">
        <v>76</v>
      </c>
      <c r="K303" s="13" t="s">
        <v>76</v>
      </c>
      <c r="L303" s="13"/>
    </row>
    <row r="304">
      <c r="A304" s="13">
        <v>302.0</v>
      </c>
      <c r="B304" s="13">
        <v>895.0</v>
      </c>
      <c r="C304" s="13">
        <v>36.0</v>
      </c>
      <c r="D304" s="12"/>
      <c r="E304" s="12" t="s">
        <v>566</v>
      </c>
      <c r="F304" s="13">
        <v>5.0</v>
      </c>
      <c r="G304" s="13">
        <v>1.0</v>
      </c>
      <c r="H304" s="13">
        <v>0.0</v>
      </c>
      <c r="I304" s="13" t="s">
        <v>35</v>
      </c>
      <c r="J304" s="13" t="s">
        <v>46</v>
      </c>
      <c r="K304" s="13" t="s">
        <v>123</v>
      </c>
      <c r="L304" s="13"/>
    </row>
    <row r="305">
      <c r="A305" s="13">
        <v>303.0</v>
      </c>
      <c r="B305" s="13">
        <v>1104.0</v>
      </c>
      <c r="C305" s="13">
        <v>41.0</v>
      </c>
      <c r="D305" s="12" t="s">
        <v>567</v>
      </c>
      <c r="E305" s="12" t="s">
        <v>568</v>
      </c>
      <c r="F305" s="13">
        <v>5.0</v>
      </c>
      <c r="G305" s="13">
        <v>1.0</v>
      </c>
      <c r="H305" s="13">
        <v>0.0</v>
      </c>
      <c r="I305" s="13" t="s">
        <v>35</v>
      </c>
      <c r="J305" s="13" t="s">
        <v>36</v>
      </c>
      <c r="K305" s="13" t="s">
        <v>36</v>
      </c>
      <c r="L305" s="13"/>
    </row>
    <row r="306">
      <c r="A306" s="13">
        <v>304.0</v>
      </c>
      <c r="B306" s="13">
        <v>1131.0</v>
      </c>
      <c r="C306" s="13">
        <v>36.0</v>
      </c>
      <c r="D306" s="12" t="s">
        <v>569</v>
      </c>
      <c r="E306" s="12" t="s">
        <v>570</v>
      </c>
      <c r="F306" s="13">
        <v>3.0</v>
      </c>
      <c r="G306" s="13">
        <v>1.0</v>
      </c>
      <c r="H306" s="13">
        <v>2.0</v>
      </c>
      <c r="I306" s="13" t="s">
        <v>35</v>
      </c>
      <c r="J306" s="13" t="s">
        <v>76</v>
      </c>
      <c r="K306" s="13" t="s">
        <v>77</v>
      </c>
      <c r="L306" s="13"/>
    </row>
    <row r="307">
      <c r="A307" s="13">
        <v>305.0</v>
      </c>
      <c r="B307" s="13">
        <v>984.0</v>
      </c>
      <c r="C307" s="13">
        <v>47.0</v>
      </c>
      <c r="D307" s="12" t="s">
        <v>571</v>
      </c>
      <c r="E307" s="12" t="s">
        <v>572</v>
      </c>
      <c r="F307" s="13">
        <v>5.0</v>
      </c>
      <c r="G307" s="13">
        <v>1.0</v>
      </c>
      <c r="H307" s="13">
        <v>0.0</v>
      </c>
      <c r="I307" s="13" t="s">
        <v>41</v>
      </c>
      <c r="J307" s="13" t="s">
        <v>76</v>
      </c>
      <c r="K307" s="13" t="s">
        <v>76</v>
      </c>
      <c r="L307" s="13"/>
    </row>
    <row r="308">
      <c r="A308" s="13">
        <v>306.0</v>
      </c>
      <c r="B308" s="13">
        <v>1104.0</v>
      </c>
      <c r="C308" s="13">
        <v>63.0</v>
      </c>
      <c r="D308" s="12" t="s">
        <v>573</v>
      </c>
      <c r="E308" s="12" t="s">
        <v>574</v>
      </c>
      <c r="F308" s="13">
        <v>5.0</v>
      </c>
      <c r="G308" s="13">
        <v>1.0</v>
      </c>
      <c r="H308" s="13">
        <v>0.0</v>
      </c>
      <c r="I308" s="13" t="s">
        <v>35</v>
      </c>
      <c r="J308" s="13" t="s">
        <v>36</v>
      </c>
      <c r="K308" s="13" t="s">
        <v>36</v>
      </c>
      <c r="L308" s="13"/>
    </row>
    <row r="309">
      <c r="A309" s="13">
        <v>307.0</v>
      </c>
      <c r="B309" s="13">
        <v>831.0</v>
      </c>
      <c r="C309" s="13">
        <v>35.0</v>
      </c>
      <c r="D309" s="12" t="s">
        <v>575</v>
      </c>
      <c r="E309" s="12" t="s">
        <v>576</v>
      </c>
      <c r="F309" s="13">
        <v>5.0</v>
      </c>
      <c r="G309" s="13">
        <v>1.0</v>
      </c>
      <c r="H309" s="13">
        <v>0.0</v>
      </c>
      <c r="I309" s="13" t="s">
        <v>35</v>
      </c>
      <c r="J309" s="13" t="s">
        <v>46</v>
      </c>
      <c r="K309" s="13" t="s">
        <v>47</v>
      </c>
      <c r="L309" s="13"/>
    </row>
    <row r="310">
      <c r="A310" s="13">
        <v>308.0</v>
      </c>
      <c r="B310" s="13">
        <v>984.0</v>
      </c>
      <c r="C310" s="13">
        <v>35.0</v>
      </c>
      <c r="D310" s="12" t="s">
        <v>577</v>
      </c>
      <c r="E310" s="12" t="s">
        <v>578</v>
      </c>
      <c r="F310" s="13">
        <v>4.0</v>
      </c>
      <c r="G310" s="13">
        <v>1.0</v>
      </c>
      <c r="H310" s="13">
        <v>2.0</v>
      </c>
      <c r="I310" s="13" t="s">
        <v>41</v>
      </c>
      <c r="J310" s="13" t="s">
        <v>76</v>
      </c>
      <c r="K310" s="13" t="s">
        <v>76</v>
      </c>
      <c r="L310" s="13"/>
    </row>
    <row r="311">
      <c r="A311" s="13">
        <v>309.0</v>
      </c>
      <c r="B311" s="13">
        <v>1104.0</v>
      </c>
      <c r="C311" s="13">
        <v>56.0</v>
      </c>
      <c r="D311" s="12" t="s">
        <v>579</v>
      </c>
      <c r="E311" s="12" t="s">
        <v>580</v>
      </c>
      <c r="F311" s="13">
        <v>5.0</v>
      </c>
      <c r="G311" s="13">
        <v>1.0</v>
      </c>
      <c r="H311" s="13">
        <v>0.0</v>
      </c>
      <c r="I311" s="13" t="s">
        <v>35</v>
      </c>
      <c r="J311" s="13" t="s">
        <v>36</v>
      </c>
      <c r="K311" s="13" t="s">
        <v>36</v>
      </c>
      <c r="L311" s="13"/>
    </row>
    <row r="312">
      <c r="A312" s="13">
        <v>310.0</v>
      </c>
      <c r="B312" s="13">
        <v>836.0</v>
      </c>
      <c r="C312" s="13">
        <v>41.0</v>
      </c>
      <c r="D312" s="12" t="s">
        <v>144</v>
      </c>
      <c r="E312" s="12" t="s">
        <v>581</v>
      </c>
      <c r="F312" s="13">
        <v>5.0</v>
      </c>
      <c r="G312" s="13">
        <v>1.0</v>
      </c>
      <c r="H312" s="13">
        <v>0.0</v>
      </c>
      <c r="I312" s="13" t="s">
        <v>35</v>
      </c>
      <c r="J312" s="13" t="s">
        <v>46</v>
      </c>
      <c r="K312" s="13" t="s">
        <v>47</v>
      </c>
      <c r="L312" s="13"/>
    </row>
    <row r="313">
      <c r="A313" s="13">
        <v>311.0</v>
      </c>
      <c r="B313" s="13">
        <v>1089.0</v>
      </c>
      <c r="C313" s="13">
        <v>37.0</v>
      </c>
      <c r="D313" s="12" t="s">
        <v>582</v>
      </c>
      <c r="E313" s="12" t="s">
        <v>583</v>
      </c>
      <c r="F313" s="13">
        <v>3.0</v>
      </c>
      <c r="G313" s="13">
        <v>0.0</v>
      </c>
      <c r="H313" s="13">
        <v>6.0</v>
      </c>
      <c r="I313" s="13" t="s">
        <v>41</v>
      </c>
      <c r="J313" s="13" t="s">
        <v>36</v>
      </c>
      <c r="K313" s="13" t="s">
        <v>36</v>
      </c>
      <c r="L313" s="13"/>
    </row>
    <row r="314">
      <c r="A314" s="13">
        <v>312.0</v>
      </c>
      <c r="B314" s="13">
        <v>844.0</v>
      </c>
      <c r="C314" s="13">
        <v>34.0</v>
      </c>
      <c r="D314" s="12" t="s">
        <v>584</v>
      </c>
      <c r="E314" s="12" t="s">
        <v>585</v>
      </c>
      <c r="F314" s="13">
        <v>3.0</v>
      </c>
      <c r="G314" s="13">
        <v>0.0</v>
      </c>
      <c r="H314" s="13">
        <v>0.0</v>
      </c>
      <c r="I314" s="13" t="s">
        <v>41</v>
      </c>
      <c r="J314" s="13" t="s">
        <v>46</v>
      </c>
      <c r="K314" s="13" t="s">
        <v>47</v>
      </c>
      <c r="L314" s="13"/>
    </row>
    <row r="315">
      <c r="A315" s="13">
        <v>313.0</v>
      </c>
      <c r="B315" s="13">
        <v>836.0</v>
      </c>
      <c r="C315" s="13">
        <v>32.0</v>
      </c>
      <c r="D315" s="12" t="s">
        <v>586</v>
      </c>
      <c r="E315" s="12" t="s">
        <v>587</v>
      </c>
      <c r="F315" s="13">
        <v>4.0</v>
      </c>
      <c r="G315" s="13">
        <v>1.0</v>
      </c>
      <c r="H315" s="13">
        <v>4.0</v>
      </c>
      <c r="I315" s="13" t="s">
        <v>35</v>
      </c>
      <c r="J315" s="13" t="s">
        <v>46</v>
      </c>
      <c r="K315" s="13" t="s">
        <v>47</v>
      </c>
      <c r="L315" s="13"/>
    </row>
    <row r="316">
      <c r="A316" s="13">
        <v>314.0</v>
      </c>
      <c r="B316" s="13">
        <v>836.0</v>
      </c>
      <c r="C316" s="13">
        <v>60.0</v>
      </c>
      <c r="D316" s="12" t="s">
        <v>588</v>
      </c>
      <c r="E316" s="12" t="s">
        <v>589</v>
      </c>
      <c r="F316" s="13">
        <v>3.0</v>
      </c>
      <c r="G316" s="13">
        <v>0.0</v>
      </c>
      <c r="H316" s="13">
        <v>3.0</v>
      </c>
      <c r="I316" s="13" t="s">
        <v>35</v>
      </c>
      <c r="J316" s="13" t="s">
        <v>46</v>
      </c>
      <c r="K316" s="13" t="s">
        <v>47</v>
      </c>
      <c r="L316" s="13"/>
    </row>
    <row r="317">
      <c r="A317" s="13">
        <v>315.0</v>
      </c>
      <c r="B317" s="13">
        <v>836.0</v>
      </c>
      <c r="C317" s="13">
        <v>21.0</v>
      </c>
      <c r="D317" s="12" t="s">
        <v>590</v>
      </c>
      <c r="E317" s="12" t="s">
        <v>591</v>
      </c>
      <c r="F317" s="13">
        <v>5.0</v>
      </c>
      <c r="G317" s="13">
        <v>1.0</v>
      </c>
      <c r="H317" s="13">
        <v>8.0</v>
      </c>
      <c r="I317" s="13" t="s">
        <v>35</v>
      </c>
      <c r="J317" s="13" t="s">
        <v>46</v>
      </c>
      <c r="K317" s="13" t="s">
        <v>47</v>
      </c>
      <c r="L317" s="13"/>
    </row>
    <row r="318">
      <c r="A318" s="13">
        <v>316.0</v>
      </c>
      <c r="B318" s="13">
        <v>836.0</v>
      </c>
      <c r="C318" s="13">
        <v>59.0</v>
      </c>
      <c r="D318" s="12" t="s">
        <v>592</v>
      </c>
      <c r="E318" s="12" t="s">
        <v>593</v>
      </c>
      <c r="F318" s="13">
        <v>5.0</v>
      </c>
      <c r="G318" s="13">
        <v>1.0</v>
      </c>
      <c r="H318" s="13">
        <v>0.0</v>
      </c>
      <c r="I318" s="13" t="s">
        <v>35</v>
      </c>
      <c r="J318" s="13" t="s">
        <v>46</v>
      </c>
      <c r="K318" s="13" t="s">
        <v>47</v>
      </c>
      <c r="L318" s="13"/>
    </row>
    <row r="319">
      <c r="A319" s="13">
        <v>317.0</v>
      </c>
      <c r="B319" s="13">
        <v>844.0</v>
      </c>
      <c r="C319" s="13">
        <v>53.0</v>
      </c>
      <c r="D319" s="12" t="s">
        <v>594</v>
      </c>
      <c r="E319" s="12" t="s">
        <v>595</v>
      </c>
      <c r="F319" s="13">
        <v>5.0</v>
      </c>
      <c r="G319" s="13">
        <v>1.0</v>
      </c>
      <c r="H319" s="13">
        <v>4.0</v>
      </c>
      <c r="I319" s="13" t="s">
        <v>41</v>
      </c>
      <c r="J319" s="13" t="s">
        <v>46</v>
      </c>
      <c r="K319" s="13" t="s">
        <v>47</v>
      </c>
      <c r="L319" s="13"/>
    </row>
    <row r="320">
      <c r="A320" s="13">
        <v>318.0</v>
      </c>
      <c r="B320" s="13">
        <v>936.0</v>
      </c>
      <c r="C320" s="13">
        <v>27.0</v>
      </c>
      <c r="D320" s="12" t="s">
        <v>596</v>
      </c>
      <c r="E320" s="12" t="s">
        <v>597</v>
      </c>
      <c r="F320" s="13">
        <v>5.0</v>
      </c>
      <c r="G320" s="13">
        <v>1.0</v>
      </c>
      <c r="H320" s="13">
        <v>2.0</v>
      </c>
      <c r="I320" s="13" t="s">
        <v>41</v>
      </c>
      <c r="J320" s="13" t="s">
        <v>46</v>
      </c>
      <c r="K320" s="13" t="s">
        <v>95</v>
      </c>
      <c r="L320" s="13"/>
    </row>
    <row r="321">
      <c r="A321" s="13">
        <v>319.0</v>
      </c>
      <c r="B321" s="13">
        <v>895.0</v>
      </c>
      <c r="C321" s="13">
        <v>62.0</v>
      </c>
      <c r="D321" s="12" t="s">
        <v>598</v>
      </c>
      <c r="E321" s="12" t="s">
        <v>599</v>
      </c>
      <c r="F321" s="13">
        <v>5.0</v>
      </c>
      <c r="G321" s="13">
        <v>1.0</v>
      </c>
      <c r="H321" s="13">
        <v>7.0</v>
      </c>
      <c r="I321" s="13" t="s">
        <v>35</v>
      </c>
      <c r="J321" s="13" t="s">
        <v>46</v>
      </c>
      <c r="K321" s="13" t="s">
        <v>123</v>
      </c>
      <c r="L321" s="13"/>
    </row>
    <row r="322">
      <c r="A322" s="13">
        <v>320.0</v>
      </c>
      <c r="B322" s="13">
        <v>836.0</v>
      </c>
      <c r="C322" s="13">
        <v>41.0</v>
      </c>
      <c r="D322" s="12"/>
      <c r="E322" s="12" t="s">
        <v>600</v>
      </c>
      <c r="F322" s="13">
        <v>5.0</v>
      </c>
      <c r="G322" s="13">
        <v>1.0</v>
      </c>
      <c r="H322" s="13">
        <v>23.0</v>
      </c>
      <c r="I322" s="13" t="s">
        <v>35</v>
      </c>
      <c r="J322" s="13" t="s">
        <v>46</v>
      </c>
      <c r="K322" s="13" t="s">
        <v>47</v>
      </c>
      <c r="L322" s="13"/>
    </row>
    <row r="323">
      <c r="A323" s="13">
        <v>321.0</v>
      </c>
      <c r="B323" s="13">
        <v>831.0</v>
      </c>
      <c r="C323" s="13">
        <v>50.0</v>
      </c>
      <c r="D323" s="12" t="s">
        <v>601</v>
      </c>
      <c r="E323" s="12" t="s">
        <v>602</v>
      </c>
      <c r="F323" s="13">
        <v>5.0</v>
      </c>
      <c r="G323" s="13">
        <v>1.0</v>
      </c>
      <c r="H323" s="13">
        <v>3.0</v>
      </c>
      <c r="I323" s="13" t="s">
        <v>35</v>
      </c>
      <c r="J323" s="13" t="s">
        <v>46</v>
      </c>
      <c r="K323" s="13" t="s">
        <v>47</v>
      </c>
      <c r="L323" s="13"/>
    </row>
    <row r="324">
      <c r="A324" s="13">
        <v>322.0</v>
      </c>
      <c r="B324" s="13">
        <v>844.0</v>
      </c>
      <c r="C324" s="13">
        <v>54.0</v>
      </c>
      <c r="D324" s="12" t="s">
        <v>603</v>
      </c>
      <c r="E324" s="12" t="s">
        <v>604</v>
      </c>
      <c r="F324" s="13">
        <v>5.0</v>
      </c>
      <c r="G324" s="13">
        <v>1.0</v>
      </c>
      <c r="H324" s="13">
        <v>13.0</v>
      </c>
      <c r="I324" s="13" t="s">
        <v>41</v>
      </c>
      <c r="J324" s="13" t="s">
        <v>46</v>
      </c>
      <c r="K324" s="13" t="s">
        <v>47</v>
      </c>
      <c r="L324" s="13"/>
    </row>
    <row r="325">
      <c r="A325" s="13">
        <v>323.0</v>
      </c>
      <c r="B325" s="13">
        <v>895.0</v>
      </c>
      <c r="C325" s="13">
        <v>47.0</v>
      </c>
      <c r="D325" s="12"/>
      <c r="E325" s="12"/>
      <c r="F325" s="13">
        <v>5.0</v>
      </c>
      <c r="G325" s="13">
        <v>1.0</v>
      </c>
      <c r="H325" s="13">
        <v>0.0</v>
      </c>
      <c r="I325" s="13" t="s">
        <v>35</v>
      </c>
      <c r="J325" s="13" t="s">
        <v>46</v>
      </c>
      <c r="K325" s="13" t="s">
        <v>123</v>
      </c>
      <c r="L325" s="13"/>
    </row>
    <row r="326">
      <c r="A326" s="13">
        <v>324.0</v>
      </c>
      <c r="B326" s="13">
        <v>1066.0</v>
      </c>
      <c r="C326" s="13">
        <v>41.0</v>
      </c>
      <c r="D326" s="12" t="s">
        <v>112</v>
      </c>
      <c r="E326" s="12" t="s">
        <v>605</v>
      </c>
      <c r="F326" s="13">
        <v>5.0</v>
      </c>
      <c r="G326" s="13">
        <v>1.0</v>
      </c>
      <c r="H326" s="13">
        <v>0.0</v>
      </c>
      <c r="I326" s="13" t="s">
        <v>35</v>
      </c>
      <c r="J326" s="13" t="s">
        <v>42</v>
      </c>
      <c r="K326" s="13" t="s">
        <v>43</v>
      </c>
      <c r="L326" s="13"/>
    </row>
    <row r="327">
      <c r="A327" s="13">
        <v>325.0</v>
      </c>
      <c r="B327" s="13">
        <v>844.0</v>
      </c>
      <c r="C327" s="13">
        <v>43.0</v>
      </c>
      <c r="D327" s="12" t="s">
        <v>606</v>
      </c>
      <c r="E327" s="12" t="s">
        <v>607</v>
      </c>
      <c r="F327" s="13">
        <v>2.0</v>
      </c>
      <c r="G327" s="13">
        <v>0.0</v>
      </c>
      <c r="H327" s="13">
        <v>0.0</v>
      </c>
      <c r="I327" s="13" t="s">
        <v>41</v>
      </c>
      <c r="J327" s="13" t="s">
        <v>46</v>
      </c>
      <c r="K327" s="13" t="s">
        <v>47</v>
      </c>
      <c r="L327" s="13"/>
    </row>
    <row r="328">
      <c r="A328" s="13">
        <v>326.0</v>
      </c>
      <c r="B328" s="13">
        <v>836.0</v>
      </c>
      <c r="C328" s="13">
        <v>43.0</v>
      </c>
      <c r="D328" s="12" t="s">
        <v>608</v>
      </c>
      <c r="E328" s="12" t="s">
        <v>609</v>
      </c>
      <c r="F328" s="13">
        <v>5.0</v>
      </c>
      <c r="G328" s="13">
        <v>1.0</v>
      </c>
      <c r="H328" s="13">
        <v>1.0</v>
      </c>
      <c r="I328" s="13" t="s">
        <v>35</v>
      </c>
      <c r="J328" s="13" t="s">
        <v>46</v>
      </c>
      <c r="K328" s="13" t="s">
        <v>47</v>
      </c>
      <c r="L328" s="13"/>
    </row>
    <row r="329">
      <c r="A329" s="13">
        <v>327.0</v>
      </c>
      <c r="B329" s="13">
        <v>836.0</v>
      </c>
      <c r="C329" s="13">
        <v>23.0</v>
      </c>
      <c r="D329" s="12" t="s">
        <v>610</v>
      </c>
      <c r="E329" s="12" t="s">
        <v>611</v>
      </c>
      <c r="F329" s="13">
        <v>4.0</v>
      </c>
      <c r="G329" s="13">
        <v>1.0</v>
      </c>
      <c r="H329" s="13">
        <v>0.0</v>
      </c>
      <c r="I329" s="13" t="s">
        <v>35</v>
      </c>
      <c r="J329" s="13" t="s">
        <v>46</v>
      </c>
      <c r="K329" s="13" t="s">
        <v>47</v>
      </c>
      <c r="L329" s="13"/>
    </row>
    <row r="330">
      <c r="A330" s="13">
        <v>328.0</v>
      </c>
      <c r="B330" s="13">
        <v>907.0</v>
      </c>
      <c r="C330" s="13">
        <v>25.0</v>
      </c>
      <c r="D330" s="12"/>
      <c r="E330" s="12" t="s">
        <v>612</v>
      </c>
      <c r="F330" s="13">
        <v>5.0</v>
      </c>
      <c r="G330" s="13">
        <v>1.0</v>
      </c>
      <c r="H330" s="13">
        <v>0.0</v>
      </c>
      <c r="I330" s="13" t="s">
        <v>35</v>
      </c>
      <c r="J330" s="13" t="s">
        <v>46</v>
      </c>
      <c r="K330" s="13" t="s">
        <v>123</v>
      </c>
      <c r="L330" s="13"/>
    </row>
    <row r="331">
      <c r="A331" s="13">
        <v>329.0</v>
      </c>
      <c r="B331" s="13">
        <v>836.0</v>
      </c>
      <c r="C331" s="13">
        <v>51.0</v>
      </c>
      <c r="D331" s="12" t="s">
        <v>613</v>
      </c>
      <c r="E331" s="12" t="s">
        <v>614</v>
      </c>
      <c r="F331" s="13">
        <v>5.0</v>
      </c>
      <c r="G331" s="13">
        <v>1.0</v>
      </c>
      <c r="H331" s="13">
        <v>0.0</v>
      </c>
      <c r="I331" s="13" t="s">
        <v>35</v>
      </c>
      <c r="J331" s="13" t="s">
        <v>46</v>
      </c>
      <c r="K331" s="13" t="s">
        <v>47</v>
      </c>
      <c r="L331" s="13"/>
    </row>
    <row r="332">
      <c r="A332" s="13">
        <v>330.0</v>
      </c>
      <c r="B332" s="13">
        <v>844.0</v>
      </c>
      <c r="C332" s="13">
        <v>41.0</v>
      </c>
      <c r="D332" s="12" t="s">
        <v>615</v>
      </c>
      <c r="E332" s="12" t="s">
        <v>616</v>
      </c>
      <c r="F332" s="13">
        <v>3.0</v>
      </c>
      <c r="G332" s="13">
        <v>0.0</v>
      </c>
      <c r="H332" s="13">
        <v>0.0</v>
      </c>
      <c r="I332" s="13" t="s">
        <v>41</v>
      </c>
      <c r="J332" s="13" t="s">
        <v>46</v>
      </c>
      <c r="K332" s="13" t="s">
        <v>47</v>
      </c>
      <c r="L332" s="13"/>
    </row>
    <row r="333">
      <c r="A333" s="13">
        <v>331.0</v>
      </c>
      <c r="B333" s="13">
        <v>1103.0</v>
      </c>
      <c r="C333" s="13">
        <v>49.0</v>
      </c>
      <c r="D333" s="12" t="s">
        <v>617</v>
      </c>
      <c r="E333" s="12" t="s">
        <v>618</v>
      </c>
      <c r="F333" s="13">
        <v>4.0</v>
      </c>
      <c r="G333" s="13">
        <v>1.0</v>
      </c>
      <c r="H333" s="13">
        <v>2.0</v>
      </c>
      <c r="I333" s="13" t="s">
        <v>35</v>
      </c>
      <c r="J333" s="13" t="s">
        <v>36</v>
      </c>
      <c r="K333" s="13" t="s">
        <v>36</v>
      </c>
      <c r="L333" s="13"/>
    </row>
    <row r="334">
      <c r="A334" s="13">
        <v>332.0</v>
      </c>
      <c r="B334" s="13">
        <v>866.0</v>
      </c>
      <c r="C334" s="13">
        <v>46.0</v>
      </c>
      <c r="D334" s="12" t="s">
        <v>619</v>
      </c>
      <c r="E334" s="12" t="s">
        <v>620</v>
      </c>
      <c r="F334" s="13">
        <v>5.0</v>
      </c>
      <c r="G334" s="13">
        <v>1.0</v>
      </c>
      <c r="H334" s="13">
        <v>5.0</v>
      </c>
      <c r="I334" s="13" t="s">
        <v>35</v>
      </c>
      <c r="J334" s="13" t="s">
        <v>46</v>
      </c>
      <c r="K334" s="13" t="s">
        <v>52</v>
      </c>
      <c r="L334" s="13"/>
    </row>
    <row r="335">
      <c r="A335" s="13">
        <v>333.0</v>
      </c>
      <c r="B335" s="13">
        <v>907.0</v>
      </c>
      <c r="C335" s="13">
        <v>29.0</v>
      </c>
      <c r="D335" s="12" t="s">
        <v>144</v>
      </c>
      <c r="E335" s="12" t="s">
        <v>621</v>
      </c>
      <c r="F335" s="13">
        <v>5.0</v>
      </c>
      <c r="G335" s="13">
        <v>1.0</v>
      </c>
      <c r="H335" s="13">
        <v>6.0</v>
      </c>
      <c r="I335" s="13" t="s">
        <v>35</v>
      </c>
      <c r="J335" s="13" t="s">
        <v>46</v>
      </c>
      <c r="K335" s="13" t="s">
        <v>123</v>
      </c>
      <c r="L335" s="13"/>
    </row>
    <row r="336">
      <c r="A336" s="13">
        <v>334.0</v>
      </c>
      <c r="B336" s="13">
        <v>844.0</v>
      </c>
      <c r="C336" s="13">
        <v>53.0</v>
      </c>
      <c r="D336" s="12" t="s">
        <v>622</v>
      </c>
      <c r="E336" s="12" t="s">
        <v>623</v>
      </c>
      <c r="F336" s="13">
        <v>1.0</v>
      </c>
      <c r="G336" s="13">
        <v>0.0</v>
      </c>
      <c r="H336" s="13">
        <v>17.0</v>
      </c>
      <c r="I336" s="13" t="s">
        <v>41</v>
      </c>
      <c r="J336" s="13" t="s">
        <v>46</v>
      </c>
      <c r="K336" s="13" t="s">
        <v>47</v>
      </c>
      <c r="L336" s="13"/>
    </row>
    <row r="337">
      <c r="A337" s="13">
        <v>335.0</v>
      </c>
      <c r="B337" s="13">
        <v>895.0</v>
      </c>
      <c r="C337" s="13">
        <v>66.0</v>
      </c>
      <c r="D337" s="12" t="s">
        <v>624</v>
      </c>
      <c r="E337" s="12" t="s">
        <v>625</v>
      </c>
      <c r="F337" s="13">
        <v>5.0</v>
      </c>
      <c r="G337" s="13">
        <v>1.0</v>
      </c>
      <c r="H337" s="13">
        <v>6.0</v>
      </c>
      <c r="I337" s="13" t="s">
        <v>35</v>
      </c>
      <c r="J337" s="13" t="s">
        <v>46</v>
      </c>
      <c r="K337" s="13" t="s">
        <v>123</v>
      </c>
      <c r="L337" s="13"/>
    </row>
    <row r="338">
      <c r="A338" s="13">
        <v>336.0</v>
      </c>
      <c r="B338" s="13">
        <v>895.0</v>
      </c>
      <c r="C338" s="13">
        <v>32.0</v>
      </c>
      <c r="D338" s="12"/>
      <c r="E338" s="12" t="s">
        <v>626</v>
      </c>
      <c r="F338" s="13">
        <v>5.0</v>
      </c>
      <c r="G338" s="13">
        <v>1.0</v>
      </c>
      <c r="H338" s="13">
        <v>2.0</v>
      </c>
      <c r="I338" s="13" t="s">
        <v>35</v>
      </c>
      <c r="J338" s="13" t="s">
        <v>46</v>
      </c>
      <c r="K338" s="13" t="s">
        <v>123</v>
      </c>
      <c r="L338" s="13"/>
    </row>
    <row r="339">
      <c r="A339" s="13">
        <v>337.0</v>
      </c>
      <c r="B339" s="13">
        <v>1080.0</v>
      </c>
      <c r="C339" s="13">
        <v>74.0</v>
      </c>
      <c r="D339" s="12" t="s">
        <v>627</v>
      </c>
      <c r="E339" s="12" t="s">
        <v>628</v>
      </c>
      <c r="F339" s="13">
        <v>5.0</v>
      </c>
      <c r="G339" s="13">
        <v>1.0</v>
      </c>
      <c r="H339" s="13">
        <v>9.0</v>
      </c>
      <c r="I339" s="13" t="s">
        <v>41</v>
      </c>
      <c r="J339" s="13" t="s">
        <v>36</v>
      </c>
      <c r="K339" s="13" t="s">
        <v>36</v>
      </c>
      <c r="L339" s="13"/>
    </row>
    <row r="340">
      <c r="A340" s="13">
        <v>338.0</v>
      </c>
      <c r="B340" s="13">
        <v>831.0</v>
      </c>
      <c r="C340" s="13">
        <v>63.0</v>
      </c>
      <c r="D340" s="12" t="s">
        <v>629</v>
      </c>
      <c r="E340" s="12" t="s">
        <v>630</v>
      </c>
      <c r="F340" s="13">
        <v>5.0</v>
      </c>
      <c r="G340" s="13">
        <v>1.0</v>
      </c>
      <c r="H340" s="13">
        <v>0.0</v>
      </c>
      <c r="I340" s="13" t="s">
        <v>35</v>
      </c>
      <c r="J340" s="13" t="s">
        <v>46</v>
      </c>
      <c r="K340" s="13" t="s">
        <v>47</v>
      </c>
      <c r="L340" s="13"/>
    </row>
    <row r="341">
      <c r="A341" s="13">
        <v>339.0</v>
      </c>
      <c r="B341" s="13">
        <v>844.0</v>
      </c>
      <c r="C341" s="13">
        <v>41.0</v>
      </c>
      <c r="D341" s="12" t="s">
        <v>631</v>
      </c>
      <c r="E341" s="12" t="s">
        <v>632</v>
      </c>
      <c r="F341" s="13">
        <v>5.0</v>
      </c>
      <c r="G341" s="13">
        <v>1.0</v>
      </c>
      <c r="H341" s="13">
        <v>0.0</v>
      </c>
      <c r="I341" s="13" t="s">
        <v>41</v>
      </c>
      <c r="J341" s="13" t="s">
        <v>46</v>
      </c>
      <c r="K341" s="13" t="s">
        <v>47</v>
      </c>
      <c r="L341" s="13"/>
    </row>
    <row r="342">
      <c r="A342" s="13">
        <v>340.0</v>
      </c>
      <c r="B342" s="13">
        <v>844.0</v>
      </c>
      <c r="C342" s="13">
        <v>40.0</v>
      </c>
      <c r="D342" s="12" t="s">
        <v>633</v>
      </c>
      <c r="E342" s="12" t="s">
        <v>634</v>
      </c>
      <c r="F342" s="13">
        <v>4.0</v>
      </c>
      <c r="G342" s="13">
        <v>1.0</v>
      </c>
      <c r="H342" s="13">
        <v>0.0</v>
      </c>
      <c r="I342" s="13" t="s">
        <v>41</v>
      </c>
      <c r="J342" s="13" t="s">
        <v>46</v>
      </c>
      <c r="K342" s="13" t="s">
        <v>47</v>
      </c>
      <c r="L342" s="13"/>
    </row>
    <row r="343">
      <c r="A343" s="13">
        <v>341.0</v>
      </c>
      <c r="B343" s="13">
        <v>831.0</v>
      </c>
      <c r="C343" s="13">
        <v>40.0</v>
      </c>
      <c r="D343" s="12" t="s">
        <v>635</v>
      </c>
      <c r="E343" s="12" t="s">
        <v>636</v>
      </c>
      <c r="F343" s="13">
        <v>5.0</v>
      </c>
      <c r="G343" s="13">
        <v>1.0</v>
      </c>
      <c r="H343" s="13">
        <v>0.0</v>
      </c>
      <c r="I343" s="13" t="s">
        <v>35</v>
      </c>
      <c r="J343" s="13" t="s">
        <v>46</v>
      </c>
      <c r="K343" s="13" t="s">
        <v>47</v>
      </c>
      <c r="L343" s="13"/>
    </row>
    <row r="344">
      <c r="A344" s="13">
        <v>342.0</v>
      </c>
      <c r="B344" s="13">
        <v>836.0</v>
      </c>
      <c r="C344" s="13">
        <v>32.0</v>
      </c>
      <c r="D344" s="12"/>
      <c r="E344" s="12"/>
      <c r="F344" s="13">
        <v>5.0</v>
      </c>
      <c r="G344" s="13">
        <v>1.0</v>
      </c>
      <c r="H344" s="13">
        <v>0.0</v>
      </c>
      <c r="I344" s="13" t="s">
        <v>35</v>
      </c>
      <c r="J344" s="13" t="s">
        <v>46</v>
      </c>
      <c r="K344" s="13" t="s">
        <v>47</v>
      </c>
      <c r="L344" s="13"/>
    </row>
    <row r="345">
      <c r="A345" s="13">
        <v>343.0</v>
      </c>
      <c r="B345" s="13">
        <v>907.0</v>
      </c>
      <c r="C345" s="13">
        <v>49.0</v>
      </c>
      <c r="D345" s="12" t="s">
        <v>637</v>
      </c>
      <c r="E345" s="12" t="s">
        <v>638</v>
      </c>
      <c r="F345" s="13">
        <v>5.0</v>
      </c>
      <c r="G345" s="13">
        <v>1.0</v>
      </c>
      <c r="H345" s="13">
        <v>3.0</v>
      </c>
      <c r="I345" s="13" t="s">
        <v>35</v>
      </c>
      <c r="J345" s="13" t="s">
        <v>46</v>
      </c>
      <c r="K345" s="13" t="s">
        <v>123</v>
      </c>
      <c r="L345" s="13"/>
    </row>
    <row r="346">
      <c r="A346" s="13">
        <v>344.0</v>
      </c>
      <c r="B346" s="13">
        <v>844.0</v>
      </c>
      <c r="C346" s="13">
        <v>44.0</v>
      </c>
      <c r="D346" s="12"/>
      <c r="E346" s="12" t="s">
        <v>639</v>
      </c>
      <c r="F346" s="13">
        <v>3.0</v>
      </c>
      <c r="G346" s="13">
        <v>0.0</v>
      </c>
      <c r="H346" s="13">
        <v>2.0</v>
      </c>
      <c r="I346" s="13" t="s">
        <v>41</v>
      </c>
      <c r="J346" s="13" t="s">
        <v>46</v>
      </c>
      <c r="K346" s="13" t="s">
        <v>47</v>
      </c>
      <c r="L346" s="13"/>
    </row>
    <row r="347">
      <c r="A347" s="13">
        <v>345.0</v>
      </c>
      <c r="B347" s="13">
        <v>895.0</v>
      </c>
      <c r="C347" s="13">
        <v>24.0</v>
      </c>
      <c r="D347" s="12"/>
      <c r="E347" s="12"/>
      <c r="F347" s="13">
        <v>5.0</v>
      </c>
      <c r="G347" s="13">
        <v>1.0</v>
      </c>
      <c r="H347" s="13">
        <v>0.0</v>
      </c>
      <c r="I347" s="13" t="s">
        <v>35</v>
      </c>
      <c r="J347" s="13" t="s">
        <v>46</v>
      </c>
      <c r="K347" s="13" t="s">
        <v>123</v>
      </c>
      <c r="L347" s="13"/>
    </row>
    <row r="348">
      <c r="A348" s="13">
        <v>346.0</v>
      </c>
      <c r="B348" s="13">
        <v>895.0</v>
      </c>
      <c r="C348" s="13">
        <v>70.0</v>
      </c>
      <c r="D348" s="12" t="s">
        <v>640</v>
      </c>
      <c r="E348" s="12" t="s">
        <v>641</v>
      </c>
      <c r="F348" s="13">
        <v>5.0</v>
      </c>
      <c r="G348" s="13">
        <v>1.0</v>
      </c>
      <c r="H348" s="13">
        <v>1.0</v>
      </c>
      <c r="I348" s="13" t="s">
        <v>35</v>
      </c>
      <c r="J348" s="13" t="s">
        <v>46</v>
      </c>
      <c r="K348" s="13" t="s">
        <v>123</v>
      </c>
      <c r="L348" s="13"/>
    </row>
    <row r="349">
      <c r="A349" s="13">
        <v>347.0</v>
      </c>
      <c r="B349" s="13">
        <v>907.0</v>
      </c>
      <c r="C349" s="13">
        <v>30.0</v>
      </c>
      <c r="D349" s="12" t="s">
        <v>642</v>
      </c>
      <c r="E349" s="12" t="s">
        <v>643</v>
      </c>
      <c r="F349" s="13">
        <v>5.0</v>
      </c>
      <c r="G349" s="13">
        <v>1.0</v>
      </c>
      <c r="H349" s="13">
        <v>1.0</v>
      </c>
      <c r="I349" s="13" t="s">
        <v>35</v>
      </c>
      <c r="J349" s="13" t="s">
        <v>46</v>
      </c>
      <c r="K349" s="13" t="s">
        <v>123</v>
      </c>
      <c r="L349" s="13"/>
    </row>
    <row r="350">
      <c r="A350" s="13">
        <v>348.0</v>
      </c>
      <c r="B350" s="13">
        <v>844.0</v>
      </c>
      <c r="C350" s="13">
        <v>47.0</v>
      </c>
      <c r="D350" s="12" t="s">
        <v>644</v>
      </c>
      <c r="E350" s="12" t="s">
        <v>645</v>
      </c>
      <c r="F350" s="13">
        <v>5.0</v>
      </c>
      <c r="G350" s="13">
        <v>1.0</v>
      </c>
      <c r="H350" s="13">
        <v>0.0</v>
      </c>
      <c r="I350" s="13" t="s">
        <v>41</v>
      </c>
      <c r="J350" s="13" t="s">
        <v>46</v>
      </c>
      <c r="K350" s="13" t="s">
        <v>47</v>
      </c>
      <c r="L350" s="13"/>
    </row>
    <row r="351">
      <c r="A351" s="13">
        <v>349.0</v>
      </c>
      <c r="B351" s="13">
        <v>836.0</v>
      </c>
      <c r="C351" s="13">
        <v>27.0</v>
      </c>
      <c r="D351" s="12" t="s">
        <v>646</v>
      </c>
      <c r="E351" s="12" t="s">
        <v>647</v>
      </c>
      <c r="F351" s="13">
        <v>3.0</v>
      </c>
      <c r="G351" s="13">
        <v>0.0</v>
      </c>
      <c r="H351" s="13">
        <v>15.0</v>
      </c>
      <c r="I351" s="13" t="s">
        <v>35</v>
      </c>
      <c r="J351" s="13" t="s">
        <v>46</v>
      </c>
      <c r="K351" s="13" t="s">
        <v>47</v>
      </c>
      <c r="L351" s="13"/>
    </row>
    <row r="352">
      <c r="A352" s="13">
        <v>350.0</v>
      </c>
      <c r="B352" s="13">
        <v>844.0</v>
      </c>
      <c r="C352" s="13">
        <v>36.0</v>
      </c>
      <c r="D352" s="12" t="s">
        <v>648</v>
      </c>
      <c r="E352" s="12" t="s">
        <v>649</v>
      </c>
      <c r="F352" s="13">
        <v>2.0</v>
      </c>
      <c r="G352" s="13">
        <v>0.0</v>
      </c>
      <c r="H352" s="13">
        <v>0.0</v>
      </c>
      <c r="I352" s="13" t="s">
        <v>41</v>
      </c>
      <c r="J352" s="13" t="s">
        <v>46</v>
      </c>
      <c r="K352" s="13" t="s">
        <v>47</v>
      </c>
      <c r="L352" s="13"/>
    </row>
    <row r="353">
      <c r="A353" s="13">
        <v>351.0</v>
      </c>
      <c r="B353" s="13">
        <v>844.0</v>
      </c>
      <c r="C353" s="13">
        <v>69.0</v>
      </c>
      <c r="D353" s="12" t="s">
        <v>650</v>
      </c>
      <c r="E353" s="12" t="s">
        <v>651</v>
      </c>
      <c r="F353" s="13">
        <v>4.0</v>
      </c>
      <c r="G353" s="13">
        <v>1.0</v>
      </c>
      <c r="H353" s="13">
        <v>7.0</v>
      </c>
      <c r="I353" s="13" t="s">
        <v>41</v>
      </c>
      <c r="J353" s="13" t="s">
        <v>46</v>
      </c>
      <c r="K353" s="13" t="s">
        <v>47</v>
      </c>
      <c r="L353" s="13"/>
    </row>
    <row r="354">
      <c r="A354" s="13">
        <v>352.0</v>
      </c>
      <c r="B354" s="13">
        <v>844.0</v>
      </c>
      <c r="C354" s="13">
        <v>52.0</v>
      </c>
      <c r="D354" s="12" t="s">
        <v>652</v>
      </c>
      <c r="E354" s="12" t="s">
        <v>653</v>
      </c>
      <c r="F354" s="13">
        <v>5.0</v>
      </c>
      <c r="G354" s="13">
        <v>1.0</v>
      </c>
      <c r="H354" s="13">
        <v>1.0</v>
      </c>
      <c r="I354" s="13" t="s">
        <v>41</v>
      </c>
      <c r="J354" s="13" t="s">
        <v>46</v>
      </c>
      <c r="K354" s="13" t="s">
        <v>47</v>
      </c>
      <c r="L354" s="13"/>
    </row>
    <row r="355">
      <c r="A355" s="13">
        <v>353.0</v>
      </c>
      <c r="B355" s="13">
        <v>936.0</v>
      </c>
      <c r="C355" s="13">
        <v>32.0</v>
      </c>
      <c r="D355" s="12" t="s">
        <v>654</v>
      </c>
      <c r="E355" s="12" t="s">
        <v>655</v>
      </c>
      <c r="F355" s="13">
        <v>2.0</v>
      </c>
      <c r="G355" s="13">
        <v>0.0</v>
      </c>
      <c r="H355" s="13">
        <v>0.0</v>
      </c>
      <c r="I355" s="13" t="s">
        <v>41</v>
      </c>
      <c r="J355" s="13" t="s">
        <v>46</v>
      </c>
      <c r="K355" s="13" t="s">
        <v>95</v>
      </c>
      <c r="L355" s="13"/>
    </row>
    <row r="356">
      <c r="A356" s="13">
        <v>354.0</v>
      </c>
      <c r="B356" s="13">
        <v>907.0</v>
      </c>
      <c r="C356" s="13">
        <v>37.0</v>
      </c>
      <c r="D356" s="12" t="s">
        <v>656</v>
      </c>
      <c r="E356" s="12" t="s">
        <v>657</v>
      </c>
      <c r="F356" s="13">
        <v>5.0</v>
      </c>
      <c r="G356" s="13">
        <v>1.0</v>
      </c>
      <c r="H356" s="13">
        <v>4.0</v>
      </c>
      <c r="I356" s="13" t="s">
        <v>35</v>
      </c>
      <c r="J356" s="13" t="s">
        <v>46</v>
      </c>
      <c r="K356" s="13" t="s">
        <v>123</v>
      </c>
      <c r="L356" s="13"/>
    </row>
    <row r="357">
      <c r="A357" s="13">
        <v>355.0</v>
      </c>
      <c r="B357" s="13">
        <v>936.0</v>
      </c>
      <c r="C357" s="13">
        <v>32.0</v>
      </c>
      <c r="D357" s="12"/>
      <c r="E357" s="12" t="s">
        <v>658</v>
      </c>
      <c r="F357" s="13">
        <v>5.0</v>
      </c>
      <c r="G357" s="13">
        <v>1.0</v>
      </c>
      <c r="H357" s="13">
        <v>0.0</v>
      </c>
      <c r="I357" s="13" t="s">
        <v>41</v>
      </c>
      <c r="J357" s="13" t="s">
        <v>46</v>
      </c>
      <c r="K357" s="13" t="s">
        <v>95</v>
      </c>
      <c r="L357" s="13"/>
    </row>
    <row r="358">
      <c r="A358" s="13">
        <v>356.0</v>
      </c>
      <c r="B358" s="13">
        <v>831.0</v>
      </c>
      <c r="C358" s="13">
        <v>42.0</v>
      </c>
      <c r="D358" s="12" t="s">
        <v>659</v>
      </c>
      <c r="E358" s="12" t="s">
        <v>660</v>
      </c>
      <c r="F358" s="13">
        <v>1.0</v>
      </c>
      <c r="G358" s="13">
        <v>0.0</v>
      </c>
      <c r="H358" s="13">
        <v>6.0</v>
      </c>
      <c r="I358" s="13" t="s">
        <v>35</v>
      </c>
      <c r="J358" s="13" t="s">
        <v>46</v>
      </c>
      <c r="K358" s="13" t="s">
        <v>47</v>
      </c>
      <c r="L358" s="13"/>
    </row>
    <row r="359">
      <c r="A359" s="13">
        <v>357.0</v>
      </c>
      <c r="B359" s="13">
        <v>907.0</v>
      </c>
      <c r="C359" s="13">
        <v>51.0</v>
      </c>
      <c r="D359" s="12" t="s">
        <v>661</v>
      </c>
      <c r="E359" s="12" t="s">
        <v>662</v>
      </c>
      <c r="F359" s="13">
        <v>5.0</v>
      </c>
      <c r="G359" s="13">
        <v>1.0</v>
      </c>
      <c r="H359" s="13">
        <v>2.0</v>
      </c>
      <c r="I359" s="13" t="s">
        <v>35</v>
      </c>
      <c r="J359" s="13" t="s">
        <v>46</v>
      </c>
      <c r="K359" s="13" t="s">
        <v>123</v>
      </c>
      <c r="L359" s="13"/>
    </row>
    <row r="360">
      <c r="A360" s="13">
        <v>358.0</v>
      </c>
      <c r="B360" s="13">
        <v>862.0</v>
      </c>
      <c r="C360" s="13">
        <v>34.0</v>
      </c>
      <c r="D360" s="12" t="s">
        <v>663</v>
      </c>
      <c r="E360" s="12" t="s">
        <v>664</v>
      </c>
      <c r="F360" s="13">
        <v>3.0</v>
      </c>
      <c r="G360" s="13">
        <v>0.0</v>
      </c>
      <c r="H360" s="13">
        <v>0.0</v>
      </c>
      <c r="I360" s="13" t="s">
        <v>41</v>
      </c>
      <c r="J360" s="13" t="s">
        <v>46</v>
      </c>
      <c r="K360" s="13" t="s">
        <v>52</v>
      </c>
      <c r="L360" s="13"/>
    </row>
    <row r="361">
      <c r="A361" s="13">
        <v>359.0</v>
      </c>
      <c r="B361" s="13">
        <v>836.0</v>
      </c>
      <c r="C361" s="13">
        <v>37.0</v>
      </c>
      <c r="D361" s="12" t="s">
        <v>665</v>
      </c>
      <c r="E361" s="12" t="s">
        <v>666</v>
      </c>
      <c r="F361" s="13">
        <v>3.0</v>
      </c>
      <c r="G361" s="13">
        <v>1.0</v>
      </c>
      <c r="H361" s="13">
        <v>3.0</v>
      </c>
      <c r="I361" s="13" t="s">
        <v>35</v>
      </c>
      <c r="J361" s="13" t="s">
        <v>46</v>
      </c>
      <c r="K361" s="13" t="s">
        <v>47</v>
      </c>
      <c r="L361" s="13"/>
    </row>
    <row r="362">
      <c r="A362" s="13">
        <v>360.0</v>
      </c>
      <c r="B362" s="13">
        <v>936.0</v>
      </c>
      <c r="C362" s="13">
        <v>50.0</v>
      </c>
      <c r="D362" s="12" t="s">
        <v>667</v>
      </c>
      <c r="E362" s="12" t="s">
        <v>668</v>
      </c>
      <c r="F362" s="13">
        <v>4.0</v>
      </c>
      <c r="G362" s="13">
        <v>1.0</v>
      </c>
      <c r="H362" s="13">
        <v>17.0</v>
      </c>
      <c r="I362" s="13" t="s">
        <v>41</v>
      </c>
      <c r="J362" s="13" t="s">
        <v>46</v>
      </c>
      <c r="K362" s="13" t="s">
        <v>95</v>
      </c>
      <c r="L362" s="13"/>
    </row>
    <row r="363">
      <c r="A363" s="13">
        <v>361.0</v>
      </c>
      <c r="B363" s="13">
        <v>895.0</v>
      </c>
      <c r="C363" s="13">
        <v>36.0</v>
      </c>
      <c r="D363" s="12" t="s">
        <v>669</v>
      </c>
      <c r="E363" s="12" t="s">
        <v>670</v>
      </c>
      <c r="F363" s="13">
        <v>5.0</v>
      </c>
      <c r="G363" s="13">
        <v>1.0</v>
      </c>
      <c r="H363" s="13">
        <v>0.0</v>
      </c>
      <c r="I363" s="13" t="s">
        <v>41</v>
      </c>
      <c r="J363" s="13" t="s">
        <v>46</v>
      </c>
      <c r="K363" s="13" t="s">
        <v>123</v>
      </c>
      <c r="L363" s="13"/>
    </row>
    <row r="364">
      <c r="A364" s="13">
        <v>362.0</v>
      </c>
      <c r="B364" s="13">
        <v>836.0</v>
      </c>
      <c r="C364" s="13">
        <v>65.0</v>
      </c>
      <c r="D364" s="12" t="s">
        <v>671</v>
      </c>
      <c r="E364" s="12" t="s">
        <v>672</v>
      </c>
      <c r="F364" s="13">
        <v>3.0</v>
      </c>
      <c r="G364" s="13">
        <v>0.0</v>
      </c>
      <c r="H364" s="13">
        <v>0.0</v>
      </c>
      <c r="I364" s="13" t="s">
        <v>35</v>
      </c>
      <c r="J364" s="13" t="s">
        <v>46</v>
      </c>
      <c r="K364" s="13" t="s">
        <v>47</v>
      </c>
      <c r="L364" s="13"/>
    </row>
    <row r="365">
      <c r="A365" s="13">
        <v>363.0</v>
      </c>
      <c r="B365" s="13">
        <v>580.0</v>
      </c>
      <c r="C365" s="13">
        <v>60.0</v>
      </c>
      <c r="D365" s="12" t="s">
        <v>673</v>
      </c>
      <c r="E365" s="12" t="s">
        <v>674</v>
      </c>
      <c r="F365" s="13">
        <v>5.0</v>
      </c>
      <c r="G365" s="13">
        <v>1.0</v>
      </c>
      <c r="H365" s="13">
        <v>1.0</v>
      </c>
      <c r="I365" s="13" t="s">
        <v>31</v>
      </c>
      <c r="J365" s="13" t="s">
        <v>32</v>
      </c>
      <c r="K365" s="13" t="s">
        <v>92</v>
      </c>
      <c r="L365" s="13"/>
    </row>
    <row r="366">
      <c r="A366" s="13">
        <v>364.0</v>
      </c>
      <c r="B366" s="13">
        <v>895.0</v>
      </c>
      <c r="C366" s="13">
        <v>46.0</v>
      </c>
      <c r="D366" s="12" t="s">
        <v>675</v>
      </c>
      <c r="E366" s="12" t="s">
        <v>676</v>
      </c>
      <c r="F366" s="13">
        <v>5.0</v>
      </c>
      <c r="G366" s="13">
        <v>1.0</v>
      </c>
      <c r="H366" s="13">
        <v>0.0</v>
      </c>
      <c r="I366" s="13" t="s">
        <v>41</v>
      </c>
      <c r="J366" s="13" t="s">
        <v>46</v>
      </c>
      <c r="K366" s="13" t="s">
        <v>123</v>
      </c>
      <c r="L366" s="13"/>
    </row>
    <row r="367">
      <c r="A367" s="13">
        <v>365.0</v>
      </c>
      <c r="B367" s="13">
        <v>862.0</v>
      </c>
      <c r="C367" s="13">
        <v>38.0</v>
      </c>
      <c r="D367" s="12" t="s">
        <v>677</v>
      </c>
      <c r="E367" s="12" t="s">
        <v>678</v>
      </c>
      <c r="F367" s="13">
        <v>4.0</v>
      </c>
      <c r="G367" s="13">
        <v>1.0</v>
      </c>
      <c r="H367" s="13">
        <v>0.0</v>
      </c>
      <c r="I367" s="13" t="s">
        <v>35</v>
      </c>
      <c r="J367" s="13" t="s">
        <v>46</v>
      </c>
      <c r="K367" s="13" t="s">
        <v>52</v>
      </c>
      <c r="L367" s="13"/>
    </row>
    <row r="368">
      <c r="A368" s="13">
        <v>366.0</v>
      </c>
      <c r="B368" s="13">
        <v>862.0</v>
      </c>
      <c r="C368" s="13">
        <v>37.0</v>
      </c>
      <c r="D368" s="12" t="s">
        <v>679</v>
      </c>
      <c r="E368" s="12" t="s">
        <v>680</v>
      </c>
      <c r="F368" s="13">
        <v>5.0</v>
      </c>
      <c r="G368" s="13">
        <v>1.0</v>
      </c>
      <c r="H368" s="13">
        <v>1.0</v>
      </c>
      <c r="I368" s="13" t="s">
        <v>35</v>
      </c>
      <c r="J368" s="13" t="s">
        <v>46</v>
      </c>
      <c r="K368" s="13" t="s">
        <v>52</v>
      </c>
      <c r="L368" s="13"/>
    </row>
    <row r="369">
      <c r="A369" s="13">
        <v>367.0</v>
      </c>
      <c r="B369" s="13">
        <v>844.0</v>
      </c>
      <c r="C369" s="13">
        <v>46.0</v>
      </c>
      <c r="D369" s="12" t="s">
        <v>681</v>
      </c>
      <c r="E369" s="12" t="s">
        <v>682</v>
      </c>
      <c r="F369" s="13">
        <v>5.0</v>
      </c>
      <c r="G369" s="13">
        <v>1.0</v>
      </c>
      <c r="H369" s="13">
        <v>4.0</v>
      </c>
      <c r="I369" s="13" t="s">
        <v>41</v>
      </c>
      <c r="J369" s="13" t="s">
        <v>46</v>
      </c>
      <c r="K369" s="13" t="s">
        <v>47</v>
      </c>
      <c r="L369" s="13"/>
    </row>
    <row r="370">
      <c r="A370" s="13">
        <v>368.0</v>
      </c>
      <c r="B370" s="13">
        <v>836.0</v>
      </c>
      <c r="C370" s="13">
        <v>29.0</v>
      </c>
      <c r="D370" s="12"/>
      <c r="E370" s="12" t="s">
        <v>683</v>
      </c>
      <c r="F370" s="13">
        <v>2.0</v>
      </c>
      <c r="G370" s="13">
        <v>0.0</v>
      </c>
      <c r="H370" s="13">
        <v>0.0</v>
      </c>
      <c r="I370" s="13" t="s">
        <v>35</v>
      </c>
      <c r="J370" s="13" t="s">
        <v>46</v>
      </c>
      <c r="K370" s="13" t="s">
        <v>47</v>
      </c>
      <c r="L370" s="13"/>
    </row>
    <row r="371">
      <c r="A371" s="13">
        <v>369.0</v>
      </c>
      <c r="B371" s="13">
        <v>895.0</v>
      </c>
      <c r="C371" s="13">
        <v>39.0</v>
      </c>
      <c r="D371" s="12" t="s">
        <v>684</v>
      </c>
      <c r="E371" s="12" t="s">
        <v>685</v>
      </c>
      <c r="F371" s="13">
        <v>5.0</v>
      </c>
      <c r="G371" s="13">
        <v>1.0</v>
      </c>
      <c r="H371" s="13">
        <v>0.0</v>
      </c>
      <c r="I371" s="13" t="s">
        <v>41</v>
      </c>
      <c r="J371" s="13" t="s">
        <v>46</v>
      </c>
      <c r="K371" s="13" t="s">
        <v>123</v>
      </c>
      <c r="L371" s="13"/>
    </row>
    <row r="372">
      <c r="A372" s="13">
        <v>370.0</v>
      </c>
      <c r="B372" s="13">
        <v>836.0</v>
      </c>
      <c r="C372" s="13">
        <v>25.0</v>
      </c>
      <c r="D372" s="12"/>
      <c r="E372" s="12" t="s">
        <v>686</v>
      </c>
      <c r="F372" s="13">
        <v>5.0</v>
      </c>
      <c r="G372" s="13">
        <v>1.0</v>
      </c>
      <c r="H372" s="13">
        <v>0.0</v>
      </c>
      <c r="I372" s="13" t="s">
        <v>35</v>
      </c>
      <c r="J372" s="13" t="s">
        <v>46</v>
      </c>
      <c r="K372" s="13" t="s">
        <v>47</v>
      </c>
      <c r="L372" s="13"/>
    </row>
    <row r="373">
      <c r="A373" s="13">
        <v>371.0</v>
      </c>
      <c r="B373" s="13">
        <v>895.0</v>
      </c>
      <c r="C373" s="13">
        <v>64.0</v>
      </c>
      <c r="D373" s="12" t="s">
        <v>687</v>
      </c>
      <c r="E373" s="12" t="s">
        <v>688</v>
      </c>
      <c r="F373" s="13">
        <v>5.0</v>
      </c>
      <c r="G373" s="13">
        <v>1.0</v>
      </c>
      <c r="H373" s="13">
        <v>4.0</v>
      </c>
      <c r="I373" s="13" t="s">
        <v>41</v>
      </c>
      <c r="J373" s="13" t="s">
        <v>46</v>
      </c>
      <c r="K373" s="13" t="s">
        <v>123</v>
      </c>
      <c r="L373" s="13"/>
    </row>
    <row r="374">
      <c r="A374" s="13">
        <v>372.0</v>
      </c>
      <c r="B374" s="13">
        <v>895.0</v>
      </c>
      <c r="C374" s="13">
        <v>57.0</v>
      </c>
      <c r="D374" s="12" t="s">
        <v>689</v>
      </c>
      <c r="E374" s="12" t="s">
        <v>690</v>
      </c>
      <c r="F374" s="13">
        <v>5.0</v>
      </c>
      <c r="G374" s="13">
        <v>1.0</v>
      </c>
      <c r="H374" s="13">
        <v>1.0</v>
      </c>
      <c r="I374" s="13" t="s">
        <v>41</v>
      </c>
      <c r="J374" s="13" t="s">
        <v>46</v>
      </c>
      <c r="K374" s="13" t="s">
        <v>123</v>
      </c>
      <c r="L374" s="13"/>
    </row>
    <row r="375">
      <c r="A375" s="13">
        <v>373.0</v>
      </c>
      <c r="B375" s="13">
        <v>895.0</v>
      </c>
      <c r="C375" s="13">
        <v>44.0</v>
      </c>
      <c r="D375" s="12" t="s">
        <v>691</v>
      </c>
      <c r="E375" s="12" t="s">
        <v>692</v>
      </c>
      <c r="F375" s="13">
        <v>5.0</v>
      </c>
      <c r="G375" s="13">
        <v>1.0</v>
      </c>
      <c r="H375" s="13">
        <v>2.0</v>
      </c>
      <c r="I375" s="13" t="s">
        <v>41</v>
      </c>
      <c r="J375" s="13" t="s">
        <v>46</v>
      </c>
      <c r="K375" s="13" t="s">
        <v>123</v>
      </c>
      <c r="L375" s="13"/>
    </row>
    <row r="376">
      <c r="A376" s="13">
        <v>374.0</v>
      </c>
      <c r="B376" s="13">
        <v>836.0</v>
      </c>
      <c r="C376" s="13">
        <v>44.0</v>
      </c>
      <c r="D376" s="12" t="s">
        <v>693</v>
      </c>
      <c r="E376" s="12" t="s">
        <v>694</v>
      </c>
      <c r="F376" s="13">
        <v>5.0</v>
      </c>
      <c r="G376" s="13">
        <v>1.0</v>
      </c>
      <c r="H376" s="13">
        <v>6.0</v>
      </c>
      <c r="I376" s="13" t="s">
        <v>35</v>
      </c>
      <c r="J376" s="13" t="s">
        <v>46</v>
      </c>
      <c r="K376" s="13" t="s">
        <v>47</v>
      </c>
      <c r="L376" s="13"/>
    </row>
    <row r="377">
      <c r="A377" s="13">
        <v>375.0</v>
      </c>
      <c r="B377" s="13">
        <v>859.0</v>
      </c>
      <c r="C377" s="13">
        <v>26.0</v>
      </c>
      <c r="D377" s="12" t="s">
        <v>695</v>
      </c>
      <c r="E377" s="12" t="s">
        <v>696</v>
      </c>
      <c r="F377" s="13">
        <v>4.0</v>
      </c>
      <c r="G377" s="13">
        <v>1.0</v>
      </c>
      <c r="H377" s="13">
        <v>0.0</v>
      </c>
      <c r="I377" s="13" t="s">
        <v>35</v>
      </c>
      <c r="J377" s="13" t="s">
        <v>46</v>
      </c>
      <c r="K377" s="13" t="s">
        <v>52</v>
      </c>
      <c r="L377" s="13"/>
    </row>
    <row r="378">
      <c r="A378" s="13">
        <v>376.0</v>
      </c>
      <c r="B378" s="13">
        <v>862.0</v>
      </c>
      <c r="C378" s="13">
        <v>37.0</v>
      </c>
      <c r="D378" s="12" t="s">
        <v>697</v>
      </c>
      <c r="E378" s="12" t="s">
        <v>698</v>
      </c>
      <c r="F378" s="13">
        <v>3.0</v>
      </c>
      <c r="G378" s="13">
        <v>0.0</v>
      </c>
      <c r="H378" s="13">
        <v>0.0</v>
      </c>
      <c r="I378" s="13" t="s">
        <v>35</v>
      </c>
      <c r="J378" s="13" t="s">
        <v>46</v>
      </c>
      <c r="K378" s="13" t="s">
        <v>52</v>
      </c>
      <c r="L378" s="13"/>
    </row>
    <row r="379">
      <c r="A379" s="13">
        <v>377.0</v>
      </c>
      <c r="B379" s="13">
        <v>1049.0</v>
      </c>
      <c r="C379" s="13">
        <v>48.0</v>
      </c>
      <c r="D379" s="12" t="s">
        <v>699</v>
      </c>
      <c r="E379" s="12" t="s">
        <v>700</v>
      </c>
      <c r="F379" s="13">
        <v>5.0</v>
      </c>
      <c r="G379" s="13">
        <v>1.0</v>
      </c>
      <c r="H379" s="13">
        <v>0.0</v>
      </c>
      <c r="I379" s="13" t="s">
        <v>35</v>
      </c>
      <c r="J379" s="13" t="s">
        <v>42</v>
      </c>
      <c r="K379" s="13" t="s">
        <v>43</v>
      </c>
      <c r="L379" s="13"/>
    </row>
    <row r="380">
      <c r="A380" s="13">
        <v>378.0</v>
      </c>
      <c r="B380" s="13">
        <v>862.0</v>
      </c>
      <c r="C380" s="13">
        <v>35.0</v>
      </c>
      <c r="D380" s="12"/>
      <c r="E380" s="12" t="s">
        <v>701</v>
      </c>
      <c r="F380" s="13">
        <v>5.0</v>
      </c>
      <c r="G380" s="13">
        <v>1.0</v>
      </c>
      <c r="H380" s="13">
        <v>10.0</v>
      </c>
      <c r="I380" s="13" t="s">
        <v>35</v>
      </c>
      <c r="J380" s="13" t="s">
        <v>46</v>
      </c>
      <c r="K380" s="13" t="s">
        <v>52</v>
      </c>
      <c r="L380" s="13"/>
    </row>
    <row r="381">
      <c r="A381" s="13">
        <v>379.0</v>
      </c>
      <c r="B381" s="13">
        <v>1089.0</v>
      </c>
      <c r="C381" s="13">
        <v>67.0</v>
      </c>
      <c r="D381" s="12" t="s">
        <v>702</v>
      </c>
      <c r="E381" s="12" t="s">
        <v>703</v>
      </c>
      <c r="F381" s="13">
        <v>5.0</v>
      </c>
      <c r="G381" s="13">
        <v>1.0</v>
      </c>
      <c r="H381" s="13">
        <v>0.0</v>
      </c>
      <c r="I381" s="13" t="s">
        <v>41</v>
      </c>
      <c r="J381" s="13" t="s">
        <v>36</v>
      </c>
      <c r="K381" s="13" t="s">
        <v>36</v>
      </c>
      <c r="L381" s="13"/>
    </row>
    <row r="382">
      <c r="A382" s="13">
        <v>380.0</v>
      </c>
      <c r="B382" s="13">
        <v>1089.0</v>
      </c>
      <c r="C382" s="13">
        <v>24.0</v>
      </c>
      <c r="D382" s="12" t="s">
        <v>704</v>
      </c>
      <c r="E382" s="12" t="s">
        <v>705</v>
      </c>
      <c r="F382" s="13">
        <v>4.0</v>
      </c>
      <c r="G382" s="13">
        <v>1.0</v>
      </c>
      <c r="H382" s="13">
        <v>1.0</v>
      </c>
      <c r="I382" s="13" t="s">
        <v>41</v>
      </c>
      <c r="J382" s="13" t="s">
        <v>36</v>
      </c>
      <c r="K382" s="13" t="s">
        <v>36</v>
      </c>
      <c r="L382" s="13"/>
    </row>
    <row r="383">
      <c r="A383" s="13">
        <v>381.0</v>
      </c>
      <c r="B383" s="13">
        <v>1104.0</v>
      </c>
      <c r="C383" s="13">
        <v>59.0</v>
      </c>
      <c r="D383" s="12" t="s">
        <v>238</v>
      </c>
      <c r="E383" s="12" t="s">
        <v>706</v>
      </c>
      <c r="F383" s="13">
        <v>3.0</v>
      </c>
      <c r="G383" s="13">
        <v>0.0</v>
      </c>
      <c r="H383" s="13">
        <v>13.0</v>
      </c>
      <c r="I383" s="13" t="s">
        <v>35</v>
      </c>
      <c r="J383" s="13" t="s">
        <v>36</v>
      </c>
      <c r="K383" s="13" t="s">
        <v>36</v>
      </c>
      <c r="L383" s="13"/>
    </row>
    <row r="384">
      <c r="A384" s="13">
        <v>382.0</v>
      </c>
      <c r="B384" s="13">
        <v>127.0</v>
      </c>
      <c r="C384" s="13">
        <v>47.0</v>
      </c>
      <c r="D384" s="12" t="s">
        <v>707</v>
      </c>
      <c r="E384" s="12" t="s">
        <v>708</v>
      </c>
      <c r="F384" s="13">
        <v>4.0</v>
      </c>
      <c r="G384" s="13">
        <v>1.0</v>
      </c>
      <c r="H384" s="13">
        <v>0.0</v>
      </c>
      <c r="I384" s="13" t="s">
        <v>41</v>
      </c>
      <c r="J384" s="13" t="s">
        <v>32</v>
      </c>
      <c r="K384" s="13" t="s">
        <v>92</v>
      </c>
      <c r="L384" s="13"/>
    </row>
    <row r="385">
      <c r="A385" s="13">
        <v>383.0</v>
      </c>
      <c r="B385" s="13">
        <v>1104.0</v>
      </c>
      <c r="C385" s="13">
        <v>42.0</v>
      </c>
      <c r="D385" s="12" t="s">
        <v>709</v>
      </c>
      <c r="E385" s="12" t="s">
        <v>710</v>
      </c>
      <c r="F385" s="13">
        <v>3.0</v>
      </c>
      <c r="G385" s="13">
        <v>1.0</v>
      </c>
      <c r="H385" s="13">
        <v>0.0</v>
      </c>
      <c r="I385" s="13" t="s">
        <v>35</v>
      </c>
      <c r="J385" s="13" t="s">
        <v>36</v>
      </c>
      <c r="K385" s="13" t="s">
        <v>36</v>
      </c>
      <c r="L385" s="13"/>
    </row>
    <row r="386">
      <c r="A386" s="13">
        <v>384.0</v>
      </c>
      <c r="B386" s="13">
        <v>936.0</v>
      </c>
      <c r="C386" s="13">
        <v>29.0</v>
      </c>
      <c r="D386" s="12" t="s">
        <v>711</v>
      </c>
      <c r="E386" s="12" t="s">
        <v>712</v>
      </c>
      <c r="F386" s="13">
        <v>5.0</v>
      </c>
      <c r="G386" s="13">
        <v>1.0</v>
      </c>
      <c r="H386" s="13">
        <v>0.0</v>
      </c>
      <c r="I386" s="13" t="s">
        <v>35</v>
      </c>
      <c r="J386" s="13" t="s">
        <v>46</v>
      </c>
      <c r="K386" s="13" t="s">
        <v>95</v>
      </c>
      <c r="L386" s="13"/>
    </row>
    <row r="387">
      <c r="A387" s="13">
        <v>385.0</v>
      </c>
      <c r="B387" s="13">
        <v>902.0</v>
      </c>
      <c r="C387" s="13">
        <v>54.0</v>
      </c>
      <c r="D387" s="12" t="s">
        <v>713</v>
      </c>
      <c r="E387" s="12" t="s">
        <v>714</v>
      </c>
      <c r="F387" s="13">
        <v>4.0</v>
      </c>
      <c r="G387" s="13">
        <v>1.0</v>
      </c>
      <c r="H387" s="13">
        <v>3.0</v>
      </c>
      <c r="I387" s="13" t="s">
        <v>35</v>
      </c>
      <c r="J387" s="13" t="s">
        <v>46</v>
      </c>
      <c r="K387" s="13" t="s">
        <v>123</v>
      </c>
      <c r="L387" s="13"/>
    </row>
    <row r="388">
      <c r="A388" s="13">
        <v>386.0</v>
      </c>
      <c r="B388" s="13">
        <v>995.0</v>
      </c>
      <c r="C388" s="13">
        <v>41.0</v>
      </c>
      <c r="D388" s="12" t="s">
        <v>715</v>
      </c>
      <c r="E388" s="12" t="s">
        <v>716</v>
      </c>
      <c r="F388" s="13">
        <v>2.0</v>
      </c>
      <c r="G388" s="13">
        <v>0.0</v>
      </c>
      <c r="H388" s="13">
        <v>11.0</v>
      </c>
      <c r="I388" s="13" t="s">
        <v>35</v>
      </c>
      <c r="J388" s="13" t="s">
        <v>42</v>
      </c>
      <c r="K388" s="13" t="s">
        <v>98</v>
      </c>
      <c r="L388" s="13"/>
    </row>
    <row r="389">
      <c r="A389" s="13">
        <v>387.0</v>
      </c>
      <c r="B389" s="13">
        <v>936.0</v>
      </c>
      <c r="C389" s="13">
        <v>62.0</v>
      </c>
      <c r="D389" s="12" t="s">
        <v>127</v>
      </c>
      <c r="E389" s="12" t="s">
        <v>717</v>
      </c>
      <c r="F389" s="13">
        <v>5.0</v>
      </c>
      <c r="G389" s="13">
        <v>1.0</v>
      </c>
      <c r="H389" s="13">
        <v>9.0</v>
      </c>
      <c r="I389" s="13" t="s">
        <v>35</v>
      </c>
      <c r="J389" s="13" t="s">
        <v>46</v>
      </c>
      <c r="K389" s="13" t="s">
        <v>95</v>
      </c>
      <c r="L389" s="13"/>
    </row>
    <row r="390">
      <c r="A390" s="13">
        <v>388.0</v>
      </c>
      <c r="B390" s="13">
        <v>127.0</v>
      </c>
      <c r="C390" s="13">
        <v>29.0</v>
      </c>
      <c r="D390" s="12" t="s">
        <v>718</v>
      </c>
      <c r="E390" s="12" t="s">
        <v>719</v>
      </c>
      <c r="F390" s="13">
        <v>4.0</v>
      </c>
      <c r="G390" s="13">
        <v>1.0</v>
      </c>
      <c r="H390" s="13">
        <v>0.0</v>
      </c>
      <c r="I390" s="13" t="s">
        <v>41</v>
      </c>
      <c r="J390" s="13" t="s">
        <v>32</v>
      </c>
      <c r="K390" s="13" t="s">
        <v>92</v>
      </c>
      <c r="L390" s="13"/>
    </row>
    <row r="391">
      <c r="A391" s="13">
        <v>389.0</v>
      </c>
      <c r="B391" s="13">
        <v>1104.0</v>
      </c>
      <c r="C391" s="13">
        <v>38.0</v>
      </c>
      <c r="D391" s="12" t="s">
        <v>720</v>
      </c>
      <c r="E391" s="12" t="s">
        <v>721</v>
      </c>
      <c r="F391" s="13">
        <v>1.0</v>
      </c>
      <c r="G391" s="13">
        <v>0.0</v>
      </c>
      <c r="H391" s="13">
        <v>20.0</v>
      </c>
      <c r="I391" s="13" t="s">
        <v>35</v>
      </c>
      <c r="J391" s="13" t="s">
        <v>36</v>
      </c>
      <c r="K391" s="13" t="s">
        <v>36</v>
      </c>
      <c r="L391" s="13"/>
    </row>
    <row r="392">
      <c r="A392" s="13">
        <v>390.0</v>
      </c>
      <c r="B392" s="13">
        <v>1086.0</v>
      </c>
      <c r="C392" s="13">
        <v>25.0</v>
      </c>
      <c r="D392" s="12" t="s">
        <v>722</v>
      </c>
      <c r="E392" s="12" t="s">
        <v>723</v>
      </c>
      <c r="F392" s="13">
        <v>4.0</v>
      </c>
      <c r="G392" s="13">
        <v>1.0</v>
      </c>
      <c r="H392" s="13">
        <v>9.0</v>
      </c>
      <c r="I392" s="13" t="s">
        <v>35</v>
      </c>
      <c r="J392" s="13" t="s">
        <v>36</v>
      </c>
      <c r="K392" s="13" t="s">
        <v>36</v>
      </c>
      <c r="L392" s="13"/>
    </row>
    <row r="393">
      <c r="A393" s="13">
        <v>391.0</v>
      </c>
      <c r="B393" s="13">
        <v>936.0</v>
      </c>
      <c r="C393" s="13">
        <v>33.0</v>
      </c>
      <c r="D393" s="12" t="s">
        <v>724</v>
      </c>
      <c r="E393" s="12" t="s">
        <v>725</v>
      </c>
      <c r="F393" s="13">
        <v>5.0</v>
      </c>
      <c r="G393" s="13">
        <v>1.0</v>
      </c>
      <c r="H393" s="13">
        <v>1.0</v>
      </c>
      <c r="I393" s="13" t="s">
        <v>35</v>
      </c>
      <c r="J393" s="13" t="s">
        <v>46</v>
      </c>
      <c r="K393" s="13" t="s">
        <v>95</v>
      </c>
      <c r="L393" s="13"/>
    </row>
    <row r="394">
      <c r="A394" s="13">
        <v>392.0</v>
      </c>
      <c r="B394" s="13">
        <v>746.0</v>
      </c>
      <c r="C394" s="13">
        <v>34.0</v>
      </c>
      <c r="D394" s="12" t="s">
        <v>726</v>
      </c>
      <c r="E394" s="12" t="s">
        <v>727</v>
      </c>
      <c r="F394" s="13">
        <v>3.0</v>
      </c>
      <c r="G394" s="13">
        <v>1.0</v>
      </c>
      <c r="H394" s="13">
        <v>0.0</v>
      </c>
      <c r="I394" s="13" t="s">
        <v>31</v>
      </c>
      <c r="J394" s="13" t="s">
        <v>32</v>
      </c>
      <c r="K394" s="13" t="s">
        <v>33</v>
      </c>
      <c r="L394" s="13"/>
    </row>
    <row r="395">
      <c r="A395" s="13">
        <v>393.0</v>
      </c>
      <c r="B395" s="13">
        <v>1081.0</v>
      </c>
      <c r="C395" s="13">
        <v>53.0</v>
      </c>
      <c r="D395" s="12" t="s">
        <v>728</v>
      </c>
      <c r="E395" s="12" t="s">
        <v>729</v>
      </c>
      <c r="F395" s="13">
        <v>4.0</v>
      </c>
      <c r="G395" s="13">
        <v>1.0</v>
      </c>
      <c r="H395" s="13">
        <v>3.0</v>
      </c>
      <c r="I395" s="13" t="s">
        <v>41</v>
      </c>
      <c r="J395" s="13" t="s">
        <v>36</v>
      </c>
      <c r="K395" s="13" t="s">
        <v>36</v>
      </c>
      <c r="L395" s="13"/>
    </row>
    <row r="396">
      <c r="A396" s="13">
        <v>394.0</v>
      </c>
      <c r="B396" s="13">
        <v>127.0</v>
      </c>
      <c r="C396" s="13">
        <v>46.0</v>
      </c>
      <c r="D396" s="12" t="s">
        <v>730</v>
      </c>
      <c r="E396" s="12" t="s">
        <v>731</v>
      </c>
      <c r="F396" s="13">
        <v>3.0</v>
      </c>
      <c r="G396" s="13">
        <v>1.0</v>
      </c>
      <c r="H396" s="13">
        <v>0.0</v>
      </c>
      <c r="I396" s="13" t="s">
        <v>41</v>
      </c>
      <c r="J396" s="13" t="s">
        <v>32</v>
      </c>
      <c r="K396" s="13" t="s">
        <v>92</v>
      </c>
      <c r="L396" s="13"/>
    </row>
    <row r="397">
      <c r="A397" s="13">
        <v>395.0</v>
      </c>
      <c r="B397" s="13">
        <v>936.0</v>
      </c>
      <c r="C397" s="13">
        <v>33.0</v>
      </c>
      <c r="D397" s="12" t="s">
        <v>732</v>
      </c>
      <c r="E397" s="12" t="s">
        <v>733</v>
      </c>
      <c r="F397" s="13">
        <v>3.0</v>
      </c>
      <c r="G397" s="13">
        <v>0.0</v>
      </c>
      <c r="H397" s="13">
        <v>1.0</v>
      </c>
      <c r="I397" s="13" t="s">
        <v>35</v>
      </c>
      <c r="J397" s="13" t="s">
        <v>46</v>
      </c>
      <c r="K397" s="13" t="s">
        <v>95</v>
      </c>
      <c r="L397" s="13"/>
    </row>
    <row r="398">
      <c r="A398" s="13">
        <v>396.0</v>
      </c>
      <c r="B398" s="13">
        <v>127.0</v>
      </c>
      <c r="C398" s="13">
        <v>40.0</v>
      </c>
      <c r="D398" s="12" t="s">
        <v>734</v>
      </c>
      <c r="E398" s="12" t="s">
        <v>735</v>
      </c>
      <c r="F398" s="13">
        <v>3.0</v>
      </c>
      <c r="G398" s="13">
        <v>0.0</v>
      </c>
      <c r="H398" s="13">
        <v>2.0</v>
      </c>
      <c r="I398" s="13" t="s">
        <v>41</v>
      </c>
      <c r="J398" s="13" t="s">
        <v>32</v>
      </c>
      <c r="K398" s="13" t="s">
        <v>92</v>
      </c>
      <c r="L398" s="13"/>
    </row>
    <row r="399">
      <c r="A399" s="13">
        <v>397.0</v>
      </c>
      <c r="B399" s="13">
        <v>1035.0</v>
      </c>
      <c r="C399" s="13">
        <v>32.0</v>
      </c>
      <c r="D399" s="12" t="s">
        <v>736</v>
      </c>
      <c r="E399" s="12" t="s">
        <v>737</v>
      </c>
      <c r="F399" s="13">
        <v>5.0</v>
      </c>
      <c r="G399" s="13">
        <v>1.0</v>
      </c>
      <c r="H399" s="13">
        <v>0.0</v>
      </c>
      <c r="I399" s="13" t="s">
        <v>35</v>
      </c>
      <c r="J399" s="13" t="s">
        <v>42</v>
      </c>
      <c r="K399" s="13" t="s">
        <v>435</v>
      </c>
      <c r="L399" s="13"/>
    </row>
    <row r="400">
      <c r="A400" s="13">
        <v>398.0</v>
      </c>
      <c r="B400" s="13">
        <v>902.0</v>
      </c>
      <c r="C400" s="13">
        <v>38.0</v>
      </c>
      <c r="D400" s="12" t="s">
        <v>738</v>
      </c>
      <c r="E400" s="12" t="s">
        <v>739</v>
      </c>
      <c r="F400" s="13">
        <v>4.0</v>
      </c>
      <c r="G400" s="13">
        <v>1.0</v>
      </c>
      <c r="H400" s="13">
        <v>6.0</v>
      </c>
      <c r="I400" s="13" t="s">
        <v>35</v>
      </c>
      <c r="J400" s="13" t="s">
        <v>46</v>
      </c>
      <c r="K400" s="13" t="s">
        <v>123</v>
      </c>
      <c r="L400" s="13"/>
    </row>
    <row r="401">
      <c r="A401" s="13">
        <v>399.0</v>
      </c>
      <c r="B401" s="13">
        <v>995.0</v>
      </c>
      <c r="C401" s="13">
        <v>62.0</v>
      </c>
      <c r="D401" s="12" t="s">
        <v>740</v>
      </c>
      <c r="E401" s="12" t="s">
        <v>741</v>
      </c>
      <c r="F401" s="13">
        <v>5.0</v>
      </c>
      <c r="G401" s="13">
        <v>1.0</v>
      </c>
      <c r="H401" s="13">
        <v>11.0</v>
      </c>
      <c r="I401" s="13" t="s">
        <v>35</v>
      </c>
      <c r="J401" s="13" t="s">
        <v>42</v>
      </c>
      <c r="K401" s="13" t="s">
        <v>98</v>
      </c>
      <c r="L401" s="13"/>
    </row>
    <row r="402">
      <c r="A402" s="13">
        <v>400.0</v>
      </c>
      <c r="B402" s="13">
        <v>1104.0</v>
      </c>
      <c r="C402" s="13">
        <v>35.0</v>
      </c>
      <c r="D402" s="12"/>
      <c r="E402" s="12"/>
      <c r="F402" s="13">
        <v>5.0</v>
      </c>
      <c r="G402" s="13">
        <v>1.0</v>
      </c>
      <c r="H402" s="13">
        <v>0.0</v>
      </c>
      <c r="I402" s="13" t="s">
        <v>35</v>
      </c>
      <c r="J402" s="13" t="s">
        <v>36</v>
      </c>
      <c r="K402" s="13" t="s">
        <v>36</v>
      </c>
      <c r="L402" s="13"/>
    </row>
    <row r="403">
      <c r="A403" s="13">
        <v>401.0</v>
      </c>
      <c r="B403" s="13">
        <v>1089.0</v>
      </c>
      <c r="C403" s="13">
        <v>34.0</v>
      </c>
      <c r="D403" s="12" t="s">
        <v>412</v>
      </c>
      <c r="E403" s="12" t="s">
        <v>742</v>
      </c>
      <c r="F403" s="13">
        <v>5.0</v>
      </c>
      <c r="G403" s="13">
        <v>1.0</v>
      </c>
      <c r="H403" s="13">
        <v>0.0</v>
      </c>
      <c r="I403" s="13" t="s">
        <v>41</v>
      </c>
      <c r="J403" s="13" t="s">
        <v>36</v>
      </c>
      <c r="K403" s="13" t="s">
        <v>36</v>
      </c>
      <c r="L403" s="13"/>
    </row>
    <row r="404">
      <c r="A404" s="13">
        <v>402.0</v>
      </c>
      <c r="B404" s="13">
        <v>1086.0</v>
      </c>
      <c r="C404" s="13">
        <v>26.0</v>
      </c>
      <c r="D404" s="12"/>
      <c r="E404" s="12" t="s">
        <v>743</v>
      </c>
      <c r="F404" s="13">
        <v>3.0</v>
      </c>
      <c r="G404" s="13">
        <v>0.0</v>
      </c>
      <c r="H404" s="13">
        <v>9.0</v>
      </c>
      <c r="I404" s="13" t="s">
        <v>35</v>
      </c>
      <c r="J404" s="13" t="s">
        <v>36</v>
      </c>
      <c r="K404" s="13" t="s">
        <v>36</v>
      </c>
      <c r="L404" s="13"/>
    </row>
    <row r="405">
      <c r="A405" s="13">
        <v>403.0</v>
      </c>
      <c r="B405" s="13">
        <v>902.0</v>
      </c>
      <c r="C405" s="13">
        <v>31.0</v>
      </c>
      <c r="D405" s="12"/>
      <c r="E405" s="12" t="s">
        <v>744</v>
      </c>
      <c r="F405" s="13">
        <v>2.0</v>
      </c>
      <c r="G405" s="13">
        <v>1.0</v>
      </c>
      <c r="H405" s="13">
        <v>6.0</v>
      </c>
      <c r="I405" s="13" t="s">
        <v>35</v>
      </c>
      <c r="J405" s="13" t="s">
        <v>46</v>
      </c>
      <c r="K405" s="13" t="s">
        <v>123</v>
      </c>
      <c r="L405" s="13"/>
    </row>
    <row r="406">
      <c r="A406" s="13">
        <v>404.0</v>
      </c>
      <c r="B406" s="13">
        <v>902.0</v>
      </c>
      <c r="C406" s="13">
        <v>58.0</v>
      </c>
      <c r="D406" s="12" t="s">
        <v>745</v>
      </c>
      <c r="E406" s="12" t="s">
        <v>746</v>
      </c>
      <c r="F406" s="13">
        <v>5.0</v>
      </c>
      <c r="G406" s="13">
        <v>1.0</v>
      </c>
      <c r="H406" s="13">
        <v>3.0</v>
      </c>
      <c r="I406" s="13" t="s">
        <v>35</v>
      </c>
      <c r="J406" s="13" t="s">
        <v>46</v>
      </c>
      <c r="K406" s="13" t="s">
        <v>123</v>
      </c>
      <c r="L406" s="13"/>
    </row>
    <row r="407">
      <c r="A407" s="13">
        <v>405.0</v>
      </c>
      <c r="B407" s="13">
        <v>1094.0</v>
      </c>
      <c r="C407" s="13">
        <v>40.0</v>
      </c>
      <c r="D407" s="12" t="s">
        <v>747</v>
      </c>
      <c r="E407" s="12" t="s">
        <v>748</v>
      </c>
      <c r="F407" s="13">
        <v>5.0</v>
      </c>
      <c r="G407" s="13">
        <v>1.0</v>
      </c>
      <c r="H407" s="13">
        <v>1.0</v>
      </c>
      <c r="I407" s="13" t="s">
        <v>35</v>
      </c>
      <c r="J407" s="13" t="s">
        <v>36</v>
      </c>
      <c r="K407" s="13" t="s">
        <v>36</v>
      </c>
      <c r="L407" s="13"/>
    </row>
    <row r="408">
      <c r="A408" s="13">
        <v>406.0</v>
      </c>
      <c r="B408" s="13">
        <v>1086.0</v>
      </c>
      <c r="C408" s="13">
        <v>22.0</v>
      </c>
      <c r="D408" s="12" t="s">
        <v>749</v>
      </c>
      <c r="E408" s="12" t="s">
        <v>750</v>
      </c>
      <c r="F408" s="13">
        <v>3.0</v>
      </c>
      <c r="G408" s="13">
        <v>0.0</v>
      </c>
      <c r="H408" s="13">
        <v>3.0</v>
      </c>
      <c r="I408" s="13" t="s">
        <v>35</v>
      </c>
      <c r="J408" s="13" t="s">
        <v>36</v>
      </c>
      <c r="K408" s="13" t="s">
        <v>36</v>
      </c>
      <c r="L408" s="13"/>
    </row>
    <row r="409">
      <c r="A409" s="13">
        <v>407.0</v>
      </c>
      <c r="B409" s="13">
        <v>936.0</v>
      </c>
      <c r="C409" s="13">
        <v>55.0</v>
      </c>
      <c r="D409" s="12" t="s">
        <v>751</v>
      </c>
      <c r="E409" s="12" t="s">
        <v>752</v>
      </c>
      <c r="F409" s="13">
        <v>5.0</v>
      </c>
      <c r="G409" s="13">
        <v>1.0</v>
      </c>
      <c r="H409" s="13">
        <v>1.0</v>
      </c>
      <c r="I409" s="13" t="s">
        <v>35</v>
      </c>
      <c r="J409" s="13" t="s">
        <v>46</v>
      </c>
      <c r="K409" s="13" t="s">
        <v>95</v>
      </c>
      <c r="L409" s="13"/>
    </row>
    <row r="410">
      <c r="A410" s="13">
        <v>408.0</v>
      </c>
      <c r="B410" s="13">
        <v>1036.0</v>
      </c>
      <c r="C410" s="13">
        <v>66.0</v>
      </c>
      <c r="D410" s="12" t="s">
        <v>753</v>
      </c>
      <c r="E410" s="12" t="s">
        <v>754</v>
      </c>
      <c r="F410" s="13">
        <v>4.0</v>
      </c>
      <c r="G410" s="13">
        <v>1.0</v>
      </c>
      <c r="H410" s="13">
        <v>0.0</v>
      </c>
      <c r="I410" s="13" t="s">
        <v>35</v>
      </c>
      <c r="J410" s="13" t="s">
        <v>42</v>
      </c>
      <c r="K410" s="13" t="s">
        <v>435</v>
      </c>
      <c r="L410" s="13"/>
    </row>
    <row r="411">
      <c r="A411" s="13">
        <v>409.0</v>
      </c>
      <c r="B411" s="13">
        <v>936.0</v>
      </c>
      <c r="C411" s="13">
        <v>39.0</v>
      </c>
      <c r="D411" s="12" t="s">
        <v>755</v>
      </c>
      <c r="E411" s="12" t="s">
        <v>756</v>
      </c>
      <c r="F411" s="13">
        <v>5.0</v>
      </c>
      <c r="G411" s="13">
        <v>1.0</v>
      </c>
      <c r="H411" s="13">
        <v>0.0</v>
      </c>
      <c r="I411" s="13" t="s">
        <v>35</v>
      </c>
      <c r="J411" s="13" t="s">
        <v>46</v>
      </c>
      <c r="K411" s="13" t="s">
        <v>95</v>
      </c>
      <c r="L411" s="13"/>
    </row>
    <row r="412">
      <c r="A412" s="13">
        <v>410.0</v>
      </c>
      <c r="B412" s="13">
        <v>1094.0</v>
      </c>
      <c r="C412" s="13">
        <v>30.0</v>
      </c>
      <c r="D412" s="12" t="s">
        <v>757</v>
      </c>
      <c r="E412" s="12" t="s">
        <v>758</v>
      </c>
      <c r="F412" s="13">
        <v>5.0</v>
      </c>
      <c r="G412" s="13">
        <v>1.0</v>
      </c>
      <c r="H412" s="13">
        <v>1.0</v>
      </c>
      <c r="I412" s="13" t="s">
        <v>35</v>
      </c>
      <c r="J412" s="13" t="s">
        <v>36</v>
      </c>
      <c r="K412" s="13" t="s">
        <v>36</v>
      </c>
      <c r="L412" s="13"/>
    </row>
    <row r="413">
      <c r="A413" s="13">
        <v>411.0</v>
      </c>
      <c r="B413" s="13">
        <v>1094.0</v>
      </c>
      <c r="C413" s="13">
        <v>53.0</v>
      </c>
      <c r="D413" s="12" t="s">
        <v>759</v>
      </c>
      <c r="E413" s="12" t="s">
        <v>760</v>
      </c>
      <c r="F413" s="13">
        <v>5.0</v>
      </c>
      <c r="G413" s="13">
        <v>1.0</v>
      </c>
      <c r="H413" s="13">
        <v>3.0</v>
      </c>
      <c r="I413" s="13" t="s">
        <v>35</v>
      </c>
      <c r="J413" s="13" t="s">
        <v>36</v>
      </c>
      <c r="K413" s="13" t="s">
        <v>36</v>
      </c>
      <c r="L413" s="13"/>
    </row>
    <row r="414">
      <c r="A414" s="13">
        <v>412.0</v>
      </c>
      <c r="B414" s="13">
        <v>1086.0</v>
      </c>
      <c r="C414" s="13">
        <v>23.0</v>
      </c>
      <c r="D414" s="12" t="s">
        <v>761</v>
      </c>
      <c r="E414" s="12" t="s">
        <v>762</v>
      </c>
      <c r="F414" s="13">
        <v>5.0</v>
      </c>
      <c r="G414" s="13">
        <v>1.0</v>
      </c>
      <c r="H414" s="13">
        <v>6.0</v>
      </c>
      <c r="I414" s="13" t="s">
        <v>35</v>
      </c>
      <c r="J414" s="13" t="s">
        <v>36</v>
      </c>
      <c r="K414" s="13" t="s">
        <v>36</v>
      </c>
      <c r="L414" s="13"/>
    </row>
    <row r="415">
      <c r="A415" s="13">
        <v>413.0</v>
      </c>
      <c r="B415" s="13">
        <v>127.0</v>
      </c>
      <c r="C415" s="13">
        <v>37.0</v>
      </c>
      <c r="D415" s="12"/>
      <c r="E415" s="12" t="s">
        <v>763</v>
      </c>
      <c r="F415" s="13">
        <v>5.0</v>
      </c>
      <c r="G415" s="13">
        <v>1.0</v>
      </c>
      <c r="H415" s="13">
        <v>1.0</v>
      </c>
      <c r="I415" s="13" t="s">
        <v>41</v>
      </c>
      <c r="J415" s="13" t="s">
        <v>32</v>
      </c>
      <c r="K415" s="13" t="s">
        <v>92</v>
      </c>
      <c r="L415" s="13"/>
    </row>
    <row r="416">
      <c r="A416" s="13">
        <v>414.0</v>
      </c>
      <c r="B416" s="13">
        <v>127.0</v>
      </c>
      <c r="C416" s="13">
        <v>51.0</v>
      </c>
      <c r="D416" s="12" t="s">
        <v>764</v>
      </c>
      <c r="E416" s="12" t="s">
        <v>765</v>
      </c>
      <c r="F416" s="13">
        <v>5.0</v>
      </c>
      <c r="G416" s="13">
        <v>1.0</v>
      </c>
      <c r="H416" s="13">
        <v>0.0</v>
      </c>
      <c r="I416" s="13" t="s">
        <v>41</v>
      </c>
      <c r="J416" s="13" t="s">
        <v>32</v>
      </c>
      <c r="K416" s="13" t="s">
        <v>92</v>
      </c>
      <c r="L416" s="13"/>
    </row>
    <row r="417">
      <c r="A417" s="13">
        <v>415.0</v>
      </c>
      <c r="B417" s="13">
        <v>1083.0</v>
      </c>
      <c r="C417" s="13">
        <v>37.0</v>
      </c>
      <c r="D417" s="12" t="s">
        <v>766</v>
      </c>
      <c r="E417" s="12" t="s">
        <v>767</v>
      </c>
      <c r="F417" s="13">
        <v>4.0</v>
      </c>
      <c r="G417" s="13">
        <v>1.0</v>
      </c>
      <c r="H417" s="13">
        <v>2.0</v>
      </c>
      <c r="I417" s="13" t="s">
        <v>35</v>
      </c>
      <c r="J417" s="13" t="s">
        <v>36</v>
      </c>
      <c r="K417" s="13" t="s">
        <v>36</v>
      </c>
      <c r="L417" s="13"/>
    </row>
    <row r="418">
      <c r="A418" s="13">
        <v>416.0</v>
      </c>
      <c r="B418" s="13">
        <v>872.0</v>
      </c>
      <c r="C418" s="13">
        <v>35.0</v>
      </c>
      <c r="D418" s="12" t="s">
        <v>768</v>
      </c>
      <c r="E418" s="12" t="s">
        <v>769</v>
      </c>
      <c r="F418" s="13">
        <v>5.0</v>
      </c>
      <c r="G418" s="13">
        <v>1.0</v>
      </c>
      <c r="H418" s="13">
        <v>14.0</v>
      </c>
      <c r="I418" s="13" t="s">
        <v>35</v>
      </c>
      <c r="J418" s="13" t="s">
        <v>46</v>
      </c>
      <c r="K418" s="13" t="s">
        <v>52</v>
      </c>
      <c r="L418" s="13"/>
    </row>
    <row r="419">
      <c r="A419" s="13">
        <v>417.0</v>
      </c>
      <c r="B419" s="13">
        <v>1083.0</v>
      </c>
      <c r="C419" s="13">
        <v>35.0</v>
      </c>
      <c r="D419" s="12" t="s">
        <v>770</v>
      </c>
      <c r="E419" s="12" t="s">
        <v>771</v>
      </c>
      <c r="F419" s="13">
        <v>2.0</v>
      </c>
      <c r="G419" s="13">
        <v>0.0</v>
      </c>
      <c r="H419" s="13">
        <v>2.0</v>
      </c>
      <c r="I419" s="13" t="s">
        <v>35</v>
      </c>
      <c r="J419" s="13" t="s">
        <v>36</v>
      </c>
      <c r="K419" s="13" t="s">
        <v>36</v>
      </c>
      <c r="L419" s="13"/>
    </row>
    <row r="420">
      <c r="A420" s="13">
        <v>418.0</v>
      </c>
      <c r="B420" s="13">
        <v>831.0</v>
      </c>
      <c r="C420" s="13">
        <v>40.0</v>
      </c>
      <c r="D420" s="12" t="s">
        <v>772</v>
      </c>
      <c r="E420" s="12" t="s">
        <v>773</v>
      </c>
      <c r="F420" s="13">
        <v>5.0</v>
      </c>
      <c r="G420" s="13">
        <v>1.0</v>
      </c>
      <c r="H420" s="13">
        <v>0.0</v>
      </c>
      <c r="I420" s="13" t="s">
        <v>35</v>
      </c>
      <c r="J420" s="13" t="s">
        <v>46</v>
      </c>
      <c r="K420" s="13" t="s">
        <v>47</v>
      </c>
      <c r="L420" s="13"/>
    </row>
    <row r="421">
      <c r="A421" s="13">
        <v>419.0</v>
      </c>
      <c r="B421" s="13">
        <v>1080.0</v>
      </c>
      <c r="C421" s="13">
        <v>32.0</v>
      </c>
      <c r="D421" s="12" t="s">
        <v>774</v>
      </c>
      <c r="E421" s="12" t="s">
        <v>775</v>
      </c>
      <c r="F421" s="13">
        <v>3.0</v>
      </c>
      <c r="G421" s="13">
        <v>1.0</v>
      </c>
      <c r="H421" s="13">
        <v>1.0</v>
      </c>
      <c r="I421" s="13" t="s">
        <v>35</v>
      </c>
      <c r="J421" s="13" t="s">
        <v>36</v>
      </c>
      <c r="K421" s="13" t="s">
        <v>36</v>
      </c>
      <c r="L421" s="13"/>
    </row>
    <row r="422">
      <c r="A422" s="13">
        <v>420.0</v>
      </c>
      <c r="B422" s="13">
        <v>1077.0</v>
      </c>
      <c r="C422" s="13">
        <v>68.0</v>
      </c>
      <c r="D422" s="12" t="s">
        <v>776</v>
      </c>
      <c r="E422" s="12" t="s">
        <v>777</v>
      </c>
      <c r="F422" s="13">
        <v>5.0</v>
      </c>
      <c r="G422" s="13">
        <v>1.0</v>
      </c>
      <c r="H422" s="13">
        <v>2.0</v>
      </c>
      <c r="I422" s="13" t="s">
        <v>35</v>
      </c>
      <c r="J422" s="13" t="s">
        <v>36</v>
      </c>
      <c r="K422" s="13" t="s">
        <v>36</v>
      </c>
      <c r="L422" s="13"/>
    </row>
    <row r="423">
      <c r="A423" s="13">
        <v>421.0</v>
      </c>
      <c r="B423" s="13">
        <v>872.0</v>
      </c>
      <c r="C423" s="13">
        <v>65.0</v>
      </c>
      <c r="D423" s="12"/>
      <c r="E423" s="12" t="s">
        <v>778</v>
      </c>
      <c r="F423" s="13">
        <v>4.0</v>
      </c>
      <c r="G423" s="13">
        <v>1.0</v>
      </c>
      <c r="H423" s="13">
        <v>0.0</v>
      </c>
      <c r="I423" s="13" t="s">
        <v>35</v>
      </c>
      <c r="J423" s="13" t="s">
        <v>46</v>
      </c>
      <c r="K423" s="13" t="s">
        <v>52</v>
      </c>
      <c r="L423" s="13"/>
    </row>
    <row r="424">
      <c r="A424" s="13">
        <v>422.0</v>
      </c>
      <c r="B424" s="13">
        <v>964.0</v>
      </c>
      <c r="C424" s="13">
        <v>37.0</v>
      </c>
      <c r="D424" s="12" t="s">
        <v>779</v>
      </c>
      <c r="E424" s="12" t="s">
        <v>780</v>
      </c>
      <c r="F424" s="13">
        <v>5.0</v>
      </c>
      <c r="G424" s="13">
        <v>1.0</v>
      </c>
      <c r="H424" s="13">
        <v>2.0</v>
      </c>
      <c r="I424" s="13" t="s">
        <v>35</v>
      </c>
      <c r="J424" s="13" t="s">
        <v>76</v>
      </c>
      <c r="K424" s="13" t="s">
        <v>76</v>
      </c>
      <c r="L424" s="13"/>
    </row>
    <row r="425">
      <c r="A425" s="13">
        <v>423.0</v>
      </c>
      <c r="B425" s="13">
        <v>1089.0</v>
      </c>
      <c r="C425" s="13">
        <v>39.0</v>
      </c>
      <c r="D425" s="12" t="s">
        <v>781</v>
      </c>
      <c r="E425" s="12" t="s">
        <v>782</v>
      </c>
      <c r="F425" s="13">
        <v>3.0</v>
      </c>
      <c r="G425" s="13">
        <v>1.0</v>
      </c>
      <c r="H425" s="13">
        <v>1.0</v>
      </c>
      <c r="I425" s="13" t="s">
        <v>41</v>
      </c>
      <c r="J425" s="13" t="s">
        <v>36</v>
      </c>
      <c r="K425" s="13" t="s">
        <v>36</v>
      </c>
      <c r="L425" s="13"/>
    </row>
    <row r="426">
      <c r="A426" s="13">
        <v>424.0</v>
      </c>
      <c r="B426" s="13">
        <v>872.0</v>
      </c>
      <c r="C426" s="13">
        <v>22.0</v>
      </c>
      <c r="D426" s="12" t="s">
        <v>783</v>
      </c>
      <c r="E426" s="12" t="s">
        <v>784</v>
      </c>
      <c r="F426" s="13">
        <v>4.0</v>
      </c>
      <c r="G426" s="13">
        <v>1.0</v>
      </c>
      <c r="H426" s="13">
        <v>1.0</v>
      </c>
      <c r="I426" s="13" t="s">
        <v>35</v>
      </c>
      <c r="J426" s="13" t="s">
        <v>46</v>
      </c>
      <c r="K426" s="13" t="s">
        <v>52</v>
      </c>
      <c r="L426" s="13"/>
    </row>
    <row r="427">
      <c r="A427" s="13">
        <v>425.0</v>
      </c>
      <c r="B427" s="13">
        <v>1083.0</v>
      </c>
      <c r="C427" s="13">
        <v>50.0</v>
      </c>
      <c r="D427" s="12"/>
      <c r="E427" s="12"/>
      <c r="F427" s="13">
        <v>5.0</v>
      </c>
      <c r="G427" s="13">
        <v>1.0</v>
      </c>
      <c r="H427" s="13">
        <v>0.0</v>
      </c>
      <c r="I427" s="13" t="s">
        <v>35</v>
      </c>
      <c r="J427" s="13" t="s">
        <v>36</v>
      </c>
      <c r="K427" s="13" t="s">
        <v>36</v>
      </c>
      <c r="L427" s="13"/>
    </row>
    <row r="428">
      <c r="A428" s="13">
        <v>426.0</v>
      </c>
      <c r="B428" s="13">
        <v>829.0</v>
      </c>
      <c r="C428" s="13">
        <v>33.0</v>
      </c>
      <c r="D428" s="12" t="s">
        <v>785</v>
      </c>
      <c r="E428" s="12" t="s">
        <v>786</v>
      </c>
      <c r="F428" s="13">
        <v>4.0</v>
      </c>
      <c r="G428" s="13">
        <v>1.0</v>
      </c>
      <c r="H428" s="13">
        <v>0.0</v>
      </c>
      <c r="I428" s="13" t="s">
        <v>35</v>
      </c>
      <c r="J428" s="13" t="s">
        <v>46</v>
      </c>
      <c r="K428" s="13" t="s">
        <v>47</v>
      </c>
      <c r="L428" s="13"/>
    </row>
    <row r="429">
      <c r="A429" s="13">
        <v>427.0</v>
      </c>
      <c r="B429" s="13">
        <v>964.0</v>
      </c>
      <c r="C429" s="13">
        <v>33.0</v>
      </c>
      <c r="D429" s="12" t="s">
        <v>787</v>
      </c>
      <c r="E429" s="12" t="s">
        <v>788</v>
      </c>
      <c r="F429" s="13">
        <v>5.0</v>
      </c>
      <c r="G429" s="13">
        <v>1.0</v>
      </c>
      <c r="H429" s="13">
        <v>0.0</v>
      </c>
      <c r="I429" s="13" t="s">
        <v>35</v>
      </c>
      <c r="J429" s="13" t="s">
        <v>76</v>
      </c>
      <c r="K429" s="13" t="s">
        <v>76</v>
      </c>
      <c r="L429" s="13"/>
    </row>
    <row r="430">
      <c r="A430" s="13">
        <v>428.0</v>
      </c>
      <c r="B430" s="13">
        <v>1089.0</v>
      </c>
      <c r="C430" s="13">
        <v>38.0</v>
      </c>
      <c r="D430" s="12"/>
      <c r="E430" s="12" t="s">
        <v>789</v>
      </c>
      <c r="F430" s="13">
        <v>5.0</v>
      </c>
      <c r="G430" s="13">
        <v>1.0</v>
      </c>
      <c r="H430" s="13">
        <v>0.0</v>
      </c>
      <c r="I430" s="13" t="s">
        <v>41</v>
      </c>
      <c r="J430" s="13" t="s">
        <v>36</v>
      </c>
      <c r="K430" s="13" t="s">
        <v>36</v>
      </c>
      <c r="L430" s="13"/>
    </row>
    <row r="431">
      <c r="A431" s="13">
        <v>429.0</v>
      </c>
      <c r="B431" s="13">
        <v>829.0</v>
      </c>
      <c r="C431" s="13">
        <v>32.0</v>
      </c>
      <c r="D431" s="12"/>
      <c r="E431" s="12" t="s">
        <v>790</v>
      </c>
      <c r="F431" s="13">
        <v>5.0</v>
      </c>
      <c r="G431" s="13">
        <v>1.0</v>
      </c>
      <c r="H431" s="13">
        <v>0.0</v>
      </c>
      <c r="I431" s="13" t="s">
        <v>35</v>
      </c>
      <c r="J431" s="13" t="s">
        <v>46</v>
      </c>
      <c r="K431" s="13" t="s">
        <v>47</v>
      </c>
      <c r="L431" s="13"/>
    </row>
    <row r="432">
      <c r="A432" s="13">
        <v>430.0</v>
      </c>
      <c r="B432" s="13">
        <v>829.0</v>
      </c>
      <c r="C432" s="13">
        <v>51.0</v>
      </c>
      <c r="D432" s="12" t="s">
        <v>791</v>
      </c>
      <c r="E432" s="12" t="s">
        <v>792</v>
      </c>
      <c r="F432" s="13">
        <v>5.0</v>
      </c>
      <c r="G432" s="13">
        <v>1.0</v>
      </c>
      <c r="H432" s="13">
        <v>0.0</v>
      </c>
      <c r="I432" s="13" t="s">
        <v>35</v>
      </c>
      <c r="J432" s="13" t="s">
        <v>46</v>
      </c>
      <c r="K432" s="13" t="s">
        <v>47</v>
      </c>
      <c r="L432" s="13"/>
    </row>
    <row r="433">
      <c r="A433" s="13">
        <v>431.0</v>
      </c>
      <c r="B433" s="13">
        <v>967.0</v>
      </c>
      <c r="C433" s="13">
        <v>56.0</v>
      </c>
      <c r="D433" s="12" t="s">
        <v>793</v>
      </c>
      <c r="E433" s="12" t="s">
        <v>794</v>
      </c>
      <c r="F433" s="13">
        <v>5.0</v>
      </c>
      <c r="G433" s="13">
        <v>1.0</v>
      </c>
      <c r="H433" s="13">
        <v>1.0</v>
      </c>
      <c r="I433" s="13" t="s">
        <v>35</v>
      </c>
      <c r="J433" s="13" t="s">
        <v>76</v>
      </c>
      <c r="K433" s="13" t="s">
        <v>76</v>
      </c>
      <c r="L433" s="13"/>
    </row>
    <row r="434">
      <c r="A434" s="13">
        <v>432.0</v>
      </c>
      <c r="B434" s="13">
        <v>829.0</v>
      </c>
      <c r="C434" s="13">
        <v>38.0</v>
      </c>
      <c r="D434" s="12" t="s">
        <v>795</v>
      </c>
      <c r="E434" s="12" t="s">
        <v>796</v>
      </c>
      <c r="F434" s="13">
        <v>4.0</v>
      </c>
      <c r="G434" s="13">
        <v>1.0</v>
      </c>
      <c r="H434" s="13">
        <v>2.0</v>
      </c>
      <c r="I434" s="13" t="s">
        <v>35</v>
      </c>
      <c r="J434" s="13" t="s">
        <v>46</v>
      </c>
      <c r="K434" s="13" t="s">
        <v>47</v>
      </c>
      <c r="L434" s="13"/>
    </row>
    <row r="435">
      <c r="A435" s="13">
        <v>433.0</v>
      </c>
      <c r="B435" s="13">
        <v>829.0</v>
      </c>
      <c r="C435" s="13">
        <v>35.0</v>
      </c>
      <c r="D435" s="12" t="s">
        <v>797</v>
      </c>
      <c r="E435" s="12" t="s">
        <v>798</v>
      </c>
      <c r="F435" s="13">
        <v>4.0</v>
      </c>
      <c r="G435" s="13">
        <v>1.0</v>
      </c>
      <c r="H435" s="13">
        <v>0.0</v>
      </c>
      <c r="I435" s="13" t="s">
        <v>35</v>
      </c>
      <c r="J435" s="13" t="s">
        <v>46</v>
      </c>
      <c r="K435" s="13" t="s">
        <v>47</v>
      </c>
      <c r="L435" s="13"/>
    </row>
    <row r="436">
      <c r="A436" s="13">
        <v>434.0</v>
      </c>
      <c r="B436" s="13">
        <v>872.0</v>
      </c>
      <c r="C436" s="13">
        <v>48.0</v>
      </c>
      <c r="D436" s="12" t="s">
        <v>799</v>
      </c>
      <c r="E436" s="12" t="s">
        <v>800</v>
      </c>
      <c r="F436" s="13">
        <v>4.0</v>
      </c>
      <c r="G436" s="13">
        <v>1.0</v>
      </c>
      <c r="H436" s="13">
        <v>19.0</v>
      </c>
      <c r="I436" s="13" t="s">
        <v>35</v>
      </c>
      <c r="J436" s="13" t="s">
        <v>46</v>
      </c>
      <c r="K436" s="13" t="s">
        <v>52</v>
      </c>
      <c r="L436" s="13"/>
    </row>
    <row r="437">
      <c r="A437" s="13">
        <v>435.0</v>
      </c>
      <c r="B437" s="13">
        <v>872.0</v>
      </c>
      <c r="C437" s="13">
        <v>31.0</v>
      </c>
      <c r="D437" s="12"/>
      <c r="E437" s="12" t="s">
        <v>801</v>
      </c>
      <c r="F437" s="13">
        <v>4.0</v>
      </c>
      <c r="G437" s="13">
        <v>1.0</v>
      </c>
      <c r="H437" s="13">
        <v>0.0</v>
      </c>
      <c r="I437" s="13" t="s">
        <v>35</v>
      </c>
      <c r="J437" s="13" t="s">
        <v>46</v>
      </c>
      <c r="K437" s="13" t="s">
        <v>52</v>
      </c>
      <c r="L437" s="13"/>
    </row>
    <row r="438">
      <c r="A438" s="13">
        <v>436.0</v>
      </c>
      <c r="B438" s="13">
        <v>149.0</v>
      </c>
      <c r="C438" s="13">
        <v>38.0</v>
      </c>
      <c r="D438" s="12" t="s">
        <v>802</v>
      </c>
      <c r="E438" s="12" t="s">
        <v>803</v>
      </c>
      <c r="F438" s="13">
        <v>4.0</v>
      </c>
      <c r="G438" s="13">
        <v>1.0</v>
      </c>
      <c r="H438" s="13">
        <v>1.0</v>
      </c>
      <c r="I438" s="13" t="s">
        <v>31</v>
      </c>
      <c r="J438" s="13" t="s">
        <v>32</v>
      </c>
      <c r="K438" s="13" t="s">
        <v>92</v>
      </c>
      <c r="L438" s="13"/>
    </row>
    <row r="439">
      <c r="A439" s="13">
        <v>437.0</v>
      </c>
      <c r="B439" s="13">
        <v>964.0</v>
      </c>
      <c r="C439" s="13">
        <v>58.0</v>
      </c>
      <c r="D439" s="12" t="s">
        <v>804</v>
      </c>
      <c r="E439" s="12" t="s">
        <v>805</v>
      </c>
      <c r="F439" s="13">
        <v>5.0</v>
      </c>
      <c r="G439" s="13">
        <v>1.0</v>
      </c>
      <c r="H439" s="13">
        <v>4.0</v>
      </c>
      <c r="I439" s="13" t="s">
        <v>35</v>
      </c>
      <c r="J439" s="13" t="s">
        <v>76</v>
      </c>
      <c r="K439" s="13" t="s">
        <v>76</v>
      </c>
      <c r="L439" s="13"/>
    </row>
    <row r="440">
      <c r="A440" s="13">
        <v>438.0</v>
      </c>
      <c r="B440" s="13">
        <v>1030.0</v>
      </c>
      <c r="C440" s="13">
        <v>63.0</v>
      </c>
      <c r="D440" s="12" t="s">
        <v>806</v>
      </c>
      <c r="E440" s="12" t="s">
        <v>807</v>
      </c>
      <c r="F440" s="13">
        <v>5.0</v>
      </c>
      <c r="G440" s="13">
        <v>1.0</v>
      </c>
      <c r="H440" s="13">
        <v>1.0</v>
      </c>
      <c r="I440" s="13" t="s">
        <v>35</v>
      </c>
      <c r="J440" s="13" t="s">
        <v>42</v>
      </c>
      <c r="K440" s="13" t="s">
        <v>435</v>
      </c>
      <c r="L440" s="13"/>
    </row>
    <row r="441">
      <c r="A441" s="13">
        <v>439.0</v>
      </c>
      <c r="B441" s="13">
        <v>964.0</v>
      </c>
      <c r="C441" s="13">
        <v>40.0</v>
      </c>
      <c r="D441" s="12" t="s">
        <v>808</v>
      </c>
      <c r="E441" s="12" t="s">
        <v>809</v>
      </c>
      <c r="F441" s="13">
        <v>5.0</v>
      </c>
      <c r="G441" s="13">
        <v>1.0</v>
      </c>
      <c r="H441" s="13">
        <v>5.0</v>
      </c>
      <c r="I441" s="13" t="s">
        <v>35</v>
      </c>
      <c r="J441" s="13" t="s">
        <v>76</v>
      </c>
      <c r="K441" s="13" t="s">
        <v>76</v>
      </c>
      <c r="L441" s="13"/>
    </row>
    <row r="442">
      <c r="A442" s="13">
        <v>440.0</v>
      </c>
      <c r="B442" s="13">
        <v>1083.0</v>
      </c>
      <c r="C442" s="13">
        <v>41.0</v>
      </c>
      <c r="D442" s="12" t="s">
        <v>810</v>
      </c>
      <c r="E442" s="12" t="s">
        <v>811</v>
      </c>
      <c r="F442" s="13">
        <v>4.0</v>
      </c>
      <c r="G442" s="13">
        <v>0.0</v>
      </c>
      <c r="H442" s="13">
        <v>0.0</v>
      </c>
      <c r="I442" s="13" t="s">
        <v>35</v>
      </c>
      <c r="J442" s="13" t="s">
        <v>36</v>
      </c>
      <c r="K442" s="13" t="s">
        <v>36</v>
      </c>
      <c r="L442" s="13"/>
    </row>
    <row r="443">
      <c r="A443" s="13">
        <v>441.0</v>
      </c>
      <c r="B443" s="13">
        <v>872.0</v>
      </c>
      <c r="C443" s="13">
        <v>60.0</v>
      </c>
      <c r="D443" s="12" t="s">
        <v>144</v>
      </c>
      <c r="E443" s="12" t="s">
        <v>812</v>
      </c>
      <c r="F443" s="13">
        <v>4.0</v>
      </c>
      <c r="G443" s="13">
        <v>1.0</v>
      </c>
      <c r="H443" s="13">
        <v>1.0</v>
      </c>
      <c r="I443" s="13" t="s">
        <v>35</v>
      </c>
      <c r="J443" s="13" t="s">
        <v>46</v>
      </c>
      <c r="K443" s="13" t="s">
        <v>52</v>
      </c>
      <c r="L443" s="13"/>
    </row>
    <row r="444">
      <c r="A444" s="13">
        <v>442.0</v>
      </c>
      <c r="B444" s="13">
        <v>872.0</v>
      </c>
      <c r="C444" s="13">
        <v>60.0</v>
      </c>
      <c r="D444" s="12" t="s">
        <v>813</v>
      </c>
      <c r="E444" s="12" t="s">
        <v>814</v>
      </c>
      <c r="F444" s="13">
        <v>5.0</v>
      </c>
      <c r="G444" s="13">
        <v>1.0</v>
      </c>
      <c r="H444" s="13">
        <v>1.0</v>
      </c>
      <c r="I444" s="13" t="s">
        <v>35</v>
      </c>
      <c r="J444" s="13" t="s">
        <v>46</v>
      </c>
      <c r="K444" s="13" t="s">
        <v>52</v>
      </c>
      <c r="L444" s="13"/>
    </row>
    <row r="445">
      <c r="A445" s="13">
        <v>443.0</v>
      </c>
      <c r="B445" s="13">
        <v>829.0</v>
      </c>
      <c r="C445" s="13">
        <v>48.0</v>
      </c>
      <c r="D445" s="12" t="s">
        <v>815</v>
      </c>
      <c r="E445" s="12" t="s">
        <v>816</v>
      </c>
      <c r="F445" s="13">
        <v>4.0</v>
      </c>
      <c r="G445" s="13">
        <v>1.0</v>
      </c>
      <c r="H445" s="13">
        <v>6.0</v>
      </c>
      <c r="I445" s="13" t="s">
        <v>35</v>
      </c>
      <c r="J445" s="13" t="s">
        <v>46</v>
      </c>
      <c r="K445" s="13" t="s">
        <v>47</v>
      </c>
      <c r="L445" s="13"/>
    </row>
    <row r="446">
      <c r="A446" s="13">
        <v>444.0</v>
      </c>
      <c r="B446" s="13">
        <v>872.0</v>
      </c>
      <c r="C446" s="13">
        <v>70.0</v>
      </c>
      <c r="D446" s="12" t="s">
        <v>817</v>
      </c>
      <c r="E446" s="12" t="s">
        <v>818</v>
      </c>
      <c r="F446" s="13">
        <v>4.0</v>
      </c>
      <c r="G446" s="13">
        <v>1.0</v>
      </c>
      <c r="H446" s="13">
        <v>0.0</v>
      </c>
      <c r="I446" s="13" t="s">
        <v>35</v>
      </c>
      <c r="J446" s="13" t="s">
        <v>46</v>
      </c>
      <c r="K446" s="13" t="s">
        <v>52</v>
      </c>
      <c r="L446" s="13"/>
    </row>
    <row r="447">
      <c r="A447" s="13">
        <v>445.0</v>
      </c>
      <c r="B447" s="13">
        <v>964.0</v>
      </c>
      <c r="C447" s="13">
        <v>27.0</v>
      </c>
      <c r="D447" s="12" t="s">
        <v>819</v>
      </c>
      <c r="E447" s="12" t="s">
        <v>820</v>
      </c>
      <c r="F447" s="13">
        <v>5.0</v>
      </c>
      <c r="G447" s="13">
        <v>1.0</v>
      </c>
      <c r="H447" s="13">
        <v>0.0</v>
      </c>
      <c r="I447" s="13" t="s">
        <v>35</v>
      </c>
      <c r="J447" s="13" t="s">
        <v>76</v>
      </c>
      <c r="K447" s="13" t="s">
        <v>76</v>
      </c>
      <c r="L447" s="13"/>
    </row>
    <row r="448">
      <c r="A448" s="13">
        <v>446.0</v>
      </c>
      <c r="B448" s="13">
        <v>1089.0</v>
      </c>
      <c r="C448" s="13">
        <v>32.0</v>
      </c>
      <c r="D448" s="12"/>
      <c r="E448" s="12" t="s">
        <v>821</v>
      </c>
      <c r="F448" s="13">
        <v>3.0</v>
      </c>
      <c r="G448" s="13">
        <v>1.0</v>
      </c>
      <c r="H448" s="13">
        <v>0.0</v>
      </c>
      <c r="I448" s="13" t="s">
        <v>41</v>
      </c>
      <c r="J448" s="13" t="s">
        <v>36</v>
      </c>
      <c r="K448" s="13" t="s">
        <v>36</v>
      </c>
      <c r="L448" s="13"/>
    </row>
    <row r="449">
      <c r="A449" s="13">
        <v>447.0</v>
      </c>
      <c r="B449" s="13">
        <v>872.0</v>
      </c>
      <c r="C449" s="13">
        <v>26.0</v>
      </c>
      <c r="D449" s="12" t="s">
        <v>822</v>
      </c>
      <c r="E449" s="12" t="s">
        <v>823</v>
      </c>
      <c r="F449" s="13">
        <v>3.0</v>
      </c>
      <c r="G449" s="13">
        <v>0.0</v>
      </c>
      <c r="H449" s="13">
        <v>3.0</v>
      </c>
      <c r="I449" s="13" t="s">
        <v>35</v>
      </c>
      <c r="J449" s="13" t="s">
        <v>46</v>
      </c>
      <c r="K449" s="13" t="s">
        <v>52</v>
      </c>
      <c r="L449" s="13"/>
    </row>
    <row r="450">
      <c r="A450" s="13">
        <v>448.0</v>
      </c>
      <c r="B450" s="13">
        <v>872.0</v>
      </c>
      <c r="C450" s="13">
        <v>51.0</v>
      </c>
      <c r="D450" s="12" t="s">
        <v>824</v>
      </c>
      <c r="E450" s="12" t="s">
        <v>825</v>
      </c>
      <c r="F450" s="13">
        <v>5.0</v>
      </c>
      <c r="G450" s="13">
        <v>1.0</v>
      </c>
      <c r="H450" s="13">
        <v>1.0</v>
      </c>
      <c r="I450" s="13" t="s">
        <v>35</v>
      </c>
      <c r="J450" s="13" t="s">
        <v>46</v>
      </c>
      <c r="K450" s="13" t="s">
        <v>52</v>
      </c>
      <c r="L450" s="13"/>
    </row>
    <row r="451">
      <c r="A451" s="13">
        <v>449.0</v>
      </c>
      <c r="B451" s="13">
        <v>872.0</v>
      </c>
      <c r="C451" s="13">
        <v>48.0</v>
      </c>
      <c r="D451" s="12" t="s">
        <v>139</v>
      </c>
      <c r="E451" s="12" t="s">
        <v>826</v>
      </c>
      <c r="F451" s="13">
        <v>5.0</v>
      </c>
      <c r="G451" s="13">
        <v>1.0</v>
      </c>
      <c r="H451" s="13">
        <v>0.0</v>
      </c>
      <c r="I451" s="13" t="s">
        <v>35</v>
      </c>
      <c r="J451" s="13" t="s">
        <v>46</v>
      </c>
      <c r="K451" s="13" t="s">
        <v>52</v>
      </c>
      <c r="L451" s="13"/>
    </row>
    <row r="452">
      <c r="A452" s="13">
        <v>450.0</v>
      </c>
      <c r="B452" s="13">
        <v>1077.0</v>
      </c>
      <c r="C452" s="13">
        <v>30.0</v>
      </c>
      <c r="D452" s="12" t="s">
        <v>827</v>
      </c>
      <c r="E452" s="12" t="s">
        <v>828</v>
      </c>
      <c r="F452" s="13">
        <v>2.0</v>
      </c>
      <c r="G452" s="13">
        <v>0.0</v>
      </c>
      <c r="H452" s="13">
        <v>0.0</v>
      </c>
      <c r="I452" s="13" t="s">
        <v>35</v>
      </c>
      <c r="J452" s="13" t="s">
        <v>36</v>
      </c>
      <c r="K452" s="13" t="s">
        <v>36</v>
      </c>
      <c r="L452" s="13"/>
    </row>
    <row r="453">
      <c r="A453" s="13">
        <v>451.0</v>
      </c>
      <c r="B453" s="13">
        <v>967.0</v>
      </c>
      <c r="C453" s="13">
        <v>56.0</v>
      </c>
      <c r="D453" s="12" t="s">
        <v>829</v>
      </c>
      <c r="E453" s="12" t="s">
        <v>830</v>
      </c>
      <c r="F453" s="13">
        <v>4.0</v>
      </c>
      <c r="G453" s="13">
        <v>1.0</v>
      </c>
      <c r="H453" s="13">
        <v>1.0</v>
      </c>
      <c r="I453" s="13" t="s">
        <v>35</v>
      </c>
      <c r="J453" s="13" t="s">
        <v>76</v>
      </c>
      <c r="K453" s="13" t="s">
        <v>76</v>
      </c>
      <c r="L453" s="13"/>
    </row>
    <row r="454">
      <c r="A454" s="13">
        <v>452.0</v>
      </c>
      <c r="B454" s="13">
        <v>872.0</v>
      </c>
      <c r="C454" s="13">
        <v>27.0</v>
      </c>
      <c r="D454" s="12" t="s">
        <v>831</v>
      </c>
      <c r="E454" s="12" t="s">
        <v>832</v>
      </c>
      <c r="F454" s="13">
        <v>5.0</v>
      </c>
      <c r="G454" s="13">
        <v>1.0</v>
      </c>
      <c r="H454" s="13">
        <v>2.0</v>
      </c>
      <c r="I454" s="13" t="s">
        <v>35</v>
      </c>
      <c r="J454" s="13" t="s">
        <v>46</v>
      </c>
      <c r="K454" s="13" t="s">
        <v>52</v>
      </c>
      <c r="L454" s="13"/>
    </row>
    <row r="455">
      <c r="A455" s="13">
        <v>453.0</v>
      </c>
      <c r="B455" s="13">
        <v>964.0</v>
      </c>
      <c r="C455" s="13">
        <v>44.0</v>
      </c>
      <c r="D455" s="12" t="s">
        <v>508</v>
      </c>
      <c r="E455" s="12" t="s">
        <v>833</v>
      </c>
      <c r="F455" s="13">
        <v>5.0</v>
      </c>
      <c r="G455" s="13">
        <v>1.0</v>
      </c>
      <c r="H455" s="13">
        <v>1.0</v>
      </c>
      <c r="I455" s="13" t="s">
        <v>35</v>
      </c>
      <c r="J455" s="13" t="s">
        <v>76</v>
      </c>
      <c r="K455" s="13" t="s">
        <v>76</v>
      </c>
      <c r="L455" s="13"/>
    </row>
    <row r="456">
      <c r="A456" s="13">
        <v>454.0</v>
      </c>
      <c r="B456" s="13">
        <v>872.0</v>
      </c>
      <c r="C456" s="13">
        <v>39.0</v>
      </c>
      <c r="D456" s="12" t="s">
        <v>834</v>
      </c>
      <c r="E456" s="12" t="s">
        <v>835</v>
      </c>
      <c r="F456" s="13">
        <v>5.0</v>
      </c>
      <c r="G456" s="13">
        <v>1.0</v>
      </c>
      <c r="H456" s="13">
        <v>2.0</v>
      </c>
      <c r="I456" s="13" t="s">
        <v>35</v>
      </c>
      <c r="J456" s="13" t="s">
        <v>46</v>
      </c>
      <c r="K456" s="13" t="s">
        <v>52</v>
      </c>
      <c r="L456" s="13"/>
    </row>
    <row r="457">
      <c r="A457" s="13">
        <v>455.0</v>
      </c>
      <c r="B457" s="13">
        <v>234.0</v>
      </c>
      <c r="C457" s="13">
        <v>33.0</v>
      </c>
      <c r="D457" s="12"/>
      <c r="E457" s="12"/>
      <c r="F457" s="13">
        <v>5.0</v>
      </c>
      <c r="G457" s="13">
        <v>1.0</v>
      </c>
      <c r="H457" s="13">
        <v>0.0</v>
      </c>
      <c r="I457" s="13" t="s">
        <v>31</v>
      </c>
      <c r="J457" s="13" t="s">
        <v>32</v>
      </c>
      <c r="K457" s="13" t="s">
        <v>320</v>
      </c>
      <c r="L457" s="13"/>
    </row>
    <row r="458">
      <c r="A458" s="13">
        <v>456.0</v>
      </c>
      <c r="B458" s="13">
        <v>149.0</v>
      </c>
      <c r="C458" s="13">
        <v>33.0</v>
      </c>
      <c r="D458" s="12" t="s">
        <v>836</v>
      </c>
      <c r="E458" s="12" t="s">
        <v>837</v>
      </c>
      <c r="F458" s="13">
        <v>4.0</v>
      </c>
      <c r="G458" s="13">
        <v>1.0</v>
      </c>
      <c r="H458" s="13">
        <v>0.0</v>
      </c>
      <c r="I458" s="13" t="s">
        <v>31</v>
      </c>
      <c r="J458" s="13" t="s">
        <v>32</v>
      </c>
      <c r="K458" s="13" t="s">
        <v>92</v>
      </c>
      <c r="L458" s="13"/>
    </row>
    <row r="459">
      <c r="A459" s="13">
        <v>457.0</v>
      </c>
      <c r="B459" s="13">
        <v>829.0</v>
      </c>
      <c r="C459" s="13">
        <v>60.0</v>
      </c>
      <c r="D459" s="12" t="s">
        <v>838</v>
      </c>
      <c r="E459" s="12" t="s">
        <v>839</v>
      </c>
      <c r="F459" s="13">
        <v>4.0</v>
      </c>
      <c r="G459" s="13">
        <v>1.0</v>
      </c>
      <c r="H459" s="13">
        <v>0.0</v>
      </c>
      <c r="I459" s="13" t="s">
        <v>35</v>
      </c>
      <c r="J459" s="13" t="s">
        <v>46</v>
      </c>
      <c r="K459" s="13" t="s">
        <v>47</v>
      </c>
      <c r="L459" s="13"/>
    </row>
    <row r="460">
      <c r="A460" s="13">
        <v>458.0</v>
      </c>
      <c r="B460" s="13">
        <v>829.0</v>
      </c>
      <c r="C460" s="13">
        <v>44.0</v>
      </c>
      <c r="D460" s="12" t="s">
        <v>840</v>
      </c>
      <c r="E460" s="12" t="s">
        <v>841</v>
      </c>
      <c r="F460" s="13">
        <v>4.0</v>
      </c>
      <c r="G460" s="13">
        <v>1.0</v>
      </c>
      <c r="H460" s="13">
        <v>0.0</v>
      </c>
      <c r="I460" s="13" t="s">
        <v>35</v>
      </c>
      <c r="J460" s="13" t="s">
        <v>46</v>
      </c>
      <c r="K460" s="13" t="s">
        <v>47</v>
      </c>
      <c r="L460" s="13"/>
    </row>
    <row r="461">
      <c r="A461" s="13">
        <v>459.0</v>
      </c>
      <c r="B461" s="13">
        <v>872.0</v>
      </c>
      <c r="C461" s="13">
        <v>71.0</v>
      </c>
      <c r="D461" s="12"/>
      <c r="E461" s="12" t="s">
        <v>842</v>
      </c>
      <c r="F461" s="13">
        <v>5.0</v>
      </c>
      <c r="G461" s="13">
        <v>1.0</v>
      </c>
      <c r="H461" s="13">
        <v>0.0</v>
      </c>
      <c r="I461" s="13" t="s">
        <v>35</v>
      </c>
      <c r="J461" s="13" t="s">
        <v>46</v>
      </c>
      <c r="K461" s="13" t="s">
        <v>52</v>
      </c>
      <c r="L461" s="13"/>
    </row>
    <row r="462">
      <c r="A462" s="13">
        <v>460.0</v>
      </c>
      <c r="B462" s="13">
        <v>872.0</v>
      </c>
      <c r="C462" s="13">
        <v>44.0</v>
      </c>
      <c r="D462" s="12"/>
      <c r="E462" s="12" t="s">
        <v>843</v>
      </c>
      <c r="F462" s="13">
        <v>5.0</v>
      </c>
      <c r="G462" s="13">
        <v>1.0</v>
      </c>
      <c r="H462" s="13">
        <v>6.0</v>
      </c>
      <c r="I462" s="13" t="s">
        <v>35</v>
      </c>
      <c r="J462" s="13" t="s">
        <v>46</v>
      </c>
      <c r="K462" s="13" t="s">
        <v>52</v>
      </c>
      <c r="L462" s="13"/>
    </row>
    <row r="463">
      <c r="A463" s="13">
        <v>461.0</v>
      </c>
      <c r="B463" s="13">
        <v>850.0</v>
      </c>
      <c r="C463" s="13">
        <v>52.0</v>
      </c>
      <c r="D463" s="12" t="s">
        <v>844</v>
      </c>
      <c r="E463" s="12" t="s">
        <v>845</v>
      </c>
      <c r="F463" s="13">
        <v>5.0</v>
      </c>
      <c r="G463" s="13">
        <v>1.0</v>
      </c>
      <c r="H463" s="13">
        <v>5.0</v>
      </c>
      <c r="I463" s="13" t="s">
        <v>41</v>
      </c>
      <c r="J463" s="13" t="s">
        <v>46</v>
      </c>
      <c r="K463" s="13" t="s">
        <v>47</v>
      </c>
      <c r="L463" s="13"/>
    </row>
    <row r="464">
      <c r="A464" s="13">
        <v>462.0</v>
      </c>
      <c r="B464" s="13">
        <v>850.0</v>
      </c>
      <c r="C464" s="13">
        <v>23.0</v>
      </c>
      <c r="D464" s="12" t="s">
        <v>846</v>
      </c>
      <c r="E464" s="12" t="s">
        <v>847</v>
      </c>
      <c r="F464" s="13">
        <v>3.0</v>
      </c>
      <c r="G464" s="13">
        <v>0.0</v>
      </c>
      <c r="H464" s="13">
        <v>1.0</v>
      </c>
      <c r="I464" s="13" t="s">
        <v>41</v>
      </c>
      <c r="J464" s="13" t="s">
        <v>46</v>
      </c>
      <c r="K464" s="13" t="s">
        <v>47</v>
      </c>
      <c r="L464" s="13"/>
    </row>
    <row r="465">
      <c r="A465" s="13">
        <v>463.0</v>
      </c>
      <c r="B465" s="13">
        <v>724.0</v>
      </c>
      <c r="C465" s="13">
        <v>69.0</v>
      </c>
      <c r="D465" s="12" t="s">
        <v>848</v>
      </c>
      <c r="E465" s="12" t="s">
        <v>849</v>
      </c>
      <c r="F465" s="13">
        <v>4.0</v>
      </c>
      <c r="G465" s="13">
        <v>1.0</v>
      </c>
      <c r="H465" s="13">
        <v>1.0</v>
      </c>
      <c r="I465" s="13" t="s">
        <v>31</v>
      </c>
      <c r="J465" s="13" t="s">
        <v>32</v>
      </c>
      <c r="K465" s="13" t="s">
        <v>33</v>
      </c>
      <c r="L465" s="13"/>
    </row>
    <row r="466">
      <c r="A466" s="13">
        <v>464.0</v>
      </c>
      <c r="B466" s="13">
        <v>833.0</v>
      </c>
      <c r="C466" s="13">
        <v>48.0</v>
      </c>
      <c r="D466" s="12" t="s">
        <v>850</v>
      </c>
      <c r="E466" s="12" t="s">
        <v>851</v>
      </c>
      <c r="F466" s="13">
        <v>5.0</v>
      </c>
      <c r="G466" s="13">
        <v>1.0</v>
      </c>
      <c r="H466" s="13">
        <v>0.0</v>
      </c>
      <c r="I466" s="13" t="s">
        <v>35</v>
      </c>
      <c r="J466" s="13" t="s">
        <v>46</v>
      </c>
      <c r="K466" s="13" t="s">
        <v>47</v>
      </c>
      <c r="L466" s="13"/>
    </row>
    <row r="467">
      <c r="A467" s="13">
        <v>465.0</v>
      </c>
      <c r="B467" s="13">
        <v>862.0</v>
      </c>
      <c r="C467" s="13">
        <v>35.0</v>
      </c>
      <c r="D467" s="12" t="s">
        <v>852</v>
      </c>
      <c r="E467" s="12" t="s">
        <v>853</v>
      </c>
      <c r="F467" s="13">
        <v>5.0</v>
      </c>
      <c r="G467" s="13">
        <v>1.0</v>
      </c>
      <c r="H467" s="13">
        <v>6.0</v>
      </c>
      <c r="I467" s="13" t="s">
        <v>35</v>
      </c>
      <c r="J467" s="13" t="s">
        <v>46</v>
      </c>
      <c r="K467" s="13" t="s">
        <v>52</v>
      </c>
      <c r="L467" s="13"/>
    </row>
    <row r="468">
      <c r="A468" s="13">
        <v>466.0</v>
      </c>
      <c r="B468" s="13">
        <v>850.0</v>
      </c>
      <c r="C468" s="13">
        <v>59.0</v>
      </c>
      <c r="D468" s="12"/>
      <c r="E468" s="12" t="s">
        <v>854</v>
      </c>
      <c r="F468" s="13">
        <v>5.0</v>
      </c>
      <c r="G468" s="13">
        <v>1.0</v>
      </c>
      <c r="H468" s="13">
        <v>4.0</v>
      </c>
      <c r="I468" s="13" t="s">
        <v>41</v>
      </c>
      <c r="J468" s="13" t="s">
        <v>46</v>
      </c>
      <c r="K468" s="13" t="s">
        <v>47</v>
      </c>
      <c r="L468" s="13"/>
    </row>
    <row r="469">
      <c r="A469" s="13">
        <v>467.0</v>
      </c>
      <c r="B469" s="13">
        <v>1078.0</v>
      </c>
      <c r="C469" s="13">
        <v>61.0</v>
      </c>
      <c r="D469" s="12" t="s">
        <v>855</v>
      </c>
      <c r="E469" s="12" t="s">
        <v>856</v>
      </c>
      <c r="F469" s="13">
        <v>5.0</v>
      </c>
      <c r="G469" s="13">
        <v>1.0</v>
      </c>
      <c r="H469" s="13">
        <v>1.0</v>
      </c>
      <c r="I469" s="13" t="s">
        <v>35</v>
      </c>
      <c r="J469" s="13" t="s">
        <v>36</v>
      </c>
      <c r="K469" s="13" t="s">
        <v>36</v>
      </c>
      <c r="L469" s="13"/>
    </row>
    <row r="470">
      <c r="A470" s="13">
        <v>468.0</v>
      </c>
      <c r="B470" s="13">
        <v>850.0</v>
      </c>
      <c r="C470" s="13">
        <v>45.0</v>
      </c>
      <c r="D470" s="12" t="s">
        <v>857</v>
      </c>
      <c r="E470" s="12" t="s">
        <v>858</v>
      </c>
      <c r="F470" s="13">
        <v>5.0</v>
      </c>
      <c r="G470" s="13">
        <v>1.0</v>
      </c>
      <c r="H470" s="13">
        <v>0.0</v>
      </c>
      <c r="I470" s="13" t="s">
        <v>41</v>
      </c>
      <c r="J470" s="13" t="s">
        <v>46</v>
      </c>
      <c r="K470" s="13" t="s">
        <v>47</v>
      </c>
      <c r="L470" s="13"/>
    </row>
    <row r="471">
      <c r="A471" s="13">
        <v>469.0</v>
      </c>
      <c r="B471" s="13">
        <v>1104.0</v>
      </c>
      <c r="C471" s="13">
        <v>25.0</v>
      </c>
      <c r="D471" s="12" t="s">
        <v>859</v>
      </c>
      <c r="E471" s="12" t="s">
        <v>860</v>
      </c>
      <c r="F471" s="13">
        <v>5.0</v>
      </c>
      <c r="G471" s="13">
        <v>1.0</v>
      </c>
      <c r="H471" s="13">
        <v>1.0</v>
      </c>
      <c r="I471" s="13" t="s">
        <v>35</v>
      </c>
      <c r="J471" s="13" t="s">
        <v>36</v>
      </c>
      <c r="K471" s="13" t="s">
        <v>36</v>
      </c>
      <c r="L471" s="13"/>
    </row>
    <row r="472">
      <c r="A472" s="13">
        <v>470.0</v>
      </c>
      <c r="B472" s="13">
        <v>1078.0</v>
      </c>
      <c r="C472" s="13">
        <v>33.0</v>
      </c>
      <c r="D472" s="12" t="s">
        <v>861</v>
      </c>
      <c r="E472" s="12" t="s">
        <v>862</v>
      </c>
      <c r="F472" s="13">
        <v>3.0</v>
      </c>
      <c r="G472" s="13">
        <v>0.0</v>
      </c>
      <c r="H472" s="13">
        <v>0.0</v>
      </c>
      <c r="I472" s="13" t="s">
        <v>35</v>
      </c>
      <c r="J472" s="13" t="s">
        <v>36</v>
      </c>
      <c r="K472" s="13" t="s">
        <v>36</v>
      </c>
      <c r="L472" s="13"/>
    </row>
    <row r="473">
      <c r="A473" s="13">
        <v>471.0</v>
      </c>
      <c r="B473" s="13">
        <v>984.0</v>
      </c>
      <c r="C473" s="13">
        <v>40.0</v>
      </c>
      <c r="D473" s="12" t="s">
        <v>863</v>
      </c>
      <c r="E473" s="12" t="s">
        <v>864</v>
      </c>
      <c r="F473" s="13">
        <v>4.0</v>
      </c>
      <c r="G473" s="13">
        <v>1.0</v>
      </c>
      <c r="H473" s="13">
        <v>0.0</v>
      </c>
      <c r="I473" s="13" t="s">
        <v>35</v>
      </c>
      <c r="J473" s="13" t="s">
        <v>76</v>
      </c>
      <c r="K473" s="13" t="s">
        <v>76</v>
      </c>
      <c r="L473" s="13"/>
    </row>
    <row r="474">
      <c r="A474" s="13">
        <v>472.0</v>
      </c>
      <c r="B474" s="13">
        <v>850.0</v>
      </c>
      <c r="C474" s="13">
        <v>68.0</v>
      </c>
      <c r="D474" s="12" t="s">
        <v>865</v>
      </c>
      <c r="E474" s="12" t="s">
        <v>866</v>
      </c>
      <c r="F474" s="13">
        <v>5.0</v>
      </c>
      <c r="G474" s="13">
        <v>1.0</v>
      </c>
      <c r="H474" s="13">
        <v>3.0</v>
      </c>
      <c r="I474" s="13" t="s">
        <v>41</v>
      </c>
      <c r="J474" s="13" t="s">
        <v>46</v>
      </c>
      <c r="K474" s="13" t="s">
        <v>47</v>
      </c>
      <c r="L474" s="13"/>
    </row>
    <row r="475">
      <c r="A475" s="13">
        <v>473.0</v>
      </c>
      <c r="B475" s="13">
        <v>204.0</v>
      </c>
      <c r="C475" s="13">
        <v>30.0</v>
      </c>
      <c r="D475" s="12" t="s">
        <v>867</v>
      </c>
      <c r="E475" s="12" t="s">
        <v>868</v>
      </c>
      <c r="F475" s="13">
        <v>5.0</v>
      </c>
      <c r="G475" s="13">
        <v>1.0</v>
      </c>
      <c r="H475" s="13">
        <v>0.0</v>
      </c>
      <c r="I475" s="13" t="s">
        <v>31</v>
      </c>
      <c r="J475" s="13" t="s">
        <v>32</v>
      </c>
      <c r="K475" s="13" t="s">
        <v>33</v>
      </c>
      <c r="L475" s="13"/>
    </row>
    <row r="476">
      <c r="A476" s="13">
        <v>474.0</v>
      </c>
      <c r="B476" s="13">
        <v>1078.0</v>
      </c>
      <c r="C476" s="13">
        <v>20.0</v>
      </c>
      <c r="D476" s="12" t="s">
        <v>869</v>
      </c>
      <c r="E476" s="12" t="s">
        <v>870</v>
      </c>
      <c r="F476" s="13">
        <v>5.0</v>
      </c>
      <c r="G476" s="13">
        <v>1.0</v>
      </c>
      <c r="H476" s="13">
        <v>1.0</v>
      </c>
      <c r="I476" s="13" t="s">
        <v>35</v>
      </c>
      <c r="J476" s="13" t="s">
        <v>36</v>
      </c>
      <c r="K476" s="13" t="s">
        <v>36</v>
      </c>
      <c r="L476" s="13"/>
    </row>
    <row r="477">
      <c r="A477" s="13">
        <v>475.0</v>
      </c>
      <c r="B477" s="13">
        <v>862.0</v>
      </c>
      <c r="C477" s="13">
        <v>42.0</v>
      </c>
      <c r="D477" s="12" t="s">
        <v>238</v>
      </c>
      <c r="E477" s="12" t="s">
        <v>871</v>
      </c>
      <c r="F477" s="13">
        <v>2.0</v>
      </c>
      <c r="G477" s="13">
        <v>0.0</v>
      </c>
      <c r="H477" s="13">
        <v>2.0</v>
      </c>
      <c r="I477" s="13" t="s">
        <v>35</v>
      </c>
      <c r="J477" s="13" t="s">
        <v>46</v>
      </c>
      <c r="K477" s="13" t="s">
        <v>52</v>
      </c>
      <c r="L477" s="13"/>
    </row>
    <row r="478">
      <c r="A478" s="13">
        <v>476.0</v>
      </c>
      <c r="B478" s="13">
        <v>1078.0</v>
      </c>
      <c r="C478" s="13">
        <v>52.0</v>
      </c>
      <c r="D478" s="12" t="s">
        <v>872</v>
      </c>
      <c r="E478" s="12" t="s">
        <v>873</v>
      </c>
      <c r="F478" s="13">
        <v>5.0</v>
      </c>
      <c r="G478" s="13">
        <v>1.0</v>
      </c>
      <c r="H478" s="13">
        <v>1.0</v>
      </c>
      <c r="I478" s="13" t="s">
        <v>35</v>
      </c>
      <c r="J478" s="13" t="s">
        <v>36</v>
      </c>
      <c r="K478" s="13" t="s">
        <v>36</v>
      </c>
      <c r="L478" s="13"/>
    </row>
    <row r="479">
      <c r="A479" s="13">
        <v>477.0</v>
      </c>
      <c r="B479" s="13">
        <v>984.0</v>
      </c>
      <c r="C479" s="13">
        <v>42.0</v>
      </c>
      <c r="D479" s="12" t="s">
        <v>874</v>
      </c>
      <c r="E479" s="12" t="s">
        <v>875</v>
      </c>
      <c r="F479" s="13">
        <v>5.0</v>
      </c>
      <c r="G479" s="13">
        <v>1.0</v>
      </c>
      <c r="H479" s="13">
        <v>2.0</v>
      </c>
      <c r="I479" s="13" t="s">
        <v>35</v>
      </c>
      <c r="J479" s="13" t="s">
        <v>76</v>
      </c>
      <c r="K479" s="13" t="s">
        <v>76</v>
      </c>
      <c r="L479" s="13"/>
    </row>
    <row r="480">
      <c r="A480" s="13">
        <v>478.0</v>
      </c>
      <c r="B480" s="13">
        <v>1008.0</v>
      </c>
      <c r="C480" s="13">
        <v>24.0</v>
      </c>
      <c r="D480" s="12" t="s">
        <v>876</v>
      </c>
      <c r="E480" s="12" t="s">
        <v>877</v>
      </c>
      <c r="F480" s="13">
        <v>4.0</v>
      </c>
      <c r="G480" s="13">
        <v>1.0</v>
      </c>
      <c r="H480" s="13">
        <v>0.0</v>
      </c>
      <c r="I480" s="13" t="s">
        <v>35</v>
      </c>
      <c r="J480" s="13" t="s">
        <v>42</v>
      </c>
      <c r="K480" s="13" t="s">
        <v>98</v>
      </c>
      <c r="L480" s="13"/>
    </row>
    <row r="481">
      <c r="A481" s="13">
        <v>479.0</v>
      </c>
      <c r="B481" s="13">
        <v>841.0</v>
      </c>
      <c r="C481" s="13">
        <v>43.0</v>
      </c>
      <c r="D481" s="12" t="s">
        <v>878</v>
      </c>
      <c r="E481" s="12" t="s">
        <v>879</v>
      </c>
      <c r="F481" s="13">
        <v>4.0</v>
      </c>
      <c r="G481" s="13">
        <v>1.0</v>
      </c>
      <c r="H481" s="13">
        <v>0.0</v>
      </c>
      <c r="I481" s="13" t="s">
        <v>41</v>
      </c>
      <c r="J481" s="13" t="s">
        <v>46</v>
      </c>
      <c r="K481" s="13" t="s">
        <v>47</v>
      </c>
      <c r="L481" s="13"/>
    </row>
    <row r="482">
      <c r="A482" s="13">
        <v>480.0</v>
      </c>
      <c r="B482" s="13">
        <v>1104.0</v>
      </c>
      <c r="C482" s="13">
        <v>51.0</v>
      </c>
      <c r="D482" s="12" t="s">
        <v>880</v>
      </c>
      <c r="E482" s="12" t="s">
        <v>881</v>
      </c>
      <c r="F482" s="13">
        <v>3.0</v>
      </c>
      <c r="G482" s="13">
        <v>0.0</v>
      </c>
      <c r="H482" s="13">
        <v>0.0</v>
      </c>
      <c r="I482" s="13" t="s">
        <v>35</v>
      </c>
      <c r="J482" s="13" t="s">
        <v>36</v>
      </c>
      <c r="K482" s="13" t="s">
        <v>36</v>
      </c>
      <c r="L482" s="13"/>
    </row>
    <row r="483">
      <c r="A483" s="13">
        <v>481.0</v>
      </c>
      <c r="B483" s="13">
        <v>850.0</v>
      </c>
      <c r="C483" s="13">
        <v>39.0</v>
      </c>
      <c r="D483" s="12" t="s">
        <v>882</v>
      </c>
      <c r="E483" s="12" t="s">
        <v>883</v>
      </c>
      <c r="F483" s="13">
        <v>5.0</v>
      </c>
      <c r="G483" s="13">
        <v>1.0</v>
      </c>
      <c r="H483" s="13">
        <v>1.0</v>
      </c>
      <c r="I483" s="13" t="s">
        <v>41</v>
      </c>
      <c r="J483" s="13" t="s">
        <v>46</v>
      </c>
      <c r="K483" s="13" t="s">
        <v>47</v>
      </c>
      <c r="L483" s="13"/>
    </row>
    <row r="484">
      <c r="A484" s="13">
        <v>482.0</v>
      </c>
      <c r="B484" s="13">
        <v>1081.0</v>
      </c>
      <c r="C484" s="13">
        <v>39.0</v>
      </c>
      <c r="D484" s="12" t="s">
        <v>884</v>
      </c>
      <c r="E484" s="12" t="s">
        <v>885</v>
      </c>
      <c r="F484" s="13">
        <v>5.0</v>
      </c>
      <c r="G484" s="13">
        <v>1.0</v>
      </c>
      <c r="H484" s="13">
        <v>0.0</v>
      </c>
      <c r="I484" s="13" t="s">
        <v>35</v>
      </c>
      <c r="J484" s="13" t="s">
        <v>36</v>
      </c>
      <c r="K484" s="13" t="s">
        <v>36</v>
      </c>
      <c r="L484" s="13"/>
    </row>
    <row r="485">
      <c r="A485" s="13">
        <v>483.0</v>
      </c>
      <c r="B485" s="13">
        <v>833.0</v>
      </c>
      <c r="C485" s="13">
        <v>39.0</v>
      </c>
      <c r="D485" s="12"/>
      <c r="E485" s="12" t="s">
        <v>886</v>
      </c>
      <c r="F485" s="13">
        <v>4.0</v>
      </c>
      <c r="G485" s="13">
        <v>1.0</v>
      </c>
      <c r="H485" s="13">
        <v>1.0</v>
      </c>
      <c r="I485" s="13" t="s">
        <v>35</v>
      </c>
      <c r="J485" s="13" t="s">
        <v>46</v>
      </c>
      <c r="K485" s="13" t="s">
        <v>47</v>
      </c>
      <c r="L485" s="13"/>
    </row>
    <row r="486">
      <c r="A486" s="13">
        <v>484.0</v>
      </c>
      <c r="B486" s="13">
        <v>850.0</v>
      </c>
      <c r="C486" s="13">
        <v>57.0</v>
      </c>
      <c r="D486" s="12" t="s">
        <v>887</v>
      </c>
      <c r="E486" s="12" t="s">
        <v>888</v>
      </c>
      <c r="F486" s="13">
        <v>4.0</v>
      </c>
      <c r="G486" s="13">
        <v>1.0</v>
      </c>
      <c r="H486" s="13">
        <v>0.0</v>
      </c>
      <c r="I486" s="13" t="s">
        <v>41</v>
      </c>
      <c r="J486" s="13" t="s">
        <v>46</v>
      </c>
      <c r="K486" s="13" t="s">
        <v>47</v>
      </c>
      <c r="L486" s="13"/>
    </row>
    <row r="487">
      <c r="A487" s="13">
        <v>485.0</v>
      </c>
      <c r="B487" s="13">
        <v>862.0</v>
      </c>
      <c r="C487" s="13">
        <v>35.0</v>
      </c>
      <c r="D487" s="12" t="s">
        <v>889</v>
      </c>
      <c r="E487" s="12" t="s">
        <v>890</v>
      </c>
      <c r="F487" s="13">
        <v>4.0</v>
      </c>
      <c r="G487" s="13">
        <v>1.0</v>
      </c>
      <c r="H487" s="13">
        <v>0.0</v>
      </c>
      <c r="I487" s="13" t="s">
        <v>41</v>
      </c>
      <c r="J487" s="13" t="s">
        <v>46</v>
      </c>
      <c r="K487" s="13" t="s">
        <v>52</v>
      </c>
      <c r="L487" s="13"/>
    </row>
    <row r="488">
      <c r="A488" s="13">
        <v>486.0</v>
      </c>
      <c r="B488" s="13">
        <v>1078.0</v>
      </c>
      <c r="C488" s="13">
        <v>46.0</v>
      </c>
      <c r="D488" s="12" t="s">
        <v>891</v>
      </c>
      <c r="E488" s="12" t="s">
        <v>892</v>
      </c>
      <c r="F488" s="13">
        <v>5.0</v>
      </c>
      <c r="G488" s="13">
        <v>1.0</v>
      </c>
      <c r="H488" s="13">
        <v>1.0</v>
      </c>
      <c r="I488" s="13" t="s">
        <v>35</v>
      </c>
      <c r="J488" s="13" t="s">
        <v>36</v>
      </c>
      <c r="K488" s="13" t="s">
        <v>36</v>
      </c>
      <c r="L488" s="13"/>
    </row>
    <row r="489">
      <c r="A489" s="13">
        <v>487.0</v>
      </c>
      <c r="B489" s="13">
        <v>850.0</v>
      </c>
      <c r="C489" s="13">
        <v>51.0</v>
      </c>
      <c r="D489" s="12" t="s">
        <v>893</v>
      </c>
      <c r="E489" s="12" t="s">
        <v>894</v>
      </c>
      <c r="F489" s="13">
        <v>5.0</v>
      </c>
      <c r="G489" s="13">
        <v>1.0</v>
      </c>
      <c r="H489" s="13">
        <v>4.0</v>
      </c>
      <c r="I489" s="13" t="s">
        <v>41</v>
      </c>
      <c r="J489" s="13" t="s">
        <v>46</v>
      </c>
      <c r="K489" s="13" t="s">
        <v>47</v>
      </c>
      <c r="L489" s="13"/>
    </row>
    <row r="490">
      <c r="A490" s="13">
        <v>488.0</v>
      </c>
      <c r="B490" s="13">
        <v>850.0</v>
      </c>
      <c r="C490" s="13">
        <v>39.0</v>
      </c>
      <c r="D490" s="12"/>
      <c r="E490" s="12" t="s">
        <v>895</v>
      </c>
      <c r="F490" s="13">
        <v>5.0</v>
      </c>
      <c r="G490" s="13">
        <v>1.0</v>
      </c>
      <c r="H490" s="13">
        <v>0.0</v>
      </c>
      <c r="I490" s="13" t="s">
        <v>41</v>
      </c>
      <c r="J490" s="13" t="s">
        <v>46</v>
      </c>
      <c r="K490" s="13" t="s">
        <v>47</v>
      </c>
      <c r="L490" s="13"/>
    </row>
    <row r="491">
      <c r="A491" s="13">
        <v>489.0</v>
      </c>
      <c r="B491" s="13">
        <v>831.0</v>
      </c>
      <c r="C491" s="13">
        <v>55.0</v>
      </c>
      <c r="D491" s="12" t="s">
        <v>896</v>
      </c>
      <c r="E491" s="12" t="s">
        <v>897</v>
      </c>
      <c r="F491" s="13">
        <v>5.0</v>
      </c>
      <c r="G491" s="13">
        <v>1.0</v>
      </c>
      <c r="H491" s="13">
        <v>0.0</v>
      </c>
      <c r="I491" s="13" t="s">
        <v>35</v>
      </c>
      <c r="J491" s="13" t="s">
        <v>46</v>
      </c>
      <c r="K491" s="13" t="s">
        <v>47</v>
      </c>
      <c r="L491" s="13"/>
    </row>
    <row r="492">
      <c r="A492" s="13">
        <v>490.0</v>
      </c>
      <c r="B492" s="13">
        <v>833.0</v>
      </c>
      <c r="C492" s="13">
        <v>42.0</v>
      </c>
      <c r="D492" s="12" t="s">
        <v>898</v>
      </c>
      <c r="E492" s="12" t="s">
        <v>899</v>
      </c>
      <c r="F492" s="13">
        <v>5.0</v>
      </c>
      <c r="G492" s="13">
        <v>1.0</v>
      </c>
      <c r="H492" s="13">
        <v>0.0</v>
      </c>
      <c r="I492" s="13" t="s">
        <v>35</v>
      </c>
      <c r="J492" s="13" t="s">
        <v>46</v>
      </c>
      <c r="K492" s="13" t="s">
        <v>47</v>
      </c>
      <c r="L492" s="13"/>
    </row>
    <row r="493">
      <c r="A493" s="13">
        <v>491.0</v>
      </c>
      <c r="B493" s="13">
        <v>984.0</v>
      </c>
      <c r="C493" s="13">
        <v>40.0</v>
      </c>
      <c r="D493" s="12" t="s">
        <v>900</v>
      </c>
      <c r="E493" s="12" t="s">
        <v>901</v>
      </c>
      <c r="F493" s="13">
        <v>4.0</v>
      </c>
      <c r="G493" s="13">
        <v>1.0</v>
      </c>
      <c r="H493" s="13">
        <v>0.0</v>
      </c>
      <c r="I493" s="13" t="s">
        <v>35</v>
      </c>
      <c r="J493" s="13" t="s">
        <v>76</v>
      </c>
      <c r="K493" s="13" t="s">
        <v>76</v>
      </c>
      <c r="L493" s="13"/>
    </row>
    <row r="494">
      <c r="A494" s="13">
        <v>492.0</v>
      </c>
      <c r="B494" s="13">
        <v>1078.0</v>
      </c>
      <c r="C494" s="13">
        <v>31.0</v>
      </c>
      <c r="D494" s="12" t="s">
        <v>902</v>
      </c>
      <c r="E494" s="12" t="s">
        <v>903</v>
      </c>
      <c r="F494" s="13">
        <v>4.0</v>
      </c>
      <c r="G494" s="13">
        <v>1.0</v>
      </c>
      <c r="H494" s="13">
        <v>4.0</v>
      </c>
      <c r="I494" s="13" t="s">
        <v>35</v>
      </c>
      <c r="J494" s="13" t="s">
        <v>36</v>
      </c>
      <c r="K494" s="13" t="s">
        <v>36</v>
      </c>
      <c r="L494" s="13"/>
    </row>
    <row r="495">
      <c r="A495" s="13">
        <v>493.0</v>
      </c>
      <c r="B495" s="13">
        <v>1104.0</v>
      </c>
      <c r="C495" s="13">
        <v>39.0</v>
      </c>
      <c r="D495" s="12"/>
      <c r="E495" s="12"/>
      <c r="F495" s="13">
        <v>5.0</v>
      </c>
      <c r="G495" s="13">
        <v>1.0</v>
      </c>
      <c r="H495" s="13">
        <v>0.0</v>
      </c>
      <c r="I495" s="13" t="s">
        <v>35</v>
      </c>
      <c r="J495" s="13" t="s">
        <v>36</v>
      </c>
      <c r="K495" s="13" t="s">
        <v>36</v>
      </c>
      <c r="L495" s="13"/>
    </row>
    <row r="496">
      <c r="A496" s="13">
        <v>494.0</v>
      </c>
      <c r="B496" s="13">
        <v>1081.0</v>
      </c>
      <c r="C496" s="13">
        <v>59.0</v>
      </c>
      <c r="D496" s="12" t="s">
        <v>142</v>
      </c>
      <c r="E496" s="12" t="s">
        <v>904</v>
      </c>
      <c r="F496" s="13">
        <v>5.0</v>
      </c>
      <c r="G496" s="13">
        <v>1.0</v>
      </c>
      <c r="H496" s="13">
        <v>10.0</v>
      </c>
      <c r="I496" s="13" t="s">
        <v>35</v>
      </c>
      <c r="J496" s="13" t="s">
        <v>36</v>
      </c>
      <c r="K496" s="13" t="s">
        <v>36</v>
      </c>
      <c r="L496" s="13"/>
    </row>
    <row r="497">
      <c r="A497" s="13">
        <v>495.0</v>
      </c>
      <c r="B497" s="13">
        <v>833.0</v>
      </c>
      <c r="C497" s="13">
        <v>53.0</v>
      </c>
      <c r="D497" s="12" t="s">
        <v>905</v>
      </c>
      <c r="E497" s="12" t="s">
        <v>906</v>
      </c>
      <c r="F497" s="13">
        <v>4.0</v>
      </c>
      <c r="G497" s="13">
        <v>1.0</v>
      </c>
      <c r="H497" s="13">
        <v>0.0</v>
      </c>
      <c r="I497" s="13" t="s">
        <v>35</v>
      </c>
      <c r="J497" s="13" t="s">
        <v>46</v>
      </c>
      <c r="K497" s="13" t="s">
        <v>47</v>
      </c>
      <c r="L497" s="13"/>
    </row>
    <row r="498">
      <c r="A498" s="13">
        <v>496.0</v>
      </c>
      <c r="B498" s="13">
        <v>850.0</v>
      </c>
      <c r="C498" s="13">
        <v>41.0</v>
      </c>
      <c r="D498" s="12" t="s">
        <v>907</v>
      </c>
      <c r="E498" s="12" t="s">
        <v>908</v>
      </c>
      <c r="F498" s="13">
        <v>5.0</v>
      </c>
      <c r="G498" s="13">
        <v>1.0</v>
      </c>
      <c r="H498" s="13">
        <v>1.0</v>
      </c>
      <c r="I498" s="13" t="s">
        <v>41</v>
      </c>
      <c r="J498" s="13" t="s">
        <v>46</v>
      </c>
      <c r="K498" s="13" t="s">
        <v>47</v>
      </c>
      <c r="L498" s="13"/>
    </row>
    <row r="499">
      <c r="A499" s="13">
        <v>497.0</v>
      </c>
      <c r="B499" s="13">
        <v>1078.0</v>
      </c>
      <c r="C499" s="13">
        <v>49.0</v>
      </c>
      <c r="D499" s="12"/>
      <c r="E499" s="12" t="s">
        <v>909</v>
      </c>
      <c r="F499" s="13">
        <v>5.0</v>
      </c>
      <c r="G499" s="13">
        <v>1.0</v>
      </c>
      <c r="H499" s="13">
        <v>2.0</v>
      </c>
      <c r="I499" s="13" t="s">
        <v>35</v>
      </c>
      <c r="J499" s="13" t="s">
        <v>36</v>
      </c>
      <c r="K499" s="13" t="s">
        <v>36</v>
      </c>
      <c r="L499" s="13"/>
    </row>
    <row r="500">
      <c r="A500" s="13">
        <v>498.0</v>
      </c>
      <c r="B500" s="13">
        <v>850.0</v>
      </c>
      <c r="C500" s="13">
        <v>33.0</v>
      </c>
      <c r="D500" s="12" t="s">
        <v>910</v>
      </c>
      <c r="E500" s="12" t="s">
        <v>911</v>
      </c>
      <c r="F500" s="13">
        <v>3.0</v>
      </c>
      <c r="G500" s="13">
        <v>0.0</v>
      </c>
      <c r="H500" s="13">
        <v>0.0</v>
      </c>
      <c r="I500" s="13" t="s">
        <v>41</v>
      </c>
      <c r="J500" s="13" t="s">
        <v>46</v>
      </c>
      <c r="K500" s="13" t="s">
        <v>47</v>
      </c>
      <c r="L500" s="13"/>
    </row>
    <row r="501">
      <c r="A501" s="13">
        <v>499.0</v>
      </c>
      <c r="B501" s="13">
        <v>1078.0</v>
      </c>
      <c r="C501" s="13">
        <v>36.0</v>
      </c>
      <c r="D501" s="12" t="s">
        <v>912</v>
      </c>
      <c r="E501" s="12" t="s">
        <v>913</v>
      </c>
      <c r="F501" s="13">
        <v>2.0</v>
      </c>
      <c r="G501" s="13">
        <v>0.0</v>
      </c>
      <c r="H501" s="13">
        <v>1.0</v>
      </c>
      <c r="I501" s="13" t="s">
        <v>35</v>
      </c>
      <c r="J501" s="13" t="s">
        <v>36</v>
      </c>
      <c r="K501" s="13" t="s">
        <v>36</v>
      </c>
      <c r="L501" s="13"/>
    </row>
    <row r="502">
      <c r="A502" s="13">
        <v>500.0</v>
      </c>
      <c r="B502" s="13">
        <v>850.0</v>
      </c>
      <c r="C502" s="13">
        <v>29.0</v>
      </c>
      <c r="D502" s="12" t="s">
        <v>914</v>
      </c>
      <c r="E502" s="12" t="s">
        <v>915</v>
      </c>
      <c r="F502" s="13">
        <v>3.0</v>
      </c>
      <c r="G502" s="13">
        <v>1.0</v>
      </c>
      <c r="H502" s="13">
        <v>15.0</v>
      </c>
      <c r="I502" s="13" t="s">
        <v>41</v>
      </c>
      <c r="J502" s="13" t="s">
        <v>46</v>
      </c>
      <c r="K502" s="13" t="s">
        <v>47</v>
      </c>
      <c r="L502" s="13"/>
    </row>
    <row r="503">
      <c r="A503" s="13">
        <v>501.0</v>
      </c>
      <c r="B503" s="13">
        <v>850.0</v>
      </c>
      <c r="C503" s="13">
        <v>49.0</v>
      </c>
      <c r="D503" s="12" t="s">
        <v>916</v>
      </c>
      <c r="E503" s="12" t="s">
        <v>917</v>
      </c>
      <c r="F503" s="13">
        <v>4.0</v>
      </c>
      <c r="G503" s="13">
        <v>1.0</v>
      </c>
      <c r="H503" s="13">
        <v>2.0</v>
      </c>
      <c r="I503" s="13" t="s">
        <v>41</v>
      </c>
      <c r="J503" s="13" t="s">
        <v>46</v>
      </c>
      <c r="K503" s="13" t="s">
        <v>47</v>
      </c>
      <c r="L503" s="13"/>
    </row>
    <row r="504">
      <c r="A504" s="13">
        <v>502.0</v>
      </c>
      <c r="B504" s="13">
        <v>1078.0</v>
      </c>
      <c r="C504" s="13">
        <v>39.0</v>
      </c>
      <c r="D504" s="12" t="s">
        <v>918</v>
      </c>
      <c r="E504" s="12" t="s">
        <v>919</v>
      </c>
      <c r="F504" s="13">
        <v>5.0</v>
      </c>
      <c r="G504" s="13">
        <v>1.0</v>
      </c>
      <c r="H504" s="13">
        <v>0.0</v>
      </c>
      <c r="I504" s="13" t="s">
        <v>35</v>
      </c>
      <c r="J504" s="13" t="s">
        <v>36</v>
      </c>
      <c r="K504" s="13" t="s">
        <v>36</v>
      </c>
      <c r="L504" s="13"/>
    </row>
    <row r="505">
      <c r="A505" s="13">
        <v>503.0</v>
      </c>
      <c r="B505" s="13">
        <v>948.0</v>
      </c>
      <c r="C505" s="13">
        <v>40.0</v>
      </c>
      <c r="D505" s="12" t="s">
        <v>920</v>
      </c>
      <c r="E505" s="12" t="s">
        <v>921</v>
      </c>
      <c r="F505" s="13">
        <v>2.0</v>
      </c>
      <c r="G505" s="13">
        <v>1.0</v>
      </c>
      <c r="H505" s="13">
        <v>0.0</v>
      </c>
      <c r="I505" s="13" t="s">
        <v>41</v>
      </c>
      <c r="J505" s="13" t="s">
        <v>46</v>
      </c>
      <c r="K505" s="13" t="s">
        <v>95</v>
      </c>
      <c r="L505" s="13"/>
    </row>
    <row r="506">
      <c r="A506" s="13">
        <v>504.0</v>
      </c>
      <c r="B506" s="13">
        <v>850.0</v>
      </c>
      <c r="C506" s="13">
        <v>57.0</v>
      </c>
      <c r="D506" s="12" t="s">
        <v>922</v>
      </c>
      <c r="E506" s="12" t="s">
        <v>923</v>
      </c>
      <c r="F506" s="13">
        <v>5.0</v>
      </c>
      <c r="G506" s="13">
        <v>1.0</v>
      </c>
      <c r="H506" s="13">
        <v>0.0</v>
      </c>
      <c r="I506" s="13" t="s">
        <v>41</v>
      </c>
      <c r="J506" s="13" t="s">
        <v>46</v>
      </c>
      <c r="K506" s="13" t="s">
        <v>47</v>
      </c>
      <c r="L506" s="13"/>
    </row>
    <row r="507">
      <c r="A507" s="13">
        <v>505.0</v>
      </c>
      <c r="B507" s="13">
        <v>833.0</v>
      </c>
      <c r="C507" s="13">
        <v>56.0</v>
      </c>
      <c r="D507" s="12"/>
      <c r="E507" s="12" t="s">
        <v>924</v>
      </c>
      <c r="F507" s="13">
        <v>4.0</v>
      </c>
      <c r="G507" s="13">
        <v>1.0</v>
      </c>
      <c r="H507" s="13">
        <v>0.0</v>
      </c>
      <c r="I507" s="13" t="s">
        <v>35</v>
      </c>
      <c r="J507" s="13" t="s">
        <v>46</v>
      </c>
      <c r="K507" s="13" t="s">
        <v>47</v>
      </c>
      <c r="L507" s="13"/>
    </row>
    <row r="508">
      <c r="A508" s="13">
        <v>506.0</v>
      </c>
      <c r="B508" s="13">
        <v>1078.0</v>
      </c>
      <c r="C508" s="13">
        <v>51.0</v>
      </c>
      <c r="D508" s="12" t="s">
        <v>925</v>
      </c>
      <c r="E508" s="12" t="s">
        <v>926</v>
      </c>
      <c r="F508" s="13">
        <v>3.0</v>
      </c>
      <c r="G508" s="13">
        <v>1.0</v>
      </c>
      <c r="H508" s="13">
        <v>11.0</v>
      </c>
      <c r="I508" s="13" t="s">
        <v>35</v>
      </c>
      <c r="J508" s="13" t="s">
        <v>36</v>
      </c>
      <c r="K508" s="13" t="s">
        <v>36</v>
      </c>
      <c r="L508" s="13"/>
    </row>
    <row r="509">
      <c r="A509" s="13">
        <v>507.0</v>
      </c>
      <c r="B509" s="13">
        <v>850.0</v>
      </c>
      <c r="C509" s="13">
        <v>58.0</v>
      </c>
      <c r="D509" s="12" t="s">
        <v>927</v>
      </c>
      <c r="E509" s="12" t="s">
        <v>928</v>
      </c>
      <c r="F509" s="13">
        <v>5.0</v>
      </c>
      <c r="G509" s="13">
        <v>1.0</v>
      </c>
      <c r="H509" s="13">
        <v>7.0</v>
      </c>
      <c r="I509" s="13" t="s">
        <v>41</v>
      </c>
      <c r="J509" s="13" t="s">
        <v>46</v>
      </c>
      <c r="K509" s="13" t="s">
        <v>47</v>
      </c>
      <c r="L509" s="13"/>
    </row>
    <row r="510">
      <c r="A510" s="13">
        <v>508.0</v>
      </c>
      <c r="B510" s="13">
        <v>1078.0</v>
      </c>
      <c r="C510" s="13">
        <v>67.0</v>
      </c>
      <c r="D510" s="12" t="s">
        <v>929</v>
      </c>
      <c r="E510" s="12" t="s">
        <v>930</v>
      </c>
      <c r="F510" s="13">
        <v>4.0</v>
      </c>
      <c r="G510" s="13">
        <v>1.0</v>
      </c>
      <c r="H510" s="13">
        <v>0.0</v>
      </c>
      <c r="I510" s="13" t="s">
        <v>35</v>
      </c>
      <c r="J510" s="13" t="s">
        <v>36</v>
      </c>
      <c r="K510" s="13" t="s">
        <v>36</v>
      </c>
      <c r="L510" s="13"/>
    </row>
    <row r="511">
      <c r="A511" s="13">
        <v>509.0</v>
      </c>
      <c r="B511" s="13">
        <v>1078.0</v>
      </c>
      <c r="C511" s="13">
        <v>36.0</v>
      </c>
      <c r="D511" s="12" t="s">
        <v>931</v>
      </c>
      <c r="E511" s="12" t="s">
        <v>932</v>
      </c>
      <c r="F511" s="13">
        <v>5.0</v>
      </c>
      <c r="G511" s="13">
        <v>1.0</v>
      </c>
      <c r="H511" s="13">
        <v>8.0</v>
      </c>
      <c r="I511" s="13" t="s">
        <v>35</v>
      </c>
      <c r="J511" s="13" t="s">
        <v>36</v>
      </c>
      <c r="K511" s="13" t="s">
        <v>36</v>
      </c>
      <c r="L511" s="13"/>
    </row>
    <row r="512">
      <c r="A512" s="13">
        <v>510.0</v>
      </c>
      <c r="B512" s="13">
        <v>850.0</v>
      </c>
      <c r="C512" s="13">
        <v>27.0</v>
      </c>
      <c r="D512" s="12" t="s">
        <v>933</v>
      </c>
      <c r="E512" s="12" t="s">
        <v>934</v>
      </c>
      <c r="F512" s="13">
        <v>5.0</v>
      </c>
      <c r="G512" s="13">
        <v>1.0</v>
      </c>
      <c r="H512" s="13">
        <v>4.0</v>
      </c>
      <c r="I512" s="13" t="s">
        <v>41</v>
      </c>
      <c r="J512" s="13" t="s">
        <v>46</v>
      </c>
      <c r="K512" s="13" t="s">
        <v>47</v>
      </c>
      <c r="L512" s="13"/>
    </row>
    <row r="513">
      <c r="A513" s="13">
        <v>511.0</v>
      </c>
      <c r="B513" s="13">
        <v>948.0</v>
      </c>
      <c r="C513" s="13">
        <v>60.0</v>
      </c>
      <c r="D513" s="12" t="s">
        <v>935</v>
      </c>
      <c r="E513" s="12" t="s">
        <v>936</v>
      </c>
      <c r="F513" s="13">
        <v>2.0</v>
      </c>
      <c r="G513" s="13">
        <v>0.0</v>
      </c>
      <c r="H513" s="13">
        <v>2.0</v>
      </c>
      <c r="I513" s="13" t="s">
        <v>41</v>
      </c>
      <c r="J513" s="13" t="s">
        <v>46</v>
      </c>
      <c r="K513" s="13" t="s">
        <v>95</v>
      </c>
      <c r="L513" s="13"/>
    </row>
    <row r="514">
      <c r="A514" s="13">
        <v>512.0</v>
      </c>
      <c r="B514" s="13">
        <v>1078.0</v>
      </c>
      <c r="C514" s="13">
        <v>49.0</v>
      </c>
      <c r="D514" s="12" t="s">
        <v>937</v>
      </c>
      <c r="E514" s="12" t="s">
        <v>938</v>
      </c>
      <c r="F514" s="13">
        <v>5.0</v>
      </c>
      <c r="G514" s="13">
        <v>1.0</v>
      </c>
      <c r="H514" s="13">
        <v>3.0</v>
      </c>
      <c r="I514" s="13" t="s">
        <v>35</v>
      </c>
      <c r="J514" s="13" t="s">
        <v>36</v>
      </c>
      <c r="K514" s="13" t="s">
        <v>36</v>
      </c>
      <c r="L514" s="13"/>
    </row>
    <row r="515">
      <c r="A515" s="13">
        <v>513.0</v>
      </c>
      <c r="B515" s="13">
        <v>850.0</v>
      </c>
      <c r="C515" s="13">
        <v>49.0</v>
      </c>
      <c r="D515" s="12" t="s">
        <v>887</v>
      </c>
      <c r="E515" s="12" t="s">
        <v>939</v>
      </c>
      <c r="F515" s="13">
        <v>3.0</v>
      </c>
      <c r="G515" s="13">
        <v>1.0</v>
      </c>
      <c r="H515" s="13">
        <v>7.0</v>
      </c>
      <c r="I515" s="13" t="s">
        <v>41</v>
      </c>
      <c r="J515" s="13" t="s">
        <v>46</v>
      </c>
      <c r="K515" s="13" t="s">
        <v>47</v>
      </c>
      <c r="L515" s="13"/>
    </row>
    <row r="516">
      <c r="A516" s="13">
        <v>514.0</v>
      </c>
      <c r="B516" s="13">
        <v>1081.0</v>
      </c>
      <c r="C516" s="13">
        <v>35.0</v>
      </c>
      <c r="D516" s="12" t="s">
        <v>940</v>
      </c>
      <c r="E516" s="12" t="s">
        <v>941</v>
      </c>
      <c r="F516" s="13">
        <v>5.0</v>
      </c>
      <c r="G516" s="13">
        <v>1.0</v>
      </c>
      <c r="H516" s="13">
        <v>3.0</v>
      </c>
      <c r="I516" s="13" t="s">
        <v>41</v>
      </c>
      <c r="J516" s="13" t="s">
        <v>36</v>
      </c>
      <c r="K516" s="13" t="s">
        <v>36</v>
      </c>
      <c r="L516" s="13"/>
    </row>
    <row r="517">
      <c r="A517" s="13">
        <v>515.0</v>
      </c>
      <c r="B517" s="13">
        <v>833.0</v>
      </c>
      <c r="C517" s="13">
        <v>60.0</v>
      </c>
      <c r="D517" s="12" t="s">
        <v>898</v>
      </c>
      <c r="E517" s="12" t="s">
        <v>942</v>
      </c>
      <c r="F517" s="13">
        <v>5.0</v>
      </c>
      <c r="G517" s="13">
        <v>1.0</v>
      </c>
      <c r="H517" s="13">
        <v>3.0</v>
      </c>
      <c r="I517" s="13" t="s">
        <v>35</v>
      </c>
      <c r="J517" s="13" t="s">
        <v>46</v>
      </c>
      <c r="K517" s="13" t="s">
        <v>47</v>
      </c>
      <c r="L517" s="13"/>
    </row>
    <row r="518">
      <c r="A518" s="13">
        <v>516.0</v>
      </c>
      <c r="B518" s="13">
        <v>1081.0</v>
      </c>
      <c r="C518" s="13">
        <v>53.0</v>
      </c>
      <c r="D518" s="12" t="s">
        <v>943</v>
      </c>
      <c r="E518" s="12" t="s">
        <v>944</v>
      </c>
      <c r="F518" s="13">
        <v>5.0</v>
      </c>
      <c r="G518" s="13">
        <v>1.0</v>
      </c>
      <c r="H518" s="13">
        <v>1.0</v>
      </c>
      <c r="I518" s="13" t="s">
        <v>41</v>
      </c>
      <c r="J518" s="13" t="s">
        <v>36</v>
      </c>
      <c r="K518" s="13" t="s">
        <v>36</v>
      </c>
      <c r="L518" s="13"/>
    </row>
    <row r="519">
      <c r="A519" s="13">
        <v>517.0</v>
      </c>
      <c r="B519" s="13">
        <v>850.0</v>
      </c>
      <c r="C519" s="13">
        <v>38.0</v>
      </c>
      <c r="D519" s="12" t="s">
        <v>945</v>
      </c>
      <c r="E519" s="12" t="s">
        <v>946</v>
      </c>
      <c r="F519" s="13">
        <v>4.0</v>
      </c>
      <c r="G519" s="13">
        <v>1.0</v>
      </c>
      <c r="H519" s="13">
        <v>29.0</v>
      </c>
      <c r="I519" s="13" t="s">
        <v>41</v>
      </c>
      <c r="J519" s="13" t="s">
        <v>46</v>
      </c>
      <c r="K519" s="13" t="s">
        <v>47</v>
      </c>
      <c r="L519" s="13"/>
    </row>
    <row r="520">
      <c r="A520" s="13">
        <v>518.0</v>
      </c>
      <c r="B520" s="13">
        <v>850.0</v>
      </c>
      <c r="C520" s="13">
        <v>48.0</v>
      </c>
      <c r="D520" s="12" t="s">
        <v>947</v>
      </c>
      <c r="E520" s="12" t="s">
        <v>948</v>
      </c>
      <c r="F520" s="13">
        <v>2.0</v>
      </c>
      <c r="G520" s="13">
        <v>0.0</v>
      </c>
      <c r="H520" s="13">
        <v>0.0</v>
      </c>
      <c r="I520" s="13" t="s">
        <v>41</v>
      </c>
      <c r="J520" s="13" t="s">
        <v>46</v>
      </c>
      <c r="K520" s="13" t="s">
        <v>47</v>
      </c>
      <c r="L520" s="13"/>
    </row>
    <row r="521">
      <c r="A521" s="13">
        <v>519.0</v>
      </c>
      <c r="B521" s="13">
        <v>850.0</v>
      </c>
      <c r="C521" s="13">
        <v>37.0</v>
      </c>
      <c r="D521" s="12"/>
      <c r="E521" s="12"/>
      <c r="F521" s="13">
        <v>5.0</v>
      </c>
      <c r="G521" s="13">
        <v>1.0</v>
      </c>
      <c r="H521" s="13">
        <v>0.0</v>
      </c>
      <c r="I521" s="13" t="s">
        <v>41</v>
      </c>
      <c r="J521" s="13" t="s">
        <v>46</v>
      </c>
      <c r="K521" s="13" t="s">
        <v>47</v>
      </c>
      <c r="L521" s="13"/>
    </row>
    <row r="522">
      <c r="A522" s="13">
        <v>520.0</v>
      </c>
      <c r="B522" s="13">
        <v>984.0</v>
      </c>
      <c r="C522" s="13">
        <v>42.0</v>
      </c>
      <c r="D522" s="12" t="s">
        <v>949</v>
      </c>
      <c r="E522" s="12" t="s">
        <v>950</v>
      </c>
      <c r="F522" s="13">
        <v>5.0</v>
      </c>
      <c r="G522" s="13">
        <v>1.0</v>
      </c>
      <c r="H522" s="13">
        <v>0.0</v>
      </c>
      <c r="I522" s="13" t="s">
        <v>35</v>
      </c>
      <c r="J522" s="13" t="s">
        <v>76</v>
      </c>
      <c r="K522" s="13" t="s">
        <v>76</v>
      </c>
      <c r="L522" s="13"/>
    </row>
    <row r="523">
      <c r="A523" s="13">
        <v>521.0</v>
      </c>
      <c r="B523" s="13">
        <v>850.0</v>
      </c>
      <c r="C523" s="13">
        <v>50.0</v>
      </c>
      <c r="D523" s="12"/>
      <c r="E523" s="12" t="s">
        <v>951</v>
      </c>
      <c r="F523" s="13">
        <v>4.0</v>
      </c>
      <c r="G523" s="13">
        <v>1.0</v>
      </c>
      <c r="H523" s="13">
        <v>0.0</v>
      </c>
      <c r="I523" s="13" t="s">
        <v>41</v>
      </c>
      <c r="J523" s="13" t="s">
        <v>46</v>
      </c>
      <c r="K523" s="13" t="s">
        <v>47</v>
      </c>
      <c r="L523" s="13"/>
    </row>
    <row r="524">
      <c r="A524" s="13">
        <v>522.0</v>
      </c>
      <c r="B524" s="13">
        <v>1104.0</v>
      </c>
      <c r="C524" s="13">
        <v>41.0</v>
      </c>
      <c r="D524" s="12" t="s">
        <v>952</v>
      </c>
      <c r="E524" s="12" t="s">
        <v>953</v>
      </c>
      <c r="F524" s="13">
        <v>5.0</v>
      </c>
      <c r="G524" s="13">
        <v>1.0</v>
      </c>
      <c r="H524" s="13">
        <v>4.0</v>
      </c>
      <c r="I524" s="13" t="s">
        <v>35</v>
      </c>
      <c r="J524" s="13" t="s">
        <v>36</v>
      </c>
      <c r="K524" s="13" t="s">
        <v>36</v>
      </c>
      <c r="L524" s="13"/>
    </row>
    <row r="525">
      <c r="A525" s="13">
        <v>523.0</v>
      </c>
      <c r="B525" s="13">
        <v>1104.0</v>
      </c>
      <c r="C525" s="13">
        <v>39.0</v>
      </c>
      <c r="D525" s="12"/>
      <c r="E525" s="12"/>
      <c r="F525" s="13">
        <v>1.0</v>
      </c>
      <c r="G525" s="13">
        <v>0.0</v>
      </c>
      <c r="H525" s="13">
        <v>0.0</v>
      </c>
      <c r="I525" s="13" t="s">
        <v>35</v>
      </c>
      <c r="J525" s="13" t="s">
        <v>36</v>
      </c>
      <c r="K525" s="13" t="s">
        <v>36</v>
      </c>
      <c r="L525" s="13"/>
    </row>
    <row r="526">
      <c r="A526" s="13">
        <v>524.0</v>
      </c>
      <c r="B526" s="13">
        <v>1104.0</v>
      </c>
      <c r="C526" s="13">
        <v>26.0</v>
      </c>
      <c r="D526" s="12" t="s">
        <v>954</v>
      </c>
      <c r="E526" s="12" t="s">
        <v>955</v>
      </c>
      <c r="F526" s="13">
        <v>5.0</v>
      </c>
      <c r="G526" s="13">
        <v>1.0</v>
      </c>
      <c r="H526" s="13">
        <v>4.0</v>
      </c>
      <c r="I526" s="13" t="s">
        <v>35</v>
      </c>
      <c r="J526" s="13" t="s">
        <v>36</v>
      </c>
      <c r="K526" s="13" t="s">
        <v>36</v>
      </c>
      <c r="L526" s="13"/>
    </row>
    <row r="527">
      <c r="A527" s="13">
        <v>525.0</v>
      </c>
      <c r="B527" s="13">
        <v>1078.0</v>
      </c>
      <c r="C527" s="13">
        <v>25.0</v>
      </c>
      <c r="D527" s="12" t="s">
        <v>956</v>
      </c>
      <c r="E527" s="12" t="s">
        <v>957</v>
      </c>
      <c r="F527" s="13">
        <v>5.0</v>
      </c>
      <c r="G527" s="13">
        <v>1.0</v>
      </c>
      <c r="H527" s="13">
        <v>0.0</v>
      </c>
      <c r="I527" s="13" t="s">
        <v>35</v>
      </c>
      <c r="J527" s="13" t="s">
        <v>36</v>
      </c>
      <c r="K527" s="13" t="s">
        <v>36</v>
      </c>
      <c r="L527" s="13"/>
    </row>
    <row r="528">
      <c r="A528" s="13">
        <v>526.0</v>
      </c>
      <c r="B528" s="13">
        <v>850.0</v>
      </c>
      <c r="C528" s="13">
        <v>34.0</v>
      </c>
      <c r="D528" s="12" t="s">
        <v>958</v>
      </c>
      <c r="E528" s="12" t="s">
        <v>959</v>
      </c>
      <c r="F528" s="13">
        <v>5.0</v>
      </c>
      <c r="G528" s="13">
        <v>1.0</v>
      </c>
      <c r="H528" s="13">
        <v>1.0</v>
      </c>
      <c r="I528" s="13" t="s">
        <v>41</v>
      </c>
      <c r="J528" s="13" t="s">
        <v>46</v>
      </c>
      <c r="K528" s="13" t="s">
        <v>47</v>
      </c>
      <c r="L528" s="13"/>
    </row>
    <row r="529">
      <c r="A529" s="13">
        <v>527.0</v>
      </c>
      <c r="B529" s="13">
        <v>850.0</v>
      </c>
      <c r="C529" s="13">
        <v>25.0</v>
      </c>
      <c r="D529" s="12"/>
      <c r="E529" s="12"/>
      <c r="F529" s="13">
        <v>5.0</v>
      </c>
      <c r="G529" s="13">
        <v>1.0</v>
      </c>
      <c r="H529" s="13">
        <v>0.0</v>
      </c>
      <c r="I529" s="13" t="s">
        <v>41</v>
      </c>
      <c r="J529" s="13" t="s">
        <v>46</v>
      </c>
      <c r="K529" s="13" t="s">
        <v>47</v>
      </c>
      <c r="L529" s="13"/>
    </row>
    <row r="530">
      <c r="A530" s="13">
        <v>528.0</v>
      </c>
      <c r="B530" s="13">
        <v>984.0</v>
      </c>
      <c r="C530" s="13">
        <v>31.0</v>
      </c>
      <c r="D530" s="12" t="s">
        <v>960</v>
      </c>
      <c r="E530" s="12" t="s">
        <v>961</v>
      </c>
      <c r="F530" s="13">
        <v>3.0</v>
      </c>
      <c r="G530" s="13">
        <v>1.0</v>
      </c>
      <c r="H530" s="13">
        <v>0.0</v>
      </c>
      <c r="I530" s="13" t="s">
        <v>35</v>
      </c>
      <c r="J530" s="13" t="s">
        <v>76</v>
      </c>
      <c r="K530" s="13" t="s">
        <v>76</v>
      </c>
      <c r="L530" s="13"/>
    </row>
    <row r="531">
      <c r="A531" s="13">
        <v>529.0</v>
      </c>
      <c r="B531" s="13">
        <v>1078.0</v>
      </c>
      <c r="C531" s="13">
        <v>47.0</v>
      </c>
      <c r="D531" s="12" t="s">
        <v>962</v>
      </c>
      <c r="E531" s="12" t="s">
        <v>963</v>
      </c>
      <c r="F531" s="13">
        <v>5.0</v>
      </c>
      <c r="G531" s="13">
        <v>1.0</v>
      </c>
      <c r="H531" s="13">
        <v>1.0</v>
      </c>
      <c r="I531" s="13" t="s">
        <v>35</v>
      </c>
      <c r="J531" s="13" t="s">
        <v>36</v>
      </c>
      <c r="K531" s="13" t="s">
        <v>36</v>
      </c>
      <c r="L531" s="13"/>
    </row>
    <row r="532">
      <c r="A532" s="13">
        <v>530.0</v>
      </c>
      <c r="B532" s="13">
        <v>984.0</v>
      </c>
      <c r="C532" s="13">
        <v>61.0</v>
      </c>
      <c r="D532" s="12" t="s">
        <v>964</v>
      </c>
      <c r="E532" s="12" t="s">
        <v>965</v>
      </c>
      <c r="F532" s="13">
        <v>5.0</v>
      </c>
      <c r="G532" s="13">
        <v>1.0</v>
      </c>
      <c r="H532" s="13">
        <v>0.0</v>
      </c>
      <c r="I532" s="13" t="s">
        <v>35</v>
      </c>
      <c r="J532" s="13" t="s">
        <v>76</v>
      </c>
      <c r="K532" s="13" t="s">
        <v>76</v>
      </c>
      <c r="L532" s="13"/>
    </row>
    <row r="533">
      <c r="A533" s="13">
        <v>531.0</v>
      </c>
      <c r="B533" s="13">
        <v>850.0</v>
      </c>
      <c r="C533" s="13">
        <v>52.0</v>
      </c>
      <c r="D533" s="12" t="s">
        <v>966</v>
      </c>
      <c r="E533" s="12" t="s">
        <v>967</v>
      </c>
      <c r="F533" s="13">
        <v>5.0</v>
      </c>
      <c r="G533" s="13">
        <v>1.0</v>
      </c>
      <c r="H533" s="13">
        <v>1.0</v>
      </c>
      <c r="I533" s="13" t="s">
        <v>35</v>
      </c>
      <c r="J533" s="13" t="s">
        <v>46</v>
      </c>
      <c r="K533" s="13" t="s">
        <v>47</v>
      </c>
      <c r="L533" s="13"/>
    </row>
    <row r="534">
      <c r="A534" s="13">
        <v>532.0</v>
      </c>
      <c r="B534" s="13">
        <v>833.0</v>
      </c>
      <c r="C534" s="13">
        <v>56.0</v>
      </c>
      <c r="D534" s="12" t="s">
        <v>968</v>
      </c>
      <c r="E534" s="12" t="s">
        <v>969</v>
      </c>
      <c r="F534" s="13">
        <v>3.0</v>
      </c>
      <c r="G534" s="13">
        <v>1.0</v>
      </c>
      <c r="H534" s="13">
        <v>0.0</v>
      </c>
      <c r="I534" s="13" t="s">
        <v>35</v>
      </c>
      <c r="J534" s="13" t="s">
        <v>46</v>
      </c>
      <c r="K534" s="13" t="s">
        <v>47</v>
      </c>
      <c r="L534" s="13"/>
    </row>
    <row r="535">
      <c r="A535" s="13">
        <v>533.0</v>
      </c>
      <c r="B535" s="13">
        <v>1078.0</v>
      </c>
      <c r="C535" s="13">
        <v>68.0</v>
      </c>
      <c r="D535" s="12"/>
      <c r="E535" s="12" t="s">
        <v>970</v>
      </c>
      <c r="F535" s="13">
        <v>3.0</v>
      </c>
      <c r="G535" s="13">
        <v>1.0</v>
      </c>
      <c r="H535" s="13">
        <v>1.0</v>
      </c>
      <c r="I535" s="13" t="s">
        <v>35</v>
      </c>
      <c r="J535" s="13" t="s">
        <v>36</v>
      </c>
      <c r="K535" s="13" t="s">
        <v>36</v>
      </c>
      <c r="L535" s="13"/>
    </row>
    <row r="536">
      <c r="A536" s="13">
        <v>534.0</v>
      </c>
      <c r="B536" s="13">
        <v>850.0</v>
      </c>
      <c r="C536" s="13">
        <v>39.0</v>
      </c>
      <c r="D536" s="12" t="s">
        <v>971</v>
      </c>
      <c r="E536" s="12" t="s">
        <v>972</v>
      </c>
      <c r="F536" s="13">
        <v>5.0</v>
      </c>
      <c r="G536" s="13">
        <v>1.0</v>
      </c>
      <c r="H536" s="13">
        <v>0.0</v>
      </c>
      <c r="I536" s="13" t="s">
        <v>35</v>
      </c>
      <c r="J536" s="13" t="s">
        <v>46</v>
      </c>
      <c r="K536" s="13" t="s">
        <v>47</v>
      </c>
      <c r="L536" s="13"/>
    </row>
    <row r="537">
      <c r="A537" s="13">
        <v>535.0</v>
      </c>
      <c r="B537" s="13">
        <v>1081.0</v>
      </c>
      <c r="C537" s="13">
        <v>40.0</v>
      </c>
      <c r="D537" s="12" t="s">
        <v>973</v>
      </c>
      <c r="E537" s="12" t="s">
        <v>974</v>
      </c>
      <c r="F537" s="13">
        <v>4.0</v>
      </c>
      <c r="G537" s="13">
        <v>1.0</v>
      </c>
      <c r="H537" s="13">
        <v>0.0</v>
      </c>
      <c r="I537" s="13" t="s">
        <v>41</v>
      </c>
      <c r="J537" s="13" t="s">
        <v>36</v>
      </c>
      <c r="K537" s="13" t="s">
        <v>36</v>
      </c>
      <c r="L537" s="13"/>
    </row>
    <row r="538">
      <c r="A538" s="13">
        <v>536.0</v>
      </c>
      <c r="B538" s="13">
        <v>984.0</v>
      </c>
      <c r="C538" s="13">
        <v>53.0</v>
      </c>
      <c r="D538" s="12"/>
      <c r="E538" s="12"/>
      <c r="F538" s="13">
        <v>5.0</v>
      </c>
      <c r="G538" s="13">
        <v>1.0</v>
      </c>
      <c r="H538" s="13">
        <v>0.0</v>
      </c>
      <c r="I538" s="13" t="s">
        <v>35</v>
      </c>
      <c r="J538" s="13" t="s">
        <v>76</v>
      </c>
      <c r="K538" s="13" t="s">
        <v>76</v>
      </c>
      <c r="L538" s="13"/>
    </row>
    <row r="539">
      <c r="A539" s="13">
        <v>537.0</v>
      </c>
      <c r="B539" s="13">
        <v>850.0</v>
      </c>
      <c r="C539" s="13">
        <v>45.0</v>
      </c>
      <c r="D539" s="12" t="s">
        <v>975</v>
      </c>
      <c r="E539" s="12" t="s">
        <v>976</v>
      </c>
      <c r="F539" s="13">
        <v>5.0</v>
      </c>
      <c r="G539" s="13">
        <v>1.0</v>
      </c>
      <c r="H539" s="13">
        <v>1.0</v>
      </c>
      <c r="I539" s="13" t="s">
        <v>35</v>
      </c>
      <c r="J539" s="13" t="s">
        <v>46</v>
      </c>
      <c r="K539" s="13" t="s">
        <v>47</v>
      </c>
      <c r="L539" s="13"/>
    </row>
    <row r="540">
      <c r="A540" s="13">
        <v>538.0</v>
      </c>
      <c r="B540" s="13">
        <v>850.0</v>
      </c>
      <c r="C540" s="13">
        <v>28.0</v>
      </c>
      <c r="D540" s="12" t="s">
        <v>271</v>
      </c>
      <c r="E540" s="12" t="s">
        <v>977</v>
      </c>
      <c r="F540" s="13">
        <v>4.0</v>
      </c>
      <c r="G540" s="13">
        <v>1.0</v>
      </c>
      <c r="H540" s="13">
        <v>0.0</v>
      </c>
      <c r="I540" s="13" t="s">
        <v>35</v>
      </c>
      <c r="J540" s="13" t="s">
        <v>46</v>
      </c>
      <c r="K540" s="13" t="s">
        <v>47</v>
      </c>
      <c r="L540" s="13"/>
    </row>
    <row r="541">
      <c r="A541" s="13">
        <v>539.0</v>
      </c>
      <c r="B541" s="13">
        <v>1104.0</v>
      </c>
      <c r="C541" s="13">
        <v>33.0</v>
      </c>
      <c r="D541" s="12" t="s">
        <v>978</v>
      </c>
      <c r="E541" s="12" t="s">
        <v>979</v>
      </c>
      <c r="F541" s="13">
        <v>5.0</v>
      </c>
      <c r="G541" s="13">
        <v>1.0</v>
      </c>
      <c r="H541" s="13">
        <v>0.0</v>
      </c>
      <c r="I541" s="13" t="s">
        <v>35</v>
      </c>
      <c r="J541" s="13" t="s">
        <v>36</v>
      </c>
      <c r="K541" s="13" t="s">
        <v>36</v>
      </c>
      <c r="L541" s="13"/>
    </row>
    <row r="542">
      <c r="A542" s="13">
        <v>540.0</v>
      </c>
      <c r="B542" s="13">
        <v>1078.0</v>
      </c>
      <c r="C542" s="13">
        <v>71.0</v>
      </c>
      <c r="D542" s="12" t="s">
        <v>55</v>
      </c>
      <c r="E542" s="12" t="s">
        <v>980</v>
      </c>
      <c r="F542" s="13">
        <v>5.0</v>
      </c>
      <c r="G542" s="13">
        <v>1.0</v>
      </c>
      <c r="H542" s="13">
        <v>0.0</v>
      </c>
      <c r="I542" s="13" t="s">
        <v>35</v>
      </c>
      <c r="J542" s="13" t="s">
        <v>36</v>
      </c>
      <c r="K542" s="13" t="s">
        <v>36</v>
      </c>
      <c r="L542" s="13"/>
    </row>
    <row r="543">
      <c r="A543" s="13">
        <v>541.0</v>
      </c>
      <c r="B543" s="13">
        <v>984.0</v>
      </c>
      <c r="C543" s="13">
        <v>46.0</v>
      </c>
      <c r="D543" s="12"/>
      <c r="E543" s="12" t="s">
        <v>981</v>
      </c>
      <c r="F543" s="13">
        <v>5.0</v>
      </c>
      <c r="G543" s="13">
        <v>1.0</v>
      </c>
      <c r="H543" s="13">
        <v>0.0</v>
      </c>
      <c r="I543" s="13" t="s">
        <v>35</v>
      </c>
      <c r="J543" s="13" t="s">
        <v>76</v>
      </c>
      <c r="K543" s="13" t="s">
        <v>76</v>
      </c>
      <c r="L543" s="13"/>
    </row>
    <row r="544">
      <c r="A544" s="13">
        <v>542.0</v>
      </c>
      <c r="B544" s="13">
        <v>984.0</v>
      </c>
      <c r="C544" s="13">
        <v>56.0</v>
      </c>
      <c r="D544" s="12"/>
      <c r="E544" s="12"/>
      <c r="F544" s="13">
        <v>5.0</v>
      </c>
      <c r="G544" s="13">
        <v>1.0</v>
      </c>
      <c r="H544" s="13">
        <v>0.0</v>
      </c>
      <c r="I544" s="13" t="s">
        <v>35</v>
      </c>
      <c r="J544" s="13" t="s">
        <v>76</v>
      </c>
      <c r="K544" s="13" t="s">
        <v>76</v>
      </c>
      <c r="L544" s="13"/>
    </row>
    <row r="545">
      <c r="A545" s="13">
        <v>543.0</v>
      </c>
      <c r="B545" s="13">
        <v>1078.0</v>
      </c>
      <c r="C545" s="13">
        <v>36.0</v>
      </c>
      <c r="D545" s="12" t="s">
        <v>982</v>
      </c>
      <c r="E545" s="12" t="s">
        <v>983</v>
      </c>
      <c r="F545" s="13">
        <v>4.0</v>
      </c>
      <c r="G545" s="13">
        <v>1.0</v>
      </c>
      <c r="H545" s="13">
        <v>2.0</v>
      </c>
      <c r="I545" s="13" t="s">
        <v>35</v>
      </c>
      <c r="J545" s="13" t="s">
        <v>36</v>
      </c>
      <c r="K545" s="13" t="s">
        <v>36</v>
      </c>
      <c r="L545" s="13"/>
    </row>
    <row r="546">
      <c r="A546" s="13">
        <v>544.0</v>
      </c>
      <c r="B546" s="13">
        <v>1104.0</v>
      </c>
      <c r="C546" s="13">
        <v>35.0</v>
      </c>
      <c r="D546" s="12" t="s">
        <v>984</v>
      </c>
      <c r="E546" s="12" t="s">
        <v>985</v>
      </c>
      <c r="F546" s="13">
        <v>5.0</v>
      </c>
      <c r="G546" s="13">
        <v>1.0</v>
      </c>
      <c r="H546" s="13">
        <v>0.0</v>
      </c>
      <c r="I546" s="13" t="s">
        <v>35</v>
      </c>
      <c r="J546" s="13" t="s">
        <v>36</v>
      </c>
      <c r="K546" s="13" t="s">
        <v>36</v>
      </c>
      <c r="L546" s="13"/>
    </row>
    <row r="547">
      <c r="A547" s="13">
        <v>545.0</v>
      </c>
      <c r="B547" s="13">
        <v>984.0</v>
      </c>
      <c r="C547" s="13">
        <v>58.0</v>
      </c>
      <c r="D547" s="12" t="s">
        <v>986</v>
      </c>
      <c r="E547" s="12" t="s">
        <v>987</v>
      </c>
      <c r="F547" s="13">
        <v>5.0</v>
      </c>
      <c r="G547" s="13">
        <v>1.0</v>
      </c>
      <c r="H547" s="13">
        <v>6.0</v>
      </c>
      <c r="I547" s="13" t="s">
        <v>35</v>
      </c>
      <c r="J547" s="13" t="s">
        <v>76</v>
      </c>
      <c r="K547" s="13" t="s">
        <v>76</v>
      </c>
      <c r="L547" s="13"/>
    </row>
    <row r="548">
      <c r="A548" s="13">
        <v>546.0</v>
      </c>
      <c r="B548" s="13">
        <v>1078.0</v>
      </c>
      <c r="C548" s="13">
        <v>53.0</v>
      </c>
      <c r="D548" s="12" t="s">
        <v>110</v>
      </c>
      <c r="E548" s="12" t="s">
        <v>988</v>
      </c>
      <c r="F548" s="13">
        <v>5.0</v>
      </c>
      <c r="G548" s="13">
        <v>1.0</v>
      </c>
      <c r="H548" s="13">
        <v>2.0</v>
      </c>
      <c r="I548" s="13" t="s">
        <v>35</v>
      </c>
      <c r="J548" s="13" t="s">
        <v>36</v>
      </c>
      <c r="K548" s="13" t="s">
        <v>36</v>
      </c>
      <c r="L548" s="13"/>
    </row>
    <row r="549">
      <c r="A549" s="13">
        <v>547.0</v>
      </c>
      <c r="B549" s="13">
        <v>984.0</v>
      </c>
      <c r="C549" s="13">
        <v>64.0</v>
      </c>
      <c r="D549" s="12" t="s">
        <v>989</v>
      </c>
      <c r="E549" s="12" t="s">
        <v>990</v>
      </c>
      <c r="F549" s="13">
        <v>5.0</v>
      </c>
      <c r="G549" s="13">
        <v>1.0</v>
      </c>
      <c r="H549" s="13">
        <v>32.0</v>
      </c>
      <c r="I549" s="13" t="s">
        <v>35</v>
      </c>
      <c r="J549" s="13" t="s">
        <v>76</v>
      </c>
      <c r="K549" s="13" t="s">
        <v>76</v>
      </c>
      <c r="L549" s="13"/>
    </row>
    <row r="550">
      <c r="A550" s="13">
        <v>548.0</v>
      </c>
      <c r="B550" s="13">
        <v>833.0</v>
      </c>
      <c r="C550" s="13">
        <v>45.0</v>
      </c>
      <c r="D550" s="12" t="s">
        <v>991</v>
      </c>
      <c r="E550" s="12" t="s">
        <v>992</v>
      </c>
      <c r="F550" s="13">
        <v>3.0</v>
      </c>
      <c r="G550" s="13">
        <v>0.0</v>
      </c>
      <c r="H550" s="13">
        <v>0.0</v>
      </c>
      <c r="I550" s="13" t="s">
        <v>35</v>
      </c>
      <c r="J550" s="13" t="s">
        <v>46</v>
      </c>
      <c r="K550" s="13" t="s">
        <v>47</v>
      </c>
      <c r="L550" s="13"/>
    </row>
    <row r="551">
      <c r="A551" s="13">
        <v>549.0</v>
      </c>
      <c r="B551" s="13">
        <v>850.0</v>
      </c>
      <c r="C551" s="13">
        <v>44.0</v>
      </c>
      <c r="D551" s="12" t="s">
        <v>993</v>
      </c>
      <c r="E551" s="12" t="s">
        <v>994</v>
      </c>
      <c r="F551" s="13">
        <v>5.0</v>
      </c>
      <c r="G551" s="13">
        <v>1.0</v>
      </c>
      <c r="H551" s="13">
        <v>0.0</v>
      </c>
      <c r="I551" s="13" t="s">
        <v>35</v>
      </c>
      <c r="J551" s="13" t="s">
        <v>46</v>
      </c>
      <c r="K551" s="13" t="s">
        <v>47</v>
      </c>
      <c r="L551" s="13"/>
    </row>
    <row r="552">
      <c r="A552" s="13">
        <v>550.0</v>
      </c>
      <c r="B552" s="13">
        <v>1078.0</v>
      </c>
      <c r="C552" s="13">
        <v>52.0</v>
      </c>
      <c r="D552" s="12" t="s">
        <v>995</v>
      </c>
      <c r="E552" s="12" t="s">
        <v>996</v>
      </c>
      <c r="F552" s="13">
        <v>3.0</v>
      </c>
      <c r="G552" s="13">
        <v>0.0</v>
      </c>
      <c r="H552" s="13">
        <v>2.0</v>
      </c>
      <c r="I552" s="13" t="s">
        <v>35</v>
      </c>
      <c r="J552" s="13" t="s">
        <v>36</v>
      </c>
      <c r="K552" s="13" t="s">
        <v>36</v>
      </c>
      <c r="L552" s="13"/>
    </row>
    <row r="553">
      <c r="A553" s="13">
        <v>551.0</v>
      </c>
      <c r="B553" s="13">
        <v>1078.0</v>
      </c>
      <c r="C553" s="13">
        <v>49.0</v>
      </c>
      <c r="D553" s="12"/>
      <c r="E553" s="12" t="s">
        <v>997</v>
      </c>
      <c r="F553" s="13">
        <v>2.0</v>
      </c>
      <c r="G553" s="13">
        <v>1.0</v>
      </c>
      <c r="H553" s="13">
        <v>0.0</v>
      </c>
      <c r="I553" s="13" t="s">
        <v>35</v>
      </c>
      <c r="J553" s="13" t="s">
        <v>36</v>
      </c>
      <c r="K553" s="13" t="s">
        <v>36</v>
      </c>
      <c r="L553" s="13"/>
    </row>
    <row r="554">
      <c r="A554" s="13">
        <v>552.0</v>
      </c>
      <c r="B554" s="13">
        <v>984.0</v>
      </c>
      <c r="C554" s="13">
        <v>52.0</v>
      </c>
      <c r="D554" s="12"/>
      <c r="E554" s="12" t="s">
        <v>998</v>
      </c>
      <c r="F554" s="13">
        <v>5.0</v>
      </c>
      <c r="G554" s="13">
        <v>1.0</v>
      </c>
      <c r="H554" s="13">
        <v>0.0</v>
      </c>
      <c r="I554" s="13" t="s">
        <v>35</v>
      </c>
      <c r="J554" s="13" t="s">
        <v>76</v>
      </c>
      <c r="K554" s="13" t="s">
        <v>76</v>
      </c>
      <c r="L554" s="13"/>
    </row>
    <row r="555">
      <c r="A555" s="13">
        <v>553.0</v>
      </c>
      <c r="B555" s="13">
        <v>850.0</v>
      </c>
      <c r="C555" s="13">
        <v>56.0</v>
      </c>
      <c r="D555" s="12" t="s">
        <v>999</v>
      </c>
      <c r="E555" s="12" t="s">
        <v>1000</v>
      </c>
      <c r="F555" s="13">
        <v>4.0</v>
      </c>
      <c r="G555" s="13">
        <v>1.0</v>
      </c>
      <c r="H555" s="13">
        <v>0.0</v>
      </c>
      <c r="I555" s="13" t="s">
        <v>35</v>
      </c>
      <c r="J555" s="13" t="s">
        <v>46</v>
      </c>
      <c r="K555" s="13" t="s">
        <v>47</v>
      </c>
      <c r="L555" s="13"/>
    </row>
    <row r="556">
      <c r="A556" s="13">
        <v>554.0</v>
      </c>
      <c r="B556" s="13">
        <v>1078.0</v>
      </c>
      <c r="C556" s="13">
        <v>45.0</v>
      </c>
      <c r="D556" s="12"/>
      <c r="E556" s="12"/>
      <c r="F556" s="13">
        <v>5.0</v>
      </c>
      <c r="G556" s="13">
        <v>1.0</v>
      </c>
      <c r="H556" s="13">
        <v>0.0</v>
      </c>
      <c r="I556" s="13" t="s">
        <v>35</v>
      </c>
      <c r="J556" s="13" t="s">
        <v>36</v>
      </c>
      <c r="K556" s="13" t="s">
        <v>36</v>
      </c>
      <c r="L556" s="13"/>
    </row>
    <row r="557">
      <c r="A557" s="13">
        <v>555.0</v>
      </c>
      <c r="B557" s="13">
        <v>984.0</v>
      </c>
      <c r="C557" s="13">
        <v>35.0</v>
      </c>
      <c r="D557" s="12" t="s">
        <v>1001</v>
      </c>
      <c r="E557" s="12" t="s">
        <v>1002</v>
      </c>
      <c r="F557" s="13">
        <v>5.0</v>
      </c>
      <c r="G557" s="13">
        <v>1.0</v>
      </c>
      <c r="H557" s="13">
        <v>0.0</v>
      </c>
      <c r="I557" s="13" t="s">
        <v>35</v>
      </c>
      <c r="J557" s="13" t="s">
        <v>76</v>
      </c>
      <c r="K557" s="13" t="s">
        <v>76</v>
      </c>
      <c r="L557" s="13"/>
    </row>
    <row r="558">
      <c r="A558" s="13">
        <v>556.0</v>
      </c>
      <c r="B558" s="13">
        <v>831.0</v>
      </c>
      <c r="C558" s="13">
        <v>38.0</v>
      </c>
      <c r="D558" s="12" t="s">
        <v>1003</v>
      </c>
      <c r="E558" s="12" t="s">
        <v>1004</v>
      </c>
      <c r="F558" s="13">
        <v>4.0</v>
      </c>
      <c r="G558" s="13">
        <v>1.0</v>
      </c>
      <c r="H558" s="13">
        <v>0.0</v>
      </c>
      <c r="I558" s="13" t="s">
        <v>35</v>
      </c>
      <c r="J558" s="13" t="s">
        <v>46</v>
      </c>
      <c r="K558" s="13" t="s">
        <v>47</v>
      </c>
      <c r="L558" s="13"/>
    </row>
    <row r="559">
      <c r="A559" s="13">
        <v>557.0</v>
      </c>
      <c r="B559" s="13">
        <v>1086.0</v>
      </c>
      <c r="C559" s="13">
        <v>32.0</v>
      </c>
      <c r="D559" s="12" t="s">
        <v>1005</v>
      </c>
      <c r="E559" s="12" t="s">
        <v>1006</v>
      </c>
      <c r="F559" s="13">
        <v>4.0</v>
      </c>
      <c r="G559" s="13">
        <v>1.0</v>
      </c>
      <c r="H559" s="13">
        <v>0.0</v>
      </c>
      <c r="I559" s="13" t="s">
        <v>35</v>
      </c>
      <c r="J559" s="13" t="s">
        <v>36</v>
      </c>
      <c r="K559" s="13" t="s">
        <v>36</v>
      </c>
      <c r="L559" s="13"/>
    </row>
    <row r="560">
      <c r="A560" s="13">
        <v>558.0</v>
      </c>
      <c r="B560" s="13">
        <v>1044.0</v>
      </c>
      <c r="C560" s="13">
        <v>39.0</v>
      </c>
      <c r="D560" s="12"/>
      <c r="E560" s="12" t="s">
        <v>1007</v>
      </c>
      <c r="F560" s="13">
        <v>5.0</v>
      </c>
      <c r="G560" s="13">
        <v>1.0</v>
      </c>
      <c r="H560" s="13">
        <v>0.0</v>
      </c>
      <c r="I560" s="13" t="s">
        <v>41</v>
      </c>
      <c r="J560" s="13" t="s">
        <v>42</v>
      </c>
      <c r="K560" s="13" t="s">
        <v>43</v>
      </c>
      <c r="L560" s="13"/>
    </row>
    <row r="561">
      <c r="A561" s="13">
        <v>559.0</v>
      </c>
      <c r="B561" s="13">
        <v>820.0</v>
      </c>
      <c r="C561" s="13">
        <v>32.0</v>
      </c>
      <c r="D561" s="12" t="s">
        <v>441</v>
      </c>
      <c r="E561" s="12" t="s">
        <v>1008</v>
      </c>
      <c r="F561" s="13">
        <v>4.0</v>
      </c>
      <c r="G561" s="13">
        <v>1.0</v>
      </c>
      <c r="H561" s="13">
        <v>0.0</v>
      </c>
      <c r="I561" s="13" t="s">
        <v>35</v>
      </c>
      <c r="J561" s="13" t="s">
        <v>46</v>
      </c>
      <c r="K561" s="13" t="s">
        <v>47</v>
      </c>
      <c r="L561" s="13"/>
    </row>
    <row r="562">
      <c r="A562" s="13">
        <v>560.0</v>
      </c>
      <c r="B562" s="13">
        <v>1094.0</v>
      </c>
      <c r="C562" s="13">
        <v>35.0</v>
      </c>
      <c r="D562" s="12" t="s">
        <v>1009</v>
      </c>
      <c r="E562" s="12" t="s">
        <v>1010</v>
      </c>
      <c r="F562" s="13">
        <v>5.0</v>
      </c>
      <c r="G562" s="13">
        <v>1.0</v>
      </c>
      <c r="H562" s="13">
        <v>2.0</v>
      </c>
      <c r="I562" s="13" t="s">
        <v>35</v>
      </c>
      <c r="J562" s="13" t="s">
        <v>36</v>
      </c>
      <c r="K562" s="13" t="s">
        <v>36</v>
      </c>
      <c r="L562" s="13"/>
    </row>
    <row r="563">
      <c r="A563" s="13">
        <v>561.0</v>
      </c>
      <c r="B563" s="13">
        <v>1094.0</v>
      </c>
      <c r="C563" s="13">
        <v>34.0</v>
      </c>
      <c r="D563" s="12" t="s">
        <v>1011</v>
      </c>
      <c r="E563" s="12" t="s">
        <v>1012</v>
      </c>
      <c r="F563" s="13">
        <v>5.0</v>
      </c>
      <c r="G563" s="13">
        <v>1.0</v>
      </c>
      <c r="H563" s="13">
        <v>0.0</v>
      </c>
      <c r="I563" s="13" t="s">
        <v>35</v>
      </c>
      <c r="J563" s="13" t="s">
        <v>36</v>
      </c>
      <c r="K563" s="13" t="s">
        <v>36</v>
      </c>
      <c r="L563" s="13"/>
    </row>
    <row r="564">
      <c r="A564" s="13">
        <v>562.0</v>
      </c>
      <c r="B564" s="13">
        <v>995.0</v>
      </c>
      <c r="C564" s="13">
        <v>48.0</v>
      </c>
      <c r="D564" s="12"/>
      <c r="E564" s="12"/>
      <c r="F564" s="13">
        <v>5.0</v>
      </c>
      <c r="G564" s="13">
        <v>1.0</v>
      </c>
      <c r="H564" s="13">
        <v>0.0</v>
      </c>
      <c r="I564" s="13" t="s">
        <v>35</v>
      </c>
      <c r="J564" s="13" t="s">
        <v>42</v>
      </c>
      <c r="K564" s="13" t="s">
        <v>98</v>
      </c>
      <c r="L564" s="13"/>
    </row>
    <row r="565">
      <c r="A565" s="13">
        <v>563.0</v>
      </c>
      <c r="B565" s="13">
        <v>1094.0</v>
      </c>
      <c r="C565" s="13">
        <v>36.0</v>
      </c>
      <c r="D565" s="12" t="s">
        <v>1013</v>
      </c>
      <c r="E565" s="12" t="s">
        <v>1014</v>
      </c>
      <c r="F565" s="13">
        <v>4.0</v>
      </c>
      <c r="G565" s="13">
        <v>1.0</v>
      </c>
      <c r="H565" s="13">
        <v>1.0</v>
      </c>
      <c r="I565" s="13" t="s">
        <v>35</v>
      </c>
      <c r="J565" s="13" t="s">
        <v>36</v>
      </c>
      <c r="K565" s="13" t="s">
        <v>36</v>
      </c>
      <c r="L565" s="13"/>
    </row>
    <row r="566">
      <c r="A566" s="13">
        <v>564.0</v>
      </c>
      <c r="B566" s="13">
        <v>1060.0</v>
      </c>
      <c r="C566" s="13">
        <v>40.0</v>
      </c>
      <c r="D566" s="12" t="s">
        <v>1015</v>
      </c>
      <c r="E566" s="12" t="s">
        <v>1016</v>
      </c>
      <c r="F566" s="13">
        <v>5.0</v>
      </c>
      <c r="G566" s="13">
        <v>1.0</v>
      </c>
      <c r="H566" s="13">
        <v>0.0</v>
      </c>
      <c r="I566" s="13" t="s">
        <v>35</v>
      </c>
      <c r="J566" s="13" t="s">
        <v>42</v>
      </c>
      <c r="K566" s="13" t="s">
        <v>43</v>
      </c>
      <c r="L566" s="13"/>
    </row>
    <row r="567">
      <c r="A567" s="13">
        <v>565.0</v>
      </c>
      <c r="B567" s="13">
        <v>833.0</v>
      </c>
      <c r="C567" s="13">
        <v>47.0</v>
      </c>
      <c r="D567" s="12"/>
      <c r="E567" s="12" t="s">
        <v>1017</v>
      </c>
      <c r="F567" s="13">
        <v>1.0</v>
      </c>
      <c r="G567" s="13">
        <v>0.0</v>
      </c>
      <c r="H567" s="13">
        <v>12.0</v>
      </c>
      <c r="I567" s="13" t="s">
        <v>35</v>
      </c>
      <c r="J567" s="13" t="s">
        <v>46</v>
      </c>
      <c r="K567" s="13" t="s">
        <v>47</v>
      </c>
      <c r="L567" s="13"/>
    </row>
    <row r="568">
      <c r="A568" s="13">
        <v>566.0</v>
      </c>
      <c r="B568" s="13">
        <v>1037.0</v>
      </c>
      <c r="C568" s="13">
        <v>41.0</v>
      </c>
      <c r="D568" s="12" t="s">
        <v>1018</v>
      </c>
      <c r="E568" s="12" t="s">
        <v>1019</v>
      </c>
      <c r="F568" s="13">
        <v>4.0</v>
      </c>
      <c r="G568" s="13">
        <v>1.0</v>
      </c>
      <c r="H568" s="13">
        <v>0.0</v>
      </c>
      <c r="I568" s="13" t="s">
        <v>41</v>
      </c>
      <c r="J568" s="13" t="s">
        <v>42</v>
      </c>
      <c r="K568" s="13" t="s">
        <v>435</v>
      </c>
      <c r="L568" s="13"/>
    </row>
    <row r="569">
      <c r="A569" s="13">
        <v>567.0</v>
      </c>
      <c r="B569" s="13">
        <v>875.0</v>
      </c>
      <c r="C569" s="13">
        <v>33.0</v>
      </c>
      <c r="D569" s="12" t="s">
        <v>1020</v>
      </c>
      <c r="E569" s="12" t="s">
        <v>1021</v>
      </c>
      <c r="F569" s="13">
        <v>5.0</v>
      </c>
      <c r="G569" s="13">
        <v>1.0</v>
      </c>
      <c r="H569" s="13">
        <v>2.0</v>
      </c>
      <c r="I569" s="13" t="s">
        <v>35</v>
      </c>
      <c r="J569" s="13" t="s">
        <v>46</v>
      </c>
      <c r="K569" s="13" t="s">
        <v>52</v>
      </c>
      <c r="L569" s="13"/>
    </row>
    <row r="570">
      <c r="A570" s="13">
        <v>568.0</v>
      </c>
      <c r="B570" s="13">
        <v>875.0</v>
      </c>
      <c r="C570" s="13">
        <v>33.0</v>
      </c>
      <c r="D570" s="12" t="s">
        <v>1022</v>
      </c>
      <c r="E570" s="12" t="s">
        <v>1023</v>
      </c>
      <c r="F570" s="13">
        <v>4.0</v>
      </c>
      <c r="G570" s="13">
        <v>1.0</v>
      </c>
      <c r="H570" s="13">
        <v>3.0</v>
      </c>
      <c r="I570" s="13" t="s">
        <v>35</v>
      </c>
      <c r="J570" s="13" t="s">
        <v>46</v>
      </c>
      <c r="K570" s="13" t="s">
        <v>52</v>
      </c>
      <c r="L570" s="13"/>
    </row>
    <row r="571">
      <c r="A571" s="13">
        <v>569.0</v>
      </c>
      <c r="B571" s="13">
        <v>820.0</v>
      </c>
      <c r="C571" s="13">
        <v>39.0</v>
      </c>
      <c r="D571" s="12" t="s">
        <v>139</v>
      </c>
      <c r="E571" s="12" t="s">
        <v>1024</v>
      </c>
      <c r="F571" s="13">
        <v>5.0</v>
      </c>
      <c r="G571" s="13">
        <v>1.0</v>
      </c>
      <c r="H571" s="13">
        <v>3.0</v>
      </c>
      <c r="I571" s="13" t="s">
        <v>35</v>
      </c>
      <c r="J571" s="13" t="s">
        <v>46</v>
      </c>
      <c r="K571" s="13" t="s">
        <v>47</v>
      </c>
      <c r="L571" s="13"/>
    </row>
    <row r="572">
      <c r="A572" s="13">
        <v>570.0</v>
      </c>
      <c r="B572" s="13">
        <v>1037.0</v>
      </c>
      <c r="C572" s="13">
        <v>54.0</v>
      </c>
      <c r="D572" s="12" t="s">
        <v>1025</v>
      </c>
      <c r="E572" s="12" t="s">
        <v>1026</v>
      </c>
      <c r="F572" s="13">
        <v>4.0</v>
      </c>
      <c r="G572" s="13">
        <v>1.0</v>
      </c>
      <c r="H572" s="13">
        <v>4.0</v>
      </c>
      <c r="I572" s="13" t="s">
        <v>41</v>
      </c>
      <c r="J572" s="13" t="s">
        <v>42</v>
      </c>
      <c r="K572" s="13" t="s">
        <v>435</v>
      </c>
      <c r="L572" s="13"/>
    </row>
    <row r="573">
      <c r="A573" s="13">
        <v>571.0</v>
      </c>
      <c r="B573" s="13">
        <v>820.0</v>
      </c>
      <c r="C573" s="13">
        <v>44.0</v>
      </c>
      <c r="D573" s="12"/>
      <c r="E573" s="12"/>
      <c r="F573" s="13">
        <v>4.0</v>
      </c>
      <c r="G573" s="13">
        <v>1.0</v>
      </c>
      <c r="H573" s="13">
        <v>0.0</v>
      </c>
      <c r="I573" s="13" t="s">
        <v>35</v>
      </c>
      <c r="J573" s="13" t="s">
        <v>46</v>
      </c>
      <c r="K573" s="13" t="s">
        <v>47</v>
      </c>
      <c r="L573" s="13"/>
    </row>
    <row r="574">
      <c r="A574" s="13">
        <v>572.0</v>
      </c>
      <c r="B574" s="13">
        <v>1037.0</v>
      </c>
      <c r="C574" s="13">
        <v>39.0</v>
      </c>
      <c r="D574" s="12"/>
      <c r="E574" s="12" t="s">
        <v>1027</v>
      </c>
      <c r="F574" s="13">
        <v>5.0</v>
      </c>
      <c r="G574" s="13">
        <v>1.0</v>
      </c>
      <c r="H574" s="13">
        <v>0.0</v>
      </c>
      <c r="I574" s="13" t="s">
        <v>35</v>
      </c>
      <c r="J574" s="13" t="s">
        <v>42</v>
      </c>
      <c r="K574" s="13" t="s">
        <v>435</v>
      </c>
      <c r="L574" s="13"/>
    </row>
    <row r="575">
      <c r="A575" s="13">
        <v>573.0</v>
      </c>
      <c r="B575" s="13">
        <v>820.0</v>
      </c>
      <c r="C575" s="13">
        <v>24.0</v>
      </c>
      <c r="D575" s="12" t="s">
        <v>1028</v>
      </c>
      <c r="E575" s="12" t="s">
        <v>1029</v>
      </c>
      <c r="F575" s="13">
        <v>5.0</v>
      </c>
      <c r="G575" s="13">
        <v>1.0</v>
      </c>
      <c r="H575" s="13">
        <v>0.0</v>
      </c>
      <c r="I575" s="13" t="s">
        <v>35</v>
      </c>
      <c r="J575" s="13" t="s">
        <v>46</v>
      </c>
      <c r="K575" s="13" t="s">
        <v>47</v>
      </c>
      <c r="L575" s="13"/>
    </row>
    <row r="576">
      <c r="A576" s="13">
        <v>574.0</v>
      </c>
      <c r="B576" s="13">
        <v>833.0</v>
      </c>
      <c r="C576" s="13">
        <v>65.0</v>
      </c>
      <c r="D576" s="12"/>
      <c r="E576" s="12"/>
      <c r="F576" s="13">
        <v>1.0</v>
      </c>
      <c r="G576" s="13">
        <v>0.0</v>
      </c>
      <c r="H576" s="13">
        <v>0.0</v>
      </c>
      <c r="I576" s="13" t="s">
        <v>35</v>
      </c>
      <c r="J576" s="13" t="s">
        <v>46</v>
      </c>
      <c r="K576" s="13" t="s">
        <v>47</v>
      </c>
      <c r="L576" s="13"/>
    </row>
    <row r="577">
      <c r="A577" s="13">
        <v>575.0</v>
      </c>
      <c r="B577" s="13">
        <v>1094.0</v>
      </c>
      <c r="C577" s="13">
        <v>64.0</v>
      </c>
      <c r="D577" s="12" t="s">
        <v>1030</v>
      </c>
      <c r="E577" s="12" t="s">
        <v>1031</v>
      </c>
      <c r="F577" s="13">
        <v>5.0</v>
      </c>
      <c r="G577" s="13">
        <v>1.0</v>
      </c>
      <c r="H577" s="13">
        <v>30.0</v>
      </c>
      <c r="I577" s="13" t="s">
        <v>35</v>
      </c>
      <c r="J577" s="13" t="s">
        <v>36</v>
      </c>
      <c r="K577" s="13" t="s">
        <v>36</v>
      </c>
      <c r="L577" s="13"/>
    </row>
    <row r="578">
      <c r="A578" s="13">
        <v>576.0</v>
      </c>
      <c r="B578" s="13">
        <v>833.0</v>
      </c>
      <c r="C578" s="13">
        <v>40.0</v>
      </c>
      <c r="D578" s="12" t="s">
        <v>1032</v>
      </c>
      <c r="E578" s="12" t="s">
        <v>1033</v>
      </c>
      <c r="F578" s="13">
        <v>5.0</v>
      </c>
      <c r="G578" s="13">
        <v>1.0</v>
      </c>
      <c r="H578" s="13">
        <v>1.0</v>
      </c>
      <c r="I578" s="13" t="s">
        <v>35</v>
      </c>
      <c r="J578" s="13" t="s">
        <v>46</v>
      </c>
      <c r="K578" s="13" t="s">
        <v>47</v>
      </c>
      <c r="L578" s="13"/>
    </row>
    <row r="579">
      <c r="A579" s="13">
        <v>577.0</v>
      </c>
      <c r="B579" s="13">
        <v>995.0</v>
      </c>
      <c r="C579" s="13">
        <v>39.0</v>
      </c>
      <c r="D579" s="12" t="s">
        <v>1034</v>
      </c>
      <c r="E579" s="12" t="s">
        <v>1035</v>
      </c>
      <c r="F579" s="13">
        <v>4.0</v>
      </c>
      <c r="G579" s="13">
        <v>1.0</v>
      </c>
      <c r="H579" s="13">
        <v>0.0</v>
      </c>
      <c r="I579" s="13" t="s">
        <v>35</v>
      </c>
      <c r="J579" s="13" t="s">
        <v>42</v>
      </c>
      <c r="K579" s="13" t="s">
        <v>98</v>
      </c>
      <c r="L579" s="13"/>
    </row>
    <row r="580">
      <c r="A580" s="13">
        <v>578.0</v>
      </c>
      <c r="B580" s="13">
        <v>1094.0</v>
      </c>
      <c r="C580" s="13">
        <v>42.0</v>
      </c>
      <c r="D580" s="12" t="s">
        <v>1036</v>
      </c>
      <c r="E580" s="12" t="s">
        <v>1037</v>
      </c>
      <c r="F580" s="13">
        <v>3.0</v>
      </c>
      <c r="G580" s="13">
        <v>0.0</v>
      </c>
      <c r="H580" s="13">
        <v>3.0</v>
      </c>
      <c r="I580" s="13" t="s">
        <v>35</v>
      </c>
      <c r="J580" s="13" t="s">
        <v>36</v>
      </c>
      <c r="K580" s="13" t="s">
        <v>36</v>
      </c>
      <c r="L580" s="13"/>
    </row>
    <row r="581">
      <c r="A581" s="13">
        <v>579.0</v>
      </c>
      <c r="B581" s="13">
        <v>875.0</v>
      </c>
      <c r="C581" s="13">
        <v>34.0</v>
      </c>
      <c r="D581" s="12" t="s">
        <v>1038</v>
      </c>
      <c r="E581" s="12" t="s">
        <v>1039</v>
      </c>
      <c r="F581" s="13">
        <v>2.0</v>
      </c>
      <c r="G581" s="13">
        <v>0.0</v>
      </c>
      <c r="H581" s="13">
        <v>2.0</v>
      </c>
      <c r="I581" s="13" t="s">
        <v>35</v>
      </c>
      <c r="J581" s="13" t="s">
        <v>46</v>
      </c>
      <c r="K581" s="13" t="s">
        <v>52</v>
      </c>
      <c r="L581" s="13"/>
    </row>
    <row r="582">
      <c r="A582" s="13">
        <v>580.0</v>
      </c>
      <c r="B582" s="13">
        <v>1037.0</v>
      </c>
      <c r="C582" s="13">
        <v>38.0</v>
      </c>
      <c r="D582" s="12"/>
      <c r="E582" s="12"/>
      <c r="F582" s="13">
        <v>3.0</v>
      </c>
      <c r="G582" s="13">
        <v>0.0</v>
      </c>
      <c r="H582" s="13">
        <v>0.0</v>
      </c>
      <c r="I582" s="13" t="s">
        <v>35</v>
      </c>
      <c r="J582" s="13" t="s">
        <v>42</v>
      </c>
      <c r="K582" s="13" t="s">
        <v>435</v>
      </c>
      <c r="L582" s="13"/>
    </row>
    <row r="583">
      <c r="A583" s="13">
        <v>581.0</v>
      </c>
      <c r="B583" s="13">
        <v>875.0</v>
      </c>
      <c r="C583" s="13">
        <v>29.0</v>
      </c>
      <c r="D583" s="12" t="s">
        <v>1040</v>
      </c>
      <c r="E583" s="12" t="s">
        <v>1041</v>
      </c>
      <c r="F583" s="13">
        <v>2.0</v>
      </c>
      <c r="G583" s="13">
        <v>0.0</v>
      </c>
      <c r="H583" s="13">
        <v>3.0</v>
      </c>
      <c r="I583" s="13" t="s">
        <v>35</v>
      </c>
      <c r="J583" s="13" t="s">
        <v>46</v>
      </c>
      <c r="K583" s="13" t="s">
        <v>52</v>
      </c>
      <c r="L583" s="13"/>
    </row>
    <row r="584">
      <c r="A584" s="13">
        <v>582.0</v>
      </c>
      <c r="B584" s="13">
        <v>833.0</v>
      </c>
      <c r="C584" s="13">
        <v>49.0</v>
      </c>
      <c r="D584" s="12" t="s">
        <v>1042</v>
      </c>
      <c r="E584" s="12" t="s">
        <v>1043</v>
      </c>
      <c r="F584" s="13">
        <v>3.0</v>
      </c>
      <c r="G584" s="13">
        <v>0.0</v>
      </c>
      <c r="H584" s="13">
        <v>1.0</v>
      </c>
      <c r="I584" s="13" t="s">
        <v>35</v>
      </c>
      <c r="J584" s="13" t="s">
        <v>46</v>
      </c>
      <c r="K584" s="13" t="s">
        <v>47</v>
      </c>
      <c r="L584" s="13"/>
    </row>
    <row r="585">
      <c r="A585" s="13">
        <v>583.0</v>
      </c>
      <c r="B585" s="13">
        <v>1060.0</v>
      </c>
      <c r="C585" s="13">
        <v>39.0</v>
      </c>
      <c r="D585" s="12" t="s">
        <v>355</v>
      </c>
      <c r="E585" s="12" t="s">
        <v>1044</v>
      </c>
      <c r="F585" s="13">
        <v>3.0</v>
      </c>
      <c r="G585" s="13">
        <v>0.0</v>
      </c>
      <c r="H585" s="13">
        <v>0.0</v>
      </c>
      <c r="I585" s="13" t="s">
        <v>35</v>
      </c>
      <c r="J585" s="13" t="s">
        <v>42</v>
      </c>
      <c r="K585" s="13" t="s">
        <v>43</v>
      </c>
      <c r="L585" s="13"/>
    </row>
    <row r="586">
      <c r="A586" s="13">
        <v>584.0</v>
      </c>
      <c r="B586" s="13">
        <v>1094.0</v>
      </c>
      <c r="C586" s="13">
        <v>48.0</v>
      </c>
      <c r="D586" s="12" t="s">
        <v>1045</v>
      </c>
      <c r="E586" s="12" t="s">
        <v>1046</v>
      </c>
      <c r="F586" s="13">
        <v>4.0</v>
      </c>
      <c r="G586" s="13">
        <v>1.0</v>
      </c>
      <c r="H586" s="13">
        <v>2.0</v>
      </c>
      <c r="I586" s="13" t="s">
        <v>35</v>
      </c>
      <c r="J586" s="13" t="s">
        <v>36</v>
      </c>
      <c r="K586" s="13" t="s">
        <v>36</v>
      </c>
      <c r="L586" s="13"/>
    </row>
    <row r="587">
      <c r="A587" s="13">
        <v>585.0</v>
      </c>
      <c r="B587" s="13">
        <v>835.0</v>
      </c>
      <c r="C587" s="13">
        <v>66.0</v>
      </c>
      <c r="D587" s="12" t="s">
        <v>1047</v>
      </c>
      <c r="E587" s="12" t="s">
        <v>1048</v>
      </c>
      <c r="F587" s="13">
        <v>5.0</v>
      </c>
      <c r="G587" s="13">
        <v>1.0</v>
      </c>
      <c r="H587" s="13">
        <v>2.0</v>
      </c>
      <c r="I587" s="13" t="s">
        <v>35</v>
      </c>
      <c r="J587" s="13" t="s">
        <v>46</v>
      </c>
      <c r="K587" s="13" t="s">
        <v>47</v>
      </c>
      <c r="L587" s="13"/>
    </row>
    <row r="588">
      <c r="A588" s="13">
        <v>586.0</v>
      </c>
      <c r="B588" s="13">
        <v>1094.0</v>
      </c>
      <c r="C588" s="13">
        <v>25.0</v>
      </c>
      <c r="D588" s="12" t="s">
        <v>918</v>
      </c>
      <c r="E588" s="12" t="s">
        <v>1049</v>
      </c>
      <c r="F588" s="13">
        <v>4.0</v>
      </c>
      <c r="G588" s="13">
        <v>1.0</v>
      </c>
      <c r="H588" s="13">
        <v>0.0</v>
      </c>
      <c r="I588" s="13" t="s">
        <v>35</v>
      </c>
      <c r="J588" s="13" t="s">
        <v>36</v>
      </c>
      <c r="K588" s="13" t="s">
        <v>36</v>
      </c>
      <c r="L588" s="13"/>
    </row>
    <row r="589">
      <c r="A589" s="13">
        <v>587.0</v>
      </c>
      <c r="B589" s="13">
        <v>1094.0</v>
      </c>
      <c r="C589" s="13">
        <v>36.0</v>
      </c>
      <c r="D589" s="12" t="s">
        <v>1050</v>
      </c>
      <c r="E589" s="12" t="s">
        <v>1051</v>
      </c>
      <c r="F589" s="13">
        <v>4.0</v>
      </c>
      <c r="G589" s="13">
        <v>1.0</v>
      </c>
      <c r="H589" s="13">
        <v>0.0</v>
      </c>
      <c r="I589" s="13" t="s">
        <v>35</v>
      </c>
      <c r="J589" s="13" t="s">
        <v>36</v>
      </c>
      <c r="K589" s="13" t="s">
        <v>36</v>
      </c>
      <c r="L589" s="13"/>
    </row>
    <row r="590">
      <c r="A590" s="13">
        <v>588.0</v>
      </c>
      <c r="B590" s="13">
        <v>875.0</v>
      </c>
      <c r="C590" s="13">
        <v>46.0</v>
      </c>
      <c r="D590" s="12" t="s">
        <v>1052</v>
      </c>
      <c r="E590" s="12" t="s">
        <v>1053</v>
      </c>
      <c r="F590" s="13">
        <v>2.0</v>
      </c>
      <c r="G590" s="13">
        <v>0.0</v>
      </c>
      <c r="H590" s="13">
        <v>1.0</v>
      </c>
      <c r="I590" s="13" t="s">
        <v>35</v>
      </c>
      <c r="J590" s="13" t="s">
        <v>46</v>
      </c>
      <c r="K590" s="13" t="s">
        <v>52</v>
      </c>
      <c r="L590" s="13"/>
    </row>
    <row r="591">
      <c r="A591" s="13">
        <v>589.0</v>
      </c>
      <c r="B591" s="13">
        <v>823.0</v>
      </c>
      <c r="C591" s="13">
        <v>37.0</v>
      </c>
      <c r="D591" s="12"/>
      <c r="E591" s="12" t="s">
        <v>1054</v>
      </c>
      <c r="F591" s="13">
        <v>5.0</v>
      </c>
      <c r="G591" s="13">
        <v>1.0</v>
      </c>
      <c r="H591" s="13">
        <v>1.0</v>
      </c>
      <c r="I591" s="13" t="s">
        <v>35</v>
      </c>
      <c r="J591" s="13" t="s">
        <v>46</v>
      </c>
      <c r="K591" s="13" t="s">
        <v>47</v>
      </c>
      <c r="L591" s="13"/>
    </row>
    <row r="592">
      <c r="A592" s="13">
        <v>590.0</v>
      </c>
      <c r="B592" s="13">
        <v>835.0</v>
      </c>
      <c r="C592" s="13">
        <v>42.0</v>
      </c>
      <c r="D592" s="12" t="s">
        <v>1055</v>
      </c>
      <c r="E592" s="12" t="s">
        <v>1056</v>
      </c>
      <c r="F592" s="13">
        <v>5.0</v>
      </c>
      <c r="G592" s="13">
        <v>1.0</v>
      </c>
      <c r="H592" s="13">
        <v>1.0</v>
      </c>
      <c r="I592" s="13" t="s">
        <v>35</v>
      </c>
      <c r="J592" s="13" t="s">
        <v>46</v>
      </c>
      <c r="K592" s="13" t="s">
        <v>47</v>
      </c>
      <c r="L592" s="13"/>
    </row>
    <row r="593">
      <c r="A593" s="13">
        <v>591.0</v>
      </c>
      <c r="B593" s="13">
        <v>833.0</v>
      </c>
      <c r="C593" s="13">
        <v>26.0</v>
      </c>
      <c r="D593" s="12" t="s">
        <v>1057</v>
      </c>
      <c r="E593" s="12" t="s">
        <v>1058</v>
      </c>
      <c r="F593" s="13">
        <v>4.0</v>
      </c>
      <c r="G593" s="13">
        <v>1.0</v>
      </c>
      <c r="H593" s="13">
        <v>1.0</v>
      </c>
      <c r="I593" s="13" t="s">
        <v>35</v>
      </c>
      <c r="J593" s="13" t="s">
        <v>46</v>
      </c>
      <c r="K593" s="13" t="s">
        <v>47</v>
      </c>
      <c r="L593" s="13"/>
    </row>
    <row r="594">
      <c r="A594" s="13">
        <v>592.0</v>
      </c>
      <c r="B594" s="13">
        <v>833.0</v>
      </c>
      <c r="C594" s="13">
        <v>33.0</v>
      </c>
      <c r="D594" s="12" t="s">
        <v>468</v>
      </c>
      <c r="E594" s="12" t="s">
        <v>1059</v>
      </c>
      <c r="F594" s="13">
        <v>5.0</v>
      </c>
      <c r="G594" s="13">
        <v>1.0</v>
      </c>
      <c r="H594" s="13">
        <v>2.0</v>
      </c>
      <c r="I594" s="13" t="s">
        <v>35</v>
      </c>
      <c r="J594" s="13" t="s">
        <v>46</v>
      </c>
      <c r="K594" s="13" t="s">
        <v>47</v>
      </c>
      <c r="L594" s="13"/>
    </row>
    <row r="595">
      <c r="A595" s="13">
        <v>593.0</v>
      </c>
      <c r="B595" s="13">
        <v>820.0</v>
      </c>
      <c r="C595" s="13">
        <v>52.0</v>
      </c>
      <c r="D595" s="12" t="s">
        <v>1060</v>
      </c>
      <c r="E595" s="12" t="s">
        <v>1061</v>
      </c>
      <c r="F595" s="13">
        <v>5.0</v>
      </c>
      <c r="G595" s="13">
        <v>1.0</v>
      </c>
      <c r="H595" s="13">
        <v>0.0</v>
      </c>
      <c r="I595" s="13" t="s">
        <v>35</v>
      </c>
      <c r="J595" s="13" t="s">
        <v>46</v>
      </c>
      <c r="K595" s="13" t="s">
        <v>47</v>
      </c>
      <c r="L595" s="13"/>
    </row>
    <row r="596">
      <c r="A596" s="13">
        <v>594.0</v>
      </c>
      <c r="B596" s="13">
        <v>835.0</v>
      </c>
      <c r="C596" s="13">
        <v>41.0</v>
      </c>
      <c r="D596" s="12" t="s">
        <v>1062</v>
      </c>
      <c r="E596" s="12" t="s">
        <v>1063</v>
      </c>
      <c r="F596" s="13">
        <v>5.0</v>
      </c>
      <c r="G596" s="13">
        <v>1.0</v>
      </c>
      <c r="H596" s="13">
        <v>0.0</v>
      </c>
      <c r="I596" s="13" t="s">
        <v>35</v>
      </c>
      <c r="J596" s="13" t="s">
        <v>46</v>
      </c>
      <c r="K596" s="13" t="s">
        <v>47</v>
      </c>
      <c r="L596" s="13"/>
    </row>
    <row r="597">
      <c r="A597" s="13">
        <v>595.0</v>
      </c>
      <c r="B597" s="13">
        <v>1060.0</v>
      </c>
      <c r="C597" s="13">
        <v>25.0</v>
      </c>
      <c r="D597" s="12" t="s">
        <v>1064</v>
      </c>
      <c r="E597" s="12" t="s">
        <v>1065</v>
      </c>
      <c r="F597" s="13">
        <v>5.0</v>
      </c>
      <c r="G597" s="13">
        <v>1.0</v>
      </c>
      <c r="H597" s="13">
        <v>0.0</v>
      </c>
      <c r="I597" s="13" t="s">
        <v>35</v>
      </c>
      <c r="J597" s="13" t="s">
        <v>42</v>
      </c>
      <c r="K597" s="13" t="s">
        <v>43</v>
      </c>
      <c r="L597" s="13"/>
    </row>
    <row r="598">
      <c r="A598" s="13">
        <v>596.0</v>
      </c>
      <c r="B598" s="13">
        <v>1037.0</v>
      </c>
      <c r="C598" s="13">
        <v>47.0</v>
      </c>
      <c r="D598" s="12" t="s">
        <v>1066</v>
      </c>
      <c r="E598" s="12" t="s">
        <v>1067</v>
      </c>
      <c r="F598" s="13">
        <v>3.0</v>
      </c>
      <c r="G598" s="13">
        <v>1.0</v>
      </c>
      <c r="H598" s="13">
        <v>0.0</v>
      </c>
      <c r="I598" s="13" t="s">
        <v>35</v>
      </c>
      <c r="J598" s="13" t="s">
        <v>42</v>
      </c>
      <c r="K598" s="13" t="s">
        <v>435</v>
      </c>
      <c r="L598" s="13"/>
    </row>
    <row r="599">
      <c r="A599" s="13">
        <v>597.0</v>
      </c>
      <c r="B599" s="13">
        <v>820.0</v>
      </c>
      <c r="C599" s="13">
        <v>24.0</v>
      </c>
      <c r="D599" s="12" t="s">
        <v>1068</v>
      </c>
      <c r="E599" s="12" t="s">
        <v>1069</v>
      </c>
      <c r="F599" s="13">
        <v>4.0</v>
      </c>
      <c r="G599" s="13">
        <v>1.0</v>
      </c>
      <c r="H599" s="13">
        <v>0.0</v>
      </c>
      <c r="I599" s="13" t="s">
        <v>35</v>
      </c>
      <c r="J599" s="13" t="s">
        <v>46</v>
      </c>
      <c r="K599" s="13" t="s">
        <v>47</v>
      </c>
      <c r="L599" s="13"/>
    </row>
    <row r="600">
      <c r="A600" s="13">
        <v>598.0</v>
      </c>
      <c r="B600" s="13">
        <v>1079.0</v>
      </c>
      <c r="C600" s="13">
        <v>32.0</v>
      </c>
      <c r="D600" s="12"/>
      <c r="E600" s="12" t="s">
        <v>1070</v>
      </c>
      <c r="F600" s="13">
        <v>3.0</v>
      </c>
      <c r="G600" s="13">
        <v>0.0</v>
      </c>
      <c r="H600" s="13">
        <v>5.0</v>
      </c>
      <c r="I600" s="13" t="s">
        <v>35</v>
      </c>
      <c r="J600" s="13" t="s">
        <v>36</v>
      </c>
      <c r="K600" s="13" t="s">
        <v>36</v>
      </c>
      <c r="L600" s="13"/>
    </row>
    <row r="601">
      <c r="A601" s="13">
        <v>599.0</v>
      </c>
      <c r="B601" s="13">
        <v>1060.0</v>
      </c>
      <c r="C601" s="13">
        <v>44.0</v>
      </c>
      <c r="D601" s="12" t="s">
        <v>1071</v>
      </c>
      <c r="E601" s="12" t="s">
        <v>1072</v>
      </c>
      <c r="F601" s="13">
        <v>4.0</v>
      </c>
      <c r="G601" s="13">
        <v>1.0</v>
      </c>
      <c r="H601" s="13">
        <v>1.0</v>
      </c>
      <c r="I601" s="13" t="s">
        <v>35</v>
      </c>
      <c r="J601" s="13" t="s">
        <v>42</v>
      </c>
      <c r="K601" s="13" t="s">
        <v>43</v>
      </c>
      <c r="L601" s="13"/>
    </row>
    <row r="602">
      <c r="A602" s="13">
        <v>600.0</v>
      </c>
      <c r="B602" s="13">
        <v>875.0</v>
      </c>
      <c r="C602" s="13">
        <v>66.0</v>
      </c>
      <c r="D602" s="12" t="s">
        <v>139</v>
      </c>
      <c r="E602" s="12" t="s">
        <v>1073</v>
      </c>
      <c r="F602" s="13">
        <v>5.0</v>
      </c>
      <c r="G602" s="13">
        <v>1.0</v>
      </c>
      <c r="H602" s="13">
        <v>2.0</v>
      </c>
      <c r="I602" s="13" t="s">
        <v>35</v>
      </c>
      <c r="J602" s="13" t="s">
        <v>46</v>
      </c>
      <c r="K602" s="13" t="s">
        <v>52</v>
      </c>
      <c r="L602" s="13"/>
    </row>
    <row r="603">
      <c r="A603" s="13">
        <v>601.0</v>
      </c>
      <c r="B603" s="13">
        <v>835.0</v>
      </c>
      <c r="C603" s="13">
        <v>64.0</v>
      </c>
      <c r="D603" s="12" t="s">
        <v>1074</v>
      </c>
      <c r="E603" s="12" t="s">
        <v>1075</v>
      </c>
      <c r="F603" s="13">
        <v>5.0</v>
      </c>
      <c r="G603" s="13">
        <v>1.0</v>
      </c>
      <c r="H603" s="13">
        <v>1.0</v>
      </c>
      <c r="I603" s="13" t="s">
        <v>35</v>
      </c>
      <c r="J603" s="13" t="s">
        <v>46</v>
      </c>
      <c r="K603" s="13" t="s">
        <v>47</v>
      </c>
      <c r="L603" s="13"/>
    </row>
    <row r="604">
      <c r="A604" s="13">
        <v>602.0</v>
      </c>
      <c r="B604" s="13">
        <v>1078.0</v>
      </c>
      <c r="C604" s="13">
        <v>39.0</v>
      </c>
      <c r="D604" s="12" t="s">
        <v>1076</v>
      </c>
      <c r="E604" s="12" t="s">
        <v>1077</v>
      </c>
      <c r="F604" s="13">
        <v>5.0</v>
      </c>
      <c r="G604" s="13">
        <v>1.0</v>
      </c>
      <c r="H604" s="13">
        <v>0.0</v>
      </c>
      <c r="I604" s="13" t="s">
        <v>41</v>
      </c>
      <c r="J604" s="13" t="s">
        <v>36</v>
      </c>
      <c r="K604" s="13" t="s">
        <v>36</v>
      </c>
      <c r="L604" s="13"/>
    </row>
    <row r="605">
      <c r="A605" s="13">
        <v>603.0</v>
      </c>
      <c r="B605" s="13">
        <v>1037.0</v>
      </c>
      <c r="C605" s="13">
        <v>42.0</v>
      </c>
      <c r="D605" s="12" t="s">
        <v>1078</v>
      </c>
      <c r="E605" s="12" t="s">
        <v>1079</v>
      </c>
      <c r="F605" s="13">
        <v>1.0</v>
      </c>
      <c r="G605" s="13">
        <v>0.0</v>
      </c>
      <c r="H605" s="13">
        <v>1.0</v>
      </c>
      <c r="I605" s="13" t="s">
        <v>35</v>
      </c>
      <c r="J605" s="13" t="s">
        <v>42</v>
      </c>
      <c r="K605" s="13" t="s">
        <v>435</v>
      </c>
      <c r="L605" s="13"/>
    </row>
    <row r="606">
      <c r="A606" s="13">
        <v>604.0</v>
      </c>
      <c r="B606" s="13">
        <v>820.0</v>
      </c>
      <c r="C606" s="13">
        <v>35.0</v>
      </c>
      <c r="D606" s="12" t="s">
        <v>1080</v>
      </c>
      <c r="E606" s="12" t="s">
        <v>1081</v>
      </c>
      <c r="F606" s="13">
        <v>5.0</v>
      </c>
      <c r="G606" s="13">
        <v>1.0</v>
      </c>
      <c r="H606" s="13">
        <v>0.0</v>
      </c>
      <c r="I606" s="13" t="s">
        <v>35</v>
      </c>
      <c r="J606" s="13" t="s">
        <v>46</v>
      </c>
      <c r="K606" s="13" t="s">
        <v>47</v>
      </c>
      <c r="L606" s="13"/>
    </row>
    <row r="607">
      <c r="A607" s="13">
        <v>605.0</v>
      </c>
      <c r="B607" s="13">
        <v>1072.0</v>
      </c>
      <c r="C607" s="13">
        <v>59.0</v>
      </c>
      <c r="D607" s="12" t="s">
        <v>1082</v>
      </c>
      <c r="E607" s="12" t="s">
        <v>1083</v>
      </c>
      <c r="F607" s="13">
        <v>5.0</v>
      </c>
      <c r="G607" s="13">
        <v>1.0</v>
      </c>
      <c r="H607" s="13">
        <v>0.0</v>
      </c>
      <c r="I607" s="13" t="s">
        <v>35</v>
      </c>
      <c r="J607" s="13" t="s">
        <v>36</v>
      </c>
      <c r="K607" s="13" t="s">
        <v>36</v>
      </c>
      <c r="L607" s="13"/>
    </row>
    <row r="608">
      <c r="A608" s="13">
        <v>606.0</v>
      </c>
      <c r="B608" s="13">
        <v>1094.0</v>
      </c>
      <c r="C608" s="13">
        <v>64.0</v>
      </c>
      <c r="D608" s="12" t="s">
        <v>1084</v>
      </c>
      <c r="E608" s="12" t="s">
        <v>1085</v>
      </c>
      <c r="F608" s="13">
        <v>3.0</v>
      </c>
      <c r="G608" s="13">
        <v>1.0</v>
      </c>
      <c r="H608" s="13">
        <v>1.0</v>
      </c>
      <c r="I608" s="13" t="s">
        <v>35</v>
      </c>
      <c r="J608" s="13" t="s">
        <v>36</v>
      </c>
      <c r="K608" s="13" t="s">
        <v>36</v>
      </c>
      <c r="L608" s="13"/>
    </row>
    <row r="609">
      <c r="A609" s="13">
        <v>607.0</v>
      </c>
      <c r="B609" s="13">
        <v>833.0</v>
      </c>
      <c r="C609" s="13">
        <v>40.0</v>
      </c>
      <c r="D609" s="12" t="s">
        <v>1086</v>
      </c>
      <c r="E609" s="12" t="s">
        <v>1087</v>
      </c>
      <c r="F609" s="13">
        <v>4.0</v>
      </c>
      <c r="G609" s="13">
        <v>1.0</v>
      </c>
      <c r="H609" s="13">
        <v>11.0</v>
      </c>
      <c r="I609" s="13" t="s">
        <v>35</v>
      </c>
      <c r="J609" s="13" t="s">
        <v>46</v>
      </c>
      <c r="K609" s="13" t="s">
        <v>47</v>
      </c>
      <c r="L609" s="13"/>
    </row>
    <row r="610">
      <c r="A610" s="13">
        <v>608.0</v>
      </c>
      <c r="B610" s="13">
        <v>1037.0</v>
      </c>
      <c r="C610" s="13">
        <v>22.0</v>
      </c>
      <c r="D610" s="12" t="s">
        <v>1088</v>
      </c>
      <c r="E610" s="12" t="s">
        <v>1089</v>
      </c>
      <c r="F610" s="13">
        <v>4.0</v>
      </c>
      <c r="G610" s="13">
        <v>1.0</v>
      </c>
      <c r="H610" s="13">
        <v>1.0</v>
      </c>
      <c r="I610" s="13" t="s">
        <v>35</v>
      </c>
      <c r="J610" s="13" t="s">
        <v>42</v>
      </c>
      <c r="K610" s="13" t="s">
        <v>435</v>
      </c>
      <c r="L610" s="13"/>
    </row>
    <row r="611">
      <c r="A611" s="13">
        <v>609.0</v>
      </c>
      <c r="B611" s="13">
        <v>1094.0</v>
      </c>
      <c r="C611" s="13">
        <v>53.0</v>
      </c>
      <c r="D611" s="12" t="s">
        <v>1090</v>
      </c>
      <c r="E611" s="12" t="s">
        <v>1091</v>
      </c>
      <c r="F611" s="13">
        <v>3.0</v>
      </c>
      <c r="G611" s="13">
        <v>0.0</v>
      </c>
      <c r="H611" s="13">
        <v>4.0</v>
      </c>
      <c r="I611" s="13" t="s">
        <v>35</v>
      </c>
      <c r="J611" s="13" t="s">
        <v>36</v>
      </c>
      <c r="K611" s="13" t="s">
        <v>36</v>
      </c>
      <c r="L611" s="13"/>
    </row>
    <row r="612">
      <c r="A612" s="13">
        <v>610.0</v>
      </c>
      <c r="B612" s="13">
        <v>995.0</v>
      </c>
      <c r="C612" s="13">
        <v>34.0</v>
      </c>
      <c r="D612" s="12" t="s">
        <v>1092</v>
      </c>
      <c r="E612" s="12" t="s">
        <v>1093</v>
      </c>
      <c r="F612" s="13">
        <v>2.0</v>
      </c>
      <c r="G612" s="13">
        <v>0.0</v>
      </c>
      <c r="H612" s="13">
        <v>1.0</v>
      </c>
      <c r="I612" s="13" t="s">
        <v>35</v>
      </c>
      <c r="J612" s="13" t="s">
        <v>42</v>
      </c>
      <c r="K612" s="13" t="s">
        <v>98</v>
      </c>
      <c r="L612" s="13"/>
    </row>
    <row r="613">
      <c r="A613" s="13">
        <v>611.0</v>
      </c>
      <c r="B613" s="13">
        <v>252.0</v>
      </c>
      <c r="C613" s="13">
        <v>35.0</v>
      </c>
      <c r="D613" s="12"/>
      <c r="E613" s="12"/>
      <c r="F613" s="13">
        <v>4.0</v>
      </c>
      <c r="G613" s="13">
        <v>1.0</v>
      </c>
      <c r="H613" s="13">
        <v>0.0</v>
      </c>
      <c r="I613" s="13" t="s">
        <v>31</v>
      </c>
      <c r="J613" s="13" t="s">
        <v>32</v>
      </c>
      <c r="K613" s="13" t="s">
        <v>320</v>
      </c>
      <c r="L613" s="13"/>
    </row>
    <row r="614">
      <c r="A614" s="13">
        <v>612.0</v>
      </c>
      <c r="B614" s="13">
        <v>634.0</v>
      </c>
      <c r="C614" s="13">
        <v>29.0</v>
      </c>
      <c r="D614" s="12" t="s">
        <v>1094</v>
      </c>
      <c r="E614" s="12" t="s">
        <v>1095</v>
      </c>
      <c r="F614" s="13">
        <v>4.0</v>
      </c>
      <c r="G614" s="13">
        <v>1.0</v>
      </c>
      <c r="H614" s="13">
        <v>2.0</v>
      </c>
      <c r="I614" s="13" t="s">
        <v>41</v>
      </c>
      <c r="J614" s="13" t="s">
        <v>32</v>
      </c>
      <c r="K614" s="13" t="s">
        <v>92</v>
      </c>
      <c r="L614" s="13"/>
    </row>
    <row r="615">
      <c r="A615" s="13">
        <v>613.0</v>
      </c>
      <c r="B615" s="13">
        <v>985.0</v>
      </c>
      <c r="C615" s="13">
        <v>24.0</v>
      </c>
      <c r="D615" s="12" t="s">
        <v>1096</v>
      </c>
      <c r="E615" s="12" t="s">
        <v>1097</v>
      </c>
      <c r="F615" s="13">
        <v>5.0</v>
      </c>
      <c r="G615" s="13">
        <v>1.0</v>
      </c>
      <c r="H615" s="13">
        <v>1.0</v>
      </c>
      <c r="I615" s="13" t="s">
        <v>35</v>
      </c>
      <c r="J615" s="13" t="s">
        <v>76</v>
      </c>
      <c r="K615" s="13" t="s">
        <v>76</v>
      </c>
      <c r="L615" s="13"/>
    </row>
    <row r="616">
      <c r="A616" s="13">
        <v>614.0</v>
      </c>
      <c r="B616" s="13">
        <v>1059.0</v>
      </c>
      <c r="C616" s="13">
        <v>37.0</v>
      </c>
      <c r="D616" s="12" t="s">
        <v>1098</v>
      </c>
      <c r="E616" s="12" t="s">
        <v>1099</v>
      </c>
      <c r="F616" s="13">
        <v>5.0</v>
      </c>
      <c r="G616" s="13">
        <v>1.0</v>
      </c>
      <c r="H616" s="13">
        <v>0.0</v>
      </c>
      <c r="I616" s="13" t="s">
        <v>35</v>
      </c>
      <c r="J616" s="13" t="s">
        <v>42</v>
      </c>
      <c r="K616" s="13" t="s">
        <v>43</v>
      </c>
      <c r="L616" s="13"/>
    </row>
    <row r="617">
      <c r="A617" s="13">
        <v>615.0</v>
      </c>
      <c r="B617" s="13">
        <v>985.0</v>
      </c>
      <c r="C617" s="13">
        <v>65.0</v>
      </c>
      <c r="D617" s="12" t="s">
        <v>1100</v>
      </c>
      <c r="E617" s="12" t="s">
        <v>1101</v>
      </c>
      <c r="F617" s="13">
        <v>5.0</v>
      </c>
      <c r="G617" s="13">
        <v>1.0</v>
      </c>
      <c r="H617" s="13">
        <v>0.0</v>
      </c>
      <c r="I617" s="13" t="s">
        <v>35</v>
      </c>
      <c r="J617" s="13" t="s">
        <v>76</v>
      </c>
      <c r="K617" s="13" t="s">
        <v>76</v>
      </c>
      <c r="L617" s="13"/>
    </row>
    <row r="618">
      <c r="A618" s="13">
        <v>616.0</v>
      </c>
      <c r="B618" s="13">
        <v>1059.0</v>
      </c>
      <c r="C618" s="13">
        <v>36.0</v>
      </c>
      <c r="D618" s="12" t="s">
        <v>158</v>
      </c>
      <c r="E618" s="12" t="s">
        <v>1102</v>
      </c>
      <c r="F618" s="13">
        <v>5.0</v>
      </c>
      <c r="G618" s="13">
        <v>1.0</v>
      </c>
      <c r="H618" s="13">
        <v>6.0</v>
      </c>
      <c r="I618" s="13" t="s">
        <v>35</v>
      </c>
      <c r="J618" s="13" t="s">
        <v>42</v>
      </c>
      <c r="K618" s="13" t="s">
        <v>43</v>
      </c>
      <c r="L618" s="13"/>
    </row>
    <row r="619">
      <c r="A619" s="13">
        <v>617.0</v>
      </c>
      <c r="B619" s="13">
        <v>634.0</v>
      </c>
      <c r="C619" s="13">
        <v>35.0</v>
      </c>
      <c r="D619" s="12" t="s">
        <v>1103</v>
      </c>
      <c r="E619" s="12" t="s">
        <v>1104</v>
      </c>
      <c r="F619" s="13">
        <v>4.0</v>
      </c>
      <c r="G619" s="13">
        <v>1.0</v>
      </c>
      <c r="H619" s="13">
        <v>0.0</v>
      </c>
      <c r="I619" s="13" t="s">
        <v>41</v>
      </c>
      <c r="J619" s="13" t="s">
        <v>32</v>
      </c>
      <c r="K619" s="13" t="s">
        <v>92</v>
      </c>
      <c r="L619" s="13"/>
    </row>
    <row r="620">
      <c r="A620" s="13">
        <v>618.0</v>
      </c>
      <c r="B620" s="13">
        <v>1059.0</v>
      </c>
      <c r="C620" s="13">
        <v>27.0</v>
      </c>
      <c r="D620" s="12" t="s">
        <v>1105</v>
      </c>
      <c r="E620" s="12" t="s">
        <v>1106</v>
      </c>
      <c r="F620" s="13">
        <v>5.0</v>
      </c>
      <c r="G620" s="13">
        <v>1.0</v>
      </c>
      <c r="H620" s="13">
        <v>3.0</v>
      </c>
      <c r="I620" s="13" t="s">
        <v>35</v>
      </c>
      <c r="J620" s="13" t="s">
        <v>42</v>
      </c>
      <c r="K620" s="13" t="s">
        <v>43</v>
      </c>
      <c r="L620" s="13"/>
    </row>
    <row r="621">
      <c r="A621" s="13">
        <v>619.0</v>
      </c>
      <c r="B621" s="13">
        <v>252.0</v>
      </c>
      <c r="C621" s="13">
        <v>36.0</v>
      </c>
      <c r="D621" s="12"/>
      <c r="E621" s="12" t="s">
        <v>1107</v>
      </c>
      <c r="F621" s="13">
        <v>4.0</v>
      </c>
      <c r="G621" s="13">
        <v>1.0</v>
      </c>
      <c r="H621" s="13">
        <v>0.0</v>
      </c>
      <c r="I621" s="13" t="s">
        <v>31</v>
      </c>
      <c r="J621" s="13" t="s">
        <v>32</v>
      </c>
      <c r="K621" s="13" t="s">
        <v>320</v>
      </c>
      <c r="L621" s="13"/>
    </row>
    <row r="622">
      <c r="A622" s="13">
        <v>620.0</v>
      </c>
      <c r="B622" s="13">
        <v>634.0</v>
      </c>
      <c r="C622" s="13">
        <v>28.0</v>
      </c>
      <c r="D622" s="12" t="s">
        <v>1108</v>
      </c>
      <c r="E622" s="12" t="s">
        <v>1109</v>
      </c>
      <c r="F622" s="13">
        <v>5.0</v>
      </c>
      <c r="G622" s="13">
        <v>1.0</v>
      </c>
      <c r="H622" s="13">
        <v>1.0</v>
      </c>
      <c r="I622" s="13" t="s">
        <v>41</v>
      </c>
      <c r="J622" s="13" t="s">
        <v>32</v>
      </c>
      <c r="K622" s="13" t="s">
        <v>92</v>
      </c>
      <c r="L622" s="13"/>
    </row>
    <row r="623">
      <c r="A623" s="13">
        <v>621.0</v>
      </c>
      <c r="B623" s="13">
        <v>252.0</v>
      </c>
      <c r="C623" s="13">
        <v>46.0</v>
      </c>
      <c r="D623" s="12" t="s">
        <v>1110</v>
      </c>
      <c r="E623" s="12" t="s">
        <v>1111</v>
      </c>
      <c r="F623" s="13">
        <v>5.0</v>
      </c>
      <c r="G623" s="13">
        <v>1.0</v>
      </c>
      <c r="H623" s="13">
        <v>0.0</v>
      </c>
      <c r="I623" s="13" t="s">
        <v>31</v>
      </c>
      <c r="J623" s="13" t="s">
        <v>32</v>
      </c>
      <c r="K623" s="13" t="s">
        <v>320</v>
      </c>
      <c r="L623" s="13"/>
    </row>
    <row r="624">
      <c r="A624" s="13">
        <v>622.0</v>
      </c>
      <c r="B624" s="13">
        <v>117.0</v>
      </c>
      <c r="C624" s="13">
        <v>70.0</v>
      </c>
      <c r="D624" s="12"/>
      <c r="E624" s="12" t="s">
        <v>1112</v>
      </c>
      <c r="F624" s="13">
        <v>3.0</v>
      </c>
      <c r="G624" s="13">
        <v>1.0</v>
      </c>
      <c r="H624" s="13">
        <v>0.0</v>
      </c>
      <c r="I624" s="13" t="s">
        <v>31</v>
      </c>
      <c r="J624" s="13" t="s">
        <v>32</v>
      </c>
      <c r="K624" s="13" t="s">
        <v>1113</v>
      </c>
      <c r="L624" s="13"/>
    </row>
    <row r="625">
      <c r="A625" s="13">
        <v>623.0</v>
      </c>
      <c r="B625" s="13">
        <v>117.0</v>
      </c>
      <c r="C625" s="13">
        <v>57.0</v>
      </c>
      <c r="D625" s="12"/>
      <c r="E625" s="12" t="s">
        <v>1114</v>
      </c>
      <c r="F625" s="13">
        <v>5.0</v>
      </c>
      <c r="G625" s="13">
        <v>1.0</v>
      </c>
      <c r="H625" s="13">
        <v>0.0</v>
      </c>
      <c r="I625" s="13" t="s">
        <v>31</v>
      </c>
      <c r="J625" s="13" t="s">
        <v>32</v>
      </c>
      <c r="K625" s="13" t="s">
        <v>1113</v>
      </c>
      <c r="L625" s="13"/>
    </row>
    <row r="626">
      <c r="A626" s="13">
        <v>624.0</v>
      </c>
      <c r="B626" s="13">
        <v>634.0</v>
      </c>
      <c r="C626" s="13">
        <v>69.0</v>
      </c>
      <c r="D626" s="12" t="s">
        <v>1115</v>
      </c>
      <c r="E626" s="12" t="s">
        <v>1116</v>
      </c>
      <c r="F626" s="13">
        <v>4.0</v>
      </c>
      <c r="G626" s="13">
        <v>1.0</v>
      </c>
      <c r="H626" s="13">
        <v>12.0</v>
      </c>
      <c r="I626" s="13" t="s">
        <v>41</v>
      </c>
      <c r="J626" s="13" t="s">
        <v>32</v>
      </c>
      <c r="K626" s="13" t="s">
        <v>92</v>
      </c>
      <c r="L626" s="13"/>
    </row>
    <row r="627">
      <c r="A627" s="13">
        <v>625.0</v>
      </c>
      <c r="B627" s="13">
        <v>252.0</v>
      </c>
      <c r="C627" s="13">
        <v>28.0</v>
      </c>
      <c r="D627" s="12" t="s">
        <v>1117</v>
      </c>
      <c r="E627" s="12" t="s">
        <v>1118</v>
      </c>
      <c r="F627" s="13">
        <v>5.0</v>
      </c>
      <c r="G627" s="13">
        <v>1.0</v>
      </c>
      <c r="H627" s="13">
        <v>0.0</v>
      </c>
      <c r="I627" s="13" t="s">
        <v>31</v>
      </c>
      <c r="J627" s="13" t="s">
        <v>32</v>
      </c>
      <c r="K627" s="13" t="s">
        <v>320</v>
      </c>
      <c r="L627" s="13"/>
    </row>
    <row r="628">
      <c r="A628" s="13">
        <v>626.0</v>
      </c>
      <c r="B628" s="13">
        <v>252.0</v>
      </c>
      <c r="C628" s="13">
        <v>36.0</v>
      </c>
      <c r="D628" s="12" t="s">
        <v>1119</v>
      </c>
      <c r="E628" s="12" t="s">
        <v>1120</v>
      </c>
      <c r="F628" s="13">
        <v>5.0</v>
      </c>
      <c r="G628" s="13">
        <v>1.0</v>
      </c>
      <c r="H628" s="13">
        <v>4.0</v>
      </c>
      <c r="I628" s="13" t="s">
        <v>31</v>
      </c>
      <c r="J628" s="13" t="s">
        <v>32</v>
      </c>
      <c r="K628" s="13" t="s">
        <v>320</v>
      </c>
      <c r="L628" s="13"/>
    </row>
    <row r="629">
      <c r="A629" s="13">
        <v>627.0</v>
      </c>
      <c r="B629" s="13">
        <v>634.0</v>
      </c>
      <c r="C629" s="13">
        <v>40.0</v>
      </c>
      <c r="D629" s="12" t="s">
        <v>1121</v>
      </c>
      <c r="E629" s="12" t="s">
        <v>1122</v>
      </c>
      <c r="F629" s="13">
        <v>4.0</v>
      </c>
      <c r="G629" s="13">
        <v>1.0</v>
      </c>
      <c r="H629" s="13">
        <v>0.0</v>
      </c>
      <c r="I629" s="13" t="s">
        <v>41</v>
      </c>
      <c r="J629" s="13" t="s">
        <v>32</v>
      </c>
      <c r="K629" s="13" t="s">
        <v>92</v>
      </c>
      <c r="L629" s="13"/>
    </row>
    <row r="630">
      <c r="A630" s="13">
        <v>628.0</v>
      </c>
      <c r="B630" s="13">
        <v>1059.0</v>
      </c>
      <c r="C630" s="13">
        <v>80.0</v>
      </c>
      <c r="D630" s="12" t="s">
        <v>1123</v>
      </c>
      <c r="E630" s="12" t="s">
        <v>1124</v>
      </c>
      <c r="F630" s="13">
        <v>5.0</v>
      </c>
      <c r="G630" s="13">
        <v>1.0</v>
      </c>
      <c r="H630" s="13">
        <v>6.0</v>
      </c>
      <c r="I630" s="13" t="s">
        <v>35</v>
      </c>
      <c r="J630" s="13" t="s">
        <v>42</v>
      </c>
      <c r="K630" s="13" t="s">
        <v>43</v>
      </c>
      <c r="L630" s="13"/>
    </row>
    <row r="631">
      <c r="A631" s="13">
        <v>629.0</v>
      </c>
      <c r="B631" s="13">
        <v>838.0</v>
      </c>
      <c r="C631" s="13">
        <v>44.0</v>
      </c>
      <c r="D631" s="12" t="s">
        <v>1125</v>
      </c>
      <c r="E631" s="12" t="s">
        <v>1126</v>
      </c>
      <c r="F631" s="13">
        <v>4.0</v>
      </c>
      <c r="G631" s="13">
        <v>1.0</v>
      </c>
      <c r="H631" s="13">
        <v>0.0</v>
      </c>
      <c r="I631" s="13" t="s">
        <v>35</v>
      </c>
      <c r="J631" s="13" t="s">
        <v>46</v>
      </c>
      <c r="K631" s="13" t="s">
        <v>47</v>
      </c>
      <c r="L631" s="13"/>
    </row>
    <row r="632">
      <c r="A632" s="13">
        <v>630.0</v>
      </c>
      <c r="B632" s="13">
        <v>252.0</v>
      </c>
      <c r="C632" s="13">
        <v>36.0</v>
      </c>
      <c r="D632" s="12" t="s">
        <v>1127</v>
      </c>
      <c r="E632" s="12" t="s">
        <v>1128</v>
      </c>
      <c r="F632" s="13">
        <v>5.0</v>
      </c>
      <c r="G632" s="13">
        <v>1.0</v>
      </c>
      <c r="H632" s="13">
        <v>3.0</v>
      </c>
      <c r="I632" s="13" t="s">
        <v>31</v>
      </c>
      <c r="J632" s="13" t="s">
        <v>32</v>
      </c>
      <c r="K632" s="13" t="s">
        <v>320</v>
      </c>
      <c r="L632" s="13"/>
    </row>
    <row r="633">
      <c r="A633" s="13">
        <v>631.0</v>
      </c>
      <c r="B633" s="13">
        <v>838.0</v>
      </c>
      <c r="C633" s="13">
        <v>41.0</v>
      </c>
      <c r="D633" s="12" t="s">
        <v>167</v>
      </c>
      <c r="E633" s="12" t="s">
        <v>1129</v>
      </c>
      <c r="F633" s="13">
        <v>5.0</v>
      </c>
      <c r="G633" s="13">
        <v>1.0</v>
      </c>
      <c r="H633" s="13">
        <v>2.0</v>
      </c>
      <c r="I633" s="13" t="s">
        <v>35</v>
      </c>
      <c r="J633" s="13" t="s">
        <v>46</v>
      </c>
      <c r="K633" s="13" t="s">
        <v>47</v>
      </c>
      <c r="L633" s="13"/>
    </row>
    <row r="634">
      <c r="A634" s="13">
        <v>632.0</v>
      </c>
      <c r="B634" s="13">
        <v>838.0</v>
      </c>
      <c r="C634" s="13">
        <v>48.0</v>
      </c>
      <c r="D634" s="12" t="s">
        <v>1130</v>
      </c>
      <c r="E634" s="12" t="s">
        <v>1131</v>
      </c>
      <c r="F634" s="13">
        <v>1.0</v>
      </c>
      <c r="G634" s="13">
        <v>0.0</v>
      </c>
      <c r="H634" s="13">
        <v>3.0</v>
      </c>
      <c r="I634" s="13" t="s">
        <v>35</v>
      </c>
      <c r="J634" s="13" t="s">
        <v>46</v>
      </c>
      <c r="K634" s="13" t="s">
        <v>47</v>
      </c>
      <c r="L634" s="13"/>
    </row>
    <row r="635">
      <c r="A635" s="13">
        <v>633.0</v>
      </c>
      <c r="B635" s="13">
        <v>634.0</v>
      </c>
      <c r="C635" s="13">
        <v>49.0</v>
      </c>
      <c r="D635" s="12"/>
      <c r="E635" s="12" t="s">
        <v>1132</v>
      </c>
      <c r="F635" s="13">
        <v>5.0</v>
      </c>
      <c r="G635" s="13">
        <v>1.0</v>
      </c>
      <c r="H635" s="13">
        <v>11.0</v>
      </c>
      <c r="I635" s="13" t="s">
        <v>41</v>
      </c>
      <c r="J635" s="13" t="s">
        <v>32</v>
      </c>
      <c r="K635" s="13" t="s">
        <v>92</v>
      </c>
      <c r="L635" s="13"/>
    </row>
    <row r="636">
      <c r="A636" s="13">
        <v>634.0</v>
      </c>
      <c r="B636" s="13">
        <v>1059.0</v>
      </c>
      <c r="C636" s="13">
        <v>42.0</v>
      </c>
      <c r="D636" s="12" t="s">
        <v>1133</v>
      </c>
      <c r="E636" s="12" t="s">
        <v>1134</v>
      </c>
      <c r="F636" s="13">
        <v>3.0</v>
      </c>
      <c r="G636" s="13">
        <v>0.0</v>
      </c>
      <c r="H636" s="13">
        <v>1.0</v>
      </c>
      <c r="I636" s="13" t="s">
        <v>35</v>
      </c>
      <c r="J636" s="13" t="s">
        <v>42</v>
      </c>
      <c r="K636" s="13" t="s">
        <v>43</v>
      </c>
      <c r="L636" s="13"/>
    </row>
    <row r="637">
      <c r="A637" s="13">
        <v>635.0</v>
      </c>
      <c r="B637" s="13">
        <v>634.0</v>
      </c>
      <c r="C637" s="13">
        <v>37.0</v>
      </c>
      <c r="D637" s="12" t="s">
        <v>677</v>
      </c>
      <c r="E637" s="12" t="s">
        <v>1135</v>
      </c>
      <c r="F637" s="13">
        <v>4.0</v>
      </c>
      <c r="G637" s="13">
        <v>1.0</v>
      </c>
      <c r="H637" s="13">
        <v>0.0</v>
      </c>
      <c r="I637" s="13" t="s">
        <v>41</v>
      </c>
      <c r="J637" s="13" t="s">
        <v>32</v>
      </c>
      <c r="K637" s="13" t="s">
        <v>92</v>
      </c>
      <c r="L637" s="13"/>
    </row>
    <row r="638">
      <c r="A638" s="13">
        <v>636.0</v>
      </c>
      <c r="B638" s="13">
        <v>1008.0</v>
      </c>
      <c r="C638" s="13">
        <v>38.0</v>
      </c>
      <c r="D638" s="12" t="s">
        <v>1136</v>
      </c>
      <c r="E638" s="12" t="s">
        <v>1137</v>
      </c>
      <c r="F638" s="13">
        <v>5.0</v>
      </c>
      <c r="G638" s="13">
        <v>1.0</v>
      </c>
      <c r="H638" s="13">
        <v>4.0</v>
      </c>
      <c r="I638" s="13" t="s">
        <v>35</v>
      </c>
      <c r="J638" s="13" t="s">
        <v>42</v>
      </c>
      <c r="K638" s="13" t="s">
        <v>98</v>
      </c>
      <c r="L638" s="13"/>
    </row>
    <row r="639">
      <c r="A639" s="13">
        <v>637.0</v>
      </c>
      <c r="B639" s="13">
        <v>838.0</v>
      </c>
      <c r="C639" s="13">
        <v>58.0</v>
      </c>
      <c r="D639" s="12"/>
      <c r="E639" s="12" t="s">
        <v>1138</v>
      </c>
      <c r="F639" s="13">
        <v>5.0</v>
      </c>
      <c r="G639" s="13">
        <v>1.0</v>
      </c>
      <c r="H639" s="13">
        <v>0.0</v>
      </c>
      <c r="I639" s="13" t="s">
        <v>35</v>
      </c>
      <c r="J639" s="13" t="s">
        <v>46</v>
      </c>
      <c r="K639" s="13" t="s">
        <v>47</v>
      </c>
      <c r="L639" s="13"/>
    </row>
    <row r="640">
      <c r="A640" s="13">
        <v>638.0</v>
      </c>
      <c r="B640" s="13">
        <v>620.0</v>
      </c>
      <c r="C640" s="13">
        <v>47.0</v>
      </c>
      <c r="D640" s="12" t="s">
        <v>1139</v>
      </c>
      <c r="E640" s="12" t="s">
        <v>1140</v>
      </c>
      <c r="F640" s="13">
        <v>4.0</v>
      </c>
      <c r="G640" s="13">
        <v>1.0</v>
      </c>
      <c r="H640" s="13">
        <v>2.0</v>
      </c>
      <c r="I640" s="13" t="s">
        <v>35</v>
      </c>
      <c r="J640" s="13" t="s">
        <v>42</v>
      </c>
      <c r="K640" s="13" t="s">
        <v>1141</v>
      </c>
      <c r="L640" s="13"/>
    </row>
    <row r="641">
      <c r="A641" s="13">
        <v>639.0</v>
      </c>
      <c r="B641" s="13">
        <v>634.0</v>
      </c>
      <c r="C641" s="13">
        <v>36.0</v>
      </c>
      <c r="D641" s="12" t="s">
        <v>772</v>
      </c>
      <c r="E641" s="12" t="s">
        <v>1142</v>
      </c>
      <c r="F641" s="13">
        <v>5.0</v>
      </c>
      <c r="G641" s="13">
        <v>1.0</v>
      </c>
      <c r="H641" s="13">
        <v>1.0</v>
      </c>
      <c r="I641" s="13" t="s">
        <v>41</v>
      </c>
      <c r="J641" s="13" t="s">
        <v>32</v>
      </c>
      <c r="K641" s="13" t="s">
        <v>92</v>
      </c>
      <c r="L641" s="13"/>
    </row>
    <row r="642">
      <c r="A642" s="13">
        <v>640.0</v>
      </c>
      <c r="B642" s="13">
        <v>1059.0</v>
      </c>
      <c r="C642" s="13">
        <v>66.0</v>
      </c>
      <c r="D642" s="12" t="s">
        <v>1143</v>
      </c>
      <c r="E642" s="12" t="s">
        <v>1144</v>
      </c>
      <c r="F642" s="13">
        <v>5.0</v>
      </c>
      <c r="G642" s="13">
        <v>1.0</v>
      </c>
      <c r="H642" s="13">
        <v>0.0</v>
      </c>
      <c r="I642" s="13" t="s">
        <v>35</v>
      </c>
      <c r="J642" s="13" t="s">
        <v>42</v>
      </c>
      <c r="K642" s="13" t="s">
        <v>43</v>
      </c>
      <c r="L642" s="13"/>
    </row>
    <row r="643">
      <c r="A643" s="13">
        <v>641.0</v>
      </c>
      <c r="B643" s="13">
        <v>1059.0</v>
      </c>
      <c r="C643" s="13">
        <v>51.0</v>
      </c>
      <c r="D643" s="12" t="s">
        <v>1145</v>
      </c>
      <c r="E643" s="12" t="s">
        <v>1146</v>
      </c>
      <c r="F643" s="13">
        <v>4.0</v>
      </c>
      <c r="G643" s="13">
        <v>1.0</v>
      </c>
      <c r="H643" s="13">
        <v>7.0</v>
      </c>
      <c r="I643" s="13" t="s">
        <v>35</v>
      </c>
      <c r="J643" s="13" t="s">
        <v>42</v>
      </c>
      <c r="K643" s="13" t="s">
        <v>43</v>
      </c>
      <c r="L643" s="13"/>
    </row>
    <row r="644">
      <c r="A644" s="13">
        <v>642.0</v>
      </c>
      <c r="B644" s="13">
        <v>1059.0</v>
      </c>
      <c r="C644" s="13">
        <v>38.0</v>
      </c>
      <c r="D644" s="12" t="s">
        <v>1147</v>
      </c>
      <c r="E644" s="12" t="s">
        <v>1148</v>
      </c>
      <c r="F644" s="13">
        <v>5.0</v>
      </c>
      <c r="G644" s="13">
        <v>1.0</v>
      </c>
      <c r="H644" s="13">
        <v>0.0</v>
      </c>
      <c r="I644" s="13" t="s">
        <v>35</v>
      </c>
      <c r="J644" s="13" t="s">
        <v>42</v>
      </c>
      <c r="K644" s="13" t="s">
        <v>43</v>
      </c>
      <c r="L644" s="13"/>
    </row>
    <row r="645">
      <c r="A645" s="13">
        <v>643.0</v>
      </c>
      <c r="B645" s="13">
        <v>634.0</v>
      </c>
      <c r="C645" s="13">
        <v>40.0</v>
      </c>
      <c r="D645" s="12" t="s">
        <v>1149</v>
      </c>
      <c r="E645" s="12" t="s">
        <v>1150</v>
      </c>
      <c r="F645" s="13">
        <v>4.0</v>
      </c>
      <c r="G645" s="13">
        <v>1.0</v>
      </c>
      <c r="H645" s="13">
        <v>2.0</v>
      </c>
      <c r="I645" s="13" t="s">
        <v>41</v>
      </c>
      <c r="J645" s="13" t="s">
        <v>32</v>
      </c>
      <c r="K645" s="13" t="s">
        <v>92</v>
      </c>
      <c r="L645" s="13"/>
    </row>
    <row r="646">
      <c r="A646" s="13">
        <v>644.0</v>
      </c>
      <c r="B646" s="13">
        <v>1059.0</v>
      </c>
      <c r="C646" s="13">
        <v>35.0</v>
      </c>
      <c r="D646" s="12"/>
      <c r="E646" s="12" t="s">
        <v>1151</v>
      </c>
      <c r="F646" s="13">
        <v>2.0</v>
      </c>
      <c r="G646" s="13">
        <v>0.0</v>
      </c>
      <c r="H646" s="13">
        <v>8.0</v>
      </c>
      <c r="I646" s="13" t="s">
        <v>35</v>
      </c>
      <c r="J646" s="13" t="s">
        <v>42</v>
      </c>
      <c r="K646" s="13" t="s">
        <v>43</v>
      </c>
      <c r="L646" s="13"/>
    </row>
    <row r="647">
      <c r="A647" s="13">
        <v>645.0</v>
      </c>
      <c r="B647" s="13">
        <v>634.0</v>
      </c>
      <c r="C647" s="13">
        <v>36.0</v>
      </c>
      <c r="D647" s="12"/>
      <c r="E647" s="12" t="s">
        <v>1152</v>
      </c>
      <c r="F647" s="13">
        <v>4.0</v>
      </c>
      <c r="G647" s="13">
        <v>1.0</v>
      </c>
      <c r="H647" s="13">
        <v>1.0</v>
      </c>
      <c r="I647" s="13" t="s">
        <v>41</v>
      </c>
      <c r="J647" s="13" t="s">
        <v>32</v>
      </c>
      <c r="K647" s="13" t="s">
        <v>92</v>
      </c>
      <c r="L647" s="13"/>
    </row>
    <row r="648">
      <c r="A648" s="13">
        <v>646.0</v>
      </c>
      <c r="B648" s="13">
        <v>1059.0</v>
      </c>
      <c r="C648" s="13">
        <v>37.0</v>
      </c>
      <c r="D648" s="12" t="s">
        <v>1153</v>
      </c>
      <c r="E648" s="12" t="s">
        <v>1154</v>
      </c>
      <c r="F648" s="13">
        <v>1.0</v>
      </c>
      <c r="G648" s="13">
        <v>0.0</v>
      </c>
      <c r="H648" s="13">
        <v>0.0</v>
      </c>
      <c r="I648" s="13" t="s">
        <v>35</v>
      </c>
      <c r="J648" s="13" t="s">
        <v>42</v>
      </c>
      <c r="K648" s="13" t="s">
        <v>43</v>
      </c>
      <c r="L648" s="13"/>
    </row>
    <row r="649">
      <c r="A649" s="13">
        <v>647.0</v>
      </c>
      <c r="B649" s="13">
        <v>985.0</v>
      </c>
      <c r="C649" s="13">
        <v>30.0</v>
      </c>
      <c r="D649" s="12"/>
      <c r="E649" s="12" t="s">
        <v>1155</v>
      </c>
      <c r="F649" s="13">
        <v>4.0</v>
      </c>
      <c r="G649" s="13">
        <v>1.0</v>
      </c>
      <c r="H649" s="13">
        <v>1.0</v>
      </c>
      <c r="I649" s="13" t="s">
        <v>35</v>
      </c>
      <c r="J649" s="13" t="s">
        <v>76</v>
      </c>
      <c r="K649" s="13" t="s">
        <v>76</v>
      </c>
      <c r="L649" s="13"/>
    </row>
    <row r="650">
      <c r="A650" s="13">
        <v>648.0</v>
      </c>
      <c r="B650" s="13">
        <v>252.0</v>
      </c>
      <c r="C650" s="13">
        <v>35.0</v>
      </c>
      <c r="D650" s="12" t="s">
        <v>1156</v>
      </c>
      <c r="E650" s="12" t="s">
        <v>1157</v>
      </c>
      <c r="F650" s="13">
        <v>5.0</v>
      </c>
      <c r="G650" s="13">
        <v>1.0</v>
      </c>
      <c r="H650" s="13">
        <v>0.0</v>
      </c>
      <c r="I650" s="13" t="s">
        <v>31</v>
      </c>
      <c r="J650" s="13" t="s">
        <v>32</v>
      </c>
      <c r="K650" s="13" t="s">
        <v>320</v>
      </c>
      <c r="L650" s="13"/>
    </row>
    <row r="651">
      <c r="A651" s="13">
        <v>649.0</v>
      </c>
      <c r="B651" s="13">
        <v>1059.0</v>
      </c>
      <c r="C651" s="13">
        <v>48.0</v>
      </c>
      <c r="D651" s="12" t="s">
        <v>1158</v>
      </c>
      <c r="E651" s="12" t="s">
        <v>1159</v>
      </c>
      <c r="F651" s="13">
        <v>5.0</v>
      </c>
      <c r="G651" s="13">
        <v>1.0</v>
      </c>
      <c r="H651" s="13">
        <v>0.0</v>
      </c>
      <c r="I651" s="13" t="s">
        <v>35</v>
      </c>
      <c r="J651" s="13" t="s">
        <v>42</v>
      </c>
      <c r="K651" s="13" t="s">
        <v>43</v>
      </c>
      <c r="L651" s="13"/>
    </row>
    <row r="652">
      <c r="A652" s="13">
        <v>650.0</v>
      </c>
      <c r="B652" s="13">
        <v>1059.0</v>
      </c>
      <c r="C652" s="13">
        <v>49.0</v>
      </c>
      <c r="D652" s="12" t="s">
        <v>1160</v>
      </c>
      <c r="E652" s="12" t="s">
        <v>1161</v>
      </c>
      <c r="F652" s="13">
        <v>5.0</v>
      </c>
      <c r="G652" s="13">
        <v>1.0</v>
      </c>
      <c r="H652" s="13">
        <v>1.0</v>
      </c>
      <c r="I652" s="13" t="s">
        <v>35</v>
      </c>
      <c r="J652" s="13" t="s">
        <v>42</v>
      </c>
      <c r="K652" s="13" t="s">
        <v>43</v>
      </c>
      <c r="L652" s="13"/>
    </row>
    <row r="653">
      <c r="A653" s="13">
        <v>651.0</v>
      </c>
      <c r="B653" s="13">
        <v>252.0</v>
      </c>
      <c r="C653" s="13">
        <v>70.0</v>
      </c>
      <c r="D653" s="12" t="s">
        <v>1162</v>
      </c>
      <c r="E653" s="12" t="s">
        <v>1163</v>
      </c>
      <c r="F653" s="13">
        <v>5.0</v>
      </c>
      <c r="G653" s="13">
        <v>1.0</v>
      </c>
      <c r="H653" s="13">
        <v>11.0</v>
      </c>
      <c r="I653" s="13" t="s">
        <v>31</v>
      </c>
      <c r="J653" s="13" t="s">
        <v>32</v>
      </c>
      <c r="K653" s="13" t="s">
        <v>320</v>
      </c>
      <c r="L653" s="13"/>
    </row>
    <row r="654">
      <c r="A654" s="13">
        <v>652.0</v>
      </c>
      <c r="B654" s="13">
        <v>1059.0</v>
      </c>
      <c r="C654" s="13">
        <v>40.0</v>
      </c>
      <c r="D654" s="12"/>
      <c r="E654" s="12" t="s">
        <v>1164</v>
      </c>
      <c r="F654" s="13">
        <v>5.0</v>
      </c>
      <c r="G654" s="13">
        <v>1.0</v>
      </c>
      <c r="H654" s="13">
        <v>8.0</v>
      </c>
      <c r="I654" s="13" t="s">
        <v>35</v>
      </c>
      <c r="J654" s="13" t="s">
        <v>42</v>
      </c>
      <c r="K654" s="13" t="s">
        <v>43</v>
      </c>
      <c r="L654" s="13"/>
    </row>
    <row r="655">
      <c r="A655" s="13">
        <v>653.0</v>
      </c>
      <c r="B655" s="13">
        <v>1059.0</v>
      </c>
      <c r="C655" s="13">
        <v>38.0</v>
      </c>
      <c r="D655" s="12" t="s">
        <v>1165</v>
      </c>
      <c r="E655" s="12" t="s">
        <v>1166</v>
      </c>
      <c r="F655" s="13">
        <v>2.0</v>
      </c>
      <c r="G655" s="13">
        <v>0.0</v>
      </c>
      <c r="H655" s="13">
        <v>0.0</v>
      </c>
      <c r="I655" s="13" t="s">
        <v>35</v>
      </c>
      <c r="J655" s="13" t="s">
        <v>42</v>
      </c>
      <c r="K655" s="13" t="s">
        <v>43</v>
      </c>
      <c r="L655" s="13"/>
    </row>
    <row r="656">
      <c r="A656" s="13">
        <v>654.0</v>
      </c>
      <c r="B656" s="13">
        <v>252.0</v>
      </c>
      <c r="C656" s="13">
        <v>27.0</v>
      </c>
      <c r="D656" s="12" t="s">
        <v>1167</v>
      </c>
      <c r="E656" s="12" t="s">
        <v>1168</v>
      </c>
      <c r="F656" s="13">
        <v>5.0</v>
      </c>
      <c r="G656" s="13">
        <v>1.0</v>
      </c>
      <c r="H656" s="13">
        <v>0.0</v>
      </c>
      <c r="I656" s="13" t="s">
        <v>31</v>
      </c>
      <c r="J656" s="13" t="s">
        <v>32</v>
      </c>
      <c r="K656" s="13" t="s">
        <v>320</v>
      </c>
      <c r="L656" s="13"/>
    </row>
    <row r="657">
      <c r="A657" s="13">
        <v>655.0</v>
      </c>
      <c r="B657" s="13">
        <v>1008.0</v>
      </c>
      <c r="C657" s="13">
        <v>46.0</v>
      </c>
      <c r="D657" s="12" t="s">
        <v>1169</v>
      </c>
      <c r="E657" s="12" t="s">
        <v>1170</v>
      </c>
      <c r="F657" s="13">
        <v>5.0</v>
      </c>
      <c r="G657" s="13">
        <v>1.0</v>
      </c>
      <c r="H657" s="13">
        <v>1.0</v>
      </c>
      <c r="I657" s="13" t="s">
        <v>35</v>
      </c>
      <c r="J657" s="13" t="s">
        <v>42</v>
      </c>
      <c r="K657" s="13" t="s">
        <v>98</v>
      </c>
      <c r="L657" s="13"/>
    </row>
    <row r="658">
      <c r="A658" s="13">
        <v>656.0</v>
      </c>
      <c r="B658" s="13">
        <v>943.0</v>
      </c>
      <c r="C658" s="13">
        <v>50.0</v>
      </c>
      <c r="D658" s="12" t="s">
        <v>1171</v>
      </c>
      <c r="E658" s="12" t="s">
        <v>1172</v>
      </c>
      <c r="F658" s="13">
        <v>5.0</v>
      </c>
      <c r="G658" s="13">
        <v>1.0</v>
      </c>
      <c r="H658" s="13">
        <v>0.0</v>
      </c>
      <c r="I658" s="13" t="s">
        <v>35</v>
      </c>
      <c r="J658" s="13" t="s">
        <v>46</v>
      </c>
      <c r="K658" s="13" t="s">
        <v>95</v>
      </c>
      <c r="L658" s="13"/>
    </row>
    <row r="659">
      <c r="A659" s="13">
        <v>657.0</v>
      </c>
      <c r="B659" s="13">
        <v>634.0</v>
      </c>
      <c r="C659" s="13">
        <v>65.0</v>
      </c>
      <c r="D659" s="12" t="s">
        <v>1173</v>
      </c>
      <c r="E659" s="12" t="s">
        <v>1174</v>
      </c>
      <c r="F659" s="13">
        <v>2.0</v>
      </c>
      <c r="G659" s="13">
        <v>0.0</v>
      </c>
      <c r="H659" s="13">
        <v>55.0</v>
      </c>
      <c r="I659" s="13" t="s">
        <v>41</v>
      </c>
      <c r="J659" s="13" t="s">
        <v>32</v>
      </c>
      <c r="K659" s="13" t="s">
        <v>92</v>
      </c>
      <c r="L659" s="13"/>
    </row>
    <row r="660">
      <c r="A660" s="13">
        <v>658.0</v>
      </c>
      <c r="B660" s="13">
        <v>1008.0</v>
      </c>
      <c r="C660" s="13">
        <v>22.0</v>
      </c>
      <c r="D660" s="12"/>
      <c r="E660" s="12" t="s">
        <v>1175</v>
      </c>
      <c r="F660" s="13">
        <v>5.0</v>
      </c>
      <c r="G660" s="13">
        <v>1.0</v>
      </c>
      <c r="H660" s="13">
        <v>1.0</v>
      </c>
      <c r="I660" s="13" t="s">
        <v>35</v>
      </c>
      <c r="J660" s="13" t="s">
        <v>42</v>
      </c>
      <c r="K660" s="13" t="s">
        <v>98</v>
      </c>
      <c r="L660" s="13"/>
    </row>
    <row r="661">
      <c r="A661" s="13">
        <v>659.0</v>
      </c>
      <c r="B661" s="13">
        <v>252.0</v>
      </c>
      <c r="C661" s="13">
        <v>93.0</v>
      </c>
      <c r="D661" s="12" t="s">
        <v>1176</v>
      </c>
      <c r="E661" s="12" t="s">
        <v>1177</v>
      </c>
      <c r="F661" s="13">
        <v>5.0</v>
      </c>
      <c r="G661" s="13">
        <v>1.0</v>
      </c>
      <c r="H661" s="13">
        <v>3.0</v>
      </c>
      <c r="I661" s="13" t="s">
        <v>31</v>
      </c>
      <c r="J661" s="13" t="s">
        <v>32</v>
      </c>
      <c r="K661" s="13" t="s">
        <v>320</v>
      </c>
      <c r="L661" s="13"/>
    </row>
    <row r="662">
      <c r="A662" s="13">
        <v>660.0</v>
      </c>
      <c r="B662" s="13">
        <v>838.0</v>
      </c>
      <c r="C662" s="13">
        <v>43.0</v>
      </c>
      <c r="D662" s="12" t="s">
        <v>1178</v>
      </c>
      <c r="E662" s="12" t="s">
        <v>1179</v>
      </c>
      <c r="F662" s="13">
        <v>5.0</v>
      </c>
      <c r="G662" s="13">
        <v>1.0</v>
      </c>
      <c r="H662" s="13">
        <v>10.0</v>
      </c>
      <c r="I662" s="13" t="s">
        <v>35</v>
      </c>
      <c r="J662" s="13" t="s">
        <v>46</v>
      </c>
      <c r="K662" s="13" t="s">
        <v>47</v>
      </c>
      <c r="L662" s="13"/>
    </row>
    <row r="663">
      <c r="A663" s="13">
        <v>661.0</v>
      </c>
      <c r="B663" s="13">
        <v>1059.0</v>
      </c>
      <c r="C663" s="13">
        <v>67.0</v>
      </c>
      <c r="D663" s="12" t="s">
        <v>1180</v>
      </c>
      <c r="E663" s="12" t="s">
        <v>1181</v>
      </c>
      <c r="F663" s="13">
        <v>5.0</v>
      </c>
      <c r="G663" s="13">
        <v>1.0</v>
      </c>
      <c r="H663" s="13">
        <v>4.0</v>
      </c>
      <c r="I663" s="13" t="s">
        <v>35</v>
      </c>
      <c r="J663" s="13" t="s">
        <v>42</v>
      </c>
      <c r="K663" s="13" t="s">
        <v>43</v>
      </c>
      <c r="L663" s="13"/>
    </row>
    <row r="664">
      <c r="A664" s="13">
        <v>662.0</v>
      </c>
      <c r="B664" s="13">
        <v>1059.0</v>
      </c>
      <c r="C664" s="13">
        <v>45.0</v>
      </c>
      <c r="D664" s="12" t="s">
        <v>1182</v>
      </c>
      <c r="E664" s="12" t="s">
        <v>1183</v>
      </c>
      <c r="F664" s="13">
        <v>5.0</v>
      </c>
      <c r="G664" s="13">
        <v>1.0</v>
      </c>
      <c r="H664" s="13">
        <v>0.0</v>
      </c>
      <c r="I664" s="13" t="s">
        <v>35</v>
      </c>
      <c r="J664" s="13" t="s">
        <v>42</v>
      </c>
      <c r="K664" s="13" t="s">
        <v>43</v>
      </c>
      <c r="L664" s="13"/>
    </row>
    <row r="665">
      <c r="A665" s="13">
        <v>663.0</v>
      </c>
      <c r="B665" s="13">
        <v>620.0</v>
      </c>
      <c r="C665" s="13">
        <v>42.0</v>
      </c>
      <c r="D665" s="12" t="s">
        <v>1184</v>
      </c>
      <c r="E665" s="12" t="s">
        <v>1185</v>
      </c>
      <c r="F665" s="13">
        <v>5.0</v>
      </c>
      <c r="G665" s="13">
        <v>1.0</v>
      </c>
      <c r="H665" s="13">
        <v>1.0</v>
      </c>
      <c r="I665" s="13" t="s">
        <v>35</v>
      </c>
      <c r="J665" s="13" t="s">
        <v>42</v>
      </c>
      <c r="K665" s="13" t="s">
        <v>1141</v>
      </c>
      <c r="L665" s="13"/>
    </row>
    <row r="666">
      <c r="A666" s="13">
        <v>664.0</v>
      </c>
      <c r="B666" s="13">
        <v>1059.0</v>
      </c>
      <c r="C666" s="13">
        <v>58.0</v>
      </c>
      <c r="D666" s="12" t="s">
        <v>1186</v>
      </c>
      <c r="E666" s="12" t="s">
        <v>1187</v>
      </c>
      <c r="F666" s="13">
        <v>5.0</v>
      </c>
      <c r="G666" s="13">
        <v>1.0</v>
      </c>
      <c r="H666" s="13">
        <v>6.0</v>
      </c>
      <c r="I666" s="13" t="s">
        <v>35</v>
      </c>
      <c r="J666" s="13" t="s">
        <v>42</v>
      </c>
      <c r="K666" s="13" t="s">
        <v>43</v>
      </c>
      <c r="L666" s="13"/>
    </row>
    <row r="667">
      <c r="A667" s="13">
        <v>665.0</v>
      </c>
      <c r="B667" s="13">
        <v>117.0</v>
      </c>
      <c r="C667" s="13">
        <v>52.0</v>
      </c>
      <c r="D667" s="12" t="s">
        <v>1188</v>
      </c>
      <c r="E667" s="12" t="s">
        <v>1189</v>
      </c>
      <c r="F667" s="13">
        <v>5.0</v>
      </c>
      <c r="G667" s="13">
        <v>1.0</v>
      </c>
      <c r="H667" s="13">
        <v>1.0</v>
      </c>
      <c r="I667" s="13" t="s">
        <v>31</v>
      </c>
      <c r="J667" s="13" t="s">
        <v>32</v>
      </c>
      <c r="K667" s="13" t="s">
        <v>1113</v>
      </c>
      <c r="L667" s="13"/>
    </row>
    <row r="668">
      <c r="A668" s="13">
        <v>666.0</v>
      </c>
      <c r="B668" s="13">
        <v>252.0</v>
      </c>
      <c r="C668" s="13">
        <v>25.0</v>
      </c>
      <c r="D668" s="12" t="s">
        <v>1190</v>
      </c>
      <c r="E668" s="12" t="s">
        <v>1191</v>
      </c>
      <c r="F668" s="13">
        <v>5.0</v>
      </c>
      <c r="G668" s="13">
        <v>1.0</v>
      </c>
      <c r="H668" s="13">
        <v>1.0</v>
      </c>
      <c r="I668" s="13" t="s">
        <v>31</v>
      </c>
      <c r="J668" s="13" t="s">
        <v>32</v>
      </c>
      <c r="K668" s="13" t="s">
        <v>320</v>
      </c>
      <c r="L668" s="13"/>
    </row>
    <row r="669">
      <c r="A669" s="13">
        <v>667.0</v>
      </c>
      <c r="B669" s="13">
        <v>252.0</v>
      </c>
      <c r="C669" s="13">
        <v>35.0</v>
      </c>
      <c r="D669" s="12" t="s">
        <v>1192</v>
      </c>
      <c r="E669" s="12" t="s">
        <v>1193</v>
      </c>
      <c r="F669" s="13">
        <v>4.0</v>
      </c>
      <c r="G669" s="13">
        <v>1.0</v>
      </c>
      <c r="H669" s="13">
        <v>0.0</v>
      </c>
      <c r="I669" s="13" t="s">
        <v>31</v>
      </c>
      <c r="J669" s="13" t="s">
        <v>32</v>
      </c>
      <c r="K669" s="13" t="s">
        <v>320</v>
      </c>
      <c r="L669" s="13"/>
    </row>
    <row r="670">
      <c r="A670" s="13">
        <v>668.0</v>
      </c>
      <c r="B670" s="13">
        <v>634.0</v>
      </c>
      <c r="C670" s="13">
        <v>37.0</v>
      </c>
      <c r="D670" s="12" t="s">
        <v>1194</v>
      </c>
      <c r="E670" s="12" t="s">
        <v>1195</v>
      </c>
      <c r="F670" s="13">
        <v>4.0</v>
      </c>
      <c r="G670" s="13">
        <v>1.0</v>
      </c>
      <c r="H670" s="13">
        <v>2.0</v>
      </c>
      <c r="I670" s="13" t="s">
        <v>41</v>
      </c>
      <c r="J670" s="13" t="s">
        <v>32</v>
      </c>
      <c r="K670" s="13" t="s">
        <v>92</v>
      </c>
      <c r="L670" s="13"/>
    </row>
    <row r="671">
      <c r="A671" s="13">
        <v>669.0</v>
      </c>
      <c r="B671" s="13">
        <v>838.0</v>
      </c>
      <c r="C671" s="13">
        <v>29.0</v>
      </c>
      <c r="D671" s="12" t="s">
        <v>1196</v>
      </c>
      <c r="E671" s="12" t="s">
        <v>1197</v>
      </c>
      <c r="F671" s="13">
        <v>2.0</v>
      </c>
      <c r="G671" s="13">
        <v>0.0</v>
      </c>
      <c r="H671" s="13">
        <v>7.0</v>
      </c>
      <c r="I671" s="13" t="s">
        <v>35</v>
      </c>
      <c r="J671" s="13" t="s">
        <v>46</v>
      </c>
      <c r="K671" s="13" t="s">
        <v>47</v>
      </c>
      <c r="L671" s="13"/>
    </row>
    <row r="672">
      <c r="A672" s="13">
        <v>670.0</v>
      </c>
      <c r="B672" s="13">
        <v>1008.0</v>
      </c>
      <c r="C672" s="13">
        <v>29.0</v>
      </c>
      <c r="D672" s="12" t="s">
        <v>1198</v>
      </c>
      <c r="E672" s="12" t="s">
        <v>1199</v>
      </c>
      <c r="F672" s="13">
        <v>3.0</v>
      </c>
      <c r="G672" s="13">
        <v>0.0</v>
      </c>
      <c r="H672" s="13">
        <v>0.0</v>
      </c>
      <c r="I672" s="13" t="s">
        <v>35</v>
      </c>
      <c r="J672" s="13" t="s">
        <v>42</v>
      </c>
      <c r="K672" s="13" t="s">
        <v>98</v>
      </c>
      <c r="L672" s="13"/>
    </row>
    <row r="673">
      <c r="A673" s="13">
        <v>671.0</v>
      </c>
      <c r="B673" s="13">
        <v>1059.0</v>
      </c>
      <c r="C673" s="13">
        <v>47.0</v>
      </c>
      <c r="D673" s="12" t="s">
        <v>1200</v>
      </c>
      <c r="E673" s="12" t="s">
        <v>1201</v>
      </c>
      <c r="F673" s="13">
        <v>4.0</v>
      </c>
      <c r="G673" s="13">
        <v>1.0</v>
      </c>
      <c r="H673" s="13">
        <v>0.0</v>
      </c>
      <c r="I673" s="13" t="s">
        <v>35</v>
      </c>
      <c r="J673" s="13" t="s">
        <v>42</v>
      </c>
      <c r="K673" s="13" t="s">
        <v>43</v>
      </c>
      <c r="L673" s="13"/>
    </row>
    <row r="674">
      <c r="A674" s="13">
        <v>672.0</v>
      </c>
      <c r="B674" s="13">
        <v>838.0</v>
      </c>
      <c r="C674" s="13">
        <v>25.0</v>
      </c>
      <c r="D674" s="12"/>
      <c r="E674" s="12" t="s">
        <v>1202</v>
      </c>
      <c r="F674" s="13">
        <v>5.0</v>
      </c>
      <c r="G674" s="13">
        <v>1.0</v>
      </c>
      <c r="H674" s="13">
        <v>1.0</v>
      </c>
      <c r="I674" s="13" t="s">
        <v>35</v>
      </c>
      <c r="J674" s="13" t="s">
        <v>46</v>
      </c>
      <c r="K674" s="13" t="s">
        <v>47</v>
      </c>
      <c r="L674" s="13"/>
    </row>
    <row r="675">
      <c r="A675" s="13">
        <v>673.0</v>
      </c>
      <c r="B675" s="13">
        <v>634.0</v>
      </c>
      <c r="C675" s="13">
        <v>39.0</v>
      </c>
      <c r="D675" s="12" t="s">
        <v>1203</v>
      </c>
      <c r="E675" s="12" t="s">
        <v>1204</v>
      </c>
      <c r="F675" s="13">
        <v>5.0</v>
      </c>
      <c r="G675" s="13">
        <v>1.0</v>
      </c>
      <c r="H675" s="13">
        <v>0.0</v>
      </c>
      <c r="I675" s="13" t="s">
        <v>41</v>
      </c>
      <c r="J675" s="13" t="s">
        <v>32</v>
      </c>
      <c r="K675" s="13" t="s">
        <v>92</v>
      </c>
      <c r="L675" s="13"/>
    </row>
    <row r="676">
      <c r="A676" s="13">
        <v>674.0</v>
      </c>
      <c r="B676" s="13">
        <v>1059.0</v>
      </c>
      <c r="C676" s="13">
        <v>30.0</v>
      </c>
      <c r="D676" s="12" t="s">
        <v>984</v>
      </c>
      <c r="E676" s="12" t="s">
        <v>1205</v>
      </c>
      <c r="F676" s="13">
        <v>5.0</v>
      </c>
      <c r="G676" s="13">
        <v>1.0</v>
      </c>
      <c r="H676" s="13">
        <v>0.0</v>
      </c>
      <c r="I676" s="13" t="s">
        <v>35</v>
      </c>
      <c r="J676" s="13" t="s">
        <v>42</v>
      </c>
      <c r="K676" s="13" t="s">
        <v>43</v>
      </c>
      <c r="L676" s="13"/>
    </row>
    <row r="677">
      <c r="A677" s="13">
        <v>675.0</v>
      </c>
      <c r="B677" s="13">
        <v>1059.0</v>
      </c>
      <c r="C677" s="13">
        <v>34.0</v>
      </c>
      <c r="D677" s="12" t="s">
        <v>1206</v>
      </c>
      <c r="E677" s="12" t="s">
        <v>1207</v>
      </c>
      <c r="F677" s="13">
        <v>2.0</v>
      </c>
      <c r="G677" s="13">
        <v>0.0</v>
      </c>
      <c r="H677" s="13">
        <v>17.0</v>
      </c>
      <c r="I677" s="13" t="s">
        <v>35</v>
      </c>
      <c r="J677" s="13" t="s">
        <v>42</v>
      </c>
      <c r="K677" s="13" t="s">
        <v>43</v>
      </c>
      <c r="L677" s="13"/>
    </row>
    <row r="678">
      <c r="A678" s="13">
        <v>676.0</v>
      </c>
      <c r="B678" s="13">
        <v>1059.0</v>
      </c>
      <c r="C678" s="13">
        <v>60.0</v>
      </c>
      <c r="D678" s="12" t="s">
        <v>1208</v>
      </c>
      <c r="E678" s="12" t="s">
        <v>1209</v>
      </c>
      <c r="F678" s="13">
        <v>3.0</v>
      </c>
      <c r="G678" s="13">
        <v>0.0</v>
      </c>
      <c r="H678" s="13">
        <v>0.0</v>
      </c>
      <c r="I678" s="13" t="s">
        <v>35</v>
      </c>
      <c r="J678" s="13" t="s">
        <v>42</v>
      </c>
      <c r="K678" s="13" t="s">
        <v>43</v>
      </c>
      <c r="L678" s="13"/>
    </row>
    <row r="679">
      <c r="A679" s="13">
        <v>677.0</v>
      </c>
      <c r="B679" s="13">
        <v>1059.0</v>
      </c>
      <c r="C679" s="13">
        <v>45.0</v>
      </c>
      <c r="D679" s="12" t="s">
        <v>1210</v>
      </c>
      <c r="E679" s="12" t="s">
        <v>1211</v>
      </c>
      <c r="F679" s="13">
        <v>5.0</v>
      </c>
      <c r="G679" s="13">
        <v>1.0</v>
      </c>
      <c r="H679" s="13">
        <v>1.0</v>
      </c>
      <c r="I679" s="13" t="s">
        <v>35</v>
      </c>
      <c r="J679" s="13" t="s">
        <v>42</v>
      </c>
      <c r="K679" s="13" t="s">
        <v>43</v>
      </c>
      <c r="L679" s="13"/>
    </row>
    <row r="680">
      <c r="A680" s="13">
        <v>678.0</v>
      </c>
      <c r="B680" s="13">
        <v>1008.0</v>
      </c>
      <c r="C680" s="13">
        <v>55.0</v>
      </c>
      <c r="D680" s="12" t="s">
        <v>1212</v>
      </c>
      <c r="E680" s="12" t="s">
        <v>1213</v>
      </c>
      <c r="F680" s="13">
        <v>5.0</v>
      </c>
      <c r="G680" s="13">
        <v>1.0</v>
      </c>
      <c r="H680" s="13">
        <v>1.0</v>
      </c>
      <c r="I680" s="13" t="s">
        <v>35</v>
      </c>
      <c r="J680" s="13" t="s">
        <v>42</v>
      </c>
      <c r="K680" s="13" t="s">
        <v>98</v>
      </c>
      <c r="L680" s="13"/>
    </row>
    <row r="681">
      <c r="A681" s="13">
        <v>679.0</v>
      </c>
      <c r="B681" s="13">
        <v>117.0</v>
      </c>
      <c r="C681" s="13">
        <v>34.0</v>
      </c>
      <c r="D681" s="12" t="s">
        <v>1214</v>
      </c>
      <c r="E681" s="12" t="s">
        <v>1215</v>
      </c>
      <c r="F681" s="13">
        <v>4.0</v>
      </c>
      <c r="G681" s="13">
        <v>1.0</v>
      </c>
      <c r="H681" s="13">
        <v>0.0</v>
      </c>
      <c r="I681" s="13" t="s">
        <v>31</v>
      </c>
      <c r="J681" s="13" t="s">
        <v>32</v>
      </c>
      <c r="K681" s="13" t="s">
        <v>1113</v>
      </c>
      <c r="L681" s="13"/>
    </row>
    <row r="682">
      <c r="A682" s="13">
        <v>680.0</v>
      </c>
      <c r="B682" s="13">
        <v>886.0</v>
      </c>
      <c r="C682" s="13">
        <v>36.0</v>
      </c>
      <c r="D682" s="12"/>
      <c r="E682" s="12" t="s">
        <v>1216</v>
      </c>
      <c r="F682" s="13">
        <v>4.0</v>
      </c>
      <c r="G682" s="13">
        <v>1.0</v>
      </c>
      <c r="H682" s="13">
        <v>1.0</v>
      </c>
      <c r="I682" s="13" t="s">
        <v>35</v>
      </c>
      <c r="J682" s="13" t="s">
        <v>46</v>
      </c>
      <c r="K682" s="13" t="s">
        <v>52</v>
      </c>
      <c r="L682" s="13"/>
    </row>
    <row r="683">
      <c r="A683" s="13">
        <v>681.0</v>
      </c>
      <c r="B683" s="13">
        <v>1087.0</v>
      </c>
      <c r="C683" s="13">
        <v>62.0</v>
      </c>
      <c r="D683" s="12" t="s">
        <v>1217</v>
      </c>
      <c r="E683" s="12" t="s">
        <v>1218</v>
      </c>
      <c r="F683" s="13">
        <v>4.0</v>
      </c>
      <c r="G683" s="13">
        <v>1.0</v>
      </c>
      <c r="H683" s="13">
        <v>1.0</v>
      </c>
      <c r="I683" s="13" t="s">
        <v>35</v>
      </c>
      <c r="J683" s="13" t="s">
        <v>36</v>
      </c>
      <c r="K683" s="13" t="s">
        <v>36</v>
      </c>
      <c r="L683" s="13"/>
    </row>
    <row r="684">
      <c r="A684" s="13">
        <v>682.0</v>
      </c>
      <c r="B684" s="13">
        <v>873.0</v>
      </c>
      <c r="C684" s="13">
        <v>57.0</v>
      </c>
      <c r="D684" s="12"/>
      <c r="E684" s="12" t="s">
        <v>1219</v>
      </c>
      <c r="F684" s="13">
        <v>5.0</v>
      </c>
      <c r="G684" s="13">
        <v>1.0</v>
      </c>
      <c r="H684" s="13">
        <v>1.0</v>
      </c>
      <c r="I684" s="13" t="s">
        <v>35</v>
      </c>
      <c r="J684" s="13" t="s">
        <v>46</v>
      </c>
      <c r="K684" s="13" t="s">
        <v>52</v>
      </c>
      <c r="L684" s="13"/>
    </row>
    <row r="685">
      <c r="A685" s="13">
        <v>683.0</v>
      </c>
      <c r="B685" s="13">
        <v>1087.0</v>
      </c>
      <c r="C685" s="13">
        <v>23.0</v>
      </c>
      <c r="D685" s="12" t="s">
        <v>1220</v>
      </c>
      <c r="E685" s="12" t="s">
        <v>1221</v>
      </c>
      <c r="F685" s="13">
        <v>5.0</v>
      </c>
      <c r="G685" s="13">
        <v>1.0</v>
      </c>
      <c r="H685" s="13">
        <v>0.0</v>
      </c>
      <c r="I685" s="13" t="s">
        <v>35</v>
      </c>
      <c r="J685" s="13" t="s">
        <v>36</v>
      </c>
      <c r="K685" s="13" t="s">
        <v>36</v>
      </c>
      <c r="L685" s="13"/>
    </row>
    <row r="686">
      <c r="A686" s="13">
        <v>684.0</v>
      </c>
      <c r="B686" s="13">
        <v>886.0</v>
      </c>
      <c r="C686" s="13">
        <v>37.0</v>
      </c>
      <c r="D686" s="12"/>
      <c r="E686" s="12" t="s">
        <v>1222</v>
      </c>
      <c r="F686" s="13">
        <v>4.0</v>
      </c>
      <c r="G686" s="13">
        <v>1.0</v>
      </c>
      <c r="H686" s="13">
        <v>0.0</v>
      </c>
      <c r="I686" s="13" t="s">
        <v>35</v>
      </c>
      <c r="J686" s="13" t="s">
        <v>46</v>
      </c>
      <c r="K686" s="13" t="s">
        <v>52</v>
      </c>
      <c r="L686" s="13"/>
    </row>
    <row r="687">
      <c r="A687" s="13">
        <v>685.0</v>
      </c>
      <c r="B687" s="13">
        <v>745.0</v>
      </c>
      <c r="C687" s="13">
        <v>68.0</v>
      </c>
      <c r="D687" s="12"/>
      <c r="E687" s="12" t="s">
        <v>1223</v>
      </c>
      <c r="F687" s="13">
        <v>5.0</v>
      </c>
      <c r="G687" s="13">
        <v>1.0</v>
      </c>
      <c r="H687" s="13">
        <v>0.0</v>
      </c>
      <c r="I687" s="13" t="s">
        <v>31</v>
      </c>
      <c r="J687" s="13" t="s">
        <v>32</v>
      </c>
      <c r="K687" s="13" t="s">
        <v>1113</v>
      </c>
      <c r="L687" s="13"/>
    </row>
    <row r="688">
      <c r="A688" s="13">
        <v>686.0</v>
      </c>
      <c r="B688" s="13">
        <v>886.0</v>
      </c>
      <c r="C688" s="13">
        <v>58.0</v>
      </c>
      <c r="D688" s="12"/>
      <c r="E688" s="12"/>
      <c r="F688" s="13">
        <v>5.0</v>
      </c>
      <c r="G688" s="13">
        <v>1.0</v>
      </c>
      <c r="H688" s="13">
        <v>0.0</v>
      </c>
      <c r="I688" s="13" t="s">
        <v>35</v>
      </c>
      <c r="J688" s="13" t="s">
        <v>46</v>
      </c>
      <c r="K688" s="13" t="s">
        <v>52</v>
      </c>
      <c r="L688" s="13"/>
    </row>
    <row r="689">
      <c r="A689" s="13">
        <v>687.0</v>
      </c>
      <c r="B689" s="13">
        <v>937.0</v>
      </c>
      <c r="C689" s="13">
        <v>36.0</v>
      </c>
      <c r="D689" s="12" t="s">
        <v>1224</v>
      </c>
      <c r="E689" s="12" t="s">
        <v>1225</v>
      </c>
      <c r="F689" s="13">
        <v>3.0</v>
      </c>
      <c r="G689" s="13">
        <v>0.0</v>
      </c>
      <c r="H689" s="13">
        <v>1.0</v>
      </c>
      <c r="I689" s="13" t="s">
        <v>35</v>
      </c>
      <c r="J689" s="13" t="s">
        <v>46</v>
      </c>
      <c r="K689" s="13" t="s">
        <v>95</v>
      </c>
      <c r="L689" s="13"/>
    </row>
    <row r="690">
      <c r="A690" s="13">
        <v>688.0</v>
      </c>
      <c r="B690" s="13">
        <v>1087.0</v>
      </c>
      <c r="C690" s="13">
        <v>52.0</v>
      </c>
      <c r="D690" s="12" t="s">
        <v>1226</v>
      </c>
      <c r="E690" s="12" t="s">
        <v>1227</v>
      </c>
      <c r="F690" s="13">
        <v>5.0</v>
      </c>
      <c r="G690" s="13">
        <v>1.0</v>
      </c>
      <c r="H690" s="13">
        <v>84.0</v>
      </c>
      <c r="I690" s="13" t="s">
        <v>35</v>
      </c>
      <c r="J690" s="13" t="s">
        <v>36</v>
      </c>
      <c r="K690" s="13" t="s">
        <v>36</v>
      </c>
      <c r="L690" s="13"/>
    </row>
    <row r="691">
      <c r="A691" s="13">
        <v>689.0</v>
      </c>
      <c r="B691" s="13">
        <v>937.0</v>
      </c>
      <c r="C691" s="13">
        <v>39.0</v>
      </c>
      <c r="D691" s="12" t="s">
        <v>1228</v>
      </c>
      <c r="E691" s="12" t="s">
        <v>1229</v>
      </c>
      <c r="F691" s="13">
        <v>5.0</v>
      </c>
      <c r="G691" s="13">
        <v>1.0</v>
      </c>
      <c r="H691" s="13">
        <v>0.0</v>
      </c>
      <c r="I691" s="13" t="s">
        <v>35</v>
      </c>
      <c r="J691" s="13" t="s">
        <v>46</v>
      </c>
      <c r="K691" s="13" t="s">
        <v>95</v>
      </c>
      <c r="L691" s="13"/>
    </row>
    <row r="692">
      <c r="A692" s="13">
        <v>690.0</v>
      </c>
      <c r="B692" s="13">
        <v>937.0</v>
      </c>
      <c r="C692" s="13">
        <v>33.0</v>
      </c>
      <c r="D692" s="12" t="s">
        <v>1230</v>
      </c>
      <c r="E692" s="12" t="s">
        <v>1231</v>
      </c>
      <c r="F692" s="13">
        <v>5.0</v>
      </c>
      <c r="G692" s="13">
        <v>1.0</v>
      </c>
      <c r="H692" s="13">
        <v>0.0</v>
      </c>
      <c r="I692" s="13" t="s">
        <v>35</v>
      </c>
      <c r="J692" s="13" t="s">
        <v>46</v>
      </c>
      <c r="K692" s="13" t="s">
        <v>95</v>
      </c>
      <c r="L692" s="13"/>
    </row>
    <row r="693">
      <c r="A693" s="13">
        <v>691.0</v>
      </c>
      <c r="B693" s="13">
        <v>1059.0</v>
      </c>
      <c r="C693" s="13">
        <v>48.0</v>
      </c>
      <c r="D693" s="12" t="s">
        <v>1232</v>
      </c>
      <c r="E693" s="12" t="s">
        <v>1233</v>
      </c>
      <c r="F693" s="13">
        <v>5.0</v>
      </c>
      <c r="G693" s="13">
        <v>1.0</v>
      </c>
      <c r="H693" s="13">
        <v>2.0</v>
      </c>
      <c r="I693" s="13" t="s">
        <v>35</v>
      </c>
      <c r="J693" s="13" t="s">
        <v>42</v>
      </c>
      <c r="K693" s="13" t="s">
        <v>43</v>
      </c>
      <c r="L693" s="13"/>
    </row>
    <row r="694">
      <c r="A694" s="13">
        <v>692.0</v>
      </c>
      <c r="B694" s="13">
        <v>1110.0</v>
      </c>
      <c r="C694" s="13">
        <v>23.0</v>
      </c>
      <c r="D694" s="12" t="s">
        <v>1234</v>
      </c>
      <c r="E694" s="12" t="s">
        <v>1235</v>
      </c>
      <c r="F694" s="13">
        <v>1.0</v>
      </c>
      <c r="G694" s="13">
        <v>0.0</v>
      </c>
      <c r="H694" s="13">
        <v>2.0</v>
      </c>
      <c r="I694" s="13" t="s">
        <v>41</v>
      </c>
      <c r="J694" s="13" t="s">
        <v>36</v>
      </c>
      <c r="K694" s="13" t="s">
        <v>36</v>
      </c>
      <c r="L694" s="13"/>
    </row>
    <row r="695">
      <c r="A695" s="13">
        <v>693.0</v>
      </c>
      <c r="B695" s="13">
        <v>1059.0</v>
      </c>
      <c r="C695" s="13">
        <v>38.0</v>
      </c>
      <c r="D695" s="12" t="s">
        <v>1236</v>
      </c>
      <c r="E695" s="12" t="s">
        <v>1237</v>
      </c>
      <c r="F695" s="13">
        <v>5.0</v>
      </c>
      <c r="G695" s="13">
        <v>1.0</v>
      </c>
      <c r="H695" s="13">
        <v>1.0</v>
      </c>
      <c r="I695" s="13" t="s">
        <v>35</v>
      </c>
      <c r="J695" s="13" t="s">
        <v>42</v>
      </c>
      <c r="K695" s="13" t="s">
        <v>43</v>
      </c>
      <c r="L695" s="13"/>
    </row>
    <row r="696">
      <c r="A696" s="13">
        <v>694.0</v>
      </c>
      <c r="B696" s="13">
        <v>1110.0</v>
      </c>
      <c r="C696" s="13">
        <v>24.0</v>
      </c>
      <c r="D696" s="12" t="s">
        <v>1238</v>
      </c>
      <c r="E696" s="12" t="s">
        <v>1239</v>
      </c>
      <c r="F696" s="13">
        <v>4.0</v>
      </c>
      <c r="G696" s="13">
        <v>1.0</v>
      </c>
      <c r="H696" s="13">
        <v>0.0</v>
      </c>
      <c r="I696" s="13" t="s">
        <v>41</v>
      </c>
      <c r="J696" s="13" t="s">
        <v>36</v>
      </c>
      <c r="K696" s="13" t="s">
        <v>36</v>
      </c>
      <c r="L696" s="13"/>
    </row>
    <row r="697">
      <c r="A697" s="13">
        <v>695.0</v>
      </c>
      <c r="B697" s="13">
        <v>873.0</v>
      </c>
      <c r="C697" s="13">
        <v>38.0</v>
      </c>
      <c r="D697" s="12" t="s">
        <v>1240</v>
      </c>
      <c r="E697" s="12" t="s">
        <v>1241</v>
      </c>
      <c r="F697" s="13">
        <v>3.0</v>
      </c>
      <c r="G697" s="13">
        <v>0.0</v>
      </c>
      <c r="H697" s="13">
        <v>1.0</v>
      </c>
      <c r="I697" s="13" t="s">
        <v>35</v>
      </c>
      <c r="J697" s="13" t="s">
        <v>46</v>
      </c>
      <c r="K697" s="13" t="s">
        <v>52</v>
      </c>
      <c r="L697" s="13"/>
    </row>
    <row r="698">
      <c r="A698" s="13">
        <v>696.0</v>
      </c>
      <c r="B698" s="13">
        <v>886.0</v>
      </c>
      <c r="C698" s="13">
        <v>52.0</v>
      </c>
      <c r="D698" s="12"/>
      <c r="E698" s="12" t="s">
        <v>1242</v>
      </c>
      <c r="F698" s="13">
        <v>5.0</v>
      </c>
      <c r="G698" s="13">
        <v>1.0</v>
      </c>
      <c r="H698" s="13">
        <v>0.0</v>
      </c>
      <c r="I698" s="13" t="s">
        <v>35</v>
      </c>
      <c r="J698" s="13" t="s">
        <v>46</v>
      </c>
      <c r="K698" s="13" t="s">
        <v>52</v>
      </c>
      <c r="L698" s="13"/>
    </row>
    <row r="699">
      <c r="A699" s="13">
        <v>697.0</v>
      </c>
      <c r="B699" s="13">
        <v>1087.0</v>
      </c>
      <c r="C699" s="13">
        <v>36.0</v>
      </c>
      <c r="D699" s="12" t="s">
        <v>1243</v>
      </c>
      <c r="E699" s="12" t="s">
        <v>1244</v>
      </c>
      <c r="F699" s="13">
        <v>5.0</v>
      </c>
      <c r="G699" s="13">
        <v>1.0</v>
      </c>
      <c r="H699" s="13">
        <v>12.0</v>
      </c>
      <c r="I699" s="13" t="s">
        <v>35</v>
      </c>
      <c r="J699" s="13" t="s">
        <v>36</v>
      </c>
      <c r="K699" s="13" t="s">
        <v>36</v>
      </c>
      <c r="L699" s="13"/>
    </row>
    <row r="700">
      <c r="A700" s="13">
        <v>698.0</v>
      </c>
      <c r="B700" s="13">
        <v>937.0</v>
      </c>
      <c r="C700" s="13">
        <v>26.0</v>
      </c>
      <c r="D700" s="12" t="s">
        <v>1245</v>
      </c>
      <c r="E700" s="12" t="s">
        <v>1246</v>
      </c>
      <c r="F700" s="13">
        <v>5.0</v>
      </c>
      <c r="G700" s="13">
        <v>1.0</v>
      </c>
      <c r="H700" s="13">
        <v>1.0</v>
      </c>
      <c r="I700" s="13" t="s">
        <v>35</v>
      </c>
      <c r="J700" s="13" t="s">
        <v>46</v>
      </c>
      <c r="K700" s="13" t="s">
        <v>95</v>
      </c>
      <c r="L700" s="13"/>
    </row>
    <row r="701">
      <c r="A701" s="13">
        <v>699.0</v>
      </c>
      <c r="B701" s="13">
        <v>1110.0</v>
      </c>
      <c r="C701" s="13">
        <v>35.0</v>
      </c>
      <c r="D701" s="12" t="s">
        <v>377</v>
      </c>
      <c r="E701" s="12" t="s">
        <v>1247</v>
      </c>
      <c r="F701" s="13">
        <v>2.0</v>
      </c>
      <c r="G701" s="13">
        <v>0.0</v>
      </c>
      <c r="H701" s="13">
        <v>11.0</v>
      </c>
      <c r="I701" s="13" t="s">
        <v>35</v>
      </c>
      <c r="J701" s="13" t="s">
        <v>36</v>
      </c>
      <c r="K701" s="13" t="s">
        <v>36</v>
      </c>
      <c r="L701" s="13"/>
    </row>
    <row r="702">
      <c r="A702" s="13">
        <v>700.0</v>
      </c>
      <c r="B702" s="13">
        <v>886.0</v>
      </c>
      <c r="C702" s="13">
        <v>48.0</v>
      </c>
      <c r="D702" s="12" t="s">
        <v>1248</v>
      </c>
      <c r="E702" s="12" t="s">
        <v>1249</v>
      </c>
      <c r="F702" s="13">
        <v>5.0</v>
      </c>
      <c r="G702" s="13">
        <v>1.0</v>
      </c>
      <c r="H702" s="13">
        <v>9.0</v>
      </c>
      <c r="I702" s="13" t="s">
        <v>35</v>
      </c>
      <c r="J702" s="13" t="s">
        <v>46</v>
      </c>
      <c r="K702" s="13" t="s">
        <v>52</v>
      </c>
      <c r="L702" s="13"/>
    </row>
    <row r="703">
      <c r="A703" s="13">
        <v>701.0</v>
      </c>
      <c r="B703" s="13">
        <v>937.0</v>
      </c>
      <c r="C703" s="13">
        <v>59.0</v>
      </c>
      <c r="D703" s="12" t="s">
        <v>1250</v>
      </c>
      <c r="E703" s="12" t="s">
        <v>1251</v>
      </c>
      <c r="F703" s="13">
        <v>3.0</v>
      </c>
      <c r="G703" s="13">
        <v>1.0</v>
      </c>
      <c r="H703" s="13">
        <v>14.0</v>
      </c>
      <c r="I703" s="13" t="s">
        <v>35</v>
      </c>
      <c r="J703" s="13" t="s">
        <v>46</v>
      </c>
      <c r="K703" s="13" t="s">
        <v>95</v>
      </c>
      <c r="L703" s="13"/>
    </row>
    <row r="704">
      <c r="A704" s="13">
        <v>702.0</v>
      </c>
      <c r="B704" s="13">
        <v>886.0</v>
      </c>
      <c r="C704" s="13">
        <v>46.0</v>
      </c>
      <c r="D704" s="12" t="s">
        <v>1252</v>
      </c>
      <c r="E704" s="12" t="s">
        <v>1253</v>
      </c>
      <c r="F704" s="13">
        <v>4.0</v>
      </c>
      <c r="G704" s="13">
        <v>1.0</v>
      </c>
      <c r="H704" s="13">
        <v>0.0</v>
      </c>
      <c r="I704" s="13" t="s">
        <v>35</v>
      </c>
      <c r="J704" s="13" t="s">
        <v>46</v>
      </c>
      <c r="K704" s="13" t="s">
        <v>52</v>
      </c>
      <c r="L704" s="13"/>
    </row>
    <row r="705">
      <c r="A705" s="13">
        <v>703.0</v>
      </c>
      <c r="B705" s="13">
        <v>1137.0</v>
      </c>
      <c r="C705" s="13">
        <v>49.0</v>
      </c>
      <c r="D705" s="12" t="s">
        <v>1254</v>
      </c>
      <c r="E705" s="12" t="s">
        <v>1255</v>
      </c>
      <c r="F705" s="13">
        <v>5.0</v>
      </c>
      <c r="G705" s="13">
        <v>1.0</v>
      </c>
      <c r="H705" s="13">
        <v>7.0</v>
      </c>
      <c r="I705" s="13" t="s">
        <v>35</v>
      </c>
      <c r="J705" s="13" t="s">
        <v>374</v>
      </c>
      <c r="K705" s="13" t="s">
        <v>374</v>
      </c>
      <c r="L705" s="13"/>
    </row>
    <row r="706">
      <c r="A706" s="13">
        <v>704.0</v>
      </c>
      <c r="B706" s="13">
        <v>1165.0</v>
      </c>
      <c r="C706" s="13">
        <v>31.0</v>
      </c>
      <c r="D706" s="12" t="s">
        <v>1256</v>
      </c>
      <c r="E706" s="12" t="s">
        <v>1257</v>
      </c>
      <c r="F706" s="13">
        <v>3.0</v>
      </c>
      <c r="G706" s="13">
        <v>0.0</v>
      </c>
      <c r="H706" s="13">
        <v>0.0</v>
      </c>
      <c r="I706" s="13" t="s">
        <v>31</v>
      </c>
      <c r="J706" s="13" t="s">
        <v>32</v>
      </c>
      <c r="K706" s="13" t="s">
        <v>320</v>
      </c>
      <c r="L706" s="13"/>
    </row>
    <row r="707">
      <c r="A707" s="13">
        <v>705.0</v>
      </c>
      <c r="B707" s="13">
        <v>937.0</v>
      </c>
      <c r="C707" s="13">
        <v>29.0</v>
      </c>
      <c r="D707" s="12" t="s">
        <v>1258</v>
      </c>
      <c r="E707" s="12" t="s">
        <v>1259</v>
      </c>
      <c r="F707" s="13">
        <v>5.0</v>
      </c>
      <c r="G707" s="13">
        <v>1.0</v>
      </c>
      <c r="H707" s="13">
        <v>0.0</v>
      </c>
      <c r="I707" s="13" t="s">
        <v>35</v>
      </c>
      <c r="J707" s="13" t="s">
        <v>46</v>
      </c>
      <c r="K707" s="13" t="s">
        <v>95</v>
      </c>
      <c r="L707" s="13"/>
    </row>
    <row r="708">
      <c r="A708" s="13">
        <v>706.0</v>
      </c>
      <c r="B708" s="13">
        <v>1110.0</v>
      </c>
      <c r="C708" s="13">
        <v>45.0</v>
      </c>
      <c r="D708" s="12" t="s">
        <v>1260</v>
      </c>
      <c r="E708" s="12" t="s">
        <v>1261</v>
      </c>
      <c r="F708" s="13">
        <v>2.0</v>
      </c>
      <c r="G708" s="13">
        <v>0.0</v>
      </c>
      <c r="H708" s="13">
        <v>27.0</v>
      </c>
      <c r="I708" s="13" t="s">
        <v>35</v>
      </c>
      <c r="J708" s="13" t="s">
        <v>36</v>
      </c>
      <c r="K708" s="13" t="s">
        <v>36</v>
      </c>
      <c r="L708" s="13"/>
    </row>
    <row r="709">
      <c r="A709" s="13">
        <v>707.0</v>
      </c>
      <c r="B709" s="13">
        <v>1087.0</v>
      </c>
      <c r="C709" s="13">
        <v>32.0</v>
      </c>
      <c r="D709" s="12"/>
      <c r="E709" s="12"/>
      <c r="F709" s="13">
        <v>5.0</v>
      </c>
      <c r="G709" s="13">
        <v>1.0</v>
      </c>
      <c r="H709" s="13">
        <v>0.0</v>
      </c>
      <c r="I709" s="13" t="s">
        <v>35</v>
      </c>
      <c r="J709" s="13" t="s">
        <v>36</v>
      </c>
      <c r="K709" s="13" t="s">
        <v>36</v>
      </c>
      <c r="L709" s="13"/>
    </row>
    <row r="710">
      <c r="A710" s="13">
        <v>708.0</v>
      </c>
      <c r="B710" s="13">
        <v>1059.0</v>
      </c>
      <c r="C710" s="13">
        <v>40.0</v>
      </c>
      <c r="D710" s="12" t="s">
        <v>106</v>
      </c>
      <c r="E710" s="12" t="s">
        <v>1262</v>
      </c>
      <c r="F710" s="13">
        <v>5.0</v>
      </c>
      <c r="G710" s="13">
        <v>1.0</v>
      </c>
      <c r="H710" s="13">
        <v>14.0</v>
      </c>
      <c r="I710" s="13" t="s">
        <v>35</v>
      </c>
      <c r="J710" s="13" t="s">
        <v>42</v>
      </c>
      <c r="K710" s="13" t="s">
        <v>43</v>
      </c>
      <c r="L710" s="13"/>
    </row>
    <row r="711">
      <c r="A711" s="13">
        <v>709.0</v>
      </c>
      <c r="B711" s="13">
        <v>1137.0</v>
      </c>
      <c r="C711" s="13">
        <v>69.0</v>
      </c>
      <c r="D711" s="12" t="s">
        <v>1263</v>
      </c>
      <c r="E711" s="12" t="s">
        <v>1264</v>
      </c>
      <c r="F711" s="13">
        <v>5.0</v>
      </c>
      <c r="G711" s="13">
        <v>1.0</v>
      </c>
      <c r="H711" s="13">
        <v>1.0</v>
      </c>
      <c r="I711" s="13" t="s">
        <v>35</v>
      </c>
      <c r="J711" s="13" t="s">
        <v>374</v>
      </c>
      <c r="K711" s="13" t="s">
        <v>374</v>
      </c>
      <c r="L711" s="13"/>
    </row>
    <row r="712">
      <c r="A712" s="13">
        <v>710.0</v>
      </c>
      <c r="B712" s="13">
        <v>745.0</v>
      </c>
      <c r="C712" s="13">
        <v>28.0</v>
      </c>
      <c r="D712" s="12" t="s">
        <v>1265</v>
      </c>
      <c r="E712" s="12" t="s">
        <v>1266</v>
      </c>
      <c r="F712" s="13">
        <v>5.0</v>
      </c>
      <c r="G712" s="13">
        <v>1.0</v>
      </c>
      <c r="H712" s="13">
        <v>2.0</v>
      </c>
      <c r="I712" s="13" t="s">
        <v>31</v>
      </c>
      <c r="J712" s="13" t="s">
        <v>32</v>
      </c>
      <c r="K712" s="13" t="s">
        <v>1113</v>
      </c>
      <c r="L712" s="13"/>
    </row>
    <row r="713">
      <c r="A713" s="13">
        <v>711.0</v>
      </c>
      <c r="B713" s="13">
        <v>937.0</v>
      </c>
      <c r="C713" s="13">
        <v>74.0</v>
      </c>
      <c r="D713" s="12" t="s">
        <v>1267</v>
      </c>
      <c r="E713" s="12" t="s">
        <v>1268</v>
      </c>
      <c r="F713" s="13">
        <v>4.0</v>
      </c>
      <c r="G713" s="13">
        <v>1.0</v>
      </c>
      <c r="H713" s="13">
        <v>1.0</v>
      </c>
      <c r="I713" s="13" t="s">
        <v>35</v>
      </c>
      <c r="J713" s="13" t="s">
        <v>46</v>
      </c>
      <c r="K713" s="13" t="s">
        <v>95</v>
      </c>
      <c r="L713" s="13"/>
    </row>
    <row r="714">
      <c r="A714" s="13">
        <v>712.0</v>
      </c>
      <c r="B714" s="13">
        <v>1110.0</v>
      </c>
      <c r="C714" s="13">
        <v>48.0</v>
      </c>
      <c r="D714" s="12" t="s">
        <v>1269</v>
      </c>
      <c r="E714" s="12" t="s">
        <v>1270</v>
      </c>
      <c r="F714" s="13">
        <v>4.0</v>
      </c>
      <c r="G714" s="13">
        <v>1.0</v>
      </c>
      <c r="H714" s="13">
        <v>2.0</v>
      </c>
      <c r="I714" s="13" t="s">
        <v>35</v>
      </c>
      <c r="J714" s="13" t="s">
        <v>36</v>
      </c>
      <c r="K714" s="13" t="s">
        <v>36</v>
      </c>
      <c r="L714" s="13"/>
    </row>
    <row r="715">
      <c r="A715" s="13">
        <v>713.0</v>
      </c>
      <c r="B715" s="13">
        <v>1110.0</v>
      </c>
      <c r="C715" s="13">
        <v>35.0</v>
      </c>
      <c r="D715" s="12" t="s">
        <v>1271</v>
      </c>
      <c r="E715" s="12" t="s">
        <v>1272</v>
      </c>
      <c r="F715" s="13">
        <v>4.0</v>
      </c>
      <c r="G715" s="13">
        <v>1.0</v>
      </c>
      <c r="H715" s="13">
        <v>0.0</v>
      </c>
      <c r="I715" s="13" t="s">
        <v>35</v>
      </c>
      <c r="J715" s="13" t="s">
        <v>36</v>
      </c>
      <c r="K715" s="13" t="s">
        <v>36</v>
      </c>
      <c r="L715" s="13"/>
    </row>
    <row r="716">
      <c r="A716" s="13">
        <v>714.0</v>
      </c>
      <c r="B716" s="13">
        <v>886.0</v>
      </c>
      <c r="C716" s="13">
        <v>50.0</v>
      </c>
      <c r="D716" s="12"/>
      <c r="E716" s="12" t="s">
        <v>1273</v>
      </c>
      <c r="F716" s="13">
        <v>5.0</v>
      </c>
      <c r="G716" s="13">
        <v>1.0</v>
      </c>
      <c r="H716" s="13">
        <v>0.0</v>
      </c>
      <c r="I716" s="13" t="s">
        <v>41</v>
      </c>
      <c r="J716" s="13" t="s">
        <v>46</v>
      </c>
      <c r="K716" s="13" t="s">
        <v>52</v>
      </c>
      <c r="L716" s="13"/>
    </row>
    <row r="717">
      <c r="A717" s="13">
        <v>715.0</v>
      </c>
      <c r="B717" s="13">
        <v>937.0</v>
      </c>
      <c r="C717" s="13">
        <v>38.0</v>
      </c>
      <c r="D717" s="12" t="s">
        <v>139</v>
      </c>
      <c r="E717" s="12" t="s">
        <v>1274</v>
      </c>
      <c r="F717" s="13">
        <v>5.0</v>
      </c>
      <c r="G717" s="13">
        <v>1.0</v>
      </c>
      <c r="H717" s="13">
        <v>1.0</v>
      </c>
      <c r="I717" s="13" t="s">
        <v>35</v>
      </c>
      <c r="J717" s="13" t="s">
        <v>46</v>
      </c>
      <c r="K717" s="13" t="s">
        <v>95</v>
      </c>
      <c r="L717" s="13"/>
    </row>
    <row r="718">
      <c r="A718" s="13">
        <v>716.0</v>
      </c>
      <c r="B718" s="13">
        <v>886.0</v>
      </c>
      <c r="C718" s="13">
        <v>42.0</v>
      </c>
      <c r="D718" s="12" t="s">
        <v>1275</v>
      </c>
      <c r="E718" s="12" t="s">
        <v>1276</v>
      </c>
      <c r="F718" s="13">
        <v>5.0</v>
      </c>
      <c r="G718" s="13">
        <v>1.0</v>
      </c>
      <c r="H718" s="13">
        <v>0.0</v>
      </c>
      <c r="I718" s="13" t="s">
        <v>41</v>
      </c>
      <c r="J718" s="13" t="s">
        <v>46</v>
      </c>
      <c r="K718" s="13" t="s">
        <v>52</v>
      </c>
      <c r="L718" s="13"/>
    </row>
    <row r="719">
      <c r="A719" s="13">
        <v>717.0</v>
      </c>
      <c r="B719" s="13">
        <v>937.0</v>
      </c>
      <c r="C719" s="13">
        <v>45.0</v>
      </c>
      <c r="D719" s="12" t="s">
        <v>1277</v>
      </c>
      <c r="E719" s="12" t="s">
        <v>1278</v>
      </c>
      <c r="F719" s="13">
        <v>5.0</v>
      </c>
      <c r="G719" s="13">
        <v>1.0</v>
      </c>
      <c r="H719" s="13">
        <v>8.0</v>
      </c>
      <c r="I719" s="13" t="s">
        <v>35</v>
      </c>
      <c r="J719" s="13" t="s">
        <v>46</v>
      </c>
      <c r="K719" s="13" t="s">
        <v>95</v>
      </c>
      <c r="L719" s="13"/>
    </row>
    <row r="720">
      <c r="A720" s="13">
        <v>718.0</v>
      </c>
      <c r="B720" s="13">
        <v>937.0</v>
      </c>
      <c r="C720" s="13">
        <v>38.0</v>
      </c>
      <c r="D720" s="12" t="s">
        <v>1279</v>
      </c>
      <c r="E720" s="12" t="s">
        <v>1280</v>
      </c>
      <c r="F720" s="13">
        <v>5.0</v>
      </c>
      <c r="G720" s="13">
        <v>1.0</v>
      </c>
      <c r="H720" s="13">
        <v>0.0</v>
      </c>
      <c r="I720" s="13" t="s">
        <v>35</v>
      </c>
      <c r="J720" s="13" t="s">
        <v>46</v>
      </c>
      <c r="K720" s="13" t="s">
        <v>95</v>
      </c>
      <c r="L720" s="13"/>
    </row>
    <row r="721">
      <c r="A721" s="13">
        <v>719.0</v>
      </c>
      <c r="B721" s="13">
        <v>873.0</v>
      </c>
      <c r="C721" s="13">
        <v>51.0</v>
      </c>
      <c r="D721" s="12" t="s">
        <v>1281</v>
      </c>
      <c r="E721" s="12" t="s">
        <v>1282</v>
      </c>
      <c r="F721" s="13">
        <v>5.0</v>
      </c>
      <c r="G721" s="13">
        <v>1.0</v>
      </c>
      <c r="H721" s="13">
        <v>1.0</v>
      </c>
      <c r="I721" s="13" t="s">
        <v>35</v>
      </c>
      <c r="J721" s="13" t="s">
        <v>46</v>
      </c>
      <c r="K721" s="13" t="s">
        <v>52</v>
      </c>
      <c r="L721" s="13"/>
    </row>
    <row r="722">
      <c r="A722" s="13">
        <v>720.0</v>
      </c>
      <c r="B722" s="13">
        <v>937.0</v>
      </c>
      <c r="C722" s="13">
        <v>38.0</v>
      </c>
      <c r="D722" s="12" t="s">
        <v>1283</v>
      </c>
      <c r="E722" s="12" t="s">
        <v>1284</v>
      </c>
      <c r="F722" s="13">
        <v>5.0</v>
      </c>
      <c r="G722" s="13">
        <v>1.0</v>
      </c>
      <c r="H722" s="13">
        <v>0.0</v>
      </c>
      <c r="I722" s="13" t="s">
        <v>35</v>
      </c>
      <c r="J722" s="13" t="s">
        <v>46</v>
      </c>
      <c r="K722" s="13" t="s">
        <v>95</v>
      </c>
      <c r="L722" s="13"/>
    </row>
    <row r="723">
      <c r="A723" s="13">
        <v>721.0</v>
      </c>
      <c r="B723" s="13">
        <v>886.0</v>
      </c>
      <c r="C723" s="13">
        <v>46.0</v>
      </c>
      <c r="D723" s="12" t="s">
        <v>1285</v>
      </c>
      <c r="E723" s="12" t="s">
        <v>1286</v>
      </c>
      <c r="F723" s="13">
        <v>5.0</v>
      </c>
      <c r="G723" s="13">
        <v>1.0</v>
      </c>
      <c r="H723" s="13">
        <v>2.0</v>
      </c>
      <c r="I723" s="13" t="s">
        <v>41</v>
      </c>
      <c r="J723" s="13" t="s">
        <v>46</v>
      </c>
      <c r="K723" s="13" t="s">
        <v>52</v>
      </c>
      <c r="L723" s="13"/>
    </row>
    <row r="724">
      <c r="A724" s="13">
        <v>722.0</v>
      </c>
      <c r="B724" s="13">
        <v>873.0</v>
      </c>
      <c r="C724" s="13">
        <v>30.0</v>
      </c>
      <c r="D724" s="12" t="s">
        <v>1287</v>
      </c>
      <c r="E724" s="12" t="s">
        <v>1288</v>
      </c>
      <c r="F724" s="13">
        <v>5.0</v>
      </c>
      <c r="G724" s="13">
        <v>1.0</v>
      </c>
      <c r="H724" s="13">
        <v>0.0</v>
      </c>
      <c r="I724" s="13" t="s">
        <v>35</v>
      </c>
      <c r="J724" s="13" t="s">
        <v>46</v>
      </c>
      <c r="K724" s="13" t="s">
        <v>52</v>
      </c>
      <c r="L724" s="13"/>
    </row>
    <row r="725">
      <c r="A725" s="13">
        <v>723.0</v>
      </c>
      <c r="B725" s="13">
        <v>886.0</v>
      </c>
      <c r="C725" s="13">
        <v>45.0</v>
      </c>
      <c r="D725" s="12" t="s">
        <v>1289</v>
      </c>
      <c r="E725" s="12" t="s">
        <v>1290</v>
      </c>
      <c r="F725" s="13">
        <v>5.0</v>
      </c>
      <c r="G725" s="13">
        <v>1.0</v>
      </c>
      <c r="H725" s="13">
        <v>43.0</v>
      </c>
      <c r="I725" s="13" t="s">
        <v>41</v>
      </c>
      <c r="J725" s="13" t="s">
        <v>46</v>
      </c>
      <c r="K725" s="13" t="s">
        <v>52</v>
      </c>
      <c r="L725" s="13"/>
    </row>
    <row r="726">
      <c r="A726" s="13">
        <v>724.0</v>
      </c>
      <c r="B726" s="13">
        <v>245.0</v>
      </c>
      <c r="C726" s="13">
        <v>31.0</v>
      </c>
      <c r="D726" s="12" t="s">
        <v>139</v>
      </c>
      <c r="E726" s="12" t="s">
        <v>1291</v>
      </c>
      <c r="F726" s="13">
        <v>5.0</v>
      </c>
      <c r="G726" s="13">
        <v>1.0</v>
      </c>
      <c r="H726" s="13">
        <v>1.0</v>
      </c>
      <c r="I726" s="13" t="s">
        <v>31</v>
      </c>
      <c r="J726" s="13" t="s">
        <v>32</v>
      </c>
      <c r="K726" s="13" t="s">
        <v>1292</v>
      </c>
      <c r="L726" s="13"/>
    </row>
    <row r="727">
      <c r="A727" s="13">
        <v>725.0</v>
      </c>
      <c r="B727" s="13">
        <v>886.0</v>
      </c>
      <c r="C727" s="13">
        <v>36.0</v>
      </c>
      <c r="D727" s="12" t="s">
        <v>524</v>
      </c>
      <c r="E727" s="12" t="s">
        <v>1293</v>
      </c>
      <c r="F727" s="13">
        <v>5.0</v>
      </c>
      <c r="G727" s="13">
        <v>1.0</v>
      </c>
      <c r="H727" s="13">
        <v>1.0</v>
      </c>
      <c r="I727" s="13" t="s">
        <v>41</v>
      </c>
      <c r="J727" s="13" t="s">
        <v>46</v>
      </c>
      <c r="K727" s="13" t="s">
        <v>52</v>
      </c>
      <c r="L727" s="13"/>
    </row>
    <row r="728">
      <c r="A728" s="13">
        <v>726.0</v>
      </c>
      <c r="B728" s="13">
        <v>886.0</v>
      </c>
      <c r="C728" s="13">
        <v>49.0</v>
      </c>
      <c r="D728" s="12" t="s">
        <v>1294</v>
      </c>
      <c r="E728" s="12" t="s">
        <v>1295</v>
      </c>
      <c r="F728" s="13">
        <v>4.0</v>
      </c>
      <c r="G728" s="13">
        <v>1.0</v>
      </c>
      <c r="H728" s="13">
        <v>0.0</v>
      </c>
      <c r="I728" s="13" t="s">
        <v>41</v>
      </c>
      <c r="J728" s="13" t="s">
        <v>46</v>
      </c>
      <c r="K728" s="13" t="s">
        <v>52</v>
      </c>
      <c r="L728" s="13"/>
    </row>
    <row r="729">
      <c r="A729" s="13">
        <v>727.0</v>
      </c>
      <c r="B729" s="13">
        <v>1087.0</v>
      </c>
      <c r="C729" s="13">
        <v>39.0</v>
      </c>
      <c r="D729" s="12" t="s">
        <v>1296</v>
      </c>
      <c r="E729" s="12" t="s">
        <v>1297</v>
      </c>
      <c r="F729" s="13">
        <v>4.0</v>
      </c>
      <c r="G729" s="13">
        <v>1.0</v>
      </c>
      <c r="H729" s="13">
        <v>0.0</v>
      </c>
      <c r="I729" s="13" t="s">
        <v>35</v>
      </c>
      <c r="J729" s="13" t="s">
        <v>36</v>
      </c>
      <c r="K729" s="13" t="s">
        <v>36</v>
      </c>
      <c r="L729" s="13"/>
    </row>
    <row r="730">
      <c r="A730" s="13">
        <v>728.0</v>
      </c>
      <c r="B730" s="13">
        <v>937.0</v>
      </c>
      <c r="C730" s="13">
        <v>48.0</v>
      </c>
      <c r="D730" s="12"/>
      <c r="E730" s="12"/>
      <c r="F730" s="13">
        <v>5.0</v>
      </c>
      <c r="G730" s="13">
        <v>1.0</v>
      </c>
      <c r="H730" s="13">
        <v>0.0</v>
      </c>
      <c r="I730" s="13" t="s">
        <v>35</v>
      </c>
      <c r="J730" s="13" t="s">
        <v>46</v>
      </c>
      <c r="K730" s="13" t="s">
        <v>95</v>
      </c>
      <c r="L730" s="13"/>
    </row>
    <row r="731">
      <c r="A731" s="13">
        <v>729.0</v>
      </c>
      <c r="B731" s="13">
        <v>1087.0</v>
      </c>
      <c r="C731" s="13">
        <v>55.0</v>
      </c>
      <c r="D731" s="12" t="s">
        <v>1298</v>
      </c>
      <c r="E731" s="12" t="s">
        <v>1299</v>
      </c>
      <c r="F731" s="13">
        <v>3.0</v>
      </c>
      <c r="G731" s="13">
        <v>0.0</v>
      </c>
      <c r="H731" s="13">
        <v>2.0</v>
      </c>
      <c r="I731" s="13" t="s">
        <v>35</v>
      </c>
      <c r="J731" s="13" t="s">
        <v>36</v>
      </c>
      <c r="K731" s="13" t="s">
        <v>36</v>
      </c>
      <c r="L731" s="13"/>
    </row>
    <row r="732">
      <c r="A732" s="13">
        <v>730.0</v>
      </c>
      <c r="B732" s="13">
        <v>1087.0</v>
      </c>
      <c r="C732" s="13">
        <v>36.0</v>
      </c>
      <c r="D732" s="12" t="s">
        <v>1300</v>
      </c>
      <c r="E732" s="12" t="s">
        <v>1301</v>
      </c>
      <c r="F732" s="13">
        <v>5.0</v>
      </c>
      <c r="G732" s="13">
        <v>1.0</v>
      </c>
      <c r="H732" s="13">
        <v>0.0</v>
      </c>
      <c r="I732" s="13" t="s">
        <v>35</v>
      </c>
      <c r="J732" s="13" t="s">
        <v>36</v>
      </c>
      <c r="K732" s="13" t="s">
        <v>36</v>
      </c>
      <c r="L732" s="13"/>
    </row>
    <row r="733">
      <c r="A733" s="13">
        <v>731.0</v>
      </c>
      <c r="B733" s="13">
        <v>886.0</v>
      </c>
      <c r="C733" s="13">
        <v>25.0</v>
      </c>
      <c r="D733" s="12" t="s">
        <v>817</v>
      </c>
      <c r="E733" s="12" t="s">
        <v>1302</v>
      </c>
      <c r="F733" s="13">
        <v>4.0</v>
      </c>
      <c r="G733" s="13">
        <v>1.0</v>
      </c>
      <c r="H733" s="13">
        <v>0.0</v>
      </c>
      <c r="I733" s="13" t="s">
        <v>41</v>
      </c>
      <c r="J733" s="13" t="s">
        <v>46</v>
      </c>
      <c r="K733" s="13" t="s">
        <v>52</v>
      </c>
      <c r="L733" s="13"/>
    </row>
    <row r="734">
      <c r="A734" s="13">
        <v>732.0</v>
      </c>
      <c r="B734" s="13">
        <v>1110.0</v>
      </c>
      <c r="C734" s="13">
        <v>47.0</v>
      </c>
      <c r="D734" s="12"/>
      <c r="E734" s="12"/>
      <c r="F734" s="13">
        <v>5.0</v>
      </c>
      <c r="G734" s="13">
        <v>1.0</v>
      </c>
      <c r="H734" s="13">
        <v>0.0</v>
      </c>
      <c r="I734" s="13" t="s">
        <v>41</v>
      </c>
      <c r="J734" s="13" t="s">
        <v>36</v>
      </c>
      <c r="K734" s="13" t="s">
        <v>36</v>
      </c>
      <c r="L734" s="13"/>
    </row>
    <row r="735">
      <c r="A735" s="13">
        <v>733.0</v>
      </c>
      <c r="B735" s="13">
        <v>886.0</v>
      </c>
      <c r="C735" s="13">
        <v>41.0</v>
      </c>
      <c r="D735" s="12" t="s">
        <v>1303</v>
      </c>
      <c r="E735" s="12" t="s">
        <v>1304</v>
      </c>
      <c r="F735" s="13">
        <v>5.0</v>
      </c>
      <c r="G735" s="13">
        <v>1.0</v>
      </c>
      <c r="H735" s="13">
        <v>5.0</v>
      </c>
      <c r="I735" s="13" t="s">
        <v>41</v>
      </c>
      <c r="J735" s="13" t="s">
        <v>46</v>
      </c>
      <c r="K735" s="13" t="s">
        <v>52</v>
      </c>
      <c r="L735" s="13"/>
    </row>
    <row r="736">
      <c r="A736" s="13">
        <v>734.0</v>
      </c>
      <c r="B736" s="13">
        <v>1110.0</v>
      </c>
      <c r="C736" s="13">
        <v>38.0</v>
      </c>
      <c r="D736" s="12" t="s">
        <v>1305</v>
      </c>
      <c r="E736" s="12" t="s">
        <v>1306</v>
      </c>
      <c r="F736" s="13">
        <v>4.0</v>
      </c>
      <c r="G736" s="13">
        <v>1.0</v>
      </c>
      <c r="H736" s="13">
        <v>0.0</v>
      </c>
      <c r="I736" s="13" t="s">
        <v>41</v>
      </c>
      <c r="J736" s="13" t="s">
        <v>36</v>
      </c>
      <c r="K736" s="13" t="s">
        <v>36</v>
      </c>
      <c r="L736" s="13"/>
    </row>
    <row r="737">
      <c r="A737" s="13">
        <v>735.0</v>
      </c>
      <c r="B737" s="13">
        <v>1165.0</v>
      </c>
      <c r="C737" s="13">
        <v>29.0</v>
      </c>
      <c r="D737" s="12" t="s">
        <v>1307</v>
      </c>
      <c r="E737" s="12" t="s">
        <v>1308</v>
      </c>
      <c r="F737" s="13">
        <v>3.0</v>
      </c>
      <c r="G737" s="13">
        <v>0.0</v>
      </c>
      <c r="H737" s="13">
        <v>11.0</v>
      </c>
      <c r="I737" s="13" t="s">
        <v>31</v>
      </c>
      <c r="J737" s="13" t="s">
        <v>32</v>
      </c>
      <c r="K737" s="13" t="s">
        <v>320</v>
      </c>
      <c r="L737" s="13"/>
    </row>
    <row r="738">
      <c r="A738" s="13">
        <v>736.0</v>
      </c>
      <c r="B738" s="13">
        <v>937.0</v>
      </c>
      <c r="C738" s="13">
        <v>34.0</v>
      </c>
      <c r="D738" s="12" t="s">
        <v>1309</v>
      </c>
      <c r="E738" s="12" t="s">
        <v>1310</v>
      </c>
      <c r="F738" s="13">
        <v>5.0</v>
      </c>
      <c r="G738" s="13">
        <v>1.0</v>
      </c>
      <c r="H738" s="13">
        <v>4.0</v>
      </c>
      <c r="I738" s="13" t="s">
        <v>35</v>
      </c>
      <c r="J738" s="13" t="s">
        <v>46</v>
      </c>
      <c r="K738" s="13" t="s">
        <v>95</v>
      </c>
      <c r="L738" s="13"/>
    </row>
    <row r="739">
      <c r="A739" s="13">
        <v>737.0</v>
      </c>
      <c r="B739" s="13">
        <v>886.0</v>
      </c>
      <c r="C739" s="13">
        <v>33.0</v>
      </c>
      <c r="D739" s="12"/>
      <c r="E739" s="12"/>
      <c r="F739" s="13">
        <v>5.0</v>
      </c>
      <c r="G739" s="13">
        <v>1.0</v>
      </c>
      <c r="H739" s="13">
        <v>0.0</v>
      </c>
      <c r="I739" s="13" t="s">
        <v>41</v>
      </c>
      <c r="J739" s="13" t="s">
        <v>46</v>
      </c>
      <c r="K739" s="13" t="s">
        <v>52</v>
      </c>
      <c r="L739" s="13"/>
    </row>
    <row r="740">
      <c r="A740" s="13">
        <v>738.0</v>
      </c>
      <c r="B740" s="13">
        <v>1137.0</v>
      </c>
      <c r="C740" s="13">
        <v>66.0</v>
      </c>
      <c r="D740" s="12" t="s">
        <v>1311</v>
      </c>
      <c r="E740" s="12" t="s">
        <v>1312</v>
      </c>
      <c r="F740" s="13">
        <v>3.0</v>
      </c>
      <c r="G740" s="13">
        <v>1.0</v>
      </c>
      <c r="H740" s="13">
        <v>0.0</v>
      </c>
      <c r="I740" s="13" t="s">
        <v>35</v>
      </c>
      <c r="J740" s="13" t="s">
        <v>374</v>
      </c>
      <c r="K740" s="13" t="s">
        <v>374</v>
      </c>
      <c r="L740" s="13"/>
    </row>
    <row r="741">
      <c r="A741" s="13">
        <v>739.0</v>
      </c>
      <c r="B741" s="13">
        <v>1087.0</v>
      </c>
      <c r="C741" s="13">
        <v>29.0</v>
      </c>
      <c r="D741" s="12" t="s">
        <v>436</v>
      </c>
      <c r="E741" s="12" t="s">
        <v>1313</v>
      </c>
      <c r="F741" s="13">
        <v>5.0</v>
      </c>
      <c r="G741" s="13">
        <v>1.0</v>
      </c>
      <c r="H741" s="13">
        <v>15.0</v>
      </c>
      <c r="I741" s="13" t="s">
        <v>35</v>
      </c>
      <c r="J741" s="13" t="s">
        <v>36</v>
      </c>
      <c r="K741" s="13" t="s">
        <v>36</v>
      </c>
      <c r="L741" s="13"/>
    </row>
    <row r="742">
      <c r="A742" s="13">
        <v>740.0</v>
      </c>
      <c r="B742" s="13">
        <v>937.0</v>
      </c>
      <c r="C742" s="13">
        <v>44.0</v>
      </c>
      <c r="D742" s="12"/>
      <c r="E742" s="12" t="s">
        <v>1314</v>
      </c>
      <c r="F742" s="13">
        <v>5.0</v>
      </c>
      <c r="G742" s="13">
        <v>1.0</v>
      </c>
      <c r="H742" s="13">
        <v>1.0</v>
      </c>
      <c r="I742" s="13" t="s">
        <v>35</v>
      </c>
      <c r="J742" s="13" t="s">
        <v>46</v>
      </c>
      <c r="K742" s="13" t="s">
        <v>95</v>
      </c>
      <c r="L742" s="13"/>
    </row>
    <row r="743">
      <c r="A743" s="13">
        <v>741.0</v>
      </c>
      <c r="B743" s="13">
        <v>886.0</v>
      </c>
      <c r="C743" s="13">
        <v>47.0</v>
      </c>
      <c r="D743" s="12"/>
      <c r="E743" s="12" t="s">
        <v>1315</v>
      </c>
      <c r="F743" s="13">
        <v>4.0</v>
      </c>
      <c r="G743" s="13">
        <v>1.0</v>
      </c>
      <c r="H743" s="13">
        <v>7.0</v>
      </c>
      <c r="I743" s="13" t="s">
        <v>41</v>
      </c>
      <c r="J743" s="13" t="s">
        <v>46</v>
      </c>
      <c r="K743" s="13" t="s">
        <v>52</v>
      </c>
      <c r="L743" s="13"/>
    </row>
    <row r="744">
      <c r="A744" s="13">
        <v>742.0</v>
      </c>
      <c r="B744" s="13">
        <v>886.0</v>
      </c>
      <c r="C744" s="13">
        <v>39.0</v>
      </c>
      <c r="D744" s="12" t="s">
        <v>1316</v>
      </c>
      <c r="E744" s="12" t="s">
        <v>1317</v>
      </c>
      <c r="F744" s="13">
        <v>4.0</v>
      </c>
      <c r="G744" s="13">
        <v>1.0</v>
      </c>
      <c r="H744" s="13">
        <v>0.0</v>
      </c>
      <c r="I744" s="13" t="s">
        <v>41</v>
      </c>
      <c r="J744" s="13" t="s">
        <v>46</v>
      </c>
      <c r="K744" s="13" t="s">
        <v>52</v>
      </c>
      <c r="L744" s="13"/>
    </row>
    <row r="745">
      <c r="A745" s="13">
        <v>743.0</v>
      </c>
      <c r="B745" s="13">
        <v>1087.0</v>
      </c>
      <c r="C745" s="13">
        <v>44.0</v>
      </c>
      <c r="D745" s="12" t="s">
        <v>1318</v>
      </c>
      <c r="E745" s="12" t="s">
        <v>1319</v>
      </c>
      <c r="F745" s="13">
        <v>4.0</v>
      </c>
      <c r="G745" s="13">
        <v>1.0</v>
      </c>
      <c r="H745" s="13">
        <v>1.0</v>
      </c>
      <c r="I745" s="13" t="s">
        <v>35</v>
      </c>
      <c r="J745" s="13" t="s">
        <v>36</v>
      </c>
      <c r="K745" s="13" t="s">
        <v>36</v>
      </c>
      <c r="L745" s="13"/>
    </row>
    <row r="746">
      <c r="A746" s="13">
        <v>744.0</v>
      </c>
      <c r="B746" s="13">
        <v>937.0</v>
      </c>
      <c r="C746" s="13">
        <v>40.0</v>
      </c>
      <c r="D746" s="12" t="s">
        <v>1320</v>
      </c>
      <c r="E746" s="12" t="s">
        <v>1321</v>
      </c>
      <c r="F746" s="13">
        <v>3.0</v>
      </c>
      <c r="G746" s="13">
        <v>0.0</v>
      </c>
      <c r="H746" s="13">
        <v>2.0</v>
      </c>
      <c r="I746" s="13" t="s">
        <v>35</v>
      </c>
      <c r="J746" s="13" t="s">
        <v>46</v>
      </c>
      <c r="K746" s="13" t="s">
        <v>95</v>
      </c>
      <c r="L746" s="13"/>
    </row>
    <row r="747">
      <c r="A747" s="13">
        <v>745.0</v>
      </c>
      <c r="B747" s="13">
        <v>937.0</v>
      </c>
      <c r="C747" s="13">
        <v>39.0</v>
      </c>
      <c r="D747" s="12" t="s">
        <v>1322</v>
      </c>
      <c r="E747" s="12" t="s">
        <v>1323</v>
      </c>
      <c r="F747" s="13">
        <v>1.0</v>
      </c>
      <c r="G747" s="13">
        <v>0.0</v>
      </c>
      <c r="H747" s="13">
        <v>0.0</v>
      </c>
      <c r="I747" s="13" t="s">
        <v>35</v>
      </c>
      <c r="J747" s="13" t="s">
        <v>46</v>
      </c>
      <c r="K747" s="13" t="s">
        <v>95</v>
      </c>
      <c r="L747" s="13"/>
    </row>
    <row r="748">
      <c r="A748" s="13">
        <v>746.0</v>
      </c>
      <c r="B748" s="13">
        <v>886.0</v>
      </c>
      <c r="C748" s="13">
        <v>50.0</v>
      </c>
      <c r="D748" s="12" t="s">
        <v>1324</v>
      </c>
      <c r="E748" s="12" t="s">
        <v>1325</v>
      </c>
      <c r="F748" s="13">
        <v>4.0</v>
      </c>
      <c r="G748" s="13">
        <v>1.0</v>
      </c>
      <c r="H748" s="13">
        <v>0.0</v>
      </c>
      <c r="I748" s="13" t="s">
        <v>41</v>
      </c>
      <c r="J748" s="13" t="s">
        <v>46</v>
      </c>
      <c r="K748" s="13" t="s">
        <v>52</v>
      </c>
      <c r="L748" s="13"/>
    </row>
    <row r="749">
      <c r="A749" s="13">
        <v>747.0</v>
      </c>
      <c r="B749" s="13">
        <v>1137.0</v>
      </c>
      <c r="C749" s="13">
        <v>52.0</v>
      </c>
      <c r="D749" s="12" t="s">
        <v>1326</v>
      </c>
      <c r="E749" s="12" t="s">
        <v>1327</v>
      </c>
      <c r="F749" s="13">
        <v>5.0</v>
      </c>
      <c r="G749" s="13">
        <v>1.0</v>
      </c>
      <c r="H749" s="13">
        <v>1.0</v>
      </c>
      <c r="I749" s="13" t="s">
        <v>35</v>
      </c>
      <c r="J749" s="13" t="s">
        <v>374</v>
      </c>
      <c r="K749" s="13" t="s">
        <v>374</v>
      </c>
      <c r="L749" s="13"/>
    </row>
    <row r="750">
      <c r="A750" s="13">
        <v>748.0</v>
      </c>
      <c r="B750" s="13">
        <v>886.0</v>
      </c>
      <c r="C750" s="13">
        <v>54.0</v>
      </c>
      <c r="D750" s="12" t="s">
        <v>1328</v>
      </c>
      <c r="E750" s="12" t="s">
        <v>1329</v>
      </c>
      <c r="F750" s="13">
        <v>3.0</v>
      </c>
      <c r="G750" s="13">
        <v>1.0</v>
      </c>
      <c r="H750" s="13">
        <v>1.0</v>
      </c>
      <c r="I750" s="13" t="s">
        <v>41</v>
      </c>
      <c r="J750" s="13" t="s">
        <v>46</v>
      </c>
      <c r="K750" s="13" t="s">
        <v>52</v>
      </c>
      <c r="L750" s="13"/>
    </row>
    <row r="751">
      <c r="A751" s="13">
        <v>749.0</v>
      </c>
      <c r="B751" s="13">
        <v>886.0</v>
      </c>
      <c r="C751" s="13">
        <v>34.0</v>
      </c>
      <c r="D751" s="12" t="s">
        <v>1330</v>
      </c>
      <c r="E751" s="12" t="s">
        <v>1331</v>
      </c>
      <c r="F751" s="13">
        <v>5.0</v>
      </c>
      <c r="G751" s="13">
        <v>1.0</v>
      </c>
      <c r="H751" s="13">
        <v>5.0</v>
      </c>
      <c r="I751" s="13" t="s">
        <v>41</v>
      </c>
      <c r="J751" s="13" t="s">
        <v>46</v>
      </c>
      <c r="K751" s="13" t="s">
        <v>52</v>
      </c>
      <c r="L751" s="13"/>
    </row>
    <row r="752">
      <c r="A752" s="13">
        <v>750.0</v>
      </c>
      <c r="B752" s="13">
        <v>937.0</v>
      </c>
      <c r="C752" s="13">
        <v>60.0</v>
      </c>
      <c r="D752" s="12" t="s">
        <v>1332</v>
      </c>
      <c r="E752" s="12" t="s">
        <v>1333</v>
      </c>
      <c r="F752" s="13">
        <v>5.0</v>
      </c>
      <c r="G752" s="13">
        <v>1.0</v>
      </c>
      <c r="H752" s="13">
        <v>14.0</v>
      </c>
      <c r="I752" s="13" t="s">
        <v>35</v>
      </c>
      <c r="J752" s="13" t="s">
        <v>46</v>
      </c>
      <c r="K752" s="13" t="s">
        <v>95</v>
      </c>
      <c r="L752" s="13"/>
    </row>
    <row r="753">
      <c r="A753" s="13">
        <v>751.0</v>
      </c>
      <c r="B753" s="13">
        <v>937.0</v>
      </c>
      <c r="C753" s="13">
        <v>22.0</v>
      </c>
      <c r="D753" s="12" t="s">
        <v>1169</v>
      </c>
      <c r="E753" s="12" t="s">
        <v>1334</v>
      </c>
      <c r="F753" s="13">
        <v>5.0</v>
      </c>
      <c r="G753" s="13">
        <v>1.0</v>
      </c>
      <c r="H753" s="13">
        <v>0.0</v>
      </c>
      <c r="I753" s="13" t="s">
        <v>35</v>
      </c>
      <c r="J753" s="13" t="s">
        <v>46</v>
      </c>
      <c r="K753" s="13" t="s">
        <v>95</v>
      </c>
      <c r="L753" s="13"/>
    </row>
    <row r="754">
      <c r="A754" s="13">
        <v>752.0</v>
      </c>
      <c r="B754" s="13">
        <v>1087.0</v>
      </c>
      <c r="C754" s="13">
        <v>58.0</v>
      </c>
      <c r="D754" s="12" t="s">
        <v>1167</v>
      </c>
      <c r="E754" s="12" t="s">
        <v>1335</v>
      </c>
      <c r="F754" s="13">
        <v>5.0</v>
      </c>
      <c r="G754" s="13">
        <v>1.0</v>
      </c>
      <c r="H754" s="13">
        <v>0.0</v>
      </c>
      <c r="I754" s="13" t="s">
        <v>35</v>
      </c>
      <c r="J754" s="13" t="s">
        <v>36</v>
      </c>
      <c r="K754" s="13" t="s">
        <v>36</v>
      </c>
      <c r="L754" s="13"/>
    </row>
    <row r="755">
      <c r="A755" s="13">
        <v>753.0</v>
      </c>
      <c r="B755" s="13">
        <v>1087.0</v>
      </c>
      <c r="C755" s="13">
        <v>55.0</v>
      </c>
      <c r="D755" s="12"/>
      <c r="E755" s="12"/>
      <c r="F755" s="13">
        <v>4.0</v>
      </c>
      <c r="G755" s="13">
        <v>1.0</v>
      </c>
      <c r="H755" s="13">
        <v>0.0</v>
      </c>
      <c r="I755" s="13" t="s">
        <v>35</v>
      </c>
      <c r="J755" s="13" t="s">
        <v>36</v>
      </c>
      <c r="K755" s="13" t="s">
        <v>36</v>
      </c>
      <c r="L755" s="13"/>
    </row>
    <row r="756">
      <c r="A756" s="13">
        <v>754.0</v>
      </c>
      <c r="B756" s="13">
        <v>1087.0</v>
      </c>
      <c r="C756" s="13">
        <v>62.0</v>
      </c>
      <c r="D756" s="12" t="s">
        <v>1336</v>
      </c>
      <c r="E756" s="12" t="s">
        <v>1337</v>
      </c>
      <c r="F756" s="13">
        <v>3.0</v>
      </c>
      <c r="G756" s="13">
        <v>0.0</v>
      </c>
      <c r="H756" s="13">
        <v>0.0</v>
      </c>
      <c r="I756" s="13" t="s">
        <v>35</v>
      </c>
      <c r="J756" s="13" t="s">
        <v>36</v>
      </c>
      <c r="K756" s="13" t="s">
        <v>36</v>
      </c>
      <c r="L756" s="13"/>
    </row>
    <row r="757">
      <c r="A757" s="13">
        <v>755.0</v>
      </c>
      <c r="B757" s="13">
        <v>1087.0</v>
      </c>
      <c r="C757" s="13">
        <v>43.0</v>
      </c>
      <c r="D757" s="12" t="s">
        <v>1338</v>
      </c>
      <c r="E757" s="12" t="s">
        <v>1339</v>
      </c>
      <c r="F757" s="13">
        <v>2.0</v>
      </c>
      <c r="G757" s="13">
        <v>0.0</v>
      </c>
      <c r="H757" s="13">
        <v>2.0</v>
      </c>
      <c r="I757" s="13" t="s">
        <v>35</v>
      </c>
      <c r="J757" s="13" t="s">
        <v>36</v>
      </c>
      <c r="K757" s="13" t="s">
        <v>36</v>
      </c>
      <c r="L757" s="13"/>
    </row>
    <row r="758">
      <c r="A758" s="13">
        <v>756.0</v>
      </c>
      <c r="B758" s="13">
        <v>886.0</v>
      </c>
      <c r="C758" s="13">
        <v>26.0</v>
      </c>
      <c r="D758" s="12" t="s">
        <v>1340</v>
      </c>
      <c r="E758" s="12" t="s">
        <v>1341</v>
      </c>
      <c r="F758" s="13">
        <v>5.0</v>
      </c>
      <c r="G758" s="13">
        <v>1.0</v>
      </c>
      <c r="H758" s="13">
        <v>0.0</v>
      </c>
      <c r="I758" s="13" t="s">
        <v>41</v>
      </c>
      <c r="J758" s="13" t="s">
        <v>46</v>
      </c>
      <c r="K758" s="13" t="s">
        <v>52</v>
      </c>
      <c r="L758" s="13"/>
    </row>
    <row r="759">
      <c r="A759" s="13">
        <v>757.0</v>
      </c>
      <c r="B759" s="13">
        <v>886.0</v>
      </c>
      <c r="C759" s="13">
        <v>37.0</v>
      </c>
      <c r="D759" s="12" t="s">
        <v>1342</v>
      </c>
      <c r="E759" s="12" t="s">
        <v>1343</v>
      </c>
      <c r="F759" s="13">
        <v>5.0</v>
      </c>
      <c r="G759" s="13">
        <v>1.0</v>
      </c>
      <c r="H759" s="13">
        <v>0.0</v>
      </c>
      <c r="I759" s="13" t="s">
        <v>41</v>
      </c>
      <c r="J759" s="13" t="s">
        <v>46</v>
      </c>
      <c r="K759" s="13" t="s">
        <v>52</v>
      </c>
      <c r="L759" s="13"/>
    </row>
    <row r="760">
      <c r="A760" s="13">
        <v>758.0</v>
      </c>
      <c r="B760" s="13">
        <v>937.0</v>
      </c>
      <c r="C760" s="13">
        <v>32.0</v>
      </c>
      <c r="D760" s="12"/>
      <c r="E760" s="12"/>
      <c r="F760" s="13">
        <v>3.0</v>
      </c>
      <c r="G760" s="13">
        <v>1.0</v>
      </c>
      <c r="H760" s="13">
        <v>0.0</v>
      </c>
      <c r="I760" s="13" t="s">
        <v>35</v>
      </c>
      <c r="J760" s="13" t="s">
        <v>46</v>
      </c>
      <c r="K760" s="13" t="s">
        <v>95</v>
      </c>
      <c r="L760" s="13"/>
    </row>
    <row r="761">
      <c r="A761" s="13">
        <v>759.0</v>
      </c>
      <c r="B761" s="13">
        <v>245.0</v>
      </c>
      <c r="C761" s="13">
        <v>33.0</v>
      </c>
      <c r="D761" s="12" t="s">
        <v>1344</v>
      </c>
      <c r="E761" s="12" t="s">
        <v>1345</v>
      </c>
      <c r="F761" s="13">
        <v>5.0</v>
      </c>
      <c r="G761" s="13">
        <v>1.0</v>
      </c>
      <c r="H761" s="13">
        <v>4.0</v>
      </c>
      <c r="I761" s="13" t="s">
        <v>31</v>
      </c>
      <c r="J761" s="13" t="s">
        <v>32</v>
      </c>
      <c r="K761" s="13" t="s">
        <v>1292</v>
      </c>
      <c r="L761" s="13"/>
    </row>
    <row r="762">
      <c r="A762" s="13">
        <v>760.0</v>
      </c>
      <c r="B762" s="13">
        <v>937.0</v>
      </c>
      <c r="C762" s="13">
        <v>43.0</v>
      </c>
      <c r="D762" s="12" t="s">
        <v>1346</v>
      </c>
      <c r="E762" s="12" t="s">
        <v>1347</v>
      </c>
      <c r="F762" s="13">
        <v>5.0</v>
      </c>
      <c r="G762" s="13">
        <v>1.0</v>
      </c>
      <c r="H762" s="13">
        <v>0.0</v>
      </c>
      <c r="I762" s="13" t="s">
        <v>35</v>
      </c>
      <c r="J762" s="13" t="s">
        <v>46</v>
      </c>
      <c r="K762" s="13" t="s">
        <v>95</v>
      </c>
      <c r="L762" s="13"/>
    </row>
    <row r="763">
      <c r="A763" s="13">
        <v>761.0</v>
      </c>
      <c r="B763" s="13">
        <v>886.0</v>
      </c>
      <c r="C763" s="13">
        <v>44.0</v>
      </c>
      <c r="D763" s="12"/>
      <c r="E763" s="12" t="s">
        <v>1348</v>
      </c>
      <c r="F763" s="13">
        <v>5.0</v>
      </c>
      <c r="G763" s="13">
        <v>1.0</v>
      </c>
      <c r="H763" s="13">
        <v>21.0</v>
      </c>
      <c r="I763" s="13" t="s">
        <v>41</v>
      </c>
      <c r="J763" s="13" t="s">
        <v>46</v>
      </c>
      <c r="K763" s="13" t="s">
        <v>52</v>
      </c>
      <c r="L763" s="13"/>
    </row>
    <row r="764">
      <c r="A764" s="13">
        <v>762.0</v>
      </c>
      <c r="B764" s="13">
        <v>937.0</v>
      </c>
      <c r="C764" s="13">
        <v>37.0</v>
      </c>
      <c r="D764" s="12" t="s">
        <v>1349</v>
      </c>
      <c r="E764" s="12" t="s">
        <v>1350</v>
      </c>
      <c r="F764" s="13">
        <v>3.0</v>
      </c>
      <c r="G764" s="13">
        <v>0.0</v>
      </c>
      <c r="H764" s="13">
        <v>1.0</v>
      </c>
      <c r="I764" s="13" t="s">
        <v>35</v>
      </c>
      <c r="J764" s="13" t="s">
        <v>46</v>
      </c>
      <c r="K764" s="13" t="s">
        <v>95</v>
      </c>
      <c r="L764" s="13"/>
    </row>
    <row r="765">
      <c r="A765" s="13">
        <v>763.0</v>
      </c>
      <c r="B765" s="13">
        <v>937.0</v>
      </c>
      <c r="C765" s="13">
        <v>49.0</v>
      </c>
      <c r="D765" s="12" t="s">
        <v>1351</v>
      </c>
      <c r="E765" s="12" t="s">
        <v>1352</v>
      </c>
      <c r="F765" s="13">
        <v>3.0</v>
      </c>
      <c r="G765" s="13">
        <v>0.0</v>
      </c>
      <c r="H765" s="13">
        <v>0.0</v>
      </c>
      <c r="I765" s="13" t="s">
        <v>35</v>
      </c>
      <c r="J765" s="13" t="s">
        <v>46</v>
      </c>
      <c r="K765" s="13" t="s">
        <v>95</v>
      </c>
      <c r="L765" s="13"/>
    </row>
    <row r="766">
      <c r="A766" s="13">
        <v>764.0</v>
      </c>
      <c r="B766" s="13">
        <v>1087.0</v>
      </c>
      <c r="C766" s="13">
        <v>34.0</v>
      </c>
      <c r="D766" s="12" t="s">
        <v>1353</v>
      </c>
      <c r="E766" s="12" t="s">
        <v>1354</v>
      </c>
      <c r="F766" s="13">
        <v>4.0</v>
      </c>
      <c r="G766" s="13">
        <v>1.0</v>
      </c>
      <c r="H766" s="13">
        <v>42.0</v>
      </c>
      <c r="I766" s="13" t="s">
        <v>35</v>
      </c>
      <c r="J766" s="13" t="s">
        <v>36</v>
      </c>
      <c r="K766" s="13" t="s">
        <v>36</v>
      </c>
      <c r="L766" s="13"/>
    </row>
    <row r="767">
      <c r="A767" s="13">
        <v>765.0</v>
      </c>
      <c r="B767" s="13">
        <v>745.0</v>
      </c>
      <c r="C767" s="13">
        <v>40.0</v>
      </c>
      <c r="D767" s="12" t="s">
        <v>1355</v>
      </c>
      <c r="E767" s="12" t="s">
        <v>1356</v>
      </c>
      <c r="F767" s="13">
        <v>5.0</v>
      </c>
      <c r="G767" s="13">
        <v>1.0</v>
      </c>
      <c r="H767" s="13">
        <v>1.0</v>
      </c>
      <c r="I767" s="13" t="s">
        <v>31</v>
      </c>
      <c r="J767" s="13" t="s">
        <v>32</v>
      </c>
      <c r="K767" s="13" t="s">
        <v>1113</v>
      </c>
      <c r="L767" s="13"/>
    </row>
    <row r="768">
      <c r="A768" s="13">
        <v>766.0</v>
      </c>
      <c r="B768" s="13">
        <v>745.0</v>
      </c>
      <c r="C768" s="13">
        <v>42.0</v>
      </c>
      <c r="D768" s="12" t="s">
        <v>1357</v>
      </c>
      <c r="E768" s="12" t="s">
        <v>1358</v>
      </c>
      <c r="F768" s="13">
        <v>4.0</v>
      </c>
      <c r="G768" s="13">
        <v>1.0</v>
      </c>
      <c r="H768" s="13">
        <v>1.0</v>
      </c>
      <c r="I768" s="13" t="s">
        <v>31</v>
      </c>
      <c r="J768" s="13" t="s">
        <v>32</v>
      </c>
      <c r="K768" s="13" t="s">
        <v>1113</v>
      </c>
      <c r="L768" s="13"/>
    </row>
    <row r="769">
      <c r="A769" s="13">
        <v>767.0</v>
      </c>
      <c r="B769" s="13">
        <v>1087.0</v>
      </c>
      <c r="C769" s="13">
        <v>36.0</v>
      </c>
      <c r="D769" s="12" t="s">
        <v>1359</v>
      </c>
      <c r="E769" s="12" t="s">
        <v>1360</v>
      </c>
      <c r="F769" s="13">
        <v>3.0</v>
      </c>
      <c r="G769" s="13">
        <v>0.0</v>
      </c>
      <c r="H769" s="13">
        <v>2.0</v>
      </c>
      <c r="I769" s="13" t="s">
        <v>35</v>
      </c>
      <c r="J769" s="13" t="s">
        <v>36</v>
      </c>
      <c r="K769" s="13" t="s">
        <v>36</v>
      </c>
      <c r="L769" s="13"/>
    </row>
    <row r="770">
      <c r="A770" s="13">
        <v>768.0</v>
      </c>
      <c r="B770" s="13">
        <v>937.0</v>
      </c>
      <c r="C770" s="13">
        <v>46.0</v>
      </c>
      <c r="D770" s="12" t="s">
        <v>1361</v>
      </c>
      <c r="E770" s="12" t="s">
        <v>1362</v>
      </c>
      <c r="F770" s="13">
        <v>2.0</v>
      </c>
      <c r="G770" s="13">
        <v>0.0</v>
      </c>
      <c r="H770" s="13">
        <v>4.0</v>
      </c>
      <c r="I770" s="13" t="s">
        <v>35</v>
      </c>
      <c r="J770" s="13" t="s">
        <v>46</v>
      </c>
      <c r="K770" s="13" t="s">
        <v>95</v>
      </c>
      <c r="L770" s="13"/>
    </row>
    <row r="771">
      <c r="A771" s="13">
        <v>769.0</v>
      </c>
      <c r="B771" s="13">
        <v>937.0</v>
      </c>
      <c r="C771" s="13">
        <v>32.0</v>
      </c>
      <c r="D771" s="12" t="s">
        <v>355</v>
      </c>
      <c r="E771" s="12" t="s">
        <v>1363</v>
      </c>
      <c r="F771" s="13">
        <v>1.0</v>
      </c>
      <c r="G771" s="13">
        <v>0.0</v>
      </c>
      <c r="H771" s="13">
        <v>0.0</v>
      </c>
      <c r="I771" s="13" t="s">
        <v>35</v>
      </c>
      <c r="J771" s="13" t="s">
        <v>46</v>
      </c>
      <c r="K771" s="13" t="s">
        <v>95</v>
      </c>
      <c r="L771" s="13"/>
    </row>
    <row r="772">
      <c r="A772" s="13">
        <v>770.0</v>
      </c>
      <c r="B772" s="13">
        <v>1110.0</v>
      </c>
      <c r="C772" s="13">
        <v>24.0</v>
      </c>
      <c r="D772" s="12" t="s">
        <v>1364</v>
      </c>
      <c r="E772" s="12" t="s">
        <v>1365</v>
      </c>
      <c r="F772" s="13">
        <v>4.0</v>
      </c>
      <c r="G772" s="13">
        <v>1.0</v>
      </c>
      <c r="H772" s="13">
        <v>1.0</v>
      </c>
      <c r="I772" s="13" t="s">
        <v>41</v>
      </c>
      <c r="J772" s="13" t="s">
        <v>36</v>
      </c>
      <c r="K772" s="13" t="s">
        <v>36</v>
      </c>
      <c r="L772" s="13"/>
    </row>
    <row r="773">
      <c r="A773" s="13">
        <v>771.0</v>
      </c>
      <c r="B773" s="13">
        <v>1087.0</v>
      </c>
      <c r="C773" s="13">
        <v>44.0</v>
      </c>
      <c r="D773" s="12"/>
      <c r="E773" s="12" t="s">
        <v>1366</v>
      </c>
      <c r="F773" s="13">
        <v>4.0</v>
      </c>
      <c r="G773" s="13">
        <v>1.0</v>
      </c>
      <c r="H773" s="13">
        <v>0.0</v>
      </c>
      <c r="I773" s="13" t="s">
        <v>35</v>
      </c>
      <c r="J773" s="13" t="s">
        <v>36</v>
      </c>
      <c r="K773" s="13" t="s">
        <v>36</v>
      </c>
      <c r="L773" s="13"/>
    </row>
    <row r="774">
      <c r="A774" s="13">
        <v>772.0</v>
      </c>
      <c r="B774" s="13">
        <v>745.0</v>
      </c>
      <c r="C774" s="13">
        <v>33.0</v>
      </c>
      <c r="D774" s="12" t="s">
        <v>1367</v>
      </c>
      <c r="E774" s="12" t="s">
        <v>1368</v>
      </c>
      <c r="F774" s="13">
        <v>5.0</v>
      </c>
      <c r="G774" s="13">
        <v>1.0</v>
      </c>
      <c r="H774" s="13">
        <v>0.0</v>
      </c>
      <c r="I774" s="13" t="s">
        <v>31</v>
      </c>
      <c r="J774" s="13" t="s">
        <v>32</v>
      </c>
      <c r="K774" s="13" t="s">
        <v>1113</v>
      </c>
      <c r="L774" s="13"/>
    </row>
    <row r="775">
      <c r="A775" s="13">
        <v>773.0</v>
      </c>
      <c r="B775" s="13">
        <v>1087.0</v>
      </c>
      <c r="C775" s="13">
        <v>38.0</v>
      </c>
      <c r="D775" s="12" t="s">
        <v>1369</v>
      </c>
      <c r="E775" s="12" t="s">
        <v>1370</v>
      </c>
      <c r="F775" s="13">
        <v>2.0</v>
      </c>
      <c r="G775" s="13">
        <v>0.0</v>
      </c>
      <c r="H775" s="13">
        <v>2.0</v>
      </c>
      <c r="I775" s="13" t="s">
        <v>35</v>
      </c>
      <c r="J775" s="13" t="s">
        <v>36</v>
      </c>
      <c r="K775" s="13" t="s">
        <v>36</v>
      </c>
      <c r="L775" s="13"/>
    </row>
    <row r="776">
      <c r="A776" s="13">
        <v>774.0</v>
      </c>
      <c r="B776" s="13">
        <v>1110.0</v>
      </c>
      <c r="C776" s="13">
        <v>42.0</v>
      </c>
      <c r="D776" s="12"/>
      <c r="E776" s="12" t="s">
        <v>1371</v>
      </c>
      <c r="F776" s="13">
        <v>5.0</v>
      </c>
      <c r="G776" s="13">
        <v>1.0</v>
      </c>
      <c r="H776" s="13">
        <v>29.0</v>
      </c>
      <c r="I776" s="13" t="s">
        <v>41</v>
      </c>
      <c r="J776" s="13" t="s">
        <v>36</v>
      </c>
      <c r="K776" s="13" t="s">
        <v>36</v>
      </c>
      <c r="L776" s="13"/>
    </row>
    <row r="777">
      <c r="A777" s="13">
        <v>775.0</v>
      </c>
      <c r="B777" s="13">
        <v>1110.0</v>
      </c>
      <c r="C777" s="13">
        <v>35.0</v>
      </c>
      <c r="D777" s="12" t="s">
        <v>1372</v>
      </c>
      <c r="E777" s="12" t="s">
        <v>1373</v>
      </c>
      <c r="F777" s="13">
        <v>2.0</v>
      </c>
      <c r="G777" s="13">
        <v>0.0</v>
      </c>
      <c r="H777" s="13">
        <v>0.0</v>
      </c>
      <c r="I777" s="13" t="s">
        <v>41</v>
      </c>
      <c r="J777" s="13" t="s">
        <v>36</v>
      </c>
      <c r="K777" s="13" t="s">
        <v>36</v>
      </c>
      <c r="L777" s="13"/>
    </row>
    <row r="778">
      <c r="A778" s="13">
        <v>776.0</v>
      </c>
      <c r="B778" s="13">
        <v>873.0</v>
      </c>
      <c r="C778" s="13">
        <v>52.0</v>
      </c>
      <c r="D778" s="12" t="s">
        <v>1374</v>
      </c>
      <c r="E778" s="12" t="s">
        <v>1375</v>
      </c>
      <c r="F778" s="13">
        <v>5.0</v>
      </c>
      <c r="G778" s="13">
        <v>1.0</v>
      </c>
      <c r="H778" s="13">
        <v>1.0</v>
      </c>
      <c r="I778" s="13" t="s">
        <v>35</v>
      </c>
      <c r="J778" s="13" t="s">
        <v>46</v>
      </c>
      <c r="K778" s="13" t="s">
        <v>52</v>
      </c>
      <c r="L778" s="13"/>
    </row>
    <row r="779">
      <c r="A779" s="13">
        <v>777.0</v>
      </c>
      <c r="B779" s="13">
        <v>895.0</v>
      </c>
      <c r="C779" s="13">
        <v>38.0</v>
      </c>
      <c r="D779" s="12" t="s">
        <v>1376</v>
      </c>
      <c r="E779" s="12" t="s">
        <v>1377</v>
      </c>
      <c r="F779" s="13">
        <v>5.0</v>
      </c>
      <c r="G779" s="13">
        <v>1.0</v>
      </c>
      <c r="H779" s="13">
        <v>3.0</v>
      </c>
      <c r="I779" s="13" t="s">
        <v>35</v>
      </c>
      <c r="J779" s="13" t="s">
        <v>46</v>
      </c>
      <c r="K779" s="13" t="s">
        <v>123</v>
      </c>
      <c r="L779" s="13"/>
    </row>
    <row r="780">
      <c r="A780" s="13">
        <v>778.0</v>
      </c>
      <c r="B780" s="13">
        <v>895.0</v>
      </c>
      <c r="C780" s="13">
        <v>25.0</v>
      </c>
      <c r="D780" s="12" t="s">
        <v>480</v>
      </c>
      <c r="E780" s="12" t="s">
        <v>1378</v>
      </c>
      <c r="F780" s="13">
        <v>5.0</v>
      </c>
      <c r="G780" s="13">
        <v>1.0</v>
      </c>
      <c r="H780" s="13">
        <v>1.0</v>
      </c>
      <c r="I780" s="13" t="s">
        <v>35</v>
      </c>
      <c r="J780" s="13" t="s">
        <v>46</v>
      </c>
      <c r="K780" s="13" t="s">
        <v>123</v>
      </c>
      <c r="L780" s="13"/>
    </row>
    <row r="781">
      <c r="A781" s="13">
        <v>779.0</v>
      </c>
      <c r="B781" s="13">
        <v>895.0</v>
      </c>
      <c r="C781" s="13">
        <v>56.0</v>
      </c>
      <c r="D781" s="12" t="s">
        <v>1379</v>
      </c>
      <c r="E781" s="12" t="s">
        <v>1380</v>
      </c>
      <c r="F781" s="13">
        <v>5.0</v>
      </c>
      <c r="G781" s="13">
        <v>1.0</v>
      </c>
      <c r="H781" s="13">
        <v>1.0</v>
      </c>
      <c r="I781" s="13" t="s">
        <v>35</v>
      </c>
      <c r="J781" s="13" t="s">
        <v>46</v>
      </c>
      <c r="K781" s="13" t="s">
        <v>123</v>
      </c>
      <c r="L781" s="13"/>
    </row>
    <row r="782">
      <c r="A782" s="13">
        <v>780.0</v>
      </c>
      <c r="B782" s="13">
        <v>1072.0</v>
      </c>
      <c r="C782" s="13">
        <v>56.0</v>
      </c>
      <c r="D782" s="12" t="s">
        <v>1381</v>
      </c>
      <c r="E782" s="12" t="s">
        <v>1382</v>
      </c>
      <c r="F782" s="13">
        <v>2.0</v>
      </c>
      <c r="G782" s="13">
        <v>0.0</v>
      </c>
      <c r="H782" s="13">
        <v>0.0</v>
      </c>
      <c r="I782" s="13" t="s">
        <v>35</v>
      </c>
      <c r="J782" s="13" t="s">
        <v>36</v>
      </c>
      <c r="K782" s="13" t="s">
        <v>36</v>
      </c>
      <c r="L782" s="13"/>
    </row>
    <row r="783">
      <c r="A783" s="13">
        <v>781.0</v>
      </c>
      <c r="B783" s="13">
        <v>895.0</v>
      </c>
      <c r="C783" s="13">
        <v>23.0</v>
      </c>
      <c r="D783" s="12" t="s">
        <v>1383</v>
      </c>
      <c r="E783" s="12" t="s">
        <v>1384</v>
      </c>
      <c r="F783" s="13">
        <v>5.0</v>
      </c>
      <c r="G783" s="13">
        <v>1.0</v>
      </c>
      <c r="H783" s="13">
        <v>0.0</v>
      </c>
      <c r="I783" s="13" t="s">
        <v>35</v>
      </c>
      <c r="J783" s="13" t="s">
        <v>46</v>
      </c>
      <c r="K783" s="13" t="s">
        <v>123</v>
      </c>
      <c r="L783" s="13"/>
    </row>
    <row r="784">
      <c r="A784" s="13">
        <v>782.0</v>
      </c>
      <c r="B784" s="13">
        <v>945.0</v>
      </c>
      <c r="C784" s="13">
        <v>53.0</v>
      </c>
      <c r="D784" s="12" t="s">
        <v>1385</v>
      </c>
      <c r="E784" s="12" t="s">
        <v>1386</v>
      </c>
      <c r="F784" s="13">
        <v>1.0</v>
      </c>
      <c r="G784" s="13">
        <v>0.0</v>
      </c>
      <c r="H784" s="13">
        <v>12.0</v>
      </c>
      <c r="I784" s="13" t="s">
        <v>35</v>
      </c>
      <c r="J784" s="13" t="s">
        <v>46</v>
      </c>
      <c r="K784" s="13" t="s">
        <v>95</v>
      </c>
      <c r="L784" s="13"/>
    </row>
    <row r="785">
      <c r="A785" s="13">
        <v>783.0</v>
      </c>
      <c r="B785" s="13">
        <v>895.0</v>
      </c>
      <c r="C785" s="13">
        <v>47.0</v>
      </c>
      <c r="D785" s="12" t="s">
        <v>1387</v>
      </c>
      <c r="E785" s="12" t="s">
        <v>1388</v>
      </c>
      <c r="F785" s="13">
        <v>3.0</v>
      </c>
      <c r="G785" s="13">
        <v>0.0</v>
      </c>
      <c r="H785" s="13">
        <v>0.0</v>
      </c>
      <c r="I785" s="13" t="s">
        <v>35</v>
      </c>
      <c r="J785" s="13" t="s">
        <v>46</v>
      </c>
      <c r="K785" s="13" t="s">
        <v>123</v>
      </c>
      <c r="L785" s="13"/>
    </row>
    <row r="786">
      <c r="A786" s="13">
        <v>784.0</v>
      </c>
      <c r="B786" s="13">
        <v>850.0</v>
      </c>
      <c r="C786" s="13">
        <v>45.0</v>
      </c>
      <c r="D786" s="12" t="s">
        <v>1389</v>
      </c>
      <c r="E786" s="12" t="s">
        <v>1390</v>
      </c>
      <c r="F786" s="13">
        <v>4.0</v>
      </c>
      <c r="G786" s="13">
        <v>1.0</v>
      </c>
      <c r="H786" s="13">
        <v>0.0</v>
      </c>
      <c r="I786" s="13" t="s">
        <v>35</v>
      </c>
      <c r="J786" s="13" t="s">
        <v>46</v>
      </c>
      <c r="K786" s="13" t="s">
        <v>47</v>
      </c>
      <c r="L786" s="13"/>
    </row>
    <row r="787">
      <c r="A787" s="13">
        <v>785.0</v>
      </c>
      <c r="B787" s="13">
        <v>945.0</v>
      </c>
      <c r="C787" s="13">
        <v>33.0</v>
      </c>
      <c r="D787" s="12" t="s">
        <v>1391</v>
      </c>
      <c r="E787" s="12" t="s">
        <v>1392</v>
      </c>
      <c r="F787" s="13">
        <v>5.0</v>
      </c>
      <c r="G787" s="13">
        <v>1.0</v>
      </c>
      <c r="H787" s="13">
        <v>0.0</v>
      </c>
      <c r="I787" s="13" t="s">
        <v>35</v>
      </c>
      <c r="J787" s="13" t="s">
        <v>46</v>
      </c>
      <c r="K787" s="13" t="s">
        <v>95</v>
      </c>
      <c r="L787" s="13"/>
    </row>
    <row r="788">
      <c r="A788" s="13">
        <v>786.0</v>
      </c>
      <c r="B788" s="13">
        <v>895.0</v>
      </c>
      <c r="C788" s="13">
        <v>56.0</v>
      </c>
      <c r="D788" s="12" t="s">
        <v>1393</v>
      </c>
      <c r="E788" s="12" t="s">
        <v>1394</v>
      </c>
      <c r="F788" s="13">
        <v>4.0</v>
      </c>
      <c r="G788" s="13">
        <v>1.0</v>
      </c>
      <c r="H788" s="13">
        <v>1.0</v>
      </c>
      <c r="I788" s="13" t="s">
        <v>35</v>
      </c>
      <c r="J788" s="13" t="s">
        <v>46</v>
      </c>
      <c r="K788" s="13" t="s">
        <v>123</v>
      </c>
      <c r="L788" s="13"/>
    </row>
    <row r="789">
      <c r="A789" s="13">
        <v>787.0</v>
      </c>
      <c r="B789" s="13">
        <v>805.0</v>
      </c>
      <c r="C789" s="13">
        <v>43.0</v>
      </c>
      <c r="D789" s="12" t="s">
        <v>1395</v>
      </c>
      <c r="E789" s="12" t="s">
        <v>1396</v>
      </c>
      <c r="F789" s="13">
        <v>3.0</v>
      </c>
      <c r="G789" s="13">
        <v>0.0</v>
      </c>
      <c r="H789" s="13">
        <v>2.0</v>
      </c>
      <c r="I789" s="13" t="s">
        <v>31</v>
      </c>
      <c r="J789" s="13" t="s">
        <v>32</v>
      </c>
      <c r="K789" s="13" t="s">
        <v>92</v>
      </c>
      <c r="L789" s="13"/>
    </row>
    <row r="790">
      <c r="A790" s="13">
        <v>788.0</v>
      </c>
      <c r="B790" s="13">
        <v>850.0</v>
      </c>
      <c r="C790" s="13">
        <v>49.0</v>
      </c>
      <c r="D790" s="12" t="s">
        <v>1397</v>
      </c>
      <c r="E790" s="12" t="s">
        <v>1398</v>
      </c>
      <c r="F790" s="13">
        <v>5.0</v>
      </c>
      <c r="G790" s="13">
        <v>1.0</v>
      </c>
      <c r="H790" s="13">
        <v>1.0</v>
      </c>
      <c r="I790" s="13" t="s">
        <v>35</v>
      </c>
      <c r="J790" s="13" t="s">
        <v>46</v>
      </c>
      <c r="K790" s="13" t="s">
        <v>47</v>
      </c>
      <c r="L790" s="13"/>
    </row>
    <row r="791">
      <c r="A791" s="13">
        <v>789.0</v>
      </c>
      <c r="B791" s="13">
        <v>850.0</v>
      </c>
      <c r="C791" s="13">
        <v>36.0</v>
      </c>
      <c r="D791" s="12" t="s">
        <v>1399</v>
      </c>
      <c r="E791" s="12" t="s">
        <v>1400</v>
      </c>
      <c r="F791" s="13">
        <v>4.0</v>
      </c>
      <c r="G791" s="13">
        <v>1.0</v>
      </c>
      <c r="H791" s="13">
        <v>0.0</v>
      </c>
      <c r="I791" s="13" t="s">
        <v>35</v>
      </c>
      <c r="J791" s="13" t="s">
        <v>46</v>
      </c>
      <c r="K791" s="13" t="s">
        <v>47</v>
      </c>
      <c r="L791" s="13"/>
    </row>
    <row r="792">
      <c r="A792" s="13">
        <v>790.0</v>
      </c>
      <c r="B792" s="13">
        <v>895.0</v>
      </c>
      <c r="C792" s="13">
        <v>58.0</v>
      </c>
      <c r="D792" s="12" t="s">
        <v>1401</v>
      </c>
      <c r="E792" s="12" t="s">
        <v>1402</v>
      </c>
      <c r="F792" s="13">
        <v>3.0</v>
      </c>
      <c r="G792" s="13">
        <v>1.0</v>
      </c>
      <c r="H792" s="13">
        <v>1.0</v>
      </c>
      <c r="I792" s="13" t="s">
        <v>35</v>
      </c>
      <c r="J792" s="13" t="s">
        <v>46</v>
      </c>
      <c r="K792" s="13" t="s">
        <v>123</v>
      </c>
      <c r="L792" s="13"/>
    </row>
    <row r="793">
      <c r="A793" s="13">
        <v>791.0</v>
      </c>
      <c r="B793" s="13">
        <v>1072.0</v>
      </c>
      <c r="C793" s="13">
        <v>35.0</v>
      </c>
      <c r="D793" s="12" t="s">
        <v>1403</v>
      </c>
      <c r="E793" s="12" t="s">
        <v>1404</v>
      </c>
      <c r="F793" s="13">
        <v>5.0</v>
      </c>
      <c r="G793" s="13">
        <v>1.0</v>
      </c>
      <c r="H793" s="13">
        <v>3.0</v>
      </c>
      <c r="I793" s="13" t="s">
        <v>35</v>
      </c>
      <c r="J793" s="13" t="s">
        <v>36</v>
      </c>
      <c r="K793" s="13" t="s">
        <v>36</v>
      </c>
      <c r="L793" s="13"/>
    </row>
    <row r="794">
      <c r="A794" s="13">
        <v>792.0</v>
      </c>
      <c r="B794" s="13">
        <v>805.0</v>
      </c>
      <c r="C794" s="13">
        <v>66.0</v>
      </c>
      <c r="D794" s="12" t="s">
        <v>64</v>
      </c>
      <c r="E794" s="12" t="s">
        <v>1405</v>
      </c>
      <c r="F794" s="13">
        <v>4.0</v>
      </c>
      <c r="G794" s="13">
        <v>1.0</v>
      </c>
      <c r="H794" s="13">
        <v>3.0</v>
      </c>
      <c r="I794" s="13" t="s">
        <v>31</v>
      </c>
      <c r="J794" s="13" t="s">
        <v>32</v>
      </c>
      <c r="K794" s="13" t="s">
        <v>92</v>
      </c>
      <c r="L794" s="13"/>
    </row>
    <row r="795">
      <c r="A795" s="13">
        <v>793.0</v>
      </c>
      <c r="B795" s="13">
        <v>945.0</v>
      </c>
      <c r="C795" s="13">
        <v>43.0</v>
      </c>
      <c r="D795" s="12" t="s">
        <v>1406</v>
      </c>
      <c r="E795" s="12" t="s">
        <v>1407</v>
      </c>
      <c r="F795" s="13">
        <v>1.0</v>
      </c>
      <c r="G795" s="13">
        <v>0.0</v>
      </c>
      <c r="H795" s="13">
        <v>8.0</v>
      </c>
      <c r="I795" s="13" t="s">
        <v>35</v>
      </c>
      <c r="J795" s="13" t="s">
        <v>46</v>
      </c>
      <c r="K795" s="13" t="s">
        <v>95</v>
      </c>
      <c r="L795" s="13"/>
    </row>
    <row r="796">
      <c r="A796" s="13">
        <v>794.0</v>
      </c>
      <c r="B796" s="13">
        <v>833.0</v>
      </c>
      <c r="C796" s="13">
        <v>42.0</v>
      </c>
      <c r="D796" s="12" t="s">
        <v>1408</v>
      </c>
      <c r="E796" s="12" t="s">
        <v>1409</v>
      </c>
      <c r="F796" s="13">
        <v>3.0</v>
      </c>
      <c r="G796" s="13">
        <v>0.0</v>
      </c>
      <c r="H796" s="13">
        <v>12.0</v>
      </c>
      <c r="I796" s="13" t="s">
        <v>41</v>
      </c>
      <c r="J796" s="13" t="s">
        <v>46</v>
      </c>
      <c r="K796" s="13" t="s">
        <v>47</v>
      </c>
      <c r="L796" s="13"/>
    </row>
    <row r="797">
      <c r="A797" s="13">
        <v>795.0</v>
      </c>
      <c r="B797" s="13">
        <v>833.0</v>
      </c>
      <c r="C797" s="13">
        <v>43.0</v>
      </c>
      <c r="D797" s="12" t="s">
        <v>1410</v>
      </c>
      <c r="E797" s="12" t="s">
        <v>1411</v>
      </c>
      <c r="F797" s="13">
        <v>5.0</v>
      </c>
      <c r="G797" s="13">
        <v>1.0</v>
      </c>
      <c r="H797" s="13">
        <v>3.0</v>
      </c>
      <c r="I797" s="13" t="s">
        <v>41</v>
      </c>
      <c r="J797" s="13" t="s">
        <v>46</v>
      </c>
      <c r="K797" s="13" t="s">
        <v>47</v>
      </c>
      <c r="L797" s="13"/>
    </row>
    <row r="798">
      <c r="A798" s="13">
        <v>796.0</v>
      </c>
      <c r="B798" s="13">
        <v>833.0</v>
      </c>
      <c r="C798" s="13">
        <v>54.0</v>
      </c>
      <c r="D798" s="12" t="s">
        <v>1412</v>
      </c>
      <c r="E798" s="12" t="s">
        <v>1413</v>
      </c>
      <c r="F798" s="13">
        <v>5.0</v>
      </c>
      <c r="G798" s="13">
        <v>1.0</v>
      </c>
      <c r="H798" s="13">
        <v>0.0</v>
      </c>
      <c r="I798" s="13" t="s">
        <v>41</v>
      </c>
      <c r="J798" s="13" t="s">
        <v>46</v>
      </c>
      <c r="K798" s="13" t="s">
        <v>47</v>
      </c>
      <c r="L798" s="13"/>
    </row>
    <row r="799">
      <c r="A799" s="13">
        <v>797.0</v>
      </c>
      <c r="B799" s="13">
        <v>850.0</v>
      </c>
      <c r="C799" s="13">
        <v>36.0</v>
      </c>
      <c r="D799" s="12"/>
      <c r="E799" s="12"/>
      <c r="F799" s="13">
        <v>5.0</v>
      </c>
      <c r="G799" s="13">
        <v>1.0</v>
      </c>
      <c r="H799" s="13">
        <v>0.0</v>
      </c>
      <c r="I799" s="13" t="s">
        <v>35</v>
      </c>
      <c r="J799" s="13" t="s">
        <v>46</v>
      </c>
      <c r="K799" s="13" t="s">
        <v>47</v>
      </c>
      <c r="L799" s="13"/>
    </row>
    <row r="800">
      <c r="A800" s="13">
        <v>798.0</v>
      </c>
      <c r="B800" s="13">
        <v>833.0</v>
      </c>
      <c r="C800" s="13">
        <v>43.0</v>
      </c>
      <c r="D800" s="12" t="s">
        <v>1414</v>
      </c>
      <c r="E800" s="12" t="s">
        <v>1415</v>
      </c>
      <c r="F800" s="13">
        <v>4.0</v>
      </c>
      <c r="G800" s="13">
        <v>1.0</v>
      </c>
      <c r="H800" s="13">
        <v>0.0</v>
      </c>
      <c r="I800" s="13" t="s">
        <v>41</v>
      </c>
      <c r="J800" s="13" t="s">
        <v>46</v>
      </c>
      <c r="K800" s="13" t="s">
        <v>47</v>
      </c>
      <c r="L800" s="13"/>
    </row>
    <row r="801">
      <c r="A801" s="13">
        <v>799.0</v>
      </c>
      <c r="B801" s="13">
        <v>1072.0</v>
      </c>
      <c r="C801" s="13">
        <v>68.0</v>
      </c>
      <c r="D801" s="12" t="s">
        <v>1416</v>
      </c>
      <c r="E801" s="12" t="s">
        <v>1417</v>
      </c>
      <c r="F801" s="13">
        <v>5.0</v>
      </c>
      <c r="G801" s="13">
        <v>1.0</v>
      </c>
      <c r="H801" s="13">
        <v>3.0</v>
      </c>
      <c r="I801" s="13" t="s">
        <v>35</v>
      </c>
      <c r="J801" s="13" t="s">
        <v>36</v>
      </c>
      <c r="K801" s="13" t="s">
        <v>36</v>
      </c>
      <c r="L801" s="13"/>
    </row>
    <row r="802">
      <c r="A802" s="13">
        <v>800.0</v>
      </c>
      <c r="B802" s="13">
        <v>895.0</v>
      </c>
      <c r="C802" s="13">
        <v>60.0</v>
      </c>
      <c r="D802" s="12" t="s">
        <v>1418</v>
      </c>
      <c r="E802" s="12" t="s">
        <v>1419</v>
      </c>
      <c r="F802" s="13">
        <v>4.0</v>
      </c>
      <c r="G802" s="13">
        <v>1.0</v>
      </c>
      <c r="H802" s="13">
        <v>0.0</v>
      </c>
      <c r="I802" s="13" t="s">
        <v>35</v>
      </c>
      <c r="J802" s="13" t="s">
        <v>46</v>
      </c>
      <c r="K802" s="13" t="s">
        <v>123</v>
      </c>
      <c r="L802" s="13"/>
    </row>
    <row r="803">
      <c r="A803" s="13">
        <v>801.0</v>
      </c>
      <c r="B803" s="13">
        <v>850.0</v>
      </c>
      <c r="C803" s="13">
        <v>32.0</v>
      </c>
      <c r="D803" s="12" t="s">
        <v>1420</v>
      </c>
      <c r="E803" s="12" t="s">
        <v>1421</v>
      </c>
      <c r="F803" s="13">
        <v>5.0</v>
      </c>
      <c r="G803" s="13">
        <v>1.0</v>
      </c>
      <c r="H803" s="13">
        <v>0.0</v>
      </c>
      <c r="I803" s="13" t="s">
        <v>35</v>
      </c>
      <c r="J803" s="13" t="s">
        <v>46</v>
      </c>
      <c r="K803" s="13" t="s">
        <v>47</v>
      </c>
      <c r="L803" s="13"/>
    </row>
    <row r="804">
      <c r="A804" s="13">
        <v>802.0</v>
      </c>
      <c r="B804" s="13">
        <v>833.0</v>
      </c>
      <c r="C804" s="13">
        <v>55.0</v>
      </c>
      <c r="D804" s="12" t="s">
        <v>526</v>
      </c>
      <c r="E804" s="12" t="s">
        <v>1422</v>
      </c>
      <c r="F804" s="13">
        <v>5.0</v>
      </c>
      <c r="G804" s="13">
        <v>1.0</v>
      </c>
      <c r="H804" s="13">
        <v>2.0</v>
      </c>
      <c r="I804" s="13" t="s">
        <v>41</v>
      </c>
      <c r="J804" s="13" t="s">
        <v>46</v>
      </c>
      <c r="K804" s="13" t="s">
        <v>47</v>
      </c>
      <c r="L804" s="13"/>
    </row>
    <row r="805">
      <c r="A805" s="13">
        <v>803.0</v>
      </c>
      <c r="B805" s="13">
        <v>895.0</v>
      </c>
      <c r="C805" s="13">
        <v>39.0</v>
      </c>
      <c r="D805" s="12" t="s">
        <v>480</v>
      </c>
      <c r="E805" s="12" t="s">
        <v>1423</v>
      </c>
      <c r="F805" s="13">
        <v>5.0</v>
      </c>
      <c r="G805" s="13">
        <v>1.0</v>
      </c>
      <c r="H805" s="13">
        <v>0.0</v>
      </c>
      <c r="I805" s="13" t="s">
        <v>35</v>
      </c>
      <c r="J805" s="13" t="s">
        <v>46</v>
      </c>
      <c r="K805" s="13" t="s">
        <v>123</v>
      </c>
      <c r="L805" s="13"/>
    </row>
    <row r="806">
      <c r="A806" s="13">
        <v>804.0</v>
      </c>
      <c r="B806" s="13">
        <v>895.0</v>
      </c>
      <c r="C806" s="13">
        <v>60.0</v>
      </c>
      <c r="D806" s="12" t="s">
        <v>1424</v>
      </c>
      <c r="E806" s="12" t="s">
        <v>1425</v>
      </c>
      <c r="F806" s="13">
        <v>5.0</v>
      </c>
      <c r="G806" s="13">
        <v>1.0</v>
      </c>
      <c r="H806" s="13">
        <v>1.0</v>
      </c>
      <c r="I806" s="13" t="s">
        <v>35</v>
      </c>
      <c r="J806" s="13" t="s">
        <v>46</v>
      </c>
      <c r="K806" s="13" t="s">
        <v>123</v>
      </c>
      <c r="L806" s="13"/>
    </row>
    <row r="807">
      <c r="A807" s="13">
        <v>805.0</v>
      </c>
      <c r="B807" s="13">
        <v>833.0</v>
      </c>
      <c r="C807" s="13">
        <v>42.0</v>
      </c>
      <c r="D807" s="12"/>
      <c r="E807" s="12"/>
      <c r="F807" s="13">
        <v>4.0</v>
      </c>
      <c r="G807" s="13">
        <v>1.0</v>
      </c>
      <c r="H807" s="13">
        <v>0.0</v>
      </c>
      <c r="I807" s="13" t="s">
        <v>41</v>
      </c>
      <c r="J807" s="13" t="s">
        <v>46</v>
      </c>
      <c r="K807" s="13" t="s">
        <v>47</v>
      </c>
      <c r="L807" s="13"/>
    </row>
    <row r="808">
      <c r="A808" s="13">
        <v>806.0</v>
      </c>
      <c r="B808" s="13">
        <v>895.0</v>
      </c>
      <c r="C808" s="13">
        <v>50.0</v>
      </c>
      <c r="D808" s="12" t="s">
        <v>1426</v>
      </c>
      <c r="E808" s="12" t="s">
        <v>1427</v>
      </c>
      <c r="F808" s="13">
        <v>2.0</v>
      </c>
      <c r="G808" s="13">
        <v>0.0</v>
      </c>
      <c r="H808" s="13">
        <v>0.0</v>
      </c>
      <c r="I808" s="13" t="s">
        <v>35</v>
      </c>
      <c r="J808" s="13" t="s">
        <v>46</v>
      </c>
      <c r="K808" s="13" t="s">
        <v>123</v>
      </c>
      <c r="L808" s="13"/>
    </row>
    <row r="809">
      <c r="A809" s="13">
        <v>807.0</v>
      </c>
      <c r="B809" s="13">
        <v>886.0</v>
      </c>
      <c r="C809" s="13">
        <v>23.0</v>
      </c>
      <c r="D809" s="12" t="s">
        <v>1428</v>
      </c>
      <c r="E809" s="12" t="s">
        <v>1429</v>
      </c>
      <c r="F809" s="13">
        <v>2.0</v>
      </c>
      <c r="G809" s="13">
        <v>0.0</v>
      </c>
      <c r="H809" s="13">
        <v>14.0</v>
      </c>
      <c r="I809" s="13" t="s">
        <v>41</v>
      </c>
      <c r="J809" s="13" t="s">
        <v>46</v>
      </c>
      <c r="K809" s="13" t="s">
        <v>52</v>
      </c>
      <c r="L809" s="13"/>
    </row>
    <row r="810">
      <c r="A810" s="13">
        <v>808.0</v>
      </c>
      <c r="B810" s="13">
        <v>886.0</v>
      </c>
      <c r="C810" s="13">
        <v>39.0</v>
      </c>
      <c r="D810" s="12"/>
      <c r="E810" s="12" t="s">
        <v>1430</v>
      </c>
      <c r="F810" s="13">
        <v>3.0</v>
      </c>
      <c r="G810" s="13">
        <v>1.0</v>
      </c>
      <c r="H810" s="13">
        <v>0.0</v>
      </c>
      <c r="I810" s="13" t="s">
        <v>41</v>
      </c>
      <c r="J810" s="13" t="s">
        <v>46</v>
      </c>
      <c r="K810" s="13" t="s">
        <v>52</v>
      </c>
      <c r="L810" s="13"/>
    </row>
    <row r="811">
      <c r="A811" s="13">
        <v>809.0</v>
      </c>
      <c r="B811" s="13">
        <v>886.0</v>
      </c>
      <c r="C811" s="13">
        <v>32.0</v>
      </c>
      <c r="D811" s="12" t="s">
        <v>596</v>
      </c>
      <c r="E811" s="12" t="s">
        <v>1431</v>
      </c>
      <c r="F811" s="13">
        <v>5.0</v>
      </c>
      <c r="G811" s="13">
        <v>1.0</v>
      </c>
      <c r="H811" s="13">
        <v>0.0</v>
      </c>
      <c r="I811" s="13" t="s">
        <v>41</v>
      </c>
      <c r="J811" s="13" t="s">
        <v>46</v>
      </c>
      <c r="K811" s="13" t="s">
        <v>52</v>
      </c>
      <c r="L811" s="13"/>
    </row>
    <row r="812">
      <c r="A812" s="13">
        <v>810.0</v>
      </c>
      <c r="B812" s="13">
        <v>886.0</v>
      </c>
      <c r="C812" s="13">
        <v>56.0</v>
      </c>
      <c r="D812" s="12" t="s">
        <v>1432</v>
      </c>
      <c r="E812" s="12" t="s">
        <v>1433</v>
      </c>
      <c r="F812" s="13">
        <v>5.0</v>
      </c>
      <c r="G812" s="13">
        <v>1.0</v>
      </c>
      <c r="H812" s="13">
        <v>0.0</v>
      </c>
      <c r="I812" s="13" t="s">
        <v>41</v>
      </c>
      <c r="J812" s="13" t="s">
        <v>46</v>
      </c>
      <c r="K812" s="13" t="s">
        <v>52</v>
      </c>
      <c r="L812" s="13"/>
    </row>
    <row r="813">
      <c r="A813" s="13">
        <v>811.0</v>
      </c>
      <c r="B813" s="13">
        <v>1078.0</v>
      </c>
      <c r="C813" s="13">
        <v>61.0</v>
      </c>
      <c r="D813" s="12" t="s">
        <v>55</v>
      </c>
      <c r="E813" s="12" t="s">
        <v>1434</v>
      </c>
      <c r="F813" s="13">
        <v>5.0</v>
      </c>
      <c r="G813" s="13">
        <v>1.0</v>
      </c>
      <c r="H813" s="13">
        <v>7.0</v>
      </c>
      <c r="I813" s="13" t="s">
        <v>41</v>
      </c>
      <c r="J813" s="13" t="s">
        <v>36</v>
      </c>
      <c r="K813" s="13" t="s">
        <v>36</v>
      </c>
      <c r="L813" s="13"/>
    </row>
    <row r="814">
      <c r="A814" s="13">
        <v>812.0</v>
      </c>
      <c r="B814" s="13">
        <v>1089.0</v>
      </c>
      <c r="C814" s="13">
        <v>34.0</v>
      </c>
      <c r="D814" s="12" t="s">
        <v>139</v>
      </c>
      <c r="E814" s="12" t="s">
        <v>1435</v>
      </c>
      <c r="F814" s="13">
        <v>5.0</v>
      </c>
      <c r="G814" s="13">
        <v>1.0</v>
      </c>
      <c r="H814" s="13">
        <v>0.0</v>
      </c>
      <c r="I814" s="13" t="s">
        <v>41</v>
      </c>
      <c r="J814" s="13" t="s">
        <v>36</v>
      </c>
      <c r="K814" s="13" t="s">
        <v>36</v>
      </c>
      <c r="L814" s="13"/>
    </row>
    <row r="815">
      <c r="A815" s="13">
        <v>813.0</v>
      </c>
      <c r="B815" s="13">
        <v>895.0</v>
      </c>
      <c r="C815" s="13">
        <v>48.0</v>
      </c>
      <c r="D815" s="12" t="s">
        <v>1436</v>
      </c>
      <c r="E815" s="12" t="s">
        <v>1437</v>
      </c>
      <c r="F815" s="13">
        <v>3.0</v>
      </c>
      <c r="G815" s="13">
        <v>0.0</v>
      </c>
      <c r="H815" s="13">
        <v>2.0</v>
      </c>
      <c r="I815" s="13" t="s">
        <v>35</v>
      </c>
      <c r="J815" s="13" t="s">
        <v>46</v>
      </c>
      <c r="K815" s="13" t="s">
        <v>123</v>
      </c>
      <c r="L815" s="13"/>
    </row>
    <row r="816">
      <c r="A816" s="13">
        <v>814.0</v>
      </c>
      <c r="B816" s="13">
        <v>886.0</v>
      </c>
      <c r="C816" s="13">
        <v>34.0</v>
      </c>
      <c r="D816" s="12" t="s">
        <v>1438</v>
      </c>
      <c r="E816" s="12" t="s">
        <v>1439</v>
      </c>
      <c r="F816" s="13">
        <v>2.0</v>
      </c>
      <c r="G816" s="13">
        <v>0.0</v>
      </c>
      <c r="H816" s="13">
        <v>0.0</v>
      </c>
      <c r="I816" s="13" t="s">
        <v>41</v>
      </c>
      <c r="J816" s="13" t="s">
        <v>46</v>
      </c>
      <c r="K816" s="13" t="s">
        <v>52</v>
      </c>
      <c r="L816" s="13"/>
    </row>
    <row r="817">
      <c r="A817" s="13">
        <v>815.0</v>
      </c>
      <c r="B817" s="13">
        <v>895.0</v>
      </c>
      <c r="C817" s="13">
        <v>42.0</v>
      </c>
      <c r="D817" s="12" t="s">
        <v>1440</v>
      </c>
      <c r="E817" s="12" t="s">
        <v>1441</v>
      </c>
      <c r="F817" s="13">
        <v>3.0</v>
      </c>
      <c r="G817" s="13">
        <v>0.0</v>
      </c>
      <c r="H817" s="13">
        <v>0.0</v>
      </c>
      <c r="I817" s="13" t="s">
        <v>35</v>
      </c>
      <c r="J817" s="13" t="s">
        <v>46</v>
      </c>
      <c r="K817" s="13" t="s">
        <v>123</v>
      </c>
      <c r="L817" s="13"/>
    </row>
    <row r="818">
      <c r="A818" s="13">
        <v>816.0</v>
      </c>
      <c r="B818" s="13">
        <v>1105.0</v>
      </c>
      <c r="C818" s="13">
        <v>49.0</v>
      </c>
      <c r="D818" s="12" t="s">
        <v>779</v>
      </c>
      <c r="E818" s="12" t="s">
        <v>1442</v>
      </c>
      <c r="F818" s="13">
        <v>4.0</v>
      </c>
      <c r="G818" s="13">
        <v>1.0</v>
      </c>
      <c r="H818" s="13">
        <v>0.0</v>
      </c>
      <c r="I818" s="13" t="s">
        <v>35</v>
      </c>
      <c r="J818" s="13" t="s">
        <v>36</v>
      </c>
      <c r="K818" s="13" t="s">
        <v>36</v>
      </c>
      <c r="L818" s="13"/>
    </row>
    <row r="819">
      <c r="A819" s="13">
        <v>817.0</v>
      </c>
      <c r="B819" s="13">
        <v>886.0</v>
      </c>
      <c r="C819" s="13">
        <v>29.0</v>
      </c>
      <c r="D819" s="12" t="s">
        <v>1443</v>
      </c>
      <c r="E819" s="12" t="s">
        <v>1444</v>
      </c>
      <c r="F819" s="13">
        <v>4.0</v>
      </c>
      <c r="G819" s="13">
        <v>1.0</v>
      </c>
      <c r="H819" s="13">
        <v>0.0</v>
      </c>
      <c r="I819" s="13" t="s">
        <v>41</v>
      </c>
      <c r="J819" s="13" t="s">
        <v>46</v>
      </c>
      <c r="K819" s="13" t="s">
        <v>52</v>
      </c>
      <c r="L819" s="13"/>
    </row>
    <row r="820">
      <c r="A820" s="13">
        <v>818.0</v>
      </c>
      <c r="B820" s="13">
        <v>886.0</v>
      </c>
      <c r="C820" s="13">
        <v>43.0</v>
      </c>
      <c r="D820" s="12" t="s">
        <v>1445</v>
      </c>
      <c r="E820" s="12" t="s">
        <v>1446</v>
      </c>
      <c r="F820" s="13">
        <v>2.0</v>
      </c>
      <c r="G820" s="13">
        <v>0.0</v>
      </c>
      <c r="H820" s="13">
        <v>0.0</v>
      </c>
      <c r="I820" s="13" t="s">
        <v>41</v>
      </c>
      <c r="J820" s="13" t="s">
        <v>46</v>
      </c>
      <c r="K820" s="13" t="s">
        <v>52</v>
      </c>
      <c r="L820" s="13"/>
    </row>
    <row r="821">
      <c r="A821" s="13">
        <v>819.0</v>
      </c>
      <c r="B821" s="13">
        <v>886.0</v>
      </c>
      <c r="C821" s="13">
        <v>63.0</v>
      </c>
      <c r="D821" s="12" t="s">
        <v>1447</v>
      </c>
      <c r="E821" s="12" t="s">
        <v>1448</v>
      </c>
      <c r="F821" s="13">
        <v>3.0</v>
      </c>
      <c r="G821" s="13">
        <v>1.0</v>
      </c>
      <c r="H821" s="13">
        <v>1.0</v>
      </c>
      <c r="I821" s="13" t="s">
        <v>41</v>
      </c>
      <c r="J821" s="13" t="s">
        <v>46</v>
      </c>
      <c r="K821" s="13" t="s">
        <v>52</v>
      </c>
      <c r="L821" s="13"/>
    </row>
    <row r="822">
      <c r="A822" s="13">
        <v>820.0</v>
      </c>
      <c r="B822" s="13">
        <v>969.0</v>
      </c>
      <c r="C822" s="13">
        <v>34.0</v>
      </c>
      <c r="D822" s="12" t="s">
        <v>1449</v>
      </c>
      <c r="E822" s="12" t="s">
        <v>1450</v>
      </c>
      <c r="F822" s="13">
        <v>5.0</v>
      </c>
      <c r="G822" s="13">
        <v>1.0</v>
      </c>
      <c r="H822" s="13">
        <v>0.0</v>
      </c>
      <c r="I822" s="13" t="s">
        <v>35</v>
      </c>
      <c r="J822" s="13" t="s">
        <v>76</v>
      </c>
      <c r="K822" s="13" t="s">
        <v>76</v>
      </c>
      <c r="L822" s="13"/>
    </row>
    <row r="823">
      <c r="A823" s="13">
        <v>821.0</v>
      </c>
      <c r="B823" s="13">
        <v>886.0</v>
      </c>
      <c r="C823" s="13">
        <v>60.0</v>
      </c>
      <c r="D823" s="12" t="s">
        <v>1451</v>
      </c>
      <c r="E823" s="12" t="s">
        <v>1452</v>
      </c>
      <c r="F823" s="13">
        <v>4.0</v>
      </c>
      <c r="G823" s="13">
        <v>1.0</v>
      </c>
      <c r="H823" s="13">
        <v>2.0</v>
      </c>
      <c r="I823" s="13" t="s">
        <v>41</v>
      </c>
      <c r="J823" s="13" t="s">
        <v>46</v>
      </c>
      <c r="K823" s="13" t="s">
        <v>52</v>
      </c>
      <c r="L823" s="13"/>
    </row>
    <row r="824">
      <c r="A824" s="13">
        <v>822.0</v>
      </c>
      <c r="B824" s="13">
        <v>1078.0</v>
      </c>
      <c r="C824" s="13">
        <v>39.0</v>
      </c>
      <c r="D824" s="12" t="s">
        <v>1453</v>
      </c>
      <c r="E824" s="12" t="s">
        <v>1454</v>
      </c>
      <c r="F824" s="13">
        <v>5.0</v>
      </c>
      <c r="G824" s="13">
        <v>1.0</v>
      </c>
      <c r="H824" s="13">
        <v>2.0</v>
      </c>
      <c r="I824" s="13" t="s">
        <v>41</v>
      </c>
      <c r="J824" s="13" t="s">
        <v>36</v>
      </c>
      <c r="K824" s="13" t="s">
        <v>36</v>
      </c>
      <c r="L824" s="13"/>
    </row>
    <row r="825">
      <c r="A825" s="13">
        <v>823.0</v>
      </c>
      <c r="B825" s="13">
        <v>1060.0</v>
      </c>
      <c r="C825" s="13">
        <v>39.0</v>
      </c>
      <c r="D825" s="12" t="s">
        <v>1455</v>
      </c>
      <c r="E825" s="12" t="s">
        <v>1456</v>
      </c>
      <c r="F825" s="13">
        <v>4.0</v>
      </c>
      <c r="G825" s="13">
        <v>1.0</v>
      </c>
      <c r="H825" s="13">
        <v>7.0</v>
      </c>
      <c r="I825" s="13" t="s">
        <v>41</v>
      </c>
      <c r="J825" s="13" t="s">
        <v>42</v>
      </c>
      <c r="K825" s="13" t="s">
        <v>43</v>
      </c>
      <c r="L825" s="13"/>
    </row>
    <row r="826">
      <c r="A826" s="13">
        <v>824.0</v>
      </c>
      <c r="B826" s="13">
        <v>886.0</v>
      </c>
      <c r="C826" s="13">
        <v>32.0</v>
      </c>
      <c r="D826" s="12" t="s">
        <v>1457</v>
      </c>
      <c r="E826" s="12" t="s">
        <v>1458</v>
      </c>
      <c r="F826" s="13">
        <v>5.0</v>
      </c>
      <c r="G826" s="13">
        <v>1.0</v>
      </c>
      <c r="H826" s="13">
        <v>24.0</v>
      </c>
      <c r="I826" s="13" t="s">
        <v>41</v>
      </c>
      <c r="J826" s="13" t="s">
        <v>46</v>
      </c>
      <c r="K826" s="13" t="s">
        <v>52</v>
      </c>
      <c r="L826" s="13"/>
    </row>
    <row r="827">
      <c r="A827" s="13">
        <v>825.0</v>
      </c>
      <c r="B827" s="13">
        <v>886.0</v>
      </c>
      <c r="C827" s="13">
        <v>39.0</v>
      </c>
      <c r="D827" s="12" t="s">
        <v>1459</v>
      </c>
      <c r="E827" s="12" t="s">
        <v>1460</v>
      </c>
      <c r="F827" s="13">
        <v>2.0</v>
      </c>
      <c r="G827" s="13">
        <v>0.0</v>
      </c>
      <c r="H827" s="13">
        <v>15.0</v>
      </c>
      <c r="I827" s="13" t="s">
        <v>41</v>
      </c>
      <c r="J827" s="13" t="s">
        <v>46</v>
      </c>
      <c r="K827" s="13" t="s">
        <v>52</v>
      </c>
      <c r="L827" s="13"/>
    </row>
    <row r="828">
      <c r="A828" s="13">
        <v>826.0</v>
      </c>
      <c r="B828" s="13">
        <v>895.0</v>
      </c>
      <c r="C828" s="13">
        <v>54.0</v>
      </c>
      <c r="D828" s="12" t="s">
        <v>910</v>
      </c>
      <c r="E828" s="12" t="s">
        <v>1461</v>
      </c>
      <c r="F828" s="13">
        <v>3.0</v>
      </c>
      <c r="G828" s="13">
        <v>0.0</v>
      </c>
      <c r="H828" s="13">
        <v>0.0</v>
      </c>
      <c r="I828" s="13" t="s">
        <v>35</v>
      </c>
      <c r="J828" s="13" t="s">
        <v>46</v>
      </c>
      <c r="K828" s="13" t="s">
        <v>123</v>
      </c>
      <c r="L828" s="13"/>
    </row>
    <row r="829">
      <c r="A829" s="13">
        <v>827.0</v>
      </c>
      <c r="B829" s="13">
        <v>895.0</v>
      </c>
      <c r="C829" s="13">
        <v>71.0</v>
      </c>
      <c r="D829" s="12" t="s">
        <v>1462</v>
      </c>
      <c r="E829" s="12" t="s">
        <v>1463</v>
      </c>
      <c r="F829" s="13">
        <v>4.0</v>
      </c>
      <c r="G829" s="13">
        <v>1.0</v>
      </c>
      <c r="H829" s="13">
        <v>0.0</v>
      </c>
      <c r="I829" s="13" t="s">
        <v>35</v>
      </c>
      <c r="J829" s="13" t="s">
        <v>46</v>
      </c>
      <c r="K829" s="13" t="s">
        <v>123</v>
      </c>
      <c r="L829" s="13"/>
    </row>
    <row r="830">
      <c r="A830" s="13">
        <v>828.0</v>
      </c>
      <c r="B830" s="13">
        <v>886.0</v>
      </c>
      <c r="C830" s="13">
        <v>46.0</v>
      </c>
      <c r="D830" s="12" t="s">
        <v>1464</v>
      </c>
      <c r="E830" s="12" t="s">
        <v>1465</v>
      </c>
      <c r="F830" s="13">
        <v>3.0</v>
      </c>
      <c r="G830" s="13">
        <v>0.0</v>
      </c>
      <c r="H830" s="13">
        <v>0.0</v>
      </c>
      <c r="I830" s="13" t="s">
        <v>41</v>
      </c>
      <c r="J830" s="13" t="s">
        <v>46</v>
      </c>
      <c r="K830" s="13" t="s">
        <v>52</v>
      </c>
      <c r="L830" s="13"/>
    </row>
    <row r="831">
      <c r="A831" s="13">
        <v>829.0</v>
      </c>
      <c r="B831" s="13">
        <v>895.0</v>
      </c>
      <c r="C831" s="13">
        <v>30.0</v>
      </c>
      <c r="D831" s="12" t="s">
        <v>1466</v>
      </c>
      <c r="E831" s="12" t="s">
        <v>1467</v>
      </c>
      <c r="F831" s="13">
        <v>2.0</v>
      </c>
      <c r="G831" s="13">
        <v>1.0</v>
      </c>
      <c r="H831" s="13">
        <v>0.0</v>
      </c>
      <c r="I831" s="13" t="s">
        <v>35</v>
      </c>
      <c r="J831" s="13" t="s">
        <v>46</v>
      </c>
      <c r="K831" s="13" t="s">
        <v>123</v>
      </c>
      <c r="L831" s="13"/>
    </row>
    <row r="832">
      <c r="A832" s="13">
        <v>830.0</v>
      </c>
      <c r="B832" s="13">
        <v>895.0</v>
      </c>
      <c r="C832" s="13">
        <v>59.0</v>
      </c>
      <c r="D832" s="12" t="s">
        <v>1468</v>
      </c>
      <c r="E832" s="12" t="s">
        <v>1469</v>
      </c>
      <c r="F832" s="13">
        <v>2.0</v>
      </c>
      <c r="G832" s="13">
        <v>0.0</v>
      </c>
      <c r="H832" s="13">
        <v>2.0</v>
      </c>
      <c r="I832" s="13" t="s">
        <v>35</v>
      </c>
      <c r="J832" s="13" t="s">
        <v>46</v>
      </c>
      <c r="K832" s="13" t="s">
        <v>123</v>
      </c>
      <c r="L832" s="13"/>
    </row>
    <row r="833">
      <c r="A833" s="13">
        <v>831.0</v>
      </c>
      <c r="B833" s="13">
        <v>1089.0</v>
      </c>
      <c r="C833" s="13">
        <v>26.0</v>
      </c>
      <c r="D833" s="12" t="s">
        <v>355</v>
      </c>
      <c r="E833" s="12" t="s">
        <v>1470</v>
      </c>
      <c r="F833" s="13">
        <v>3.0</v>
      </c>
      <c r="G833" s="13">
        <v>1.0</v>
      </c>
      <c r="H833" s="13">
        <v>2.0</v>
      </c>
      <c r="I833" s="13" t="s">
        <v>41</v>
      </c>
      <c r="J833" s="13" t="s">
        <v>36</v>
      </c>
      <c r="K833" s="13" t="s">
        <v>36</v>
      </c>
      <c r="L833" s="13"/>
    </row>
    <row r="834">
      <c r="A834" s="13">
        <v>832.0</v>
      </c>
      <c r="B834" s="13">
        <v>886.0</v>
      </c>
      <c r="C834" s="13">
        <v>46.0</v>
      </c>
      <c r="D834" s="12" t="s">
        <v>1471</v>
      </c>
      <c r="E834" s="12" t="s">
        <v>1472</v>
      </c>
      <c r="F834" s="13">
        <v>5.0</v>
      </c>
      <c r="G834" s="13">
        <v>1.0</v>
      </c>
      <c r="H834" s="13">
        <v>37.0</v>
      </c>
      <c r="I834" s="13" t="s">
        <v>41</v>
      </c>
      <c r="J834" s="13" t="s">
        <v>46</v>
      </c>
      <c r="K834" s="13" t="s">
        <v>52</v>
      </c>
      <c r="L834" s="13"/>
    </row>
    <row r="835">
      <c r="A835" s="13">
        <v>833.0</v>
      </c>
      <c r="B835" s="13">
        <v>895.0</v>
      </c>
      <c r="C835" s="13">
        <v>31.0</v>
      </c>
      <c r="D835" s="12"/>
      <c r="E835" s="12" t="s">
        <v>1473</v>
      </c>
      <c r="F835" s="13">
        <v>4.0</v>
      </c>
      <c r="G835" s="13">
        <v>1.0</v>
      </c>
      <c r="H835" s="13">
        <v>0.0</v>
      </c>
      <c r="I835" s="13" t="s">
        <v>35</v>
      </c>
      <c r="J835" s="13" t="s">
        <v>46</v>
      </c>
      <c r="K835" s="13" t="s">
        <v>123</v>
      </c>
      <c r="L835" s="13"/>
    </row>
    <row r="836">
      <c r="A836" s="13">
        <v>834.0</v>
      </c>
      <c r="B836" s="13">
        <v>868.0</v>
      </c>
      <c r="C836" s="13">
        <v>46.0</v>
      </c>
      <c r="D836" s="12"/>
      <c r="E836" s="12" t="s">
        <v>1474</v>
      </c>
      <c r="F836" s="13">
        <v>4.0</v>
      </c>
      <c r="G836" s="13">
        <v>1.0</v>
      </c>
      <c r="H836" s="13">
        <v>0.0</v>
      </c>
      <c r="I836" s="13" t="s">
        <v>35</v>
      </c>
      <c r="J836" s="13" t="s">
        <v>46</v>
      </c>
      <c r="K836" s="13" t="s">
        <v>52</v>
      </c>
      <c r="L836" s="13"/>
    </row>
    <row r="837">
      <c r="A837" s="13">
        <v>835.0</v>
      </c>
      <c r="B837" s="13">
        <v>895.0</v>
      </c>
      <c r="C837" s="13">
        <v>35.0</v>
      </c>
      <c r="D837" s="12" t="s">
        <v>1475</v>
      </c>
      <c r="E837" s="12" t="s">
        <v>1476</v>
      </c>
      <c r="F837" s="13">
        <v>2.0</v>
      </c>
      <c r="G837" s="13">
        <v>0.0</v>
      </c>
      <c r="H837" s="13">
        <v>1.0</v>
      </c>
      <c r="I837" s="13" t="s">
        <v>35</v>
      </c>
      <c r="J837" s="13" t="s">
        <v>46</v>
      </c>
      <c r="K837" s="13" t="s">
        <v>123</v>
      </c>
      <c r="L837" s="13"/>
    </row>
    <row r="838">
      <c r="A838" s="13">
        <v>836.0</v>
      </c>
      <c r="B838" s="13">
        <v>886.0</v>
      </c>
      <c r="C838" s="13">
        <v>61.0</v>
      </c>
      <c r="D838" s="12" t="s">
        <v>1477</v>
      </c>
      <c r="E838" s="12" t="s">
        <v>1478</v>
      </c>
      <c r="F838" s="13">
        <v>2.0</v>
      </c>
      <c r="G838" s="13">
        <v>0.0</v>
      </c>
      <c r="H838" s="13">
        <v>0.0</v>
      </c>
      <c r="I838" s="13" t="s">
        <v>41</v>
      </c>
      <c r="J838" s="13" t="s">
        <v>46</v>
      </c>
      <c r="K838" s="13" t="s">
        <v>52</v>
      </c>
      <c r="L838" s="13"/>
    </row>
    <row r="839">
      <c r="A839" s="13">
        <v>837.0</v>
      </c>
      <c r="B839" s="13">
        <v>886.0</v>
      </c>
      <c r="C839" s="13">
        <v>34.0</v>
      </c>
      <c r="D839" s="12"/>
      <c r="E839" s="12" t="s">
        <v>1479</v>
      </c>
      <c r="F839" s="13">
        <v>4.0</v>
      </c>
      <c r="G839" s="13">
        <v>0.0</v>
      </c>
      <c r="H839" s="13">
        <v>6.0</v>
      </c>
      <c r="I839" s="13" t="s">
        <v>41</v>
      </c>
      <c r="J839" s="13" t="s">
        <v>46</v>
      </c>
      <c r="K839" s="13" t="s">
        <v>52</v>
      </c>
      <c r="L839" s="13"/>
    </row>
    <row r="840">
      <c r="A840" s="13">
        <v>838.0</v>
      </c>
      <c r="B840" s="13">
        <v>886.0</v>
      </c>
      <c r="C840" s="13">
        <v>55.0</v>
      </c>
      <c r="D840" s="12"/>
      <c r="E840" s="12" t="s">
        <v>1480</v>
      </c>
      <c r="F840" s="13">
        <v>2.0</v>
      </c>
      <c r="G840" s="13">
        <v>0.0</v>
      </c>
      <c r="H840" s="13">
        <v>0.0</v>
      </c>
      <c r="I840" s="13" t="s">
        <v>41</v>
      </c>
      <c r="J840" s="13" t="s">
        <v>46</v>
      </c>
      <c r="K840" s="13" t="s">
        <v>52</v>
      </c>
      <c r="L840" s="13"/>
    </row>
    <row r="841">
      <c r="A841" s="13">
        <v>839.0</v>
      </c>
      <c r="B841" s="13">
        <v>1089.0</v>
      </c>
      <c r="C841" s="13">
        <v>36.0</v>
      </c>
      <c r="D841" s="12"/>
      <c r="E841" s="12" t="s">
        <v>1481</v>
      </c>
      <c r="F841" s="13">
        <v>5.0</v>
      </c>
      <c r="G841" s="13">
        <v>1.0</v>
      </c>
      <c r="H841" s="13">
        <v>6.0</v>
      </c>
      <c r="I841" s="13" t="s">
        <v>41</v>
      </c>
      <c r="J841" s="13" t="s">
        <v>36</v>
      </c>
      <c r="K841" s="13" t="s">
        <v>36</v>
      </c>
      <c r="L841" s="13"/>
    </row>
    <row r="842">
      <c r="A842" s="13">
        <v>840.0</v>
      </c>
      <c r="B842" s="13">
        <v>1078.0</v>
      </c>
      <c r="C842" s="13">
        <v>46.0</v>
      </c>
      <c r="D842" s="12" t="s">
        <v>1482</v>
      </c>
      <c r="E842" s="12" t="s">
        <v>1483</v>
      </c>
      <c r="F842" s="13">
        <v>5.0</v>
      </c>
      <c r="G842" s="13">
        <v>1.0</v>
      </c>
      <c r="H842" s="13">
        <v>0.0</v>
      </c>
      <c r="I842" s="13" t="s">
        <v>41</v>
      </c>
      <c r="J842" s="13" t="s">
        <v>36</v>
      </c>
      <c r="K842" s="13" t="s">
        <v>36</v>
      </c>
      <c r="L842" s="13"/>
    </row>
    <row r="843">
      <c r="A843" s="13">
        <v>841.0</v>
      </c>
      <c r="B843" s="13">
        <v>895.0</v>
      </c>
      <c r="C843" s="13">
        <v>49.0</v>
      </c>
      <c r="D843" s="12" t="s">
        <v>1484</v>
      </c>
      <c r="E843" s="12" t="s">
        <v>1485</v>
      </c>
      <c r="F843" s="13">
        <v>4.0</v>
      </c>
      <c r="G843" s="13">
        <v>1.0</v>
      </c>
      <c r="H843" s="13">
        <v>0.0</v>
      </c>
      <c r="I843" s="13" t="s">
        <v>35</v>
      </c>
      <c r="J843" s="13" t="s">
        <v>46</v>
      </c>
      <c r="K843" s="13" t="s">
        <v>123</v>
      </c>
      <c r="L843" s="13"/>
    </row>
    <row r="844">
      <c r="A844" s="13">
        <v>842.0</v>
      </c>
      <c r="B844" s="13">
        <v>975.0</v>
      </c>
      <c r="C844" s="13">
        <v>28.0</v>
      </c>
      <c r="D844" s="12" t="s">
        <v>1486</v>
      </c>
      <c r="E844" s="12" t="s">
        <v>1487</v>
      </c>
      <c r="F844" s="13">
        <v>3.0</v>
      </c>
      <c r="G844" s="13">
        <v>0.0</v>
      </c>
      <c r="H844" s="13">
        <v>0.0</v>
      </c>
      <c r="I844" s="13" t="s">
        <v>35</v>
      </c>
      <c r="J844" s="13" t="s">
        <v>76</v>
      </c>
      <c r="K844" s="13" t="s">
        <v>76</v>
      </c>
      <c r="L844" s="13"/>
    </row>
    <row r="845">
      <c r="A845" s="13">
        <v>843.0</v>
      </c>
      <c r="B845" s="13">
        <v>975.0</v>
      </c>
      <c r="C845" s="13">
        <v>74.0</v>
      </c>
      <c r="D845" s="12" t="s">
        <v>1488</v>
      </c>
      <c r="E845" s="12" t="s">
        <v>1489</v>
      </c>
      <c r="F845" s="13">
        <v>5.0</v>
      </c>
      <c r="G845" s="13">
        <v>1.0</v>
      </c>
      <c r="H845" s="13">
        <v>2.0</v>
      </c>
      <c r="I845" s="13" t="s">
        <v>35</v>
      </c>
      <c r="J845" s="13" t="s">
        <v>76</v>
      </c>
      <c r="K845" s="13" t="s">
        <v>76</v>
      </c>
      <c r="L845" s="13"/>
    </row>
    <row r="846">
      <c r="A846" s="13">
        <v>844.0</v>
      </c>
      <c r="B846" s="13">
        <v>886.0</v>
      </c>
      <c r="C846" s="13">
        <v>37.0</v>
      </c>
      <c r="D846" s="12"/>
      <c r="E846" s="12" t="s">
        <v>1490</v>
      </c>
      <c r="F846" s="13">
        <v>4.0</v>
      </c>
      <c r="G846" s="13">
        <v>1.0</v>
      </c>
      <c r="H846" s="13">
        <v>0.0</v>
      </c>
      <c r="I846" s="13" t="s">
        <v>41</v>
      </c>
      <c r="J846" s="13" t="s">
        <v>46</v>
      </c>
      <c r="K846" s="13" t="s">
        <v>52</v>
      </c>
      <c r="L846" s="13"/>
    </row>
    <row r="847">
      <c r="A847" s="13">
        <v>845.0</v>
      </c>
      <c r="B847" s="13">
        <v>548.0</v>
      </c>
      <c r="C847" s="13">
        <v>38.0</v>
      </c>
      <c r="D847" s="12"/>
      <c r="E847" s="12" t="s">
        <v>1491</v>
      </c>
      <c r="F847" s="13">
        <v>5.0</v>
      </c>
      <c r="G847" s="13">
        <v>1.0</v>
      </c>
      <c r="H847" s="13">
        <v>0.0</v>
      </c>
      <c r="I847" s="13" t="s">
        <v>35</v>
      </c>
      <c r="J847" s="13" t="s">
        <v>374</v>
      </c>
      <c r="K847" s="13" t="s">
        <v>374</v>
      </c>
      <c r="L847" s="13"/>
    </row>
    <row r="848">
      <c r="A848" s="13">
        <v>846.0</v>
      </c>
      <c r="B848" s="13">
        <v>1078.0</v>
      </c>
      <c r="C848" s="13">
        <v>82.0</v>
      </c>
      <c r="D848" s="12" t="s">
        <v>1492</v>
      </c>
      <c r="E848" s="12" t="s">
        <v>1493</v>
      </c>
      <c r="F848" s="13">
        <v>5.0</v>
      </c>
      <c r="G848" s="13">
        <v>1.0</v>
      </c>
      <c r="H848" s="13">
        <v>5.0</v>
      </c>
      <c r="I848" s="13" t="s">
        <v>41</v>
      </c>
      <c r="J848" s="13" t="s">
        <v>36</v>
      </c>
      <c r="K848" s="13" t="s">
        <v>36</v>
      </c>
      <c r="L848" s="13"/>
    </row>
    <row r="849">
      <c r="A849" s="13">
        <v>847.0</v>
      </c>
      <c r="B849" s="13">
        <v>1060.0</v>
      </c>
      <c r="C849" s="13">
        <v>49.0</v>
      </c>
      <c r="D849" s="12"/>
      <c r="E849" s="12" t="s">
        <v>1494</v>
      </c>
      <c r="F849" s="13">
        <v>1.0</v>
      </c>
      <c r="G849" s="13">
        <v>0.0</v>
      </c>
      <c r="H849" s="13">
        <v>7.0</v>
      </c>
      <c r="I849" s="13" t="s">
        <v>41</v>
      </c>
      <c r="J849" s="13" t="s">
        <v>42</v>
      </c>
      <c r="K849" s="13" t="s">
        <v>43</v>
      </c>
      <c r="L849" s="13"/>
    </row>
    <row r="850">
      <c r="A850" s="13">
        <v>848.0</v>
      </c>
      <c r="B850" s="13">
        <v>886.0</v>
      </c>
      <c r="C850" s="13">
        <v>41.0</v>
      </c>
      <c r="D850" s="12" t="s">
        <v>1495</v>
      </c>
      <c r="E850" s="12" t="s">
        <v>1496</v>
      </c>
      <c r="F850" s="13">
        <v>4.0</v>
      </c>
      <c r="G850" s="13">
        <v>1.0</v>
      </c>
      <c r="H850" s="13">
        <v>0.0</v>
      </c>
      <c r="I850" s="13" t="s">
        <v>41</v>
      </c>
      <c r="J850" s="13" t="s">
        <v>46</v>
      </c>
      <c r="K850" s="13" t="s">
        <v>52</v>
      </c>
      <c r="L850" s="13"/>
    </row>
    <row r="851">
      <c r="A851" s="13">
        <v>849.0</v>
      </c>
      <c r="B851" s="13">
        <v>886.0</v>
      </c>
      <c r="C851" s="13">
        <v>35.0</v>
      </c>
      <c r="D851" s="12" t="s">
        <v>1497</v>
      </c>
      <c r="E851" s="12" t="s">
        <v>1498</v>
      </c>
      <c r="F851" s="13">
        <v>5.0</v>
      </c>
      <c r="G851" s="13">
        <v>1.0</v>
      </c>
      <c r="H851" s="13">
        <v>0.0</v>
      </c>
      <c r="I851" s="13" t="s">
        <v>41</v>
      </c>
      <c r="J851" s="13" t="s">
        <v>46</v>
      </c>
      <c r="K851" s="13" t="s">
        <v>52</v>
      </c>
      <c r="L851" s="13"/>
    </row>
    <row r="852">
      <c r="A852" s="13">
        <v>850.0</v>
      </c>
      <c r="B852" s="13">
        <v>886.0</v>
      </c>
      <c r="C852" s="13">
        <v>23.0</v>
      </c>
      <c r="D852" s="12"/>
      <c r="E852" s="12" t="s">
        <v>1499</v>
      </c>
      <c r="F852" s="13">
        <v>5.0</v>
      </c>
      <c r="G852" s="13">
        <v>1.0</v>
      </c>
      <c r="H852" s="13">
        <v>0.0</v>
      </c>
      <c r="I852" s="13" t="s">
        <v>41</v>
      </c>
      <c r="J852" s="13" t="s">
        <v>46</v>
      </c>
      <c r="K852" s="13" t="s">
        <v>52</v>
      </c>
      <c r="L852" s="13"/>
    </row>
    <row r="853">
      <c r="A853" s="13">
        <v>851.0</v>
      </c>
      <c r="B853" s="13">
        <v>886.0</v>
      </c>
      <c r="C853" s="13">
        <v>37.0</v>
      </c>
      <c r="D853" s="12" t="s">
        <v>1399</v>
      </c>
      <c r="E853" s="12" t="s">
        <v>1500</v>
      </c>
      <c r="F853" s="13">
        <v>5.0</v>
      </c>
      <c r="G853" s="13">
        <v>1.0</v>
      </c>
      <c r="H853" s="13">
        <v>0.0</v>
      </c>
      <c r="I853" s="13" t="s">
        <v>41</v>
      </c>
      <c r="J853" s="13" t="s">
        <v>46</v>
      </c>
      <c r="K853" s="13" t="s">
        <v>52</v>
      </c>
      <c r="L853" s="13"/>
    </row>
    <row r="854">
      <c r="A854" s="13">
        <v>852.0</v>
      </c>
      <c r="B854" s="13">
        <v>1078.0</v>
      </c>
      <c r="C854" s="13">
        <v>41.0</v>
      </c>
      <c r="D854" s="12" t="s">
        <v>1501</v>
      </c>
      <c r="E854" s="12" t="s">
        <v>1502</v>
      </c>
      <c r="F854" s="13">
        <v>5.0</v>
      </c>
      <c r="G854" s="13">
        <v>1.0</v>
      </c>
      <c r="H854" s="13">
        <v>5.0</v>
      </c>
      <c r="I854" s="13" t="s">
        <v>35</v>
      </c>
      <c r="J854" s="13" t="s">
        <v>36</v>
      </c>
      <c r="K854" s="13" t="s">
        <v>36</v>
      </c>
      <c r="L854" s="13"/>
    </row>
    <row r="855">
      <c r="A855" s="13">
        <v>853.0</v>
      </c>
      <c r="B855" s="13">
        <v>1078.0</v>
      </c>
      <c r="C855" s="13">
        <v>56.0</v>
      </c>
      <c r="D855" s="12" t="s">
        <v>1503</v>
      </c>
      <c r="E855" s="12" t="s">
        <v>1504</v>
      </c>
      <c r="F855" s="13">
        <v>5.0</v>
      </c>
      <c r="G855" s="13">
        <v>1.0</v>
      </c>
      <c r="H855" s="13">
        <v>6.0</v>
      </c>
      <c r="I855" s="13" t="s">
        <v>35</v>
      </c>
      <c r="J855" s="13" t="s">
        <v>36</v>
      </c>
      <c r="K855" s="13" t="s">
        <v>36</v>
      </c>
      <c r="L855" s="13"/>
    </row>
    <row r="856">
      <c r="A856" s="13">
        <v>854.0</v>
      </c>
      <c r="B856" s="13">
        <v>1078.0</v>
      </c>
      <c r="C856" s="13">
        <v>42.0</v>
      </c>
      <c r="D856" s="12"/>
      <c r="E856" s="12" t="s">
        <v>1505</v>
      </c>
      <c r="F856" s="13">
        <v>5.0</v>
      </c>
      <c r="G856" s="13">
        <v>1.0</v>
      </c>
      <c r="H856" s="13">
        <v>1.0</v>
      </c>
      <c r="I856" s="13" t="s">
        <v>35</v>
      </c>
      <c r="J856" s="13" t="s">
        <v>36</v>
      </c>
      <c r="K856" s="13" t="s">
        <v>36</v>
      </c>
      <c r="L856" s="13"/>
    </row>
    <row r="857">
      <c r="A857" s="13">
        <v>855.0</v>
      </c>
      <c r="B857" s="13">
        <v>895.0</v>
      </c>
      <c r="C857" s="13">
        <v>30.0</v>
      </c>
      <c r="D857" s="12" t="s">
        <v>1506</v>
      </c>
      <c r="E857" s="12" t="s">
        <v>1507</v>
      </c>
      <c r="F857" s="13">
        <v>5.0</v>
      </c>
      <c r="G857" s="13">
        <v>1.0</v>
      </c>
      <c r="H857" s="13">
        <v>0.0</v>
      </c>
      <c r="I857" s="13" t="s">
        <v>35</v>
      </c>
      <c r="J857" s="13" t="s">
        <v>46</v>
      </c>
      <c r="K857" s="13" t="s">
        <v>123</v>
      </c>
      <c r="L857" s="13"/>
    </row>
    <row r="858">
      <c r="A858" s="13">
        <v>856.0</v>
      </c>
      <c r="B858" s="13">
        <v>886.0</v>
      </c>
      <c r="C858" s="13">
        <v>52.0</v>
      </c>
      <c r="D858" s="12"/>
      <c r="E858" s="12" t="s">
        <v>1508</v>
      </c>
      <c r="F858" s="13">
        <v>4.0</v>
      </c>
      <c r="G858" s="13">
        <v>1.0</v>
      </c>
      <c r="H858" s="13">
        <v>1.0</v>
      </c>
      <c r="I858" s="13" t="s">
        <v>41</v>
      </c>
      <c r="J858" s="13" t="s">
        <v>46</v>
      </c>
      <c r="K858" s="13" t="s">
        <v>52</v>
      </c>
      <c r="L858" s="13"/>
    </row>
    <row r="859">
      <c r="A859" s="13">
        <v>857.0</v>
      </c>
      <c r="B859" s="13">
        <v>594.0</v>
      </c>
      <c r="C859" s="13">
        <v>43.0</v>
      </c>
      <c r="D859" s="12"/>
      <c r="E859" s="12" t="s">
        <v>1509</v>
      </c>
      <c r="F859" s="13">
        <v>5.0</v>
      </c>
      <c r="G859" s="13">
        <v>1.0</v>
      </c>
      <c r="H859" s="13">
        <v>1.0</v>
      </c>
      <c r="I859" s="13" t="s">
        <v>31</v>
      </c>
      <c r="J859" s="13" t="s">
        <v>32</v>
      </c>
      <c r="K859" s="13" t="s">
        <v>92</v>
      </c>
      <c r="L859" s="13"/>
    </row>
    <row r="860">
      <c r="A860" s="13">
        <v>858.0</v>
      </c>
      <c r="B860" s="13">
        <v>895.0</v>
      </c>
      <c r="C860" s="13">
        <v>29.0</v>
      </c>
      <c r="D860" s="12" t="s">
        <v>1510</v>
      </c>
      <c r="E860" s="12" t="s">
        <v>1511</v>
      </c>
      <c r="F860" s="13">
        <v>3.0</v>
      </c>
      <c r="G860" s="13">
        <v>0.0</v>
      </c>
      <c r="H860" s="13">
        <v>1.0</v>
      </c>
      <c r="I860" s="13" t="s">
        <v>41</v>
      </c>
      <c r="J860" s="13" t="s">
        <v>46</v>
      </c>
      <c r="K860" s="13" t="s">
        <v>123</v>
      </c>
      <c r="L860" s="13"/>
    </row>
    <row r="861">
      <c r="A861" s="13">
        <v>859.0</v>
      </c>
      <c r="B861" s="13">
        <v>886.0</v>
      </c>
      <c r="C861" s="13">
        <v>27.0</v>
      </c>
      <c r="D861" s="12"/>
      <c r="E861" s="12" t="s">
        <v>1512</v>
      </c>
      <c r="F861" s="13">
        <v>5.0</v>
      </c>
      <c r="G861" s="13">
        <v>1.0</v>
      </c>
      <c r="H861" s="13">
        <v>1.0</v>
      </c>
      <c r="I861" s="13" t="s">
        <v>41</v>
      </c>
      <c r="J861" s="13" t="s">
        <v>46</v>
      </c>
      <c r="K861" s="13" t="s">
        <v>52</v>
      </c>
      <c r="L861" s="13"/>
    </row>
    <row r="862">
      <c r="A862" s="13">
        <v>860.0</v>
      </c>
      <c r="B862" s="13">
        <v>886.0</v>
      </c>
      <c r="C862" s="13">
        <v>26.0</v>
      </c>
      <c r="D862" s="12" t="s">
        <v>834</v>
      </c>
      <c r="E862" s="12" t="s">
        <v>1513</v>
      </c>
      <c r="F862" s="13">
        <v>5.0</v>
      </c>
      <c r="G862" s="13">
        <v>1.0</v>
      </c>
      <c r="H862" s="13">
        <v>0.0</v>
      </c>
      <c r="I862" s="13" t="s">
        <v>41</v>
      </c>
      <c r="J862" s="13" t="s">
        <v>46</v>
      </c>
      <c r="K862" s="13" t="s">
        <v>52</v>
      </c>
      <c r="L862" s="13"/>
    </row>
    <row r="863">
      <c r="A863" s="13">
        <v>861.0</v>
      </c>
      <c r="B863" s="13">
        <v>1089.0</v>
      </c>
      <c r="C863" s="13">
        <v>28.0</v>
      </c>
      <c r="D863" s="12" t="s">
        <v>1514</v>
      </c>
      <c r="E863" s="12" t="s">
        <v>1515</v>
      </c>
      <c r="F863" s="13">
        <v>5.0</v>
      </c>
      <c r="G863" s="13">
        <v>1.0</v>
      </c>
      <c r="H863" s="13">
        <v>2.0</v>
      </c>
      <c r="I863" s="13" t="s">
        <v>41</v>
      </c>
      <c r="J863" s="13" t="s">
        <v>36</v>
      </c>
      <c r="K863" s="13" t="s">
        <v>36</v>
      </c>
      <c r="L863" s="13"/>
    </row>
    <row r="864">
      <c r="A864" s="13">
        <v>862.0</v>
      </c>
      <c r="B864" s="13">
        <v>975.0</v>
      </c>
      <c r="C864" s="13">
        <v>45.0</v>
      </c>
      <c r="D864" s="12" t="s">
        <v>1516</v>
      </c>
      <c r="E864" s="12" t="s">
        <v>1517</v>
      </c>
      <c r="F864" s="13">
        <v>3.0</v>
      </c>
      <c r="G864" s="13">
        <v>1.0</v>
      </c>
      <c r="H864" s="13">
        <v>13.0</v>
      </c>
      <c r="I864" s="13" t="s">
        <v>35</v>
      </c>
      <c r="J864" s="13" t="s">
        <v>76</v>
      </c>
      <c r="K864" s="13" t="s">
        <v>76</v>
      </c>
      <c r="L864" s="13"/>
    </row>
    <row r="865">
      <c r="A865" s="13">
        <v>863.0</v>
      </c>
      <c r="B865" s="13">
        <v>886.0</v>
      </c>
      <c r="C865" s="13">
        <v>29.0</v>
      </c>
      <c r="D865" s="12" t="s">
        <v>1518</v>
      </c>
      <c r="E865" s="12" t="s">
        <v>1519</v>
      </c>
      <c r="F865" s="13">
        <v>5.0</v>
      </c>
      <c r="G865" s="13">
        <v>1.0</v>
      </c>
      <c r="H865" s="13">
        <v>0.0</v>
      </c>
      <c r="I865" s="13" t="s">
        <v>41</v>
      </c>
      <c r="J865" s="13" t="s">
        <v>46</v>
      </c>
      <c r="K865" s="13" t="s">
        <v>52</v>
      </c>
      <c r="L865" s="13"/>
    </row>
    <row r="866">
      <c r="A866" s="13">
        <v>864.0</v>
      </c>
      <c r="B866" s="13">
        <v>1078.0</v>
      </c>
      <c r="C866" s="13">
        <v>47.0</v>
      </c>
      <c r="D866" s="12" t="s">
        <v>1520</v>
      </c>
      <c r="E866" s="12" t="s">
        <v>1521</v>
      </c>
      <c r="F866" s="13">
        <v>4.0</v>
      </c>
      <c r="G866" s="13">
        <v>1.0</v>
      </c>
      <c r="H866" s="13">
        <v>0.0</v>
      </c>
      <c r="I866" s="13" t="s">
        <v>35</v>
      </c>
      <c r="J866" s="13" t="s">
        <v>36</v>
      </c>
      <c r="K866" s="13" t="s">
        <v>36</v>
      </c>
      <c r="L866" s="13"/>
    </row>
    <row r="867">
      <c r="A867" s="13">
        <v>865.0</v>
      </c>
      <c r="B867" s="13">
        <v>895.0</v>
      </c>
      <c r="C867" s="13">
        <v>28.0</v>
      </c>
      <c r="D867" s="12" t="s">
        <v>1522</v>
      </c>
      <c r="E867" s="12" t="s">
        <v>1523</v>
      </c>
      <c r="F867" s="13">
        <v>5.0</v>
      </c>
      <c r="G867" s="13">
        <v>1.0</v>
      </c>
      <c r="H867" s="13">
        <v>0.0</v>
      </c>
      <c r="I867" s="13" t="s">
        <v>41</v>
      </c>
      <c r="J867" s="13" t="s">
        <v>46</v>
      </c>
      <c r="K867" s="13" t="s">
        <v>123</v>
      </c>
      <c r="L867" s="13"/>
    </row>
    <row r="868">
      <c r="A868" s="13">
        <v>866.0</v>
      </c>
      <c r="B868" s="13">
        <v>1060.0</v>
      </c>
      <c r="C868" s="13">
        <v>38.0</v>
      </c>
      <c r="D868" s="12" t="s">
        <v>1524</v>
      </c>
      <c r="E868" s="12" t="s">
        <v>1525</v>
      </c>
      <c r="F868" s="13">
        <v>2.0</v>
      </c>
      <c r="G868" s="13">
        <v>0.0</v>
      </c>
      <c r="H868" s="13">
        <v>17.0</v>
      </c>
      <c r="I868" s="13" t="s">
        <v>41</v>
      </c>
      <c r="J868" s="13" t="s">
        <v>42</v>
      </c>
      <c r="K868" s="13" t="s">
        <v>43</v>
      </c>
      <c r="L868" s="13"/>
    </row>
    <row r="869">
      <c r="A869" s="13">
        <v>867.0</v>
      </c>
      <c r="B869" s="13">
        <v>895.0</v>
      </c>
      <c r="C869" s="13">
        <v>64.0</v>
      </c>
      <c r="D869" s="12" t="s">
        <v>379</v>
      </c>
      <c r="E869" s="12" t="s">
        <v>1526</v>
      </c>
      <c r="F869" s="13">
        <v>5.0</v>
      </c>
      <c r="G869" s="13">
        <v>1.0</v>
      </c>
      <c r="H869" s="13">
        <v>1.0</v>
      </c>
      <c r="I869" s="13" t="s">
        <v>41</v>
      </c>
      <c r="J869" s="13" t="s">
        <v>46</v>
      </c>
      <c r="K869" s="13" t="s">
        <v>123</v>
      </c>
      <c r="L869" s="13"/>
    </row>
    <row r="870">
      <c r="A870" s="13">
        <v>868.0</v>
      </c>
      <c r="B870" s="13">
        <v>975.0</v>
      </c>
      <c r="C870" s="13">
        <v>64.0</v>
      </c>
      <c r="D870" s="12" t="s">
        <v>1527</v>
      </c>
      <c r="E870" s="12" t="s">
        <v>1528</v>
      </c>
      <c r="F870" s="13">
        <v>4.0</v>
      </c>
      <c r="G870" s="13">
        <v>1.0</v>
      </c>
      <c r="H870" s="13">
        <v>3.0</v>
      </c>
      <c r="I870" s="13" t="s">
        <v>35</v>
      </c>
      <c r="J870" s="13" t="s">
        <v>76</v>
      </c>
      <c r="K870" s="13" t="s">
        <v>76</v>
      </c>
      <c r="L870" s="13"/>
    </row>
    <row r="871">
      <c r="A871" s="13">
        <v>869.0</v>
      </c>
      <c r="B871" s="13">
        <v>886.0</v>
      </c>
      <c r="C871" s="13">
        <v>52.0</v>
      </c>
      <c r="D871" s="12"/>
      <c r="E871" s="12" t="s">
        <v>1529</v>
      </c>
      <c r="F871" s="13">
        <v>5.0</v>
      </c>
      <c r="G871" s="13">
        <v>1.0</v>
      </c>
      <c r="H871" s="13">
        <v>6.0</v>
      </c>
      <c r="I871" s="13" t="s">
        <v>41</v>
      </c>
      <c r="J871" s="13" t="s">
        <v>46</v>
      </c>
      <c r="K871" s="13" t="s">
        <v>52</v>
      </c>
      <c r="L871" s="13"/>
    </row>
    <row r="872">
      <c r="A872" s="13">
        <v>870.0</v>
      </c>
      <c r="B872" s="13">
        <v>975.0</v>
      </c>
      <c r="C872" s="13">
        <v>52.0</v>
      </c>
      <c r="D872" s="12" t="s">
        <v>1530</v>
      </c>
      <c r="E872" s="12" t="s">
        <v>1531</v>
      </c>
      <c r="F872" s="13">
        <v>5.0</v>
      </c>
      <c r="G872" s="13">
        <v>1.0</v>
      </c>
      <c r="H872" s="13">
        <v>3.0</v>
      </c>
      <c r="I872" s="13" t="s">
        <v>35</v>
      </c>
      <c r="J872" s="13" t="s">
        <v>76</v>
      </c>
      <c r="K872" s="13" t="s">
        <v>76</v>
      </c>
      <c r="L872" s="13"/>
    </row>
    <row r="873">
      <c r="A873" s="13">
        <v>871.0</v>
      </c>
      <c r="B873" s="13">
        <v>815.0</v>
      </c>
      <c r="C873" s="13">
        <v>72.0</v>
      </c>
      <c r="D873" s="12" t="s">
        <v>1532</v>
      </c>
      <c r="E873" s="12" t="s">
        <v>1533</v>
      </c>
      <c r="F873" s="13">
        <v>4.0</v>
      </c>
      <c r="G873" s="13">
        <v>1.0</v>
      </c>
      <c r="H873" s="13">
        <v>2.0</v>
      </c>
      <c r="I873" s="13" t="s">
        <v>41</v>
      </c>
      <c r="J873" s="13" t="s">
        <v>46</v>
      </c>
      <c r="K873" s="13" t="s">
        <v>47</v>
      </c>
      <c r="L873" s="13"/>
    </row>
    <row r="874">
      <c r="A874" s="13">
        <v>872.0</v>
      </c>
      <c r="B874" s="13">
        <v>1026.0</v>
      </c>
      <c r="C874" s="13">
        <v>43.0</v>
      </c>
      <c r="D874" s="12" t="s">
        <v>1534</v>
      </c>
      <c r="E874" s="12" t="s">
        <v>1535</v>
      </c>
      <c r="F874" s="13">
        <v>5.0</v>
      </c>
      <c r="G874" s="13">
        <v>1.0</v>
      </c>
      <c r="H874" s="13">
        <v>1.0</v>
      </c>
      <c r="I874" s="13" t="s">
        <v>41</v>
      </c>
      <c r="J874" s="13" t="s">
        <v>42</v>
      </c>
      <c r="K874" s="13" t="s">
        <v>435</v>
      </c>
      <c r="L874" s="13"/>
    </row>
    <row r="875">
      <c r="A875" s="13">
        <v>873.0</v>
      </c>
      <c r="B875" s="13">
        <v>823.0</v>
      </c>
      <c r="C875" s="13">
        <v>39.0</v>
      </c>
      <c r="D875" s="12" t="s">
        <v>1536</v>
      </c>
      <c r="E875" s="12" t="s">
        <v>1537</v>
      </c>
      <c r="F875" s="13">
        <v>2.0</v>
      </c>
      <c r="G875" s="13">
        <v>0.0</v>
      </c>
      <c r="H875" s="13">
        <v>11.0</v>
      </c>
      <c r="I875" s="13" t="s">
        <v>41</v>
      </c>
      <c r="J875" s="13" t="s">
        <v>46</v>
      </c>
      <c r="K875" s="13" t="s">
        <v>47</v>
      </c>
      <c r="L875" s="13"/>
    </row>
    <row r="876">
      <c r="A876" s="13">
        <v>874.0</v>
      </c>
      <c r="B876" s="13">
        <v>1055.0</v>
      </c>
      <c r="C876" s="13">
        <v>29.0</v>
      </c>
      <c r="D876" s="12" t="s">
        <v>1538</v>
      </c>
      <c r="E876" s="12" t="s">
        <v>1539</v>
      </c>
      <c r="F876" s="13">
        <v>2.0</v>
      </c>
      <c r="G876" s="13">
        <v>0.0</v>
      </c>
      <c r="H876" s="13">
        <v>0.0</v>
      </c>
      <c r="I876" s="13" t="s">
        <v>41</v>
      </c>
      <c r="J876" s="13" t="s">
        <v>42</v>
      </c>
      <c r="K876" s="13" t="s">
        <v>43</v>
      </c>
      <c r="L876" s="13"/>
    </row>
    <row r="877">
      <c r="A877" s="13">
        <v>875.0</v>
      </c>
      <c r="B877" s="13">
        <v>1081.0</v>
      </c>
      <c r="C877" s="13">
        <v>47.0</v>
      </c>
      <c r="D877" s="12" t="s">
        <v>1540</v>
      </c>
      <c r="E877" s="12" t="s">
        <v>1541</v>
      </c>
      <c r="F877" s="13">
        <v>3.0</v>
      </c>
      <c r="G877" s="13">
        <v>1.0</v>
      </c>
      <c r="H877" s="13">
        <v>9.0</v>
      </c>
      <c r="I877" s="13" t="s">
        <v>35</v>
      </c>
      <c r="J877" s="13" t="s">
        <v>36</v>
      </c>
      <c r="K877" s="13" t="s">
        <v>36</v>
      </c>
      <c r="L877" s="13"/>
    </row>
    <row r="878">
      <c r="A878" s="13">
        <v>876.0</v>
      </c>
      <c r="B878" s="13">
        <v>2.0</v>
      </c>
      <c r="C878" s="13">
        <v>28.0</v>
      </c>
      <c r="D878" s="12" t="s">
        <v>1542</v>
      </c>
      <c r="E878" s="12" t="s">
        <v>1543</v>
      </c>
      <c r="F878" s="13">
        <v>4.0</v>
      </c>
      <c r="G878" s="13">
        <v>1.0</v>
      </c>
      <c r="H878" s="13">
        <v>0.0</v>
      </c>
      <c r="I878" s="13" t="s">
        <v>35</v>
      </c>
      <c r="J878" s="13" t="s">
        <v>46</v>
      </c>
      <c r="K878" s="13" t="s">
        <v>52</v>
      </c>
      <c r="L878" s="13"/>
    </row>
    <row r="879">
      <c r="A879" s="13">
        <v>877.0</v>
      </c>
      <c r="B879" s="13">
        <v>1081.0</v>
      </c>
      <c r="C879" s="13">
        <v>51.0</v>
      </c>
      <c r="D879" s="12" t="s">
        <v>1544</v>
      </c>
      <c r="E879" s="12" t="s">
        <v>1545</v>
      </c>
      <c r="F879" s="13">
        <v>5.0</v>
      </c>
      <c r="G879" s="13">
        <v>1.0</v>
      </c>
      <c r="H879" s="13">
        <v>0.0</v>
      </c>
      <c r="I879" s="13" t="s">
        <v>35</v>
      </c>
      <c r="J879" s="13" t="s">
        <v>36</v>
      </c>
      <c r="K879" s="13" t="s">
        <v>36</v>
      </c>
      <c r="L879" s="13"/>
    </row>
    <row r="880">
      <c r="A880" s="13">
        <v>878.0</v>
      </c>
      <c r="B880" s="13">
        <v>936.0</v>
      </c>
      <c r="C880" s="13">
        <v>35.0</v>
      </c>
      <c r="D880" s="12" t="s">
        <v>1546</v>
      </c>
      <c r="E880" s="12" t="s">
        <v>1547</v>
      </c>
      <c r="F880" s="13">
        <v>5.0</v>
      </c>
      <c r="G880" s="13">
        <v>1.0</v>
      </c>
      <c r="H880" s="13">
        <v>9.0</v>
      </c>
      <c r="I880" s="13" t="s">
        <v>41</v>
      </c>
      <c r="J880" s="13" t="s">
        <v>46</v>
      </c>
      <c r="K880" s="13" t="s">
        <v>95</v>
      </c>
      <c r="L880" s="13"/>
    </row>
    <row r="881">
      <c r="A881" s="13">
        <v>879.0</v>
      </c>
      <c r="B881" s="13">
        <v>1026.0</v>
      </c>
      <c r="C881" s="13">
        <v>66.0</v>
      </c>
      <c r="D881" s="12" t="s">
        <v>484</v>
      </c>
      <c r="E881" s="12" t="s">
        <v>1548</v>
      </c>
      <c r="F881" s="13">
        <v>5.0</v>
      </c>
      <c r="G881" s="13">
        <v>1.0</v>
      </c>
      <c r="H881" s="13">
        <v>1.0</v>
      </c>
      <c r="I881" s="13" t="s">
        <v>41</v>
      </c>
      <c r="J881" s="13" t="s">
        <v>42</v>
      </c>
      <c r="K881" s="13" t="s">
        <v>435</v>
      </c>
      <c r="L881" s="13"/>
    </row>
    <row r="882">
      <c r="A882" s="13">
        <v>880.0</v>
      </c>
      <c r="B882" s="13">
        <v>1081.0</v>
      </c>
      <c r="C882" s="13">
        <v>50.0</v>
      </c>
      <c r="D882" s="12" t="s">
        <v>1549</v>
      </c>
      <c r="E882" s="12" t="s">
        <v>1550</v>
      </c>
      <c r="F882" s="13">
        <v>2.0</v>
      </c>
      <c r="G882" s="13">
        <v>0.0</v>
      </c>
      <c r="H882" s="13">
        <v>4.0</v>
      </c>
      <c r="I882" s="13" t="s">
        <v>35</v>
      </c>
      <c r="J882" s="13" t="s">
        <v>36</v>
      </c>
      <c r="K882" s="13" t="s">
        <v>36</v>
      </c>
      <c r="L882" s="13"/>
    </row>
    <row r="883">
      <c r="A883" s="13">
        <v>881.0</v>
      </c>
      <c r="B883" s="13">
        <v>299.0</v>
      </c>
      <c r="C883" s="13">
        <v>37.0</v>
      </c>
      <c r="D883" s="12" t="s">
        <v>1551</v>
      </c>
      <c r="E883" s="12" t="s">
        <v>1552</v>
      </c>
      <c r="F883" s="13">
        <v>5.0</v>
      </c>
      <c r="G883" s="13">
        <v>1.0</v>
      </c>
      <c r="H883" s="13">
        <v>3.0</v>
      </c>
      <c r="I883" s="13" t="s">
        <v>35</v>
      </c>
      <c r="J883" s="13" t="s">
        <v>42</v>
      </c>
      <c r="K883" s="13" t="s">
        <v>1141</v>
      </c>
      <c r="L883" s="13"/>
    </row>
    <row r="884">
      <c r="A884" s="13">
        <v>882.0</v>
      </c>
      <c r="B884" s="13">
        <v>1055.0</v>
      </c>
      <c r="C884" s="13">
        <v>36.0</v>
      </c>
      <c r="D884" s="12" t="s">
        <v>1553</v>
      </c>
      <c r="E884" s="12" t="s">
        <v>1554</v>
      </c>
      <c r="F884" s="13">
        <v>4.0</v>
      </c>
      <c r="G884" s="13">
        <v>1.0</v>
      </c>
      <c r="H884" s="13">
        <v>4.0</v>
      </c>
      <c r="I884" s="13" t="s">
        <v>41</v>
      </c>
      <c r="J884" s="13" t="s">
        <v>42</v>
      </c>
      <c r="K884" s="13" t="s">
        <v>43</v>
      </c>
      <c r="L884" s="13"/>
    </row>
    <row r="885">
      <c r="A885" s="13">
        <v>883.0</v>
      </c>
      <c r="B885" s="13">
        <v>1055.0</v>
      </c>
      <c r="C885" s="13">
        <v>43.0</v>
      </c>
      <c r="D885" s="12" t="s">
        <v>1555</v>
      </c>
      <c r="E885" s="12" t="s">
        <v>1556</v>
      </c>
      <c r="F885" s="13">
        <v>2.0</v>
      </c>
      <c r="G885" s="13">
        <v>0.0</v>
      </c>
      <c r="H885" s="13">
        <v>11.0</v>
      </c>
      <c r="I885" s="13" t="s">
        <v>41</v>
      </c>
      <c r="J885" s="13" t="s">
        <v>42</v>
      </c>
      <c r="K885" s="13" t="s">
        <v>43</v>
      </c>
      <c r="L885" s="13"/>
    </row>
    <row r="886">
      <c r="A886" s="13">
        <v>884.0</v>
      </c>
      <c r="B886" s="13">
        <v>1026.0</v>
      </c>
      <c r="C886" s="13">
        <v>42.0</v>
      </c>
      <c r="D886" s="12" t="s">
        <v>1105</v>
      </c>
      <c r="E886" s="12" t="s">
        <v>1557</v>
      </c>
      <c r="F886" s="13">
        <v>5.0</v>
      </c>
      <c r="G886" s="13">
        <v>1.0</v>
      </c>
      <c r="H886" s="13">
        <v>0.0</v>
      </c>
      <c r="I886" s="13" t="s">
        <v>41</v>
      </c>
      <c r="J886" s="13" t="s">
        <v>42</v>
      </c>
      <c r="K886" s="13" t="s">
        <v>435</v>
      </c>
      <c r="L886" s="13"/>
    </row>
    <row r="887">
      <c r="A887" s="13">
        <v>885.0</v>
      </c>
      <c r="B887" s="13">
        <v>1010.0</v>
      </c>
      <c r="C887" s="13">
        <v>60.0</v>
      </c>
      <c r="D887" s="12" t="s">
        <v>1558</v>
      </c>
      <c r="E887" s="12" t="s">
        <v>1559</v>
      </c>
      <c r="F887" s="13">
        <v>4.0</v>
      </c>
      <c r="G887" s="13">
        <v>1.0</v>
      </c>
      <c r="H887" s="13">
        <v>1.0</v>
      </c>
      <c r="I887" s="13" t="s">
        <v>41</v>
      </c>
      <c r="J887" s="13" t="s">
        <v>42</v>
      </c>
      <c r="K887" s="13" t="s">
        <v>98</v>
      </c>
      <c r="L887" s="13"/>
    </row>
    <row r="888">
      <c r="A888" s="13">
        <v>886.0</v>
      </c>
      <c r="B888" s="13">
        <v>1086.0</v>
      </c>
      <c r="C888" s="13">
        <v>44.0</v>
      </c>
      <c r="D888" s="12" t="s">
        <v>1560</v>
      </c>
      <c r="E888" s="12" t="s">
        <v>1561</v>
      </c>
      <c r="F888" s="13">
        <v>4.0</v>
      </c>
      <c r="G888" s="13">
        <v>0.0</v>
      </c>
      <c r="H888" s="13">
        <v>3.0</v>
      </c>
      <c r="I888" s="13" t="s">
        <v>35</v>
      </c>
      <c r="J888" s="13" t="s">
        <v>36</v>
      </c>
      <c r="K888" s="13" t="s">
        <v>36</v>
      </c>
      <c r="L888" s="13"/>
    </row>
    <row r="889">
      <c r="A889" s="13">
        <v>887.0</v>
      </c>
      <c r="B889" s="13">
        <v>1055.0</v>
      </c>
      <c r="C889" s="13">
        <v>63.0</v>
      </c>
      <c r="D889" s="12"/>
      <c r="E889" s="12" t="s">
        <v>1562</v>
      </c>
      <c r="F889" s="13">
        <v>2.0</v>
      </c>
      <c r="G889" s="13">
        <v>0.0</v>
      </c>
      <c r="H889" s="13">
        <v>0.0</v>
      </c>
      <c r="I889" s="13" t="s">
        <v>41</v>
      </c>
      <c r="J889" s="13" t="s">
        <v>42</v>
      </c>
      <c r="K889" s="13" t="s">
        <v>43</v>
      </c>
      <c r="L889" s="13"/>
    </row>
    <row r="890">
      <c r="A890" s="13">
        <v>888.0</v>
      </c>
      <c r="B890" s="13">
        <v>1026.0</v>
      </c>
      <c r="C890" s="13">
        <v>26.0</v>
      </c>
      <c r="D890" s="12" t="s">
        <v>1563</v>
      </c>
      <c r="E890" s="12" t="s">
        <v>1564</v>
      </c>
      <c r="F890" s="13">
        <v>5.0</v>
      </c>
      <c r="G890" s="13">
        <v>1.0</v>
      </c>
      <c r="H890" s="13">
        <v>0.0</v>
      </c>
      <c r="I890" s="13" t="s">
        <v>41</v>
      </c>
      <c r="J890" s="13" t="s">
        <v>42</v>
      </c>
      <c r="K890" s="13" t="s">
        <v>435</v>
      </c>
      <c r="L890" s="13"/>
    </row>
    <row r="891">
      <c r="A891" s="13">
        <v>889.0</v>
      </c>
      <c r="B891" s="13">
        <v>1081.0</v>
      </c>
      <c r="C891" s="13">
        <v>42.0</v>
      </c>
      <c r="D891" s="12" t="s">
        <v>1565</v>
      </c>
      <c r="E891" s="12" t="s">
        <v>1566</v>
      </c>
      <c r="F891" s="13">
        <v>1.0</v>
      </c>
      <c r="G891" s="13">
        <v>0.0</v>
      </c>
      <c r="H891" s="13">
        <v>4.0</v>
      </c>
      <c r="I891" s="13" t="s">
        <v>35</v>
      </c>
      <c r="J891" s="13" t="s">
        <v>36</v>
      </c>
      <c r="K891" s="13" t="s">
        <v>36</v>
      </c>
      <c r="L891" s="13"/>
    </row>
    <row r="892">
      <c r="A892" s="13">
        <v>890.0</v>
      </c>
      <c r="B892" s="13">
        <v>754.0</v>
      </c>
      <c r="C892" s="13">
        <v>48.0</v>
      </c>
      <c r="D892" s="12" t="s">
        <v>1567</v>
      </c>
      <c r="E892" s="12" t="s">
        <v>1568</v>
      </c>
      <c r="F892" s="13">
        <v>5.0</v>
      </c>
      <c r="G892" s="13">
        <v>1.0</v>
      </c>
      <c r="H892" s="13">
        <v>0.0</v>
      </c>
      <c r="I892" s="13" t="s">
        <v>31</v>
      </c>
      <c r="J892" s="13" t="s">
        <v>32</v>
      </c>
      <c r="K892" s="13" t="s">
        <v>33</v>
      </c>
      <c r="L892" s="13"/>
    </row>
    <row r="893">
      <c r="A893" s="13">
        <v>891.0</v>
      </c>
      <c r="B893" s="13">
        <v>815.0</v>
      </c>
      <c r="C893" s="13">
        <v>34.0</v>
      </c>
      <c r="D893" s="12"/>
      <c r="E893" s="12" t="s">
        <v>1569</v>
      </c>
      <c r="F893" s="13">
        <v>5.0</v>
      </c>
      <c r="G893" s="13">
        <v>1.0</v>
      </c>
      <c r="H893" s="13">
        <v>3.0</v>
      </c>
      <c r="I893" s="13" t="s">
        <v>41</v>
      </c>
      <c r="J893" s="13" t="s">
        <v>46</v>
      </c>
      <c r="K893" s="13" t="s">
        <v>47</v>
      </c>
      <c r="L893" s="13"/>
    </row>
    <row r="894">
      <c r="A894" s="13">
        <v>892.0</v>
      </c>
      <c r="B894" s="13">
        <v>1164.0</v>
      </c>
      <c r="C894" s="13">
        <v>32.0</v>
      </c>
      <c r="D894" s="12"/>
      <c r="E894" s="12"/>
      <c r="F894" s="13">
        <v>5.0</v>
      </c>
      <c r="G894" s="13">
        <v>1.0</v>
      </c>
      <c r="H894" s="13">
        <v>0.0</v>
      </c>
      <c r="I894" s="13" t="s">
        <v>31</v>
      </c>
      <c r="J894" s="13" t="s">
        <v>32</v>
      </c>
      <c r="K894" s="13" t="s">
        <v>1292</v>
      </c>
      <c r="L894" s="13"/>
    </row>
    <row r="895">
      <c r="A895" s="13">
        <v>893.0</v>
      </c>
      <c r="B895" s="13">
        <v>860.0</v>
      </c>
      <c r="C895" s="13">
        <v>30.0</v>
      </c>
      <c r="D895" s="12"/>
      <c r="E895" s="12"/>
      <c r="F895" s="13">
        <v>5.0</v>
      </c>
      <c r="G895" s="13">
        <v>1.0</v>
      </c>
      <c r="H895" s="13">
        <v>0.0</v>
      </c>
      <c r="I895" s="13" t="s">
        <v>41</v>
      </c>
      <c r="J895" s="13" t="s">
        <v>46</v>
      </c>
      <c r="K895" s="13" t="s">
        <v>52</v>
      </c>
      <c r="L895" s="13"/>
    </row>
    <row r="896">
      <c r="A896" s="13">
        <v>894.0</v>
      </c>
      <c r="B896" s="13">
        <v>952.0</v>
      </c>
      <c r="C896" s="13">
        <v>43.0</v>
      </c>
      <c r="D896" s="12" t="s">
        <v>1570</v>
      </c>
      <c r="E896" s="12" t="s">
        <v>1571</v>
      </c>
      <c r="F896" s="13">
        <v>5.0</v>
      </c>
      <c r="G896" s="13">
        <v>1.0</v>
      </c>
      <c r="H896" s="13">
        <v>0.0</v>
      </c>
      <c r="I896" s="13" t="s">
        <v>41</v>
      </c>
      <c r="J896" s="13" t="s">
        <v>46</v>
      </c>
      <c r="K896" s="13" t="s">
        <v>95</v>
      </c>
      <c r="L896" s="13"/>
    </row>
    <row r="897">
      <c r="A897" s="13">
        <v>895.0</v>
      </c>
      <c r="B897" s="13">
        <v>952.0</v>
      </c>
      <c r="C897" s="13">
        <v>59.0</v>
      </c>
      <c r="D897" s="12" t="s">
        <v>1572</v>
      </c>
      <c r="E897" s="12" t="s">
        <v>1573</v>
      </c>
      <c r="F897" s="13">
        <v>3.0</v>
      </c>
      <c r="G897" s="13">
        <v>1.0</v>
      </c>
      <c r="H897" s="13">
        <v>2.0</v>
      </c>
      <c r="I897" s="13" t="s">
        <v>41</v>
      </c>
      <c r="J897" s="13" t="s">
        <v>46</v>
      </c>
      <c r="K897" s="13" t="s">
        <v>95</v>
      </c>
      <c r="L897" s="13"/>
    </row>
    <row r="898">
      <c r="A898" s="13">
        <v>896.0</v>
      </c>
      <c r="B898" s="13">
        <v>861.0</v>
      </c>
      <c r="C898" s="13">
        <v>36.0</v>
      </c>
      <c r="D898" s="12" t="s">
        <v>1574</v>
      </c>
      <c r="E898" s="12" t="s">
        <v>1575</v>
      </c>
      <c r="F898" s="13">
        <v>5.0</v>
      </c>
      <c r="G898" s="13">
        <v>1.0</v>
      </c>
      <c r="H898" s="13">
        <v>0.0</v>
      </c>
      <c r="I898" s="13" t="s">
        <v>35</v>
      </c>
      <c r="J898" s="13" t="s">
        <v>46</v>
      </c>
      <c r="K898" s="13" t="s">
        <v>52</v>
      </c>
      <c r="L898" s="13"/>
    </row>
    <row r="899">
      <c r="A899" s="13">
        <v>897.0</v>
      </c>
      <c r="B899" s="13">
        <v>1008.0</v>
      </c>
      <c r="C899" s="13">
        <v>66.0</v>
      </c>
      <c r="D899" s="12" t="s">
        <v>1576</v>
      </c>
      <c r="E899" s="12" t="s">
        <v>1577</v>
      </c>
      <c r="F899" s="13">
        <v>4.0</v>
      </c>
      <c r="G899" s="13">
        <v>1.0</v>
      </c>
      <c r="H899" s="13">
        <v>0.0</v>
      </c>
      <c r="I899" s="13" t="s">
        <v>41</v>
      </c>
      <c r="J899" s="13" t="s">
        <v>42</v>
      </c>
      <c r="K899" s="13" t="s">
        <v>98</v>
      </c>
      <c r="L899" s="13"/>
    </row>
    <row r="900">
      <c r="A900" s="13">
        <v>898.0</v>
      </c>
      <c r="B900" s="13">
        <v>952.0</v>
      </c>
      <c r="C900" s="13">
        <v>39.0</v>
      </c>
      <c r="D900" s="12" t="s">
        <v>1578</v>
      </c>
      <c r="E900" s="12" t="s">
        <v>1579</v>
      </c>
      <c r="F900" s="13">
        <v>4.0</v>
      </c>
      <c r="G900" s="13">
        <v>1.0</v>
      </c>
      <c r="H900" s="13">
        <v>7.0</v>
      </c>
      <c r="I900" s="13" t="s">
        <v>41</v>
      </c>
      <c r="J900" s="13" t="s">
        <v>46</v>
      </c>
      <c r="K900" s="13" t="s">
        <v>95</v>
      </c>
      <c r="L900" s="13"/>
    </row>
    <row r="901">
      <c r="A901" s="13">
        <v>899.0</v>
      </c>
      <c r="B901" s="13">
        <v>1066.0</v>
      </c>
      <c r="C901" s="13">
        <v>48.0</v>
      </c>
      <c r="D901" s="12"/>
      <c r="E901" s="12" t="s">
        <v>1580</v>
      </c>
      <c r="F901" s="13">
        <v>4.0</v>
      </c>
      <c r="G901" s="13">
        <v>0.0</v>
      </c>
      <c r="H901" s="13">
        <v>2.0</v>
      </c>
      <c r="I901" s="13" t="s">
        <v>35</v>
      </c>
      <c r="J901" s="13" t="s">
        <v>42</v>
      </c>
      <c r="K901" s="13" t="s">
        <v>43</v>
      </c>
      <c r="L901" s="13"/>
    </row>
    <row r="902">
      <c r="A902" s="13">
        <v>900.0</v>
      </c>
      <c r="B902" s="13">
        <v>1008.0</v>
      </c>
      <c r="C902" s="13">
        <v>52.0</v>
      </c>
      <c r="D902" s="12" t="s">
        <v>1581</v>
      </c>
      <c r="E902" s="12" t="s">
        <v>1582</v>
      </c>
      <c r="F902" s="13">
        <v>5.0</v>
      </c>
      <c r="G902" s="13">
        <v>1.0</v>
      </c>
      <c r="H902" s="13">
        <v>11.0</v>
      </c>
      <c r="I902" s="13" t="s">
        <v>41</v>
      </c>
      <c r="J902" s="13" t="s">
        <v>42</v>
      </c>
      <c r="K902" s="13" t="s">
        <v>98</v>
      </c>
      <c r="L902" s="13"/>
    </row>
    <row r="903">
      <c r="A903" s="13">
        <v>901.0</v>
      </c>
      <c r="B903" s="13">
        <v>1025.0</v>
      </c>
      <c r="C903" s="13">
        <v>30.0</v>
      </c>
      <c r="D903" s="12" t="s">
        <v>1583</v>
      </c>
      <c r="E903" s="12" t="s">
        <v>1584</v>
      </c>
      <c r="F903" s="13">
        <v>1.0</v>
      </c>
      <c r="G903" s="13">
        <v>0.0</v>
      </c>
      <c r="H903" s="13">
        <v>1.0</v>
      </c>
      <c r="I903" s="13" t="s">
        <v>35</v>
      </c>
      <c r="J903" s="13" t="s">
        <v>42</v>
      </c>
      <c r="K903" s="13" t="s">
        <v>435</v>
      </c>
      <c r="L903" s="13"/>
    </row>
    <row r="904">
      <c r="A904" s="13">
        <v>902.0</v>
      </c>
      <c r="B904" s="13">
        <v>832.0</v>
      </c>
      <c r="C904" s="13">
        <v>40.0</v>
      </c>
      <c r="D904" s="12" t="s">
        <v>1585</v>
      </c>
      <c r="E904" s="12" t="s">
        <v>1586</v>
      </c>
      <c r="F904" s="13">
        <v>3.0</v>
      </c>
      <c r="G904" s="13">
        <v>0.0</v>
      </c>
      <c r="H904" s="13">
        <v>3.0</v>
      </c>
      <c r="I904" s="13" t="s">
        <v>35</v>
      </c>
      <c r="J904" s="13" t="s">
        <v>46</v>
      </c>
      <c r="K904" s="13" t="s">
        <v>47</v>
      </c>
      <c r="L904" s="13"/>
    </row>
    <row r="905">
      <c r="A905" s="13">
        <v>903.0</v>
      </c>
      <c r="B905" s="13">
        <v>861.0</v>
      </c>
      <c r="C905" s="13">
        <v>48.0</v>
      </c>
      <c r="D905" s="12" t="s">
        <v>1587</v>
      </c>
      <c r="E905" s="12" t="s">
        <v>1588</v>
      </c>
      <c r="F905" s="13">
        <v>3.0</v>
      </c>
      <c r="G905" s="13">
        <v>0.0</v>
      </c>
      <c r="H905" s="13">
        <v>0.0</v>
      </c>
      <c r="I905" s="13" t="s">
        <v>35</v>
      </c>
      <c r="J905" s="13" t="s">
        <v>46</v>
      </c>
      <c r="K905" s="13" t="s">
        <v>52</v>
      </c>
      <c r="L905" s="13"/>
    </row>
    <row r="906">
      <c r="A906" s="13">
        <v>904.0</v>
      </c>
      <c r="B906" s="13">
        <v>1066.0</v>
      </c>
      <c r="C906" s="13">
        <v>53.0</v>
      </c>
      <c r="D906" s="12" t="s">
        <v>1589</v>
      </c>
      <c r="E906" s="12" t="s">
        <v>1590</v>
      </c>
      <c r="F906" s="13">
        <v>3.0</v>
      </c>
      <c r="G906" s="13">
        <v>1.0</v>
      </c>
      <c r="H906" s="13">
        <v>1.0</v>
      </c>
      <c r="I906" s="13" t="s">
        <v>35</v>
      </c>
      <c r="J906" s="13" t="s">
        <v>42</v>
      </c>
      <c r="K906" s="13" t="s">
        <v>43</v>
      </c>
      <c r="L906" s="13"/>
    </row>
    <row r="907">
      <c r="A907" s="13">
        <v>905.0</v>
      </c>
      <c r="B907" s="13">
        <v>1008.0</v>
      </c>
      <c r="C907" s="13">
        <v>29.0</v>
      </c>
      <c r="D907" s="12" t="s">
        <v>1591</v>
      </c>
      <c r="E907" s="12" t="s">
        <v>1592</v>
      </c>
      <c r="F907" s="13">
        <v>5.0</v>
      </c>
      <c r="G907" s="13">
        <v>1.0</v>
      </c>
      <c r="H907" s="13">
        <v>0.0</v>
      </c>
      <c r="I907" s="13" t="s">
        <v>41</v>
      </c>
      <c r="J907" s="13" t="s">
        <v>42</v>
      </c>
      <c r="K907" s="13" t="s">
        <v>98</v>
      </c>
      <c r="L907" s="13"/>
    </row>
    <row r="908">
      <c r="A908" s="13">
        <v>906.0</v>
      </c>
      <c r="B908" s="13">
        <v>1015.0</v>
      </c>
      <c r="C908" s="13">
        <v>46.0</v>
      </c>
      <c r="D908" s="12" t="s">
        <v>1593</v>
      </c>
      <c r="E908" s="12" t="s">
        <v>1594</v>
      </c>
      <c r="F908" s="13">
        <v>5.0</v>
      </c>
      <c r="G908" s="13">
        <v>1.0</v>
      </c>
      <c r="H908" s="13">
        <v>0.0</v>
      </c>
      <c r="I908" s="13" t="s">
        <v>35</v>
      </c>
      <c r="J908" s="13" t="s">
        <v>42</v>
      </c>
      <c r="K908" s="13" t="s">
        <v>98</v>
      </c>
      <c r="L908" s="13"/>
    </row>
    <row r="909">
      <c r="A909" s="13">
        <v>907.0</v>
      </c>
      <c r="B909" s="13">
        <v>1008.0</v>
      </c>
      <c r="C909" s="13">
        <v>46.0</v>
      </c>
      <c r="D909" s="12" t="s">
        <v>1595</v>
      </c>
      <c r="E909" s="12" t="s">
        <v>1596</v>
      </c>
      <c r="F909" s="13">
        <v>5.0</v>
      </c>
      <c r="G909" s="13">
        <v>1.0</v>
      </c>
      <c r="H909" s="13">
        <v>2.0</v>
      </c>
      <c r="I909" s="13" t="s">
        <v>41</v>
      </c>
      <c r="J909" s="13" t="s">
        <v>42</v>
      </c>
      <c r="K909" s="13" t="s">
        <v>98</v>
      </c>
      <c r="L909" s="13"/>
    </row>
    <row r="910">
      <c r="A910" s="13">
        <v>908.0</v>
      </c>
      <c r="B910" s="13">
        <v>862.0</v>
      </c>
      <c r="C910" s="13">
        <v>40.0</v>
      </c>
      <c r="D910" s="12" t="s">
        <v>1597</v>
      </c>
      <c r="E910" s="12" t="s">
        <v>1598</v>
      </c>
      <c r="F910" s="13">
        <v>5.0</v>
      </c>
      <c r="G910" s="13">
        <v>1.0</v>
      </c>
      <c r="H910" s="13">
        <v>0.0</v>
      </c>
      <c r="I910" s="13" t="s">
        <v>35</v>
      </c>
      <c r="J910" s="13" t="s">
        <v>46</v>
      </c>
      <c r="K910" s="13" t="s">
        <v>52</v>
      </c>
      <c r="L910" s="13"/>
    </row>
    <row r="911">
      <c r="A911" s="13">
        <v>909.0</v>
      </c>
      <c r="B911" s="13">
        <v>1008.0</v>
      </c>
      <c r="C911" s="13">
        <v>44.0</v>
      </c>
      <c r="D911" s="12" t="s">
        <v>1599</v>
      </c>
      <c r="E911" s="12" t="s">
        <v>1600</v>
      </c>
      <c r="F911" s="13">
        <v>4.0</v>
      </c>
      <c r="G911" s="13">
        <v>1.0</v>
      </c>
      <c r="H911" s="13">
        <v>2.0</v>
      </c>
      <c r="I911" s="13" t="s">
        <v>41</v>
      </c>
      <c r="J911" s="13" t="s">
        <v>42</v>
      </c>
      <c r="K911" s="13" t="s">
        <v>98</v>
      </c>
      <c r="L911" s="13"/>
    </row>
    <row r="912">
      <c r="A912" s="13">
        <v>910.0</v>
      </c>
      <c r="B912" s="13">
        <v>952.0</v>
      </c>
      <c r="C912" s="13">
        <v>56.0</v>
      </c>
      <c r="D912" s="12"/>
      <c r="E912" s="12" t="s">
        <v>1601</v>
      </c>
      <c r="F912" s="13">
        <v>5.0</v>
      </c>
      <c r="G912" s="13">
        <v>1.0</v>
      </c>
      <c r="H912" s="13">
        <v>3.0</v>
      </c>
      <c r="I912" s="13" t="s">
        <v>41</v>
      </c>
      <c r="J912" s="13" t="s">
        <v>46</v>
      </c>
      <c r="K912" s="13" t="s">
        <v>95</v>
      </c>
      <c r="L912" s="13"/>
    </row>
    <row r="913">
      <c r="A913" s="13">
        <v>911.0</v>
      </c>
      <c r="B913" s="13">
        <v>1025.0</v>
      </c>
      <c r="C913" s="13">
        <v>69.0</v>
      </c>
      <c r="D913" s="12" t="s">
        <v>1602</v>
      </c>
      <c r="E913" s="12" t="s">
        <v>1603</v>
      </c>
      <c r="F913" s="13">
        <v>5.0</v>
      </c>
      <c r="G913" s="13">
        <v>1.0</v>
      </c>
      <c r="H913" s="13">
        <v>0.0</v>
      </c>
      <c r="I913" s="13" t="s">
        <v>35</v>
      </c>
      <c r="J913" s="13" t="s">
        <v>42</v>
      </c>
      <c r="K913" s="13" t="s">
        <v>435</v>
      </c>
      <c r="L913" s="13"/>
    </row>
    <row r="914">
      <c r="A914" s="13">
        <v>912.0</v>
      </c>
      <c r="B914" s="13">
        <v>1111.0</v>
      </c>
      <c r="C914" s="13">
        <v>47.0</v>
      </c>
      <c r="D914" s="12" t="s">
        <v>1604</v>
      </c>
      <c r="E914" s="12" t="s">
        <v>1605</v>
      </c>
      <c r="F914" s="13">
        <v>5.0</v>
      </c>
      <c r="G914" s="13">
        <v>1.0</v>
      </c>
      <c r="H914" s="13">
        <v>3.0</v>
      </c>
      <c r="I914" s="13" t="s">
        <v>41</v>
      </c>
      <c r="J914" s="13" t="s">
        <v>36</v>
      </c>
      <c r="K914" s="13" t="s">
        <v>36</v>
      </c>
      <c r="L914" s="13"/>
    </row>
    <row r="915">
      <c r="A915" s="13">
        <v>913.0</v>
      </c>
      <c r="B915" s="13">
        <v>1066.0</v>
      </c>
      <c r="C915" s="13">
        <v>21.0</v>
      </c>
      <c r="D915" s="12" t="s">
        <v>1606</v>
      </c>
      <c r="E915" s="12" t="s">
        <v>1607</v>
      </c>
      <c r="F915" s="13">
        <v>5.0</v>
      </c>
      <c r="G915" s="13">
        <v>1.0</v>
      </c>
      <c r="H915" s="13">
        <v>0.0</v>
      </c>
      <c r="I915" s="13" t="s">
        <v>35</v>
      </c>
      <c r="J915" s="13" t="s">
        <v>42</v>
      </c>
      <c r="K915" s="13" t="s">
        <v>43</v>
      </c>
      <c r="L915" s="13"/>
    </row>
    <row r="916">
      <c r="A916" s="13">
        <v>914.0</v>
      </c>
      <c r="B916" s="13">
        <v>80.0</v>
      </c>
      <c r="C916" s="13">
        <v>47.0</v>
      </c>
      <c r="D916" s="12" t="s">
        <v>1608</v>
      </c>
      <c r="E916" s="12" t="s">
        <v>1609</v>
      </c>
      <c r="F916" s="13">
        <v>2.0</v>
      </c>
      <c r="G916" s="13">
        <v>0.0</v>
      </c>
      <c r="H916" s="13">
        <v>0.0</v>
      </c>
      <c r="I916" s="13" t="s">
        <v>31</v>
      </c>
      <c r="J916" s="13" t="s">
        <v>32</v>
      </c>
      <c r="K916" s="13" t="s">
        <v>320</v>
      </c>
      <c r="L916" s="13"/>
    </row>
    <row r="917">
      <c r="A917" s="13">
        <v>915.0</v>
      </c>
      <c r="B917" s="13">
        <v>1008.0</v>
      </c>
      <c r="C917" s="13">
        <v>67.0</v>
      </c>
      <c r="D917" s="12" t="s">
        <v>1610</v>
      </c>
      <c r="E917" s="12" t="s">
        <v>1611</v>
      </c>
      <c r="F917" s="13">
        <v>3.0</v>
      </c>
      <c r="G917" s="13">
        <v>0.0</v>
      </c>
      <c r="H917" s="13">
        <v>1.0</v>
      </c>
      <c r="I917" s="13" t="s">
        <v>41</v>
      </c>
      <c r="J917" s="13" t="s">
        <v>42</v>
      </c>
      <c r="K917" s="13" t="s">
        <v>98</v>
      </c>
      <c r="L917" s="13"/>
    </row>
    <row r="918">
      <c r="A918" s="13">
        <v>916.0</v>
      </c>
      <c r="B918" s="13">
        <v>861.0</v>
      </c>
      <c r="C918" s="13">
        <v>66.0</v>
      </c>
      <c r="D918" s="12" t="s">
        <v>1612</v>
      </c>
      <c r="E918" s="12" t="s">
        <v>1613</v>
      </c>
      <c r="F918" s="13">
        <v>5.0</v>
      </c>
      <c r="G918" s="13">
        <v>1.0</v>
      </c>
      <c r="H918" s="13">
        <v>1.0</v>
      </c>
      <c r="I918" s="13" t="s">
        <v>35</v>
      </c>
      <c r="J918" s="13" t="s">
        <v>46</v>
      </c>
      <c r="K918" s="13" t="s">
        <v>52</v>
      </c>
      <c r="L918" s="13"/>
    </row>
    <row r="919">
      <c r="A919" s="13">
        <v>917.0</v>
      </c>
      <c r="B919" s="13">
        <v>862.0</v>
      </c>
      <c r="C919" s="13">
        <v>51.0</v>
      </c>
      <c r="D919" s="12" t="s">
        <v>1614</v>
      </c>
      <c r="E919" s="12" t="s">
        <v>1615</v>
      </c>
      <c r="F919" s="13">
        <v>5.0</v>
      </c>
      <c r="G919" s="13">
        <v>1.0</v>
      </c>
      <c r="H919" s="13">
        <v>3.0</v>
      </c>
      <c r="I919" s="13" t="s">
        <v>35</v>
      </c>
      <c r="J919" s="13" t="s">
        <v>46</v>
      </c>
      <c r="K919" s="13" t="s">
        <v>52</v>
      </c>
      <c r="L919" s="13"/>
    </row>
    <row r="920">
      <c r="A920" s="13">
        <v>918.0</v>
      </c>
      <c r="B920" s="13">
        <v>1066.0</v>
      </c>
      <c r="C920" s="13">
        <v>35.0</v>
      </c>
      <c r="D920" s="12" t="s">
        <v>1616</v>
      </c>
      <c r="E920" s="12" t="s">
        <v>1617</v>
      </c>
      <c r="F920" s="13">
        <v>5.0</v>
      </c>
      <c r="G920" s="13">
        <v>1.0</v>
      </c>
      <c r="H920" s="13">
        <v>1.0</v>
      </c>
      <c r="I920" s="13" t="s">
        <v>35</v>
      </c>
      <c r="J920" s="13" t="s">
        <v>42</v>
      </c>
      <c r="K920" s="13" t="s">
        <v>43</v>
      </c>
      <c r="L920" s="13"/>
    </row>
    <row r="921">
      <c r="A921" s="13">
        <v>919.0</v>
      </c>
      <c r="B921" s="13">
        <v>1008.0</v>
      </c>
      <c r="C921" s="13">
        <v>41.0</v>
      </c>
      <c r="D921" s="12" t="s">
        <v>1618</v>
      </c>
      <c r="E921" s="12" t="s">
        <v>1619</v>
      </c>
      <c r="F921" s="13">
        <v>5.0</v>
      </c>
      <c r="G921" s="13">
        <v>1.0</v>
      </c>
      <c r="H921" s="13">
        <v>1.0</v>
      </c>
      <c r="I921" s="13" t="s">
        <v>41</v>
      </c>
      <c r="J921" s="13" t="s">
        <v>42</v>
      </c>
      <c r="K921" s="13" t="s">
        <v>98</v>
      </c>
      <c r="L921" s="13"/>
    </row>
    <row r="922">
      <c r="A922" s="13">
        <v>920.0</v>
      </c>
      <c r="B922" s="13">
        <v>1066.0</v>
      </c>
      <c r="C922" s="13">
        <v>46.0</v>
      </c>
      <c r="D922" s="12" t="s">
        <v>1620</v>
      </c>
      <c r="E922" s="12" t="s">
        <v>1621</v>
      </c>
      <c r="F922" s="13">
        <v>4.0</v>
      </c>
      <c r="G922" s="13">
        <v>1.0</v>
      </c>
      <c r="H922" s="13">
        <v>0.0</v>
      </c>
      <c r="I922" s="13" t="s">
        <v>35</v>
      </c>
      <c r="J922" s="13" t="s">
        <v>42</v>
      </c>
      <c r="K922" s="13" t="s">
        <v>43</v>
      </c>
      <c r="L922" s="13"/>
    </row>
    <row r="923">
      <c r="A923" s="13">
        <v>921.0</v>
      </c>
      <c r="B923" s="13">
        <v>1066.0</v>
      </c>
      <c r="C923" s="13">
        <v>43.0</v>
      </c>
      <c r="D923" s="12" t="s">
        <v>1622</v>
      </c>
      <c r="E923" s="12" t="s">
        <v>1623</v>
      </c>
      <c r="F923" s="13">
        <v>5.0</v>
      </c>
      <c r="G923" s="13">
        <v>1.0</v>
      </c>
      <c r="H923" s="13">
        <v>0.0</v>
      </c>
      <c r="I923" s="13" t="s">
        <v>35</v>
      </c>
      <c r="J923" s="13" t="s">
        <v>42</v>
      </c>
      <c r="K923" s="13" t="s">
        <v>43</v>
      </c>
      <c r="L923" s="13"/>
    </row>
    <row r="924">
      <c r="A924" s="13">
        <v>922.0</v>
      </c>
      <c r="B924" s="13">
        <v>1008.0</v>
      </c>
      <c r="C924" s="13">
        <v>43.0</v>
      </c>
      <c r="D924" s="12" t="s">
        <v>302</v>
      </c>
      <c r="E924" s="12" t="s">
        <v>1624</v>
      </c>
      <c r="F924" s="13">
        <v>5.0</v>
      </c>
      <c r="G924" s="13">
        <v>1.0</v>
      </c>
      <c r="H924" s="13">
        <v>10.0</v>
      </c>
      <c r="I924" s="13" t="s">
        <v>41</v>
      </c>
      <c r="J924" s="13" t="s">
        <v>42</v>
      </c>
      <c r="K924" s="13" t="s">
        <v>98</v>
      </c>
      <c r="L924" s="13"/>
    </row>
    <row r="925">
      <c r="A925" s="13">
        <v>923.0</v>
      </c>
      <c r="B925" s="13">
        <v>861.0</v>
      </c>
      <c r="C925" s="13">
        <v>36.0</v>
      </c>
      <c r="D925" s="12" t="s">
        <v>1625</v>
      </c>
      <c r="E925" s="12" t="s">
        <v>1626</v>
      </c>
      <c r="F925" s="13">
        <v>5.0</v>
      </c>
      <c r="G925" s="13">
        <v>1.0</v>
      </c>
      <c r="H925" s="13">
        <v>8.0</v>
      </c>
      <c r="I925" s="13" t="s">
        <v>35</v>
      </c>
      <c r="J925" s="13" t="s">
        <v>46</v>
      </c>
      <c r="K925" s="13" t="s">
        <v>52</v>
      </c>
      <c r="L925" s="13"/>
    </row>
    <row r="926">
      <c r="A926" s="13">
        <v>924.0</v>
      </c>
      <c r="B926" s="13">
        <v>1028.0</v>
      </c>
      <c r="C926" s="13">
        <v>41.0</v>
      </c>
      <c r="D926" s="12"/>
      <c r="E926" s="12" t="s">
        <v>1627</v>
      </c>
      <c r="F926" s="13">
        <v>5.0</v>
      </c>
      <c r="G926" s="13">
        <v>1.0</v>
      </c>
      <c r="H926" s="13">
        <v>12.0</v>
      </c>
      <c r="I926" s="13" t="s">
        <v>41</v>
      </c>
      <c r="J926" s="13" t="s">
        <v>42</v>
      </c>
      <c r="K926" s="13" t="s">
        <v>435</v>
      </c>
      <c r="L926" s="13"/>
    </row>
    <row r="927">
      <c r="A927" s="13">
        <v>925.0</v>
      </c>
      <c r="B927" s="13">
        <v>1080.0</v>
      </c>
      <c r="C927" s="13">
        <v>55.0</v>
      </c>
      <c r="D927" s="12" t="s">
        <v>1188</v>
      </c>
      <c r="E927" s="12" t="s">
        <v>1628</v>
      </c>
      <c r="F927" s="13">
        <v>5.0</v>
      </c>
      <c r="G927" s="13">
        <v>1.0</v>
      </c>
      <c r="H927" s="13">
        <v>0.0</v>
      </c>
      <c r="I927" s="13" t="s">
        <v>41</v>
      </c>
      <c r="J927" s="13" t="s">
        <v>36</v>
      </c>
      <c r="K927" s="13" t="s">
        <v>36</v>
      </c>
      <c r="L927" s="13"/>
    </row>
    <row r="928">
      <c r="A928" s="13">
        <v>926.0</v>
      </c>
      <c r="B928" s="13">
        <v>1008.0</v>
      </c>
      <c r="C928" s="13">
        <v>52.0</v>
      </c>
      <c r="D928" s="12" t="s">
        <v>1629</v>
      </c>
      <c r="E928" s="12" t="s">
        <v>1630</v>
      </c>
      <c r="F928" s="13">
        <v>5.0</v>
      </c>
      <c r="G928" s="13">
        <v>1.0</v>
      </c>
      <c r="H928" s="13">
        <v>0.0</v>
      </c>
      <c r="I928" s="13" t="s">
        <v>41</v>
      </c>
      <c r="J928" s="13" t="s">
        <v>42</v>
      </c>
      <c r="K928" s="13" t="s">
        <v>98</v>
      </c>
      <c r="L928" s="13"/>
    </row>
    <row r="929">
      <c r="A929" s="13">
        <v>927.0</v>
      </c>
      <c r="B929" s="13">
        <v>1008.0</v>
      </c>
      <c r="C929" s="13">
        <v>50.0</v>
      </c>
      <c r="D929" s="12" t="s">
        <v>1631</v>
      </c>
      <c r="E929" s="12" t="s">
        <v>1632</v>
      </c>
      <c r="F929" s="13">
        <v>3.0</v>
      </c>
      <c r="G929" s="13">
        <v>0.0</v>
      </c>
      <c r="H929" s="13">
        <v>0.0</v>
      </c>
      <c r="I929" s="13" t="s">
        <v>41</v>
      </c>
      <c r="J929" s="13" t="s">
        <v>42</v>
      </c>
      <c r="K929" s="13" t="s">
        <v>98</v>
      </c>
      <c r="L929" s="13"/>
    </row>
    <row r="930">
      <c r="A930" s="13">
        <v>928.0</v>
      </c>
      <c r="B930" s="13">
        <v>952.0</v>
      </c>
      <c r="C930" s="13">
        <v>77.0</v>
      </c>
      <c r="D930" s="12" t="s">
        <v>1633</v>
      </c>
      <c r="E930" s="12" t="s">
        <v>1634</v>
      </c>
      <c r="F930" s="13">
        <v>5.0</v>
      </c>
      <c r="G930" s="13">
        <v>1.0</v>
      </c>
      <c r="H930" s="13">
        <v>1.0</v>
      </c>
      <c r="I930" s="13" t="s">
        <v>41</v>
      </c>
      <c r="J930" s="13" t="s">
        <v>46</v>
      </c>
      <c r="K930" s="13" t="s">
        <v>95</v>
      </c>
      <c r="L930" s="13"/>
    </row>
    <row r="931">
      <c r="A931" s="13">
        <v>929.0</v>
      </c>
      <c r="B931" s="13">
        <v>952.0</v>
      </c>
      <c r="C931" s="13">
        <v>39.0</v>
      </c>
      <c r="D931" s="12" t="s">
        <v>1635</v>
      </c>
      <c r="E931" s="12" t="s">
        <v>1636</v>
      </c>
      <c r="F931" s="13">
        <v>5.0</v>
      </c>
      <c r="G931" s="13">
        <v>1.0</v>
      </c>
      <c r="H931" s="13">
        <v>0.0</v>
      </c>
      <c r="I931" s="13" t="s">
        <v>41</v>
      </c>
      <c r="J931" s="13" t="s">
        <v>46</v>
      </c>
      <c r="K931" s="13" t="s">
        <v>95</v>
      </c>
      <c r="L931" s="13"/>
    </row>
    <row r="932">
      <c r="A932" s="13">
        <v>930.0</v>
      </c>
      <c r="B932" s="13">
        <v>1066.0</v>
      </c>
      <c r="C932" s="13">
        <v>57.0</v>
      </c>
      <c r="D932" s="12" t="s">
        <v>1637</v>
      </c>
      <c r="E932" s="12" t="s">
        <v>1638</v>
      </c>
      <c r="F932" s="13">
        <v>4.0</v>
      </c>
      <c r="G932" s="13">
        <v>1.0</v>
      </c>
      <c r="H932" s="13">
        <v>1.0</v>
      </c>
      <c r="I932" s="13" t="s">
        <v>35</v>
      </c>
      <c r="J932" s="13" t="s">
        <v>42</v>
      </c>
      <c r="K932" s="13" t="s">
        <v>43</v>
      </c>
      <c r="L932" s="13"/>
    </row>
    <row r="933">
      <c r="A933" s="13">
        <v>931.0</v>
      </c>
      <c r="B933" s="13">
        <v>862.0</v>
      </c>
      <c r="C933" s="13">
        <v>65.0</v>
      </c>
      <c r="D933" s="12" t="s">
        <v>1639</v>
      </c>
      <c r="E933" s="12" t="s">
        <v>1640</v>
      </c>
      <c r="F933" s="13">
        <v>5.0</v>
      </c>
      <c r="G933" s="13">
        <v>1.0</v>
      </c>
      <c r="H933" s="13">
        <v>0.0</v>
      </c>
      <c r="I933" s="13" t="s">
        <v>35</v>
      </c>
      <c r="J933" s="13" t="s">
        <v>46</v>
      </c>
      <c r="K933" s="13" t="s">
        <v>52</v>
      </c>
      <c r="L933" s="13"/>
    </row>
    <row r="934">
      <c r="A934" s="13">
        <v>932.0</v>
      </c>
      <c r="B934" s="13">
        <v>1015.0</v>
      </c>
      <c r="C934" s="13">
        <v>44.0</v>
      </c>
      <c r="D934" s="12" t="s">
        <v>1641</v>
      </c>
      <c r="E934" s="12" t="s">
        <v>1642</v>
      </c>
      <c r="F934" s="13">
        <v>5.0</v>
      </c>
      <c r="G934" s="13">
        <v>1.0</v>
      </c>
      <c r="H934" s="13">
        <v>1.0</v>
      </c>
      <c r="I934" s="13" t="s">
        <v>35</v>
      </c>
      <c r="J934" s="13" t="s">
        <v>42</v>
      </c>
      <c r="K934" s="13" t="s">
        <v>98</v>
      </c>
      <c r="L934" s="13"/>
    </row>
    <row r="935">
      <c r="A935" s="13">
        <v>933.0</v>
      </c>
      <c r="B935" s="13">
        <v>1066.0</v>
      </c>
      <c r="C935" s="13">
        <v>45.0</v>
      </c>
      <c r="D935" s="12" t="s">
        <v>1643</v>
      </c>
      <c r="E935" s="12" t="s">
        <v>1644</v>
      </c>
      <c r="F935" s="13">
        <v>5.0</v>
      </c>
      <c r="G935" s="13">
        <v>1.0</v>
      </c>
      <c r="H935" s="13">
        <v>12.0</v>
      </c>
      <c r="I935" s="13" t="s">
        <v>35</v>
      </c>
      <c r="J935" s="13" t="s">
        <v>42</v>
      </c>
      <c r="K935" s="13" t="s">
        <v>43</v>
      </c>
      <c r="L935" s="13"/>
    </row>
    <row r="936">
      <c r="A936" s="13">
        <v>934.0</v>
      </c>
      <c r="B936" s="13">
        <v>1066.0</v>
      </c>
      <c r="C936" s="13">
        <v>60.0</v>
      </c>
      <c r="D936" s="12" t="s">
        <v>1645</v>
      </c>
      <c r="E936" s="12" t="s">
        <v>1646</v>
      </c>
      <c r="F936" s="13">
        <v>3.0</v>
      </c>
      <c r="G936" s="13">
        <v>0.0</v>
      </c>
      <c r="H936" s="13">
        <v>0.0</v>
      </c>
      <c r="I936" s="13" t="s">
        <v>35</v>
      </c>
      <c r="J936" s="13" t="s">
        <v>42</v>
      </c>
      <c r="K936" s="13" t="s">
        <v>43</v>
      </c>
      <c r="L936" s="13"/>
    </row>
    <row r="937">
      <c r="A937" s="13">
        <v>935.0</v>
      </c>
      <c r="B937" s="13">
        <v>1066.0</v>
      </c>
      <c r="C937" s="13">
        <v>35.0</v>
      </c>
      <c r="D937" s="12"/>
      <c r="E937" s="12" t="s">
        <v>1647</v>
      </c>
      <c r="F937" s="13">
        <v>5.0</v>
      </c>
      <c r="G937" s="13">
        <v>1.0</v>
      </c>
      <c r="H937" s="13">
        <v>0.0</v>
      </c>
      <c r="I937" s="13" t="s">
        <v>35</v>
      </c>
      <c r="J937" s="13" t="s">
        <v>42</v>
      </c>
      <c r="K937" s="13" t="s">
        <v>43</v>
      </c>
      <c r="L937" s="13"/>
    </row>
    <row r="938">
      <c r="A938" s="13">
        <v>936.0</v>
      </c>
      <c r="B938" s="13">
        <v>1047.0</v>
      </c>
      <c r="C938" s="13">
        <v>46.0</v>
      </c>
      <c r="D938" s="12" t="s">
        <v>1648</v>
      </c>
      <c r="E938" s="12" t="s">
        <v>1649</v>
      </c>
      <c r="F938" s="13">
        <v>5.0</v>
      </c>
      <c r="G938" s="13">
        <v>1.0</v>
      </c>
      <c r="H938" s="13">
        <v>0.0</v>
      </c>
      <c r="I938" s="13" t="s">
        <v>35</v>
      </c>
      <c r="J938" s="13" t="s">
        <v>42</v>
      </c>
      <c r="K938" s="13" t="s">
        <v>43</v>
      </c>
      <c r="L938" s="13"/>
    </row>
    <row r="939">
      <c r="A939" s="13">
        <v>937.0</v>
      </c>
      <c r="B939" s="13">
        <v>1094.0</v>
      </c>
      <c r="C939" s="13">
        <v>27.0</v>
      </c>
      <c r="D939" s="12" t="s">
        <v>1650</v>
      </c>
      <c r="E939" s="12" t="s">
        <v>1651</v>
      </c>
      <c r="F939" s="13">
        <v>3.0</v>
      </c>
      <c r="G939" s="13">
        <v>0.0</v>
      </c>
      <c r="H939" s="13">
        <v>0.0</v>
      </c>
      <c r="I939" s="13" t="s">
        <v>35</v>
      </c>
      <c r="J939" s="13" t="s">
        <v>36</v>
      </c>
      <c r="K939" s="13" t="s">
        <v>36</v>
      </c>
      <c r="L939" s="13"/>
    </row>
    <row r="940">
      <c r="A940" s="13">
        <v>938.0</v>
      </c>
      <c r="B940" s="13">
        <v>936.0</v>
      </c>
      <c r="C940" s="13">
        <v>30.0</v>
      </c>
      <c r="D940" s="12"/>
      <c r="E940" s="12" t="s">
        <v>1652</v>
      </c>
      <c r="F940" s="13">
        <v>4.0</v>
      </c>
      <c r="G940" s="13">
        <v>1.0</v>
      </c>
      <c r="H940" s="13">
        <v>0.0</v>
      </c>
      <c r="I940" s="13" t="s">
        <v>35</v>
      </c>
      <c r="J940" s="13" t="s">
        <v>46</v>
      </c>
      <c r="K940" s="13" t="s">
        <v>95</v>
      </c>
      <c r="L940" s="13"/>
    </row>
    <row r="941">
      <c r="A941" s="13">
        <v>939.0</v>
      </c>
      <c r="B941" s="13">
        <v>1033.0</v>
      </c>
      <c r="C941" s="13">
        <v>20.0</v>
      </c>
      <c r="D941" s="12" t="s">
        <v>1653</v>
      </c>
      <c r="E941" s="12" t="s">
        <v>1654</v>
      </c>
      <c r="F941" s="13">
        <v>5.0</v>
      </c>
      <c r="G941" s="13">
        <v>1.0</v>
      </c>
      <c r="H941" s="13">
        <v>12.0</v>
      </c>
      <c r="I941" s="13" t="s">
        <v>41</v>
      </c>
      <c r="J941" s="13" t="s">
        <v>42</v>
      </c>
      <c r="K941" s="13" t="s">
        <v>435</v>
      </c>
      <c r="L941" s="13"/>
    </row>
    <row r="942">
      <c r="A942" s="13">
        <v>940.0</v>
      </c>
      <c r="B942" s="13">
        <v>936.0</v>
      </c>
      <c r="C942" s="13">
        <v>51.0</v>
      </c>
      <c r="D942" s="12" t="s">
        <v>1655</v>
      </c>
      <c r="E942" s="12" t="s">
        <v>1656</v>
      </c>
      <c r="F942" s="13">
        <v>5.0</v>
      </c>
      <c r="G942" s="13">
        <v>1.0</v>
      </c>
      <c r="H942" s="13">
        <v>0.0</v>
      </c>
      <c r="I942" s="13" t="s">
        <v>35</v>
      </c>
      <c r="J942" s="13" t="s">
        <v>46</v>
      </c>
      <c r="K942" s="13" t="s">
        <v>95</v>
      </c>
      <c r="L942" s="13"/>
    </row>
    <row r="943">
      <c r="A943" s="13">
        <v>941.0</v>
      </c>
      <c r="B943" s="13">
        <v>1094.0</v>
      </c>
      <c r="C943" s="13">
        <v>35.0</v>
      </c>
      <c r="D943" s="12"/>
      <c r="E943" s="12" t="s">
        <v>1657</v>
      </c>
      <c r="F943" s="13">
        <v>5.0</v>
      </c>
      <c r="G943" s="13">
        <v>1.0</v>
      </c>
      <c r="H943" s="13">
        <v>6.0</v>
      </c>
      <c r="I943" s="13" t="s">
        <v>35</v>
      </c>
      <c r="J943" s="13" t="s">
        <v>36</v>
      </c>
      <c r="K943" s="13" t="s">
        <v>36</v>
      </c>
      <c r="L943" s="13"/>
    </row>
    <row r="944">
      <c r="A944" s="13">
        <v>942.0</v>
      </c>
      <c r="B944" s="13">
        <v>1094.0</v>
      </c>
      <c r="C944" s="13">
        <v>46.0</v>
      </c>
      <c r="D944" s="12" t="s">
        <v>1658</v>
      </c>
      <c r="E944" s="12" t="s">
        <v>1659</v>
      </c>
      <c r="F944" s="13">
        <v>2.0</v>
      </c>
      <c r="G944" s="13">
        <v>0.0</v>
      </c>
      <c r="H944" s="13">
        <v>0.0</v>
      </c>
      <c r="I944" s="13" t="s">
        <v>35</v>
      </c>
      <c r="J944" s="13" t="s">
        <v>36</v>
      </c>
      <c r="K944" s="13" t="s">
        <v>36</v>
      </c>
      <c r="L944" s="13"/>
    </row>
    <row r="945">
      <c r="A945" s="13">
        <v>943.0</v>
      </c>
      <c r="B945" s="13">
        <v>154.0</v>
      </c>
      <c r="C945" s="13">
        <v>35.0</v>
      </c>
      <c r="D945" s="12" t="s">
        <v>1660</v>
      </c>
      <c r="E945" s="12" t="s">
        <v>1661</v>
      </c>
      <c r="F945" s="13">
        <v>4.0</v>
      </c>
      <c r="G945" s="13">
        <v>0.0</v>
      </c>
      <c r="H945" s="13">
        <v>0.0</v>
      </c>
      <c r="I945" s="13" t="s">
        <v>31</v>
      </c>
      <c r="J945" s="13" t="s">
        <v>32</v>
      </c>
      <c r="K945" s="13" t="s">
        <v>126</v>
      </c>
      <c r="L945" s="13"/>
    </row>
    <row r="946">
      <c r="A946" s="13">
        <v>944.0</v>
      </c>
      <c r="B946" s="13">
        <v>1094.0</v>
      </c>
      <c r="C946" s="13">
        <v>41.0</v>
      </c>
      <c r="D946" s="12" t="s">
        <v>1662</v>
      </c>
      <c r="E946" s="12" t="s">
        <v>1663</v>
      </c>
      <c r="F946" s="13">
        <v>5.0</v>
      </c>
      <c r="G946" s="13">
        <v>1.0</v>
      </c>
      <c r="H946" s="13">
        <v>10.0</v>
      </c>
      <c r="I946" s="13" t="s">
        <v>35</v>
      </c>
      <c r="J946" s="13" t="s">
        <v>36</v>
      </c>
      <c r="K946" s="13" t="s">
        <v>36</v>
      </c>
      <c r="L946" s="13"/>
    </row>
    <row r="947">
      <c r="A947" s="13">
        <v>945.0</v>
      </c>
      <c r="B947" s="13">
        <v>1094.0</v>
      </c>
      <c r="C947" s="13">
        <v>39.0</v>
      </c>
      <c r="D947" s="12" t="s">
        <v>1664</v>
      </c>
      <c r="E947" s="12" t="s">
        <v>1665</v>
      </c>
      <c r="F947" s="13">
        <v>3.0</v>
      </c>
      <c r="G947" s="13">
        <v>0.0</v>
      </c>
      <c r="H947" s="13">
        <v>0.0</v>
      </c>
      <c r="I947" s="13" t="s">
        <v>35</v>
      </c>
      <c r="J947" s="13" t="s">
        <v>36</v>
      </c>
      <c r="K947" s="13" t="s">
        <v>36</v>
      </c>
      <c r="L947" s="13"/>
    </row>
    <row r="948">
      <c r="A948" s="13">
        <v>946.0</v>
      </c>
      <c r="B948" s="13">
        <v>154.0</v>
      </c>
      <c r="C948" s="13">
        <v>40.0</v>
      </c>
      <c r="D948" s="12"/>
      <c r="E948" s="12" t="s">
        <v>1666</v>
      </c>
      <c r="F948" s="13">
        <v>4.0</v>
      </c>
      <c r="G948" s="13">
        <v>1.0</v>
      </c>
      <c r="H948" s="13">
        <v>0.0</v>
      </c>
      <c r="I948" s="13" t="s">
        <v>31</v>
      </c>
      <c r="J948" s="13" t="s">
        <v>32</v>
      </c>
      <c r="K948" s="13" t="s">
        <v>126</v>
      </c>
      <c r="L948" s="13"/>
    </row>
    <row r="949">
      <c r="A949" s="13">
        <v>947.0</v>
      </c>
      <c r="B949" s="13">
        <v>1140.0</v>
      </c>
      <c r="C949" s="13">
        <v>27.0</v>
      </c>
      <c r="D949" s="12" t="s">
        <v>1667</v>
      </c>
      <c r="E949" s="12" t="s">
        <v>1668</v>
      </c>
      <c r="F949" s="13">
        <v>5.0</v>
      </c>
      <c r="G949" s="13">
        <v>1.0</v>
      </c>
      <c r="H949" s="13">
        <v>0.0</v>
      </c>
      <c r="I949" s="13" t="s">
        <v>41</v>
      </c>
      <c r="J949" s="13" t="s">
        <v>374</v>
      </c>
      <c r="K949" s="13" t="s">
        <v>374</v>
      </c>
      <c r="L949" s="13"/>
    </row>
    <row r="950">
      <c r="A950" s="13">
        <v>948.0</v>
      </c>
      <c r="B950" s="13">
        <v>154.0</v>
      </c>
      <c r="C950" s="13">
        <v>40.0</v>
      </c>
      <c r="D950" s="12" t="s">
        <v>1669</v>
      </c>
      <c r="E950" s="12" t="s">
        <v>1670</v>
      </c>
      <c r="F950" s="13">
        <v>2.0</v>
      </c>
      <c r="G950" s="13">
        <v>0.0</v>
      </c>
      <c r="H950" s="13">
        <v>4.0</v>
      </c>
      <c r="I950" s="13" t="s">
        <v>31</v>
      </c>
      <c r="J950" s="13" t="s">
        <v>32</v>
      </c>
      <c r="K950" s="13" t="s">
        <v>126</v>
      </c>
      <c r="L950" s="13"/>
    </row>
    <row r="951">
      <c r="A951" s="13">
        <v>949.0</v>
      </c>
      <c r="B951" s="13">
        <v>936.0</v>
      </c>
      <c r="C951" s="13">
        <v>36.0</v>
      </c>
      <c r="D951" s="12" t="s">
        <v>1671</v>
      </c>
      <c r="E951" s="12" t="s">
        <v>1672</v>
      </c>
      <c r="F951" s="13">
        <v>4.0</v>
      </c>
      <c r="G951" s="13">
        <v>1.0</v>
      </c>
      <c r="H951" s="13">
        <v>0.0</v>
      </c>
      <c r="I951" s="13" t="s">
        <v>35</v>
      </c>
      <c r="J951" s="13" t="s">
        <v>46</v>
      </c>
      <c r="K951" s="13" t="s">
        <v>95</v>
      </c>
      <c r="L951" s="13"/>
    </row>
    <row r="952">
      <c r="A952" s="13">
        <v>950.0</v>
      </c>
      <c r="B952" s="13">
        <v>1094.0</v>
      </c>
      <c r="C952" s="13">
        <v>35.0</v>
      </c>
      <c r="D952" s="12" t="s">
        <v>1673</v>
      </c>
      <c r="E952" s="12" t="s">
        <v>1674</v>
      </c>
      <c r="F952" s="13">
        <v>4.0</v>
      </c>
      <c r="G952" s="13">
        <v>1.0</v>
      </c>
      <c r="H952" s="13">
        <v>0.0</v>
      </c>
      <c r="I952" s="13" t="s">
        <v>35</v>
      </c>
      <c r="J952" s="13" t="s">
        <v>36</v>
      </c>
      <c r="K952" s="13" t="s">
        <v>36</v>
      </c>
      <c r="L952" s="13"/>
    </row>
    <row r="953">
      <c r="A953" s="13">
        <v>951.0</v>
      </c>
      <c r="B953" s="13">
        <v>158.0</v>
      </c>
      <c r="C953" s="13">
        <v>25.0</v>
      </c>
      <c r="D953" s="12" t="s">
        <v>1675</v>
      </c>
      <c r="E953" s="12" t="s">
        <v>1676</v>
      </c>
      <c r="F953" s="13">
        <v>5.0</v>
      </c>
      <c r="G953" s="13">
        <v>1.0</v>
      </c>
      <c r="H953" s="13">
        <v>1.0</v>
      </c>
      <c r="I953" s="13" t="s">
        <v>31</v>
      </c>
      <c r="J953" s="13" t="s">
        <v>32</v>
      </c>
      <c r="K953" s="13" t="s">
        <v>1113</v>
      </c>
      <c r="L953" s="13"/>
    </row>
    <row r="954">
      <c r="A954" s="13">
        <v>952.0</v>
      </c>
      <c r="B954" s="13">
        <v>1033.0</v>
      </c>
      <c r="C954" s="13">
        <v>37.0</v>
      </c>
      <c r="D954" s="12" t="s">
        <v>1677</v>
      </c>
      <c r="E954" s="12" t="s">
        <v>1678</v>
      </c>
      <c r="F954" s="13">
        <v>4.0</v>
      </c>
      <c r="G954" s="13">
        <v>1.0</v>
      </c>
      <c r="H954" s="13">
        <v>2.0</v>
      </c>
      <c r="I954" s="13" t="s">
        <v>41</v>
      </c>
      <c r="J954" s="13" t="s">
        <v>42</v>
      </c>
      <c r="K954" s="13" t="s">
        <v>435</v>
      </c>
      <c r="L954" s="13"/>
    </row>
    <row r="955">
      <c r="A955" s="13">
        <v>953.0</v>
      </c>
      <c r="B955" s="13">
        <v>154.0</v>
      </c>
      <c r="C955" s="13">
        <v>29.0</v>
      </c>
      <c r="D955" s="12" t="s">
        <v>1679</v>
      </c>
      <c r="E955" s="12" t="s">
        <v>1680</v>
      </c>
      <c r="F955" s="13">
        <v>4.0</v>
      </c>
      <c r="G955" s="13">
        <v>1.0</v>
      </c>
      <c r="H955" s="13">
        <v>1.0</v>
      </c>
      <c r="I955" s="13" t="s">
        <v>31</v>
      </c>
      <c r="J955" s="13" t="s">
        <v>32</v>
      </c>
      <c r="K955" s="13" t="s">
        <v>126</v>
      </c>
      <c r="L955" s="13"/>
    </row>
    <row r="956">
      <c r="A956" s="13">
        <v>954.0</v>
      </c>
      <c r="B956" s="13">
        <v>1094.0</v>
      </c>
      <c r="C956" s="13">
        <v>44.0</v>
      </c>
      <c r="D956" s="12"/>
      <c r="E956" s="12" t="s">
        <v>1681</v>
      </c>
      <c r="F956" s="13">
        <v>5.0</v>
      </c>
      <c r="G956" s="13">
        <v>1.0</v>
      </c>
      <c r="H956" s="13">
        <v>0.0</v>
      </c>
      <c r="I956" s="13" t="s">
        <v>35</v>
      </c>
      <c r="J956" s="13" t="s">
        <v>36</v>
      </c>
      <c r="K956" s="13" t="s">
        <v>36</v>
      </c>
      <c r="L956" s="13"/>
    </row>
    <row r="957">
      <c r="A957" s="13">
        <v>955.0</v>
      </c>
      <c r="B957" s="13">
        <v>936.0</v>
      </c>
      <c r="C957" s="13">
        <v>31.0</v>
      </c>
      <c r="D957" s="12" t="s">
        <v>1682</v>
      </c>
      <c r="E957" s="12" t="s">
        <v>1683</v>
      </c>
      <c r="F957" s="13">
        <v>3.0</v>
      </c>
      <c r="G957" s="13">
        <v>0.0</v>
      </c>
      <c r="H957" s="13">
        <v>1.0</v>
      </c>
      <c r="I957" s="13" t="s">
        <v>35</v>
      </c>
      <c r="J957" s="13" t="s">
        <v>46</v>
      </c>
      <c r="K957" s="13" t="s">
        <v>95</v>
      </c>
      <c r="L957" s="13"/>
    </row>
    <row r="958">
      <c r="A958" s="13">
        <v>956.0</v>
      </c>
      <c r="B958" s="13">
        <v>1094.0</v>
      </c>
      <c r="C958" s="13">
        <v>54.0</v>
      </c>
      <c r="D958" s="12" t="s">
        <v>1684</v>
      </c>
      <c r="E958" s="12" t="s">
        <v>1685</v>
      </c>
      <c r="F958" s="13">
        <v>5.0</v>
      </c>
      <c r="G958" s="13">
        <v>1.0</v>
      </c>
      <c r="H958" s="13">
        <v>0.0</v>
      </c>
      <c r="I958" s="13" t="s">
        <v>35</v>
      </c>
      <c r="J958" s="13" t="s">
        <v>36</v>
      </c>
      <c r="K958" s="13" t="s">
        <v>36</v>
      </c>
      <c r="L958" s="13"/>
    </row>
    <row r="959">
      <c r="A959" s="13">
        <v>957.0</v>
      </c>
      <c r="B959" s="13">
        <v>936.0</v>
      </c>
      <c r="C959" s="13">
        <v>31.0</v>
      </c>
      <c r="D959" s="12" t="s">
        <v>1686</v>
      </c>
      <c r="E959" s="12" t="s">
        <v>1687</v>
      </c>
      <c r="F959" s="13">
        <v>5.0</v>
      </c>
      <c r="G959" s="13">
        <v>1.0</v>
      </c>
      <c r="H959" s="13">
        <v>11.0</v>
      </c>
      <c r="I959" s="13" t="s">
        <v>35</v>
      </c>
      <c r="J959" s="13" t="s">
        <v>46</v>
      </c>
      <c r="K959" s="13" t="s">
        <v>95</v>
      </c>
      <c r="L959" s="13"/>
    </row>
    <row r="960">
      <c r="A960" s="13">
        <v>958.0</v>
      </c>
      <c r="B960" s="13">
        <v>936.0</v>
      </c>
      <c r="C960" s="13">
        <v>82.0</v>
      </c>
      <c r="D960" s="12"/>
      <c r="E960" s="12" t="s">
        <v>1688</v>
      </c>
      <c r="F960" s="13">
        <v>5.0</v>
      </c>
      <c r="G960" s="13">
        <v>1.0</v>
      </c>
      <c r="H960" s="13">
        <v>0.0</v>
      </c>
      <c r="I960" s="13" t="s">
        <v>35</v>
      </c>
      <c r="J960" s="13" t="s">
        <v>46</v>
      </c>
      <c r="K960" s="13" t="s">
        <v>95</v>
      </c>
      <c r="L960" s="13"/>
    </row>
    <row r="961">
      <c r="A961" s="13">
        <v>959.0</v>
      </c>
      <c r="B961" s="13">
        <v>1154.0</v>
      </c>
      <c r="C961" s="13">
        <v>39.0</v>
      </c>
      <c r="D961" s="12" t="s">
        <v>1689</v>
      </c>
      <c r="E961" s="12" t="s">
        <v>1690</v>
      </c>
      <c r="F961" s="13">
        <v>5.0</v>
      </c>
      <c r="G961" s="13">
        <v>1.0</v>
      </c>
      <c r="H961" s="13">
        <v>0.0</v>
      </c>
      <c r="I961" s="13" t="s">
        <v>31</v>
      </c>
      <c r="J961" s="13" t="s">
        <v>32</v>
      </c>
      <c r="K961" s="13" t="s">
        <v>33</v>
      </c>
      <c r="L961" s="13"/>
    </row>
    <row r="962">
      <c r="A962" s="13">
        <v>960.0</v>
      </c>
      <c r="B962" s="13">
        <v>1022.0</v>
      </c>
      <c r="C962" s="13">
        <v>39.0</v>
      </c>
      <c r="D962" s="12" t="s">
        <v>1691</v>
      </c>
      <c r="E962" s="12" t="s">
        <v>1692</v>
      </c>
      <c r="F962" s="13">
        <v>4.0</v>
      </c>
      <c r="G962" s="13">
        <v>1.0</v>
      </c>
      <c r="H962" s="13">
        <v>1.0</v>
      </c>
      <c r="I962" s="13" t="s">
        <v>35</v>
      </c>
      <c r="J962" s="13" t="s">
        <v>42</v>
      </c>
      <c r="K962" s="13" t="s">
        <v>435</v>
      </c>
      <c r="L962" s="13"/>
    </row>
    <row r="963">
      <c r="A963" s="13">
        <v>961.0</v>
      </c>
      <c r="B963" s="13">
        <v>949.0</v>
      </c>
      <c r="C963" s="13">
        <v>28.0</v>
      </c>
      <c r="D963" s="12" t="s">
        <v>1693</v>
      </c>
      <c r="E963" s="12" t="s">
        <v>1694</v>
      </c>
      <c r="F963" s="13">
        <v>5.0</v>
      </c>
      <c r="G963" s="13">
        <v>1.0</v>
      </c>
      <c r="H963" s="13">
        <v>0.0</v>
      </c>
      <c r="I963" s="13" t="s">
        <v>35</v>
      </c>
      <c r="J963" s="13" t="s">
        <v>46</v>
      </c>
      <c r="K963" s="13" t="s">
        <v>95</v>
      </c>
      <c r="L963" s="13"/>
    </row>
    <row r="964">
      <c r="A964" s="13">
        <v>962.0</v>
      </c>
      <c r="B964" s="13">
        <v>154.0</v>
      </c>
      <c r="C964" s="13">
        <v>38.0</v>
      </c>
      <c r="D964" s="12" t="s">
        <v>1695</v>
      </c>
      <c r="E964" s="12" t="s">
        <v>1696</v>
      </c>
      <c r="F964" s="13">
        <v>4.0</v>
      </c>
      <c r="G964" s="13">
        <v>1.0</v>
      </c>
      <c r="H964" s="13">
        <v>0.0</v>
      </c>
      <c r="I964" s="13" t="s">
        <v>31</v>
      </c>
      <c r="J964" s="13" t="s">
        <v>32</v>
      </c>
      <c r="K964" s="13" t="s">
        <v>126</v>
      </c>
      <c r="L964" s="13"/>
    </row>
    <row r="965">
      <c r="A965" s="13">
        <v>963.0</v>
      </c>
      <c r="B965" s="13">
        <v>1033.0</v>
      </c>
      <c r="C965" s="13">
        <v>37.0</v>
      </c>
      <c r="D965" s="12" t="s">
        <v>1697</v>
      </c>
      <c r="E965" s="12" t="s">
        <v>1698</v>
      </c>
      <c r="F965" s="13">
        <v>2.0</v>
      </c>
      <c r="G965" s="13">
        <v>0.0</v>
      </c>
      <c r="H965" s="13">
        <v>0.0</v>
      </c>
      <c r="I965" s="13" t="s">
        <v>41</v>
      </c>
      <c r="J965" s="13" t="s">
        <v>42</v>
      </c>
      <c r="K965" s="13" t="s">
        <v>435</v>
      </c>
      <c r="L965" s="13"/>
    </row>
    <row r="966">
      <c r="A966" s="13">
        <v>964.0</v>
      </c>
      <c r="B966" s="13">
        <v>154.0</v>
      </c>
      <c r="C966" s="13">
        <v>41.0</v>
      </c>
      <c r="D966" s="12" t="s">
        <v>1699</v>
      </c>
      <c r="E966" s="12" t="s">
        <v>1700</v>
      </c>
      <c r="F966" s="13">
        <v>4.0</v>
      </c>
      <c r="G966" s="13">
        <v>1.0</v>
      </c>
      <c r="H966" s="13">
        <v>0.0</v>
      </c>
      <c r="I966" s="13" t="s">
        <v>31</v>
      </c>
      <c r="J966" s="13" t="s">
        <v>32</v>
      </c>
      <c r="K966" s="13" t="s">
        <v>126</v>
      </c>
      <c r="L966" s="13"/>
    </row>
    <row r="967">
      <c r="A967" s="13">
        <v>965.0</v>
      </c>
      <c r="B967" s="13">
        <v>1140.0</v>
      </c>
      <c r="C967" s="13">
        <v>36.0</v>
      </c>
      <c r="D967" s="12"/>
      <c r="E967" s="12" t="s">
        <v>1701</v>
      </c>
      <c r="F967" s="13">
        <v>3.0</v>
      </c>
      <c r="G967" s="13">
        <v>0.0</v>
      </c>
      <c r="H967" s="13">
        <v>3.0</v>
      </c>
      <c r="I967" s="13" t="s">
        <v>41</v>
      </c>
      <c r="J967" s="13" t="s">
        <v>374</v>
      </c>
      <c r="K967" s="13" t="s">
        <v>374</v>
      </c>
      <c r="L967" s="13"/>
    </row>
    <row r="968">
      <c r="A968" s="13">
        <v>966.0</v>
      </c>
      <c r="B968" s="13">
        <v>936.0</v>
      </c>
      <c r="C968" s="13">
        <v>55.0</v>
      </c>
      <c r="D968" s="12"/>
      <c r="E968" s="12" t="s">
        <v>1702</v>
      </c>
      <c r="F968" s="13">
        <v>5.0</v>
      </c>
      <c r="G968" s="13">
        <v>1.0</v>
      </c>
      <c r="H968" s="13">
        <v>5.0</v>
      </c>
      <c r="I968" s="13" t="s">
        <v>35</v>
      </c>
      <c r="J968" s="13" t="s">
        <v>46</v>
      </c>
      <c r="K968" s="13" t="s">
        <v>95</v>
      </c>
      <c r="L968" s="13"/>
    </row>
    <row r="969">
      <c r="A969" s="13">
        <v>967.0</v>
      </c>
      <c r="B969" s="13">
        <v>1047.0</v>
      </c>
      <c r="C969" s="13">
        <v>43.0</v>
      </c>
      <c r="D969" s="12" t="s">
        <v>1703</v>
      </c>
      <c r="E969" s="12" t="s">
        <v>1704</v>
      </c>
      <c r="F969" s="13">
        <v>3.0</v>
      </c>
      <c r="G969" s="13">
        <v>0.0</v>
      </c>
      <c r="H969" s="13">
        <v>0.0</v>
      </c>
      <c r="I969" s="13" t="s">
        <v>35</v>
      </c>
      <c r="J969" s="13" t="s">
        <v>42</v>
      </c>
      <c r="K969" s="13" t="s">
        <v>43</v>
      </c>
      <c r="L969" s="13"/>
    </row>
    <row r="970">
      <c r="A970" s="13">
        <v>968.0</v>
      </c>
      <c r="B970" s="13">
        <v>936.0</v>
      </c>
      <c r="C970" s="13">
        <v>32.0</v>
      </c>
      <c r="D970" s="12"/>
      <c r="E970" s="12" t="s">
        <v>1705</v>
      </c>
      <c r="F970" s="13">
        <v>5.0</v>
      </c>
      <c r="G970" s="13">
        <v>1.0</v>
      </c>
      <c r="H970" s="13">
        <v>0.0</v>
      </c>
      <c r="I970" s="13" t="s">
        <v>35</v>
      </c>
      <c r="J970" s="13" t="s">
        <v>46</v>
      </c>
      <c r="K970" s="13" t="s">
        <v>95</v>
      </c>
      <c r="L970" s="13"/>
    </row>
    <row r="971">
      <c r="A971" s="13">
        <v>969.0</v>
      </c>
      <c r="B971" s="13">
        <v>868.0</v>
      </c>
      <c r="C971" s="13">
        <v>55.0</v>
      </c>
      <c r="D971" s="12"/>
      <c r="E971" s="12" t="s">
        <v>1706</v>
      </c>
      <c r="F971" s="13">
        <v>5.0</v>
      </c>
      <c r="G971" s="13">
        <v>1.0</v>
      </c>
      <c r="H971" s="13">
        <v>2.0</v>
      </c>
      <c r="I971" s="13" t="s">
        <v>35</v>
      </c>
      <c r="J971" s="13" t="s">
        <v>46</v>
      </c>
      <c r="K971" s="13" t="s">
        <v>52</v>
      </c>
      <c r="L971" s="13"/>
    </row>
    <row r="972">
      <c r="A972" s="13">
        <v>970.0</v>
      </c>
      <c r="B972" s="13">
        <v>1094.0</v>
      </c>
      <c r="C972" s="13">
        <v>54.0</v>
      </c>
      <c r="D972" s="12" t="s">
        <v>1707</v>
      </c>
      <c r="E972" s="12" t="s">
        <v>1708</v>
      </c>
      <c r="F972" s="13">
        <v>5.0</v>
      </c>
      <c r="G972" s="13">
        <v>1.0</v>
      </c>
      <c r="H972" s="13">
        <v>0.0</v>
      </c>
      <c r="I972" s="13" t="s">
        <v>35</v>
      </c>
      <c r="J972" s="13" t="s">
        <v>36</v>
      </c>
      <c r="K972" s="13" t="s">
        <v>36</v>
      </c>
      <c r="L972" s="13"/>
    </row>
    <row r="973">
      <c r="A973" s="13">
        <v>971.0</v>
      </c>
      <c r="B973" s="13">
        <v>936.0</v>
      </c>
      <c r="C973" s="13">
        <v>58.0</v>
      </c>
      <c r="D973" s="12"/>
      <c r="E973" s="12" t="s">
        <v>1709</v>
      </c>
      <c r="F973" s="13">
        <v>5.0</v>
      </c>
      <c r="G973" s="13">
        <v>1.0</v>
      </c>
      <c r="H973" s="13">
        <v>0.0</v>
      </c>
      <c r="I973" s="13" t="s">
        <v>35</v>
      </c>
      <c r="J973" s="13" t="s">
        <v>46</v>
      </c>
      <c r="K973" s="13" t="s">
        <v>95</v>
      </c>
      <c r="L973" s="13"/>
    </row>
    <row r="974">
      <c r="A974" s="13">
        <v>972.0</v>
      </c>
      <c r="B974" s="13">
        <v>1094.0</v>
      </c>
      <c r="C974" s="13">
        <v>67.0</v>
      </c>
      <c r="D974" s="12"/>
      <c r="E974" s="12" t="s">
        <v>1710</v>
      </c>
      <c r="F974" s="13">
        <v>1.0</v>
      </c>
      <c r="G974" s="13">
        <v>0.0</v>
      </c>
      <c r="H974" s="13">
        <v>1.0</v>
      </c>
      <c r="I974" s="13" t="s">
        <v>35</v>
      </c>
      <c r="J974" s="13" t="s">
        <v>36</v>
      </c>
      <c r="K974" s="13" t="s">
        <v>36</v>
      </c>
      <c r="L974" s="13"/>
    </row>
    <row r="975">
      <c r="A975" s="13">
        <v>973.0</v>
      </c>
      <c r="B975" s="13">
        <v>1033.0</v>
      </c>
      <c r="C975" s="13">
        <v>47.0</v>
      </c>
      <c r="D975" s="12" t="s">
        <v>1711</v>
      </c>
      <c r="E975" s="12" t="s">
        <v>1712</v>
      </c>
      <c r="F975" s="13">
        <v>5.0</v>
      </c>
      <c r="G975" s="13">
        <v>1.0</v>
      </c>
      <c r="H975" s="13">
        <v>1.0</v>
      </c>
      <c r="I975" s="13" t="s">
        <v>41</v>
      </c>
      <c r="J975" s="13" t="s">
        <v>42</v>
      </c>
      <c r="K975" s="13" t="s">
        <v>435</v>
      </c>
      <c r="L975" s="13"/>
    </row>
    <row r="976">
      <c r="A976" s="13">
        <v>974.0</v>
      </c>
      <c r="B976" s="13">
        <v>936.0</v>
      </c>
      <c r="C976" s="13">
        <v>31.0</v>
      </c>
      <c r="D976" s="12"/>
      <c r="E976" s="12"/>
      <c r="F976" s="13">
        <v>5.0</v>
      </c>
      <c r="G976" s="13">
        <v>1.0</v>
      </c>
      <c r="H976" s="13">
        <v>0.0</v>
      </c>
      <c r="I976" s="13" t="s">
        <v>35</v>
      </c>
      <c r="J976" s="13" t="s">
        <v>46</v>
      </c>
      <c r="K976" s="13" t="s">
        <v>95</v>
      </c>
      <c r="L976" s="13"/>
    </row>
    <row r="977">
      <c r="A977" s="13">
        <v>975.0</v>
      </c>
      <c r="B977" s="13">
        <v>1094.0</v>
      </c>
      <c r="C977" s="13">
        <v>36.0</v>
      </c>
      <c r="D977" s="12" t="s">
        <v>1713</v>
      </c>
      <c r="E977" s="12" t="s">
        <v>1714</v>
      </c>
      <c r="F977" s="13">
        <v>5.0</v>
      </c>
      <c r="G977" s="13">
        <v>1.0</v>
      </c>
      <c r="H977" s="13">
        <v>6.0</v>
      </c>
      <c r="I977" s="13" t="s">
        <v>35</v>
      </c>
      <c r="J977" s="13" t="s">
        <v>36</v>
      </c>
      <c r="K977" s="13" t="s">
        <v>36</v>
      </c>
      <c r="L977" s="13"/>
    </row>
    <row r="978">
      <c r="A978" s="13">
        <v>976.0</v>
      </c>
      <c r="B978" s="13">
        <v>154.0</v>
      </c>
      <c r="C978" s="13">
        <v>48.0</v>
      </c>
      <c r="D978" s="12" t="s">
        <v>1715</v>
      </c>
      <c r="E978" s="12" t="s">
        <v>1716</v>
      </c>
      <c r="F978" s="13">
        <v>5.0</v>
      </c>
      <c r="G978" s="13">
        <v>1.0</v>
      </c>
      <c r="H978" s="13">
        <v>1.0</v>
      </c>
      <c r="I978" s="13" t="s">
        <v>31</v>
      </c>
      <c r="J978" s="13" t="s">
        <v>32</v>
      </c>
      <c r="K978" s="13" t="s">
        <v>126</v>
      </c>
      <c r="L978" s="13"/>
    </row>
    <row r="979">
      <c r="A979" s="13">
        <v>977.0</v>
      </c>
      <c r="B979" s="13">
        <v>936.0</v>
      </c>
      <c r="C979" s="13">
        <v>21.0</v>
      </c>
      <c r="D979" s="12" t="s">
        <v>1717</v>
      </c>
      <c r="E979" s="12" t="s">
        <v>1718</v>
      </c>
      <c r="F979" s="13">
        <v>4.0</v>
      </c>
      <c r="G979" s="13">
        <v>1.0</v>
      </c>
      <c r="H979" s="13">
        <v>3.0</v>
      </c>
      <c r="I979" s="13" t="s">
        <v>35</v>
      </c>
      <c r="J979" s="13" t="s">
        <v>46</v>
      </c>
      <c r="K979" s="13" t="s">
        <v>95</v>
      </c>
      <c r="L979" s="13"/>
    </row>
    <row r="980">
      <c r="A980" s="13">
        <v>978.0</v>
      </c>
      <c r="B980" s="13">
        <v>1094.0</v>
      </c>
      <c r="C980" s="13">
        <v>29.0</v>
      </c>
      <c r="D980" s="12" t="s">
        <v>1719</v>
      </c>
      <c r="E980" s="12" t="s">
        <v>1720</v>
      </c>
      <c r="F980" s="13">
        <v>5.0</v>
      </c>
      <c r="G980" s="13">
        <v>1.0</v>
      </c>
      <c r="H980" s="13">
        <v>0.0</v>
      </c>
      <c r="I980" s="13" t="s">
        <v>35</v>
      </c>
      <c r="J980" s="13" t="s">
        <v>36</v>
      </c>
      <c r="K980" s="13" t="s">
        <v>36</v>
      </c>
      <c r="L980" s="13"/>
    </row>
    <row r="981">
      <c r="A981" s="13">
        <v>979.0</v>
      </c>
      <c r="B981" s="13">
        <v>154.0</v>
      </c>
      <c r="C981" s="13">
        <v>50.0</v>
      </c>
      <c r="D981" s="12" t="s">
        <v>1721</v>
      </c>
      <c r="E981" s="12" t="s">
        <v>1722</v>
      </c>
      <c r="F981" s="13">
        <v>5.0</v>
      </c>
      <c r="G981" s="13">
        <v>1.0</v>
      </c>
      <c r="H981" s="13">
        <v>0.0</v>
      </c>
      <c r="I981" s="13" t="s">
        <v>31</v>
      </c>
      <c r="J981" s="13" t="s">
        <v>32</v>
      </c>
      <c r="K981" s="13" t="s">
        <v>126</v>
      </c>
      <c r="L981" s="13"/>
    </row>
    <row r="982">
      <c r="A982" s="13">
        <v>980.0</v>
      </c>
      <c r="B982" s="13">
        <v>1094.0</v>
      </c>
      <c r="C982" s="13">
        <v>36.0</v>
      </c>
      <c r="D982" s="12" t="s">
        <v>1723</v>
      </c>
      <c r="E982" s="12" t="s">
        <v>1724</v>
      </c>
      <c r="F982" s="13">
        <v>3.0</v>
      </c>
      <c r="G982" s="13">
        <v>0.0</v>
      </c>
      <c r="H982" s="13">
        <v>0.0</v>
      </c>
      <c r="I982" s="13" t="s">
        <v>35</v>
      </c>
      <c r="J982" s="13" t="s">
        <v>36</v>
      </c>
      <c r="K982" s="13" t="s">
        <v>36</v>
      </c>
      <c r="L982" s="13"/>
    </row>
    <row r="983">
      <c r="A983" s="13">
        <v>981.0</v>
      </c>
      <c r="B983" s="13">
        <v>936.0</v>
      </c>
      <c r="C983" s="13">
        <v>41.0</v>
      </c>
      <c r="D983" s="12" t="s">
        <v>412</v>
      </c>
      <c r="E983" s="12" t="s">
        <v>1725</v>
      </c>
      <c r="F983" s="13">
        <v>5.0</v>
      </c>
      <c r="G983" s="13">
        <v>1.0</v>
      </c>
      <c r="H983" s="13">
        <v>0.0</v>
      </c>
      <c r="I983" s="13" t="s">
        <v>35</v>
      </c>
      <c r="J983" s="13" t="s">
        <v>46</v>
      </c>
      <c r="K983" s="13" t="s">
        <v>95</v>
      </c>
      <c r="L983" s="13"/>
    </row>
    <row r="984">
      <c r="A984" s="13">
        <v>982.0</v>
      </c>
      <c r="B984" s="13">
        <v>1094.0</v>
      </c>
      <c r="C984" s="13">
        <v>41.0</v>
      </c>
      <c r="D984" s="12" t="s">
        <v>1726</v>
      </c>
      <c r="E984" s="12" t="s">
        <v>1727</v>
      </c>
      <c r="F984" s="13">
        <v>5.0</v>
      </c>
      <c r="G984" s="13">
        <v>1.0</v>
      </c>
      <c r="H984" s="13">
        <v>1.0</v>
      </c>
      <c r="I984" s="13" t="s">
        <v>35</v>
      </c>
      <c r="J984" s="13" t="s">
        <v>36</v>
      </c>
      <c r="K984" s="13" t="s">
        <v>36</v>
      </c>
      <c r="L984" s="13"/>
    </row>
    <row r="985">
      <c r="A985" s="13">
        <v>983.0</v>
      </c>
      <c r="B985" s="13">
        <v>936.0</v>
      </c>
      <c r="C985" s="13">
        <v>34.0</v>
      </c>
      <c r="D985" s="12" t="s">
        <v>1728</v>
      </c>
      <c r="E985" s="12" t="s">
        <v>1729</v>
      </c>
      <c r="F985" s="13">
        <v>5.0</v>
      </c>
      <c r="G985" s="13">
        <v>1.0</v>
      </c>
      <c r="H985" s="13">
        <v>2.0</v>
      </c>
      <c r="I985" s="13" t="s">
        <v>35</v>
      </c>
      <c r="J985" s="13" t="s">
        <v>46</v>
      </c>
      <c r="K985" s="13" t="s">
        <v>95</v>
      </c>
      <c r="L985" s="13"/>
    </row>
    <row r="986">
      <c r="A986" s="13">
        <v>984.0</v>
      </c>
      <c r="B986" s="13">
        <v>1094.0</v>
      </c>
      <c r="C986" s="13">
        <v>41.0</v>
      </c>
      <c r="D986" s="12" t="s">
        <v>1730</v>
      </c>
      <c r="E986" s="12" t="s">
        <v>1731</v>
      </c>
      <c r="F986" s="13">
        <v>5.0</v>
      </c>
      <c r="G986" s="13">
        <v>1.0</v>
      </c>
      <c r="H986" s="13">
        <v>9.0</v>
      </c>
      <c r="I986" s="13" t="s">
        <v>35</v>
      </c>
      <c r="J986" s="13" t="s">
        <v>36</v>
      </c>
      <c r="K986" s="13" t="s">
        <v>36</v>
      </c>
      <c r="L986" s="13"/>
    </row>
    <row r="987">
      <c r="A987" s="13">
        <v>985.0</v>
      </c>
      <c r="B987" s="13">
        <v>878.0</v>
      </c>
      <c r="C987" s="13">
        <v>33.0</v>
      </c>
      <c r="D987" s="12"/>
      <c r="E987" s="12" t="s">
        <v>1732</v>
      </c>
      <c r="F987" s="13">
        <v>5.0</v>
      </c>
      <c r="G987" s="13">
        <v>1.0</v>
      </c>
      <c r="H987" s="13">
        <v>1.0</v>
      </c>
      <c r="I987" s="13" t="s">
        <v>35</v>
      </c>
      <c r="J987" s="13" t="s">
        <v>46</v>
      </c>
      <c r="K987" s="13" t="s">
        <v>52</v>
      </c>
      <c r="L987" s="13"/>
    </row>
    <row r="988">
      <c r="A988" s="13">
        <v>986.0</v>
      </c>
      <c r="B988" s="13">
        <v>1145.0</v>
      </c>
      <c r="C988" s="13">
        <v>66.0</v>
      </c>
      <c r="D988" s="12" t="s">
        <v>1733</v>
      </c>
      <c r="E988" s="12" t="s">
        <v>1734</v>
      </c>
      <c r="F988" s="13">
        <v>5.0</v>
      </c>
      <c r="G988" s="13">
        <v>1.0</v>
      </c>
      <c r="H988" s="13">
        <v>3.0</v>
      </c>
      <c r="I988" s="13" t="s">
        <v>35</v>
      </c>
      <c r="J988" s="13" t="s">
        <v>374</v>
      </c>
      <c r="K988" s="13" t="s">
        <v>374</v>
      </c>
      <c r="L988" s="13"/>
    </row>
    <row r="989">
      <c r="A989" s="13">
        <v>987.0</v>
      </c>
      <c r="B989" s="13">
        <v>1033.0</v>
      </c>
      <c r="C989" s="13">
        <v>45.0</v>
      </c>
      <c r="D989" s="12" t="s">
        <v>1735</v>
      </c>
      <c r="E989" s="12" t="s">
        <v>1736</v>
      </c>
      <c r="F989" s="13">
        <v>4.0</v>
      </c>
      <c r="G989" s="13">
        <v>1.0</v>
      </c>
      <c r="H989" s="13">
        <v>0.0</v>
      </c>
      <c r="I989" s="13" t="s">
        <v>41</v>
      </c>
      <c r="J989" s="13" t="s">
        <v>42</v>
      </c>
      <c r="K989" s="13" t="s">
        <v>435</v>
      </c>
      <c r="L989" s="13"/>
    </row>
    <row r="990">
      <c r="A990" s="13">
        <v>988.0</v>
      </c>
      <c r="B990" s="13">
        <v>936.0</v>
      </c>
      <c r="C990" s="13">
        <v>31.0</v>
      </c>
      <c r="D990" s="12" t="s">
        <v>1737</v>
      </c>
      <c r="E990" s="12" t="s">
        <v>1738</v>
      </c>
      <c r="F990" s="13">
        <v>5.0</v>
      </c>
      <c r="G990" s="13">
        <v>1.0</v>
      </c>
      <c r="H990" s="13">
        <v>4.0</v>
      </c>
      <c r="I990" s="13" t="s">
        <v>35</v>
      </c>
      <c r="J990" s="13" t="s">
        <v>46</v>
      </c>
      <c r="K990" s="13" t="s">
        <v>95</v>
      </c>
      <c r="L990" s="13"/>
    </row>
    <row r="991">
      <c r="A991" s="13">
        <v>989.0</v>
      </c>
      <c r="B991" s="13">
        <v>936.0</v>
      </c>
      <c r="C991" s="13">
        <v>68.0</v>
      </c>
      <c r="D991" s="12" t="s">
        <v>88</v>
      </c>
      <c r="E991" s="12" t="s">
        <v>1739</v>
      </c>
      <c r="F991" s="13">
        <v>5.0</v>
      </c>
      <c r="G991" s="13">
        <v>1.0</v>
      </c>
      <c r="H991" s="13">
        <v>4.0</v>
      </c>
      <c r="I991" s="13" t="s">
        <v>35</v>
      </c>
      <c r="J991" s="13" t="s">
        <v>46</v>
      </c>
      <c r="K991" s="13" t="s">
        <v>95</v>
      </c>
      <c r="L991" s="13"/>
    </row>
    <row r="992">
      <c r="A992" s="13">
        <v>990.0</v>
      </c>
      <c r="B992" s="13">
        <v>936.0</v>
      </c>
      <c r="C992" s="13">
        <v>65.0</v>
      </c>
      <c r="D992" s="12" t="s">
        <v>1740</v>
      </c>
      <c r="E992" s="12" t="s">
        <v>1741</v>
      </c>
      <c r="F992" s="13">
        <v>5.0</v>
      </c>
      <c r="G992" s="13">
        <v>1.0</v>
      </c>
      <c r="H992" s="13">
        <v>11.0</v>
      </c>
      <c r="I992" s="13" t="s">
        <v>35</v>
      </c>
      <c r="J992" s="13" t="s">
        <v>46</v>
      </c>
      <c r="K992" s="13" t="s">
        <v>95</v>
      </c>
      <c r="L992" s="13"/>
    </row>
    <row r="993">
      <c r="A993" s="13">
        <v>991.0</v>
      </c>
      <c r="B993" s="13">
        <v>1033.0</v>
      </c>
      <c r="C993" s="13">
        <v>51.0</v>
      </c>
      <c r="D993" s="12"/>
      <c r="E993" s="12" t="s">
        <v>1742</v>
      </c>
      <c r="F993" s="13">
        <v>5.0</v>
      </c>
      <c r="G993" s="13">
        <v>1.0</v>
      </c>
      <c r="H993" s="13">
        <v>0.0</v>
      </c>
      <c r="I993" s="13" t="s">
        <v>41</v>
      </c>
      <c r="J993" s="13" t="s">
        <v>42</v>
      </c>
      <c r="K993" s="13" t="s">
        <v>435</v>
      </c>
      <c r="L993" s="13"/>
    </row>
    <row r="994">
      <c r="A994" s="13">
        <v>992.0</v>
      </c>
      <c r="B994" s="13">
        <v>878.0</v>
      </c>
      <c r="C994" s="13">
        <v>69.0</v>
      </c>
      <c r="D994" s="12"/>
      <c r="E994" s="12" t="s">
        <v>1743</v>
      </c>
      <c r="F994" s="13">
        <v>3.0</v>
      </c>
      <c r="G994" s="13">
        <v>0.0</v>
      </c>
      <c r="H994" s="13">
        <v>15.0</v>
      </c>
      <c r="I994" s="13" t="s">
        <v>41</v>
      </c>
      <c r="J994" s="13" t="s">
        <v>46</v>
      </c>
      <c r="K994" s="13" t="s">
        <v>52</v>
      </c>
      <c r="L994" s="13"/>
    </row>
    <row r="995">
      <c r="A995" s="13">
        <v>993.0</v>
      </c>
      <c r="B995" s="13">
        <v>1094.0</v>
      </c>
      <c r="C995" s="13">
        <v>48.0</v>
      </c>
      <c r="D995" s="12" t="s">
        <v>1744</v>
      </c>
      <c r="E995" s="12" t="s">
        <v>1745</v>
      </c>
      <c r="F995" s="13">
        <v>3.0</v>
      </c>
      <c r="G995" s="13">
        <v>0.0</v>
      </c>
      <c r="H995" s="13">
        <v>0.0</v>
      </c>
      <c r="I995" s="13" t="s">
        <v>35</v>
      </c>
      <c r="J995" s="13" t="s">
        <v>36</v>
      </c>
      <c r="K995" s="13" t="s">
        <v>36</v>
      </c>
      <c r="L995" s="13"/>
    </row>
    <row r="996">
      <c r="A996" s="13">
        <v>994.0</v>
      </c>
      <c r="B996" s="13">
        <v>936.0</v>
      </c>
      <c r="C996" s="13">
        <v>41.0</v>
      </c>
      <c r="D996" s="12"/>
      <c r="E996" s="12" t="s">
        <v>1746</v>
      </c>
      <c r="F996" s="13">
        <v>3.0</v>
      </c>
      <c r="G996" s="13">
        <v>0.0</v>
      </c>
      <c r="H996" s="13">
        <v>0.0</v>
      </c>
      <c r="I996" s="13" t="s">
        <v>35</v>
      </c>
      <c r="J996" s="13" t="s">
        <v>46</v>
      </c>
      <c r="K996" s="13" t="s">
        <v>95</v>
      </c>
      <c r="L996" s="13"/>
    </row>
    <row r="997">
      <c r="A997" s="13">
        <v>995.0</v>
      </c>
      <c r="B997" s="13">
        <v>1047.0</v>
      </c>
      <c r="C997" s="13">
        <v>70.0</v>
      </c>
      <c r="D997" s="12"/>
      <c r="E997" s="12" t="s">
        <v>1747</v>
      </c>
      <c r="F997" s="13">
        <v>5.0</v>
      </c>
      <c r="G997" s="13">
        <v>1.0</v>
      </c>
      <c r="H997" s="13">
        <v>3.0</v>
      </c>
      <c r="I997" s="13" t="s">
        <v>35</v>
      </c>
      <c r="J997" s="13" t="s">
        <v>42</v>
      </c>
      <c r="K997" s="13" t="s">
        <v>43</v>
      </c>
      <c r="L997" s="13"/>
    </row>
    <row r="998">
      <c r="A998" s="13">
        <v>996.0</v>
      </c>
      <c r="B998" s="13">
        <v>936.0</v>
      </c>
      <c r="C998" s="13">
        <v>37.0</v>
      </c>
      <c r="D998" s="12" t="s">
        <v>1748</v>
      </c>
      <c r="E998" s="12" t="s">
        <v>1749</v>
      </c>
      <c r="F998" s="13">
        <v>5.0</v>
      </c>
      <c r="G998" s="13">
        <v>1.0</v>
      </c>
      <c r="H998" s="13">
        <v>8.0</v>
      </c>
      <c r="I998" s="13" t="s">
        <v>35</v>
      </c>
      <c r="J998" s="13" t="s">
        <v>46</v>
      </c>
      <c r="K998" s="13" t="s">
        <v>95</v>
      </c>
      <c r="L998" s="13"/>
    </row>
    <row r="999">
      <c r="A999" s="13">
        <v>997.0</v>
      </c>
      <c r="B999" s="13">
        <v>936.0</v>
      </c>
      <c r="C999" s="13">
        <v>36.0</v>
      </c>
      <c r="D999" s="12" t="s">
        <v>436</v>
      </c>
      <c r="E999" s="12" t="s">
        <v>1750</v>
      </c>
      <c r="F999" s="13">
        <v>5.0</v>
      </c>
      <c r="G999" s="13">
        <v>1.0</v>
      </c>
      <c r="H999" s="13">
        <v>1.0</v>
      </c>
      <c r="I999" s="13" t="s">
        <v>35</v>
      </c>
      <c r="J999" s="13" t="s">
        <v>46</v>
      </c>
      <c r="K999" s="13" t="s">
        <v>95</v>
      </c>
      <c r="L999" s="13"/>
    </row>
    <row r="1000">
      <c r="A1000" s="13">
        <v>998.0</v>
      </c>
      <c r="B1000" s="13">
        <v>854.0</v>
      </c>
      <c r="C1000" s="13">
        <v>29.0</v>
      </c>
      <c r="D1000" s="12" t="s">
        <v>1751</v>
      </c>
      <c r="E1000" s="12" t="s">
        <v>1752</v>
      </c>
      <c r="F1000" s="13">
        <v>5.0</v>
      </c>
      <c r="G1000" s="13">
        <v>1.0</v>
      </c>
      <c r="H1000" s="13">
        <v>0.0</v>
      </c>
      <c r="I1000" s="13" t="s">
        <v>41</v>
      </c>
      <c r="J1000" s="13" t="s">
        <v>46</v>
      </c>
      <c r="K1000" s="13" t="s">
        <v>52</v>
      </c>
      <c r="L1000" s="13"/>
    </row>
    <row r="1001">
      <c r="A1001" s="13">
        <v>999.0</v>
      </c>
      <c r="B1001" s="13">
        <v>936.0</v>
      </c>
      <c r="C1001" s="13">
        <v>34.0</v>
      </c>
      <c r="D1001" s="12" t="s">
        <v>1753</v>
      </c>
      <c r="E1001" s="12" t="s">
        <v>1754</v>
      </c>
      <c r="F1001" s="13">
        <v>5.0</v>
      </c>
      <c r="G1001" s="13">
        <v>1.0</v>
      </c>
      <c r="H1001" s="13">
        <v>2.0</v>
      </c>
      <c r="I1001" s="13" t="s">
        <v>35</v>
      </c>
      <c r="J1001" s="13" t="s">
        <v>46</v>
      </c>
      <c r="K1001" s="13" t="s">
        <v>95</v>
      </c>
      <c r="L1001" s="13"/>
    </row>
    <row r="1002">
      <c r="A1002" s="13">
        <v>1000.0</v>
      </c>
      <c r="B1002" s="13">
        <v>154.0</v>
      </c>
      <c r="C1002" s="13">
        <v>48.0</v>
      </c>
      <c r="D1002" s="12" t="s">
        <v>1755</v>
      </c>
      <c r="E1002" s="12" t="s">
        <v>1756</v>
      </c>
      <c r="F1002" s="13">
        <v>5.0</v>
      </c>
      <c r="G1002" s="13">
        <v>1.0</v>
      </c>
      <c r="H1002" s="13">
        <v>0.0</v>
      </c>
      <c r="I1002" s="13" t="s">
        <v>31</v>
      </c>
      <c r="J1002" s="13" t="s">
        <v>32</v>
      </c>
      <c r="K1002" s="13" t="s">
        <v>126</v>
      </c>
      <c r="L1002" s="13"/>
    </row>
    <row r="1003">
      <c r="A1003" s="13">
        <v>1001.0</v>
      </c>
      <c r="B1003" s="13">
        <v>1033.0</v>
      </c>
      <c r="C1003" s="13">
        <v>63.0</v>
      </c>
      <c r="D1003" s="12" t="s">
        <v>1757</v>
      </c>
      <c r="E1003" s="12" t="s">
        <v>1758</v>
      </c>
      <c r="F1003" s="13">
        <v>5.0</v>
      </c>
      <c r="G1003" s="13">
        <v>1.0</v>
      </c>
      <c r="H1003" s="13">
        <v>10.0</v>
      </c>
      <c r="I1003" s="13" t="s">
        <v>41</v>
      </c>
      <c r="J1003" s="13" t="s">
        <v>42</v>
      </c>
      <c r="K1003" s="13" t="s">
        <v>435</v>
      </c>
      <c r="L1003" s="13"/>
    </row>
    <row r="1004">
      <c r="A1004" s="13">
        <v>1002.0</v>
      </c>
      <c r="B1004" s="13">
        <v>1033.0</v>
      </c>
      <c r="C1004" s="13">
        <v>49.0</v>
      </c>
      <c r="D1004" s="12" t="s">
        <v>1759</v>
      </c>
      <c r="E1004" s="12" t="s">
        <v>1760</v>
      </c>
      <c r="F1004" s="13">
        <v>4.0</v>
      </c>
      <c r="G1004" s="13">
        <v>1.0</v>
      </c>
      <c r="H1004" s="13">
        <v>0.0</v>
      </c>
      <c r="I1004" s="13" t="s">
        <v>41</v>
      </c>
      <c r="J1004" s="13" t="s">
        <v>42</v>
      </c>
      <c r="K1004" s="13" t="s">
        <v>435</v>
      </c>
      <c r="L1004" s="13"/>
    </row>
    <row r="1005">
      <c r="A1005" s="13">
        <v>1003.0</v>
      </c>
      <c r="B1005" s="13">
        <v>936.0</v>
      </c>
      <c r="C1005" s="13">
        <v>35.0</v>
      </c>
      <c r="D1005" s="12" t="s">
        <v>1761</v>
      </c>
      <c r="E1005" s="12" t="s">
        <v>1762</v>
      </c>
      <c r="F1005" s="13">
        <v>3.0</v>
      </c>
      <c r="G1005" s="13">
        <v>0.0</v>
      </c>
      <c r="H1005" s="13">
        <v>0.0</v>
      </c>
      <c r="I1005" s="13" t="s">
        <v>35</v>
      </c>
      <c r="J1005" s="13" t="s">
        <v>46</v>
      </c>
      <c r="K1005" s="13" t="s">
        <v>95</v>
      </c>
      <c r="L1005" s="13"/>
    </row>
    <row r="1006">
      <c r="A1006" s="13">
        <v>1004.0</v>
      </c>
      <c r="B1006" s="13">
        <v>1094.0</v>
      </c>
      <c r="C1006" s="13">
        <v>30.0</v>
      </c>
      <c r="D1006" s="12"/>
      <c r="E1006" s="12"/>
      <c r="F1006" s="13">
        <v>5.0</v>
      </c>
      <c r="G1006" s="13">
        <v>1.0</v>
      </c>
      <c r="H1006" s="13">
        <v>0.0</v>
      </c>
      <c r="I1006" s="13" t="s">
        <v>35</v>
      </c>
      <c r="J1006" s="13" t="s">
        <v>36</v>
      </c>
      <c r="K1006" s="13" t="s">
        <v>36</v>
      </c>
      <c r="L1006" s="13"/>
    </row>
    <row r="1007">
      <c r="A1007" s="13">
        <v>1005.0</v>
      </c>
      <c r="B1007" s="13">
        <v>936.0</v>
      </c>
      <c r="C1007" s="13">
        <v>35.0</v>
      </c>
      <c r="D1007" s="12" t="s">
        <v>1763</v>
      </c>
      <c r="E1007" s="12" t="s">
        <v>1764</v>
      </c>
      <c r="F1007" s="13">
        <v>4.0</v>
      </c>
      <c r="G1007" s="13">
        <v>1.0</v>
      </c>
      <c r="H1007" s="13">
        <v>0.0</v>
      </c>
      <c r="I1007" s="13" t="s">
        <v>35</v>
      </c>
      <c r="J1007" s="13" t="s">
        <v>46</v>
      </c>
      <c r="K1007" s="13" t="s">
        <v>95</v>
      </c>
      <c r="L1007" s="13"/>
    </row>
    <row r="1008">
      <c r="A1008" s="13">
        <v>1006.0</v>
      </c>
      <c r="B1008" s="13">
        <v>936.0</v>
      </c>
      <c r="C1008" s="13">
        <v>83.0</v>
      </c>
      <c r="D1008" s="12" t="s">
        <v>1733</v>
      </c>
      <c r="E1008" s="12" t="s">
        <v>1765</v>
      </c>
      <c r="F1008" s="13">
        <v>5.0</v>
      </c>
      <c r="G1008" s="13">
        <v>1.0</v>
      </c>
      <c r="H1008" s="13">
        <v>0.0</v>
      </c>
      <c r="I1008" s="13" t="s">
        <v>35</v>
      </c>
      <c r="J1008" s="13" t="s">
        <v>46</v>
      </c>
      <c r="K1008" s="13" t="s">
        <v>95</v>
      </c>
      <c r="L1008" s="13"/>
    </row>
    <row r="1009">
      <c r="A1009" s="13">
        <v>1007.0</v>
      </c>
      <c r="B1009" s="13">
        <v>1047.0</v>
      </c>
      <c r="C1009" s="13">
        <v>67.0</v>
      </c>
      <c r="D1009" s="12" t="s">
        <v>1766</v>
      </c>
      <c r="E1009" s="12" t="s">
        <v>1767</v>
      </c>
      <c r="F1009" s="13">
        <v>5.0</v>
      </c>
      <c r="G1009" s="13">
        <v>1.0</v>
      </c>
      <c r="H1009" s="13">
        <v>4.0</v>
      </c>
      <c r="I1009" s="13" t="s">
        <v>35</v>
      </c>
      <c r="J1009" s="13" t="s">
        <v>42</v>
      </c>
      <c r="K1009" s="13" t="s">
        <v>43</v>
      </c>
      <c r="L1009" s="13"/>
    </row>
    <row r="1010">
      <c r="A1010" s="13">
        <v>1008.0</v>
      </c>
      <c r="B1010" s="13">
        <v>1094.0</v>
      </c>
      <c r="C1010" s="13">
        <v>39.0</v>
      </c>
      <c r="D1010" s="12" t="s">
        <v>1768</v>
      </c>
      <c r="E1010" s="12" t="s">
        <v>1769</v>
      </c>
      <c r="F1010" s="13">
        <v>5.0</v>
      </c>
      <c r="G1010" s="13">
        <v>1.0</v>
      </c>
      <c r="H1010" s="13">
        <v>2.0</v>
      </c>
      <c r="I1010" s="13" t="s">
        <v>35</v>
      </c>
      <c r="J1010" s="13" t="s">
        <v>36</v>
      </c>
      <c r="K1010" s="13" t="s">
        <v>36</v>
      </c>
      <c r="L1010" s="13"/>
    </row>
    <row r="1011">
      <c r="A1011" s="13">
        <v>1009.0</v>
      </c>
      <c r="B1011" s="13">
        <v>936.0</v>
      </c>
      <c r="C1011" s="13">
        <v>39.0</v>
      </c>
      <c r="D1011" s="12" t="s">
        <v>1770</v>
      </c>
      <c r="E1011" s="12" t="s">
        <v>1771</v>
      </c>
      <c r="F1011" s="13">
        <v>5.0</v>
      </c>
      <c r="G1011" s="13">
        <v>1.0</v>
      </c>
      <c r="H1011" s="13">
        <v>0.0</v>
      </c>
      <c r="I1011" s="13" t="s">
        <v>35</v>
      </c>
      <c r="J1011" s="13" t="s">
        <v>46</v>
      </c>
      <c r="K1011" s="13" t="s">
        <v>95</v>
      </c>
      <c r="L1011" s="13"/>
    </row>
    <row r="1012">
      <c r="A1012" s="13">
        <v>1010.0</v>
      </c>
      <c r="B1012" s="13">
        <v>936.0</v>
      </c>
      <c r="C1012" s="13">
        <v>71.0</v>
      </c>
      <c r="D1012" s="12"/>
      <c r="E1012" s="12" t="s">
        <v>1772</v>
      </c>
      <c r="F1012" s="13">
        <v>5.0</v>
      </c>
      <c r="G1012" s="13">
        <v>1.0</v>
      </c>
      <c r="H1012" s="13">
        <v>3.0</v>
      </c>
      <c r="I1012" s="13" t="s">
        <v>35</v>
      </c>
      <c r="J1012" s="13" t="s">
        <v>46</v>
      </c>
      <c r="K1012" s="13" t="s">
        <v>95</v>
      </c>
      <c r="L1012" s="13"/>
    </row>
    <row r="1013">
      <c r="A1013" s="13">
        <v>1011.0</v>
      </c>
      <c r="B1013" s="13">
        <v>1047.0</v>
      </c>
      <c r="C1013" s="13">
        <v>34.0</v>
      </c>
      <c r="D1013" s="12" t="s">
        <v>1773</v>
      </c>
      <c r="E1013" s="12" t="s">
        <v>1774</v>
      </c>
      <c r="F1013" s="13">
        <v>5.0</v>
      </c>
      <c r="G1013" s="13">
        <v>1.0</v>
      </c>
      <c r="H1013" s="13">
        <v>0.0</v>
      </c>
      <c r="I1013" s="13" t="s">
        <v>35</v>
      </c>
      <c r="J1013" s="13" t="s">
        <v>42</v>
      </c>
      <c r="K1013" s="13" t="s">
        <v>43</v>
      </c>
      <c r="L1013" s="13"/>
    </row>
    <row r="1014">
      <c r="A1014" s="13">
        <v>1012.0</v>
      </c>
      <c r="B1014" s="13">
        <v>1094.0</v>
      </c>
      <c r="C1014" s="13">
        <v>37.0</v>
      </c>
      <c r="D1014" s="12" t="s">
        <v>1775</v>
      </c>
      <c r="E1014" s="12" t="s">
        <v>1776</v>
      </c>
      <c r="F1014" s="13">
        <v>5.0</v>
      </c>
      <c r="G1014" s="13">
        <v>1.0</v>
      </c>
      <c r="H1014" s="13">
        <v>2.0</v>
      </c>
      <c r="I1014" s="13" t="s">
        <v>35</v>
      </c>
      <c r="J1014" s="13" t="s">
        <v>36</v>
      </c>
      <c r="K1014" s="13" t="s">
        <v>36</v>
      </c>
      <c r="L1014" s="13"/>
    </row>
    <row r="1015">
      <c r="A1015" s="13">
        <v>1013.0</v>
      </c>
      <c r="B1015" s="13">
        <v>936.0</v>
      </c>
      <c r="C1015" s="13">
        <v>59.0</v>
      </c>
      <c r="D1015" s="12" t="s">
        <v>1777</v>
      </c>
      <c r="E1015" s="12" t="s">
        <v>1778</v>
      </c>
      <c r="F1015" s="13">
        <v>3.0</v>
      </c>
      <c r="G1015" s="13">
        <v>1.0</v>
      </c>
      <c r="H1015" s="13">
        <v>0.0</v>
      </c>
      <c r="I1015" s="13" t="s">
        <v>35</v>
      </c>
      <c r="J1015" s="13" t="s">
        <v>46</v>
      </c>
      <c r="K1015" s="13" t="s">
        <v>95</v>
      </c>
      <c r="L1015" s="13"/>
    </row>
    <row r="1016">
      <c r="A1016" s="13">
        <v>1014.0</v>
      </c>
      <c r="B1016" s="13">
        <v>936.0</v>
      </c>
      <c r="C1016" s="13">
        <v>40.0</v>
      </c>
      <c r="D1016" s="12" t="s">
        <v>1779</v>
      </c>
      <c r="E1016" s="12" t="s">
        <v>1780</v>
      </c>
      <c r="F1016" s="13">
        <v>5.0</v>
      </c>
      <c r="G1016" s="13">
        <v>1.0</v>
      </c>
      <c r="H1016" s="13">
        <v>0.0</v>
      </c>
      <c r="I1016" s="13" t="s">
        <v>35</v>
      </c>
      <c r="J1016" s="13" t="s">
        <v>46</v>
      </c>
      <c r="K1016" s="13" t="s">
        <v>95</v>
      </c>
      <c r="L1016" s="13"/>
    </row>
    <row r="1017">
      <c r="A1017" s="13">
        <v>1015.0</v>
      </c>
      <c r="B1017" s="13">
        <v>1094.0</v>
      </c>
      <c r="C1017" s="13">
        <v>27.0</v>
      </c>
      <c r="D1017" s="12" t="s">
        <v>1781</v>
      </c>
      <c r="E1017" s="12" t="s">
        <v>1782</v>
      </c>
      <c r="F1017" s="13">
        <v>5.0</v>
      </c>
      <c r="G1017" s="13">
        <v>1.0</v>
      </c>
      <c r="H1017" s="13">
        <v>0.0</v>
      </c>
      <c r="I1017" s="13" t="s">
        <v>35</v>
      </c>
      <c r="J1017" s="13" t="s">
        <v>36</v>
      </c>
      <c r="K1017" s="13" t="s">
        <v>36</v>
      </c>
      <c r="L1017" s="13"/>
    </row>
    <row r="1018">
      <c r="A1018" s="13">
        <v>1016.0</v>
      </c>
      <c r="B1018" s="13">
        <v>936.0</v>
      </c>
      <c r="C1018" s="13">
        <v>28.0</v>
      </c>
      <c r="D1018" s="12" t="s">
        <v>1783</v>
      </c>
      <c r="E1018" s="12" t="s">
        <v>1784</v>
      </c>
      <c r="F1018" s="13">
        <v>3.0</v>
      </c>
      <c r="G1018" s="13">
        <v>1.0</v>
      </c>
      <c r="H1018" s="13">
        <v>4.0</v>
      </c>
      <c r="I1018" s="13" t="s">
        <v>35</v>
      </c>
      <c r="J1018" s="13" t="s">
        <v>46</v>
      </c>
      <c r="K1018" s="13" t="s">
        <v>95</v>
      </c>
      <c r="L1018" s="13"/>
    </row>
    <row r="1019">
      <c r="A1019" s="13">
        <v>1017.0</v>
      </c>
      <c r="B1019" s="13">
        <v>1154.0</v>
      </c>
      <c r="C1019" s="13">
        <v>44.0</v>
      </c>
      <c r="D1019" s="12" t="s">
        <v>1785</v>
      </c>
      <c r="E1019" s="12" t="s">
        <v>1786</v>
      </c>
      <c r="F1019" s="13">
        <v>5.0</v>
      </c>
      <c r="G1019" s="13">
        <v>1.0</v>
      </c>
      <c r="H1019" s="13">
        <v>0.0</v>
      </c>
      <c r="I1019" s="13" t="s">
        <v>31</v>
      </c>
      <c r="J1019" s="13" t="s">
        <v>32</v>
      </c>
      <c r="K1019" s="13" t="s">
        <v>33</v>
      </c>
      <c r="L1019" s="13"/>
    </row>
    <row r="1020">
      <c r="A1020" s="13">
        <v>1018.0</v>
      </c>
      <c r="B1020" s="13">
        <v>936.0</v>
      </c>
      <c r="C1020" s="13">
        <v>47.0</v>
      </c>
      <c r="D1020" s="12" t="s">
        <v>898</v>
      </c>
      <c r="E1020" s="12" t="s">
        <v>1787</v>
      </c>
      <c r="F1020" s="13">
        <v>5.0</v>
      </c>
      <c r="G1020" s="13">
        <v>1.0</v>
      </c>
      <c r="H1020" s="13">
        <v>0.0</v>
      </c>
      <c r="I1020" s="13" t="s">
        <v>35</v>
      </c>
      <c r="J1020" s="13" t="s">
        <v>46</v>
      </c>
      <c r="K1020" s="13" t="s">
        <v>95</v>
      </c>
      <c r="L1020" s="13"/>
    </row>
    <row r="1021">
      <c r="A1021" s="13">
        <v>1019.0</v>
      </c>
      <c r="B1021" s="13">
        <v>936.0</v>
      </c>
      <c r="C1021" s="13">
        <v>42.0</v>
      </c>
      <c r="D1021" s="12" t="s">
        <v>1788</v>
      </c>
      <c r="E1021" s="12" t="s">
        <v>1789</v>
      </c>
      <c r="F1021" s="13">
        <v>5.0</v>
      </c>
      <c r="G1021" s="13">
        <v>1.0</v>
      </c>
      <c r="H1021" s="13">
        <v>0.0</v>
      </c>
      <c r="I1021" s="13" t="s">
        <v>35</v>
      </c>
      <c r="J1021" s="13" t="s">
        <v>46</v>
      </c>
      <c r="K1021" s="13" t="s">
        <v>95</v>
      </c>
      <c r="L1021" s="13"/>
    </row>
    <row r="1022">
      <c r="A1022" s="13">
        <v>1020.0</v>
      </c>
      <c r="B1022" s="13">
        <v>936.0</v>
      </c>
      <c r="C1022" s="13">
        <v>31.0</v>
      </c>
      <c r="D1022" s="12" t="s">
        <v>473</v>
      </c>
      <c r="E1022" s="12" t="s">
        <v>1790</v>
      </c>
      <c r="F1022" s="13">
        <v>5.0</v>
      </c>
      <c r="G1022" s="13">
        <v>1.0</v>
      </c>
      <c r="H1022" s="13">
        <v>0.0</v>
      </c>
      <c r="I1022" s="13" t="s">
        <v>35</v>
      </c>
      <c r="J1022" s="13" t="s">
        <v>46</v>
      </c>
      <c r="K1022" s="13" t="s">
        <v>95</v>
      </c>
      <c r="L1022" s="13"/>
    </row>
    <row r="1023">
      <c r="A1023" s="13">
        <v>1021.0</v>
      </c>
      <c r="B1023" s="13">
        <v>868.0</v>
      </c>
      <c r="C1023" s="13">
        <v>26.0</v>
      </c>
      <c r="D1023" s="12" t="s">
        <v>1791</v>
      </c>
      <c r="E1023" s="12" t="s">
        <v>1792</v>
      </c>
      <c r="F1023" s="13">
        <v>4.0</v>
      </c>
      <c r="G1023" s="13">
        <v>1.0</v>
      </c>
      <c r="H1023" s="13">
        <v>0.0</v>
      </c>
      <c r="I1023" s="13" t="s">
        <v>35</v>
      </c>
      <c r="J1023" s="13" t="s">
        <v>46</v>
      </c>
      <c r="K1023" s="13" t="s">
        <v>52</v>
      </c>
      <c r="L1023" s="13"/>
    </row>
    <row r="1024">
      <c r="A1024" s="13">
        <v>1022.0</v>
      </c>
      <c r="B1024" s="13">
        <v>854.0</v>
      </c>
      <c r="C1024" s="13">
        <v>59.0</v>
      </c>
      <c r="D1024" s="12" t="s">
        <v>1793</v>
      </c>
      <c r="E1024" s="12" t="s">
        <v>1794</v>
      </c>
      <c r="F1024" s="13">
        <v>1.0</v>
      </c>
      <c r="G1024" s="13">
        <v>0.0</v>
      </c>
      <c r="H1024" s="13">
        <v>1.0</v>
      </c>
      <c r="I1024" s="13" t="s">
        <v>41</v>
      </c>
      <c r="J1024" s="13" t="s">
        <v>46</v>
      </c>
      <c r="K1024" s="13" t="s">
        <v>52</v>
      </c>
      <c r="L1024" s="13"/>
    </row>
    <row r="1025">
      <c r="A1025" s="13">
        <v>1023.0</v>
      </c>
      <c r="B1025" s="13">
        <v>936.0</v>
      </c>
      <c r="C1025" s="13">
        <v>33.0</v>
      </c>
      <c r="D1025" s="12" t="s">
        <v>1795</v>
      </c>
      <c r="E1025" s="12" t="s">
        <v>1796</v>
      </c>
      <c r="F1025" s="13">
        <v>5.0</v>
      </c>
      <c r="G1025" s="13">
        <v>1.0</v>
      </c>
      <c r="H1025" s="13">
        <v>1.0</v>
      </c>
      <c r="I1025" s="13" t="s">
        <v>35</v>
      </c>
      <c r="J1025" s="13" t="s">
        <v>46</v>
      </c>
      <c r="K1025" s="13" t="s">
        <v>95</v>
      </c>
      <c r="L1025" s="13"/>
    </row>
    <row r="1026">
      <c r="A1026" s="13">
        <v>1024.0</v>
      </c>
      <c r="B1026" s="13">
        <v>949.0</v>
      </c>
      <c r="C1026" s="13">
        <v>47.0</v>
      </c>
      <c r="D1026" s="12" t="s">
        <v>1797</v>
      </c>
      <c r="E1026" s="12" t="s">
        <v>1798</v>
      </c>
      <c r="F1026" s="13">
        <v>4.0</v>
      </c>
      <c r="G1026" s="13">
        <v>1.0</v>
      </c>
      <c r="H1026" s="13">
        <v>0.0</v>
      </c>
      <c r="I1026" s="13" t="s">
        <v>35</v>
      </c>
      <c r="J1026" s="13" t="s">
        <v>46</v>
      </c>
      <c r="K1026" s="13" t="s">
        <v>95</v>
      </c>
      <c r="L1026" s="13"/>
    </row>
    <row r="1027">
      <c r="A1027" s="13">
        <v>1025.0</v>
      </c>
      <c r="B1027" s="13">
        <v>1094.0</v>
      </c>
      <c r="C1027" s="13">
        <v>46.0</v>
      </c>
      <c r="D1027" s="12" t="s">
        <v>233</v>
      </c>
      <c r="E1027" s="12" t="s">
        <v>1799</v>
      </c>
      <c r="F1027" s="13">
        <v>5.0</v>
      </c>
      <c r="G1027" s="13">
        <v>1.0</v>
      </c>
      <c r="H1027" s="13">
        <v>1.0</v>
      </c>
      <c r="I1027" s="13" t="s">
        <v>35</v>
      </c>
      <c r="J1027" s="13" t="s">
        <v>36</v>
      </c>
      <c r="K1027" s="13" t="s">
        <v>36</v>
      </c>
      <c r="L1027" s="13"/>
    </row>
    <row r="1028">
      <c r="A1028" s="13">
        <v>1026.0</v>
      </c>
      <c r="B1028" s="13">
        <v>936.0</v>
      </c>
      <c r="C1028" s="13">
        <v>24.0</v>
      </c>
      <c r="D1028" s="12" t="s">
        <v>1800</v>
      </c>
      <c r="E1028" s="12" t="s">
        <v>1801</v>
      </c>
      <c r="F1028" s="13">
        <v>5.0</v>
      </c>
      <c r="G1028" s="13">
        <v>1.0</v>
      </c>
      <c r="H1028" s="13">
        <v>2.0</v>
      </c>
      <c r="I1028" s="13" t="s">
        <v>35</v>
      </c>
      <c r="J1028" s="13" t="s">
        <v>46</v>
      </c>
      <c r="K1028" s="13" t="s">
        <v>95</v>
      </c>
      <c r="L1028" s="13"/>
    </row>
    <row r="1029">
      <c r="A1029" s="13">
        <v>1027.0</v>
      </c>
      <c r="B1029" s="13">
        <v>1047.0</v>
      </c>
      <c r="C1029" s="13">
        <v>34.0</v>
      </c>
      <c r="D1029" s="12" t="s">
        <v>1802</v>
      </c>
      <c r="E1029" s="12" t="s">
        <v>1803</v>
      </c>
      <c r="F1029" s="13">
        <v>2.0</v>
      </c>
      <c r="G1029" s="13">
        <v>1.0</v>
      </c>
      <c r="H1029" s="13">
        <v>0.0</v>
      </c>
      <c r="I1029" s="13" t="s">
        <v>35</v>
      </c>
      <c r="J1029" s="13" t="s">
        <v>42</v>
      </c>
      <c r="K1029" s="13" t="s">
        <v>43</v>
      </c>
      <c r="L1029" s="13"/>
    </row>
    <row r="1030">
      <c r="A1030" s="13">
        <v>1028.0</v>
      </c>
      <c r="B1030" s="13">
        <v>1083.0</v>
      </c>
      <c r="C1030" s="13">
        <v>53.0</v>
      </c>
      <c r="D1030" s="12" t="s">
        <v>1804</v>
      </c>
      <c r="E1030" s="12" t="s">
        <v>1805</v>
      </c>
      <c r="F1030" s="13">
        <v>4.0</v>
      </c>
      <c r="G1030" s="13">
        <v>1.0</v>
      </c>
      <c r="H1030" s="13">
        <v>3.0</v>
      </c>
      <c r="I1030" s="13" t="s">
        <v>35</v>
      </c>
      <c r="J1030" s="13" t="s">
        <v>36</v>
      </c>
      <c r="K1030" s="13" t="s">
        <v>36</v>
      </c>
      <c r="L1030" s="13"/>
    </row>
    <row r="1031">
      <c r="A1031" s="13">
        <v>1029.0</v>
      </c>
      <c r="B1031" s="13">
        <v>949.0</v>
      </c>
      <c r="C1031" s="13">
        <v>38.0</v>
      </c>
      <c r="D1031" s="12" t="s">
        <v>1806</v>
      </c>
      <c r="E1031" s="12" t="s">
        <v>1807</v>
      </c>
      <c r="F1031" s="13">
        <v>5.0</v>
      </c>
      <c r="G1031" s="13">
        <v>1.0</v>
      </c>
      <c r="H1031" s="13">
        <v>0.0</v>
      </c>
      <c r="I1031" s="13" t="s">
        <v>35</v>
      </c>
      <c r="J1031" s="13" t="s">
        <v>46</v>
      </c>
      <c r="K1031" s="13" t="s">
        <v>95</v>
      </c>
      <c r="L1031" s="13"/>
    </row>
    <row r="1032">
      <c r="A1032" s="13">
        <v>1030.0</v>
      </c>
      <c r="B1032" s="13">
        <v>949.0</v>
      </c>
      <c r="C1032" s="13">
        <v>35.0</v>
      </c>
      <c r="D1032" s="12"/>
      <c r="E1032" s="12"/>
      <c r="F1032" s="13">
        <v>5.0</v>
      </c>
      <c r="G1032" s="13">
        <v>1.0</v>
      </c>
      <c r="H1032" s="13">
        <v>0.0</v>
      </c>
      <c r="I1032" s="13" t="s">
        <v>35</v>
      </c>
      <c r="J1032" s="13" t="s">
        <v>46</v>
      </c>
      <c r="K1032" s="13" t="s">
        <v>95</v>
      </c>
      <c r="L1032" s="13"/>
    </row>
    <row r="1033">
      <c r="A1033" s="13">
        <v>1031.0</v>
      </c>
      <c r="B1033" s="13">
        <v>949.0</v>
      </c>
      <c r="C1033" s="13">
        <v>58.0</v>
      </c>
      <c r="D1033" s="12" t="s">
        <v>1808</v>
      </c>
      <c r="E1033" s="12" t="s">
        <v>1809</v>
      </c>
      <c r="F1033" s="13">
        <v>5.0</v>
      </c>
      <c r="G1033" s="13">
        <v>1.0</v>
      </c>
      <c r="H1033" s="13">
        <v>0.0</v>
      </c>
      <c r="I1033" s="13" t="s">
        <v>35</v>
      </c>
      <c r="J1033" s="13" t="s">
        <v>46</v>
      </c>
      <c r="K1033" s="13" t="s">
        <v>95</v>
      </c>
      <c r="L1033" s="13"/>
    </row>
    <row r="1034">
      <c r="A1034" s="13">
        <v>1032.0</v>
      </c>
      <c r="B1034" s="13">
        <v>909.0</v>
      </c>
      <c r="C1034" s="13">
        <v>33.0</v>
      </c>
      <c r="D1034" s="12" t="s">
        <v>1810</v>
      </c>
      <c r="E1034" s="12" t="s">
        <v>1811</v>
      </c>
      <c r="F1034" s="13">
        <v>3.0</v>
      </c>
      <c r="G1034" s="13">
        <v>1.0</v>
      </c>
      <c r="H1034" s="13">
        <v>6.0</v>
      </c>
      <c r="I1034" s="13" t="s">
        <v>35</v>
      </c>
      <c r="J1034" s="13" t="s">
        <v>46</v>
      </c>
      <c r="K1034" s="13" t="s">
        <v>123</v>
      </c>
      <c r="L1034" s="13"/>
    </row>
    <row r="1035">
      <c r="A1035" s="13">
        <v>1033.0</v>
      </c>
      <c r="B1035" s="13">
        <v>949.0</v>
      </c>
      <c r="C1035" s="13">
        <v>67.0</v>
      </c>
      <c r="D1035" s="12" t="s">
        <v>1812</v>
      </c>
      <c r="E1035" s="12" t="s">
        <v>1813</v>
      </c>
      <c r="F1035" s="13">
        <v>5.0</v>
      </c>
      <c r="G1035" s="13">
        <v>1.0</v>
      </c>
      <c r="H1035" s="13">
        <v>14.0</v>
      </c>
      <c r="I1035" s="13" t="s">
        <v>35</v>
      </c>
      <c r="J1035" s="13" t="s">
        <v>46</v>
      </c>
      <c r="K1035" s="13" t="s">
        <v>95</v>
      </c>
      <c r="L1035" s="13"/>
    </row>
    <row r="1036">
      <c r="A1036" s="13">
        <v>1034.0</v>
      </c>
      <c r="B1036" s="13">
        <v>873.0</v>
      </c>
      <c r="C1036" s="13">
        <v>32.0</v>
      </c>
      <c r="D1036" s="12" t="s">
        <v>1814</v>
      </c>
      <c r="E1036" s="12" t="s">
        <v>1815</v>
      </c>
      <c r="F1036" s="13">
        <v>5.0</v>
      </c>
      <c r="G1036" s="13">
        <v>1.0</v>
      </c>
      <c r="H1036" s="13">
        <v>1.0</v>
      </c>
      <c r="I1036" s="13" t="s">
        <v>35</v>
      </c>
      <c r="J1036" s="13" t="s">
        <v>46</v>
      </c>
      <c r="K1036" s="13" t="s">
        <v>52</v>
      </c>
      <c r="L1036" s="13"/>
    </row>
    <row r="1037">
      <c r="A1037" s="13">
        <v>1035.0</v>
      </c>
      <c r="B1037" s="13">
        <v>873.0</v>
      </c>
      <c r="C1037" s="13">
        <v>59.0</v>
      </c>
      <c r="D1037" s="12"/>
      <c r="E1037" s="12" t="s">
        <v>1816</v>
      </c>
      <c r="F1037" s="13">
        <v>5.0</v>
      </c>
      <c r="G1037" s="13">
        <v>1.0</v>
      </c>
      <c r="H1037" s="13">
        <v>1.0</v>
      </c>
      <c r="I1037" s="13" t="s">
        <v>35</v>
      </c>
      <c r="J1037" s="13" t="s">
        <v>46</v>
      </c>
      <c r="K1037" s="13" t="s">
        <v>52</v>
      </c>
      <c r="L1037" s="13"/>
    </row>
    <row r="1038">
      <c r="A1038" s="13">
        <v>1036.0</v>
      </c>
      <c r="B1038" s="13">
        <v>909.0</v>
      </c>
      <c r="C1038" s="13">
        <v>82.0</v>
      </c>
      <c r="D1038" s="12" t="s">
        <v>1817</v>
      </c>
      <c r="E1038" s="12" t="s">
        <v>1818</v>
      </c>
      <c r="F1038" s="13">
        <v>5.0</v>
      </c>
      <c r="G1038" s="13">
        <v>1.0</v>
      </c>
      <c r="H1038" s="13">
        <v>0.0</v>
      </c>
      <c r="I1038" s="13" t="s">
        <v>35</v>
      </c>
      <c r="J1038" s="13" t="s">
        <v>46</v>
      </c>
      <c r="K1038" s="13" t="s">
        <v>123</v>
      </c>
      <c r="L1038" s="13"/>
    </row>
    <row r="1039">
      <c r="A1039" s="13">
        <v>1037.0</v>
      </c>
      <c r="B1039" s="13">
        <v>1083.0</v>
      </c>
      <c r="C1039" s="13">
        <v>46.0</v>
      </c>
      <c r="D1039" s="12" t="s">
        <v>1819</v>
      </c>
      <c r="E1039" s="12" t="s">
        <v>1820</v>
      </c>
      <c r="F1039" s="13">
        <v>5.0</v>
      </c>
      <c r="G1039" s="13">
        <v>1.0</v>
      </c>
      <c r="H1039" s="13">
        <v>5.0</v>
      </c>
      <c r="I1039" s="13" t="s">
        <v>41</v>
      </c>
      <c r="J1039" s="13" t="s">
        <v>36</v>
      </c>
      <c r="K1039" s="13" t="s">
        <v>36</v>
      </c>
      <c r="L1039" s="13"/>
    </row>
    <row r="1040">
      <c r="A1040" s="13">
        <v>1038.0</v>
      </c>
      <c r="B1040" s="13">
        <v>873.0</v>
      </c>
      <c r="C1040" s="13">
        <v>34.0</v>
      </c>
      <c r="D1040" s="12" t="s">
        <v>1821</v>
      </c>
      <c r="E1040" s="12" t="s">
        <v>1822</v>
      </c>
      <c r="F1040" s="13">
        <v>5.0</v>
      </c>
      <c r="G1040" s="13">
        <v>1.0</v>
      </c>
      <c r="H1040" s="13">
        <v>0.0</v>
      </c>
      <c r="I1040" s="13" t="s">
        <v>35</v>
      </c>
      <c r="J1040" s="13" t="s">
        <v>46</v>
      </c>
      <c r="K1040" s="13" t="s">
        <v>52</v>
      </c>
      <c r="L1040" s="13"/>
    </row>
    <row r="1041">
      <c r="A1041" s="13">
        <v>1039.0</v>
      </c>
      <c r="B1041" s="13">
        <v>1172.0</v>
      </c>
      <c r="C1041" s="13">
        <v>25.0</v>
      </c>
      <c r="D1041" s="12"/>
      <c r="E1041" s="12" t="s">
        <v>1823</v>
      </c>
      <c r="F1041" s="13">
        <v>5.0</v>
      </c>
      <c r="G1041" s="13">
        <v>1.0</v>
      </c>
      <c r="H1041" s="13">
        <v>0.0</v>
      </c>
      <c r="I1041" s="13" t="s">
        <v>31</v>
      </c>
      <c r="J1041" s="13" t="s">
        <v>32</v>
      </c>
      <c r="K1041" s="13" t="s">
        <v>320</v>
      </c>
      <c r="L1041" s="13"/>
    </row>
    <row r="1042">
      <c r="A1042" s="13">
        <v>1040.0</v>
      </c>
      <c r="B1042" s="13">
        <v>1083.0</v>
      </c>
      <c r="C1042" s="13">
        <v>35.0</v>
      </c>
      <c r="D1042" s="12" t="s">
        <v>1824</v>
      </c>
      <c r="E1042" s="12" t="s">
        <v>1825</v>
      </c>
      <c r="F1042" s="13">
        <v>5.0</v>
      </c>
      <c r="G1042" s="13">
        <v>1.0</v>
      </c>
      <c r="H1042" s="13">
        <v>0.0</v>
      </c>
      <c r="I1042" s="13" t="s">
        <v>41</v>
      </c>
      <c r="J1042" s="13" t="s">
        <v>36</v>
      </c>
      <c r="K1042" s="13" t="s">
        <v>36</v>
      </c>
      <c r="L1042" s="13"/>
    </row>
    <row r="1043">
      <c r="A1043" s="13">
        <v>1041.0</v>
      </c>
      <c r="B1043" s="13">
        <v>949.0</v>
      </c>
      <c r="C1043" s="13">
        <v>42.0</v>
      </c>
      <c r="D1043" s="12" t="s">
        <v>127</v>
      </c>
      <c r="E1043" s="12" t="s">
        <v>1826</v>
      </c>
      <c r="F1043" s="13">
        <v>5.0</v>
      </c>
      <c r="G1043" s="13">
        <v>1.0</v>
      </c>
      <c r="H1043" s="13">
        <v>0.0</v>
      </c>
      <c r="I1043" s="13" t="s">
        <v>35</v>
      </c>
      <c r="J1043" s="13" t="s">
        <v>46</v>
      </c>
      <c r="K1043" s="13" t="s">
        <v>95</v>
      </c>
      <c r="L1043" s="13"/>
    </row>
    <row r="1044">
      <c r="A1044" s="13">
        <v>1042.0</v>
      </c>
      <c r="B1044" s="13">
        <v>949.0</v>
      </c>
      <c r="C1044" s="13">
        <v>35.0</v>
      </c>
      <c r="D1044" s="12" t="s">
        <v>1806</v>
      </c>
      <c r="E1044" s="12" t="s">
        <v>1827</v>
      </c>
      <c r="F1044" s="13">
        <v>5.0</v>
      </c>
      <c r="G1044" s="13">
        <v>1.0</v>
      </c>
      <c r="H1044" s="13">
        <v>0.0</v>
      </c>
      <c r="I1044" s="13" t="s">
        <v>35</v>
      </c>
      <c r="J1044" s="13" t="s">
        <v>46</v>
      </c>
      <c r="K1044" s="13" t="s">
        <v>95</v>
      </c>
      <c r="L1044" s="13"/>
    </row>
    <row r="1045">
      <c r="A1045" s="13">
        <v>1043.0</v>
      </c>
      <c r="B1045" s="13">
        <v>909.0</v>
      </c>
      <c r="C1045" s="13">
        <v>41.0</v>
      </c>
      <c r="D1045" s="12" t="s">
        <v>1828</v>
      </c>
      <c r="E1045" s="12" t="s">
        <v>1829</v>
      </c>
      <c r="F1045" s="13">
        <v>4.0</v>
      </c>
      <c r="G1045" s="13">
        <v>1.0</v>
      </c>
      <c r="H1045" s="13">
        <v>0.0</v>
      </c>
      <c r="I1045" s="13" t="s">
        <v>35</v>
      </c>
      <c r="J1045" s="13" t="s">
        <v>46</v>
      </c>
      <c r="K1045" s="13" t="s">
        <v>123</v>
      </c>
      <c r="L1045" s="13"/>
    </row>
    <row r="1046">
      <c r="A1046" s="13">
        <v>1044.0</v>
      </c>
      <c r="B1046" s="13">
        <v>864.0</v>
      </c>
      <c r="C1046" s="13">
        <v>53.0</v>
      </c>
      <c r="D1046" s="12"/>
      <c r="E1046" s="12" t="s">
        <v>1830</v>
      </c>
      <c r="F1046" s="13">
        <v>4.0</v>
      </c>
      <c r="G1046" s="13">
        <v>1.0</v>
      </c>
      <c r="H1046" s="13">
        <v>0.0</v>
      </c>
      <c r="I1046" s="13" t="s">
        <v>35</v>
      </c>
      <c r="J1046" s="13" t="s">
        <v>46</v>
      </c>
      <c r="K1046" s="13" t="s">
        <v>52</v>
      </c>
      <c r="L1046" s="13"/>
    </row>
    <row r="1047">
      <c r="A1047" s="13">
        <v>1045.0</v>
      </c>
      <c r="B1047" s="13">
        <v>949.0</v>
      </c>
      <c r="C1047" s="13">
        <v>30.0</v>
      </c>
      <c r="D1047" s="12" t="s">
        <v>1831</v>
      </c>
      <c r="E1047" s="12" t="s">
        <v>1832</v>
      </c>
      <c r="F1047" s="13">
        <v>5.0</v>
      </c>
      <c r="G1047" s="13">
        <v>1.0</v>
      </c>
      <c r="H1047" s="13">
        <v>0.0</v>
      </c>
      <c r="I1047" s="13" t="s">
        <v>35</v>
      </c>
      <c r="J1047" s="13" t="s">
        <v>46</v>
      </c>
      <c r="K1047" s="13" t="s">
        <v>95</v>
      </c>
      <c r="L1047" s="13"/>
    </row>
    <row r="1048">
      <c r="A1048" s="13">
        <v>1046.0</v>
      </c>
      <c r="B1048" s="13">
        <v>949.0</v>
      </c>
      <c r="C1048" s="13">
        <v>43.0</v>
      </c>
      <c r="D1048" s="12"/>
      <c r="E1048" s="12"/>
      <c r="F1048" s="13">
        <v>2.0</v>
      </c>
      <c r="G1048" s="13">
        <v>0.0</v>
      </c>
      <c r="H1048" s="13">
        <v>0.0</v>
      </c>
      <c r="I1048" s="13" t="s">
        <v>35</v>
      </c>
      <c r="J1048" s="13" t="s">
        <v>46</v>
      </c>
      <c r="K1048" s="13" t="s">
        <v>95</v>
      </c>
      <c r="L1048" s="13"/>
    </row>
    <row r="1049">
      <c r="A1049" s="13">
        <v>1047.0</v>
      </c>
      <c r="B1049" s="13">
        <v>873.0</v>
      </c>
      <c r="C1049" s="13">
        <v>50.0</v>
      </c>
      <c r="D1049" s="12" t="s">
        <v>1833</v>
      </c>
      <c r="E1049" s="12" t="s">
        <v>1834</v>
      </c>
      <c r="F1049" s="13">
        <v>2.0</v>
      </c>
      <c r="G1049" s="13">
        <v>0.0</v>
      </c>
      <c r="H1049" s="13">
        <v>13.0</v>
      </c>
      <c r="I1049" s="13" t="s">
        <v>35</v>
      </c>
      <c r="J1049" s="13" t="s">
        <v>46</v>
      </c>
      <c r="K1049" s="13" t="s">
        <v>52</v>
      </c>
      <c r="L1049" s="13"/>
    </row>
    <row r="1050">
      <c r="A1050" s="13">
        <v>1048.0</v>
      </c>
      <c r="B1050" s="13">
        <v>873.0</v>
      </c>
      <c r="C1050" s="13">
        <v>23.0</v>
      </c>
      <c r="D1050" s="12" t="s">
        <v>1835</v>
      </c>
      <c r="E1050" s="12" t="s">
        <v>1836</v>
      </c>
      <c r="F1050" s="13">
        <v>5.0</v>
      </c>
      <c r="G1050" s="13">
        <v>1.0</v>
      </c>
      <c r="H1050" s="13">
        <v>1.0</v>
      </c>
      <c r="I1050" s="13" t="s">
        <v>35</v>
      </c>
      <c r="J1050" s="13" t="s">
        <v>46</v>
      </c>
      <c r="K1050" s="13" t="s">
        <v>52</v>
      </c>
      <c r="L1050" s="13"/>
    </row>
    <row r="1051">
      <c r="A1051" s="13">
        <v>1049.0</v>
      </c>
      <c r="B1051" s="13">
        <v>949.0</v>
      </c>
      <c r="C1051" s="13">
        <v>52.0</v>
      </c>
      <c r="D1051" s="12" t="s">
        <v>1817</v>
      </c>
      <c r="E1051" s="12" t="s">
        <v>1837</v>
      </c>
      <c r="F1051" s="13">
        <v>5.0</v>
      </c>
      <c r="G1051" s="13">
        <v>1.0</v>
      </c>
      <c r="H1051" s="13">
        <v>0.0</v>
      </c>
      <c r="I1051" s="13" t="s">
        <v>35</v>
      </c>
      <c r="J1051" s="13" t="s">
        <v>46</v>
      </c>
      <c r="K1051" s="13" t="s">
        <v>95</v>
      </c>
      <c r="L1051" s="13"/>
    </row>
    <row r="1052">
      <c r="A1052" s="13">
        <v>1050.0</v>
      </c>
      <c r="B1052" s="13">
        <v>949.0</v>
      </c>
      <c r="C1052" s="13">
        <v>38.0</v>
      </c>
      <c r="D1052" s="12" t="s">
        <v>1838</v>
      </c>
      <c r="E1052" s="12" t="s">
        <v>1839</v>
      </c>
      <c r="F1052" s="13">
        <v>5.0</v>
      </c>
      <c r="G1052" s="13">
        <v>1.0</v>
      </c>
      <c r="H1052" s="13">
        <v>6.0</v>
      </c>
      <c r="I1052" s="13" t="s">
        <v>35</v>
      </c>
      <c r="J1052" s="13" t="s">
        <v>46</v>
      </c>
      <c r="K1052" s="13" t="s">
        <v>95</v>
      </c>
      <c r="L1052" s="13"/>
    </row>
    <row r="1053">
      <c r="A1053" s="13">
        <v>1051.0</v>
      </c>
      <c r="B1053" s="13">
        <v>949.0</v>
      </c>
      <c r="C1053" s="13">
        <v>66.0</v>
      </c>
      <c r="D1053" s="12" t="s">
        <v>1840</v>
      </c>
      <c r="E1053" s="12" t="s">
        <v>1841</v>
      </c>
      <c r="F1053" s="13">
        <v>4.0</v>
      </c>
      <c r="G1053" s="13">
        <v>1.0</v>
      </c>
      <c r="H1053" s="13">
        <v>0.0</v>
      </c>
      <c r="I1053" s="13" t="s">
        <v>35</v>
      </c>
      <c r="J1053" s="13" t="s">
        <v>46</v>
      </c>
      <c r="K1053" s="13" t="s">
        <v>95</v>
      </c>
      <c r="L1053" s="13"/>
    </row>
    <row r="1054">
      <c r="A1054" s="13">
        <v>1052.0</v>
      </c>
      <c r="B1054" s="13">
        <v>873.0</v>
      </c>
      <c r="C1054" s="13">
        <v>69.0</v>
      </c>
      <c r="D1054" s="12" t="s">
        <v>1842</v>
      </c>
      <c r="E1054" s="12" t="s">
        <v>1843</v>
      </c>
      <c r="F1054" s="13">
        <v>1.0</v>
      </c>
      <c r="G1054" s="13">
        <v>0.0</v>
      </c>
      <c r="H1054" s="13">
        <v>2.0</v>
      </c>
      <c r="I1054" s="13" t="s">
        <v>35</v>
      </c>
      <c r="J1054" s="13" t="s">
        <v>46</v>
      </c>
      <c r="K1054" s="13" t="s">
        <v>52</v>
      </c>
      <c r="L1054" s="13"/>
    </row>
    <row r="1055">
      <c r="A1055" s="13">
        <v>1053.0</v>
      </c>
      <c r="B1055" s="13">
        <v>949.0</v>
      </c>
      <c r="C1055" s="13">
        <v>40.0</v>
      </c>
      <c r="D1055" s="12" t="s">
        <v>1844</v>
      </c>
      <c r="E1055" s="12" t="s">
        <v>1845</v>
      </c>
      <c r="F1055" s="13">
        <v>4.0</v>
      </c>
      <c r="G1055" s="13">
        <v>1.0</v>
      </c>
      <c r="H1055" s="13">
        <v>2.0</v>
      </c>
      <c r="I1055" s="13" t="s">
        <v>35</v>
      </c>
      <c r="J1055" s="13" t="s">
        <v>46</v>
      </c>
      <c r="K1055" s="13" t="s">
        <v>95</v>
      </c>
      <c r="L1055" s="13"/>
    </row>
    <row r="1056">
      <c r="A1056" s="13">
        <v>1054.0</v>
      </c>
      <c r="B1056" s="13">
        <v>873.0</v>
      </c>
      <c r="C1056" s="13">
        <v>48.0</v>
      </c>
      <c r="D1056" s="12" t="s">
        <v>1846</v>
      </c>
      <c r="E1056" s="12" t="s">
        <v>1847</v>
      </c>
      <c r="F1056" s="13">
        <v>3.0</v>
      </c>
      <c r="G1056" s="13">
        <v>1.0</v>
      </c>
      <c r="H1056" s="13">
        <v>0.0</v>
      </c>
      <c r="I1056" s="13" t="s">
        <v>35</v>
      </c>
      <c r="J1056" s="13" t="s">
        <v>46</v>
      </c>
      <c r="K1056" s="13" t="s">
        <v>52</v>
      </c>
      <c r="L1056" s="13"/>
    </row>
    <row r="1057">
      <c r="A1057" s="13">
        <v>1055.0</v>
      </c>
      <c r="B1057" s="13">
        <v>864.0</v>
      </c>
      <c r="C1057" s="13">
        <v>40.0</v>
      </c>
      <c r="D1057" s="12" t="s">
        <v>248</v>
      </c>
      <c r="E1057" s="12" t="s">
        <v>1848</v>
      </c>
      <c r="F1057" s="13">
        <v>5.0</v>
      </c>
      <c r="G1057" s="13">
        <v>1.0</v>
      </c>
      <c r="H1057" s="13">
        <v>0.0</v>
      </c>
      <c r="I1057" s="13" t="s">
        <v>35</v>
      </c>
      <c r="J1057" s="13" t="s">
        <v>46</v>
      </c>
      <c r="K1057" s="13" t="s">
        <v>52</v>
      </c>
      <c r="L1057" s="13"/>
    </row>
    <row r="1058">
      <c r="A1058" s="13">
        <v>1056.0</v>
      </c>
      <c r="B1058" s="13">
        <v>864.0</v>
      </c>
      <c r="C1058" s="13">
        <v>39.0</v>
      </c>
      <c r="D1058" s="12" t="s">
        <v>1849</v>
      </c>
      <c r="E1058" s="12" t="s">
        <v>1850</v>
      </c>
      <c r="F1058" s="13">
        <v>4.0</v>
      </c>
      <c r="G1058" s="13">
        <v>1.0</v>
      </c>
      <c r="H1058" s="13">
        <v>0.0</v>
      </c>
      <c r="I1058" s="13" t="s">
        <v>35</v>
      </c>
      <c r="J1058" s="13" t="s">
        <v>46</v>
      </c>
      <c r="K1058" s="13" t="s">
        <v>52</v>
      </c>
      <c r="L1058" s="13"/>
    </row>
    <row r="1059">
      <c r="A1059" s="13">
        <v>1057.0</v>
      </c>
      <c r="B1059" s="13">
        <v>873.0</v>
      </c>
      <c r="C1059" s="13">
        <v>71.0</v>
      </c>
      <c r="D1059" s="12" t="s">
        <v>1851</v>
      </c>
      <c r="E1059" s="12" t="s">
        <v>1852</v>
      </c>
      <c r="F1059" s="13">
        <v>3.0</v>
      </c>
      <c r="G1059" s="13">
        <v>0.0</v>
      </c>
      <c r="H1059" s="13">
        <v>0.0</v>
      </c>
      <c r="I1059" s="13" t="s">
        <v>35</v>
      </c>
      <c r="J1059" s="13" t="s">
        <v>46</v>
      </c>
      <c r="K1059" s="13" t="s">
        <v>52</v>
      </c>
      <c r="L1059" s="13"/>
    </row>
    <row r="1060">
      <c r="A1060" s="13">
        <v>1058.0</v>
      </c>
      <c r="B1060" s="13">
        <v>873.0</v>
      </c>
      <c r="C1060" s="13">
        <v>42.0</v>
      </c>
      <c r="D1060" s="12" t="s">
        <v>133</v>
      </c>
      <c r="E1060" s="12" t="s">
        <v>1853</v>
      </c>
      <c r="F1060" s="13">
        <v>5.0</v>
      </c>
      <c r="G1060" s="13">
        <v>1.0</v>
      </c>
      <c r="H1060" s="13">
        <v>3.0</v>
      </c>
      <c r="I1060" s="13" t="s">
        <v>35</v>
      </c>
      <c r="J1060" s="13" t="s">
        <v>46</v>
      </c>
      <c r="K1060" s="13" t="s">
        <v>52</v>
      </c>
      <c r="L1060" s="13"/>
    </row>
    <row r="1061">
      <c r="A1061" s="13">
        <v>1059.0</v>
      </c>
      <c r="B1061" s="13">
        <v>949.0</v>
      </c>
      <c r="C1061" s="13">
        <v>57.0</v>
      </c>
      <c r="D1061" s="12" t="s">
        <v>1854</v>
      </c>
      <c r="E1061" s="12" t="s">
        <v>1855</v>
      </c>
      <c r="F1061" s="13">
        <v>5.0</v>
      </c>
      <c r="G1061" s="13">
        <v>1.0</v>
      </c>
      <c r="H1061" s="13">
        <v>6.0</v>
      </c>
      <c r="I1061" s="13" t="s">
        <v>35</v>
      </c>
      <c r="J1061" s="13" t="s">
        <v>46</v>
      </c>
      <c r="K1061" s="13" t="s">
        <v>95</v>
      </c>
      <c r="L1061" s="13"/>
    </row>
    <row r="1062">
      <c r="A1062" s="13">
        <v>1060.0</v>
      </c>
      <c r="B1062" s="13">
        <v>1083.0</v>
      </c>
      <c r="C1062" s="13">
        <v>54.0</v>
      </c>
      <c r="D1062" s="12" t="s">
        <v>1856</v>
      </c>
      <c r="E1062" s="12" t="s">
        <v>1857</v>
      </c>
      <c r="F1062" s="13">
        <v>4.0</v>
      </c>
      <c r="G1062" s="13">
        <v>1.0</v>
      </c>
      <c r="H1062" s="13">
        <v>0.0</v>
      </c>
      <c r="I1062" s="13" t="s">
        <v>41</v>
      </c>
      <c r="J1062" s="13" t="s">
        <v>36</v>
      </c>
      <c r="K1062" s="13" t="s">
        <v>36</v>
      </c>
      <c r="L1062" s="13"/>
    </row>
    <row r="1063">
      <c r="A1063" s="13">
        <v>1061.0</v>
      </c>
      <c r="B1063" s="13">
        <v>909.0</v>
      </c>
      <c r="C1063" s="13">
        <v>46.0</v>
      </c>
      <c r="D1063" s="12" t="s">
        <v>1858</v>
      </c>
      <c r="E1063" s="12" t="s">
        <v>1859</v>
      </c>
      <c r="F1063" s="13">
        <v>2.0</v>
      </c>
      <c r="G1063" s="13">
        <v>0.0</v>
      </c>
      <c r="H1063" s="13">
        <v>0.0</v>
      </c>
      <c r="I1063" s="13" t="s">
        <v>35</v>
      </c>
      <c r="J1063" s="13" t="s">
        <v>46</v>
      </c>
      <c r="K1063" s="13" t="s">
        <v>123</v>
      </c>
      <c r="L1063" s="13"/>
    </row>
    <row r="1064">
      <c r="A1064" s="13">
        <v>1062.0</v>
      </c>
      <c r="B1064" s="13">
        <v>949.0</v>
      </c>
      <c r="C1064" s="13">
        <v>23.0</v>
      </c>
      <c r="D1064" s="12" t="s">
        <v>1860</v>
      </c>
      <c r="E1064" s="12" t="s">
        <v>1861</v>
      </c>
      <c r="F1064" s="13">
        <v>5.0</v>
      </c>
      <c r="G1064" s="13">
        <v>1.0</v>
      </c>
      <c r="H1064" s="13">
        <v>0.0</v>
      </c>
      <c r="I1064" s="13" t="s">
        <v>35</v>
      </c>
      <c r="J1064" s="13" t="s">
        <v>46</v>
      </c>
      <c r="K1064" s="13" t="s">
        <v>95</v>
      </c>
      <c r="L1064" s="13"/>
    </row>
    <row r="1065">
      <c r="A1065" s="13">
        <v>1063.0</v>
      </c>
      <c r="B1065" s="13">
        <v>949.0</v>
      </c>
      <c r="C1065" s="13">
        <v>44.0</v>
      </c>
      <c r="D1065" s="12" t="s">
        <v>1862</v>
      </c>
      <c r="E1065" s="12" t="s">
        <v>1863</v>
      </c>
      <c r="F1065" s="13">
        <v>2.0</v>
      </c>
      <c r="G1065" s="13">
        <v>1.0</v>
      </c>
      <c r="H1065" s="13">
        <v>1.0</v>
      </c>
      <c r="I1065" s="13" t="s">
        <v>35</v>
      </c>
      <c r="J1065" s="13" t="s">
        <v>46</v>
      </c>
      <c r="K1065" s="13" t="s">
        <v>95</v>
      </c>
      <c r="L1065" s="13"/>
    </row>
    <row r="1066">
      <c r="A1066" s="13">
        <v>1064.0</v>
      </c>
      <c r="B1066" s="13">
        <v>949.0</v>
      </c>
      <c r="C1066" s="13">
        <v>45.0</v>
      </c>
      <c r="D1066" s="12" t="s">
        <v>1864</v>
      </c>
      <c r="E1066" s="12" t="s">
        <v>1865</v>
      </c>
      <c r="F1066" s="13">
        <v>5.0</v>
      </c>
      <c r="G1066" s="13">
        <v>1.0</v>
      </c>
      <c r="H1066" s="13">
        <v>1.0</v>
      </c>
      <c r="I1066" s="13" t="s">
        <v>35</v>
      </c>
      <c r="J1066" s="13" t="s">
        <v>46</v>
      </c>
      <c r="K1066" s="13" t="s">
        <v>95</v>
      </c>
      <c r="L1066" s="13"/>
    </row>
    <row r="1067">
      <c r="A1067" s="13">
        <v>1065.0</v>
      </c>
      <c r="B1067" s="13">
        <v>864.0</v>
      </c>
      <c r="C1067" s="13">
        <v>22.0</v>
      </c>
      <c r="D1067" s="12" t="s">
        <v>1866</v>
      </c>
      <c r="E1067" s="12" t="s">
        <v>1867</v>
      </c>
      <c r="F1067" s="13">
        <v>5.0</v>
      </c>
      <c r="G1067" s="13">
        <v>1.0</v>
      </c>
      <c r="H1067" s="13">
        <v>4.0</v>
      </c>
      <c r="I1067" s="13" t="s">
        <v>35</v>
      </c>
      <c r="J1067" s="13" t="s">
        <v>46</v>
      </c>
      <c r="K1067" s="13" t="s">
        <v>52</v>
      </c>
      <c r="L1067" s="13"/>
    </row>
    <row r="1068">
      <c r="A1068" s="13">
        <v>1066.0</v>
      </c>
      <c r="B1068" s="13">
        <v>864.0</v>
      </c>
      <c r="C1068" s="13">
        <v>35.0</v>
      </c>
      <c r="D1068" s="12"/>
      <c r="E1068" s="12" t="s">
        <v>1868</v>
      </c>
      <c r="F1068" s="13">
        <v>5.0</v>
      </c>
      <c r="G1068" s="13">
        <v>1.0</v>
      </c>
      <c r="H1068" s="13">
        <v>0.0</v>
      </c>
      <c r="I1068" s="13" t="s">
        <v>35</v>
      </c>
      <c r="J1068" s="13" t="s">
        <v>46</v>
      </c>
      <c r="K1068" s="13" t="s">
        <v>52</v>
      </c>
      <c r="L1068" s="13"/>
    </row>
    <row r="1069">
      <c r="A1069" s="13">
        <v>1067.0</v>
      </c>
      <c r="B1069" s="13">
        <v>873.0</v>
      </c>
      <c r="C1069" s="13">
        <v>52.0</v>
      </c>
      <c r="D1069" s="12" t="s">
        <v>1869</v>
      </c>
      <c r="E1069" s="12" t="s">
        <v>1870</v>
      </c>
      <c r="F1069" s="13">
        <v>5.0</v>
      </c>
      <c r="G1069" s="13">
        <v>1.0</v>
      </c>
      <c r="H1069" s="13">
        <v>0.0</v>
      </c>
      <c r="I1069" s="13" t="s">
        <v>35</v>
      </c>
      <c r="J1069" s="13" t="s">
        <v>46</v>
      </c>
      <c r="K1069" s="13" t="s">
        <v>52</v>
      </c>
      <c r="L1069" s="13"/>
    </row>
    <row r="1070">
      <c r="A1070" s="13">
        <v>1068.0</v>
      </c>
      <c r="B1070" s="13">
        <v>1099.0</v>
      </c>
      <c r="C1070" s="13">
        <v>50.0</v>
      </c>
      <c r="D1070" s="12" t="s">
        <v>1871</v>
      </c>
      <c r="E1070" s="12" t="s">
        <v>1872</v>
      </c>
      <c r="F1070" s="13">
        <v>5.0</v>
      </c>
      <c r="G1070" s="13">
        <v>1.0</v>
      </c>
      <c r="H1070" s="13">
        <v>1.0</v>
      </c>
      <c r="I1070" s="13" t="s">
        <v>41</v>
      </c>
      <c r="J1070" s="13" t="s">
        <v>36</v>
      </c>
      <c r="K1070" s="13" t="s">
        <v>36</v>
      </c>
      <c r="L1070" s="13"/>
    </row>
    <row r="1071">
      <c r="A1071" s="13">
        <v>1069.0</v>
      </c>
      <c r="B1071" s="13">
        <v>1001.0</v>
      </c>
      <c r="C1071" s="13">
        <v>48.0</v>
      </c>
      <c r="D1071" s="12"/>
      <c r="E1071" s="12" t="s">
        <v>1873</v>
      </c>
      <c r="F1071" s="13">
        <v>4.0</v>
      </c>
      <c r="G1071" s="13">
        <v>1.0</v>
      </c>
      <c r="H1071" s="13">
        <v>1.0</v>
      </c>
      <c r="I1071" s="13" t="s">
        <v>35</v>
      </c>
      <c r="J1071" s="13" t="s">
        <v>42</v>
      </c>
      <c r="K1071" s="13" t="s">
        <v>98</v>
      </c>
      <c r="L1071" s="13"/>
    </row>
    <row r="1072">
      <c r="A1072" s="13">
        <v>1070.0</v>
      </c>
      <c r="B1072" s="13">
        <v>829.0</v>
      </c>
      <c r="C1072" s="13">
        <v>41.0</v>
      </c>
      <c r="D1072" s="12" t="s">
        <v>1874</v>
      </c>
      <c r="E1072" s="12" t="s">
        <v>1875</v>
      </c>
      <c r="F1072" s="13">
        <v>4.0</v>
      </c>
      <c r="G1072" s="13">
        <v>1.0</v>
      </c>
      <c r="H1072" s="13">
        <v>2.0</v>
      </c>
      <c r="I1072" s="13" t="s">
        <v>41</v>
      </c>
      <c r="J1072" s="13" t="s">
        <v>46</v>
      </c>
      <c r="K1072" s="13" t="s">
        <v>47</v>
      </c>
      <c r="L1072" s="13"/>
    </row>
    <row r="1073">
      <c r="A1073" s="13">
        <v>1071.0</v>
      </c>
      <c r="B1073" s="13">
        <v>815.0</v>
      </c>
      <c r="C1073" s="13">
        <v>53.0</v>
      </c>
      <c r="D1073" s="12" t="s">
        <v>1876</v>
      </c>
      <c r="E1073" s="12" t="s">
        <v>1877</v>
      </c>
      <c r="F1073" s="13">
        <v>5.0</v>
      </c>
      <c r="G1073" s="13">
        <v>1.0</v>
      </c>
      <c r="H1073" s="13">
        <v>4.0</v>
      </c>
      <c r="I1073" s="13" t="s">
        <v>41</v>
      </c>
      <c r="J1073" s="13" t="s">
        <v>46</v>
      </c>
      <c r="K1073" s="13" t="s">
        <v>47</v>
      </c>
      <c r="L1073" s="13"/>
    </row>
    <row r="1074">
      <c r="A1074" s="13">
        <v>1072.0</v>
      </c>
      <c r="B1074" s="13">
        <v>1099.0</v>
      </c>
      <c r="C1074" s="13">
        <v>57.0</v>
      </c>
      <c r="D1074" s="12" t="s">
        <v>1878</v>
      </c>
      <c r="E1074" s="12" t="s">
        <v>1879</v>
      </c>
      <c r="F1074" s="13">
        <v>2.0</v>
      </c>
      <c r="G1074" s="13">
        <v>0.0</v>
      </c>
      <c r="H1074" s="13">
        <v>6.0</v>
      </c>
      <c r="I1074" s="13" t="s">
        <v>41</v>
      </c>
      <c r="J1074" s="13" t="s">
        <v>36</v>
      </c>
      <c r="K1074" s="13" t="s">
        <v>36</v>
      </c>
      <c r="L1074" s="13"/>
    </row>
    <row r="1075">
      <c r="A1075" s="13">
        <v>1073.0</v>
      </c>
      <c r="B1075" s="13">
        <v>831.0</v>
      </c>
      <c r="C1075" s="13">
        <v>20.0</v>
      </c>
      <c r="D1075" s="12" t="s">
        <v>1880</v>
      </c>
      <c r="E1075" s="12" t="s">
        <v>1881</v>
      </c>
      <c r="F1075" s="13">
        <v>5.0</v>
      </c>
      <c r="G1075" s="13">
        <v>1.0</v>
      </c>
      <c r="H1075" s="13">
        <v>1.0</v>
      </c>
      <c r="I1075" s="13" t="s">
        <v>35</v>
      </c>
      <c r="J1075" s="13" t="s">
        <v>46</v>
      </c>
      <c r="K1075" s="13" t="s">
        <v>47</v>
      </c>
      <c r="L1075" s="13"/>
    </row>
    <row r="1076">
      <c r="A1076" s="13">
        <v>1074.0</v>
      </c>
      <c r="B1076" s="13">
        <v>738.0</v>
      </c>
      <c r="C1076" s="13">
        <v>30.0</v>
      </c>
      <c r="D1076" s="12" t="s">
        <v>1882</v>
      </c>
      <c r="E1076" s="12" t="s">
        <v>1883</v>
      </c>
      <c r="F1076" s="13">
        <v>5.0</v>
      </c>
      <c r="G1076" s="13">
        <v>1.0</v>
      </c>
      <c r="H1076" s="13">
        <v>4.0</v>
      </c>
      <c r="I1076" s="13" t="s">
        <v>31</v>
      </c>
      <c r="J1076" s="13" t="s">
        <v>32</v>
      </c>
      <c r="K1076" s="13" t="s">
        <v>320</v>
      </c>
      <c r="L1076" s="13"/>
    </row>
    <row r="1077">
      <c r="A1077" s="13">
        <v>1075.0</v>
      </c>
      <c r="B1077" s="13">
        <v>1099.0</v>
      </c>
      <c r="C1077" s="13">
        <v>42.0</v>
      </c>
      <c r="D1077" s="12" t="s">
        <v>1884</v>
      </c>
      <c r="E1077" s="12" t="s">
        <v>1885</v>
      </c>
      <c r="F1077" s="13">
        <v>4.0</v>
      </c>
      <c r="G1077" s="13">
        <v>1.0</v>
      </c>
      <c r="H1077" s="13">
        <v>0.0</v>
      </c>
      <c r="I1077" s="13" t="s">
        <v>41</v>
      </c>
      <c r="J1077" s="13" t="s">
        <v>36</v>
      </c>
      <c r="K1077" s="13" t="s">
        <v>36</v>
      </c>
      <c r="L1077" s="13"/>
    </row>
    <row r="1078">
      <c r="A1078" s="13">
        <v>1076.0</v>
      </c>
      <c r="B1078" s="13">
        <v>1094.0</v>
      </c>
      <c r="C1078" s="13">
        <v>53.0</v>
      </c>
      <c r="D1078" s="12" t="s">
        <v>1886</v>
      </c>
      <c r="E1078" s="12" t="s">
        <v>1887</v>
      </c>
      <c r="F1078" s="13">
        <v>5.0</v>
      </c>
      <c r="G1078" s="13">
        <v>1.0</v>
      </c>
      <c r="H1078" s="13">
        <v>11.0</v>
      </c>
      <c r="I1078" s="13" t="s">
        <v>35</v>
      </c>
      <c r="J1078" s="13" t="s">
        <v>36</v>
      </c>
      <c r="K1078" s="13" t="s">
        <v>36</v>
      </c>
      <c r="L1078" s="13"/>
    </row>
    <row r="1079">
      <c r="A1079" s="13">
        <v>1077.0</v>
      </c>
      <c r="B1079" s="13">
        <v>831.0</v>
      </c>
      <c r="C1079" s="13">
        <v>26.0</v>
      </c>
      <c r="D1079" s="12" t="s">
        <v>1888</v>
      </c>
      <c r="E1079" s="12" t="s">
        <v>1889</v>
      </c>
      <c r="F1079" s="13">
        <v>3.0</v>
      </c>
      <c r="G1079" s="13">
        <v>1.0</v>
      </c>
      <c r="H1079" s="13">
        <v>4.0</v>
      </c>
      <c r="I1079" s="13" t="s">
        <v>35</v>
      </c>
      <c r="J1079" s="13" t="s">
        <v>46</v>
      </c>
      <c r="K1079" s="13" t="s">
        <v>47</v>
      </c>
      <c r="L1079" s="13"/>
    </row>
    <row r="1080">
      <c r="A1080" s="13">
        <v>1078.0</v>
      </c>
      <c r="B1080" s="13">
        <v>1001.0</v>
      </c>
      <c r="C1080" s="13">
        <v>39.0</v>
      </c>
      <c r="D1080" s="12" t="s">
        <v>1890</v>
      </c>
      <c r="E1080" s="12" t="s">
        <v>1891</v>
      </c>
      <c r="F1080" s="13">
        <v>2.0</v>
      </c>
      <c r="G1080" s="13">
        <v>0.0</v>
      </c>
      <c r="H1080" s="13">
        <v>1.0</v>
      </c>
      <c r="I1080" s="13" t="s">
        <v>35</v>
      </c>
      <c r="J1080" s="13" t="s">
        <v>42</v>
      </c>
      <c r="K1080" s="13" t="s">
        <v>98</v>
      </c>
      <c r="L1080" s="13"/>
    </row>
    <row r="1081">
      <c r="A1081" s="13">
        <v>1079.0</v>
      </c>
      <c r="B1081" s="13">
        <v>895.0</v>
      </c>
      <c r="C1081" s="13">
        <v>47.0</v>
      </c>
      <c r="D1081" s="12" t="s">
        <v>1892</v>
      </c>
      <c r="E1081" s="12" t="s">
        <v>1893</v>
      </c>
      <c r="F1081" s="13">
        <v>5.0</v>
      </c>
      <c r="G1081" s="13">
        <v>1.0</v>
      </c>
      <c r="H1081" s="13">
        <v>3.0</v>
      </c>
      <c r="I1081" s="13" t="s">
        <v>35</v>
      </c>
      <c r="J1081" s="13" t="s">
        <v>46</v>
      </c>
      <c r="K1081" s="13" t="s">
        <v>123</v>
      </c>
      <c r="L1081" s="13"/>
    </row>
    <row r="1082">
      <c r="A1082" s="13">
        <v>1080.0</v>
      </c>
      <c r="B1082" s="13">
        <v>831.0</v>
      </c>
      <c r="C1082" s="13">
        <v>46.0</v>
      </c>
      <c r="D1082" s="12" t="s">
        <v>1894</v>
      </c>
      <c r="E1082" s="12" t="s">
        <v>1895</v>
      </c>
      <c r="F1082" s="13">
        <v>5.0</v>
      </c>
      <c r="G1082" s="13">
        <v>1.0</v>
      </c>
      <c r="H1082" s="13">
        <v>0.0</v>
      </c>
      <c r="I1082" s="13" t="s">
        <v>35</v>
      </c>
      <c r="J1082" s="13" t="s">
        <v>46</v>
      </c>
      <c r="K1082" s="13" t="s">
        <v>47</v>
      </c>
      <c r="L1082" s="13"/>
    </row>
    <row r="1083">
      <c r="A1083" s="13">
        <v>1081.0</v>
      </c>
      <c r="B1083" s="13">
        <v>895.0</v>
      </c>
      <c r="C1083" s="13">
        <v>33.0</v>
      </c>
      <c r="D1083" s="12" t="s">
        <v>1896</v>
      </c>
      <c r="E1083" s="12" t="s">
        <v>1897</v>
      </c>
      <c r="F1083" s="13">
        <v>5.0</v>
      </c>
      <c r="G1083" s="13">
        <v>1.0</v>
      </c>
      <c r="H1083" s="13">
        <v>2.0</v>
      </c>
      <c r="I1083" s="13" t="s">
        <v>35</v>
      </c>
      <c r="J1083" s="13" t="s">
        <v>46</v>
      </c>
      <c r="K1083" s="13" t="s">
        <v>123</v>
      </c>
      <c r="L1083" s="13"/>
    </row>
    <row r="1084">
      <c r="A1084" s="13">
        <v>1082.0</v>
      </c>
      <c r="B1084" s="13">
        <v>987.0</v>
      </c>
      <c r="C1084" s="13">
        <v>58.0</v>
      </c>
      <c r="D1084" s="12" t="s">
        <v>1898</v>
      </c>
      <c r="E1084" s="12" t="s">
        <v>1899</v>
      </c>
      <c r="F1084" s="13">
        <v>4.0</v>
      </c>
      <c r="G1084" s="13">
        <v>1.0</v>
      </c>
      <c r="H1084" s="13">
        <v>4.0</v>
      </c>
      <c r="I1084" s="13" t="s">
        <v>35</v>
      </c>
      <c r="J1084" s="13" t="s">
        <v>42</v>
      </c>
      <c r="K1084" s="13" t="s">
        <v>98</v>
      </c>
      <c r="L1084" s="13"/>
    </row>
    <row r="1085">
      <c r="A1085" s="13">
        <v>1083.0</v>
      </c>
      <c r="B1085" s="13">
        <v>1099.0</v>
      </c>
      <c r="C1085" s="13">
        <v>49.0</v>
      </c>
      <c r="D1085" s="12" t="s">
        <v>1383</v>
      </c>
      <c r="E1085" s="12" t="s">
        <v>1900</v>
      </c>
      <c r="F1085" s="13">
        <v>5.0</v>
      </c>
      <c r="G1085" s="13">
        <v>1.0</v>
      </c>
      <c r="H1085" s="13">
        <v>6.0</v>
      </c>
      <c r="I1085" s="13" t="s">
        <v>41</v>
      </c>
      <c r="J1085" s="13" t="s">
        <v>36</v>
      </c>
      <c r="K1085" s="13" t="s">
        <v>36</v>
      </c>
      <c r="L1085" s="13"/>
    </row>
    <row r="1086">
      <c r="A1086" s="13">
        <v>1084.0</v>
      </c>
      <c r="B1086" s="13">
        <v>1099.0</v>
      </c>
      <c r="C1086" s="13">
        <v>52.0</v>
      </c>
      <c r="D1086" s="12" t="s">
        <v>112</v>
      </c>
      <c r="E1086" s="12" t="s">
        <v>1901</v>
      </c>
      <c r="F1086" s="13">
        <v>4.0</v>
      </c>
      <c r="G1086" s="13">
        <v>1.0</v>
      </c>
      <c r="H1086" s="13">
        <v>0.0</v>
      </c>
      <c r="I1086" s="13" t="s">
        <v>41</v>
      </c>
      <c r="J1086" s="13" t="s">
        <v>36</v>
      </c>
      <c r="K1086" s="13" t="s">
        <v>36</v>
      </c>
      <c r="L1086" s="13"/>
    </row>
    <row r="1087">
      <c r="A1087" s="13">
        <v>1085.0</v>
      </c>
      <c r="B1087" s="13">
        <v>868.0</v>
      </c>
      <c r="C1087" s="13">
        <v>55.0</v>
      </c>
      <c r="D1087" s="12" t="s">
        <v>526</v>
      </c>
      <c r="E1087" s="12" t="s">
        <v>1902</v>
      </c>
      <c r="F1087" s="13">
        <v>4.0</v>
      </c>
      <c r="G1087" s="13">
        <v>1.0</v>
      </c>
      <c r="H1087" s="13">
        <v>4.0</v>
      </c>
      <c r="I1087" s="13" t="s">
        <v>35</v>
      </c>
      <c r="J1087" s="13" t="s">
        <v>46</v>
      </c>
      <c r="K1087" s="13" t="s">
        <v>52</v>
      </c>
      <c r="L1087" s="13"/>
    </row>
    <row r="1088">
      <c r="A1088" s="13">
        <v>1086.0</v>
      </c>
      <c r="B1088" s="13">
        <v>831.0</v>
      </c>
      <c r="C1088" s="13">
        <v>27.0</v>
      </c>
      <c r="D1088" s="12" t="s">
        <v>1903</v>
      </c>
      <c r="E1088" s="12" t="s">
        <v>1904</v>
      </c>
      <c r="F1088" s="13">
        <v>5.0</v>
      </c>
      <c r="G1088" s="13">
        <v>1.0</v>
      </c>
      <c r="H1088" s="13">
        <v>7.0</v>
      </c>
      <c r="I1088" s="13" t="s">
        <v>35</v>
      </c>
      <c r="J1088" s="13" t="s">
        <v>46</v>
      </c>
      <c r="K1088" s="13" t="s">
        <v>47</v>
      </c>
      <c r="L1088" s="13"/>
    </row>
    <row r="1089">
      <c r="A1089" s="13">
        <v>1087.0</v>
      </c>
      <c r="B1089" s="13">
        <v>829.0</v>
      </c>
      <c r="C1089" s="13">
        <v>46.0</v>
      </c>
      <c r="D1089" s="12" t="s">
        <v>1905</v>
      </c>
      <c r="E1089" s="12" t="s">
        <v>1906</v>
      </c>
      <c r="F1089" s="13">
        <v>4.0</v>
      </c>
      <c r="G1089" s="13">
        <v>1.0</v>
      </c>
      <c r="H1089" s="13">
        <v>0.0</v>
      </c>
      <c r="I1089" s="13" t="s">
        <v>41</v>
      </c>
      <c r="J1089" s="13" t="s">
        <v>46</v>
      </c>
      <c r="K1089" s="13" t="s">
        <v>47</v>
      </c>
      <c r="L1089" s="13"/>
    </row>
    <row r="1090">
      <c r="A1090" s="13">
        <v>1088.0</v>
      </c>
      <c r="B1090" s="13">
        <v>1099.0</v>
      </c>
      <c r="C1090" s="13">
        <v>41.0</v>
      </c>
      <c r="D1090" s="12" t="s">
        <v>1748</v>
      </c>
      <c r="E1090" s="12" t="s">
        <v>1907</v>
      </c>
      <c r="F1090" s="13">
        <v>5.0</v>
      </c>
      <c r="G1090" s="13">
        <v>1.0</v>
      </c>
      <c r="H1090" s="13">
        <v>3.0</v>
      </c>
      <c r="I1090" s="13" t="s">
        <v>41</v>
      </c>
      <c r="J1090" s="13" t="s">
        <v>36</v>
      </c>
      <c r="K1090" s="13" t="s">
        <v>36</v>
      </c>
      <c r="L1090" s="13"/>
    </row>
    <row r="1091">
      <c r="A1091" s="13">
        <v>1089.0</v>
      </c>
      <c r="B1091" s="13">
        <v>829.0</v>
      </c>
      <c r="C1091" s="13">
        <v>26.0</v>
      </c>
      <c r="D1091" s="12" t="s">
        <v>1908</v>
      </c>
      <c r="E1091" s="12" t="s">
        <v>1909</v>
      </c>
      <c r="F1091" s="13">
        <v>2.0</v>
      </c>
      <c r="G1091" s="13">
        <v>0.0</v>
      </c>
      <c r="H1091" s="13">
        <v>9.0</v>
      </c>
      <c r="I1091" s="13" t="s">
        <v>41</v>
      </c>
      <c r="J1091" s="13" t="s">
        <v>46</v>
      </c>
      <c r="K1091" s="13" t="s">
        <v>47</v>
      </c>
      <c r="L1091" s="13"/>
    </row>
    <row r="1092">
      <c r="A1092" s="13">
        <v>1090.0</v>
      </c>
      <c r="B1092" s="13">
        <v>829.0</v>
      </c>
      <c r="C1092" s="13">
        <v>40.0</v>
      </c>
      <c r="D1092" s="12" t="s">
        <v>1910</v>
      </c>
      <c r="E1092" s="12" t="s">
        <v>1911</v>
      </c>
      <c r="F1092" s="13">
        <v>4.0</v>
      </c>
      <c r="G1092" s="13">
        <v>1.0</v>
      </c>
      <c r="H1092" s="13">
        <v>0.0</v>
      </c>
      <c r="I1092" s="13" t="s">
        <v>41</v>
      </c>
      <c r="J1092" s="13" t="s">
        <v>46</v>
      </c>
      <c r="K1092" s="13" t="s">
        <v>47</v>
      </c>
      <c r="L1092" s="13"/>
    </row>
    <row r="1093">
      <c r="A1093" s="13">
        <v>1091.0</v>
      </c>
      <c r="B1093" s="13">
        <v>868.0</v>
      </c>
      <c r="C1093" s="13">
        <v>29.0</v>
      </c>
      <c r="D1093" s="12" t="s">
        <v>1912</v>
      </c>
      <c r="E1093" s="12" t="s">
        <v>1913</v>
      </c>
      <c r="F1093" s="13">
        <v>3.0</v>
      </c>
      <c r="G1093" s="13">
        <v>0.0</v>
      </c>
      <c r="H1093" s="13">
        <v>0.0</v>
      </c>
      <c r="I1093" s="13" t="s">
        <v>35</v>
      </c>
      <c r="J1093" s="13" t="s">
        <v>46</v>
      </c>
      <c r="K1093" s="13" t="s">
        <v>52</v>
      </c>
      <c r="L1093" s="13"/>
    </row>
    <row r="1094">
      <c r="A1094" s="13">
        <v>1092.0</v>
      </c>
      <c r="B1094" s="13">
        <v>831.0</v>
      </c>
      <c r="C1094" s="13">
        <v>72.0</v>
      </c>
      <c r="D1094" s="12" t="s">
        <v>1914</v>
      </c>
      <c r="E1094" s="12" t="s">
        <v>1915</v>
      </c>
      <c r="F1094" s="13">
        <v>5.0</v>
      </c>
      <c r="G1094" s="13">
        <v>1.0</v>
      </c>
      <c r="H1094" s="13">
        <v>2.0</v>
      </c>
      <c r="I1094" s="13" t="s">
        <v>35</v>
      </c>
      <c r="J1094" s="13" t="s">
        <v>46</v>
      </c>
      <c r="K1094" s="13" t="s">
        <v>47</v>
      </c>
      <c r="L1094" s="13"/>
    </row>
    <row r="1095">
      <c r="A1095" s="13">
        <v>1093.0</v>
      </c>
      <c r="B1095" s="13">
        <v>868.0</v>
      </c>
      <c r="C1095" s="13">
        <v>56.0</v>
      </c>
      <c r="D1095" s="12" t="s">
        <v>1916</v>
      </c>
      <c r="E1095" s="12" t="s">
        <v>1917</v>
      </c>
      <c r="F1095" s="13">
        <v>3.0</v>
      </c>
      <c r="G1095" s="13">
        <v>1.0</v>
      </c>
      <c r="H1095" s="13">
        <v>3.0</v>
      </c>
      <c r="I1095" s="13" t="s">
        <v>35</v>
      </c>
      <c r="J1095" s="13" t="s">
        <v>46</v>
      </c>
      <c r="K1095" s="13" t="s">
        <v>52</v>
      </c>
      <c r="L1095" s="13"/>
    </row>
    <row r="1096">
      <c r="A1096" s="13">
        <v>1094.0</v>
      </c>
      <c r="B1096" s="13">
        <v>1001.0</v>
      </c>
      <c r="C1096" s="13">
        <v>23.0</v>
      </c>
      <c r="D1096" s="12"/>
      <c r="E1096" s="12" t="s">
        <v>1918</v>
      </c>
      <c r="F1096" s="13">
        <v>4.0</v>
      </c>
      <c r="G1096" s="13">
        <v>1.0</v>
      </c>
      <c r="H1096" s="13">
        <v>1.0</v>
      </c>
      <c r="I1096" s="13" t="s">
        <v>35</v>
      </c>
      <c r="J1096" s="13" t="s">
        <v>42</v>
      </c>
      <c r="K1096" s="13" t="s">
        <v>98</v>
      </c>
      <c r="L1096" s="13"/>
    </row>
    <row r="1097">
      <c r="A1097" s="13">
        <v>1095.0</v>
      </c>
      <c r="B1097" s="13">
        <v>829.0</v>
      </c>
      <c r="C1097" s="13">
        <v>66.0</v>
      </c>
      <c r="D1097" s="12" t="s">
        <v>1919</v>
      </c>
      <c r="E1097" s="12" t="s">
        <v>1920</v>
      </c>
      <c r="F1097" s="13">
        <v>3.0</v>
      </c>
      <c r="G1097" s="13">
        <v>1.0</v>
      </c>
      <c r="H1097" s="13">
        <v>0.0</v>
      </c>
      <c r="I1097" s="13" t="s">
        <v>41</v>
      </c>
      <c r="J1097" s="13" t="s">
        <v>46</v>
      </c>
      <c r="K1097" s="13" t="s">
        <v>47</v>
      </c>
      <c r="L1097" s="13"/>
    </row>
    <row r="1098">
      <c r="A1098" s="13">
        <v>1096.0</v>
      </c>
      <c r="B1098" s="13">
        <v>815.0</v>
      </c>
      <c r="C1098" s="13">
        <v>31.0</v>
      </c>
      <c r="D1098" s="12" t="s">
        <v>1921</v>
      </c>
      <c r="E1098" s="12" t="s">
        <v>1922</v>
      </c>
      <c r="F1098" s="13">
        <v>5.0</v>
      </c>
      <c r="G1098" s="13">
        <v>1.0</v>
      </c>
      <c r="H1098" s="13">
        <v>0.0</v>
      </c>
      <c r="I1098" s="13" t="s">
        <v>41</v>
      </c>
      <c r="J1098" s="13" t="s">
        <v>46</v>
      </c>
      <c r="K1098" s="13" t="s">
        <v>47</v>
      </c>
      <c r="L1098" s="13"/>
    </row>
    <row r="1099">
      <c r="A1099" s="13">
        <v>1097.0</v>
      </c>
      <c r="B1099" s="13">
        <v>895.0</v>
      </c>
      <c r="C1099" s="13">
        <v>48.0</v>
      </c>
      <c r="D1099" s="12" t="s">
        <v>642</v>
      </c>
      <c r="E1099" s="12" t="s">
        <v>1923</v>
      </c>
      <c r="F1099" s="13">
        <v>5.0</v>
      </c>
      <c r="G1099" s="13">
        <v>1.0</v>
      </c>
      <c r="H1099" s="13">
        <v>1.0</v>
      </c>
      <c r="I1099" s="13" t="s">
        <v>35</v>
      </c>
      <c r="J1099" s="13" t="s">
        <v>46</v>
      </c>
      <c r="K1099" s="13" t="s">
        <v>123</v>
      </c>
      <c r="L1099" s="13"/>
    </row>
    <row r="1100">
      <c r="A1100" s="13">
        <v>1098.0</v>
      </c>
      <c r="B1100" s="13">
        <v>831.0</v>
      </c>
      <c r="C1100" s="13">
        <v>54.0</v>
      </c>
      <c r="D1100" s="12" t="s">
        <v>1924</v>
      </c>
      <c r="E1100" s="12" t="s">
        <v>1925</v>
      </c>
      <c r="F1100" s="13">
        <v>1.0</v>
      </c>
      <c r="G1100" s="13">
        <v>0.0</v>
      </c>
      <c r="H1100" s="13">
        <v>0.0</v>
      </c>
      <c r="I1100" s="13" t="s">
        <v>35</v>
      </c>
      <c r="J1100" s="13" t="s">
        <v>46</v>
      </c>
      <c r="K1100" s="13" t="s">
        <v>47</v>
      </c>
      <c r="L1100" s="13"/>
    </row>
    <row r="1101">
      <c r="A1101" s="13">
        <v>1099.0</v>
      </c>
      <c r="B1101" s="13">
        <v>815.0</v>
      </c>
      <c r="C1101" s="13">
        <v>63.0</v>
      </c>
      <c r="D1101" s="12"/>
      <c r="E1101" s="12" t="s">
        <v>1926</v>
      </c>
      <c r="F1101" s="13">
        <v>2.0</v>
      </c>
      <c r="G1101" s="13">
        <v>0.0</v>
      </c>
      <c r="H1101" s="13">
        <v>0.0</v>
      </c>
      <c r="I1101" s="13" t="s">
        <v>41</v>
      </c>
      <c r="J1101" s="13" t="s">
        <v>46</v>
      </c>
      <c r="K1101" s="13" t="s">
        <v>47</v>
      </c>
      <c r="L1101" s="13"/>
    </row>
    <row r="1102">
      <c r="A1102" s="13">
        <v>1100.0</v>
      </c>
      <c r="B1102" s="13">
        <v>1099.0</v>
      </c>
      <c r="C1102" s="13">
        <v>32.0</v>
      </c>
      <c r="D1102" s="12" t="s">
        <v>1927</v>
      </c>
      <c r="E1102" s="12" t="s">
        <v>1928</v>
      </c>
      <c r="F1102" s="13">
        <v>5.0</v>
      </c>
      <c r="G1102" s="13">
        <v>1.0</v>
      </c>
      <c r="H1102" s="13">
        <v>8.0</v>
      </c>
      <c r="I1102" s="13" t="s">
        <v>41</v>
      </c>
      <c r="J1102" s="13" t="s">
        <v>36</v>
      </c>
      <c r="K1102" s="13" t="s">
        <v>36</v>
      </c>
      <c r="L1102" s="13"/>
    </row>
    <row r="1103">
      <c r="A1103" s="13">
        <v>1101.0</v>
      </c>
      <c r="B1103" s="13">
        <v>1099.0</v>
      </c>
      <c r="C1103" s="13">
        <v>77.0</v>
      </c>
      <c r="D1103" s="12" t="s">
        <v>1929</v>
      </c>
      <c r="E1103" s="12" t="s">
        <v>1930</v>
      </c>
      <c r="F1103" s="13">
        <v>4.0</v>
      </c>
      <c r="G1103" s="13">
        <v>1.0</v>
      </c>
      <c r="H1103" s="13">
        <v>0.0</v>
      </c>
      <c r="I1103" s="13" t="s">
        <v>41</v>
      </c>
      <c r="J1103" s="13" t="s">
        <v>36</v>
      </c>
      <c r="K1103" s="13" t="s">
        <v>36</v>
      </c>
      <c r="L1103" s="13"/>
    </row>
    <row r="1104">
      <c r="A1104" s="13">
        <v>1102.0</v>
      </c>
      <c r="B1104" s="13">
        <v>829.0</v>
      </c>
      <c r="C1104" s="13">
        <v>40.0</v>
      </c>
      <c r="D1104" s="12" t="s">
        <v>1931</v>
      </c>
      <c r="E1104" s="12" t="s">
        <v>1932</v>
      </c>
      <c r="F1104" s="13">
        <v>5.0</v>
      </c>
      <c r="G1104" s="13">
        <v>1.0</v>
      </c>
      <c r="H1104" s="13">
        <v>0.0</v>
      </c>
      <c r="I1104" s="13" t="s">
        <v>41</v>
      </c>
      <c r="J1104" s="13" t="s">
        <v>46</v>
      </c>
      <c r="K1104" s="13" t="s">
        <v>47</v>
      </c>
      <c r="L1104" s="13"/>
    </row>
    <row r="1105">
      <c r="A1105" s="13">
        <v>1103.0</v>
      </c>
      <c r="B1105" s="13">
        <v>831.0</v>
      </c>
      <c r="C1105" s="13">
        <v>28.0</v>
      </c>
      <c r="D1105" s="12"/>
      <c r="E1105" s="12" t="s">
        <v>1933</v>
      </c>
      <c r="F1105" s="13">
        <v>5.0</v>
      </c>
      <c r="G1105" s="13">
        <v>1.0</v>
      </c>
      <c r="H1105" s="13">
        <v>1.0</v>
      </c>
      <c r="I1105" s="13" t="s">
        <v>35</v>
      </c>
      <c r="J1105" s="13" t="s">
        <v>46</v>
      </c>
      <c r="K1105" s="13" t="s">
        <v>47</v>
      </c>
      <c r="L1105" s="13"/>
    </row>
    <row r="1106">
      <c r="A1106" s="13">
        <v>1104.0</v>
      </c>
      <c r="B1106" s="13">
        <v>815.0</v>
      </c>
      <c r="C1106" s="13">
        <v>39.0</v>
      </c>
      <c r="D1106" s="12" t="s">
        <v>1934</v>
      </c>
      <c r="E1106" s="12" t="s">
        <v>1935</v>
      </c>
      <c r="F1106" s="13">
        <v>4.0</v>
      </c>
      <c r="G1106" s="13">
        <v>1.0</v>
      </c>
      <c r="H1106" s="13">
        <v>0.0</v>
      </c>
      <c r="I1106" s="13" t="s">
        <v>41</v>
      </c>
      <c r="J1106" s="13" t="s">
        <v>46</v>
      </c>
      <c r="K1106" s="13" t="s">
        <v>47</v>
      </c>
      <c r="L1106" s="13"/>
    </row>
    <row r="1107">
      <c r="A1107" s="13">
        <v>1105.0</v>
      </c>
      <c r="B1107" s="13">
        <v>1076.0</v>
      </c>
      <c r="C1107" s="13">
        <v>43.0</v>
      </c>
      <c r="D1107" s="12" t="s">
        <v>238</v>
      </c>
      <c r="E1107" s="12" t="s">
        <v>1936</v>
      </c>
      <c r="F1107" s="13">
        <v>1.0</v>
      </c>
      <c r="G1107" s="13">
        <v>0.0</v>
      </c>
      <c r="H1107" s="13">
        <v>4.0</v>
      </c>
      <c r="I1107" s="13" t="s">
        <v>35</v>
      </c>
      <c r="J1107" s="13" t="s">
        <v>36</v>
      </c>
      <c r="K1107" s="13" t="s">
        <v>36</v>
      </c>
      <c r="L1107" s="13"/>
    </row>
    <row r="1108">
      <c r="A1108" s="13">
        <v>1106.0</v>
      </c>
      <c r="B1108" s="13">
        <v>815.0</v>
      </c>
      <c r="C1108" s="13">
        <v>37.0</v>
      </c>
      <c r="D1108" s="12" t="s">
        <v>1937</v>
      </c>
      <c r="E1108" s="12" t="s">
        <v>1938</v>
      </c>
      <c r="F1108" s="13">
        <v>3.0</v>
      </c>
      <c r="G1108" s="13">
        <v>0.0</v>
      </c>
      <c r="H1108" s="13">
        <v>6.0</v>
      </c>
      <c r="I1108" s="13" t="s">
        <v>41</v>
      </c>
      <c r="J1108" s="13" t="s">
        <v>46</v>
      </c>
      <c r="K1108" s="13" t="s">
        <v>47</v>
      </c>
      <c r="L1108" s="13"/>
    </row>
    <row r="1109">
      <c r="A1109" s="13">
        <v>1107.0</v>
      </c>
      <c r="B1109" s="13">
        <v>831.0</v>
      </c>
      <c r="C1109" s="13">
        <v>44.0</v>
      </c>
      <c r="D1109" s="12" t="s">
        <v>1022</v>
      </c>
      <c r="E1109" s="12" t="s">
        <v>1939</v>
      </c>
      <c r="F1109" s="13">
        <v>5.0</v>
      </c>
      <c r="G1109" s="13">
        <v>1.0</v>
      </c>
      <c r="H1109" s="13">
        <v>8.0</v>
      </c>
      <c r="I1109" s="13" t="s">
        <v>35</v>
      </c>
      <c r="J1109" s="13" t="s">
        <v>46</v>
      </c>
      <c r="K1109" s="13" t="s">
        <v>47</v>
      </c>
      <c r="L1109" s="13"/>
    </row>
    <row r="1110">
      <c r="A1110" s="13">
        <v>1108.0</v>
      </c>
      <c r="B1110" s="13">
        <v>815.0</v>
      </c>
      <c r="C1110" s="13">
        <v>52.0</v>
      </c>
      <c r="D1110" s="12" t="s">
        <v>1940</v>
      </c>
      <c r="E1110" s="12" t="s">
        <v>1941</v>
      </c>
      <c r="F1110" s="13">
        <v>5.0</v>
      </c>
      <c r="G1110" s="13">
        <v>1.0</v>
      </c>
      <c r="H1110" s="13">
        <v>7.0</v>
      </c>
      <c r="I1110" s="13" t="s">
        <v>41</v>
      </c>
      <c r="J1110" s="13" t="s">
        <v>46</v>
      </c>
      <c r="K1110" s="13" t="s">
        <v>47</v>
      </c>
      <c r="L1110" s="13"/>
    </row>
    <row r="1111">
      <c r="A1111" s="13">
        <v>1109.0</v>
      </c>
      <c r="B1111" s="13">
        <v>831.0</v>
      </c>
      <c r="C1111" s="13">
        <v>33.0</v>
      </c>
      <c r="D1111" s="12" t="s">
        <v>592</v>
      </c>
      <c r="E1111" s="12" t="s">
        <v>1942</v>
      </c>
      <c r="F1111" s="13">
        <v>5.0</v>
      </c>
      <c r="G1111" s="13">
        <v>1.0</v>
      </c>
      <c r="H1111" s="13">
        <v>0.0</v>
      </c>
      <c r="I1111" s="13" t="s">
        <v>35</v>
      </c>
      <c r="J1111" s="13" t="s">
        <v>46</v>
      </c>
      <c r="K1111" s="13" t="s">
        <v>47</v>
      </c>
      <c r="L1111" s="13"/>
    </row>
    <row r="1112">
      <c r="A1112" s="13">
        <v>1110.0</v>
      </c>
      <c r="B1112" s="13">
        <v>877.0</v>
      </c>
      <c r="C1112" s="13">
        <v>53.0</v>
      </c>
      <c r="D1112" s="12" t="s">
        <v>1943</v>
      </c>
      <c r="E1112" s="12" t="s">
        <v>1944</v>
      </c>
      <c r="F1112" s="13">
        <v>4.0</v>
      </c>
      <c r="G1112" s="13">
        <v>1.0</v>
      </c>
      <c r="H1112" s="13">
        <v>0.0</v>
      </c>
      <c r="I1112" s="13" t="s">
        <v>35</v>
      </c>
      <c r="J1112" s="13" t="s">
        <v>46</v>
      </c>
      <c r="K1112" s="13" t="s">
        <v>52</v>
      </c>
      <c r="L1112" s="13"/>
    </row>
    <row r="1113">
      <c r="A1113" s="13">
        <v>1111.0</v>
      </c>
      <c r="B1113" s="13">
        <v>1068.0</v>
      </c>
      <c r="C1113" s="13">
        <v>65.0</v>
      </c>
      <c r="D1113" s="12" t="s">
        <v>1945</v>
      </c>
      <c r="E1113" s="12" t="s">
        <v>1946</v>
      </c>
      <c r="F1113" s="13">
        <v>3.0</v>
      </c>
      <c r="G1113" s="13">
        <v>0.0</v>
      </c>
      <c r="H1113" s="13">
        <v>1.0</v>
      </c>
      <c r="I1113" s="13" t="s">
        <v>35</v>
      </c>
      <c r="J1113" s="13" t="s">
        <v>42</v>
      </c>
      <c r="K1113" s="13" t="s">
        <v>43</v>
      </c>
      <c r="L1113" s="13"/>
    </row>
    <row r="1114">
      <c r="A1114" s="13">
        <v>1112.0</v>
      </c>
      <c r="B1114" s="13">
        <v>1020.0</v>
      </c>
      <c r="C1114" s="13">
        <v>62.0</v>
      </c>
      <c r="D1114" s="12" t="s">
        <v>1947</v>
      </c>
      <c r="E1114" s="12" t="s">
        <v>1948</v>
      </c>
      <c r="F1114" s="13">
        <v>3.0</v>
      </c>
      <c r="G1114" s="13">
        <v>0.0</v>
      </c>
      <c r="H1114" s="13">
        <v>4.0</v>
      </c>
      <c r="I1114" s="13" t="s">
        <v>35</v>
      </c>
      <c r="J1114" s="13" t="s">
        <v>42</v>
      </c>
      <c r="K1114" s="13" t="s">
        <v>98</v>
      </c>
      <c r="L1114" s="13"/>
    </row>
    <row r="1115">
      <c r="A1115" s="13">
        <v>1113.0</v>
      </c>
      <c r="B1115" s="13">
        <v>1068.0</v>
      </c>
      <c r="C1115" s="13">
        <v>45.0</v>
      </c>
      <c r="D1115" s="12" t="s">
        <v>1949</v>
      </c>
      <c r="E1115" s="12" t="s">
        <v>1950</v>
      </c>
      <c r="F1115" s="13">
        <v>5.0</v>
      </c>
      <c r="G1115" s="13">
        <v>1.0</v>
      </c>
      <c r="H1115" s="13">
        <v>0.0</v>
      </c>
      <c r="I1115" s="13" t="s">
        <v>35</v>
      </c>
      <c r="J1115" s="13" t="s">
        <v>42</v>
      </c>
      <c r="K1115" s="13" t="s">
        <v>43</v>
      </c>
      <c r="L1115" s="13"/>
    </row>
    <row r="1116">
      <c r="A1116" s="13">
        <v>1114.0</v>
      </c>
      <c r="B1116" s="13">
        <v>1020.0</v>
      </c>
      <c r="C1116" s="13">
        <v>47.0</v>
      </c>
      <c r="D1116" s="12" t="s">
        <v>1951</v>
      </c>
      <c r="E1116" s="12" t="s">
        <v>1952</v>
      </c>
      <c r="F1116" s="13">
        <v>1.0</v>
      </c>
      <c r="G1116" s="13">
        <v>0.0</v>
      </c>
      <c r="H1116" s="13">
        <v>6.0</v>
      </c>
      <c r="I1116" s="13" t="s">
        <v>35</v>
      </c>
      <c r="J1116" s="13" t="s">
        <v>42</v>
      </c>
      <c r="K1116" s="13" t="s">
        <v>98</v>
      </c>
      <c r="L1116" s="13"/>
    </row>
    <row r="1117">
      <c r="A1117" s="13">
        <v>1115.0</v>
      </c>
      <c r="B1117" s="13">
        <v>1068.0</v>
      </c>
      <c r="C1117" s="13">
        <v>42.0</v>
      </c>
      <c r="D1117" s="12" t="s">
        <v>1953</v>
      </c>
      <c r="E1117" s="12" t="s">
        <v>1954</v>
      </c>
      <c r="F1117" s="13">
        <v>5.0</v>
      </c>
      <c r="G1117" s="13">
        <v>1.0</v>
      </c>
      <c r="H1117" s="13">
        <v>1.0</v>
      </c>
      <c r="I1117" s="13" t="s">
        <v>35</v>
      </c>
      <c r="J1117" s="13" t="s">
        <v>42</v>
      </c>
      <c r="K1117" s="13" t="s">
        <v>43</v>
      </c>
      <c r="L1117" s="13"/>
    </row>
    <row r="1118">
      <c r="A1118" s="13">
        <v>1116.0</v>
      </c>
      <c r="B1118" s="13">
        <v>691.0</v>
      </c>
      <c r="C1118" s="13">
        <v>38.0</v>
      </c>
      <c r="D1118" s="12" t="s">
        <v>1955</v>
      </c>
      <c r="E1118" s="12" t="s">
        <v>1956</v>
      </c>
      <c r="F1118" s="13">
        <v>4.0</v>
      </c>
      <c r="G1118" s="13">
        <v>1.0</v>
      </c>
      <c r="H1118" s="13">
        <v>0.0</v>
      </c>
      <c r="I1118" s="13" t="s">
        <v>31</v>
      </c>
      <c r="J1118" s="13" t="s">
        <v>32</v>
      </c>
      <c r="K1118" s="13" t="s">
        <v>92</v>
      </c>
      <c r="L1118" s="13"/>
    </row>
    <row r="1119">
      <c r="A1119" s="13">
        <v>1117.0</v>
      </c>
      <c r="B1119" s="13">
        <v>831.0</v>
      </c>
      <c r="C1119" s="13">
        <v>40.0</v>
      </c>
      <c r="D1119" s="12" t="s">
        <v>1957</v>
      </c>
      <c r="E1119" s="12" t="s">
        <v>1958</v>
      </c>
      <c r="F1119" s="13">
        <v>3.0</v>
      </c>
      <c r="G1119" s="13">
        <v>0.0</v>
      </c>
      <c r="H1119" s="13">
        <v>17.0</v>
      </c>
      <c r="I1119" s="13" t="s">
        <v>35</v>
      </c>
      <c r="J1119" s="13" t="s">
        <v>46</v>
      </c>
      <c r="K1119" s="13" t="s">
        <v>47</v>
      </c>
      <c r="L1119" s="13"/>
    </row>
    <row r="1120">
      <c r="A1120" s="13">
        <v>1118.0</v>
      </c>
      <c r="B1120" s="13">
        <v>1068.0</v>
      </c>
      <c r="C1120" s="13">
        <v>39.0</v>
      </c>
      <c r="D1120" s="12" t="s">
        <v>1959</v>
      </c>
      <c r="E1120" s="12" t="s">
        <v>1960</v>
      </c>
      <c r="F1120" s="13">
        <v>4.0</v>
      </c>
      <c r="G1120" s="13">
        <v>1.0</v>
      </c>
      <c r="H1120" s="13">
        <v>2.0</v>
      </c>
      <c r="I1120" s="13" t="s">
        <v>35</v>
      </c>
      <c r="J1120" s="13" t="s">
        <v>42</v>
      </c>
      <c r="K1120" s="13" t="s">
        <v>43</v>
      </c>
      <c r="L1120" s="13"/>
    </row>
    <row r="1121">
      <c r="A1121" s="13">
        <v>1119.0</v>
      </c>
      <c r="B1121" s="13">
        <v>1089.0</v>
      </c>
      <c r="C1121" s="13">
        <v>49.0</v>
      </c>
      <c r="D1121" s="12" t="s">
        <v>1961</v>
      </c>
      <c r="E1121" s="12" t="s">
        <v>1962</v>
      </c>
      <c r="F1121" s="13">
        <v>2.0</v>
      </c>
      <c r="G1121" s="13">
        <v>0.0</v>
      </c>
      <c r="H1121" s="13">
        <v>4.0</v>
      </c>
      <c r="I1121" s="13" t="s">
        <v>41</v>
      </c>
      <c r="J1121" s="13" t="s">
        <v>36</v>
      </c>
      <c r="K1121" s="13" t="s">
        <v>36</v>
      </c>
      <c r="L1121" s="13"/>
    </row>
    <row r="1122">
      <c r="A1122" s="13">
        <v>1120.0</v>
      </c>
      <c r="B1122" s="13">
        <v>1089.0</v>
      </c>
      <c r="C1122" s="13">
        <v>51.0</v>
      </c>
      <c r="D1122" s="12"/>
      <c r="E1122" s="12" t="s">
        <v>1963</v>
      </c>
      <c r="F1122" s="13">
        <v>4.0</v>
      </c>
      <c r="G1122" s="13">
        <v>1.0</v>
      </c>
      <c r="H1122" s="13">
        <v>0.0</v>
      </c>
      <c r="I1122" s="13" t="s">
        <v>41</v>
      </c>
      <c r="J1122" s="13" t="s">
        <v>36</v>
      </c>
      <c r="K1122" s="13" t="s">
        <v>36</v>
      </c>
      <c r="L1122" s="13"/>
    </row>
    <row r="1123">
      <c r="A1123" s="13">
        <v>1121.0</v>
      </c>
      <c r="B1123" s="13">
        <v>777.0</v>
      </c>
      <c r="C1123" s="13">
        <v>31.0</v>
      </c>
      <c r="D1123" s="12" t="s">
        <v>1964</v>
      </c>
      <c r="E1123" s="12" t="s">
        <v>1965</v>
      </c>
      <c r="F1123" s="13">
        <v>1.0</v>
      </c>
      <c r="G1123" s="13">
        <v>0.0</v>
      </c>
      <c r="H1123" s="13">
        <v>0.0</v>
      </c>
      <c r="I1123" s="13" t="s">
        <v>31</v>
      </c>
      <c r="J1123" s="13" t="s">
        <v>32</v>
      </c>
      <c r="K1123" s="13" t="s">
        <v>92</v>
      </c>
      <c r="L1123" s="13"/>
    </row>
    <row r="1124">
      <c r="A1124" s="13">
        <v>1122.0</v>
      </c>
      <c r="B1124" s="13">
        <v>860.0</v>
      </c>
      <c r="C1124" s="13">
        <v>41.0</v>
      </c>
      <c r="D1124" s="12" t="s">
        <v>1966</v>
      </c>
      <c r="E1124" s="12" t="s">
        <v>1967</v>
      </c>
      <c r="F1124" s="13">
        <v>3.0</v>
      </c>
      <c r="G1124" s="13">
        <v>0.0</v>
      </c>
      <c r="H1124" s="13">
        <v>5.0</v>
      </c>
      <c r="I1124" s="13" t="s">
        <v>41</v>
      </c>
      <c r="J1124" s="13" t="s">
        <v>46</v>
      </c>
      <c r="K1124" s="13" t="s">
        <v>52</v>
      </c>
      <c r="L1124" s="13"/>
    </row>
    <row r="1125">
      <c r="A1125" s="13">
        <v>1123.0</v>
      </c>
      <c r="B1125" s="13">
        <v>1089.0</v>
      </c>
      <c r="C1125" s="13">
        <v>52.0</v>
      </c>
      <c r="D1125" s="12" t="s">
        <v>1968</v>
      </c>
      <c r="E1125" s="12" t="s">
        <v>1969</v>
      </c>
      <c r="F1125" s="13">
        <v>5.0</v>
      </c>
      <c r="G1125" s="13">
        <v>1.0</v>
      </c>
      <c r="H1125" s="13">
        <v>12.0</v>
      </c>
      <c r="I1125" s="13" t="s">
        <v>41</v>
      </c>
      <c r="J1125" s="13" t="s">
        <v>36</v>
      </c>
      <c r="K1125" s="13" t="s">
        <v>36</v>
      </c>
      <c r="L1125" s="13"/>
    </row>
    <row r="1126">
      <c r="A1126" s="13">
        <v>1124.0</v>
      </c>
      <c r="B1126" s="13">
        <v>875.0</v>
      </c>
      <c r="C1126" s="13">
        <v>64.0</v>
      </c>
      <c r="D1126" s="12" t="s">
        <v>1970</v>
      </c>
      <c r="E1126" s="12" t="s">
        <v>1971</v>
      </c>
      <c r="F1126" s="13">
        <v>5.0</v>
      </c>
      <c r="G1126" s="13">
        <v>1.0</v>
      </c>
      <c r="H1126" s="13">
        <v>0.0</v>
      </c>
      <c r="I1126" s="13" t="s">
        <v>35</v>
      </c>
      <c r="J1126" s="13" t="s">
        <v>46</v>
      </c>
      <c r="K1126" s="13" t="s">
        <v>52</v>
      </c>
      <c r="L1126" s="13"/>
    </row>
    <row r="1127">
      <c r="A1127" s="13">
        <v>1125.0</v>
      </c>
      <c r="B1127" s="13">
        <v>992.0</v>
      </c>
      <c r="C1127" s="13">
        <v>39.0</v>
      </c>
      <c r="D1127" s="12"/>
      <c r="E1127" s="12" t="s">
        <v>1972</v>
      </c>
      <c r="F1127" s="13">
        <v>5.0</v>
      </c>
      <c r="G1127" s="13">
        <v>1.0</v>
      </c>
      <c r="H1127" s="13">
        <v>0.0</v>
      </c>
      <c r="I1127" s="13" t="s">
        <v>41</v>
      </c>
      <c r="J1127" s="13" t="s">
        <v>42</v>
      </c>
      <c r="K1127" s="13" t="s">
        <v>98</v>
      </c>
      <c r="L1127" s="13"/>
    </row>
    <row r="1128">
      <c r="A1128" s="13">
        <v>1126.0</v>
      </c>
      <c r="B1128" s="13">
        <v>860.0</v>
      </c>
      <c r="C1128" s="13">
        <v>53.0</v>
      </c>
      <c r="D1128" s="12" t="s">
        <v>1973</v>
      </c>
      <c r="E1128" s="12" t="s">
        <v>1974</v>
      </c>
      <c r="F1128" s="13">
        <v>5.0</v>
      </c>
      <c r="G1128" s="13">
        <v>1.0</v>
      </c>
      <c r="H1128" s="13">
        <v>1.0</v>
      </c>
      <c r="I1128" s="13" t="s">
        <v>41</v>
      </c>
      <c r="J1128" s="13" t="s">
        <v>46</v>
      </c>
      <c r="K1128" s="13" t="s">
        <v>52</v>
      </c>
      <c r="L1128" s="13"/>
    </row>
    <row r="1129">
      <c r="A1129" s="13">
        <v>1127.0</v>
      </c>
      <c r="B1129" s="13">
        <v>777.0</v>
      </c>
      <c r="C1129" s="13">
        <v>48.0</v>
      </c>
      <c r="D1129" s="12" t="s">
        <v>1975</v>
      </c>
      <c r="E1129" s="12" t="s">
        <v>1976</v>
      </c>
      <c r="F1129" s="13">
        <v>5.0</v>
      </c>
      <c r="G1129" s="13">
        <v>1.0</v>
      </c>
      <c r="H1129" s="13">
        <v>1.0</v>
      </c>
      <c r="I1129" s="13" t="s">
        <v>31</v>
      </c>
      <c r="J1129" s="13" t="s">
        <v>32</v>
      </c>
      <c r="K1129" s="13" t="s">
        <v>92</v>
      </c>
      <c r="L1129" s="13"/>
    </row>
    <row r="1130">
      <c r="A1130" s="13">
        <v>1128.0</v>
      </c>
      <c r="B1130" s="13">
        <v>777.0</v>
      </c>
      <c r="C1130" s="13">
        <v>64.0</v>
      </c>
      <c r="D1130" s="12" t="s">
        <v>1977</v>
      </c>
      <c r="E1130" s="12" t="s">
        <v>1978</v>
      </c>
      <c r="F1130" s="13">
        <v>5.0</v>
      </c>
      <c r="G1130" s="13">
        <v>1.0</v>
      </c>
      <c r="H1130" s="13">
        <v>1.0</v>
      </c>
      <c r="I1130" s="13" t="s">
        <v>31</v>
      </c>
      <c r="J1130" s="13" t="s">
        <v>32</v>
      </c>
      <c r="K1130" s="13" t="s">
        <v>92</v>
      </c>
      <c r="L1130" s="13"/>
    </row>
    <row r="1131">
      <c r="A1131" s="13">
        <v>1129.0</v>
      </c>
      <c r="B1131" s="13">
        <v>860.0</v>
      </c>
      <c r="C1131" s="13">
        <v>48.0</v>
      </c>
      <c r="D1131" s="12" t="s">
        <v>1979</v>
      </c>
      <c r="E1131" s="12" t="s">
        <v>1980</v>
      </c>
      <c r="F1131" s="13">
        <v>5.0</v>
      </c>
      <c r="G1131" s="13">
        <v>1.0</v>
      </c>
      <c r="H1131" s="13">
        <v>2.0</v>
      </c>
      <c r="I1131" s="13" t="s">
        <v>41</v>
      </c>
      <c r="J1131" s="13" t="s">
        <v>46</v>
      </c>
      <c r="K1131" s="13" t="s">
        <v>52</v>
      </c>
      <c r="L1131" s="13"/>
    </row>
    <row r="1132">
      <c r="A1132" s="13">
        <v>1130.0</v>
      </c>
      <c r="B1132" s="13">
        <v>860.0</v>
      </c>
      <c r="C1132" s="13">
        <v>39.0</v>
      </c>
      <c r="D1132" s="12" t="s">
        <v>1981</v>
      </c>
      <c r="E1132" s="12" t="s">
        <v>1982</v>
      </c>
      <c r="F1132" s="13">
        <v>5.0</v>
      </c>
      <c r="G1132" s="13">
        <v>1.0</v>
      </c>
      <c r="H1132" s="13">
        <v>0.0</v>
      </c>
      <c r="I1132" s="13" t="s">
        <v>41</v>
      </c>
      <c r="J1132" s="13" t="s">
        <v>46</v>
      </c>
      <c r="K1132" s="13" t="s">
        <v>52</v>
      </c>
      <c r="L1132" s="13"/>
    </row>
    <row r="1133">
      <c r="A1133" s="13">
        <v>1131.0</v>
      </c>
      <c r="B1133" s="13">
        <v>927.0</v>
      </c>
      <c r="C1133" s="13">
        <v>33.0</v>
      </c>
      <c r="D1133" s="12"/>
      <c r="E1133" s="12" t="s">
        <v>1983</v>
      </c>
      <c r="F1133" s="13">
        <v>3.0</v>
      </c>
      <c r="G1133" s="13">
        <v>1.0</v>
      </c>
      <c r="H1133" s="13">
        <v>7.0</v>
      </c>
      <c r="I1133" s="13" t="s">
        <v>35</v>
      </c>
      <c r="J1133" s="13" t="s">
        <v>46</v>
      </c>
      <c r="K1133" s="13" t="s">
        <v>95</v>
      </c>
      <c r="L1133" s="13"/>
    </row>
    <row r="1134">
      <c r="A1134" s="13">
        <v>1132.0</v>
      </c>
      <c r="B1134" s="13">
        <v>1089.0</v>
      </c>
      <c r="C1134" s="13">
        <v>68.0</v>
      </c>
      <c r="D1134" s="12" t="s">
        <v>1984</v>
      </c>
      <c r="E1134" s="12" t="s">
        <v>1985</v>
      </c>
      <c r="F1134" s="13">
        <v>4.0</v>
      </c>
      <c r="G1134" s="13">
        <v>1.0</v>
      </c>
      <c r="H1134" s="13">
        <v>9.0</v>
      </c>
      <c r="I1134" s="13" t="s">
        <v>41</v>
      </c>
      <c r="J1134" s="13" t="s">
        <v>36</v>
      </c>
      <c r="K1134" s="13" t="s">
        <v>36</v>
      </c>
      <c r="L1134" s="13"/>
    </row>
    <row r="1135">
      <c r="A1135" s="13">
        <v>1133.0</v>
      </c>
      <c r="B1135" s="13">
        <v>777.0</v>
      </c>
      <c r="C1135" s="13">
        <v>36.0</v>
      </c>
      <c r="D1135" s="12" t="s">
        <v>1986</v>
      </c>
      <c r="E1135" s="12" t="s">
        <v>1987</v>
      </c>
      <c r="F1135" s="13">
        <v>3.0</v>
      </c>
      <c r="G1135" s="13">
        <v>0.0</v>
      </c>
      <c r="H1135" s="13">
        <v>1.0</v>
      </c>
      <c r="I1135" s="13" t="s">
        <v>31</v>
      </c>
      <c r="J1135" s="13" t="s">
        <v>32</v>
      </c>
      <c r="K1135" s="13" t="s">
        <v>92</v>
      </c>
      <c r="L1135" s="13"/>
    </row>
    <row r="1136">
      <c r="A1136" s="13">
        <v>1134.0</v>
      </c>
      <c r="B1136" s="13">
        <v>992.0</v>
      </c>
      <c r="C1136" s="13">
        <v>62.0</v>
      </c>
      <c r="D1136" s="12" t="s">
        <v>1988</v>
      </c>
      <c r="E1136" s="12" t="s">
        <v>1989</v>
      </c>
      <c r="F1136" s="13">
        <v>4.0</v>
      </c>
      <c r="G1136" s="13">
        <v>1.0</v>
      </c>
      <c r="H1136" s="13">
        <v>0.0</v>
      </c>
      <c r="I1136" s="13" t="s">
        <v>41</v>
      </c>
      <c r="J1136" s="13" t="s">
        <v>42</v>
      </c>
      <c r="K1136" s="13" t="s">
        <v>98</v>
      </c>
      <c r="L1136" s="13"/>
    </row>
    <row r="1137">
      <c r="A1137" s="13">
        <v>1135.0</v>
      </c>
      <c r="B1137" s="13">
        <v>1068.0</v>
      </c>
      <c r="C1137" s="13">
        <v>42.0</v>
      </c>
      <c r="D1137" s="12" t="s">
        <v>1990</v>
      </c>
      <c r="E1137" s="12" t="s">
        <v>1991</v>
      </c>
      <c r="F1137" s="13">
        <v>2.0</v>
      </c>
      <c r="G1137" s="13">
        <v>0.0</v>
      </c>
      <c r="H1137" s="13">
        <v>30.0</v>
      </c>
      <c r="I1137" s="13" t="s">
        <v>35</v>
      </c>
      <c r="J1137" s="13" t="s">
        <v>42</v>
      </c>
      <c r="K1137" s="13" t="s">
        <v>43</v>
      </c>
      <c r="L1137" s="13"/>
    </row>
    <row r="1138">
      <c r="A1138" s="13">
        <v>1136.0</v>
      </c>
      <c r="B1138" s="13">
        <v>1068.0</v>
      </c>
      <c r="C1138" s="13">
        <v>37.0</v>
      </c>
      <c r="D1138" s="12" t="s">
        <v>724</v>
      </c>
      <c r="E1138" s="12" t="s">
        <v>1992</v>
      </c>
      <c r="F1138" s="13">
        <v>5.0</v>
      </c>
      <c r="G1138" s="13">
        <v>1.0</v>
      </c>
      <c r="H1138" s="13">
        <v>10.0</v>
      </c>
      <c r="I1138" s="13" t="s">
        <v>35</v>
      </c>
      <c r="J1138" s="13" t="s">
        <v>42</v>
      </c>
      <c r="K1138" s="13" t="s">
        <v>43</v>
      </c>
      <c r="L1138" s="13"/>
    </row>
    <row r="1139">
      <c r="A1139" s="13">
        <v>1137.0</v>
      </c>
      <c r="B1139" s="13">
        <v>860.0</v>
      </c>
      <c r="C1139" s="13">
        <v>51.0</v>
      </c>
      <c r="D1139" s="12" t="s">
        <v>1993</v>
      </c>
      <c r="E1139" s="12" t="s">
        <v>1994</v>
      </c>
      <c r="F1139" s="13">
        <v>5.0</v>
      </c>
      <c r="G1139" s="13">
        <v>1.0</v>
      </c>
      <c r="H1139" s="13">
        <v>0.0</v>
      </c>
      <c r="I1139" s="13" t="s">
        <v>41</v>
      </c>
      <c r="J1139" s="13" t="s">
        <v>46</v>
      </c>
      <c r="K1139" s="13" t="s">
        <v>52</v>
      </c>
      <c r="L1139" s="13"/>
    </row>
    <row r="1140">
      <c r="A1140" s="13">
        <v>1138.0</v>
      </c>
      <c r="B1140" s="13">
        <v>831.0</v>
      </c>
      <c r="C1140" s="13">
        <v>38.0</v>
      </c>
      <c r="D1140" s="12" t="s">
        <v>1995</v>
      </c>
      <c r="E1140" s="12" t="s">
        <v>1996</v>
      </c>
      <c r="F1140" s="13">
        <v>5.0</v>
      </c>
      <c r="G1140" s="13">
        <v>1.0</v>
      </c>
      <c r="H1140" s="13">
        <v>2.0</v>
      </c>
      <c r="I1140" s="13" t="s">
        <v>35</v>
      </c>
      <c r="J1140" s="13" t="s">
        <v>46</v>
      </c>
      <c r="K1140" s="13" t="s">
        <v>47</v>
      </c>
      <c r="L1140" s="13"/>
    </row>
    <row r="1141">
      <c r="A1141" s="13">
        <v>1139.0</v>
      </c>
      <c r="B1141" s="13">
        <v>1020.0</v>
      </c>
      <c r="C1141" s="13">
        <v>59.0</v>
      </c>
      <c r="D1141" s="12" t="s">
        <v>1997</v>
      </c>
      <c r="E1141" s="12" t="s">
        <v>1998</v>
      </c>
      <c r="F1141" s="13">
        <v>3.0</v>
      </c>
      <c r="G1141" s="13">
        <v>0.0</v>
      </c>
      <c r="H1141" s="13">
        <v>6.0</v>
      </c>
      <c r="I1141" s="13" t="s">
        <v>41</v>
      </c>
      <c r="J1141" s="13" t="s">
        <v>42</v>
      </c>
      <c r="K1141" s="13" t="s">
        <v>98</v>
      </c>
      <c r="L1141" s="13"/>
    </row>
    <row r="1142">
      <c r="A1142" s="13">
        <v>1140.0</v>
      </c>
      <c r="B1142" s="13">
        <v>1089.0</v>
      </c>
      <c r="C1142" s="13">
        <v>56.0</v>
      </c>
      <c r="D1142" s="12" t="s">
        <v>1999</v>
      </c>
      <c r="E1142" s="12" t="s">
        <v>2000</v>
      </c>
      <c r="F1142" s="13">
        <v>3.0</v>
      </c>
      <c r="G1142" s="13">
        <v>0.0</v>
      </c>
      <c r="H1142" s="13">
        <v>4.0</v>
      </c>
      <c r="I1142" s="13" t="s">
        <v>41</v>
      </c>
      <c r="J1142" s="13" t="s">
        <v>36</v>
      </c>
      <c r="K1142" s="13" t="s">
        <v>36</v>
      </c>
      <c r="L1142" s="13"/>
    </row>
    <row r="1143">
      <c r="A1143" s="13">
        <v>1141.0</v>
      </c>
      <c r="B1143" s="13">
        <v>1068.0</v>
      </c>
      <c r="C1143" s="13">
        <v>63.0</v>
      </c>
      <c r="D1143" s="12"/>
      <c r="E1143" s="12" t="s">
        <v>2001</v>
      </c>
      <c r="F1143" s="13">
        <v>2.0</v>
      </c>
      <c r="G1143" s="13">
        <v>0.0</v>
      </c>
      <c r="H1143" s="13">
        <v>0.0</v>
      </c>
      <c r="I1143" s="13" t="s">
        <v>35</v>
      </c>
      <c r="J1143" s="13" t="s">
        <v>42</v>
      </c>
      <c r="K1143" s="13" t="s">
        <v>43</v>
      </c>
      <c r="L1143" s="13"/>
    </row>
    <row r="1144">
      <c r="A1144" s="13">
        <v>1142.0</v>
      </c>
      <c r="B1144" s="13">
        <v>1089.0</v>
      </c>
      <c r="C1144" s="13">
        <v>48.0</v>
      </c>
      <c r="D1144" s="12" t="s">
        <v>2002</v>
      </c>
      <c r="E1144" s="12" t="s">
        <v>2003</v>
      </c>
      <c r="F1144" s="13">
        <v>3.0</v>
      </c>
      <c r="G1144" s="13">
        <v>0.0</v>
      </c>
      <c r="H1144" s="13">
        <v>8.0</v>
      </c>
      <c r="I1144" s="13" t="s">
        <v>41</v>
      </c>
      <c r="J1144" s="13" t="s">
        <v>36</v>
      </c>
      <c r="K1144" s="13" t="s">
        <v>36</v>
      </c>
      <c r="L1144" s="13"/>
    </row>
    <row r="1145">
      <c r="A1145" s="13">
        <v>1143.0</v>
      </c>
      <c r="B1145" s="13">
        <v>860.0</v>
      </c>
      <c r="C1145" s="13">
        <v>32.0</v>
      </c>
      <c r="D1145" s="12" t="s">
        <v>2004</v>
      </c>
      <c r="E1145" s="12" t="s">
        <v>2005</v>
      </c>
      <c r="F1145" s="13">
        <v>2.0</v>
      </c>
      <c r="G1145" s="13">
        <v>0.0</v>
      </c>
      <c r="H1145" s="13">
        <v>1.0</v>
      </c>
      <c r="I1145" s="13" t="s">
        <v>41</v>
      </c>
      <c r="J1145" s="13" t="s">
        <v>46</v>
      </c>
      <c r="K1145" s="13" t="s">
        <v>52</v>
      </c>
      <c r="L1145" s="13"/>
    </row>
    <row r="1146">
      <c r="A1146" s="13">
        <v>1144.0</v>
      </c>
      <c r="B1146" s="13">
        <v>993.0</v>
      </c>
      <c r="C1146" s="13">
        <v>49.0</v>
      </c>
      <c r="D1146" s="12" t="s">
        <v>2006</v>
      </c>
      <c r="E1146" s="12" t="s">
        <v>2007</v>
      </c>
      <c r="F1146" s="13">
        <v>5.0</v>
      </c>
      <c r="G1146" s="13">
        <v>1.0</v>
      </c>
      <c r="H1146" s="13">
        <v>0.0</v>
      </c>
      <c r="I1146" s="13" t="s">
        <v>41</v>
      </c>
      <c r="J1146" s="13" t="s">
        <v>42</v>
      </c>
      <c r="K1146" s="13" t="s">
        <v>98</v>
      </c>
      <c r="L1146" s="13"/>
    </row>
    <row r="1147">
      <c r="A1147" s="13">
        <v>1145.0</v>
      </c>
      <c r="B1147" s="13">
        <v>860.0</v>
      </c>
      <c r="C1147" s="13">
        <v>62.0</v>
      </c>
      <c r="D1147" s="12" t="s">
        <v>2008</v>
      </c>
      <c r="E1147" s="12" t="s">
        <v>2009</v>
      </c>
      <c r="F1147" s="13">
        <v>5.0</v>
      </c>
      <c r="G1147" s="13">
        <v>1.0</v>
      </c>
      <c r="H1147" s="13">
        <v>0.0</v>
      </c>
      <c r="I1147" s="13" t="s">
        <v>41</v>
      </c>
      <c r="J1147" s="13" t="s">
        <v>46</v>
      </c>
      <c r="K1147" s="13" t="s">
        <v>52</v>
      </c>
      <c r="L1147" s="13"/>
    </row>
    <row r="1148">
      <c r="A1148" s="13">
        <v>1146.0</v>
      </c>
      <c r="B1148" s="13">
        <v>777.0</v>
      </c>
      <c r="C1148" s="13">
        <v>33.0</v>
      </c>
      <c r="D1148" s="12" t="s">
        <v>2010</v>
      </c>
      <c r="E1148" s="12" t="s">
        <v>2011</v>
      </c>
      <c r="F1148" s="13">
        <v>5.0</v>
      </c>
      <c r="G1148" s="13">
        <v>1.0</v>
      </c>
      <c r="H1148" s="13">
        <v>0.0</v>
      </c>
      <c r="I1148" s="13" t="s">
        <v>31</v>
      </c>
      <c r="J1148" s="13" t="s">
        <v>32</v>
      </c>
      <c r="K1148" s="13" t="s">
        <v>92</v>
      </c>
      <c r="L1148" s="13"/>
    </row>
    <row r="1149">
      <c r="A1149" s="13">
        <v>1147.0</v>
      </c>
      <c r="B1149" s="13">
        <v>197.0</v>
      </c>
      <c r="C1149" s="13">
        <v>46.0</v>
      </c>
      <c r="D1149" s="12" t="s">
        <v>2012</v>
      </c>
      <c r="E1149" s="12" t="s">
        <v>2013</v>
      </c>
      <c r="F1149" s="13">
        <v>3.0</v>
      </c>
      <c r="G1149" s="13">
        <v>0.0</v>
      </c>
      <c r="H1149" s="13">
        <v>0.0</v>
      </c>
      <c r="I1149" s="13" t="s">
        <v>31</v>
      </c>
      <c r="J1149" s="13" t="s">
        <v>32</v>
      </c>
      <c r="K1149" s="13" t="s">
        <v>320</v>
      </c>
      <c r="L1149" s="13"/>
    </row>
    <row r="1150">
      <c r="A1150" s="13">
        <v>1148.0</v>
      </c>
      <c r="B1150" s="13">
        <v>860.0</v>
      </c>
      <c r="C1150" s="13">
        <v>38.0</v>
      </c>
      <c r="D1150" s="12" t="s">
        <v>2014</v>
      </c>
      <c r="E1150" s="12" t="s">
        <v>2015</v>
      </c>
      <c r="F1150" s="13">
        <v>4.0</v>
      </c>
      <c r="G1150" s="13">
        <v>1.0</v>
      </c>
      <c r="H1150" s="13">
        <v>2.0</v>
      </c>
      <c r="I1150" s="13" t="s">
        <v>41</v>
      </c>
      <c r="J1150" s="13" t="s">
        <v>46</v>
      </c>
      <c r="K1150" s="13" t="s">
        <v>52</v>
      </c>
      <c r="L1150" s="13"/>
    </row>
    <row r="1151">
      <c r="A1151" s="13">
        <v>1149.0</v>
      </c>
      <c r="B1151" s="13">
        <v>1068.0</v>
      </c>
      <c r="C1151" s="13">
        <v>35.0</v>
      </c>
      <c r="D1151" s="12" t="s">
        <v>2016</v>
      </c>
      <c r="E1151" s="12" t="s">
        <v>2017</v>
      </c>
      <c r="F1151" s="13">
        <v>3.0</v>
      </c>
      <c r="G1151" s="13">
        <v>0.0</v>
      </c>
      <c r="H1151" s="13">
        <v>0.0</v>
      </c>
      <c r="I1151" s="13" t="s">
        <v>35</v>
      </c>
      <c r="J1151" s="13" t="s">
        <v>42</v>
      </c>
      <c r="K1151" s="13" t="s">
        <v>43</v>
      </c>
      <c r="L1151" s="13"/>
    </row>
    <row r="1152">
      <c r="A1152" s="13">
        <v>1150.0</v>
      </c>
      <c r="B1152" s="13">
        <v>860.0</v>
      </c>
      <c r="C1152" s="13">
        <v>35.0</v>
      </c>
      <c r="D1152" s="12"/>
      <c r="E1152" s="12" t="s">
        <v>2018</v>
      </c>
      <c r="F1152" s="13">
        <v>5.0</v>
      </c>
      <c r="G1152" s="13">
        <v>1.0</v>
      </c>
      <c r="H1152" s="13">
        <v>8.0</v>
      </c>
      <c r="I1152" s="13" t="s">
        <v>41</v>
      </c>
      <c r="J1152" s="13" t="s">
        <v>46</v>
      </c>
      <c r="K1152" s="13" t="s">
        <v>52</v>
      </c>
      <c r="L1152" s="13"/>
    </row>
    <row r="1153">
      <c r="A1153" s="13">
        <v>1151.0</v>
      </c>
      <c r="B1153" s="13">
        <v>860.0</v>
      </c>
      <c r="C1153" s="13">
        <v>26.0</v>
      </c>
      <c r="D1153" s="12" t="s">
        <v>2019</v>
      </c>
      <c r="E1153" s="12" t="s">
        <v>2020</v>
      </c>
      <c r="F1153" s="13">
        <v>4.0</v>
      </c>
      <c r="G1153" s="13">
        <v>1.0</v>
      </c>
      <c r="H1153" s="13">
        <v>2.0</v>
      </c>
      <c r="I1153" s="13" t="s">
        <v>41</v>
      </c>
      <c r="J1153" s="13" t="s">
        <v>46</v>
      </c>
      <c r="K1153" s="13" t="s">
        <v>52</v>
      </c>
      <c r="L1153" s="13"/>
    </row>
    <row r="1154">
      <c r="A1154" s="13">
        <v>1152.0</v>
      </c>
      <c r="B1154" s="13">
        <v>1042.0</v>
      </c>
      <c r="C1154" s="13">
        <v>31.0</v>
      </c>
      <c r="D1154" s="12" t="s">
        <v>2021</v>
      </c>
      <c r="E1154" s="12" t="s">
        <v>2022</v>
      </c>
      <c r="F1154" s="13">
        <v>4.0</v>
      </c>
      <c r="G1154" s="13">
        <v>1.0</v>
      </c>
      <c r="H1154" s="13">
        <v>0.0</v>
      </c>
      <c r="I1154" s="13" t="s">
        <v>35</v>
      </c>
      <c r="J1154" s="13" t="s">
        <v>42</v>
      </c>
      <c r="K1154" s="13" t="s">
        <v>43</v>
      </c>
      <c r="L1154" s="13"/>
    </row>
    <row r="1155">
      <c r="A1155" s="13">
        <v>1153.0</v>
      </c>
      <c r="B1155" s="13">
        <v>1060.0</v>
      </c>
      <c r="C1155" s="13">
        <v>55.0</v>
      </c>
      <c r="D1155" s="12" t="s">
        <v>2023</v>
      </c>
      <c r="E1155" s="12" t="s">
        <v>2024</v>
      </c>
      <c r="F1155" s="13">
        <v>5.0</v>
      </c>
      <c r="G1155" s="13">
        <v>1.0</v>
      </c>
      <c r="H1155" s="13">
        <v>34.0</v>
      </c>
      <c r="I1155" s="13" t="s">
        <v>35</v>
      </c>
      <c r="J1155" s="13" t="s">
        <v>42</v>
      </c>
      <c r="K1155" s="13" t="s">
        <v>43</v>
      </c>
      <c r="L1155" s="13"/>
    </row>
    <row r="1156">
      <c r="A1156" s="13">
        <v>1154.0</v>
      </c>
      <c r="B1156" s="13">
        <v>59.0</v>
      </c>
      <c r="C1156" s="13">
        <v>45.0</v>
      </c>
      <c r="D1156" s="12" t="s">
        <v>1188</v>
      </c>
      <c r="E1156" s="12" t="s">
        <v>2025</v>
      </c>
      <c r="F1156" s="13">
        <v>5.0</v>
      </c>
      <c r="G1156" s="13">
        <v>1.0</v>
      </c>
      <c r="H1156" s="13">
        <v>2.0</v>
      </c>
      <c r="I1156" s="13" t="s">
        <v>31</v>
      </c>
      <c r="J1156" s="13" t="s">
        <v>32</v>
      </c>
      <c r="K1156" s="13" t="s">
        <v>33</v>
      </c>
      <c r="L1156" s="13"/>
    </row>
    <row r="1157">
      <c r="A1157" s="13">
        <v>1155.0</v>
      </c>
      <c r="B1157" s="13">
        <v>1060.0</v>
      </c>
      <c r="C1157" s="13">
        <v>58.0</v>
      </c>
      <c r="D1157" s="12" t="s">
        <v>2026</v>
      </c>
      <c r="E1157" s="12" t="s">
        <v>2027</v>
      </c>
      <c r="F1157" s="13">
        <v>5.0</v>
      </c>
      <c r="G1157" s="13">
        <v>1.0</v>
      </c>
      <c r="H1157" s="13">
        <v>0.0</v>
      </c>
      <c r="I1157" s="13" t="s">
        <v>41</v>
      </c>
      <c r="J1157" s="13" t="s">
        <v>42</v>
      </c>
      <c r="K1157" s="13" t="s">
        <v>43</v>
      </c>
      <c r="L1157" s="13"/>
    </row>
    <row r="1158">
      <c r="A1158" s="13">
        <v>1156.0</v>
      </c>
      <c r="B1158" s="13">
        <v>1094.0</v>
      </c>
      <c r="C1158" s="13">
        <v>39.0</v>
      </c>
      <c r="D1158" s="12" t="s">
        <v>785</v>
      </c>
      <c r="E1158" s="12" t="s">
        <v>2028</v>
      </c>
      <c r="F1158" s="13">
        <v>3.0</v>
      </c>
      <c r="G1158" s="13">
        <v>0.0</v>
      </c>
      <c r="H1158" s="13">
        <v>55.0</v>
      </c>
      <c r="I1158" s="13" t="s">
        <v>41</v>
      </c>
      <c r="J1158" s="13" t="s">
        <v>36</v>
      </c>
      <c r="K1158" s="13" t="s">
        <v>36</v>
      </c>
      <c r="L1158" s="13"/>
    </row>
    <row r="1159">
      <c r="A1159" s="13">
        <v>1157.0</v>
      </c>
      <c r="B1159" s="13">
        <v>1060.0</v>
      </c>
      <c r="C1159" s="13">
        <v>46.0</v>
      </c>
      <c r="D1159" s="12" t="s">
        <v>139</v>
      </c>
      <c r="E1159" s="12" t="s">
        <v>2029</v>
      </c>
      <c r="F1159" s="13">
        <v>5.0</v>
      </c>
      <c r="G1159" s="13">
        <v>1.0</v>
      </c>
      <c r="H1159" s="13">
        <v>4.0</v>
      </c>
      <c r="I1159" s="13" t="s">
        <v>41</v>
      </c>
      <c r="J1159" s="13" t="s">
        <v>42</v>
      </c>
      <c r="K1159" s="13" t="s">
        <v>43</v>
      </c>
      <c r="L1159" s="13"/>
    </row>
    <row r="1160">
      <c r="A1160" s="13">
        <v>1158.0</v>
      </c>
      <c r="B1160" s="13">
        <v>1110.0</v>
      </c>
      <c r="C1160" s="13">
        <v>59.0</v>
      </c>
      <c r="D1160" s="12"/>
      <c r="E1160" s="12" t="s">
        <v>2030</v>
      </c>
      <c r="F1160" s="13">
        <v>5.0</v>
      </c>
      <c r="G1160" s="13">
        <v>1.0</v>
      </c>
      <c r="H1160" s="13">
        <v>2.0</v>
      </c>
      <c r="I1160" s="13" t="s">
        <v>35</v>
      </c>
      <c r="J1160" s="13" t="s">
        <v>36</v>
      </c>
      <c r="K1160" s="13" t="s">
        <v>36</v>
      </c>
      <c r="L1160" s="13"/>
    </row>
    <row r="1161">
      <c r="A1161" s="13">
        <v>1159.0</v>
      </c>
      <c r="B1161" s="13">
        <v>235.0</v>
      </c>
      <c r="C1161" s="13">
        <v>32.0</v>
      </c>
      <c r="D1161" s="12" t="s">
        <v>2031</v>
      </c>
      <c r="E1161" s="12" t="s">
        <v>2032</v>
      </c>
      <c r="F1161" s="13">
        <v>1.0</v>
      </c>
      <c r="G1161" s="13">
        <v>0.0</v>
      </c>
      <c r="H1161" s="13">
        <v>0.0</v>
      </c>
      <c r="I1161" s="13" t="s">
        <v>31</v>
      </c>
      <c r="J1161" s="13" t="s">
        <v>32</v>
      </c>
      <c r="K1161" s="13" t="s">
        <v>320</v>
      </c>
      <c r="L1161" s="13"/>
    </row>
    <row r="1162">
      <c r="A1162" s="13">
        <v>1160.0</v>
      </c>
      <c r="B1162" s="13">
        <v>720.0</v>
      </c>
      <c r="C1162" s="13">
        <v>40.0</v>
      </c>
      <c r="D1162" s="12"/>
      <c r="E1162" s="12" t="s">
        <v>2033</v>
      </c>
      <c r="F1162" s="13">
        <v>5.0</v>
      </c>
      <c r="G1162" s="13">
        <v>1.0</v>
      </c>
      <c r="H1162" s="13">
        <v>1.0</v>
      </c>
      <c r="I1162" s="13" t="s">
        <v>31</v>
      </c>
      <c r="J1162" s="13" t="s">
        <v>32</v>
      </c>
      <c r="K1162" s="13" t="s">
        <v>92</v>
      </c>
      <c r="L1162" s="13"/>
    </row>
    <row r="1163">
      <c r="A1163" s="13">
        <v>1161.0</v>
      </c>
      <c r="B1163" s="13">
        <v>1098.0</v>
      </c>
      <c r="C1163" s="13">
        <v>68.0</v>
      </c>
      <c r="D1163" s="12"/>
      <c r="E1163" s="12" t="s">
        <v>2034</v>
      </c>
      <c r="F1163" s="13">
        <v>4.0</v>
      </c>
      <c r="G1163" s="13">
        <v>1.0</v>
      </c>
      <c r="H1163" s="13">
        <v>0.0</v>
      </c>
      <c r="I1163" s="13" t="s">
        <v>41</v>
      </c>
      <c r="J1163" s="13" t="s">
        <v>36</v>
      </c>
      <c r="K1163" s="13" t="s">
        <v>36</v>
      </c>
      <c r="L1163" s="13"/>
    </row>
    <row r="1164">
      <c r="A1164" s="13">
        <v>1162.0</v>
      </c>
      <c r="B1164" s="13">
        <v>59.0</v>
      </c>
      <c r="C1164" s="13">
        <v>68.0</v>
      </c>
      <c r="D1164" s="12"/>
      <c r="E1164" s="12" t="s">
        <v>2035</v>
      </c>
      <c r="F1164" s="13">
        <v>5.0</v>
      </c>
      <c r="G1164" s="13">
        <v>1.0</v>
      </c>
      <c r="H1164" s="13">
        <v>1.0</v>
      </c>
      <c r="I1164" s="13" t="s">
        <v>31</v>
      </c>
      <c r="J1164" s="13" t="s">
        <v>32</v>
      </c>
      <c r="K1164" s="13" t="s">
        <v>33</v>
      </c>
      <c r="L1164" s="13"/>
    </row>
    <row r="1165">
      <c r="A1165" s="13">
        <v>1163.0</v>
      </c>
      <c r="B1165" s="13">
        <v>1060.0</v>
      </c>
      <c r="C1165" s="13">
        <v>48.0</v>
      </c>
      <c r="D1165" s="12" t="s">
        <v>2036</v>
      </c>
      <c r="E1165" s="12" t="s">
        <v>2037</v>
      </c>
      <c r="F1165" s="13">
        <v>4.0</v>
      </c>
      <c r="G1165" s="13">
        <v>0.0</v>
      </c>
      <c r="H1165" s="13">
        <v>10.0</v>
      </c>
      <c r="I1165" s="13" t="s">
        <v>41</v>
      </c>
      <c r="J1165" s="13" t="s">
        <v>42</v>
      </c>
      <c r="K1165" s="13" t="s">
        <v>43</v>
      </c>
      <c r="L1165" s="13"/>
    </row>
    <row r="1166">
      <c r="A1166" s="13">
        <v>1164.0</v>
      </c>
      <c r="B1166" s="13">
        <v>1060.0</v>
      </c>
      <c r="C1166" s="13">
        <v>62.0</v>
      </c>
      <c r="D1166" s="12" t="s">
        <v>2038</v>
      </c>
      <c r="E1166" s="12" t="s">
        <v>2039</v>
      </c>
      <c r="F1166" s="13">
        <v>4.0</v>
      </c>
      <c r="G1166" s="13">
        <v>1.0</v>
      </c>
      <c r="H1166" s="13">
        <v>0.0</v>
      </c>
      <c r="I1166" s="13" t="s">
        <v>41</v>
      </c>
      <c r="J1166" s="13" t="s">
        <v>42</v>
      </c>
      <c r="K1166" s="13" t="s">
        <v>43</v>
      </c>
      <c r="L1166" s="13"/>
    </row>
    <row r="1167">
      <c r="A1167" s="13">
        <v>1165.0</v>
      </c>
      <c r="B1167" s="13">
        <v>1110.0</v>
      </c>
      <c r="C1167" s="13">
        <v>53.0</v>
      </c>
      <c r="D1167" s="12"/>
      <c r="E1167" s="12" t="s">
        <v>2040</v>
      </c>
      <c r="F1167" s="13">
        <v>5.0</v>
      </c>
      <c r="G1167" s="13">
        <v>1.0</v>
      </c>
      <c r="H1167" s="13">
        <v>1.0</v>
      </c>
      <c r="I1167" s="13" t="s">
        <v>35</v>
      </c>
      <c r="J1167" s="13" t="s">
        <v>36</v>
      </c>
      <c r="K1167" s="13" t="s">
        <v>36</v>
      </c>
      <c r="L1167" s="13"/>
    </row>
    <row r="1168">
      <c r="A1168" s="13">
        <v>1166.0</v>
      </c>
      <c r="B1168" s="13">
        <v>1082.0</v>
      </c>
      <c r="C1168" s="13">
        <v>28.0</v>
      </c>
      <c r="D1168" s="12" t="s">
        <v>2041</v>
      </c>
      <c r="E1168" s="12" t="s">
        <v>2042</v>
      </c>
      <c r="F1168" s="13">
        <v>5.0</v>
      </c>
      <c r="G1168" s="13">
        <v>1.0</v>
      </c>
      <c r="H1168" s="13">
        <v>1.0</v>
      </c>
      <c r="I1168" s="13" t="s">
        <v>41</v>
      </c>
      <c r="J1168" s="13" t="s">
        <v>36</v>
      </c>
      <c r="K1168" s="13" t="s">
        <v>36</v>
      </c>
      <c r="L1168" s="13"/>
    </row>
    <row r="1169">
      <c r="A1169" s="13">
        <v>1167.0</v>
      </c>
      <c r="B1169" s="13">
        <v>1060.0</v>
      </c>
      <c r="C1169" s="13">
        <v>41.0</v>
      </c>
      <c r="D1169" s="12"/>
      <c r="E1169" s="12" t="s">
        <v>2043</v>
      </c>
      <c r="F1169" s="13">
        <v>3.0</v>
      </c>
      <c r="G1169" s="13">
        <v>0.0</v>
      </c>
      <c r="H1169" s="13">
        <v>71.0</v>
      </c>
      <c r="I1169" s="13" t="s">
        <v>41</v>
      </c>
      <c r="J1169" s="13" t="s">
        <v>42</v>
      </c>
      <c r="K1169" s="13" t="s">
        <v>43</v>
      </c>
      <c r="L1169" s="13"/>
    </row>
    <row r="1170">
      <c r="A1170" s="13">
        <v>1168.0</v>
      </c>
      <c r="B1170" s="13">
        <v>1060.0</v>
      </c>
      <c r="C1170" s="13">
        <v>38.0</v>
      </c>
      <c r="D1170" s="12"/>
      <c r="E1170" s="12" t="s">
        <v>2044</v>
      </c>
      <c r="F1170" s="13">
        <v>5.0</v>
      </c>
      <c r="G1170" s="13">
        <v>1.0</v>
      </c>
      <c r="H1170" s="13">
        <v>5.0</v>
      </c>
      <c r="I1170" s="13" t="s">
        <v>41</v>
      </c>
      <c r="J1170" s="13" t="s">
        <v>42</v>
      </c>
      <c r="K1170" s="13" t="s">
        <v>43</v>
      </c>
      <c r="L1170" s="13"/>
    </row>
    <row r="1171">
      <c r="A1171" s="13">
        <v>1169.0</v>
      </c>
      <c r="B1171" s="13">
        <v>1060.0</v>
      </c>
      <c r="C1171" s="13">
        <v>46.0</v>
      </c>
      <c r="D1171" s="12" t="s">
        <v>2045</v>
      </c>
      <c r="E1171" s="12" t="s">
        <v>2046</v>
      </c>
      <c r="F1171" s="13">
        <v>5.0</v>
      </c>
      <c r="G1171" s="13">
        <v>1.0</v>
      </c>
      <c r="H1171" s="13">
        <v>2.0</v>
      </c>
      <c r="I1171" s="13" t="s">
        <v>41</v>
      </c>
      <c r="J1171" s="13" t="s">
        <v>42</v>
      </c>
      <c r="K1171" s="13" t="s">
        <v>43</v>
      </c>
      <c r="L1171" s="13"/>
    </row>
    <row r="1172">
      <c r="A1172" s="13">
        <v>1170.0</v>
      </c>
      <c r="B1172" s="13">
        <v>1042.0</v>
      </c>
      <c r="C1172" s="13">
        <v>49.0</v>
      </c>
      <c r="D1172" s="12" t="s">
        <v>2047</v>
      </c>
      <c r="E1172" s="12" t="s">
        <v>2048</v>
      </c>
      <c r="F1172" s="13">
        <v>4.0</v>
      </c>
      <c r="G1172" s="13">
        <v>1.0</v>
      </c>
      <c r="H1172" s="13">
        <v>0.0</v>
      </c>
      <c r="I1172" s="13" t="s">
        <v>35</v>
      </c>
      <c r="J1172" s="13" t="s">
        <v>42</v>
      </c>
      <c r="K1172" s="13" t="s">
        <v>43</v>
      </c>
      <c r="L1172" s="13"/>
    </row>
    <row r="1173">
      <c r="A1173" s="13">
        <v>1171.0</v>
      </c>
      <c r="B1173" s="13">
        <v>1060.0</v>
      </c>
      <c r="C1173" s="13">
        <v>56.0</v>
      </c>
      <c r="D1173" s="12"/>
      <c r="E1173" s="12" t="s">
        <v>2049</v>
      </c>
      <c r="F1173" s="13">
        <v>5.0</v>
      </c>
      <c r="G1173" s="13">
        <v>1.0</v>
      </c>
      <c r="H1173" s="13">
        <v>3.0</v>
      </c>
      <c r="I1173" s="13" t="s">
        <v>41</v>
      </c>
      <c r="J1173" s="13" t="s">
        <v>42</v>
      </c>
      <c r="K1173" s="13" t="s">
        <v>43</v>
      </c>
      <c r="L1173" s="13"/>
    </row>
    <row r="1174">
      <c r="A1174" s="13">
        <v>1172.0</v>
      </c>
      <c r="B1174" s="13">
        <v>1060.0</v>
      </c>
      <c r="C1174" s="13">
        <v>37.0</v>
      </c>
      <c r="D1174" s="12" t="s">
        <v>2050</v>
      </c>
      <c r="E1174" s="12" t="s">
        <v>2051</v>
      </c>
      <c r="F1174" s="13">
        <v>4.0</v>
      </c>
      <c r="G1174" s="13">
        <v>1.0</v>
      </c>
      <c r="H1174" s="13">
        <v>2.0</v>
      </c>
      <c r="I1174" s="13" t="s">
        <v>41</v>
      </c>
      <c r="J1174" s="13" t="s">
        <v>42</v>
      </c>
      <c r="K1174" s="13" t="s">
        <v>43</v>
      </c>
      <c r="L1174" s="13"/>
    </row>
    <row r="1175">
      <c r="A1175" s="13">
        <v>1173.0</v>
      </c>
      <c r="B1175" s="13">
        <v>1110.0</v>
      </c>
      <c r="C1175" s="13">
        <v>23.0</v>
      </c>
      <c r="D1175" s="12" t="s">
        <v>2052</v>
      </c>
      <c r="E1175" s="12" t="s">
        <v>2053</v>
      </c>
      <c r="F1175" s="13">
        <v>5.0</v>
      </c>
      <c r="G1175" s="13">
        <v>1.0</v>
      </c>
      <c r="H1175" s="13">
        <v>0.0</v>
      </c>
      <c r="I1175" s="13" t="s">
        <v>35</v>
      </c>
      <c r="J1175" s="13" t="s">
        <v>36</v>
      </c>
      <c r="K1175" s="13" t="s">
        <v>36</v>
      </c>
      <c r="L1175" s="13"/>
    </row>
    <row r="1176">
      <c r="A1176" s="13">
        <v>1174.0</v>
      </c>
      <c r="B1176" s="13">
        <v>1060.0</v>
      </c>
      <c r="C1176" s="13">
        <v>38.0</v>
      </c>
      <c r="D1176" s="12"/>
      <c r="E1176" s="12" t="s">
        <v>2054</v>
      </c>
      <c r="F1176" s="13">
        <v>3.0</v>
      </c>
      <c r="G1176" s="13">
        <v>1.0</v>
      </c>
      <c r="H1176" s="13">
        <v>0.0</v>
      </c>
      <c r="I1176" s="13" t="s">
        <v>41</v>
      </c>
      <c r="J1176" s="13" t="s">
        <v>42</v>
      </c>
      <c r="K1176" s="13" t="s">
        <v>43</v>
      </c>
      <c r="L1176" s="13"/>
    </row>
    <row r="1177">
      <c r="A1177" s="13">
        <v>1175.0</v>
      </c>
      <c r="B1177" s="13">
        <v>235.0</v>
      </c>
      <c r="C1177" s="13">
        <v>28.0</v>
      </c>
      <c r="D1177" s="12"/>
      <c r="E1177" s="12" t="s">
        <v>2055</v>
      </c>
      <c r="F1177" s="13">
        <v>2.0</v>
      </c>
      <c r="G1177" s="13">
        <v>0.0</v>
      </c>
      <c r="H1177" s="13">
        <v>2.0</v>
      </c>
      <c r="I1177" s="13" t="s">
        <v>31</v>
      </c>
      <c r="J1177" s="13" t="s">
        <v>32</v>
      </c>
      <c r="K1177" s="13" t="s">
        <v>320</v>
      </c>
      <c r="L1177" s="13"/>
    </row>
    <row r="1178">
      <c r="A1178" s="13">
        <v>1176.0</v>
      </c>
      <c r="B1178" s="13">
        <v>1072.0</v>
      </c>
      <c r="C1178" s="13">
        <v>29.0</v>
      </c>
      <c r="D1178" s="12" t="s">
        <v>2056</v>
      </c>
      <c r="E1178" s="12" t="s">
        <v>2057</v>
      </c>
      <c r="F1178" s="13">
        <v>3.0</v>
      </c>
      <c r="G1178" s="13">
        <v>0.0</v>
      </c>
      <c r="H1178" s="13">
        <v>4.0</v>
      </c>
      <c r="I1178" s="13" t="s">
        <v>35</v>
      </c>
      <c r="J1178" s="13" t="s">
        <v>36</v>
      </c>
      <c r="K1178" s="13" t="s">
        <v>36</v>
      </c>
      <c r="L1178" s="13"/>
    </row>
    <row r="1179">
      <c r="A1179" s="13">
        <v>1177.0</v>
      </c>
      <c r="B1179" s="13">
        <v>1094.0</v>
      </c>
      <c r="C1179" s="13">
        <v>53.0</v>
      </c>
      <c r="D1179" s="12" t="s">
        <v>2058</v>
      </c>
      <c r="E1179" s="12" t="s">
        <v>2059</v>
      </c>
      <c r="F1179" s="13">
        <v>4.0</v>
      </c>
      <c r="G1179" s="13">
        <v>1.0</v>
      </c>
      <c r="H1179" s="13">
        <v>0.0</v>
      </c>
      <c r="I1179" s="13" t="s">
        <v>41</v>
      </c>
      <c r="J1179" s="13" t="s">
        <v>36</v>
      </c>
      <c r="K1179" s="13" t="s">
        <v>36</v>
      </c>
      <c r="L1179" s="13"/>
    </row>
    <row r="1180">
      <c r="A1180" s="13">
        <v>1178.0</v>
      </c>
      <c r="B1180" s="13">
        <v>1204.0</v>
      </c>
      <c r="C1180" s="13">
        <v>39.0</v>
      </c>
      <c r="D1180" s="12" t="s">
        <v>2060</v>
      </c>
      <c r="E1180" s="12" t="s">
        <v>2061</v>
      </c>
      <c r="F1180" s="13">
        <v>5.0</v>
      </c>
      <c r="G1180" s="13">
        <v>1.0</v>
      </c>
      <c r="H1180" s="13">
        <v>3.0</v>
      </c>
      <c r="I1180" s="13" t="s">
        <v>41</v>
      </c>
      <c r="J1180" s="13" t="s">
        <v>42</v>
      </c>
      <c r="K1180" s="13" t="s">
        <v>43</v>
      </c>
      <c r="L1180" s="13"/>
    </row>
    <row r="1181">
      <c r="A1181" s="13">
        <v>1179.0</v>
      </c>
      <c r="B1181" s="13">
        <v>1204.0</v>
      </c>
      <c r="C1181" s="13">
        <v>39.0</v>
      </c>
      <c r="D1181" s="12" t="s">
        <v>2062</v>
      </c>
      <c r="E1181" s="12" t="s">
        <v>2063</v>
      </c>
      <c r="F1181" s="13">
        <v>4.0</v>
      </c>
      <c r="G1181" s="13">
        <v>1.0</v>
      </c>
      <c r="H1181" s="13">
        <v>0.0</v>
      </c>
      <c r="I1181" s="13" t="s">
        <v>41</v>
      </c>
      <c r="J1181" s="13" t="s">
        <v>42</v>
      </c>
      <c r="K1181" s="13" t="s">
        <v>43</v>
      </c>
      <c r="L1181" s="13"/>
    </row>
    <row r="1182">
      <c r="A1182" s="13">
        <v>1180.0</v>
      </c>
      <c r="B1182" s="13">
        <v>1082.0</v>
      </c>
      <c r="C1182" s="13">
        <v>31.0</v>
      </c>
      <c r="D1182" s="12" t="s">
        <v>2064</v>
      </c>
      <c r="E1182" s="12" t="s">
        <v>2065</v>
      </c>
      <c r="F1182" s="13">
        <v>5.0</v>
      </c>
      <c r="G1182" s="13">
        <v>1.0</v>
      </c>
      <c r="H1182" s="13">
        <v>2.0</v>
      </c>
      <c r="I1182" s="13" t="s">
        <v>41</v>
      </c>
      <c r="J1182" s="13" t="s">
        <v>36</v>
      </c>
      <c r="K1182" s="13" t="s">
        <v>36</v>
      </c>
      <c r="L1182" s="13"/>
    </row>
    <row r="1183">
      <c r="A1183" s="13">
        <v>1181.0</v>
      </c>
      <c r="B1183" s="13">
        <v>1072.0</v>
      </c>
      <c r="C1183" s="13">
        <v>43.0</v>
      </c>
      <c r="D1183" s="12" t="s">
        <v>2066</v>
      </c>
      <c r="E1183" s="12" t="s">
        <v>2067</v>
      </c>
      <c r="F1183" s="13">
        <v>3.0</v>
      </c>
      <c r="G1183" s="13">
        <v>0.0</v>
      </c>
      <c r="H1183" s="13">
        <v>5.0</v>
      </c>
      <c r="I1183" s="13" t="s">
        <v>35</v>
      </c>
      <c r="J1183" s="13" t="s">
        <v>36</v>
      </c>
      <c r="K1183" s="13" t="s">
        <v>36</v>
      </c>
      <c r="L1183" s="13"/>
    </row>
    <row r="1184">
      <c r="A1184" s="13">
        <v>1182.0</v>
      </c>
      <c r="B1184" s="13">
        <v>1060.0</v>
      </c>
      <c r="C1184" s="13">
        <v>21.0</v>
      </c>
      <c r="D1184" s="12"/>
      <c r="E1184" s="12" t="s">
        <v>2068</v>
      </c>
      <c r="F1184" s="13">
        <v>3.0</v>
      </c>
      <c r="G1184" s="13">
        <v>0.0</v>
      </c>
      <c r="H1184" s="13">
        <v>0.0</v>
      </c>
      <c r="I1184" s="13" t="s">
        <v>41</v>
      </c>
      <c r="J1184" s="13" t="s">
        <v>42</v>
      </c>
      <c r="K1184" s="13" t="s">
        <v>43</v>
      </c>
      <c r="L1184" s="13"/>
    </row>
    <row r="1185">
      <c r="A1185" s="13">
        <v>1183.0</v>
      </c>
      <c r="B1185" s="13">
        <v>1098.0</v>
      </c>
      <c r="C1185" s="13">
        <v>54.0</v>
      </c>
      <c r="D1185" s="12"/>
      <c r="E1185" s="12" t="s">
        <v>2069</v>
      </c>
      <c r="F1185" s="13">
        <v>4.0</v>
      </c>
      <c r="G1185" s="13">
        <v>1.0</v>
      </c>
      <c r="H1185" s="13">
        <v>0.0</v>
      </c>
      <c r="I1185" s="13" t="s">
        <v>41</v>
      </c>
      <c r="J1185" s="13" t="s">
        <v>36</v>
      </c>
      <c r="K1185" s="13" t="s">
        <v>36</v>
      </c>
      <c r="L1185" s="13"/>
    </row>
    <row r="1186">
      <c r="A1186" s="13">
        <v>1184.0</v>
      </c>
      <c r="B1186" s="13">
        <v>1060.0</v>
      </c>
      <c r="C1186" s="13">
        <v>55.0</v>
      </c>
      <c r="D1186" s="12" t="s">
        <v>2070</v>
      </c>
      <c r="E1186" s="12" t="s">
        <v>2071</v>
      </c>
      <c r="F1186" s="13">
        <v>5.0</v>
      </c>
      <c r="G1186" s="13">
        <v>1.0</v>
      </c>
      <c r="H1186" s="13">
        <v>6.0</v>
      </c>
      <c r="I1186" s="13" t="s">
        <v>41</v>
      </c>
      <c r="J1186" s="13" t="s">
        <v>42</v>
      </c>
      <c r="K1186" s="13" t="s">
        <v>43</v>
      </c>
      <c r="L1186" s="13"/>
    </row>
    <row r="1187">
      <c r="A1187" s="13">
        <v>1185.0</v>
      </c>
      <c r="B1187" s="13">
        <v>1060.0</v>
      </c>
      <c r="C1187" s="13">
        <v>63.0</v>
      </c>
      <c r="D1187" s="12" t="s">
        <v>2072</v>
      </c>
      <c r="E1187" s="12" t="s">
        <v>2073</v>
      </c>
      <c r="F1187" s="13">
        <v>3.0</v>
      </c>
      <c r="G1187" s="13">
        <v>1.0</v>
      </c>
      <c r="H1187" s="13">
        <v>0.0</v>
      </c>
      <c r="I1187" s="13" t="s">
        <v>41</v>
      </c>
      <c r="J1187" s="13" t="s">
        <v>42</v>
      </c>
      <c r="K1187" s="13" t="s">
        <v>43</v>
      </c>
      <c r="L1187" s="13"/>
    </row>
    <row r="1188">
      <c r="A1188" s="13">
        <v>1186.0</v>
      </c>
      <c r="B1188" s="13">
        <v>1060.0</v>
      </c>
      <c r="C1188" s="13">
        <v>66.0</v>
      </c>
      <c r="D1188" s="12"/>
      <c r="E1188" s="12" t="s">
        <v>2074</v>
      </c>
      <c r="F1188" s="13">
        <v>4.0</v>
      </c>
      <c r="G1188" s="13">
        <v>1.0</v>
      </c>
      <c r="H1188" s="13">
        <v>1.0</v>
      </c>
      <c r="I1188" s="13" t="s">
        <v>41</v>
      </c>
      <c r="J1188" s="13" t="s">
        <v>42</v>
      </c>
      <c r="K1188" s="13" t="s">
        <v>43</v>
      </c>
      <c r="L1188" s="13"/>
    </row>
    <row r="1189">
      <c r="A1189" s="13">
        <v>1187.0</v>
      </c>
      <c r="B1189" s="13">
        <v>1060.0</v>
      </c>
      <c r="C1189" s="13">
        <v>27.0</v>
      </c>
      <c r="D1189" s="12" t="s">
        <v>459</v>
      </c>
      <c r="E1189" s="12" t="s">
        <v>2075</v>
      </c>
      <c r="F1189" s="13">
        <v>3.0</v>
      </c>
      <c r="G1189" s="13">
        <v>0.0</v>
      </c>
      <c r="H1189" s="13">
        <v>4.0</v>
      </c>
      <c r="I1189" s="13" t="s">
        <v>41</v>
      </c>
      <c r="J1189" s="13" t="s">
        <v>42</v>
      </c>
      <c r="K1189" s="13" t="s">
        <v>43</v>
      </c>
      <c r="L1189" s="13"/>
    </row>
    <row r="1190">
      <c r="A1190" s="13">
        <v>1188.0</v>
      </c>
      <c r="B1190" s="13">
        <v>1060.0</v>
      </c>
      <c r="C1190" s="13">
        <v>85.0</v>
      </c>
      <c r="D1190" s="12" t="s">
        <v>2076</v>
      </c>
      <c r="E1190" s="12" t="s">
        <v>2077</v>
      </c>
      <c r="F1190" s="13">
        <v>5.0</v>
      </c>
      <c r="G1190" s="13">
        <v>1.0</v>
      </c>
      <c r="H1190" s="13">
        <v>4.0</v>
      </c>
      <c r="I1190" s="13" t="s">
        <v>41</v>
      </c>
      <c r="J1190" s="13" t="s">
        <v>42</v>
      </c>
      <c r="K1190" s="13" t="s">
        <v>43</v>
      </c>
      <c r="L1190" s="13"/>
    </row>
    <row r="1191">
      <c r="A1191" s="13">
        <v>1189.0</v>
      </c>
      <c r="B1191" s="13">
        <v>1060.0</v>
      </c>
      <c r="C1191" s="13">
        <v>64.0</v>
      </c>
      <c r="D1191" s="12" t="s">
        <v>586</v>
      </c>
      <c r="E1191" s="12" t="s">
        <v>2078</v>
      </c>
      <c r="F1191" s="13">
        <v>5.0</v>
      </c>
      <c r="G1191" s="13">
        <v>1.0</v>
      </c>
      <c r="H1191" s="13">
        <v>0.0</v>
      </c>
      <c r="I1191" s="13" t="s">
        <v>41</v>
      </c>
      <c r="J1191" s="13" t="s">
        <v>42</v>
      </c>
      <c r="K1191" s="13" t="s">
        <v>43</v>
      </c>
      <c r="L1191" s="13"/>
    </row>
    <row r="1192">
      <c r="A1192" s="13">
        <v>1190.0</v>
      </c>
      <c r="B1192" s="13">
        <v>1072.0</v>
      </c>
      <c r="C1192" s="13">
        <v>48.0</v>
      </c>
      <c r="D1192" s="12" t="s">
        <v>2079</v>
      </c>
      <c r="E1192" s="12" t="s">
        <v>2080</v>
      </c>
      <c r="F1192" s="13">
        <v>4.0</v>
      </c>
      <c r="G1192" s="13">
        <v>1.0</v>
      </c>
      <c r="H1192" s="13">
        <v>5.0</v>
      </c>
      <c r="I1192" s="13" t="s">
        <v>35</v>
      </c>
      <c r="J1192" s="13" t="s">
        <v>36</v>
      </c>
      <c r="K1192" s="13" t="s">
        <v>36</v>
      </c>
      <c r="L1192" s="13"/>
    </row>
    <row r="1193">
      <c r="A1193" s="13">
        <v>1191.0</v>
      </c>
      <c r="B1193" s="13">
        <v>1094.0</v>
      </c>
      <c r="C1193" s="13">
        <v>33.0</v>
      </c>
      <c r="D1193" s="12" t="s">
        <v>2081</v>
      </c>
      <c r="E1193" s="12" t="s">
        <v>2082</v>
      </c>
      <c r="F1193" s="13">
        <v>2.0</v>
      </c>
      <c r="G1193" s="13">
        <v>0.0</v>
      </c>
      <c r="H1193" s="13">
        <v>0.0</v>
      </c>
      <c r="I1193" s="13" t="s">
        <v>35</v>
      </c>
      <c r="J1193" s="13" t="s">
        <v>36</v>
      </c>
      <c r="K1193" s="13" t="s">
        <v>36</v>
      </c>
      <c r="L1193" s="13"/>
    </row>
    <row r="1194">
      <c r="A1194" s="13">
        <v>1192.0</v>
      </c>
      <c r="B1194" s="13">
        <v>1082.0</v>
      </c>
      <c r="C1194" s="13">
        <v>53.0</v>
      </c>
      <c r="D1194" s="12" t="s">
        <v>2083</v>
      </c>
      <c r="E1194" s="12" t="s">
        <v>2084</v>
      </c>
      <c r="F1194" s="13">
        <v>2.0</v>
      </c>
      <c r="G1194" s="13">
        <v>0.0</v>
      </c>
      <c r="H1194" s="13">
        <v>0.0</v>
      </c>
      <c r="I1194" s="13" t="s">
        <v>41</v>
      </c>
      <c r="J1194" s="13" t="s">
        <v>36</v>
      </c>
      <c r="K1194" s="13" t="s">
        <v>36</v>
      </c>
      <c r="L1194" s="13"/>
    </row>
    <row r="1195">
      <c r="A1195" s="13">
        <v>1193.0</v>
      </c>
      <c r="B1195" s="13">
        <v>720.0</v>
      </c>
      <c r="C1195" s="13">
        <v>43.0</v>
      </c>
      <c r="D1195" s="12" t="s">
        <v>2085</v>
      </c>
      <c r="E1195" s="12" t="s">
        <v>2086</v>
      </c>
      <c r="F1195" s="13">
        <v>4.0</v>
      </c>
      <c r="G1195" s="13">
        <v>1.0</v>
      </c>
      <c r="H1195" s="13">
        <v>5.0</v>
      </c>
      <c r="I1195" s="13" t="s">
        <v>31</v>
      </c>
      <c r="J1195" s="13" t="s">
        <v>32</v>
      </c>
      <c r="K1195" s="13" t="s">
        <v>92</v>
      </c>
      <c r="L1195" s="13"/>
    </row>
    <row r="1196">
      <c r="A1196" s="13">
        <v>1194.0</v>
      </c>
      <c r="B1196" s="13">
        <v>1060.0</v>
      </c>
      <c r="C1196" s="13">
        <v>26.0</v>
      </c>
      <c r="D1196" s="12" t="s">
        <v>2087</v>
      </c>
      <c r="E1196" s="12" t="s">
        <v>2088</v>
      </c>
      <c r="F1196" s="13">
        <v>5.0</v>
      </c>
      <c r="G1196" s="13">
        <v>1.0</v>
      </c>
      <c r="H1196" s="13">
        <v>9.0</v>
      </c>
      <c r="I1196" s="13" t="s">
        <v>41</v>
      </c>
      <c r="J1196" s="13" t="s">
        <v>42</v>
      </c>
      <c r="K1196" s="13" t="s">
        <v>43</v>
      </c>
      <c r="L1196" s="13"/>
    </row>
    <row r="1197">
      <c r="A1197" s="13">
        <v>1195.0</v>
      </c>
      <c r="B1197" s="13">
        <v>720.0</v>
      </c>
      <c r="C1197" s="13">
        <v>58.0</v>
      </c>
      <c r="D1197" s="12"/>
      <c r="E1197" s="12" t="s">
        <v>2089</v>
      </c>
      <c r="F1197" s="13">
        <v>5.0</v>
      </c>
      <c r="G1197" s="13">
        <v>1.0</v>
      </c>
      <c r="H1197" s="13">
        <v>1.0</v>
      </c>
      <c r="I1197" s="13" t="s">
        <v>31</v>
      </c>
      <c r="J1197" s="13" t="s">
        <v>32</v>
      </c>
      <c r="K1197" s="13" t="s">
        <v>92</v>
      </c>
      <c r="L1197" s="13"/>
    </row>
    <row r="1198">
      <c r="A1198" s="13">
        <v>1196.0</v>
      </c>
      <c r="B1198" s="13">
        <v>1110.0</v>
      </c>
      <c r="C1198" s="13">
        <v>38.0</v>
      </c>
      <c r="D1198" s="12" t="s">
        <v>205</v>
      </c>
      <c r="E1198" s="12" t="s">
        <v>2090</v>
      </c>
      <c r="F1198" s="13">
        <v>3.0</v>
      </c>
      <c r="G1198" s="13">
        <v>0.0</v>
      </c>
      <c r="H1198" s="13">
        <v>1.0</v>
      </c>
      <c r="I1198" s="13" t="s">
        <v>35</v>
      </c>
      <c r="J1198" s="13" t="s">
        <v>36</v>
      </c>
      <c r="K1198" s="13" t="s">
        <v>36</v>
      </c>
      <c r="L1198" s="13"/>
    </row>
    <row r="1199">
      <c r="A1199" s="13">
        <v>1197.0</v>
      </c>
      <c r="B1199" s="13">
        <v>1094.0</v>
      </c>
      <c r="C1199" s="13">
        <v>50.0</v>
      </c>
      <c r="D1199" s="12" t="s">
        <v>2091</v>
      </c>
      <c r="E1199" s="12" t="s">
        <v>2092</v>
      </c>
      <c r="F1199" s="13">
        <v>3.0</v>
      </c>
      <c r="G1199" s="13">
        <v>1.0</v>
      </c>
      <c r="H1199" s="13">
        <v>0.0</v>
      </c>
      <c r="I1199" s="13" t="s">
        <v>35</v>
      </c>
      <c r="J1199" s="13" t="s">
        <v>36</v>
      </c>
      <c r="K1199" s="13" t="s">
        <v>36</v>
      </c>
      <c r="L1199" s="13"/>
    </row>
    <row r="1200">
      <c r="A1200" s="13">
        <v>1198.0</v>
      </c>
      <c r="B1200" s="13">
        <v>1060.0</v>
      </c>
      <c r="C1200" s="13">
        <v>52.0</v>
      </c>
      <c r="D1200" s="12"/>
      <c r="E1200" s="12" t="s">
        <v>2093</v>
      </c>
      <c r="F1200" s="13">
        <v>5.0</v>
      </c>
      <c r="G1200" s="13">
        <v>1.0</v>
      </c>
      <c r="H1200" s="13">
        <v>19.0</v>
      </c>
      <c r="I1200" s="13" t="s">
        <v>41</v>
      </c>
      <c r="J1200" s="13" t="s">
        <v>42</v>
      </c>
      <c r="K1200" s="13" t="s">
        <v>43</v>
      </c>
      <c r="L1200" s="13"/>
    </row>
    <row r="1201">
      <c r="A1201" s="13">
        <v>1199.0</v>
      </c>
      <c r="B1201" s="13">
        <v>720.0</v>
      </c>
      <c r="C1201" s="13">
        <v>80.0</v>
      </c>
      <c r="D1201" s="12" t="s">
        <v>2094</v>
      </c>
      <c r="E1201" s="12" t="s">
        <v>2095</v>
      </c>
      <c r="F1201" s="13">
        <v>5.0</v>
      </c>
      <c r="G1201" s="13">
        <v>1.0</v>
      </c>
      <c r="H1201" s="13">
        <v>1.0</v>
      </c>
      <c r="I1201" s="13" t="s">
        <v>31</v>
      </c>
      <c r="J1201" s="13" t="s">
        <v>32</v>
      </c>
      <c r="K1201" s="13" t="s">
        <v>92</v>
      </c>
      <c r="L1201" s="13"/>
    </row>
    <row r="1202">
      <c r="A1202" s="13">
        <v>1200.0</v>
      </c>
      <c r="B1202" s="13">
        <v>720.0</v>
      </c>
      <c r="C1202" s="13">
        <v>37.0</v>
      </c>
      <c r="D1202" s="12" t="s">
        <v>2096</v>
      </c>
      <c r="E1202" s="12" t="s">
        <v>2097</v>
      </c>
      <c r="F1202" s="13">
        <v>5.0</v>
      </c>
      <c r="G1202" s="13">
        <v>1.0</v>
      </c>
      <c r="H1202" s="13">
        <v>4.0</v>
      </c>
      <c r="I1202" s="13" t="s">
        <v>31</v>
      </c>
      <c r="J1202" s="13" t="s">
        <v>32</v>
      </c>
      <c r="K1202" s="13" t="s">
        <v>92</v>
      </c>
      <c r="L1202" s="13"/>
    </row>
    <row r="1203">
      <c r="A1203" s="13">
        <v>1201.0</v>
      </c>
      <c r="B1203" s="13">
        <v>1060.0</v>
      </c>
      <c r="C1203" s="13">
        <v>53.0</v>
      </c>
      <c r="D1203" s="12"/>
      <c r="E1203" s="12"/>
      <c r="F1203" s="13">
        <v>5.0</v>
      </c>
      <c r="G1203" s="13">
        <v>1.0</v>
      </c>
      <c r="H1203" s="13">
        <v>0.0</v>
      </c>
      <c r="I1203" s="13" t="s">
        <v>41</v>
      </c>
      <c r="J1203" s="13" t="s">
        <v>42</v>
      </c>
      <c r="K1203" s="13" t="s">
        <v>43</v>
      </c>
      <c r="L1203" s="13"/>
    </row>
    <row r="1204">
      <c r="A1204" s="13">
        <v>1202.0</v>
      </c>
      <c r="B1204" s="13">
        <v>1072.0</v>
      </c>
      <c r="C1204" s="13">
        <v>62.0</v>
      </c>
      <c r="D1204" s="12"/>
      <c r="E1204" s="12" t="s">
        <v>2098</v>
      </c>
      <c r="F1204" s="13">
        <v>5.0</v>
      </c>
      <c r="G1204" s="13">
        <v>1.0</v>
      </c>
      <c r="H1204" s="13">
        <v>0.0</v>
      </c>
      <c r="I1204" s="13" t="s">
        <v>35</v>
      </c>
      <c r="J1204" s="13" t="s">
        <v>36</v>
      </c>
      <c r="K1204" s="13" t="s">
        <v>36</v>
      </c>
      <c r="L1204" s="13"/>
    </row>
    <row r="1205">
      <c r="A1205" s="13">
        <v>1203.0</v>
      </c>
      <c r="B1205" s="13">
        <v>1022.0</v>
      </c>
      <c r="C1205" s="13">
        <v>38.0</v>
      </c>
      <c r="D1205" s="12" t="s">
        <v>2099</v>
      </c>
      <c r="E1205" s="12" t="s">
        <v>2100</v>
      </c>
      <c r="F1205" s="13">
        <v>5.0</v>
      </c>
      <c r="G1205" s="13">
        <v>1.0</v>
      </c>
      <c r="H1205" s="13">
        <v>0.0</v>
      </c>
      <c r="I1205" s="13" t="s">
        <v>41</v>
      </c>
      <c r="J1205" s="13" t="s">
        <v>42</v>
      </c>
      <c r="K1205" s="13" t="s">
        <v>435</v>
      </c>
      <c r="L1205" s="13"/>
    </row>
    <row r="1206">
      <c r="A1206" s="13">
        <v>1204.0</v>
      </c>
      <c r="B1206" s="13">
        <v>1060.0</v>
      </c>
      <c r="C1206" s="13">
        <v>59.0</v>
      </c>
      <c r="D1206" s="12" t="s">
        <v>2101</v>
      </c>
      <c r="E1206" s="12" t="s">
        <v>2102</v>
      </c>
      <c r="F1206" s="13">
        <v>5.0</v>
      </c>
      <c r="G1206" s="13">
        <v>1.0</v>
      </c>
      <c r="H1206" s="13">
        <v>4.0</v>
      </c>
      <c r="I1206" s="13" t="s">
        <v>41</v>
      </c>
      <c r="J1206" s="13" t="s">
        <v>42</v>
      </c>
      <c r="K1206" s="13" t="s">
        <v>43</v>
      </c>
      <c r="L1206" s="13"/>
    </row>
    <row r="1207">
      <c r="A1207" s="13">
        <v>1205.0</v>
      </c>
      <c r="B1207" s="13">
        <v>1094.0</v>
      </c>
      <c r="C1207" s="13">
        <v>29.0</v>
      </c>
      <c r="D1207" s="12"/>
      <c r="E1207" s="12" t="s">
        <v>2103</v>
      </c>
      <c r="F1207" s="13">
        <v>2.0</v>
      </c>
      <c r="G1207" s="13">
        <v>0.0</v>
      </c>
      <c r="H1207" s="13">
        <v>10.0</v>
      </c>
      <c r="I1207" s="13" t="s">
        <v>35</v>
      </c>
      <c r="J1207" s="13" t="s">
        <v>36</v>
      </c>
      <c r="K1207" s="13" t="s">
        <v>36</v>
      </c>
      <c r="L1207" s="13"/>
    </row>
    <row r="1208">
      <c r="A1208" s="13">
        <v>1206.0</v>
      </c>
      <c r="B1208" s="13">
        <v>1042.0</v>
      </c>
      <c r="C1208" s="13">
        <v>39.0</v>
      </c>
      <c r="D1208" s="12" t="s">
        <v>2104</v>
      </c>
      <c r="E1208" s="12" t="s">
        <v>2105</v>
      </c>
      <c r="F1208" s="13">
        <v>5.0</v>
      </c>
      <c r="G1208" s="13">
        <v>1.0</v>
      </c>
      <c r="H1208" s="13">
        <v>0.0</v>
      </c>
      <c r="I1208" s="13" t="s">
        <v>35</v>
      </c>
      <c r="J1208" s="13" t="s">
        <v>42</v>
      </c>
      <c r="K1208" s="13" t="s">
        <v>43</v>
      </c>
      <c r="L1208" s="13"/>
    </row>
    <row r="1209">
      <c r="A1209" s="13">
        <v>1207.0</v>
      </c>
      <c r="B1209" s="13">
        <v>1072.0</v>
      </c>
      <c r="C1209" s="13">
        <v>36.0</v>
      </c>
      <c r="D1209" s="12" t="s">
        <v>2106</v>
      </c>
      <c r="E1209" s="12" t="s">
        <v>2107</v>
      </c>
      <c r="F1209" s="13">
        <v>4.0</v>
      </c>
      <c r="G1209" s="13">
        <v>0.0</v>
      </c>
      <c r="H1209" s="13">
        <v>6.0</v>
      </c>
      <c r="I1209" s="13" t="s">
        <v>35</v>
      </c>
      <c r="J1209" s="13" t="s">
        <v>36</v>
      </c>
      <c r="K1209" s="13" t="s">
        <v>36</v>
      </c>
      <c r="L1209" s="13"/>
    </row>
    <row r="1210">
      <c r="A1210" s="13">
        <v>1208.0</v>
      </c>
      <c r="B1210" s="13">
        <v>1110.0</v>
      </c>
      <c r="C1210" s="13">
        <v>27.0</v>
      </c>
      <c r="D1210" s="12" t="s">
        <v>2108</v>
      </c>
      <c r="E1210" s="12" t="s">
        <v>2109</v>
      </c>
      <c r="F1210" s="13">
        <v>5.0</v>
      </c>
      <c r="G1210" s="13">
        <v>1.0</v>
      </c>
      <c r="H1210" s="13">
        <v>3.0</v>
      </c>
      <c r="I1210" s="13" t="s">
        <v>35</v>
      </c>
      <c r="J1210" s="13" t="s">
        <v>36</v>
      </c>
      <c r="K1210" s="13" t="s">
        <v>36</v>
      </c>
      <c r="L1210" s="13"/>
    </row>
    <row r="1211">
      <c r="A1211" s="13">
        <v>1209.0</v>
      </c>
      <c r="B1211" s="13">
        <v>1094.0</v>
      </c>
      <c r="C1211" s="13">
        <v>72.0</v>
      </c>
      <c r="D1211" s="12" t="s">
        <v>2110</v>
      </c>
      <c r="E1211" s="12" t="s">
        <v>2111</v>
      </c>
      <c r="F1211" s="13">
        <v>5.0</v>
      </c>
      <c r="G1211" s="13">
        <v>1.0</v>
      </c>
      <c r="H1211" s="13">
        <v>0.0</v>
      </c>
      <c r="I1211" s="13" t="s">
        <v>35</v>
      </c>
      <c r="J1211" s="13" t="s">
        <v>36</v>
      </c>
      <c r="K1211" s="13" t="s">
        <v>36</v>
      </c>
      <c r="L1211" s="13"/>
    </row>
    <row r="1212">
      <c r="A1212" s="13">
        <v>1210.0</v>
      </c>
      <c r="B1212" s="13">
        <v>1060.0</v>
      </c>
      <c r="C1212" s="13">
        <v>32.0</v>
      </c>
      <c r="D1212" s="12" t="s">
        <v>2112</v>
      </c>
      <c r="E1212" s="12" t="s">
        <v>2113</v>
      </c>
      <c r="F1212" s="13">
        <v>5.0</v>
      </c>
      <c r="G1212" s="13">
        <v>1.0</v>
      </c>
      <c r="H1212" s="13">
        <v>14.0</v>
      </c>
      <c r="I1212" s="13" t="s">
        <v>41</v>
      </c>
      <c r="J1212" s="13" t="s">
        <v>42</v>
      </c>
      <c r="K1212" s="13" t="s">
        <v>43</v>
      </c>
      <c r="L1212" s="13"/>
    </row>
    <row r="1213">
      <c r="A1213" s="13">
        <v>1211.0</v>
      </c>
      <c r="B1213" s="13">
        <v>1060.0</v>
      </c>
      <c r="C1213" s="13">
        <v>30.0</v>
      </c>
      <c r="D1213" s="12"/>
      <c r="E1213" s="12" t="s">
        <v>2114</v>
      </c>
      <c r="F1213" s="13">
        <v>5.0</v>
      </c>
      <c r="G1213" s="13">
        <v>1.0</v>
      </c>
      <c r="H1213" s="13">
        <v>2.0</v>
      </c>
      <c r="I1213" s="13" t="s">
        <v>41</v>
      </c>
      <c r="J1213" s="13" t="s">
        <v>42</v>
      </c>
      <c r="K1213" s="13" t="s">
        <v>43</v>
      </c>
      <c r="L1213" s="13"/>
    </row>
    <row r="1214">
      <c r="A1214" s="13">
        <v>1212.0</v>
      </c>
      <c r="B1214" s="13">
        <v>868.0</v>
      </c>
      <c r="C1214" s="13">
        <v>34.0</v>
      </c>
      <c r="D1214" s="12" t="s">
        <v>2115</v>
      </c>
      <c r="E1214" s="12" t="s">
        <v>2116</v>
      </c>
      <c r="F1214" s="13">
        <v>5.0</v>
      </c>
      <c r="G1214" s="13">
        <v>1.0</v>
      </c>
      <c r="H1214" s="13">
        <v>2.0</v>
      </c>
      <c r="I1214" s="13" t="s">
        <v>35</v>
      </c>
      <c r="J1214" s="13" t="s">
        <v>46</v>
      </c>
      <c r="K1214" s="13" t="s">
        <v>52</v>
      </c>
      <c r="L1214" s="13"/>
    </row>
    <row r="1215">
      <c r="A1215" s="13">
        <v>1213.0</v>
      </c>
      <c r="B1215" s="13">
        <v>1094.0</v>
      </c>
      <c r="C1215" s="13">
        <v>42.0</v>
      </c>
      <c r="D1215" s="12" t="s">
        <v>2117</v>
      </c>
      <c r="E1215" s="12" t="s">
        <v>2118</v>
      </c>
      <c r="F1215" s="13">
        <v>5.0</v>
      </c>
      <c r="G1215" s="13">
        <v>1.0</v>
      </c>
      <c r="H1215" s="13">
        <v>0.0</v>
      </c>
      <c r="I1215" s="13" t="s">
        <v>35</v>
      </c>
      <c r="J1215" s="13" t="s">
        <v>36</v>
      </c>
      <c r="K1215" s="13" t="s">
        <v>36</v>
      </c>
      <c r="L1215" s="13"/>
    </row>
    <row r="1216">
      <c r="A1216" s="13">
        <v>1214.0</v>
      </c>
      <c r="B1216" s="13">
        <v>1094.0</v>
      </c>
      <c r="C1216" s="13">
        <v>52.0</v>
      </c>
      <c r="D1216" s="12" t="s">
        <v>2119</v>
      </c>
      <c r="E1216" s="12" t="s">
        <v>2120</v>
      </c>
      <c r="F1216" s="13">
        <v>3.0</v>
      </c>
      <c r="G1216" s="13">
        <v>1.0</v>
      </c>
      <c r="H1216" s="13">
        <v>1.0</v>
      </c>
      <c r="I1216" s="13" t="s">
        <v>35</v>
      </c>
      <c r="J1216" s="13" t="s">
        <v>36</v>
      </c>
      <c r="K1216" s="13" t="s">
        <v>36</v>
      </c>
      <c r="L1216" s="13"/>
    </row>
    <row r="1217">
      <c r="A1217" s="13">
        <v>1215.0</v>
      </c>
      <c r="B1217" s="13">
        <v>1095.0</v>
      </c>
      <c r="C1217" s="13">
        <v>50.0</v>
      </c>
      <c r="D1217" s="12" t="s">
        <v>2121</v>
      </c>
      <c r="E1217" s="12" t="s">
        <v>2122</v>
      </c>
      <c r="F1217" s="13">
        <v>3.0</v>
      </c>
      <c r="G1217" s="13">
        <v>1.0</v>
      </c>
      <c r="H1217" s="13">
        <v>1.0</v>
      </c>
      <c r="I1217" s="13" t="s">
        <v>35</v>
      </c>
      <c r="J1217" s="13" t="s">
        <v>36</v>
      </c>
      <c r="K1217" s="13" t="s">
        <v>36</v>
      </c>
      <c r="L1217" s="13"/>
    </row>
    <row r="1218">
      <c r="A1218" s="13">
        <v>1216.0</v>
      </c>
      <c r="B1218" s="13">
        <v>1028.0</v>
      </c>
      <c r="C1218" s="13">
        <v>44.0</v>
      </c>
      <c r="D1218" s="12" t="s">
        <v>139</v>
      </c>
      <c r="E1218" s="12" t="s">
        <v>2123</v>
      </c>
      <c r="F1218" s="13">
        <v>5.0</v>
      </c>
      <c r="G1218" s="13">
        <v>1.0</v>
      </c>
      <c r="H1218" s="13">
        <v>3.0</v>
      </c>
      <c r="I1218" s="13" t="s">
        <v>35</v>
      </c>
      <c r="J1218" s="13" t="s">
        <v>42</v>
      </c>
      <c r="K1218" s="13" t="s">
        <v>435</v>
      </c>
      <c r="L1218" s="13"/>
    </row>
    <row r="1219">
      <c r="A1219" s="13">
        <v>1217.0</v>
      </c>
      <c r="B1219" s="13">
        <v>1095.0</v>
      </c>
      <c r="C1219" s="13">
        <v>37.0</v>
      </c>
      <c r="D1219" s="12" t="s">
        <v>2124</v>
      </c>
      <c r="E1219" s="12" t="s">
        <v>2125</v>
      </c>
      <c r="F1219" s="13">
        <v>5.0</v>
      </c>
      <c r="G1219" s="13">
        <v>1.0</v>
      </c>
      <c r="H1219" s="13">
        <v>0.0</v>
      </c>
      <c r="I1219" s="13" t="s">
        <v>35</v>
      </c>
      <c r="J1219" s="13" t="s">
        <v>36</v>
      </c>
      <c r="K1219" s="13" t="s">
        <v>36</v>
      </c>
      <c r="L1219" s="13"/>
    </row>
    <row r="1220">
      <c r="A1220" s="13">
        <v>1218.0</v>
      </c>
      <c r="B1220" s="13">
        <v>850.0</v>
      </c>
      <c r="C1220" s="13">
        <v>30.0</v>
      </c>
      <c r="D1220" s="12" t="s">
        <v>1022</v>
      </c>
      <c r="E1220" s="12" t="s">
        <v>2126</v>
      </c>
      <c r="F1220" s="13">
        <v>5.0</v>
      </c>
      <c r="G1220" s="13">
        <v>1.0</v>
      </c>
      <c r="H1220" s="13">
        <v>0.0</v>
      </c>
      <c r="I1220" s="13" t="s">
        <v>41</v>
      </c>
      <c r="J1220" s="13" t="s">
        <v>46</v>
      </c>
      <c r="K1220" s="13" t="s">
        <v>47</v>
      </c>
      <c r="L1220" s="13"/>
    </row>
    <row r="1221">
      <c r="A1221" s="13">
        <v>1219.0</v>
      </c>
      <c r="B1221" s="13">
        <v>850.0</v>
      </c>
      <c r="C1221" s="13">
        <v>44.0</v>
      </c>
      <c r="D1221" s="12" t="s">
        <v>55</v>
      </c>
      <c r="E1221" s="12" t="s">
        <v>2127</v>
      </c>
      <c r="F1221" s="13">
        <v>5.0</v>
      </c>
      <c r="G1221" s="13">
        <v>1.0</v>
      </c>
      <c r="H1221" s="13">
        <v>0.0</v>
      </c>
      <c r="I1221" s="13" t="s">
        <v>41</v>
      </c>
      <c r="J1221" s="13" t="s">
        <v>46</v>
      </c>
      <c r="K1221" s="13" t="s">
        <v>47</v>
      </c>
      <c r="L1221" s="13"/>
    </row>
    <row r="1222">
      <c r="A1222" s="13">
        <v>1220.0</v>
      </c>
      <c r="B1222" s="13">
        <v>850.0</v>
      </c>
      <c r="C1222" s="13">
        <v>59.0</v>
      </c>
      <c r="D1222" s="12"/>
      <c r="E1222" s="12" t="s">
        <v>2128</v>
      </c>
      <c r="F1222" s="13">
        <v>5.0</v>
      </c>
      <c r="G1222" s="13">
        <v>1.0</v>
      </c>
      <c r="H1222" s="13">
        <v>2.0</v>
      </c>
      <c r="I1222" s="13" t="s">
        <v>41</v>
      </c>
      <c r="J1222" s="13" t="s">
        <v>46</v>
      </c>
      <c r="K1222" s="13" t="s">
        <v>47</v>
      </c>
      <c r="L1222" s="13"/>
    </row>
    <row r="1223">
      <c r="A1223" s="13">
        <v>1221.0</v>
      </c>
      <c r="B1223" s="13">
        <v>850.0</v>
      </c>
      <c r="C1223" s="13">
        <v>35.0</v>
      </c>
      <c r="D1223" s="12"/>
      <c r="E1223" s="12" t="s">
        <v>2129</v>
      </c>
      <c r="F1223" s="13">
        <v>3.0</v>
      </c>
      <c r="G1223" s="13">
        <v>1.0</v>
      </c>
      <c r="H1223" s="13">
        <v>0.0</v>
      </c>
      <c r="I1223" s="13" t="s">
        <v>41</v>
      </c>
      <c r="J1223" s="13" t="s">
        <v>46</v>
      </c>
      <c r="K1223" s="13" t="s">
        <v>47</v>
      </c>
      <c r="L1223" s="13"/>
    </row>
    <row r="1224">
      <c r="A1224" s="13">
        <v>1222.0</v>
      </c>
      <c r="B1224" s="13">
        <v>940.0</v>
      </c>
      <c r="C1224" s="13">
        <v>57.0</v>
      </c>
      <c r="D1224" s="12" t="s">
        <v>2130</v>
      </c>
      <c r="E1224" s="12" t="s">
        <v>2131</v>
      </c>
      <c r="F1224" s="13">
        <v>5.0</v>
      </c>
      <c r="G1224" s="13">
        <v>1.0</v>
      </c>
      <c r="H1224" s="13">
        <v>1.0</v>
      </c>
      <c r="I1224" s="13" t="s">
        <v>41</v>
      </c>
      <c r="J1224" s="13" t="s">
        <v>46</v>
      </c>
      <c r="K1224" s="13" t="s">
        <v>95</v>
      </c>
      <c r="L1224" s="13"/>
    </row>
    <row r="1225">
      <c r="A1225" s="13">
        <v>1223.0</v>
      </c>
      <c r="B1225" s="13">
        <v>868.0</v>
      </c>
      <c r="C1225" s="13">
        <v>43.0</v>
      </c>
      <c r="D1225" s="12" t="s">
        <v>2132</v>
      </c>
      <c r="E1225" s="12" t="s">
        <v>2133</v>
      </c>
      <c r="F1225" s="13">
        <v>2.0</v>
      </c>
      <c r="G1225" s="13">
        <v>0.0</v>
      </c>
      <c r="H1225" s="13">
        <v>7.0</v>
      </c>
      <c r="I1225" s="13" t="s">
        <v>35</v>
      </c>
      <c r="J1225" s="13" t="s">
        <v>46</v>
      </c>
      <c r="K1225" s="13" t="s">
        <v>52</v>
      </c>
      <c r="L1225" s="13"/>
    </row>
    <row r="1226">
      <c r="A1226" s="13">
        <v>1224.0</v>
      </c>
      <c r="B1226" s="13">
        <v>1028.0</v>
      </c>
      <c r="C1226" s="13">
        <v>40.0</v>
      </c>
      <c r="D1226" s="12" t="s">
        <v>2134</v>
      </c>
      <c r="E1226" s="12" t="s">
        <v>2135</v>
      </c>
      <c r="F1226" s="13">
        <v>5.0</v>
      </c>
      <c r="G1226" s="13">
        <v>1.0</v>
      </c>
      <c r="H1226" s="13">
        <v>0.0</v>
      </c>
      <c r="I1226" s="13" t="s">
        <v>35</v>
      </c>
      <c r="J1226" s="13" t="s">
        <v>42</v>
      </c>
      <c r="K1226" s="13" t="s">
        <v>435</v>
      </c>
      <c r="L1226" s="13"/>
    </row>
    <row r="1227">
      <c r="A1227" s="13">
        <v>1225.0</v>
      </c>
      <c r="B1227" s="13">
        <v>1095.0</v>
      </c>
      <c r="C1227" s="13">
        <v>42.0</v>
      </c>
      <c r="D1227" s="12" t="s">
        <v>2136</v>
      </c>
      <c r="E1227" s="12" t="s">
        <v>2137</v>
      </c>
      <c r="F1227" s="13">
        <v>5.0</v>
      </c>
      <c r="G1227" s="13">
        <v>1.0</v>
      </c>
      <c r="H1227" s="13">
        <v>0.0</v>
      </c>
      <c r="I1227" s="13" t="s">
        <v>35</v>
      </c>
      <c r="J1227" s="13" t="s">
        <v>36</v>
      </c>
      <c r="K1227" s="13" t="s">
        <v>36</v>
      </c>
      <c r="L1227" s="13"/>
    </row>
    <row r="1228">
      <c r="A1228" s="13">
        <v>1226.0</v>
      </c>
      <c r="B1228" s="13">
        <v>868.0</v>
      </c>
      <c r="C1228" s="13">
        <v>59.0</v>
      </c>
      <c r="D1228" s="12" t="s">
        <v>2138</v>
      </c>
      <c r="E1228" s="12" t="s">
        <v>2139</v>
      </c>
      <c r="F1228" s="13">
        <v>5.0</v>
      </c>
      <c r="G1228" s="13">
        <v>1.0</v>
      </c>
      <c r="H1228" s="13">
        <v>16.0</v>
      </c>
      <c r="I1228" s="13" t="s">
        <v>35</v>
      </c>
      <c r="J1228" s="13" t="s">
        <v>46</v>
      </c>
      <c r="K1228" s="13" t="s">
        <v>52</v>
      </c>
      <c r="L1228" s="13"/>
    </row>
    <row r="1229">
      <c r="A1229" s="13">
        <v>1227.0</v>
      </c>
      <c r="B1229" s="13">
        <v>1095.0</v>
      </c>
      <c r="C1229" s="13">
        <v>31.0</v>
      </c>
      <c r="D1229" s="12" t="s">
        <v>2140</v>
      </c>
      <c r="E1229" s="12" t="s">
        <v>2141</v>
      </c>
      <c r="F1229" s="13">
        <v>4.0</v>
      </c>
      <c r="G1229" s="13">
        <v>1.0</v>
      </c>
      <c r="H1229" s="13">
        <v>9.0</v>
      </c>
      <c r="I1229" s="13" t="s">
        <v>35</v>
      </c>
      <c r="J1229" s="13" t="s">
        <v>36</v>
      </c>
      <c r="K1229" s="13" t="s">
        <v>36</v>
      </c>
      <c r="L1229" s="13"/>
    </row>
    <row r="1230">
      <c r="A1230" s="13">
        <v>1228.0</v>
      </c>
      <c r="B1230" s="13">
        <v>850.0</v>
      </c>
      <c r="C1230" s="13">
        <v>62.0</v>
      </c>
      <c r="D1230" s="12" t="s">
        <v>2142</v>
      </c>
      <c r="E1230" s="12" t="s">
        <v>2143</v>
      </c>
      <c r="F1230" s="13">
        <v>5.0</v>
      </c>
      <c r="G1230" s="13">
        <v>1.0</v>
      </c>
      <c r="H1230" s="13">
        <v>1.0</v>
      </c>
      <c r="I1230" s="13" t="s">
        <v>41</v>
      </c>
      <c r="J1230" s="13" t="s">
        <v>46</v>
      </c>
      <c r="K1230" s="13" t="s">
        <v>47</v>
      </c>
      <c r="L1230" s="13"/>
    </row>
    <row r="1231">
      <c r="A1231" s="13">
        <v>1229.0</v>
      </c>
      <c r="B1231" s="13">
        <v>850.0</v>
      </c>
      <c r="C1231" s="13">
        <v>23.0</v>
      </c>
      <c r="D1231" s="12" t="s">
        <v>2144</v>
      </c>
      <c r="E1231" s="12" t="s">
        <v>2145</v>
      </c>
      <c r="F1231" s="13">
        <v>3.0</v>
      </c>
      <c r="G1231" s="13">
        <v>0.0</v>
      </c>
      <c r="H1231" s="13">
        <v>0.0</v>
      </c>
      <c r="I1231" s="13" t="s">
        <v>41</v>
      </c>
      <c r="J1231" s="13" t="s">
        <v>46</v>
      </c>
      <c r="K1231" s="13" t="s">
        <v>47</v>
      </c>
      <c r="L1231" s="13"/>
    </row>
    <row r="1232">
      <c r="A1232" s="13">
        <v>1230.0</v>
      </c>
      <c r="B1232" s="13">
        <v>1028.0</v>
      </c>
      <c r="C1232" s="13">
        <v>38.0</v>
      </c>
      <c r="D1232" s="12"/>
      <c r="E1232" s="12" t="s">
        <v>2146</v>
      </c>
      <c r="F1232" s="13">
        <v>5.0</v>
      </c>
      <c r="G1232" s="13">
        <v>1.0</v>
      </c>
      <c r="H1232" s="13">
        <v>1.0</v>
      </c>
      <c r="I1232" s="13" t="s">
        <v>35</v>
      </c>
      <c r="J1232" s="13" t="s">
        <v>42</v>
      </c>
      <c r="K1232" s="13" t="s">
        <v>435</v>
      </c>
      <c r="L1232" s="13"/>
    </row>
    <row r="1233">
      <c r="A1233" s="13">
        <v>1231.0</v>
      </c>
      <c r="B1233" s="13">
        <v>1055.0</v>
      </c>
      <c r="C1233" s="13">
        <v>38.0</v>
      </c>
      <c r="D1233" s="12" t="s">
        <v>2147</v>
      </c>
      <c r="E1233" s="12" t="s">
        <v>2148</v>
      </c>
      <c r="F1233" s="13">
        <v>5.0</v>
      </c>
      <c r="G1233" s="13">
        <v>1.0</v>
      </c>
      <c r="H1233" s="13">
        <v>0.0</v>
      </c>
      <c r="I1233" s="13" t="s">
        <v>41</v>
      </c>
      <c r="J1233" s="13" t="s">
        <v>42</v>
      </c>
      <c r="K1233" s="13" t="s">
        <v>43</v>
      </c>
      <c r="L1233" s="13"/>
    </row>
    <row r="1234">
      <c r="A1234" s="13">
        <v>1232.0</v>
      </c>
      <c r="B1234" s="13">
        <v>850.0</v>
      </c>
      <c r="C1234" s="13">
        <v>20.0</v>
      </c>
      <c r="D1234" s="12"/>
      <c r="E1234" s="12" t="s">
        <v>2149</v>
      </c>
      <c r="F1234" s="13">
        <v>4.0</v>
      </c>
      <c r="G1234" s="13">
        <v>1.0</v>
      </c>
      <c r="H1234" s="13">
        <v>0.0</v>
      </c>
      <c r="I1234" s="13" t="s">
        <v>41</v>
      </c>
      <c r="J1234" s="13" t="s">
        <v>46</v>
      </c>
      <c r="K1234" s="13" t="s">
        <v>47</v>
      </c>
      <c r="L1234" s="13"/>
    </row>
    <row r="1235">
      <c r="A1235" s="13">
        <v>1233.0</v>
      </c>
      <c r="B1235" s="13">
        <v>1095.0</v>
      </c>
      <c r="C1235" s="13">
        <v>46.0</v>
      </c>
      <c r="D1235" s="12" t="s">
        <v>2150</v>
      </c>
      <c r="E1235" s="12" t="s">
        <v>2151</v>
      </c>
      <c r="F1235" s="13">
        <v>3.0</v>
      </c>
      <c r="G1235" s="13">
        <v>0.0</v>
      </c>
      <c r="H1235" s="13">
        <v>0.0</v>
      </c>
      <c r="I1235" s="13" t="s">
        <v>35</v>
      </c>
      <c r="J1235" s="13" t="s">
        <v>36</v>
      </c>
      <c r="K1235" s="13" t="s">
        <v>36</v>
      </c>
      <c r="L1235" s="13"/>
    </row>
    <row r="1236">
      <c r="A1236" s="13">
        <v>1234.0</v>
      </c>
      <c r="B1236" s="13">
        <v>850.0</v>
      </c>
      <c r="C1236" s="13">
        <v>33.0</v>
      </c>
      <c r="D1236" s="12" t="s">
        <v>2152</v>
      </c>
      <c r="E1236" s="12" t="s">
        <v>2153</v>
      </c>
      <c r="F1236" s="13">
        <v>5.0</v>
      </c>
      <c r="G1236" s="13">
        <v>1.0</v>
      </c>
      <c r="H1236" s="13">
        <v>1.0</v>
      </c>
      <c r="I1236" s="13" t="s">
        <v>41</v>
      </c>
      <c r="J1236" s="13" t="s">
        <v>46</v>
      </c>
      <c r="K1236" s="13" t="s">
        <v>47</v>
      </c>
      <c r="L1236" s="13"/>
    </row>
    <row r="1237">
      <c r="A1237" s="13">
        <v>1235.0</v>
      </c>
      <c r="B1237" s="13">
        <v>1095.0</v>
      </c>
      <c r="C1237" s="13">
        <v>37.0</v>
      </c>
      <c r="D1237" s="12" t="s">
        <v>1320</v>
      </c>
      <c r="E1237" s="12" t="s">
        <v>2154</v>
      </c>
      <c r="F1237" s="13">
        <v>2.0</v>
      </c>
      <c r="G1237" s="13">
        <v>0.0</v>
      </c>
      <c r="H1237" s="13">
        <v>0.0</v>
      </c>
      <c r="I1237" s="13" t="s">
        <v>35</v>
      </c>
      <c r="J1237" s="13" t="s">
        <v>36</v>
      </c>
      <c r="K1237" s="13" t="s">
        <v>36</v>
      </c>
      <c r="L1237" s="13"/>
    </row>
    <row r="1238">
      <c r="A1238" s="13">
        <v>1236.0</v>
      </c>
      <c r="B1238" s="13">
        <v>1094.0</v>
      </c>
      <c r="C1238" s="13">
        <v>60.0</v>
      </c>
      <c r="D1238" s="12" t="s">
        <v>2155</v>
      </c>
      <c r="E1238" s="12" t="s">
        <v>2156</v>
      </c>
      <c r="F1238" s="13">
        <v>5.0</v>
      </c>
      <c r="G1238" s="13">
        <v>1.0</v>
      </c>
      <c r="H1238" s="13">
        <v>1.0</v>
      </c>
      <c r="I1238" s="13" t="s">
        <v>35</v>
      </c>
      <c r="J1238" s="13" t="s">
        <v>36</v>
      </c>
      <c r="K1238" s="13" t="s">
        <v>36</v>
      </c>
      <c r="L1238" s="13"/>
    </row>
    <row r="1239">
      <c r="A1239" s="13">
        <v>1237.0</v>
      </c>
      <c r="B1239" s="13">
        <v>850.0</v>
      </c>
      <c r="C1239" s="13">
        <v>37.0</v>
      </c>
      <c r="D1239" s="12" t="s">
        <v>441</v>
      </c>
      <c r="E1239" s="12" t="s">
        <v>2157</v>
      </c>
      <c r="F1239" s="13">
        <v>5.0</v>
      </c>
      <c r="G1239" s="13">
        <v>1.0</v>
      </c>
      <c r="H1239" s="13">
        <v>3.0</v>
      </c>
      <c r="I1239" s="13" t="s">
        <v>41</v>
      </c>
      <c r="J1239" s="13" t="s">
        <v>46</v>
      </c>
      <c r="K1239" s="13" t="s">
        <v>47</v>
      </c>
      <c r="L1239" s="13"/>
    </row>
    <row r="1240">
      <c r="A1240" s="13">
        <v>1238.0</v>
      </c>
      <c r="B1240" s="13">
        <v>850.0</v>
      </c>
      <c r="C1240" s="13">
        <v>60.0</v>
      </c>
      <c r="D1240" s="12" t="s">
        <v>2158</v>
      </c>
      <c r="E1240" s="12" t="s">
        <v>2159</v>
      </c>
      <c r="F1240" s="13">
        <v>3.0</v>
      </c>
      <c r="G1240" s="13">
        <v>0.0</v>
      </c>
      <c r="H1240" s="13">
        <v>0.0</v>
      </c>
      <c r="I1240" s="13" t="s">
        <v>41</v>
      </c>
      <c r="J1240" s="13" t="s">
        <v>46</v>
      </c>
      <c r="K1240" s="13" t="s">
        <v>47</v>
      </c>
      <c r="L1240" s="13"/>
    </row>
    <row r="1241">
      <c r="A1241" s="13">
        <v>1239.0</v>
      </c>
      <c r="B1241" s="13">
        <v>850.0</v>
      </c>
      <c r="C1241" s="13">
        <v>34.0</v>
      </c>
      <c r="D1241" s="12"/>
      <c r="E1241" s="12" t="s">
        <v>2160</v>
      </c>
      <c r="F1241" s="13">
        <v>4.0</v>
      </c>
      <c r="G1241" s="13">
        <v>1.0</v>
      </c>
      <c r="H1241" s="13">
        <v>0.0</v>
      </c>
      <c r="I1241" s="13" t="s">
        <v>41</v>
      </c>
      <c r="J1241" s="13" t="s">
        <v>46</v>
      </c>
      <c r="K1241" s="13" t="s">
        <v>47</v>
      </c>
      <c r="L1241" s="13"/>
    </row>
    <row r="1242">
      <c r="A1242" s="13">
        <v>1240.0</v>
      </c>
      <c r="B1242" s="13">
        <v>875.0</v>
      </c>
      <c r="C1242" s="13">
        <v>46.0</v>
      </c>
      <c r="D1242" s="12" t="s">
        <v>2161</v>
      </c>
      <c r="E1242" s="12" t="s">
        <v>2162</v>
      </c>
      <c r="F1242" s="13">
        <v>1.0</v>
      </c>
      <c r="G1242" s="13">
        <v>0.0</v>
      </c>
      <c r="H1242" s="13">
        <v>0.0</v>
      </c>
      <c r="I1242" s="13" t="s">
        <v>35</v>
      </c>
      <c r="J1242" s="13" t="s">
        <v>46</v>
      </c>
      <c r="K1242" s="13" t="s">
        <v>52</v>
      </c>
      <c r="L1242" s="13"/>
    </row>
    <row r="1243">
      <c r="A1243" s="13">
        <v>1241.0</v>
      </c>
      <c r="B1243" s="13">
        <v>850.0</v>
      </c>
      <c r="C1243" s="13">
        <v>50.0</v>
      </c>
      <c r="D1243" s="12"/>
      <c r="E1243" s="12" t="s">
        <v>2163</v>
      </c>
      <c r="F1243" s="13">
        <v>5.0</v>
      </c>
      <c r="G1243" s="13">
        <v>1.0</v>
      </c>
      <c r="H1243" s="13">
        <v>1.0</v>
      </c>
      <c r="I1243" s="13" t="s">
        <v>41</v>
      </c>
      <c r="J1243" s="13" t="s">
        <v>46</v>
      </c>
      <c r="K1243" s="13" t="s">
        <v>47</v>
      </c>
      <c r="L1243" s="13"/>
    </row>
    <row r="1244">
      <c r="A1244" s="13">
        <v>1242.0</v>
      </c>
      <c r="B1244" s="13">
        <v>1094.0</v>
      </c>
      <c r="C1244" s="13">
        <v>44.0</v>
      </c>
      <c r="D1244" s="12" t="s">
        <v>2164</v>
      </c>
      <c r="E1244" s="12" t="s">
        <v>2165</v>
      </c>
      <c r="F1244" s="13">
        <v>5.0</v>
      </c>
      <c r="G1244" s="13">
        <v>1.0</v>
      </c>
      <c r="H1244" s="13">
        <v>0.0</v>
      </c>
      <c r="I1244" s="13" t="s">
        <v>35</v>
      </c>
      <c r="J1244" s="13" t="s">
        <v>36</v>
      </c>
      <c r="K1244" s="13" t="s">
        <v>36</v>
      </c>
      <c r="L1244" s="13"/>
    </row>
    <row r="1245">
      <c r="A1245" s="13">
        <v>1243.0</v>
      </c>
      <c r="B1245" s="13">
        <v>979.0</v>
      </c>
      <c r="C1245" s="13">
        <v>63.0</v>
      </c>
      <c r="D1245" s="12" t="s">
        <v>2166</v>
      </c>
      <c r="E1245" s="12" t="s">
        <v>2167</v>
      </c>
      <c r="F1245" s="13">
        <v>5.0</v>
      </c>
      <c r="G1245" s="13">
        <v>1.0</v>
      </c>
      <c r="H1245" s="13">
        <v>1.0</v>
      </c>
      <c r="I1245" s="13" t="s">
        <v>35</v>
      </c>
      <c r="J1245" s="13" t="s">
        <v>76</v>
      </c>
      <c r="K1245" s="13" t="s">
        <v>76</v>
      </c>
      <c r="L1245" s="13"/>
    </row>
    <row r="1246">
      <c r="A1246" s="13">
        <v>1244.0</v>
      </c>
      <c r="B1246" s="13">
        <v>979.0</v>
      </c>
      <c r="C1246" s="13">
        <v>61.0</v>
      </c>
      <c r="D1246" s="12" t="s">
        <v>2168</v>
      </c>
      <c r="E1246" s="12" t="s">
        <v>2169</v>
      </c>
      <c r="F1246" s="13">
        <v>5.0</v>
      </c>
      <c r="G1246" s="13">
        <v>1.0</v>
      </c>
      <c r="H1246" s="13">
        <v>0.0</v>
      </c>
      <c r="I1246" s="13" t="s">
        <v>35</v>
      </c>
      <c r="J1246" s="13" t="s">
        <v>76</v>
      </c>
      <c r="K1246" s="13" t="s">
        <v>76</v>
      </c>
      <c r="L1246" s="13"/>
    </row>
    <row r="1247">
      <c r="A1247" s="13">
        <v>1245.0</v>
      </c>
      <c r="B1247" s="13">
        <v>850.0</v>
      </c>
      <c r="C1247" s="13">
        <v>55.0</v>
      </c>
      <c r="D1247" s="12" t="s">
        <v>2170</v>
      </c>
      <c r="E1247" s="12" t="s">
        <v>2171</v>
      </c>
      <c r="F1247" s="13">
        <v>4.0</v>
      </c>
      <c r="G1247" s="13">
        <v>1.0</v>
      </c>
      <c r="H1247" s="13">
        <v>0.0</v>
      </c>
      <c r="I1247" s="13" t="s">
        <v>41</v>
      </c>
      <c r="J1247" s="13" t="s">
        <v>46</v>
      </c>
      <c r="K1247" s="13" t="s">
        <v>47</v>
      </c>
      <c r="L1247" s="13"/>
    </row>
    <row r="1248">
      <c r="A1248" s="13">
        <v>1246.0</v>
      </c>
      <c r="B1248" s="13">
        <v>850.0</v>
      </c>
      <c r="C1248" s="13">
        <v>29.0</v>
      </c>
      <c r="D1248" s="12"/>
      <c r="E1248" s="12" t="s">
        <v>2172</v>
      </c>
      <c r="F1248" s="13">
        <v>4.0</v>
      </c>
      <c r="G1248" s="13">
        <v>1.0</v>
      </c>
      <c r="H1248" s="13">
        <v>0.0</v>
      </c>
      <c r="I1248" s="13" t="s">
        <v>41</v>
      </c>
      <c r="J1248" s="13" t="s">
        <v>46</v>
      </c>
      <c r="K1248" s="13" t="s">
        <v>47</v>
      </c>
      <c r="L1248" s="13"/>
    </row>
    <row r="1249">
      <c r="A1249" s="13">
        <v>1247.0</v>
      </c>
      <c r="B1249" s="13">
        <v>850.0</v>
      </c>
      <c r="C1249" s="13">
        <v>51.0</v>
      </c>
      <c r="D1249" s="12" t="s">
        <v>2173</v>
      </c>
      <c r="E1249" s="12" t="s">
        <v>2174</v>
      </c>
      <c r="F1249" s="13">
        <v>5.0</v>
      </c>
      <c r="G1249" s="13">
        <v>1.0</v>
      </c>
      <c r="H1249" s="13">
        <v>0.0</v>
      </c>
      <c r="I1249" s="13" t="s">
        <v>41</v>
      </c>
      <c r="J1249" s="13" t="s">
        <v>46</v>
      </c>
      <c r="K1249" s="13" t="s">
        <v>47</v>
      </c>
      <c r="L1249" s="13"/>
    </row>
    <row r="1250">
      <c r="A1250" s="13">
        <v>1248.0</v>
      </c>
      <c r="B1250" s="13">
        <v>850.0</v>
      </c>
      <c r="C1250" s="13">
        <v>46.0</v>
      </c>
      <c r="D1250" s="12" t="s">
        <v>2175</v>
      </c>
      <c r="E1250" s="12" t="s">
        <v>2176</v>
      </c>
      <c r="F1250" s="13">
        <v>5.0</v>
      </c>
      <c r="G1250" s="13">
        <v>1.0</v>
      </c>
      <c r="H1250" s="13">
        <v>0.0</v>
      </c>
      <c r="I1250" s="13" t="s">
        <v>41</v>
      </c>
      <c r="J1250" s="13" t="s">
        <v>46</v>
      </c>
      <c r="K1250" s="13" t="s">
        <v>47</v>
      </c>
      <c r="L1250" s="13"/>
    </row>
    <row r="1251">
      <c r="A1251" s="13">
        <v>1249.0</v>
      </c>
      <c r="B1251" s="13">
        <v>1095.0</v>
      </c>
      <c r="C1251" s="13">
        <v>41.0</v>
      </c>
      <c r="D1251" s="12" t="s">
        <v>2177</v>
      </c>
      <c r="E1251" s="12" t="s">
        <v>2178</v>
      </c>
      <c r="F1251" s="13">
        <v>5.0</v>
      </c>
      <c r="G1251" s="13">
        <v>1.0</v>
      </c>
      <c r="H1251" s="13">
        <v>0.0</v>
      </c>
      <c r="I1251" s="13" t="s">
        <v>35</v>
      </c>
      <c r="J1251" s="13" t="s">
        <v>36</v>
      </c>
      <c r="K1251" s="13" t="s">
        <v>36</v>
      </c>
      <c r="L1251" s="13"/>
    </row>
    <row r="1252">
      <c r="A1252" s="13">
        <v>1250.0</v>
      </c>
      <c r="B1252" s="13">
        <v>850.0</v>
      </c>
      <c r="C1252" s="13">
        <v>59.0</v>
      </c>
      <c r="D1252" s="12" t="s">
        <v>2179</v>
      </c>
      <c r="E1252" s="12" t="s">
        <v>2180</v>
      </c>
      <c r="F1252" s="13">
        <v>5.0</v>
      </c>
      <c r="G1252" s="13">
        <v>1.0</v>
      </c>
      <c r="H1252" s="13">
        <v>1.0</v>
      </c>
      <c r="I1252" s="13" t="s">
        <v>41</v>
      </c>
      <c r="J1252" s="13" t="s">
        <v>46</v>
      </c>
      <c r="K1252" s="13" t="s">
        <v>47</v>
      </c>
      <c r="L1252" s="13"/>
    </row>
    <row r="1253">
      <c r="A1253" s="13">
        <v>1251.0</v>
      </c>
      <c r="B1253" s="13">
        <v>940.0</v>
      </c>
      <c r="C1253" s="13">
        <v>39.0</v>
      </c>
      <c r="D1253" s="12" t="s">
        <v>2181</v>
      </c>
      <c r="E1253" s="12" t="s">
        <v>2182</v>
      </c>
      <c r="F1253" s="13">
        <v>4.0</v>
      </c>
      <c r="G1253" s="13">
        <v>1.0</v>
      </c>
      <c r="H1253" s="13">
        <v>0.0</v>
      </c>
      <c r="I1253" s="13" t="s">
        <v>41</v>
      </c>
      <c r="J1253" s="13" t="s">
        <v>46</v>
      </c>
      <c r="K1253" s="13" t="s">
        <v>95</v>
      </c>
      <c r="L1253" s="13"/>
    </row>
    <row r="1254">
      <c r="A1254" s="13">
        <v>1252.0</v>
      </c>
      <c r="B1254" s="13">
        <v>850.0</v>
      </c>
      <c r="C1254" s="13">
        <v>28.0</v>
      </c>
      <c r="D1254" s="12" t="s">
        <v>2183</v>
      </c>
      <c r="E1254" s="12" t="s">
        <v>2184</v>
      </c>
      <c r="F1254" s="13">
        <v>4.0</v>
      </c>
      <c r="G1254" s="13">
        <v>1.0</v>
      </c>
      <c r="H1254" s="13">
        <v>11.0</v>
      </c>
      <c r="I1254" s="13" t="s">
        <v>41</v>
      </c>
      <c r="J1254" s="13" t="s">
        <v>46</v>
      </c>
      <c r="K1254" s="13" t="s">
        <v>47</v>
      </c>
      <c r="L1254" s="13"/>
    </row>
    <row r="1255">
      <c r="A1255" s="13">
        <v>1253.0</v>
      </c>
      <c r="B1255" s="13">
        <v>850.0</v>
      </c>
      <c r="C1255" s="13">
        <v>52.0</v>
      </c>
      <c r="D1255" s="12" t="s">
        <v>586</v>
      </c>
      <c r="E1255" s="12" t="s">
        <v>2185</v>
      </c>
      <c r="F1255" s="13">
        <v>5.0</v>
      </c>
      <c r="G1255" s="13">
        <v>1.0</v>
      </c>
      <c r="H1255" s="13">
        <v>1.0</v>
      </c>
      <c r="I1255" s="13" t="s">
        <v>41</v>
      </c>
      <c r="J1255" s="13" t="s">
        <v>46</v>
      </c>
      <c r="K1255" s="13" t="s">
        <v>47</v>
      </c>
      <c r="L1255" s="13"/>
    </row>
    <row r="1256">
      <c r="A1256" s="13">
        <v>1254.0</v>
      </c>
      <c r="B1256" s="13">
        <v>850.0</v>
      </c>
      <c r="C1256" s="13">
        <v>49.0</v>
      </c>
      <c r="D1256" s="12" t="s">
        <v>2186</v>
      </c>
      <c r="E1256" s="12" t="s">
        <v>2187</v>
      </c>
      <c r="F1256" s="13">
        <v>4.0</v>
      </c>
      <c r="G1256" s="13">
        <v>1.0</v>
      </c>
      <c r="H1256" s="13">
        <v>0.0</v>
      </c>
      <c r="I1256" s="13" t="s">
        <v>41</v>
      </c>
      <c r="J1256" s="13" t="s">
        <v>46</v>
      </c>
      <c r="K1256" s="13" t="s">
        <v>47</v>
      </c>
      <c r="L1256" s="13"/>
    </row>
    <row r="1257">
      <c r="A1257" s="13">
        <v>1255.0</v>
      </c>
      <c r="B1257" s="13">
        <v>1094.0</v>
      </c>
      <c r="C1257" s="13">
        <v>35.0</v>
      </c>
      <c r="D1257" s="12" t="s">
        <v>2188</v>
      </c>
      <c r="E1257" s="12" t="s">
        <v>2189</v>
      </c>
      <c r="F1257" s="13">
        <v>5.0</v>
      </c>
      <c r="G1257" s="13">
        <v>1.0</v>
      </c>
      <c r="H1257" s="13">
        <v>0.0</v>
      </c>
      <c r="I1257" s="13" t="s">
        <v>35</v>
      </c>
      <c r="J1257" s="13" t="s">
        <v>36</v>
      </c>
      <c r="K1257" s="13" t="s">
        <v>36</v>
      </c>
      <c r="L1257" s="13"/>
    </row>
    <row r="1258">
      <c r="A1258" s="13">
        <v>1256.0</v>
      </c>
      <c r="B1258" s="13">
        <v>868.0</v>
      </c>
      <c r="C1258" s="13">
        <v>41.0</v>
      </c>
      <c r="D1258" s="12" t="s">
        <v>1169</v>
      </c>
      <c r="E1258" s="12" t="s">
        <v>2190</v>
      </c>
      <c r="F1258" s="13">
        <v>5.0</v>
      </c>
      <c r="G1258" s="13">
        <v>1.0</v>
      </c>
      <c r="H1258" s="13">
        <v>6.0</v>
      </c>
      <c r="I1258" s="13" t="s">
        <v>35</v>
      </c>
      <c r="J1258" s="13" t="s">
        <v>46</v>
      </c>
      <c r="K1258" s="13" t="s">
        <v>52</v>
      </c>
      <c r="L1258" s="13"/>
    </row>
    <row r="1259">
      <c r="A1259" s="13">
        <v>1257.0</v>
      </c>
      <c r="B1259" s="13">
        <v>850.0</v>
      </c>
      <c r="C1259" s="13">
        <v>36.0</v>
      </c>
      <c r="D1259" s="12" t="s">
        <v>2191</v>
      </c>
      <c r="E1259" s="12" t="s">
        <v>2192</v>
      </c>
      <c r="F1259" s="13">
        <v>2.0</v>
      </c>
      <c r="G1259" s="13">
        <v>0.0</v>
      </c>
      <c r="H1259" s="13">
        <v>35.0</v>
      </c>
      <c r="I1259" s="13" t="s">
        <v>41</v>
      </c>
      <c r="J1259" s="13" t="s">
        <v>46</v>
      </c>
      <c r="K1259" s="13" t="s">
        <v>47</v>
      </c>
      <c r="L1259" s="13"/>
    </row>
    <row r="1260">
      <c r="A1260" s="13">
        <v>1258.0</v>
      </c>
      <c r="B1260" s="13">
        <v>850.0</v>
      </c>
      <c r="C1260" s="13">
        <v>73.0</v>
      </c>
      <c r="D1260" s="12" t="s">
        <v>2193</v>
      </c>
      <c r="E1260" s="12" t="s">
        <v>2194</v>
      </c>
      <c r="F1260" s="13">
        <v>3.0</v>
      </c>
      <c r="G1260" s="13">
        <v>1.0</v>
      </c>
      <c r="H1260" s="13">
        <v>0.0</v>
      </c>
      <c r="I1260" s="13" t="s">
        <v>41</v>
      </c>
      <c r="J1260" s="13" t="s">
        <v>46</v>
      </c>
      <c r="K1260" s="13" t="s">
        <v>47</v>
      </c>
      <c r="L1260" s="13"/>
    </row>
    <row r="1261">
      <c r="A1261" s="13">
        <v>1259.0</v>
      </c>
      <c r="B1261" s="13">
        <v>1095.0</v>
      </c>
      <c r="C1261" s="13">
        <v>32.0</v>
      </c>
      <c r="D1261" s="12" t="s">
        <v>2195</v>
      </c>
      <c r="E1261" s="12" t="s">
        <v>2196</v>
      </c>
      <c r="F1261" s="13">
        <v>5.0</v>
      </c>
      <c r="G1261" s="13">
        <v>1.0</v>
      </c>
      <c r="H1261" s="13">
        <v>0.0</v>
      </c>
      <c r="I1261" s="13" t="s">
        <v>35</v>
      </c>
      <c r="J1261" s="13" t="s">
        <v>36</v>
      </c>
      <c r="K1261" s="13" t="s">
        <v>36</v>
      </c>
      <c r="L1261" s="13"/>
    </row>
    <row r="1262">
      <c r="A1262" s="13">
        <v>1260.0</v>
      </c>
      <c r="B1262" s="13">
        <v>850.0</v>
      </c>
      <c r="C1262" s="13">
        <v>59.0</v>
      </c>
      <c r="D1262" s="12" t="s">
        <v>2197</v>
      </c>
      <c r="E1262" s="12" t="s">
        <v>2198</v>
      </c>
      <c r="F1262" s="13">
        <v>5.0</v>
      </c>
      <c r="G1262" s="13">
        <v>1.0</v>
      </c>
      <c r="H1262" s="13">
        <v>1.0</v>
      </c>
      <c r="I1262" s="13" t="s">
        <v>41</v>
      </c>
      <c r="J1262" s="13" t="s">
        <v>46</v>
      </c>
      <c r="K1262" s="13" t="s">
        <v>47</v>
      </c>
      <c r="L1262" s="13"/>
    </row>
    <row r="1263">
      <c r="A1263" s="13">
        <v>1261.0</v>
      </c>
      <c r="B1263" s="13">
        <v>979.0</v>
      </c>
      <c r="C1263" s="13">
        <v>60.0</v>
      </c>
      <c r="D1263" s="12" t="s">
        <v>2199</v>
      </c>
      <c r="E1263" s="12" t="s">
        <v>2200</v>
      </c>
      <c r="F1263" s="13">
        <v>5.0</v>
      </c>
      <c r="G1263" s="13">
        <v>1.0</v>
      </c>
      <c r="H1263" s="13">
        <v>0.0</v>
      </c>
      <c r="I1263" s="13" t="s">
        <v>35</v>
      </c>
      <c r="J1263" s="13" t="s">
        <v>76</v>
      </c>
      <c r="K1263" s="13" t="s">
        <v>76</v>
      </c>
      <c r="L1263" s="13"/>
    </row>
    <row r="1264">
      <c r="A1264" s="13">
        <v>1262.0</v>
      </c>
      <c r="B1264" s="13">
        <v>1095.0</v>
      </c>
      <c r="C1264" s="13">
        <v>20.0</v>
      </c>
      <c r="D1264" s="12"/>
      <c r="E1264" s="12" t="s">
        <v>2201</v>
      </c>
      <c r="F1264" s="13">
        <v>4.0</v>
      </c>
      <c r="G1264" s="13">
        <v>1.0</v>
      </c>
      <c r="H1264" s="13">
        <v>0.0</v>
      </c>
      <c r="I1264" s="13" t="s">
        <v>35</v>
      </c>
      <c r="J1264" s="13" t="s">
        <v>36</v>
      </c>
      <c r="K1264" s="13" t="s">
        <v>36</v>
      </c>
      <c r="L1264" s="13"/>
    </row>
    <row r="1265">
      <c r="A1265" s="13">
        <v>1263.0</v>
      </c>
      <c r="B1265" s="13">
        <v>1095.0</v>
      </c>
      <c r="C1265" s="13">
        <v>47.0</v>
      </c>
      <c r="D1265" s="12" t="s">
        <v>2202</v>
      </c>
      <c r="E1265" s="12" t="s">
        <v>2203</v>
      </c>
      <c r="F1265" s="13">
        <v>3.0</v>
      </c>
      <c r="G1265" s="13">
        <v>1.0</v>
      </c>
      <c r="H1265" s="13">
        <v>1.0</v>
      </c>
      <c r="I1265" s="13" t="s">
        <v>35</v>
      </c>
      <c r="J1265" s="13" t="s">
        <v>36</v>
      </c>
      <c r="K1265" s="13" t="s">
        <v>36</v>
      </c>
      <c r="L1265" s="13"/>
    </row>
    <row r="1266">
      <c r="A1266" s="13">
        <v>1264.0</v>
      </c>
      <c r="B1266" s="13">
        <v>850.0</v>
      </c>
      <c r="C1266" s="13">
        <v>40.0</v>
      </c>
      <c r="D1266" s="12" t="s">
        <v>2204</v>
      </c>
      <c r="E1266" s="12" t="s">
        <v>2205</v>
      </c>
      <c r="F1266" s="13">
        <v>5.0</v>
      </c>
      <c r="G1266" s="13">
        <v>1.0</v>
      </c>
      <c r="H1266" s="13">
        <v>0.0</v>
      </c>
      <c r="I1266" s="13" t="s">
        <v>41</v>
      </c>
      <c r="J1266" s="13" t="s">
        <v>46</v>
      </c>
      <c r="K1266" s="13" t="s">
        <v>47</v>
      </c>
      <c r="L1266" s="13"/>
    </row>
    <row r="1267">
      <c r="A1267" s="13">
        <v>1265.0</v>
      </c>
      <c r="B1267" s="13">
        <v>1095.0</v>
      </c>
      <c r="C1267" s="13">
        <v>63.0</v>
      </c>
      <c r="D1267" s="12" t="s">
        <v>1540</v>
      </c>
      <c r="E1267" s="12" t="s">
        <v>2206</v>
      </c>
      <c r="F1267" s="13">
        <v>2.0</v>
      </c>
      <c r="G1267" s="13">
        <v>0.0</v>
      </c>
      <c r="H1267" s="13">
        <v>1.0</v>
      </c>
      <c r="I1267" s="13" t="s">
        <v>35</v>
      </c>
      <c r="J1267" s="13" t="s">
        <v>36</v>
      </c>
      <c r="K1267" s="13" t="s">
        <v>36</v>
      </c>
      <c r="L1267" s="13"/>
    </row>
    <row r="1268">
      <c r="A1268" s="13">
        <v>1266.0</v>
      </c>
      <c r="B1268" s="13">
        <v>1095.0</v>
      </c>
      <c r="C1268" s="13">
        <v>26.0</v>
      </c>
      <c r="D1268" s="12" t="s">
        <v>2207</v>
      </c>
      <c r="E1268" s="12" t="s">
        <v>2208</v>
      </c>
      <c r="F1268" s="13">
        <v>5.0</v>
      </c>
      <c r="G1268" s="13">
        <v>1.0</v>
      </c>
      <c r="H1268" s="13">
        <v>0.0</v>
      </c>
      <c r="I1268" s="13" t="s">
        <v>35</v>
      </c>
      <c r="J1268" s="13" t="s">
        <v>36</v>
      </c>
      <c r="K1268" s="13" t="s">
        <v>36</v>
      </c>
      <c r="L1268" s="13"/>
    </row>
    <row r="1269">
      <c r="A1269" s="13">
        <v>1267.0</v>
      </c>
      <c r="B1269" s="13">
        <v>1095.0</v>
      </c>
      <c r="C1269" s="13">
        <v>27.0</v>
      </c>
      <c r="D1269" s="12" t="s">
        <v>2209</v>
      </c>
      <c r="E1269" s="12" t="s">
        <v>2210</v>
      </c>
      <c r="F1269" s="13">
        <v>2.0</v>
      </c>
      <c r="G1269" s="13">
        <v>0.0</v>
      </c>
      <c r="H1269" s="13">
        <v>3.0</v>
      </c>
      <c r="I1269" s="13" t="s">
        <v>35</v>
      </c>
      <c r="J1269" s="13" t="s">
        <v>36</v>
      </c>
      <c r="K1269" s="13" t="s">
        <v>36</v>
      </c>
      <c r="L1269" s="13"/>
    </row>
    <row r="1270">
      <c r="A1270" s="13">
        <v>1268.0</v>
      </c>
      <c r="B1270" s="13">
        <v>850.0</v>
      </c>
      <c r="C1270" s="13">
        <v>41.0</v>
      </c>
      <c r="D1270" s="12" t="s">
        <v>586</v>
      </c>
      <c r="E1270" s="12" t="s">
        <v>2211</v>
      </c>
      <c r="F1270" s="13">
        <v>5.0</v>
      </c>
      <c r="G1270" s="13">
        <v>1.0</v>
      </c>
      <c r="H1270" s="13">
        <v>0.0</v>
      </c>
      <c r="I1270" s="13" t="s">
        <v>35</v>
      </c>
      <c r="J1270" s="13" t="s">
        <v>46</v>
      </c>
      <c r="K1270" s="13" t="s">
        <v>47</v>
      </c>
      <c r="L1270" s="13"/>
    </row>
    <row r="1271">
      <c r="A1271" s="13">
        <v>1269.0</v>
      </c>
      <c r="B1271" s="13">
        <v>850.0</v>
      </c>
      <c r="C1271" s="13">
        <v>47.0</v>
      </c>
      <c r="D1271" s="12" t="s">
        <v>2212</v>
      </c>
      <c r="E1271" s="12" t="s">
        <v>2213</v>
      </c>
      <c r="F1271" s="13">
        <v>5.0</v>
      </c>
      <c r="G1271" s="13">
        <v>1.0</v>
      </c>
      <c r="H1271" s="13">
        <v>0.0</v>
      </c>
      <c r="I1271" s="13" t="s">
        <v>35</v>
      </c>
      <c r="J1271" s="13" t="s">
        <v>46</v>
      </c>
      <c r="K1271" s="13" t="s">
        <v>47</v>
      </c>
      <c r="L1271" s="13"/>
    </row>
    <row r="1272">
      <c r="A1272" s="13">
        <v>1270.0</v>
      </c>
      <c r="B1272" s="13">
        <v>850.0</v>
      </c>
      <c r="C1272" s="13">
        <v>21.0</v>
      </c>
      <c r="D1272" s="12" t="s">
        <v>2214</v>
      </c>
      <c r="E1272" s="12" t="s">
        <v>2215</v>
      </c>
      <c r="F1272" s="13">
        <v>5.0</v>
      </c>
      <c r="G1272" s="13">
        <v>1.0</v>
      </c>
      <c r="H1272" s="13">
        <v>1.0</v>
      </c>
      <c r="I1272" s="13" t="s">
        <v>35</v>
      </c>
      <c r="J1272" s="13" t="s">
        <v>46</v>
      </c>
      <c r="K1272" s="13" t="s">
        <v>47</v>
      </c>
      <c r="L1272" s="13"/>
    </row>
    <row r="1273">
      <c r="A1273" s="13">
        <v>1271.0</v>
      </c>
      <c r="B1273" s="13">
        <v>850.0</v>
      </c>
      <c r="C1273" s="13">
        <v>54.0</v>
      </c>
      <c r="D1273" s="12"/>
      <c r="E1273" s="12" t="s">
        <v>2216</v>
      </c>
      <c r="F1273" s="13">
        <v>5.0</v>
      </c>
      <c r="G1273" s="13">
        <v>1.0</v>
      </c>
      <c r="H1273" s="13">
        <v>0.0</v>
      </c>
      <c r="I1273" s="13" t="s">
        <v>35</v>
      </c>
      <c r="J1273" s="13" t="s">
        <v>46</v>
      </c>
      <c r="K1273" s="13" t="s">
        <v>47</v>
      </c>
      <c r="L1273" s="13"/>
    </row>
    <row r="1274">
      <c r="A1274" s="13">
        <v>1272.0</v>
      </c>
      <c r="B1274" s="13">
        <v>850.0</v>
      </c>
      <c r="C1274" s="13">
        <v>33.0</v>
      </c>
      <c r="D1274" s="12" t="s">
        <v>2217</v>
      </c>
      <c r="E1274" s="12" t="s">
        <v>2218</v>
      </c>
      <c r="F1274" s="13">
        <v>3.0</v>
      </c>
      <c r="G1274" s="13">
        <v>0.0</v>
      </c>
      <c r="H1274" s="13">
        <v>2.0</v>
      </c>
      <c r="I1274" s="13" t="s">
        <v>35</v>
      </c>
      <c r="J1274" s="13" t="s">
        <v>46</v>
      </c>
      <c r="K1274" s="13" t="s">
        <v>47</v>
      </c>
      <c r="L1274" s="13"/>
    </row>
    <row r="1275">
      <c r="A1275" s="13">
        <v>1273.0</v>
      </c>
      <c r="B1275" s="13">
        <v>850.0</v>
      </c>
      <c r="C1275" s="13">
        <v>34.0</v>
      </c>
      <c r="D1275" s="12" t="s">
        <v>2219</v>
      </c>
      <c r="E1275" s="12" t="s">
        <v>2220</v>
      </c>
      <c r="F1275" s="13">
        <v>2.0</v>
      </c>
      <c r="G1275" s="13">
        <v>0.0</v>
      </c>
      <c r="H1275" s="13">
        <v>0.0</v>
      </c>
      <c r="I1275" s="13" t="s">
        <v>35</v>
      </c>
      <c r="J1275" s="13" t="s">
        <v>46</v>
      </c>
      <c r="K1275" s="13" t="s">
        <v>47</v>
      </c>
      <c r="L1275" s="13"/>
    </row>
    <row r="1276">
      <c r="A1276" s="13">
        <v>1274.0</v>
      </c>
      <c r="B1276" s="13">
        <v>1095.0</v>
      </c>
      <c r="C1276" s="13">
        <v>45.0</v>
      </c>
      <c r="D1276" s="12" t="s">
        <v>233</v>
      </c>
      <c r="E1276" s="12" t="s">
        <v>2221</v>
      </c>
      <c r="F1276" s="13">
        <v>4.0</v>
      </c>
      <c r="G1276" s="13">
        <v>1.0</v>
      </c>
      <c r="H1276" s="13">
        <v>65.0</v>
      </c>
      <c r="I1276" s="13" t="s">
        <v>35</v>
      </c>
      <c r="J1276" s="13" t="s">
        <v>36</v>
      </c>
      <c r="K1276" s="13" t="s">
        <v>36</v>
      </c>
      <c r="L1276" s="13"/>
    </row>
    <row r="1277">
      <c r="A1277" s="13">
        <v>1275.0</v>
      </c>
      <c r="B1277" s="13">
        <v>850.0</v>
      </c>
      <c r="C1277" s="13">
        <v>34.0</v>
      </c>
      <c r="D1277" s="12" t="s">
        <v>2222</v>
      </c>
      <c r="E1277" s="12" t="s">
        <v>2223</v>
      </c>
      <c r="F1277" s="13">
        <v>4.0</v>
      </c>
      <c r="G1277" s="13">
        <v>1.0</v>
      </c>
      <c r="H1277" s="13">
        <v>0.0</v>
      </c>
      <c r="I1277" s="13" t="s">
        <v>35</v>
      </c>
      <c r="J1277" s="13" t="s">
        <v>46</v>
      </c>
      <c r="K1277" s="13" t="s">
        <v>47</v>
      </c>
      <c r="L1277" s="13"/>
    </row>
    <row r="1278">
      <c r="A1278" s="13">
        <v>1276.0</v>
      </c>
      <c r="B1278" s="13">
        <v>850.0</v>
      </c>
      <c r="C1278" s="13">
        <v>37.0</v>
      </c>
      <c r="D1278" s="12" t="s">
        <v>2224</v>
      </c>
      <c r="E1278" s="12" t="s">
        <v>2225</v>
      </c>
      <c r="F1278" s="13">
        <v>5.0</v>
      </c>
      <c r="G1278" s="13">
        <v>1.0</v>
      </c>
      <c r="H1278" s="13">
        <v>2.0</v>
      </c>
      <c r="I1278" s="13" t="s">
        <v>35</v>
      </c>
      <c r="J1278" s="13" t="s">
        <v>46</v>
      </c>
      <c r="K1278" s="13" t="s">
        <v>47</v>
      </c>
      <c r="L1278" s="13"/>
    </row>
    <row r="1279">
      <c r="A1279" s="13">
        <v>1277.0</v>
      </c>
      <c r="B1279" s="13">
        <v>850.0</v>
      </c>
      <c r="C1279" s="13">
        <v>49.0</v>
      </c>
      <c r="D1279" s="12" t="s">
        <v>2226</v>
      </c>
      <c r="E1279" s="12" t="s">
        <v>2227</v>
      </c>
      <c r="F1279" s="13">
        <v>5.0</v>
      </c>
      <c r="G1279" s="13">
        <v>1.0</v>
      </c>
      <c r="H1279" s="13">
        <v>0.0</v>
      </c>
      <c r="I1279" s="13" t="s">
        <v>35</v>
      </c>
      <c r="J1279" s="13" t="s">
        <v>46</v>
      </c>
      <c r="K1279" s="13" t="s">
        <v>47</v>
      </c>
      <c r="L1279" s="13"/>
    </row>
    <row r="1280">
      <c r="A1280" s="13">
        <v>1278.0</v>
      </c>
      <c r="B1280" s="13">
        <v>850.0</v>
      </c>
      <c r="C1280" s="13">
        <v>59.0</v>
      </c>
      <c r="D1280" s="12" t="s">
        <v>233</v>
      </c>
      <c r="E1280" s="12" t="s">
        <v>2228</v>
      </c>
      <c r="F1280" s="13">
        <v>5.0</v>
      </c>
      <c r="G1280" s="13">
        <v>1.0</v>
      </c>
      <c r="H1280" s="13">
        <v>8.0</v>
      </c>
      <c r="I1280" s="13" t="s">
        <v>35</v>
      </c>
      <c r="J1280" s="13" t="s">
        <v>46</v>
      </c>
      <c r="K1280" s="13" t="s">
        <v>47</v>
      </c>
      <c r="L1280" s="13"/>
    </row>
    <row r="1281">
      <c r="A1281" s="13">
        <v>1279.0</v>
      </c>
      <c r="B1281" s="13">
        <v>850.0</v>
      </c>
      <c r="C1281" s="13">
        <v>32.0</v>
      </c>
      <c r="D1281" s="12" t="s">
        <v>2229</v>
      </c>
      <c r="E1281" s="12" t="s">
        <v>2230</v>
      </c>
      <c r="F1281" s="13">
        <v>2.0</v>
      </c>
      <c r="G1281" s="13">
        <v>0.0</v>
      </c>
      <c r="H1281" s="13">
        <v>0.0</v>
      </c>
      <c r="I1281" s="13" t="s">
        <v>35</v>
      </c>
      <c r="J1281" s="13" t="s">
        <v>46</v>
      </c>
      <c r="K1281" s="13" t="s">
        <v>47</v>
      </c>
      <c r="L1281" s="13"/>
    </row>
    <row r="1282">
      <c r="A1282" s="13">
        <v>1280.0</v>
      </c>
      <c r="B1282" s="13">
        <v>940.0</v>
      </c>
      <c r="C1282" s="13">
        <v>48.0</v>
      </c>
      <c r="D1282" s="12" t="s">
        <v>2231</v>
      </c>
      <c r="E1282" s="12" t="s">
        <v>2232</v>
      </c>
      <c r="F1282" s="13">
        <v>5.0</v>
      </c>
      <c r="G1282" s="13">
        <v>1.0</v>
      </c>
      <c r="H1282" s="13">
        <v>2.0</v>
      </c>
      <c r="I1282" s="13" t="s">
        <v>41</v>
      </c>
      <c r="J1282" s="13" t="s">
        <v>46</v>
      </c>
      <c r="K1282" s="13" t="s">
        <v>95</v>
      </c>
      <c r="L1282" s="13"/>
    </row>
    <row r="1283">
      <c r="A1283" s="13">
        <v>1281.0</v>
      </c>
      <c r="B1283" s="13">
        <v>875.0</v>
      </c>
      <c r="C1283" s="13">
        <v>50.0</v>
      </c>
      <c r="D1283" s="12" t="s">
        <v>1921</v>
      </c>
      <c r="E1283" s="12" t="s">
        <v>2233</v>
      </c>
      <c r="F1283" s="13">
        <v>5.0</v>
      </c>
      <c r="G1283" s="13">
        <v>1.0</v>
      </c>
      <c r="H1283" s="13">
        <v>1.0</v>
      </c>
      <c r="I1283" s="13" t="s">
        <v>35</v>
      </c>
      <c r="J1283" s="13" t="s">
        <v>46</v>
      </c>
      <c r="K1283" s="13" t="s">
        <v>52</v>
      </c>
      <c r="L1283" s="13"/>
    </row>
    <row r="1284">
      <c r="A1284" s="13">
        <v>1282.0</v>
      </c>
      <c r="B1284" s="13">
        <v>868.0</v>
      </c>
      <c r="C1284" s="13">
        <v>38.0</v>
      </c>
      <c r="D1284" s="12" t="s">
        <v>2234</v>
      </c>
      <c r="E1284" s="12" t="s">
        <v>2235</v>
      </c>
      <c r="F1284" s="13">
        <v>4.0</v>
      </c>
      <c r="G1284" s="13">
        <v>1.0</v>
      </c>
      <c r="H1284" s="13">
        <v>3.0</v>
      </c>
      <c r="I1284" s="13" t="s">
        <v>35</v>
      </c>
      <c r="J1284" s="13" t="s">
        <v>46</v>
      </c>
      <c r="K1284" s="13" t="s">
        <v>52</v>
      </c>
      <c r="L1284" s="13"/>
    </row>
    <row r="1285">
      <c r="A1285" s="13">
        <v>1283.0</v>
      </c>
      <c r="B1285" s="13">
        <v>850.0</v>
      </c>
      <c r="C1285" s="13">
        <v>33.0</v>
      </c>
      <c r="D1285" s="12" t="s">
        <v>2236</v>
      </c>
      <c r="E1285" s="12" t="s">
        <v>2237</v>
      </c>
      <c r="F1285" s="13">
        <v>4.0</v>
      </c>
      <c r="G1285" s="13">
        <v>1.0</v>
      </c>
      <c r="H1285" s="13">
        <v>0.0</v>
      </c>
      <c r="I1285" s="13" t="s">
        <v>35</v>
      </c>
      <c r="J1285" s="13" t="s">
        <v>46</v>
      </c>
      <c r="K1285" s="13" t="s">
        <v>47</v>
      </c>
      <c r="L1285" s="13"/>
    </row>
    <row r="1286">
      <c r="A1286" s="13">
        <v>1284.0</v>
      </c>
      <c r="B1286" s="13">
        <v>1095.0</v>
      </c>
      <c r="C1286" s="13">
        <v>43.0</v>
      </c>
      <c r="D1286" s="12" t="s">
        <v>2238</v>
      </c>
      <c r="E1286" s="12" t="s">
        <v>2239</v>
      </c>
      <c r="F1286" s="13">
        <v>3.0</v>
      </c>
      <c r="G1286" s="13">
        <v>1.0</v>
      </c>
      <c r="H1286" s="13">
        <v>0.0</v>
      </c>
      <c r="I1286" s="13" t="s">
        <v>35</v>
      </c>
      <c r="J1286" s="13" t="s">
        <v>36</v>
      </c>
      <c r="K1286" s="13" t="s">
        <v>36</v>
      </c>
      <c r="L1286" s="13"/>
    </row>
    <row r="1287">
      <c r="A1287" s="13">
        <v>1285.0</v>
      </c>
      <c r="B1287" s="13">
        <v>979.0</v>
      </c>
      <c r="C1287" s="13">
        <v>37.0</v>
      </c>
      <c r="D1287" s="12" t="s">
        <v>2240</v>
      </c>
      <c r="E1287" s="12" t="s">
        <v>2241</v>
      </c>
      <c r="F1287" s="13">
        <v>5.0</v>
      </c>
      <c r="G1287" s="13">
        <v>1.0</v>
      </c>
      <c r="H1287" s="13">
        <v>1.0</v>
      </c>
      <c r="I1287" s="13" t="s">
        <v>35</v>
      </c>
      <c r="J1287" s="13" t="s">
        <v>76</v>
      </c>
      <c r="K1287" s="13" t="s">
        <v>76</v>
      </c>
      <c r="L1287" s="13"/>
    </row>
    <row r="1288">
      <c r="A1288" s="13">
        <v>1286.0</v>
      </c>
      <c r="B1288" s="13">
        <v>875.0</v>
      </c>
      <c r="C1288" s="13">
        <v>37.0</v>
      </c>
      <c r="D1288" s="12" t="s">
        <v>2242</v>
      </c>
      <c r="E1288" s="12" t="s">
        <v>2243</v>
      </c>
      <c r="F1288" s="13">
        <v>5.0</v>
      </c>
      <c r="G1288" s="13">
        <v>1.0</v>
      </c>
      <c r="H1288" s="13">
        <v>5.0</v>
      </c>
      <c r="I1288" s="13" t="s">
        <v>35</v>
      </c>
      <c r="J1288" s="13" t="s">
        <v>46</v>
      </c>
      <c r="K1288" s="13" t="s">
        <v>52</v>
      </c>
      <c r="L1288" s="13"/>
    </row>
    <row r="1289">
      <c r="A1289" s="13">
        <v>1287.0</v>
      </c>
      <c r="B1289" s="13">
        <v>1095.0</v>
      </c>
      <c r="C1289" s="13">
        <v>23.0</v>
      </c>
      <c r="D1289" s="12" t="s">
        <v>2244</v>
      </c>
      <c r="E1289" s="12" t="s">
        <v>2245</v>
      </c>
      <c r="F1289" s="13">
        <v>5.0</v>
      </c>
      <c r="G1289" s="13">
        <v>1.0</v>
      </c>
      <c r="H1289" s="13">
        <v>6.0</v>
      </c>
      <c r="I1289" s="13" t="s">
        <v>35</v>
      </c>
      <c r="J1289" s="13" t="s">
        <v>36</v>
      </c>
      <c r="K1289" s="13" t="s">
        <v>36</v>
      </c>
      <c r="L1289" s="13"/>
    </row>
    <row r="1290">
      <c r="A1290" s="13">
        <v>1288.0</v>
      </c>
      <c r="B1290" s="13">
        <v>850.0</v>
      </c>
      <c r="C1290" s="13">
        <v>39.0</v>
      </c>
      <c r="D1290" s="12" t="s">
        <v>2246</v>
      </c>
      <c r="E1290" s="12" t="s">
        <v>2247</v>
      </c>
      <c r="F1290" s="13">
        <v>2.0</v>
      </c>
      <c r="G1290" s="13">
        <v>0.0</v>
      </c>
      <c r="H1290" s="13">
        <v>0.0</v>
      </c>
      <c r="I1290" s="13" t="s">
        <v>35</v>
      </c>
      <c r="J1290" s="13" t="s">
        <v>46</v>
      </c>
      <c r="K1290" s="13" t="s">
        <v>47</v>
      </c>
      <c r="L1290" s="13"/>
    </row>
    <row r="1291">
      <c r="A1291" s="13">
        <v>1289.0</v>
      </c>
      <c r="B1291" s="13">
        <v>850.0</v>
      </c>
      <c r="C1291" s="13">
        <v>34.0</v>
      </c>
      <c r="D1291" s="12"/>
      <c r="E1291" s="12" t="s">
        <v>2248</v>
      </c>
      <c r="F1291" s="13">
        <v>3.0</v>
      </c>
      <c r="G1291" s="13">
        <v>1.0</v>
      </c>
      <c r="H1291" s="13">
        <v>0.0</v>
      </c>
      <c r="I1291" s="13" t="s">
        <v>35</v>
      </c>
      <c r="J1291" s="13" t="s">
        <v>46</v>
      </c>
      <c r="K1291" s="13" t="s">
        <v>47</v>
      </c>
      <c r="L1291" s="13"/>
    </row>
    <row r="1292">
      <c r="A1292" s="13">
        <v>1290.0</v>
      </c>
      <c r="B1292" s="13">
        <v>1095.0</v>
      </c>
      <c r="C1292" s="13">
        <v>35.0</v>
      </c>
      <c r="D1292" s="12" t="s">
        <v>2249</v>
      </c>
      <c r="E1292" s="12" t="s">
        <v>2250</v>
      </c>
      <c r="F1292" s="13">
        <v>5.0</v>
      </c>
      <c r="G1292" s="13">
        <v>1.0</v>
      </c>
      <c r="H1292" s="13">
        <v>7.0</v>
      </c>
      <c r="I1292" s="13" t="s">
        <v>35</v>
      </c>
      <c r="J1292" s="13" t="s">
        <v>36</v>
      </c>
      <c r="K1292" s="13" t="s">
        <v>36</v>
      </c>
      <c r="L1292" s="13"/>
    </row>
    <row r="1293">
      <c r="A1293" s="13">
        <v>1291.0</v>
      </c>
      <c r="B1293" s="13">
        <v>850.0</v>
      </c>
      <c r="C1293" s="13">
        <v>61.0</v>
      </c>
      <c r="D1293" s="12" t="s">
        <v>2251</v>
      </c>
      <c r="E1293" s="12" t="s">
        <v>2252</v>
      </c>
      <c r="F1293" s="13">
        <v>4.0</v>
      </c>
      <c r="G1293" s="13">
        <v>1.0</v>
      </c>
      <c r="H1293" s="13">
        <v>0.0</v>
      </c>
      <c r="I1293" s="13" t="s">
        <v>35</v>
      </c>
      <c r="J1293" s="13" t="s">
        <v>46</v>
      </c>
      <c r="K1293" s="13" t="s">
        <v>47</v>
      </c>
      <c r="L1293" s="13"/>
    </row>
    <row r="1294">
      <c r="A1294" s="13">
        <v>1292.0</v>
      </c>
      <c r="B1294" s="13">
        <v>873.0</v>
      </c>
      <c r="C1294" s="13">
        <v>60.0</v>
      </c>
      <c r="D1294" s="12" t="s">
        <v>2253</v>
      </c>
      <c r="E1294" s="12" t="s">
        <v>2254</v>
      </c>
      <c r="F1294" s="13">
        <v>4.0</v>
      </c>
      <c r="G1294" s="13">
        <v>1.0</v>
      </c>
      <c r="H1294" s="13">
        <v>1.0</v>
      </c>
      <c r="I1294" s="13" t="s">
        <v>35</v>
      </c>
      <c r="J1294" s="13" t="s">
        <v>46</v>
      </c>
      <c r="K1294" s="13" t="s">
        <v>52</v>
      </c>
      <c r="L1294" s="13"/>
    </row>
    <row r="1295">
      <c r="A1295" s="13">
        <v>1293.0</v>
      </c>
      <c r="B1295" s="13">
        <v>850.0</v>
      </c>
      <c r="C1295" s="13">
        <v>36.0</v>
      </c>
      <c r="D1295" s="12"/>
      <c r="E1295" s="12" t="s">
        <v>2255</v>
      </c>
      <c r="F1295" s="13">
        <v>4.0</v>
      </c>
      <c r="G1295" s="13">
        <v>1.0</v>
      </c>
      <c r="H1295" s="13">
        <v>0.0</v>
      </c>
      <c r="I1295" s="13" t="s">
        <v>35</v>
      </c>
      <c r="J1295" s="13" t="s">
        <v>46</v>
      </c>
      <c r="K1295" s="13" t="s">
        <v>47</v>
      </c>
      <c r="L1295" s="13"/>
    </row>
    <row r="1296">
      <c r="A1296" s="13">
        <v>1294.0</v>
      </c>
      <c r="B1296" s="13">
        <v>1095.0</v>
      </c>
      <c r="C1296" s="13">
        <v>29.0</v>
      </c>
      <c r="D1296" s="12"/>
      <c r="E1296" s="12" t="s">
        <v>2256</v>
      </c>
      <c r="F1296" s="13">
        <v>5.0</v>
      </c>
      <c r="G1296" s="13">
        <v>1.0</v>
      </c>
      <c r="H1296" s="13">
        <v>117.0</v>
      </c>
      <c r="I1296" s="13" t="s">
        <v>35</v>
      </c>
      <c r="J1296" s="13" t="s">
        <v>36</v>
      </c>
      <c r="K1296" s="13" t="s">
        <v>36</v>
      </c>
      <c r="L1296" s="13"/>
    </row>
    <row r="1297">
      <c r="A1297" s="13">
        <v>1295.0</v>
      </c>
      <c r="B1297" s="13">
        <v>875.0</v>
      </c>
      <c r="C1297" s="13">
        <v>42.0</v>
      </c>
      <c r="D1297" s="12" t="s">
        <v>2257</v>
      </c>
      <c r="E1297" s="12" t="s">
        <v>2258</v>
      </c>
      <c r="F1297" s="13">
        <v>4.0</v>
      </c>
      <c r="G1297" s="13">
        <v>1.0</v>
      </c>
      <c r="H1297" s="13">
        <v>1.0</v>
      </c>
      <c r="I1297" s="13" t="s">
        <v>35</v>
      </c>
      <c r="J1297" s="13" t="s">
        <v>46</v>
      </c>
      <c r="K1297" s="13" t="s">
        <v>52</v>
      </c>
      <c r="L1297" s="13"/>
    </row>
    <row r="1298">
      <c r="A1298" s="13">
        <v>1296.0</v>
      </c>
      <c r="B1298" s="13">
        <v>1095.0</v>
      </c>
      <c r="C1298" s="13">
        <v>56.0</v>
      </c>
      <c r="D1298" s="12"/>
      <c r="E1298" s="12" t="s">
        <v>2259</v>
      </c>
      <c r="F1298" s="13">
        <v>4.0</v>
      </c>
      <c r="G1298" s="13">
        <v>1.0</v>
      </c>
      <c r="H1298" s="13">
        <v>0.0</v>
      </c>
      <c r="I1298" s="13" t="s">
        <v>35</v>
      </c>
      <c r="J1298" s="13" t="s">
        <v>36</v>
      </c>
      <c r="K1298" s="13" t="s">
        <v>36</v>
      </c>
      <c r="L1298" s="13"/>
    </row>
    <row r="1299">
      <c r="A1299" s="13">
        <v>1297.0</v>
      </c>
      <c r="B1299" s="13">
        <v>1095.0</v>
      </c>
      <c r="C1299" s="13">
        <v>34.0</v>
      </c>
      <c r="D1299" s="12" t="s">
        <v>2260</v>
      </c>
      <c r="E1299" s="12" t="s">
        <v>2261</v>
      </c>
      <c r="F1299" s="13">
        <v>4.0</v>
      </c>
      <c r="G1299" s="13">
        <v>1.0</v>
      </c>
      <c r="H1299" s="13">
        <v>19.0</v>
      </c>
      <c r="I1299" s="13" t="s">
        <v>35</v>
      </c>
      <c r="J1299" s="13" t="s">
        <v>36</v>
      </c>
      <c r="K1299" s="13" t="s">
        <v>36</v>
      </c>
      <c r="L1299" s="13"/>
    </row>
    <row r="1300">
      <c r="A1300" s="13">
        <v>1298.0</v>
      </c>
      <c r="B1300" s="13">
        <v>1095.0</v>
      </c>
      <c r="C1300" s="13">
        <v>55.0</v>
      </c>
      <c r="D1300" s="12"/>
      <c r="E1300" s="12"/>
      <c r="F1300" s="13">
        <v>5.0</v>
      </c>
      <c r="G1300" s="13">
        <v>1.0</v>
      </c>
      <c r="H1300" s="13">
        <v>0.0</v>
      </c>
      <c r="I1300" s="13" t="s">
        <v>35</v>
      </c>
      <c r="J1300" s="13" t="s">
        <v>36</v>
      </c>
      <c r="K1300" s="13" t="s">
        <v>36</v>
      </c>
      <c r="L1300" s="13"/>
    </row>
    <row r="1301">
      <c r="A1301" s="13">
        <v>1299.0</v>
      </c>
      <c r="B1301" s="13">
        <v>868.0</v>
      </c>
      <c r="C1301" s="13">
        <v>42.0</v>
      </c>
      <c r="D1301" s="12" t="s">
        <v>2262</v>
      </c>
      <c r="E1301" s="12" t="s">
        <v>2263</v>
      </c>
      <c r="F1301" s="13">
        <v>5.0</v>
      </c>
      <c r="G1301" s="13">
        <v>1.0</v>
      </c>
      <c r="H1301" s="13">
        <v>4.0</v>
      </c>
      <c r="I1301" s="13" t="s">
        <v>41</v>
      </c>
      <c r="J1301" s="13" t="s">
        <v>46</v>
      </c>
      <c r="K1301" s="13" t="s">
        <v>52</v>
      </c>
      <c r="L1301" s="13"/>
    </row>
    <row r="1302">
      <c r="A1302" s="13">
        <v>1300.0</v>
      </c>
      <c r="B1302" s="13">
        <v>850.0</v>
      </c>
      <c r="C1302" s="13">
        <v>65.0</v>
      </c>
      <c r="D1302" s="12" t="s">
        <v>2264</v>
      </c>
      <c r="E1302" s="12" t="s">
        <v>2265</v>
      </c>
      <c r="F1302" s="13">
        <v>2.0</v>
      </c>
      <c r="G1302" s="13">
        <v>0.0</v>
      </c>
      <c r="H1302" s="13">
        <v>1.0</v>
      </c>
      <c r="I1302" s="13" t="s">
        <v>35</v>
      </c>
      <c r="J1302" s="13" t="s">
        <v>46</v>
      </c>
      <c r="K1302" s="13" t="s">
        <v>47</v>
      </c>
      <c r="L1302" s="13"/>
    </row>
    <row r="1303">
      <c r="A1303" s="13">
        <v>1301.0</v>
      </c>
      <c r="B1303" s="13">
        <v>1028.0</v>
      </c>
      <c r="C1303" s="13">
        <v>35.0</v>
      </c>
      <c r="D1303" s="12" t="s">
        <v>2266</v>
      </c>
      <c r="E1303" s="12" t="s">
        <v>2267</v>
      </c>
      <c r="F1303" s="13">
        <v>5.0</v>
      </c>
      <c r="G1303" s="13">
        <v>1.0</v>
      </c>
      <c r="H1303" s="13">
        <v>2.0</v>
      </c>
      <c r="I1303" s="13" t="s">
        <v>35</v>
      </c>
      <c r="J1303" s="13" t="s">
        <v>42</v>
      </c>
      <c r="K1303" s="13" t="s">
        <v>435</v>
      </c>
      <c r="L1303" s="13"/>
    </row>
    <row r="1304">
      <c r="A1304" s="13">
        <v>1302.0</v>
      </c>
      <c r="B1304" s="13">
        <v>1095.0</v>
      </c>
      <c r="C1304" s="13">
        <v>35.0</v>
      </c>
      <c r="D1304" s="12" t="s">
        <v>2268</v>
      </c>
      <c r="E1304" s="12" t="s">
        <v>2269</v>
      </c>
      <c r="F1304" s="13">
        <v>5.0</v>
      </c>
      <c r="G1304" s="13">
        <v>1.0</v>
      </c>
      <c r="H1304" s="13">
        <v>8.0</v>
      </c>
      <c r="I1304" s="13" t="s">
        <v>35</v>
      </c>
      <c r="J1304" s="13" t="s">
        <v>36</v>
      </c>
      <c r="K1304" s="13" t="s">
        <v>36</v>
      </c>
      <c r="L1304" s="13"/>
    </row>
    <row r="1305">
      <c r="A1305" s="13">
        <v>1303.0</v>
      </c>
      <c r="B1305" s="13">
        <v>1095.0</v>
      </c>
      <c r="C1305" s="13">
        <v>38.0</v>
      </c>
      <c r="D1305" s="12" t="s">
        <v>2270</v>
      </c>
      <c r="E1305" s="12" t="s">
        <v>2271</v>
      </c>
      <c r="F1305" s="13">
        <v>2.0</v>
      </c>
      <c r="G1305" s="13">
        <v>0.0</v>
      </c>
      <c r="H1305" s="13">
        <v>0.0</v>
      </c>
      <c r="I1305" s="13" t="s">
        <v>35</v>
      </c>
      <c r="J1305" s="13" t="s">
        <v>36</v>
      </c>
      <c r="K1305" s="13" t="s">
        <v>36</v>
      </c>
      <c r="L1305" s="13"/>
    </row>
    <row r="1306">
      <c r="A1306" s="13">
        <v>1304.0</v>
      </c>
      <c r="B1306" s="13">
        <v>850.0</v>
      </c>
      <c r="C1306" s="13">
        <v>51.0</v>
      </c>
      <c r="D1306" s="12" t="s">
        <v>1022</v>
      </c>
      <c r="E1306" s="12" t="s">
        <v>2272</v>
      </c>
      <c r="F1306" s="13">
        <v>5.0</v>
      </c>
      <c r="G1306" s="13">
        <v>1.0</v>
      </c>
      <c r="H1306" s="13">
        <v>0.0</v>
      </c>
      <c r="I1306" s="13" t="s">
        <v>35</v>
      </c>
      <c r="J1306" s="13" t="s">
        <v>46</v>
      </c>
      <c r="K1306" s="13" t="s">
        <v>47</v>
      </c>
      <c r="L1306" s="13"/>
    </row>
    <row r="1307">
      <c r="A1307" s="13">
        <v>1305.0</v>
      </c>
      <c r="B1307" s="13">
        <v>875.0</v>
      </c>
      <c r="C1307" s="13">
        <v>40.0</v>
      </c>
      <c r="D1307" s="12" t="s">
        <v>2273</v>
      </c>
      <c r="E1307" s="12" t="s">
        <v>2274</v>
      </c>
      <c r="F1307" s="13">
        <v>5.0</v>
      </c>
      <c r="G1307" s="13">
        <v>1.0</v>
      </c>
      <c r="H1307" s="13">
        <v>0.0</v>
      </c>
      <c r="I1307" s="13" t="s">
        <v>35</v>
      </c>
      <c r="J1307" s="13" t="s">
        <v>46</v>
      </c>
      <c r="K1307" s="13" t="s">
        <v>52</v>
      </c>
      <c r="L1307" s="13"/>
    </row>
    <row r="1308">
      <c r="A1308" s="13">
        <v>1306.0</v>
      </c>
      <c r="B1308" s="13">
        <v>850.0</v>
      </c>
      <c r="C1308" s="13">
        <v>48.0</v>
      </c>
      <c r="D1308" s="12" t="s">
        <v>2275</v>
      </c>
      <c r="E1308" s="12" t="s">
        <v>2276</v>
      </c>
      <c r="F1308" s="13">
        <v>2.0</v>
      </c>
      <c r="G1308" s="13">
        <v>0.0</v>
      </c>
      <c r="H1308" s="13">
        <v>0.0</v>
      </c>
      <c r="I1308" s="13" t="s">
        <v>35</v>
      </c>
      <c r="J1308" s="13" t="s">
        <v>46</v>
      </c>
      <c r="K1308" s="13" t="s">
        <v>47</v>
      </c>
      <c r="L1308" s="13"/>
    </row>
    <row r="1309">
      <c r="A1309" s="13">
        <v>1307.0</v>
      </c>
      <c r="B1309" s="13">
        <v>940.0</v>
      </c>
      <c r="C1309" s="13">
        <v>45.0</v>
      </c>
      <c r="D1309" s="12" t="s">
        <v>2277</v>
      </c>
      <c r="E1309" s="12" t="s">
        <v>2278</v>
      </c>
      <c r="F1309" s="13">
        <v>5.0</v>
      </c>
      <c r="G1309" s="13">
        <v>1.0</v>
      </c>
      <c r="H1309" s="13">
        <v>0.0</v>
      </c>
      <c r="I1309" s="13" t="s">
        <v>35</v>
      </c>
      <c r="J1309" s="13" t="s">
        <v>46</v>
      </c>
      <c r="K1309" s="13" t="s">
        <v>95</v>
      </c>
      <c r="L1309" s="13"/>
    </row>
    <row r="1310">
      <c r="A1310" s="13">
        <v>1308.0</v>
      </c>
      <c r="B1310" s="13">
        <v>1095.0</v>
      </c>
      <c r="C1310" s="13">
        <v>35.0</v>
      </c>
      <c r="D1310" s="12" t="s">
        <v>2279</v>
      </c>
      <c r="E1310" s="12" t="s">
        <v>2280</v>
      </c>
      <c r="F1310" s="13">
        <v>5.0</v>
      </c>
      <c r="G1310" s="13">
        <v>1.0</v>
      </c>
      <c r="H1310" s="13">
        <v>2.0</v>
      </c>
      <c r="I1310" s="13" t="s">
        <v>35</v>
      </c>
      <c r="J1310" s="13" t="s">
        <v>36</v>
      </c>
      <c r="K1310" s="13" t="s">
        <v>36</v>
      </c>
      <c r="L1310" s="13"/>
    </row>
    <row r="1311">
      <c r="A1311" s="13">
        <v>1309.0</v>
      </c>
      <c r="B1311" s="13">
        <v>868.0</v>
      </c>
      <c r="C1311" s="13">
        <v>41.0</v>
      </c>
      <c r="D1311" s="12" t="s">
        <v>571</v>
      </c>
      <c r="E1311" s="12" t="s">
        <v>2281</v>
      </c>
      <c r="F1311" s="13">
        <v>5.0</v>
      </c>
      <c r="G1311" s="13">
        <v>1.0</v>
      </c>
      <c r="H1311" s="13">
        <v>7.0</v>
      </c>
      <c r="I1311" s="13" t="s">
        <v>41</v>
      </c>
      <c r="J1311" s="13" t="s">
        <v>46</v>
      </c>
      <c r="K1311" s="13" t="s">
        <v>52</v>
      </c>
      <c r="L1311" s="13"/>
    </row>
    <row r="1312">
      <c r="A1312" s="13">
        <v>1310.0</v>
      </c>
      <c r="B1312" s="13">
        <v>875.0</v>
      </c>
      <c r="C1312" s="13">
        <v>65.0</v>
      </c>
      <c r="D1312" s="12" t="s">
        <v>2282</v>
      </c>
      <c r="E1312" s="12" t="s">
        <v>2283</v>
      </c>
      <c r="F1312" s="13">
        <v>5.0</v>
      </c>
      <c r="G1312" s="13">
        <v>1.0</v>
      </c>
      <c r="H1312" s="13">
        <v>1.0</v>
      </c>
      <c r="I1312" s="13" t="s">
        <v>35</v>
      </c>
      <c r="J1312" s="13" t="s">
        <v>46</v>
      </c>
      <c r="K1312" s="13" t="s">
        <v>52</v>
      </c>
      <c r="L1312" s="13"/>
    </row>
    <row r="1313">
      <c r="A1313" s="13">
        <v>1311.0</v>
      </c>
      <c r="B1313" s="13">
        <v>940.0</v>
      </c>
      <c r="C1313" s="13">
        <v>54.0</v>
      </c>
      <c r="D1313" s="12" t="s">
        <v>2284</v>
      </c>
      <c r="E1313" s="12" t="s">
        <v>2285</v>
      </c>
      <c r="F1313" s="13">
        <v>5.0</v>
      </c>
      <c r="G1313" s="13">
        <v>1.0</v>
      </c>
      <c r="H1313" s="13">
        <v>0.0</v>
      </c>
      <c r="I1313" s="13" t="s">
        <v>35</v>
      </c>
      <c r="J1313" s="13" t="s">
        <v>46</v>
      </c>
      <c r="K1313" s="13" t="s">
        <v>95</v>
      </c>
      <c r="L1313" s="13"/>
    </row>
    <row r="1314">
      <c r="A1314" s="13">
        <v>1312.0</v>
      </c>
      <c r="B1314" s="13">
        <v>850.0</v>
      </c>
      <c r="C1314" s="13">
        <v>41.0</v>
      </c>
      <c r="D1314" s="12" t="s">
        <v>2286</v>
      </c>
      <c r="E1314" s="12" t="s">
        <v>2287</v>
      </c>
      <c r="F1314" s="13">
        <v>5.0</v>
      </c>
      <c r="G1314" s="13">
        <v>1.0</v>
      </c>
      <c r="H1314" s="13">
        <v>0.0</v>
      </c>
      <c r="I1314" s="13" t="s">
        <v>35</v>
      </c>
      <c r="J1314" s="13" t="s">
        <v>46</v>
      </c>
      <c r="K1314" s="13" t="s">
        <v>47</v>
      </c>
      <c r="L1314" s="13"/>
    </row>
    <row r="1315">
      <c r="A1315" s="13">
        <v>1313.0</v>
      </c>
      <c r="B1315" s="13">
        <v>873.0</v>
      </c>
      <c r="C1315" s="13">
        <v>43.0</v>
      </c>
      <c r="D1315" s="12" t="s">
        <v>2288</v>
      </c>
      <c r="E1315" s="12" t="s">
        <v>2289</v>
      </c>
      <c r="F1315" s="13">
        <v>5.0</v>
      </c>
      <c r="G1315" s="13">
        <v>1.0</v>
      </c>
      <c r="H1315" s="13">
        <v>1.0</v>
      </c>
      <c r="I1315" s="13" t="s">
        <v>35</v>
      </c>
      <c r="J1315" s="13" t="s">
        <v>46</v>
      </c>
      <c r="K1315" s="13" t="s">
        <v>52</v>
      </c>
      <c r="L1315" s="13"/>
    </row>
    <row r="1316">
      <c r="A1316" s="13">
        <v>1314.0</v>
      </c>
      <c r="B1316" s="13">
        <v>1095.0</v>
      </c>
      <c r="C1316" s="13">
        <v>32.0</v>
      </c>
      <c r="D1316" s="12" t="s">
        <v>1874</v>
      </c>
      <c r="E1316" s="12" t="s">
        <v>2290</v>
      </c>
      <c r="F1316" s="13">
        <v>4.0</v>
      </c>
      <c r="G1316" s="13">
        <v>1.0</v>
      </c>
      <c r="H1316" s="13">
        <v>0.0</v>
      </c>
      <c r="I1316" s="13" t="s">
        <v>35</v>
      </c>
      <c r="J1316" s="13" t="s">
        <v>36</v>
      </c>
      <c r="K1316" s="13" t="s">
        <v>36</v>
      </c>
      <c r="L1316" s="13"/>
    </row>
    <row r="1317">
      <c r="A1317" s="13">
        <v>1315.0</v>
      </c>
      <c r="B1317" s="13">
        <v>836.0</v>
      </c>
      <c r="C1317" s="13">
        <v>33.0</v>
      </c>
      <c r="D1317" s="12"/>
      <c r="E1317" s="12"/>
      <c r="F1317" s="13">
        <v>4.0</v>
      </c>
      <c r="G1317" s="13">
        <v>1.0</v>
      </c>
      <c r="H1317" s="13">
        <v>0.0</v>
      </c>
      <c r="I1317" s="13" t="s">
        <v>35</v>
      </c>
      <c r="J1317" s="13" t="s">
        <v>46</v>
      </c>
      <c r="K1317" s="13" t="s">
        <v>47</v>
      </c>
      <c r="L1317" s="13"/>
    </row>
    <row r="1318">
      <c r="A1318" s="13">
        <v>1316.0</v>
      </c>
      <c r="B1318" s="13">
        <v>836.0</v>
      </c>
      <c r="C1318" s="13">
        <v>35.0</v>
      </c>
      <c r="D1318" s="12" t="s">
        <v>2291</v>
      </c>
      <c r="E1318" s="12" t="s">
        <v>2292</v>
      </c>
      <c r="F1318" s="13">
        <v>2.0</v>
      </c>
      <c r="G1318" s="13">
        <v>1.0</v>
      </c>
      <c r="H1318" s="13">
        <v>8.0</v>
      </c>
      <c r="I1318" s="13" t="s">
        <v>35</v>
      </c>
      <c r="J1318" s="13" t="s">
        <v>46</v>
      </c>
      <c r="K1318" s="13" t="s">
        <v>47</v>
      </c>
      <c r="L1318" s="13"/>
    </row>
    <row r="1319">
      <c r="A1319" s="13">
        <v>1317.0</v>
      </c>
      <c r="B1319" s="13">
        <v>836.0</v>
      </c>
      <c r="C1319" s="13">
        <v>47.0</v>
      </c>
      <c r="D1319" s="12"/>
      <c r="E1319" s="12" t="s">
        <v>2293</v>
      </c>
      <c r="F1319" s="13">
        <v>4.0</v>
      </c>
      <c r="G1319" s="13">
        <v>1.0</v>
      </c>
      <c r="H1319" s="13">
        <v>0.0</v>
      </c>
      <c r="I1319" s="13" t="s">
        <v>35</v>
      </c>
      <c r="J1319" s="13" t="s">
        <v>46</v>
      </c>
      <c r="K1319" s="13" t="s">
        <v>47</v>
      </c>
      <c r="L1319" s="13"/>
    </row>
    <row r="1320">
      <c r="A1320" s="13">
        <v>1318.0</v>
      </c>
      <c r="B1320" s="13">
        <v>836.0</v>
      </c>
      <c r="C1320" s="13">
        <v>59.0</v>
      </c>
      <c r="D1320" s="12" t="s">
        <v>2294</v>
      </c>
      <c r="E1320" s="12" t="s">
        <v>2295</v>
      </c>
      <c r="F1320" s="13">
        <v>3.0</v>
      </c>
      <c r="G1320" s="13">
        <v>1.0</v>
      </c>
      <c r="H1320" s="13">
        <v>16.0</v>
      </c>
      <c r="I1320" s="13" t="s">
        <v>35</v>
      </c>
      <c r="J1320" s="13" t="s">
        <v>46</v>
      </c>
      <c r="K1320" s="13" t="s">
        <v>47</v>
      </c>
      <c r="L1320" s="13"/>
    </row>
    <row r="1321">
      <c r="A1321" s="13">
        <v>1319.0</v>
      </c>
      <c r="B1321" s="13">
        <v>836.0</v>
      </c>
      <c r="C1321" s="13">
        <v>31.0</v>
      </c>
      <c r="D1321" s="12" t="s">
        <v>2296</v>
      </c>
      <c r="E1321" s="12" t="s">
        <v>2297</v>
      </c>
      <c r="F1321" s="13">
        <v>5.0</v>
      </c>
      <c r="G1321" s="13">
        <v>1.0</v>
      </c>
      <c r="H1321" s="13">
        <v>2.0</v>
      </c>
      <c r="I1321" s="13" t="s">
        <v>35</v>
      </c>
      <c r="J1321" s="13" t="s">
        <v>46</v>
      </c>
      <c r="K1321" s="13" t="s">
        <v>47</v>
      </c>
      <c r="L1321" s="13"/>
    </row>
    <row r="1322">
      <c r="A1322" s="13">
        <v>1320.0</v>
      </c>
      <c r="B1322" s="13">
        <v>865.0</v>
      </c>
      <c r="C1322" s="13">
        <v>44.0</v>
      </c>
      <c r="D1322" s="12"/>
      <c r="E1322" s="12" t="s">
        <v>2298</v>
      </c>
      <c r="F1322" s="13">
        <v>5.0</v>
      </c>
      <c r="G1322" s="13">
        <v>1.0</v>
      </c>
      <c r="H1322" s="13">
        <v>0.0</v>
      </c>
      <c r="I1322" s="13" t="s">
        <v>35</v>
      </c>
      <c r="J1322" s="13" t="s">
        <v>46</v>
      </c>
      <c r="K1322" s="13" t="s">
        <v>52</v>
      </c>
      <c r="L1322" s="13"/>
    </row>
    <row r="1323">
      <c r="A1323" s="13">
        <v>1321.0</v>
      </c>
      <c r="B1323" s="13">
        <v>836.0</v>
      </c>
      <c r="C1323" s="13">
        <v>35.0</v>
      </c>
      <c r="D1323" s="12" t="s">
        <v>2299</v>
      </c>
      <c r="E1323" s="12" t="s">
        <v>2300</v>
      </c>
      <c r="F1323" s="13">
        <v>5.0</v>
      </c>
      <c r="G1323" s="13">
        <v>1.0</v>
      </c>
      <c r="H1323" s="13">
        <v>33.0</v>
      </c>
      <c r="I1323" s="13" t="s">
        <v>35</v>
      </c>
      <c r="J1323" s="13" t="s">
        <v>46</v>
      </c>
      <c r="K1323" s="13" t="s">
        <v>47</v>
      </c>
      <c r="L1323" s="13"/>
    </row>
    <row r="1324">
      <c r="A1324" s="13">
        <v>1322.0</v>
      </c>
      <c r="B1324" s="13">
        <v>819.0</v>
      </c>
      <c r="C1324" s="13">
        <v>31.0</v>
      </c>
      <c r="D1324" s="12"/>
      <c r="E1324" s="12" t="s">
        <v>2301</v>
      </c>
      <c r="F1324" s="13">
        <v>4.0</v>
      </c>
      <c r="G1324" s="13">
        <v>1.0</v>
      </c>
      <c r="H1324" s="13">
        <v>1.0</v>
      </c>
      <c r="I1324" s="13" t="s">
        <v>35</v>
      </c>
      <c r="J1324" s="13" t="s">
        <v>46</v>
      </c>
      <c r="K1324" s="13" t="s">
        <v>47</v>
      </c>
      <c r="L1324" s="13"/>
    </row>
    <row r="1325">
      <c r="A1325" s="13">
        <v>1323.0</v>
      </c>
      <c r="B1325" s="13">
        <v>865.0</v>
      </c>
      <c r="C1325" s="13">
        <v>44.0</v>
      </c>
      <c r="D1325" s="12"/>
      <c r="E1325" s="12" t="s">
        <v>2302</v>
      </c>
      <c r="F1325" s="13">
        <v>5.0</v>
      </c>
      <c r="G1325" s="13">
        <v>1.0</v>
      </c>
      <c r="H1325" s="13">
        <v>3.0</v>
      </c>
      <c r="I1325" s="13" t="s">
        <v>35</v>
      </c>
      <c r="J1325" s="13" t="s">
        <v>46</v>
      </c>
      <c r="K1325" s="13" t="s">
        <v>52</v>
      </c>
      <c r="L1325" s="13"/>
    </row>
    <row r="1326">
      <c r="A1326" s="13">
        <v>1324.0</v>
      </c>
      <c r="B1326" s="13">
        <v>836.0</v>
      </c>
      <c r="C1326" s="13">
        <v>34.0</v>
      </c>
      <c r="D1326" s="12" t="s">
        <v>2303</v>
      </c>
      <c r="E1326" s="12" t="s">
        <v>2304</v>
      </c>
      <c r="F1326" s="13">
        <v>5.0</v>
      </c>
      <c r="G1326" s="13">
        <v>1.0</v>
      </c>
      <c r="H1326" s="13">
        <v>9.0</v>
      </c>
      <c r="I1326" s="13" t="s">
        <v>35</v>
      </c>
      <c r="J1326" s="13" t="s">
        <v>46</v>
      </c>
      <c r="K1326" s="13" t="s">
        <v>47</v>
      </c>
      <c r="L1326" s="13"/>
    </row>
    <row r="1327">
      <c r="A1327" s="13">
        <v>1325.0</v>
      </c>
      <c r="B1327" s="13">
        <v>819.0</v>
      </c>
      <c r="C1327" s="13">
        <v>33.0</v>
      </c>
      <c r="D1327" s="12" t="s">
        <v>2305</v>
      </c>
      <c r="E1327" s="12" t="s">
        <v>2306</v>
      </c>
      <c r="F1327" s="13">
        <v>5.0</v>
      </c>
      <c r="G1327" s="13">
        <v>1.0</v>
      </c>
      <c r="H1327" s="13">
        <v>3.0</v>
      </c>
      <c r="I1327" s="13" t="s">
        <v>35</v>
      </c>
      <c r="J1327" s="13" t="s">
        <v>46</v>
      </c>
      <c r="K1327" s="13" t="s">
        <v>47</v>
      </c>
      <c r="L1327" s="13"/>
    </row>
    <row r="1328">
      <c r="A1328" s="13">
        <v>1326.0</v>
      </c>
      <c r="B1328" s="13">
        <v>819.0</v>
      </c>
      <c r="C1328" s="13">
        <v>51.0</v>
      </c>
      <c r="D1328" s="12"/>
      <c r="E1328" s="12" t="s">
        <v>2307</v>
      </c>
      <c r="F1328" s="13">
        <v>3.0</v>
      </c>
      <c r="G1328" s="13">
        <v>1.0</v>
      </c>
      <c r="H1328" s="13">
        <v>1.0</v>
      </c>
      <c r="I1328" s="13" t="s">
        <v>35</v>
      </c>
      <c r="J1328" s="13" t="s">
        <v>46</v>
      </c>
      <c r="K1328" s="13" t="s">
        <v>47</v>
      </c>
      <c r="L1328" s="13"/>
    </row>
    <row r="1329">
      <c r="A1329" s="13">
        <v>1327.0</v>
      </c>
      <c r="B1329" s="13">
        <v>1080.0</v>
      </c>
      <c r="C1329" s="13">
        <v>49.0</v>
      </c>
      <c r="D1329" s="12" t="s">
        <v>2308</v>
      </c>
      <c r="E1329" s="12" t="s">
        <v>2309</v>
      </c>
      <c r="F1329" s="13">
        <v>3.0</v>
      </c>
      <c r="G1329" s="13">
        <v>0.0</v>
      </c>
      <c r="H1329" s="13">
        <v>1.0</v>
      </c>
      <c r="I1329" s="13" t="s">
        <v>35</v>
      </c>
      <c r="J1329" s="13" t="s">
        <v>36</v>
      </c>
      <c r="K1329" s="13" t="s">
        <v>36</v>
      </c>
      <c r="L1329" s="13"/>
    </row>
    <row r="1330">
      <c r="A1330" s="13">
        <v>1328.0</v>
      </c>
      <c r="B1330" s="13">
        <v>865.0</v>
      </c>
      <c r="C1330" s="13">
        <v>53.0</v>
      </c>
      <c r="D1330" s="12" t="s">
        <v>2310</v>
      </c>
      <c r="E1330" s="12" t="s">
        <v>2311</v>
      </c>
      <c r="F1330" s="13">
        <v>5.0</v>
      </c>
      <c r="G1330" s="13">
        <v>1.0</v>
      </c>
      <c r="H1330" s="13">
        <v>0.0</v>
      </c>
      <c r="I1330" s="13" t="s">
        <v>35</v>
      </c>
      <c r="J1330" s="13" t="s">
        <v>46</v>
      </c>
      <c r="K1330" s="13" t="s">
        <v>52</v>
      </c>
      <c r="L1330" s="13"/>
    </row>
    <row r="1331">
      <c r="A1331" s="13">
        <v>1329.0</v>
      </c>
      <c r="B1331" s="13">
        <v>836.0</v>
      </c>
      <c r="C1331" s="13">
        <v>51.0</v>
      </c>
      <c r="D1331" s="12" t="s">
        <v>2312</v>
      </c>
      <c r="E1331" s="12" t="s">
        <v>2313</v>
      </c>
      <c r="F1331" s="13">
        <v>4.0</v>
      </c>
      <c r="G1331" s="13">
        <v>1.0</v>
      </c>
      <c r="H1331" s="13">
        <v>1.0</v>
      </c>
      <c r="I1331" s="13" t="s">
        <v>35</v>
      </c>
      <c r="J1331" s="13" t="s">
        <v>46</v>
      </c>
      <c r="K1331" s="13" t="s">
        <v>47</v>
      </c>
      <c r="L1331" s="13"/>
    </row>
    <row r="1332">
      <c r="A1332" s="13">
        <v>1330.0</v>
      </c>
      <c r="B1332" s="13">
        <v>836.0</v>
      </c>
      <c r="C1332" s="13">
        <v>39.0</v>
      </c>
      <c r="D1332" s="12"/>
      <c r="E1332" s="12" t="s">
        <v>2314</v>
      </c>
      <c r="F1332" s="13">
        <v>5.0</v>
      </c>
      <c r="G1332" s="13">
        <v>1.0</v>
      </c>
      <c r="H1332" s="13">
        <v>9.0</v>
      </c>
      <c r="I1332" s="13" t="s">
        <v>35</v>
      </c>
      <c r="J1332" s="13" t="s">
        <v>46</v>
      </c>
      <c r="K1332" s="13" t="s">
        <v>47</v>
      </c>
      <c r="L1332" s="13"/>
    </row>
    <row r="1333">
      <c r="A1333" s="13">
        <v>1331.0</v>
      </c>
      <c r="B1333" s="13">
        <v>836.0</v>
      </c>
      <c r="C1333" s="13">
        <v>48.0</v>
      </c>
      <c r="D1333" s="12" t="s">
        <v>2315</v>
      </c>
      <c r="E1333" s="12" t="s">
        <v>2316</v>
      </c>
      <c r="F1333" s="13">
        <v>2.0</v>
      </c>
      <c r="G1333" s="13">
        <v>0.0</v>
      </c>
      <c r="H1333" s="13">
        <v>0.0</v>
      </c>
      <c r="I1333" s="13" t="s">
        <v>35</v>
      </c>
      <c r="J1333" s="13" t="s">
        <v>46</v>
      </c>
      <c r="K1333" s="13" t="s">
        <v>47</v>
      </c>
      <c r="L1333" s="13"/>
    </row>
    <row r="1334">
      <c r="A1334" s="13">
        <v>1332.0</v>
      </c>
      <c r="B1334" s="13">
        <v>836.0</v>
      </c>
      <c r="C1334" s="13">
        <v>26.0</v>
      </c>
      <c r="D1334" s="12" t="s">
        <v>2317</v>
      </c>
      <c r="E1334" s="12" t="s">
        <v>2318</v>
      </c>
      <c r="F1334" s="13">
        <v>4.0</v>
      </c>
      <c r="G1334" s="13">
        <v>1.0</v>
      </c>
      <c r="H1334" s="13">
        <v>0.0</v>
      </c>
      <c r="I1334" s="13" t="s">
        <v>35</v>
      </c>
      <c r="J1334" s="13" t="s">
        <v>46</v>
      </c>
      <c r="K1334" s="13" t="s">
        <v>47</v>
      </c>
      <c r="L1334" s="13"/>
    </row>
    <row r="1335">
      <c r="A1335" s="13">
        <v>1333.0</v>
      </c>
      <c r="B1335" s="13">
        <v>836.0</v>
      </c>
      <c r="C1335" s="13">
        <v>25.0</v>
      </c>
      <c r="D1335" s="12" t="s">
        <v>2319</v>
      </c>
      <c r="E1335" s="12" t="s">
        <v>2320</v>
      </c>
      <c r="F1335" s="13">
        <v>5.0</v>
      </c>
      <c r="G1335" s="13">
        <v>0.0</v>
      </c>
      <c r="H1335" s="13">
        <v>0.0</v>
      </c>
      <c r="I1335" s="13" t="s">
        <v>35</v>
      </c>
      <c r="J1335" s="13" t="s">
        <v>46</v>
      </c>
      <c r="K1335" s="13" t="s">
        <v>47</v>
      </c>
      <c r="L1335" s="13"/>
    </row>
    <row r="1336">
      <c r="A1336" s="13">
        <v>1334.0</v>
      </c>
      <c r="B1336" s="13">
        <v>836.0</v>
      </c>
      <c r="C1336" s="13">
        <v>31.0</v>
      </c>
      <c r="D1336" s="12" t="s">
        <v>1540</v>
      </c>
      <c r="E1336" s="12" t="s">
        <v>2321</v>
      </c>
      <c r="F1336" s="13">
        <v>2.0</v>
      </c>
      <c r="G1336" s="13">
        <v>0.0</v>
      </c>
      <c r="H1336" s="13">
        <v>6.0</v>
      </c>
      <c r="I1336" s="13" t="s">
        <v>35</v>
      </c>
      <c r="J1336" s="13" t="s">
        <v>46</v>
      </c>
      <c r="K1336" s="13" t="s">
        <v>47</v>
      </c>
      <c r="L1336" s="13"/>
    </row>
    <row r="1337">
      <c r="A1337" s="13">
        <v>1335.0</v>
      </c>
      <c r="B1337" s="13">
        <v>1003.0</v>
      </c>
      <c r="C1337" s="13">
        <v>23.0</v>
      </c>
      <c r="D1337" s="12" t="s">
        <v>2322</v>
      </c>
      <c r="E1337" s="12" t="s">
        <v>2323</v>
      </c>
      <c r="F1337" s="13">
        <v>2.0</v>
      </c>
      <c r="G1337" s="13">
        <v>0.0</v>
      </c>
      <c r="H1337" s="13">
        <v>2.0</v>
      </c>
      <c r="I1337" s="13" t="s">
        <v>35</v>
      </c>
      <c r="J1337" s="13" t="s">
        <v>42</v>
      </c>
      <c r="K1337" s="13" t="s">
        <v>98</v>
      </c>
      <c r="L1337" s="13"/>
    </row>
    <row r="1338">
      <c r="A1338" s="13">
        <v>1336.0</v>
      </c>
      <c r="B1338" s="13">
        <v>836.0</v>
      </c>
      <c r="C1338" s="13">
        <v>36.0</v>
      </c>
      <c r="D1338" s="12" t="s">
        <v>1648</v>
      </c>
      <c r="E1338" s="12" t="s">
        <v>2324</v>
      </c>
      <c r="F1338" s="13">
        <v>5.0</v>
      </c>
      <c r="G1338" s="13">
        <v>1.0</v>
      </c>
      <c r="H1338" s="13">
        <v>0.0</v>
      </c>
      <c r="I1338" s="13" t="s">
        <v>41</v>
      </c>
      <c r="J1338" s="13" t="s">
        <v>46</v>
      </c>
      <c r="K1338" s="13" t="s">
        <v>47</v>
      </c>
      <c r="L1338" s="13"/>
    </row>
    <row r="1339">
      <c r="A1339" s="13">
        <v>1337.0</v>
      </c>
      <c r="B1339" s="13">
        <v>860.0</v>
      </c>
      <c r="C1339" s="13">
        <v>56.0</v>
      </c>
      <c r="D1339" s="12"/>
      <c r="E1339" s="12" t="s">
        <v>2325</v>
      </c>
      <c r="F1339" s="13">
        <v>5.0</v>
      </c>
      <c r="G1339" s="13">
        <v>1.0</v>
      </c>
      <c r="H1339" s="13">
        <v>2.0</v>
      </c>
      <c r="I1339" s="13" t="s">
        <v>35</v>
      </c>
      <c r="J1339" s="13" t="s">
        <v>46</v>
      </c>
      <c r="K1339" s="13" t="s">
        <v>52</v>
      </c>
      <c r="L1339" s="13"/>
    </row>
    <row r="1340">
      <c r="A1340" s="13">
        <v>1338.0</v>
      </c>
      <c r="B1340" s="13">
        <v>867.0</v>
      </c>
      <c r="C1340" s="13">
        <v>48.0</v>
      </c>
      <c r="D1340" s="12" t="s">
        <v>2326</v>
      </c>
      <c r="E1340" s="12" t="s">
        <v>2327</v>
      </c>
      <c r="F1340" s="13">
        <v>5.0</v>
      </c>
      <c r="G1340" s="13">
        <v>1.0</v>
      </c>
      <c r="H1340" s="13">
        <v>3.0</v>
      </c>
      <c r="I1340" s="13" t="s">
        <v>35</v>
      </c>
      <c r="J1340" s="13" t="s">
        <v>46</v>
      </c>
      <c r="K1340" s="13" t="s">
        <v>52</v>
      </c>
      <c r="L1340" s="13"/>
    </row>
    <row r="1341">
      <c r="A1341" s="13">
        <v>1339.0</v>
      </c>
      <c r="B1341" s="13">
        <v>1022.0</v>
      </c>
      <c r="C1341" s="13">
        <v>40.0</v>
      </c>
      <c r="D1341" s="12" t="s">
        <v>2328</v>
      </c>
      <c r="E1341" s="12" t="s">
        <v>2329</v>
      </c>
      <c r="F1341" s="13">
        <v>1.0</v>
      </c>
      <c r="G1341" s="13">
        <v>0.0</v>
      </c>
      <c r="H1341" s="13">
        <v>0.0</v>
      </c>
      <c r="I1341" s="13" t="s">
        <v>35</v>
      </c>
      <c r="J1341" s="13" t="s">
        <v>42</v>
      </c>
      <c r="K1341" s="13" t="s">
        <v>435</v>
      </c>
      <c r="L1341" s="13"/>
    </row>
    <row r="1342">
      <c r="A1342" s="13">
        <v>1340.0</v>
      </c>
      <c r="B1342" s="13">
        <v>1098.0</v>
      </c>
      <c r="C1342" s="13">
        <v>42.0</v>
      </c>
      <c r="D1342" s="12" t="s">
        <v>127</v>
      </c>
      <c r="E1342" s="12" t="s">
        <v>2330</v>
      </c>
      <c r="F1342" s="13">
        <v>4.0</v>
      </c>
      <c r="G1342" s="13">
        <v>1.0</v>
      </c>
      <c r="H1342" s="13">
        <v>6.0</v>
      </c>
      <c r="I1342" s="13" t="s">
        <v>35</v>
      </c>
      <c r="J1342" s="13" t="s">
        <v>36</v>
      </c>
      <c r="K1342" s="13" t="s">
        <v>36</v>
      </c>
      <c r="L1342" s="13"/>
    </row>
    <row r="1343">
      <c r="A1343" s="13">
        <v>1341.0</v>
      </c>
      <c r="B1343" s="13">
        <v>1098.0</v>
      </c>
      <c r="C1343" s="13">
        <v>37.0</v>
      </c>
      <c r="D1343" s="12" t="s">
        <v>785</v>
      </c>
      <c r="E1343" s="12" t="s">
        <v>2331</v>
      </c>
      <c r="F1343" s="13">
        <v>1.0</v>
      </c>
      <c r="G1343" s="13">
        <v>0.0</v>
      </c>
      <c r="H1343" s="13">
        <v>0.0</v>
      </c>
      <c r="I1343" s="13" t="s">
        <v>35</v>
      </c>
      <c r="J1343" s="13" t="s">
        <v>36</v>
      </c>
      <c r="K1343" s="13" t="s">
        <v>36</v>
      </c>
      <c r="L1343" s="13"/>
    </row>
    <row r="1344">
      <c r="A1344" s="13">
        <v>1342.0</v>
      </c>
      <c r="B1344" s="13">
        <v>825.0</v>
      </c>
      <c r="C1344" s="13">
        <v>42.0</v>
      </c>
      <c r="D1344" s="12" t="s">
        <v>2332</v>
      </c>
      <c r="E1344" s="12" t="s">
        <v>2333</v>
      </c>
      <c r="F1344" s="13">
        <v>4.0</v>
      </c>
      <c r="G1344" s="13">
        <v>1.0</v>
      </c>
      <c r="H1344" s="13">
        <v>1.0</v>
      </c>
      <c r="I1344" s="13" t="s">
        <v>35</v>
      </c>
      <c r="J1344" s="13" t="s">
        <v>46</v>
      </c>
      <c r="K1344" s="13" t="s">
        <v>47</v>
      </c>
      <c r="L1344" s="13"/>
    </row>
    <row r="1345">
      <c r="A1345" s="13">
        <v>1343.0</v>
      </c>
      <c r="B1345" s="13">
        <v>708.0</v>
      </c>
      <c r="C1345" s="13">
        <v>27.0</v>
      </c>
      <c r="D1345" s="12" t="s">
        <v>2334</v>
      </c>
      <c r="E1345" s="12" t="s">
        <v>2335</v>
      </c>
      <c r="F1345" s="13">
        <v>5.0</v>
      </c>
      <c r="G1345" s="13">
        <v>1.0</v>
      </c>
      <c r="H1345" s="13">
        <v>0.0</v>
      </c>
      <c r="I1345" s="13" t="s">
        <v>31</v>
      </c>
      <c r="J1345" s="13" t="s">
        <v>32</v>
      </c>
      <c r="K1345" s="13" t="s">
        <v>92</v>
      </c>
      <c r="L1345" s="13"/>
    </row>
    <row r="1346">
      <c r="A1346" s="13">
        <v>1344.0</v>
      </c>
      <c r="B1346" s="13">
        <v>867.0</v>
      </c>
      <c r="C1346" s="13">
        <v>71.0</v>
      </c>
      <c r="D1346" s="12"/>
      <c r="E1346" s="12"/>
      <c r="F1346" s="13">
        <v>4.0</v>
      </c>
      <c r="G1346" s="13">
        <v>1.0</v>
      </c>
      <c r="H1346" s="13">
        <v>0.0</v>
      </c>
      <c r="I1346" s="13" t="s">
        <v>35</v>
      </c>
      <c r="J1346" s="13" t="s">
        <v>46</v>
      </c>
      <c r="K1346" s="13" t="s">
        <v>52</v>
      </c>
      <c r="L1346" s="13"/>
    </row>
    <row r="1347">
      <c r="A1347" s="13">
        <v>1345.0</v>
      </c>
      <c r="B1347" s="13">
        <v>850.0</v>
      </c>
      <c r="C1347" s="13">
        <v>25.0</v>
      </c>
      <c r="D1347" s="12" t="s">
        <v>2336</v>
      </c>
      <c r="E1347" s="12" t="s">
        <v>2337</v>
      </c>
      <c r="F1347" s="13">
        <v>5.0</v>
      </c>
      <c r="G1347" s="13">
        <v>1.0</v>
      </c>
      <c r="H1347" s="13">
        <v>0.0</v>
      </c>
      <c r="I1347" s="13" t="s">
        <v>35</v>
      </c>
      <c r="J1347" s="13" t="s">
        <v>46</v>
      </c>
      <c r="K1347" s="13" t="s">
        <v>47</v>
      </c>
      <c r="L1347" s="13"/>
    </row>
    <row r="1348">
      <c r="A1348" s="13">
        <v>1346.0</v>
      </c>
      <c r="B1348" s="13">
        <v>860.0</v>
      </c>
      <c r="C1348" s="13">
        <v>38.0</v>
      </c>
      <c r="D1348" s="12"/>
      <c r="E1348" s="12" t="s">
        <v>2338</v>
      </c>
      <c r="F1348" s="13">
        <v>3.0</v>
      </c>
      <c r="G1348" s="13">
        <v>1.0</v>
      </c>
      <c r="H1348" s="13">
        <v>1.0</v>
      </c>
      <c r="I1348" s="13" t="s">
        <v>35</v>
      </c>
      <c r="J1348" s="13" t="s">
        <v>46</v>
      </c>
      <c r="K1348" s="13" t="s">
        <v>52</v>
      </c>
      <c r="L1348" s="13"/>
    </row>
    <row r="1349">
      <c r="A1349" s="13">
        <v>1347.0</v>
      </c>
      <c r="B1349" s="13">
        <v>946.0</v>
      </c>
      <c r="C1349" s="13">
        <v>48.0</v>
      </c>
      <c r="D1349" s="12" t="s">
        <v>2339</v>
      </c>
      <c r="E1349" s="12" t="s">
        <v>2340</v>
      </c>
      <c r="F1349" s="13">
        <v>2.0</v>
      </c>
      <c r="G1349" s="13">
        <v>0.0</v>
      </c>
      <c r="H1349" s="13">
        <v>0.0</v>
      </c>
      <c r="I1349" s="13" t="s">
        <v>35</v>
      </c>
      <c r="J1349" s="13" t="s">
        <v>46</v>
      </c>
      <c r="K1349" s="13" t="s">
        <v>95</v>
      </c>
      <c r="L1349" s="13"/>
    </row>
    <row r="1350">
      <c r="A1350" s="13">
        <v>1348.0</v>
      </c>
      <c r="B1350" s="13">
        <v>1098.0</v>
      </c>
      <c r="C1350" s="13">
        <v>25.0</v>
      </c>
      <c r="D1350" s="12" t="s">
        <v>2341</v>
      </c>
      <c r="E1350" s="12" t="s">
        <v>2342</v>
      </c>
      <c r="F1350" s="13">
        <v>3.0</v>
      </c>
      <c r="G1350" s="13">
        <v>0.0</v>
      </c>
      <c r="H1350" s="13">
        <v>1.0</v>
      </c>
      <c r="I1350" s="13" t="s">
        <v>35</v>
      </c>
      <c r="J1350" s="13" t="s">
        <v>36</v>
      </c>
      <c r="K1350" s="13" t="s">
        <v>36</v>
      </c>
      <c r="L1350" s="13"/>
    </row>
    <row r="1351">
      <c r="A1351" s="13">
        <v>1349.0</v>
      </c>
      <c r="B1351" s="13">
        <v>867.0</v>
      </c>
      <c r="C1351" s="13">
        <v>28.0</v>
      </c>
      <c r="D1351" s="12" t="s">
        <v>2343</v>
      </c>
      <c r="E1351" s="12" t="s">
        <v>2344</v>
      </c>
      <c r="F1351" s="13">
        <v>4.0</v>
      </c>
      <c r="G1351" s="13">
        <v>0.0</v>
      </c>
      <c r="H1351" s="13">
        <v>3.0</v>
      </c>
      <c r="I1351" s="13" t="s">
        <v>35</v>
      </c>
      <c r="J1351" s="13" t="s">
        <v>46</v>
      </c>
      <c r="K1351" s="13" t="s">
        <v>52</v>
      </c>
      <c r="L1351" s="13"/>
    </row>
    <row r="1352">
      <c r="A1352" s="13">
        <v>1350.0</v>
      </c>
      <c r="B1352" s="13">
        <v>1098.0</v>
      </c>
      <c r="C1352" s="13">
        <v>56.0</v>
      </c>
      <c r="D1352" s="12" t="s">
        <v>2345</v>
      </c>
      <c r="E1352" s="12" t="s">
        <v>2346</v>
      </c>
      <c r="F1352" s="13">
        <v>5.0</v>
      </c>
      <c r="G1352" s="13">
        <v>1.0</v>
      </c>
      <c r="H1352" s="13">
        <v>0.0</v>
      </c>
      <c r="I1352" s="13" t="s">
        <v>35</v>
      </c>
      <c r="J1352" s="13" t="s">
        <v>36</v>
      </c>
      <c r="K1352" s="13" t="s">
        <v>36</v>
      </c>
      <c r="L1352" s="13"/>
    </row>
    <row r="1353">
      <c r="A1353" s="13">
        <v>1351.0</v>
      </c>
      <c r="B1353" s="13">
        <v>860.0</v>
      </c>
      <c r="C1353" s="13">
        <v>46.0</v>
      </c>
      <c r="D1353" s="12" t="s">
        <v>2347</v>
      </c>
      <c r="E1353" s="12" t="s">
        <v>2348</v>
      </c>
      <c r="F1353" s="13">
        <v>3.0</v>
      </c>
      <c r="G1353" s="13">
        <v>0.0</v>
      </c>
      <c r="H1353" s="13">
        <v>0.0</v>
      </c>
      <c r="I1353" s="13" t="s">
        <v>35</v>
      </c>
      <c r="J1353" s="13" t="s">
        <v>46</v>
      </c>
      <c r="K1353" s="13" t="s">
        <v>52</v>
      </c>
      <c r="L1353" s="13"/>
    </row>
    <row r="1354">
      <c r="A1354" s="13">
        <v>1352.0</v>
      </c>
      <c r="B1354" s="13">
        <v>1098.0</v>
      </c>
      <c r="C1354" s="13">
        <v>50.0</v>
      </c>
      <c r="D1354" s="12" t="s">
        <v>2349</v>
      </c>
      <c r="E1354" s="12" t="s">
        <v>2350</v>
      </c>
      <c r="F1354" s="13">
        <v>5.0</v>
      </c>
      <c r="G1354" s="13">
        <v>1.0</v>
      </c>
      <c r="H1354" s="13">
        <v>2.0</v>
      </c>
      <c r="I1354" s="13" t="s">
        <v>35</v>
      </c>
      <c r="J1354" s="13" t="s">
        <v>36</v>
      </c>
      <c r="K1354" s="13" t="s">
        <v>36</v>
      </c>
      <c r="L1354" s="13"/>
    </row>
    <row r="1355">
      <c r="A1355" s="13">
        <v>1353.0</v>
      </c>
      <c r="B1355" s="13">
        <v>1098.0</v>
      </c>
      <c r="C1355" s="13">
        <v>61.0</v>
      </c>
      <c r="D1355" s="12" t="s">
        <v>2351</v>
      </c>
      <c r="E1355" s="12" t="s">
        <v>2352</v>
      </c>
      <c r="F1355" s="13">
        <v>3.0</v>
      </c>
      <c r="G1355" s="13">
        <v>0.0</v>
      </c>
      <c r="H1355" s="13">
        <v>0.0</v>
      </c>
      <c r="I1355" s="13" t="s">
        <v>35</v>
      </c>
      <c r="J1355" s="13" t="s">
        <v>36</v>
      </c>
      <c r="K1355" s="13" t="s">
        <v>36</v>
      </c>
      <c r="L1355" s="13"/>
    </row>
    <row r="1356">
      <c r="A1356" s="13">
        <v>1354.0</v>
      </c>
      <c r="B1356" s="13">
        <v>1022.0</v>
      </c>
      <c r="C1356" s="13">
        <v>42.0</v>
      </c>
      <c r="D1356" s="12" t="s">
        <v>2353</v>
      </c>
      <c r="E1356" s="12" t="s">
        <v>2354</v>
      </c>
      <c r="F1356" s="13">
        <v>5.0</v>
      </c>
      <c r="G1356" s="13">
        <v>1.0</v>
      </c>
      <c r="H1356" s="13">
        <v>1.0</v>
      </c>
      <c r="I1356" s="13" t="s">
        <v>35</v>
      </c>
      <c r="J1356" s="13" t="s">
        <v>42</v>
      </c>
      <c r="K1356" s="13" t="s">
        <v>435</v>
      </c>
      <c r="L1356" s="13"/>
    </row>
    <row r="1357">
      <c r="A1357" s="13">
        <v>1355.0</v>
      </c>
      <c r="B1357" s="13">
        <v>946.0</v>
      </c>
      <c r="C1357" s="13">
        <v>40.0</v>
      </c>
      <c r="D1357" s="12" t="s">
        <v>2355</v>
      </c>
      <c r="E1357" s="12" t="s">
        <v>2356</v>
      </c>
      <c r="F1357" s="13">
        <v>2.0</v>
      </c>
      <c r="G1357" s="13">
        <v>1.0</v>
      </c>
      <c r="H1357" s="13">
        <v>0.0</v>
      </c>
      <c r="I1357" s="13" t="s">
        <v>35</v>
      </c>
      <c r="J1357" s="13" t="s">
        <v>46</v>
      </c>
      <c r="K1357" s="13" t="s">
        <v>95</v>
      </c>
      <c r="L1357" s="13"/>
    </row>
    <row r="1358">
      <c r="A1358" s="13">
        <v>1356.0</v>
      </c>
      <c r="B1358" s="13">
        <v>850.0</v>
      </c>
      <c r="C1358" s="13">
        <v>40.0</v>
      </c>
      <c r="D1358" s="12" t="s">
        <v>2357</v>
      </c>
      <c r="E1358" s="12" t="s">
        <v>2358</v>
      </c>
      <c r="F1358" s="13">
        <v>2.0</v>
      </c>
      <c r="G1358" s="13">
        <v>0.0</v>
      </c>
      <c r="H1358" s="13">
        <v>0.0</v>
      </c>
      <c r="I1358" s="13" t="s">
        <v>35</v>
      </c>
      <c r="J1358" s="13" t="s">
        <v>46</v>
      </c>
      <c r="K1358" s="13" t="s">
        <v>47</v>
      </c>
      <c r="L1358" s="13"/>
    </row>
    <row r="1359">
      <c r="A1359" s="13">
        <v>1357.0</v>
      </c>
      <c r="B1359" s="13">
        <v>895.0</v>
      </c>
      <c r="C1359" s="13">
        <v>52.0</v>
      </c>
      <c r="D1359" s="12" t="s">
        <v>2359</v>
      </c>
      <c r="E1359" s="12" t="s">
        <v>2360</v>
      </c>
      <c r="F1359" s="13">
        <v>4.0</v>
      </c>
      <c r="G1359" s="13">
        <v>1.0</v>
      </c>
      <c r="H1359" s="13">
        <v>2.0</v>
      </c>
      <c r="I1359" s="13" t="s">
        <v>41</v>
      </c>
      <c r="J1359" s="13" t="s">
        <v>46</v>
      </c>
      <c r="K1359" s="13" t="s">
        <v>123</v>
      </c>
      <c r="L1359" s="13"/>
    </row>
    <row r="1360">
      <c r="A1360" s="13">
        <v>1358.0</v>
      </c>
      <c r="B1360" s="13">
        <v>850.0</v>
      </c>
      <c r="C1360" s="13">
        <v>33.0</v>
      </c>
      <c r="D1360" s="12"/>
      <c r="E1360" s="12" t="s">
        <v>2361</v>
      </c>
      <c r="F1360" s="13">
        <v>1.0</v>
      </c>
      <c r="G1360" s="13">
        <v>0.0</v>
      </c>
      <c r="H1360" s="13">
        <v>0.0</v>
      </c>
      <c r="I1360" s="13" t="s">
        <v>35</v>
      </c>
      <c r="J1360" s="13" t="s">
        <v>46</v>
      </c>
      <c r="K1360" s="13" t="s">
        <v>47</v>
      </c>
      <c r="L1360" s="13"/>
    </row>
    <row r="1361">
      <c r="A1361" s="13">
        <v>1359.0</v>
      </c>
      <c r="B1361" s="13">
        <v>895.0</v>
      </c>
      <c r="C1361" s="13">
        <v>32.0</v>
      </c>
      <c r="D1361" s="12" t="s">
        <v>459</v>
      </c>
      <c r="E1361" s="12" t="s">
        <v>2362</v>
      </c>
      <c r="F1361" s="13">
        <v>2.0</v>
      </c>
      <c r="G1361" s="13">
        <v>0.0</v>
      </c>
      <c r="H1361" s="13">
        <v>4.0</v>
      </c>
      <c r="I1361" s="13" t="s">
        <v>41</v>
      </c>
      <c r="J1361" s="13" t="s">
        <v>46</v>
      </c>
      <c r="K1361" s="13" t="s">
        <v>123</v>
      </c>
      <c r="L1361" s="13"/>
    </row>
    <row r="1362">
      <c r="A1362" s="13">
        <v>1360.0</v>
      </c>
      <c r="B1362" s="13">
        <v>861.0</v>
      </c>
      <c r="C1362" s="13">
        <v>47.0</v>
      </c>
      <c r="D1362" s="12" t="s">
        <v>220</v>
      </c>
      <c r="E1362" s="12" t="s">
        <v>2363</v>
      </c>
      <c r="F1362" s="13">
        <v>5.0</v>
      </c>
      <c r="G1362" s="13">
        <v>1.0</v>
      </c>
      <c r="H1362" s="13">
        <v>0.0</v>
      </c>
      <c r="I1362" s="13" t="s">
        <v>35</v>
      </c>
      <c r="J1362" s="13" t="s">
        <v>46</v>
      </c>
      <c r="K1362" s="13" t="s">
        <v>52</v>
      </c>
      <c r="L1362" s="13"/>
    </row>
    <row r="1363">
      <c r="A1363" s="13">
        <v>1361.0</v>
      </c>
      <c r="B1363" s="13">
        <v>1098.0</v>
      </c>
      <c r="C1363" s="13">
        <v>69.0</v>
      </c>
      <c r="D1363" s="12"/>
      <c r="E1363" s="12" t="s">
        <v>2364</v>
      </c>
      <c r="F1363" s="13">
        <v>2.0</v>
      </c>
      <c r="G1363" s="13">
        <v>0.0</v>
      </c>
      <c r="H1363" s="13">
        <v>7.0</v>
      </c>
      <c r="I1363" s="13" t="s">
        <v>35</v>
      </c>
      <c r="J1363" s="13" t="s">
        <v>36</v>
      </c>
      <c r="K1363" s="13" t="s">
        <v>36</v>
      </c>
      <c r="L1363" s="13"/>
    </row>
    <row r="1364">
      <c r="A1364" s="13">
        <v>1362.0</v>
      </c>
      <c r="B1364" s="13">
        <v>825.0</v>
      </c>
      <c r="C1364" s="13">
        <v>48.0</v>
      </c>
      <c r="D1364" s="12" t="s">
        <v>2365</v>
      </c>
      <c r="E1364" s="12" t="s">
        <v>2366</v>
      </c>
      <c r="F1364" s="13">
        <v>3.0</v>
      </c>
      <c r="G1364" s="13">
        <v>0.0</v>
      </c>
      <c r="H1364" s="13">
        <v>1.0</v>
      </c>
      <c r="I1364" s="13" t="s">
        <v>35</v>
      </c>
      <c r="J1364" s="13" t="s">
        <v>46</v>
      </c>
      <c r="K1364" s="13" t="s">
        <v>47</v>
      </c>
      <c r="L1364" s="13"/>
    </row>
    <row r="1365">
      <c r="A1365" s="13">
        <v>1363.0</v>
      </c>
      <c r="B1365" s="13">
        <v>850.0</v>
      </c>
      <c r="C1365" s="13">
        <v>41.0</v>
      </c>
      <c r="D1365" s="12" t="s">
        <v>2367</v>
      </c>
      <c r="E1365" s="12" t="s">
        <v>2368</v>
      </c>
      <c r="F1365" s="13">
        <v>5.0</v>
      </c>
      <c r="G1365" s="13">
        <v>1.0</v>
      </c>
      <c r="H1365" s="13">
        <v>10.0</v>
      </c>
      <c r="I1365" s="13" t="s">
        <v>35</v>
      </c>
      <c r="J1365" s="13" t="s">
        <v>46</v>
      </c>
      <c r="K1365" s="13" t="s">
        <v>47</v>
      </c>
      <c r="L1365" s="13"/>
    </row>
    <row r="1366">
      <c r="A1366" s="13">
        <v>1364.0</v>
      </c>
      <c r="B1366" s="13">
        <v>861.0</v>
      </c>
      <c r="C1366" s="13">
        <v>66.0</v>
      </c>
      <c r="D1366" s="12" t="s">
        <v>1518</v>
      </c>
      <c r="E1366" s="12" t="s">
        <v>2369</v>
      </c>
      <c r="F1366" s="13">
        <v>5.0</v>
      </c>
      <c r="G1366" s="13">
        <v>1.0</v>
      </c>
      <c r="H1366" s="13">
        <v>2.0</v>
      </c>
      <c r="I1366" s="13" t="s">
        <v>35</v>
      </c>
      <c r="J1366" s="13" t="s">
        <v>46</v>
      </c>
      <c r="K1366" s="13" t="s">
        <v>52</v>
      </c>
      <c r="L1366" s="13"/>
    </row>
    <row r="1367">
      <c r="A1367" s="13">
        <v>1365.0</v>
      </c>
      <c r="B1367" s="13">
        <v>1110.0</v>
      </c>
      <c r="C1367" s="13">
        <v>38.0</v>
      </c>
      <c r="D1367" s="12" t="s">
        <v>1169</v>
      </c>
      <c r="E1367" s="12" t="s">
        <v>2370</v>
      </c>
      <c r="F1367" s="13">
        <v>5.0</v>
      </c>
      <c r="G1367" s="13">
        <v>1.0</v>
      </c>
      <c r="H1367" s="13">
        <v>6.0</v>
      </c>
      <c r="I1367" s="13" t="s">
        <v>41</v>
      </c>
      <c r="J1367" s="13" t="s">
        <v>36</v>
      </c>
      <c r="K1367" s="13" t="s">
        <v>36</v>
      </c>
      <c r="L1367" s="13"/>
    </row>
    <row r="1368">
      <c r="A1368" s="13">
        <v>1366.0</v>
      </c>
      <c r="B1368" s="13">
        <v>867.0</v>
      </c>
      <c r="C1368" s="13">
        <v>44.0</v>
      </c>
      <c r="D1368" s="12"/>
      <c r="E1368" s="12"/>
      <c r="F1368" s="13">
        <v>5.0</v>
      </c>
      <c r="G1368" s="13">
        <v>1.0</v>
      </c>
      <c r="H1368" s="13">
        <v>0.0</v>
      </c>
      <c r="I1368" s="13" t="s">
        <v>35</v>
      </c>
      <c r="J1368" s="13" t="s">
        <v>46</v>
      </c>
      <c r="K1368" s="13" t="s">
        <v>52</v>
      </c>
      <c r="L1368" s="13"/>
    </row>
    <row r="1369">
      <c r="A1369" s="13">
        <v>1367.0</v>
      </c>
      <c r="B1369" s="13">
        <v>860.0</v>
      </c>
      <c r="C1369" s="13">
        <v>40.0</v>
      </c>
      <c r="D1369" s="12" t="s">
        <v>2371</v>
      </c>
      <c r="E1369" s="12" t="s">
        <v>2372</v>
      </c>
      <c r="F1369" s="13">
        <v>3.0</v>
      </c>
      <c r="G1369" s="13">
        <v>0.0</v>
      </c>
      <c r="H1369" s="13">
        <v>0.0</v>
      </c>
      <c r="I1369" s="13" t="s">
        <v>35</v>
      </c>
      <c r="J1369" s="13" t="s">
        <v>46</v>
      </c>
      <c r="K1369" s="13" t="s">
        <v>52</v>
      </c>
      <c r="L1369" s="13"/>
    </row>
    <row r="1370">
      <c r="A1370" s="13">
        <v>1368.0</v>
      </c>
      <c r="B1370" s="13">
        <v>860.0</v>
      </c>
      <c r="C1370" s="13">
        <v>36.0</v>
      </c>
      <c r="D1370" s="12"/>
      <c r="E1370" s="12" t="s">
        <v>2373</v>
      </c>
      <c r="F1370" s="13">
        <v>4.0</v>
      </c>
      <c r="G1370" s="13">
        <v>1.0</v>
      </c>
      <c r="H1370" s="13">
        <v>0.0</v>
      </c>
      <c r="I1370" s="13" t="s">
        <v>35</v>
      </c>
      <c r="J1370" s="13" t="s">
        <v>46</v>
      </c>
      <c r="K1370" s="13" t="s">
        <v>52</v>
      </c>
      <c r="L1370" s="13"/>
    </row>
    <row r="1371">
      <c r="A1371" s="13">
        <v>1369.0</v>
      </c>
      <c r="B1371" s="13">
        <v>860.0</v>
      </c>
      <c r="C1371" s="13">
        <v>40.0</v>
      </c>
      <c r="D1371" s="12" t="s">
        <v>2374</v>
      </c>
      <c r="E1371" s="12" t="s">
        <v>2375</v>
      </c>
      <c r="F1371" s="13">
        <v>1.0</v>
      </c>
      <c r="G1371" s="13">
        <v>0.0</v>
      </c>
      <c r="H1371" s="13">
        <v>7.0</v>
      </c>
      <c r="I1371" s="13" t="s">
        <v>35</v>
      </c>
      <c r="J1371" s="13" t="s">
        <v>46</v>
      </c>
      <c r="K1371" s="13" t="s">
        <v>52</v>
      </c>
      <c r="L1371" s="13"/>
    </row>
    <row r="1372">
      <c r="A1372" s="13">
        <v>1370.0</v>
      </c>
      <c r="B1372" s="13">
        <v>946.0</v>
      </c>
      <c r="C1372" s="13">
        <v>36.0</v>
      </c>
      <c r="D1372" s="12" t="s">
        <v>2376</v>
      </c>
      <c r="E1372" s="12" t="s">
        <v>2377</v>
      </c>
      <c r="F1372" s="13">
        <v>1.0</v>
      </c>
      <c r="G1372" s="13">
        <v>0.0</v>
      </c>
      <c r="H1372" s="13">
        <v>1.0</v>
      </c>
      <c r="I1372" s="13" t="s">
        <v>35</v>
      </c>
      <c r="J1372" s="13" t="s">
        <v>46</v>
      </c>
      <c r="K1372" s="13" t="s">
        <v>95</v>
      </c>
      <c r="L1372" s="13"/>
    </row>
    <row r="1373">
      <c r="A1373" s="13">
        <v>1371.0</v>
      </c>
      <c r="B1373" s="13">
        <v>946.0</v>
      </c>
      <c r="C1373" s="13">
        <v>48.0</v>
      </c>
      <c r="D1373" s="12"/>
      <c r="E1373" s="12" t="s">
        <v>2378</v>
      </c>
      <c r="F1373" s="13">
        <v>2.0</v>
      </c>
      <c r="G1373" s="13">
        <v>0.0</v>
      </c>
      <c r="H1373" s="13">
        <v>1.0</v>
      </c>
      <c r="I1373" s="13" t="s">
        <v>35</v>
      </c>
      <c r="J1373" s="13" t="s">
        <v>46</v>
      </c>
      <c r="K1373" s="13" t="s">
        <v>95</v>
      </c>
      <c r="L1373" s="13"/>
    </row>
    <row r="1374">
      <c r="A1374" s="13">
        <v>1372.0</v>
      </c>
      <c r="B1374" s="13">
        <v>867.0</v>
      </c>
      <c r="C1374" s="13">
        <v>52.0</v>
      </c>
      <c r="D1374" s="12"/>
      <c r="E1374" s="12" t="s">
        <v>2379</v>
      </c>
      <c r="F1374" s="13">
        <v>5.0</v>
      </c>
      <c r="G1374" s="13">
        <v>1.0</v>
      </c>
      <c r="H1374" s="13">
        <v>2.0</v>
      </c>
      <c r="I1374" s="13" t="s">
        <v>35</v>
      </c>
      <c r="J1374" s="13" t="s">
        <v>46</v>
      </c>
      <c r="K1374" s="13" t="s">
        <v>52</v>
      </c>
      <c r="L1374" s="13"/>
    </row>
    <row r="1375">
      <c r="A1375" s="13">
        <v>1373.0</v>
      </c>
      <c r="B1375" s="13">
        <v>850.0</v>
      </c>
      <c r="C1375" s="13">
        <v>44.0</v>
      </c>
      <c r="D1375" s="12" t="s">
        <v>2380</v>
      </c>
      <c r="E1375" s="12" t="s">
        <v>2381</v>
      </c>
      <c r="F1375" s="13">
        <v>1.0</v>
      </c>
      <c r="G1375" s="13">
        <v>0.0</v>
      </c>
      <c r="H1375" s="13">
        <v>5.0</v>
      </c>
      <c r="I1375" s="13" t="s">
        <v>35</v>
      </c>
      <c r="J1375" s="13" t="s">
        <v>46</v>
      </c>
      <c r="K1375" s="13" t="s">
        <v>47</v>
      </c>
      <c r="L1375" s="13"/>
    </row>
    <row r="1376">
      <c r="A1376" s="13">
        <v>1374.0</v>
      </c>
      <c r="B1376" s="13">
        <v>867.0</v>
      </c>
      <c r="C1376" s="13">
        <v>49.0</v>
      </c>
      <c r="D1376" s="12" t="s">
        <v>2382</v>
      </c>
      <c r="E1376" s="12" t="s">
        <v>2383</v>
      </c>
      <c r="F1376" s="13">
        <v>5.0</v>
      </c>
      <c r="G1376" s="13">
        <v>1.0</v>
      </c>
      <c r="H1376" s="13">
        <v>1.0</v>
      </c>
      <c r="I1376" s="13" t="s">
        <v>35</v>
      </c>
      <c r="J1376" s="13" t="s">
        <v>46</v>
      </c>
      <c r="K1376" s="13" t="s">
        <v>52</v>
      </c>
      <c r="L1376" s="13"/>
    </row>
    <row r="1377">
      <c r="A1377" s="13">
        <v>1375.0</v>
      </c>
      <c r="B1377" s="13">
        <v>867.0</v>
      </c>
      <c r="C1377" s="13">
        <v>40.0</v>
      </c>
      <c r="D1377" s="12" t="s">
        <v>2384</v>
      </c>
      <c r="E1377" s="12" t="s">
        <v>2385</v>
      </c>
      <c r="F1377" s="13">
        <v>5.0</v>
      </c>
      <c r="G1377" s="13">
        <v>1.0</v>
      </c>
      <c r="H1377" s="13">
        <v>0.0</v>
      </c>
      <c r="I1377" s="13" t="s">
        <v>35</v>
      </c>
      <c r="J1377" s="13" t="s">
        <v>46</v>
      </c>
      <c r="K1377" s="13" t="s">
        <v>52</v>
      </c>
      <c r="L1377" s="13"/>
    </row>
    <row r="1378">
      <c r="A1378" s="13">
        <v>1376.0</v>
      </c>
      <c r="B1378" s="13">
        <v>850.0</v>
      </c>
      <c r="C1378" s="13">
        <v>43.0</v>
      </c>
      <c r="D1378" s="12" t="s">
        <v>2386</v>
      </c>
      <c r="E1378" s="12" t="s">
        <v>2387</v>
      </c>
      <c r="F1378" s="13">
        <v>1.0</v>
      </c>
      <c r="G1378" s="13">
        <v>0.0</v>
      </c>
      <c r="H1378" s="13">
        <v>4.0</v>
      </c>
      <c r="I1378" s="13" t="s">
        <v>35</v>
      </c>
      <c r="J1378" s="13" t="s">
        <v>46</v>
      </c>
      <c r="K1378" s="13" t="s">
        <v>47</v>
      </c>
      <c r="L1378" s="13"/>
    </row>
    <row r="1379">
      <c r="A1379" s="13">
        <v>1377.0</v>
      </c>
      <c r="B1379" s="13">
        <v>867.0</v>
      </c>
      <c r="C1379" s="13">
        <v>49.0</v>
      </c>
      <c r="D1379" s="12" t="s">
        <v>2388</v>
      </c>
      <c r="E1379" s="12" t="s">
        <v>2389</v>
      </c>
      <c r="F1379" s="13">
        <v>5.0</v>
      </c>
      <c r="G1379" s="13">
        <v>1.0</v>
      </c>
      <c r="H1379" s="13">
        <v>2.0</v>
      </c>
      <c r="I1379" s="13" t="s">
        <v>35</v>
      </c>
      <c r="J1379" s="13" t="s">
        <v>46</v>
      </c>
      <c r="K1379" s="13" t="s">
        <v>52</v>
      </c>
      <c r="L1379" s="13"/>
    </row>
    <row r="1380">
      <c r="A1380" s="13">
        <v>1378.0</v>
      </c>
      <c r="B1380" s="13">
        <v>860.0</v>
      </c>
      <c r="C1380" s="13">
        <v>43.0</v>
      </c>
      <c r="D1380" s="12" t="s">
        <v>2390</v>
      </c>
      <c r="E1380" s="12" t="s">
        <v>2391</v>
      </c>
      <c r="F1380" s="13">
        <v>5.0</v>
      </c>
      <c r="G1380" s="13">
        <v>1.0</v>
      </c>
      <c r="H1380" s="13">
        <v>9.0</v>
      </c>
      <c r="I1380" s="13" t="s">
        <v>35</v>
      </c>
      <c r="J1380" s="13" t="s">
        <v>46</v>
      </c>
      <c r="K1380" s="13" t="s">
        <v>52</v>
      </c>
      <c r="L1380" s="13"/>
    </row>
    <row r="1381">
      <c r="A1381" s="13">
        <v>1379.0</v>
      </c>
      <c r="B1381" s="13">
        <v>850.0</v>
      </c>
      <c r="C1381" s="13">
        <v>29.0</v>
      </c>
      <c r="D1381" s="12" t="s">
        <v>2392</v>
      </c>
      <c r="E1381" s="12" t="s">
        <v>2393</v>
      </c>
      <c r="F1381" s="13">
        <v>5.0</v>
      </c>
      <c r="G1381" s="13">
        <v>1.0</v>
      </c>
      <c r="H1381" s="13">
        <v>3.0</v>
      </c>
      <c r="I1381" s="13" t="s">
        <v>35</v>
      </c>
      <c r="J1381" s="13" t="s">
        <v>46</v>
      </c>
      <c r="K1381" s="13" t="s">
        <v>47</v>
      </c>
      <c r="L1381" s="13"/>
    </row>
    <row r="1382">
      <c r="A1382" s="13">
        <v>1380.0</v>
      </c>
      <c r="B1382" s="13">
        <v>867.0</v>
      </c>
      <c r="C1382" s="13">
        <v>66.0</v>
      </c>
      <c r="D1382" s="12" t="s">
        <v>2394</v>
      </c>
      <c r="E1382" s="12" t="s">
        <v>2395</v>
      </c>
      <c r="F1382" s="13">
        <v>4.0</v>
      </c>
      <c r="G1382" s="13">
        <v>1.0</v>
      </c>
      <c r="H1382" s="13">
        <v>2.0</v>
      </c>
      <c r="I1382" s="13" t="s">
        <v>35</v>
      </c>
      <c r="J1382" s="13" t="s">
        <v>46</v>
      </c>
      <c r="K1382" s="13" t="s">
        <v>52</v>
      </c>
      <c r="L1382" s="13"/>
    </row>
    <row r="1383">
      <c r="A1383" s="13">
        <v>1381.0</v>
      </c>
      <c r="B1383" s="13">
        <v>946.0</v>
      </c>
      <c r="C1383" s="13">
        <v>54.0</v>
      </c>
      <c r="D1383" s="12"/>
      <c r="E1383" s="12" t="s">
        <v>2396</v>
      </c>
      <c r="F1383" s="13">
        <v>2.0</v>
      </c>
      <c r="G1383" s="13">
        <v>0.0</v>
      </c>
      <c r="H1383" s="13">
        <v>0.0</v>
      </c>
      <c r="I1383" s="13" t="s">
        <v>35</v>
      </c>
      <c r="J1383" s="13" t="s">
        <v>46</v>
      </c>
      <c r="K1383" s="13" t="s">
        <v>95</v>
      </c>
      <c r="L1383" s="13"/>
    </row>
    <row r="1384">
      <c r="A1384" s="13">
        <v>1382.0</v>
      </c>
      <c r="B1384" s="13">
        <v>1110.0</v>
      </c>
      <c r="C1384" s="13">
        <v>49.0</v>
      </c>
      <c r="D1384" s="12" t="s">
        <v>2397</v>
      </c>
      <c r="E1384" s="12" t="s">
        <v>2398</v>
      </c>
      <c r="F1384" s="13">
        <v>4.0</v>
      </c>
      <c r="G1384" s="13">
        <v>1.0</v>
      </c>
      <c r="H1384" s="13">
        <v>7.0</v>
      </c>
      <c r="I1384" s="13" t="s">
        <v>41</v>
      </c>
      <c r="J1384" s="13" t="s">
        <v>36</v>
      </c>
      <c r="K1384" s="13" t="s">
        <v>36</v>
      </c>
      <c r="L1384" s="13"/>
    </row>
    <row r="1385">
      <c r="A1385" s="13">
        <v>1383.0</v>
      </c>
      <c r="B1385" s="13">
        <v>1083.0</v>
      </c>
      <c r="C1385" s="13">
        <v>34.0</v>
      </c>
      <c r="D1385" s="12" t="s">
        <v>2399</v>
      </c>
      <c r="E1385" s="12" t="s">
        <v>2400</v>
      </c>
      <c r="F1385" s="13">
        <v>4.0</v>
      </c>
      <c r="G1385" s="13">
        <v>1.0</v>
      </c>
      <c r="H1385" s="13">
        <v>8.0</v>
      </c>
      <c r="I1385" s="13" t="s">
        <v>41</v>
      </c>
      <c r="J1385" s="13" t="s">
        <v>36</v>
      </c>
      <c r="K1385" s="13" t="s">
        <v>36</v>
      </c>
      <c r="L1385" s="13"/>
    </row>
    <row r="1386">
      <c r="A1386" s="13">
        <v>1384.0</v>
      </c>
      <c r="B1386" s="13">
        <v>867.0</v>
      </c>
      <c r="C1386" s="13">
        <v>62.0</v>
      </c>
      <c r="D1386" s="12" t="s">
        <v>2401</v>
      </c>
      <c r="E1386" s="12" t="s">
        <v>2402</v>
      </c>
      <c r="F1386" s="13">
        <v>5.0</v>
      </c>
      <c r="G1386" s="13">
        <v>1.0</v>
      </c>
      <c r="H1386" s="13">
        <v>2.0</v>
      </c>
      <c r="I1386" s="13" t="s">
        <v>35</v>
      </c>
      <c r="J1386" s="13" t="s">
        <v>46</v>
      </c>
      <c r="K1386" s="13" t="s">
        <v>52</v>
      </c>
      <c r="L1386" s="13"/>
    </row>
    <row r="1387">
      <c r="A1387" s="13">
        <v>1385.0</v>
      </c>
      <c r="B1387" s="13">
        <v>861.0</v>
      </c>
      <c r="C1387" s="13">
        <v>49.0</v>
      </c>
      <c r="D1387" s="12" t="s">
        <v>2403</v>
      </c>
      <c r="E1387" s="12" t="s">
        <v>2404</v>
      </c>
      <c r="F1387" s="13">
        <v>5.0</v>
      </c>
      <c r="G1387" s="13">
        <v>1.0</v>
      </c>
      <c r="H1387" s="13">
        <v>13.0</v>
      </c>
      <c r="I1387" s="13" t="s">
        <v>35</v>
      </c>
      <c r="J1387" s="13" t="s">
        <v>46</v>
      </c>
      <c r="K1387" s="13" t="s">
        <v>52</v>
      </c>
      <c r="L1387" s="13"/>
    </row>
    <row r="1388">
      <c r="A1388" s="13">
        <v>1386.0</v>
      </c>
      <c r="B1388" s="13">
        <v>860.0</v>
      </c>
      <c r="C1388" s="13">
        <v>42.0</v>
      </c>
      <c r="D1388" s="12" t="s">
        <v>799</v>
      </c>
      <c r="E1388" s="12" t="s">
        <v>2405</v>
      </c>
      <c r="F1388" s="13">
        <v>4.0</v>
      </c>
      <c r="G1388" s="13">
        <v>1.0</v>
      </c>
      <c r="H1388" s="13">
        <v>8.0</v>
      </c>
      <c r="I1388" s="13" t="s">
        <v>35</v>
      </c>
      <c r="J1388" s="13" t="s">
        <v>46</v>
      </c>
      <c r="K1388" s="13" t="s">
        <v>52</v>
      </c>
      <c r="L1388" s="13"/>
    </row>
    <row r="1389">
      <c r="A1389" s="13">
        <v>1387.0</v>
      </c>
      <c r="B1389" s="13">
        <v>1081.0</v>
      </c>
      <c r="C1389" s="13">
        <v>55.0</v>
      </c>
      <c r="D1389" s="12" t="s">
        <v>412</v>
      </c>
      <c r="E1389" s="12" t="s">
        <v>2406</v>
      </c>
      <c r="F1389" s="13">
        <v>5.0</v>
      </c>
      <c r="G1389" s="13">
        <v>1.0</v>
      </c>
      <c r="H1389" s="13">
        <v>1.0</v>
      </c>
      <c r="I1389" s="13" t="s">
        <v>41</v>
      </c>
      <c r="J1389" s="13" t="s">
        <v>36</v>
      </c>
      <c r="K1389" s="13" t="s">
        <v>36</v>
      </c>
      <c r="L1389" s="13"/>
    </row>
    <row r="1390">
      <c r="A1390" s="13">
        <v>1388.0</v>
      </c>
      <c r="B1390" s="13">
        <v>1110.0</v>
      </c>
      <c r="C1390" s="13">
        <v>30.0</v>
      </c>
      <c r="D1390" s="12" t="s">
        <v>2079</v>
      </c>
      <c r="E1390" s="12" t="s">
        <v>2407</v>
      </c>
      <c r="F1390" s="13">
        <v>5.0</v>
      </c>
      <c r="G1390" s="13">
        <v>1.0</v>
      </c>
      <c r="H1390" s="13">
        <v>1.0</v>
      </c>
      <c r="I1390" s="13" t="s">
        <v>41</v>
      </c>
      <c r="J1390" s="13" t="s">
        <v>36</v>
      </c>
      <c r="K1390" s="13" t="s">
        <v>36</v>
      </c>
      <c r="L1390" s="13"/>
    </row>
    <row r="1391">
      <c r="A1391" s="13">
        <v>1389.0</v>
      </c>
      <c r="B1391" s="13">
        <v>1098.0</v>
      </c>
      <c r="C1391" s="13">
        <v>54.0</v>
      </c>
      <c r="D1391" s="12" t="s">
        <v>2408</v>
      </c>
      <c r="E1391" s="12" t="s">
        <v>2409</v>
      </c>
      <c r="F1391" s="13">
        <v>5.0</v>
      </c>
      <c r="G1391" s="13">
        <v>1.0</v>
      </c>
      <c r="H1391" s="13">
        <v>0.0</v>
      </c>
      <c r="I1391" s="13" t="s">
        <v>35</v>
      </c>
      <c r="J1391" s="13" t="s">
        <v>36</v>
      </c>
      <c r="K1391" s="13" t="s">
        <v>36</v>
      </c>
      <c r="L1391" s="13"/>
    </row>
    <row r="1392">
      <c r="A1392" s="13">
        <v>1390.0</v>
      </c>
      <c r="B1392" s="13">
        <v>1083.0</v>
      </c>
      <c r="C1392" s="13">
        <v>38.0</v>
      </c>
      <c r="D1392" s="12" t="s">
        <v>2410</v>
      </c>
      <c r="E1392" s="12" t="s">
        <v>2411</v>
      </c>
      <c r="F1392" s="13">
        <v>2.0</v>
      </c>
      <c r="G1392" s="13">
        <v>0.0</v>
      </c>
      <c r="H1392" s="13">
        <v>4.0</v>
      </c>
      <c r="I1392" s="13" t="s">
        <v>41</v>
      </c>
      <c r="J1392" s="13" t="s">
        <v>36</v>
      </c>
      <c r="K1392" s="13" t="s">
        <v>36</v>
      </c>
      <c r="L1392" s="13"/>
    </row>
    <row r="1393">
      <c r="A1393" s="13">
        <v>1391.0</v>
      </c>
      <c r="B1393" s="13">
        <v>946.0</v>
      </c>
      <c r="C1393" s="13">
        <v>43.0</v>
      </c>
      <c r="D1393" s="12" t="s">
        <v>2412</v>
      </c>
      <c r="E1393" s="12" t="s">
        <v>2413</v>
      </c>
      <c r="F1393" s="13">
        <v>3.0</v>
      </c>
      <c r="G1393" s="13">
        <v>0.0</v>
      </c>
      <c r="H1393" s="13">
        <v>1.0</v>
      </c>
      <c r="I1393" s="13" t="s">
        <v>35</v>
      </c>
      <c r="J1393" s="13" t="s">
        <v>46</v>
      </c>
      <c r="K1393" s="13" t="s">
        <v>95</v>
      </c>
      <c r="L1393" s="13"/>
    </row>
    <row r="1394">
      <c r="A1394" s="13">
        <v>1392.0</v>
      </c>
      <c r="B1394" s="13">
        <v>936.0</v>
      </c>
      <c r="C1394" s="13">
        <v>39.0</v>
      </c>
      <c r="D1394" s="12" t="s">
        <v>2414</v>
      </c>
      <c r="E1394" s="12" t="s">
        <v>2415</v>
      </c>
      <c r="F1394" s="13">
        <v>5.0</v>
      </c>
      <c r="G1394" s="13">
        <v>1.0</v>
      </c>
      <c r="H1394" s="13">
        <v>0.0</v>
      </c>
      <c r="I1394" s="13" t="s">
        <v>41</v>
      </c>
      <c r="J1394" s="13" t="s">
        <v>46</v>
      </c>
      <c r="K1394" s="13" t="s">
        <v>95</v>
      </c>
      <c r="L1394" s="13"/>
    </row>
    <row r="1395">
      <c r="A1395" s="13">
        <v>1393.0</v>
      </c>
      <c r="B1395" s="13">
        <v>1098.0</v>
      </c>
      <c r="C1395" s="13">
        <v>26.0</v>
      </c>
      <c r="D1395" s="12" t="s">
        <v>2416</v>
      </c>
      <c r="E1395" s="12" t="s">
        <v>2417</v>
      </c>
      <c r="F1395" s="13">
        <v>5.0</v>
      </c>
      <c r="G1395" s="13">
        <v>1.0</v>
      </c>
      <c r="H1395" s="13">
        <v>0.0</v>
      </c>
      <c r="I1395" s="13" t="s">
        <v>35</v>
      </c>
      <c r="J1395" s="13" t="s">
        <v>36</v>
      </c>
      <c r="K1395" s="13" t="s">
        <v>36</v>
      </c>
      <c r="L1395" s="13"/>
    </row>
    <row r="1396">
      <c r="A1396" s="13">
        <v>1394.0</v>
      </c>
      <c r="B1396" s="13">
        <v>1081.0</v>
      </c>
      <c r="C1396" s="13">
        <v>34.0</v>
      </c>
      <c r="D1396" s="12" t="s">
        <v>2418</v>
      </c>
      <c r="E1396" s="12" t="s">
        <v>2419</v>
      </c>
      <c r="F1396" s="13">
        <v>4.0</v>
      </c>
      <c r="G1396" s="13">
        <v>1.0</v>
      </c>
      <c r="H1396" s="13">
        <v>0.0</v>
      </c>
      <c r="I1396" s="13" t="s">
        <v>41</v>
      </c>
      <c r="J1396" s="13" t="s">
        <v>36</v>
      </c>
      <c r="K1396" s="13" t="s">
        <v>36</v>
      </c>
      <c r="L1396" s="13"/>
    </row>
    <row r="1397">
      <c r="A1397" s="13">
        <v>1395.0</v>
      </c>
      <c r="B1397" s="13">
        <v>867.0</v>
      </c>
      <c r="C1397" s="13">
        <v>65.0</v>
      </c>
      <c r="D1397" s="12" t="s">
        <v>2420</v>
      </c>
      <c r="E1397" s="12" t="s">
        <v>2421</v>
      </c>
      <c r="F1397" s="13">
        <v>5.0</v>
      </c>
      <c r="G1397" s="13">
        <v>1.0</v>
      </c>
      <c r="H1397" s="13">
        <v>0.0</v>
      </c>
      <c r="I1397" s="13" t="s">
        <v>35</v>
      </c>
      <c r="J1397" s="13" t="s">
        <v>46</v>
      </c>
      <c r="K1397" s="13" t="s">
        <v>52</v>
      </c>
      <c r="L1397" s="13"/>
    </row>
    <row r="1398">
      <c r="A1398" s="13">
        <v>1396.0</v>
      </c>
      <c r="B1398" s="13">
        <v>1081.0</v>
      </c>
      <c r="C1398" s="13">
        <v>36.0</v>
      </c>
      <c r="D1398" s="12" t="s">
        <v>2422</v>
      </c>
      <c r="E1398" s="12" t="s">
        <v>2423</v>
      </c>
      <c r="F1398" s="13">
        <v>4.0</v>
      </c>
      <c r="G1398" s="13">
        <v>1.0</v>
      </c>
      <c r="H1398" s="13">
        <v>0.0</v>
      </c>
      <c r="I1398" s="13" t="s">
        <v>41</v>
      </c>
      <c r="J1398" s="13" t="s">
        <v>36</v>
      </c>
      <c r="K1398" s="13" t="s">
        <v>36</v>
      </c>
      <c r="L1398" s="13"/>
    </row>
    <row r="1399">
      <c r="A1399" s="13">
        <v>1397.0</v>
      </c>
      <c r="B1399" s="13">
        <v>860.0</v>
      </c>
      <c r="C1399" s="13">
        <v>23.0</v>
      </c>
      <c r="D1399" s="12" t="s">
        <v>2424</v>
      </c>
      <c r="E1399" s="12" t="s">
        <v>2425</v>
      </c>
      <c r="F1399" s="13">
        <v>4.0</v>
      </c>
      <c r="G1399" s="13">
        <v>1.0</v>
      </c>
      <c r="H1399" s="13">
        <v>0.0</v>
      </c>
      <c r="I1399" s="13" t="s">
        <v>35</v>
      </c>
      <c r="J1399" s="13" t="s">
        <v>46</v>
      </c>
      <c r="K1399" s="13" t="s">
        <v>52</v>
      </c>
      <c r="L1399" s="13"/>
    </row>
    <row r="1400">
      <c r="A1400" s="13">
        <v>1398.0</v>
      </c>
      <c r="B1400" s="13">
        <v>1110.0</v>
      </c>
      <c r="C1400" s="13">
        <v>43.0</v>
      </c>
      <c r="D1400" s="12" t="s">
        <v>2426</v>
      </c>
      <c r="E1400" s="12" t="s">
        <v>2427</v>
      </c>
      <c r="F1400" s="13">
        <v>4.0</v>
      </c>
      <c r="G1400" s="13">
        <v>1.0</v>
      </c>
      <c r="H1400" s="13">
        <v>2.0</v>
      </c>
      <c r="I1400" s="13" t="s">
        <v>35</v>
      </c>
      <c r="J1400" s="13" t="s">
        <v>36</v>
      </c>
      <c r="K1400" s="13" t="s">
        <v>36</v>
      </c>
      <c r="L1400" s="13"/>
    </row>
    <row r="1401">
      <c r="A1401" s="13">
        <v>1399.0</v>
      </c>
      <c r="B1401" s="13">
        <v>1110.0</v>
      </c>
      <c r="C1401" s="13">
        <v>35.0</v>
      </c>
      <c r="D1401" s="12" t="s">
        <v>2428</v>
      </c>
      <c r="E1401" s="12" t="s">
        <v>2429</v>
      </c>
      <c r="F1401" s="13">
        <v>5.0</v>
      </c>
      <c r="G1401" s="13">
        <v>1.0</v>
      </c>
      <c r="H1401" s="13">
        <v>0.0</v>
      </c>
      <c r="I1401" s="13" t="s">
        <v>35</v>
      </c>
      <c r="J1401" s="13" t="s">
        <v>36</v>
      </c>
      <c r="K1401" s="13" t="s">
        <v>36</v>
      </c>
      <c r="L1401" s="13"/>
    </row>
    <row r="1402">
      <c r="A1402" s="13">
        <v>1400.0</v>
      </c>
      <c r="B1402" s="13">
        <v>1022.0</v>
      </c>
      <c r="C1402" s="13">
        <v>37.0</v>
      </c>
      <c r="D1402" s="12" t="s">
        <v>2430</v>
      </c>
      <c r="E1402" s="12" t="s">
        <v>2431</v>
      </c>
      <c r="F1402" s="13">
        <v>5.0</v>
      </c>
      <c r="G1402" s="13">
        <v>1.0</v>
      </c>
      <c r="H1402" s="13">
        <v>3.0</v>
      </c>
      <c r="I1402" s="13" t="s">
        <v>35</v>
      </c>
      <c r="J1402" s="13" t="s">
        <v>42</v>
      </c>
      <c r="K1402" s="13" t="s">
        <v>435</v>
      </c>
      <c r="L1402" s="13"/>
    </row>
    <row r="1403">
      <c r="A1403" s="13">
        <v>1401.0</v>
      </c>
      <c r="B1403" s="13">
        <v>850.0</v>
      </c>
      <c r="C1403" s="13">
        <v>44.0</v>
      </c>
      <c r="D1403" s="12" t="s">
        <v>2432</v>
      </c>
      <c r="E1403" s="12" t="s">
        <v>2433</v>
      </c>
      <c r="F1403" s="13">
        <v>5.0</v>
      </c>
      <c r="G1403" s="13">
        <v>1.0</v>
      </c>
      <c r="H1403" s="13">
        <v>21.0</v>
      </c>
      <c r="I1403" s="13" t="s">
        <v>35</v>
      </c>
      <c r="J1403" s="13" t="s">
        <v>46</v>
      </c>
      <c r="K1403" s="13" t="s">
        <v>47</v>
      </c>
      <c r="L1403" s="13"/>
    </row>
    <row r="1404">
      <c r="A1404" s="13">
        <v>1402.0</v>
      </c>
      <c r="B1404" s="13">
        <v>860.0</v>
      </c>
      <c r="C1404" s="13">
        <v>48.0</v>
      </c>
      <c r="D1404" s="12" t="s">
        <v>2434</v>
      </c>
      <c r="E1404" s="12" t="s">
        <v>2435</v>
      </c>
      <c r="F1404" s="13">
        <v>5.0</v>
      </c>
      <c r="G1404" s="13">
        <v>1.0</v>
      </c>
      <c r="H1404" s="13">
        <v>0.0</v>
      </c>
      <c r="I1404" s="13" t="s">
        <v>35</v>
      </c>
      <c r="J1404" s="13" t="s">
        <v>46</v>
      </c>
      <c r="K1404" s="13" t="s">
        <v>52</v>
      </c>
      <c r="L1404" s="13"/>
    </row>
    <row r="1405">
      <c r="A1405" s="13">
        <v>1403.0</v>
      </c>
      <c r="B1405" s="13">
        <v>1110.0</v>
      </c>
      <c r="C1405" s="13">
        <v>43.0</v>
      </c>
      <c r="D1405" s="12" t="s">
        <v>2436</v>
      </c>
      <c r="E1405" s="12" t="s">
        <v>2437</v>
      </c>
      <c r="F1405" s="13">
        <v>3.0</v>
      </c>
      <c r="G1405" s="13">
        <v>1.0</v>
      </c>
      <c r="H1405" s="13">
        <v>5.0</v>
      </c>
      <c r="I1405" s="13" t="s">
        <v>35</v>
      </c>
      <c r="J1405" s="13" t="s">
        <v>36</v>
      </c>
      <c r="K1405" s="13" t="s">
        <v>36</v>
      </c>
      <c r="L1405" s="13"/>
    </row>
    <row r="1406">
      <c r="A1406" s="13">
        <v>1404.0</v>
      </c>
      <c r="B1406" s="13">
        <v>1074.0</v>
      </c>
      <c r="C1406" s="13">
        <v>50.0</v>
      </c>
      <c r="D1406" s="12" t="s">
        <v>2438</v>
      </c>
      <c r="E1406" s="12" t="s">
        <v>2439</v>
      </c>
      <c r="F1406" s="13">
        <v>4.0</v>
      </c>
      <c r="G1406" s="13">
        <v>1.0</v>
      </c>
      <c r="H1406" s="13">
        <v>2.0</v>
      </c>
      <c r="I1406" s="13" t="s">
        <v>35</v>
      </c>
      <c r="J1406" s="13" t="s">
        <v>36</v>
      </c>
      <c r="K1406" s="13" t="s">
        <v>36</v>
      </c>
      <c r="L1406" s="13"/>
    </row>
    <row r="1407">
      <c r="A1407" s="13">
        <v>1405.0</v>
      </c>
      <c r="B1407" s="13">
        <v>1094.0</v>
      </c>
      <c r="C1407" s="13">
        <v>37.0</v>
      </c>
      <c r="D1407" s="12" t="s">
        <v>110</v>
      </c>
      <c r="E1407" s="12" t="s">
        <v>2440</v>
      </c>
      <c r="F1407" s="13">
        <v>5.0</v>
      </c>
      <c r="G1407" s="13">
        <v>1.0</v>
      </c>
      <c r="H1407" s="13">
        <v>0.0</v>
      </c>
      <c r="I1407" s="13" t="s">
        <v>35</v>
      </c>
      <c r="J1407" s="13" t="s">
        <v>36</v>
      </c>
      <c r="K1407" s="13" t="s">
        <v>36</v>
      </c>
      <c r="L1407" s="13"/>
    </row>
    <row r="1408">
      <c r="A1408" s="13">
        <v>1406.0</v>
      </c>
      <c r="B1408" s="13">
        <v>1025.0</v>
      </c>
      <c r="C1408" s="13">
        <v>59.0</v>
      </c>
      <c r="D1408" s="12"/>
      <c r="E1408" s="12" t="s">
        <v>2441</v>
      </c>
      <c r="F1408" s="13">
        <v>5.0</v>
      </c>
      <c r="G1408" s="13">
        <v>1.0</v>
      </c>
      <c r="H1408" s="13">
        <v>1.0</v>
      </c>
      <c r="I1408" s="13" t="s">
        <v>41</v>
      </c>
      <c r="J1408" s="13" t="s">
        <v>42</v>
      </c>
      <c r="K1408" s="13" t="s">
        <v>435</v>
      </c>
      <c r="L1408" s="13"/>
    </row>
    <row r="1409">
      <c r="A1409" s="13">
        <v>1407.0</v>
      </c>
      <c r="B1409" s="13">
        <v>1094.0</v>
      </c>
      <c r="C1409" s="13">
        <v>56.0</v>
      </c>
      <c r="D1409" s="12" t="s">
        <v>2442</v>
      </c>
      <c r="E1409" s="12" t="s">
        <v>2443</v>
      </c>
      <c r="F1409" s="13">
        <v>5.0</v>
      </c>
      <c r="G1409" s="13">
        <v>1.0</v>
      </c>
      <c r="H1409" s="13">
        <v>19.0</v>
      </c>
      <c r="I1409" s="13" t="s">
        <v>35</v>
      </c>
      <c r="J1409" s="13" t="s">
        <v>36</v>
      </c>
      <c r="K1409" s="13" t="s">
        <v>36</v>
      </c>
      <c r="L1409" s="13"/>
    </row>
    <row r="1410">
      <c r="A1410" s="13">
        <v>1408.0</v>
      </c>
      <c r="B1410" s="13">
        <v>230.0</v>
      </c>
      <c r="C1410" s="13">
        <v>30.0</v>
      </c>
      <c r="D1410" s="12" t="s">
        <v>2444</v>
      </c>
      <c r="E1410" s="12" t="s">
        <v>2445</v>
      </c>
      <c r="F1410" s="13">
        <v>5.0</v>
      </c>
      <c r="G1410" s="13">
        <v>1.0</v>
      </c>
      <c r="H1410" s="13">
        <v>1.0</v>
      </c>
      <c r="I1410" s="13" t="s">
        <v>31</v>
      </c>
      <c r="J1410" s="13" t="s">
        <v>32</v>
      </c>
      <c r="K1410" s="13" t="s">
        <v>33</v>
      </c>
      <c r="L1410" s="13"/>
    </row>
    <row r="1411">
      <c r="A1411" s="13">
        <v>1409.0</v>
      </c>
      <c r="B1411" s="13">
        <v>837.0</v>
      </c>
      <c r="C1411" s="13">
        <v>67.0</v>
      </c>
      <c r="D1411" s="12" t="s">
        <v>2446</v>
      </c>
      <c r="E1411" s="12" t="s">
        <v>2447</v>
      </c>
      <c r="F1411" s="13">
        <v>3.0</v>
      </c>
      <c r="G1411" s="13">
        <v>0.0</v>
      </c>
      <c r="H1411" s="13">
        <v>6.0</v>
      </c>
      <c r="I1411" s="13" t="s">
        <v>35</v>
      </c>
      <c r="J1411" s="13" t="s">
        <v>46</v>
      </c>
      <c r="K1411" s="13" t="s">
        <v>47</v>
      </c>
      <c r="L1411" s="13"/>
    </row>
    <row r="1412">
      <c r="A1412" s="13">
        <v>1410.0</v>
      </c>
      <c r="B1412" s="13">
        <v>1081.0</v>
      </c>
      <c r="C1412" s="13">
        <v>45.0</v>
      </c>
      <c r="D1412" s="12" t="s">
        <v>2448</v>
      </c>
      <c r="E1412" s="12" t="s">
        <v>2449</v>
      </c>
      <c r="F1412" s="13">
        <v>4.0</v>
      </c>
      <c r="G1412" s="13">
        <v>1.0</v>
      </c>
      <c r="H1412" s="13">
        <v>2.0</v>
      </c>
      <c r="I1412" s="13" t="s">
        <v>35</v>
      </c>
      <c r="J1412" s="13" t="s">
        <v>36</v>
      </c>
      <c r="K1412" s="13" t="s">
        <v>36</v>
      </c>
      <c r="L1412" s="13"/>
    </row>
    <row r="1413">
      <c r="A1413" s="13">
        <v>1411.0</v>
      </c>
      <c r="B1413" s="13">
        <v>837.0</v>
      </c>
      <c r="C1413" s="13">
        <v>44.0</v>
      </c>
      <c r="D1413" s="12" t="s">
        <v>2450</v>
      </c>
      <c r="E1413" s="12" t="s">
        <v>2451</v>
      </c>
      <c r="F1413" s="13">
        <v>5.0</v>
      </c>
      <c r="G1413" s="13">
        <v>1.0</v>
      </c>
      <c r="H1413" s="13">
        <v>1.0</v>
      </c>
      <c r="I1413" s="13" t="s">
        <v>35</v>
      </c>
      <c r="J1413" s="13" t="s">
        <v>46</v>
      </c>
      <c r="K1413" s="13" t="s">
        <v>47</v>
      </c>
      <c r="L1413" s="13"/>
    </row>
    <row r="1414">
      <c r="A1414" s="13">
        <v>1412.0</v>
      </c>
      <c r="B1414" s="13">
        <v>442.0</v>
      </c>
      <c r="C1414" s="13">
        <v>32.0</v>
      </c>
      <c r="D1414" s="12"/>
      <c r="E1414" s="12" t="s">
        <v>2452</v>
      </c>
      <c r="F1414" s="13">
        <v>4.0</v>
      </c>
      <c r="G1414" s="13">
        <v>1.0</v>
      </c>
      <c r="H1414" s="13">
        <v>0.0</v>
      </c>
      <c r="I1414" s="13" t="s">
        <v>31</v>
      </c>
      <c r="J1414" s="13" t="s">
        <v>32</v>
      </c>
      <c r="K1414" s="13" t="s">
        <v>320</v>
      </c>
      <c r="L1414" s="13"/>
    </row>
    <row r="1415">
      <c r="A1415" s="13">
        <v>1413.0</v>
      </c>
      <c r="B1415" s="13">
        <v>1025.0</v>
      </c>
      <c r="C1415" s="13">
        <v>37.0</v>
      </c>
      <c r="D1415" s="12" t="s">
        <v>2453</v>
      </c>
      <c r="E1415" s="12" t="s">
        <v>2454</v>
      </c>
      <c r="F1415" s="13">
        <v>4.0</v>
      </c>
      <c r="G1415" s="13">
        <v>1.0</v>
      </c>
      <c r="H1415" s="13">
        <v>3.0</v>
      </c>
      <c r="I1415" s="13" t="s">
        <v>41</v>
      </c>
      <c r="J1415" s="13" t="s">
        <v>42</v>
      </c>
      <c r="K1415" s="13" t="s">
        <v>435</v>
      </c>
      <c r="L1415" s="13"/>
    </row>
    <row r="1416">
      <c r="A1416" s="13">
        <v>1414.0</v>
      </c>
      <c r="B1416" s="13">
        <v>1094.0</v>
      </c>
      <c r="C1416" s="13">
        <v>39.0</v>
      </c>
      <c r="D1416" s="12" t="s">
        <v>2455</v>
      </c>
      <c r="E1416" s="12" t="s">
        <v>2456</v>
      </c>
      <c r="F1416" s="13">
        <v>4.0</v>
      </c>
      <c r="G1416" s="13">
        <v>1.0</v>
      </c>
      <c r="H1416" s="13">
        <v>24.0</v>
      </c>
      <c r="I1416" s="13" t="s">
        <v>35</v>
      </c>
      <c r="J1416" s="13" t="s">
        <v>36</v>
      </c>
      <c r="K1416" s="13" t="s">
        <v>36</v>
      </c>
      <c r="L1416" s="13"/>
    </row>
    <row r="1417">
      <c r="A1417" s="13">
        <v>1415.0</v>
      </c>
      <c r="B1417" s="13">
        <v>744.0</v>
      </c>
      <c r="C1417" s="13">
        <v>63.0</v>
      </c>
      <c r="D1417" s="12" t="s">
        <v>2457</v>
      </c>
      <c r="E1417" s="12" t="s">
        <v>2458</v>
      </c>
      <c r="F1417" s="13">
        <v>5.0</v>
      </c>
      <c r="G1417" s="13">
        <v>1.0</v>
      </c>
      <c r="H1417" s="13">
        <v>0.0</v>
      </c>
      <c r="I1417" s="13" t="s">
        <v>31</v>
      </c>
      <c r="J1417" s="13" t="s">
        <v>32</v>
      </c>
      <c r="K1417" s="13" t="s">
        <v>33</v>
      </c>
      <c r="L1417" s="13"/>
    </row>
    <row r="1418">
      <c r="A1418" s="13">
        <v>1416.0</v>
      </c>
      <c r="B1418" s="13">
        <v>1081.0</v>
      </c>
      <c r="C1418" s="13">
        <v>54.0</v>
      </c>
      <c r="D1418" s="12" t="s">
        <v>1593</v>
      </c>
      <c r="E1418" s="12" t="s">
        <v>2459</v>
      </c>
      <c r="F1418" s="13">
        <v>5.0</v>
      </c>
      <c r="G1418" s="13">
        <v>1.0</v>
      </c>
      <c r="H1418" s="13">
        <v>3.0</v>
      </c>
      <c r="I1418" s="13" t="s">
        <v>35</v>
      </c>
      <c r="J1418" s="13" t="s">
        <v>36</v>
      </c>
      <c r="K1418" s="13" t="s">
        <v>36</v>
      </c>
      <c r="L1418" s="13"/>
    </row>
    <row r="1419">
      <c r="A1419" s="13">
        <v>1417.0</v>
      </c>
      <c r="B1419" s="13">
        <v>1094.0</v>
      </c>
      <c r="C1419" s="13">
        <v>40.0</v>
      </c>
      <c r="D1419" s="12" t="s">
        <v>2460</v>
      </c>
      <c r="E1419" s="12" t="s">
        <v>2461</v>
      </c>
      <c r="F1419" s="13">
        <v>5.0</v>
      </c>
      <c r="G1419" s="13">
        <v>1.0</v>
      </c>
      <c r="H1419" s="13">
        <v>1.0</v>
      </c>
      <c r="I1419" s="13" t="s">
        <v>35</v>
      </c>
      <c r="J1419" s="13" t="s">
        <v>36</v>
      </c>
      <c r="K1419" s="13" t="s">
        <v>36</v>
      </c>
      <c r="L1419" s="13"/>
    </row>
    <row r="1420">
      <c r="A1420" s="13">
        <v>1418.0</v>
      </c>
      <c r="B1420" s="13">
        <v>1081.0</v>
      </c>
      <c r="C1420" s="13">
        <v>46.0</v>
      </c>
      <c r="D1420" s="12" t="s">
        <v>2462</v>
      </c>
      <c r="E1420" s="12" t="s">
        <v>2463</v>
      </c>
      <c r="F1420" s="13">
        <v>2.0</v>
      </c>
      <c r="G1420" s="13">
        <v>0.0</v>
      </c>
      <c r="H1420" s="13">
        <v>0.0</v>
      </c>
      <c r="I1420" s="13" t="s">
        <v>41</v>
      </c>
      <c r="J1420" s="13" t="s">
        <v>36</v>
      </c>
      <c r="K1420" s="13" t="s">
        <v>36</v>
      </c>
      <c r="L1420" s="13"/>
    </row>
    <row r="1421">
      <c r="A1421" s="13">
        <v>1419.0</v>
      </c>
      <c r="B1421" s="13">
        <v>837.0</v>
      </c>
      <c r="C1421" s="13">
        <v>23.0</v>
      </c>
      <c r="D1421" s="12" t="s">
        <v>2464</v>
      </c>
      <c r="E1421" s="12" t="s">
        <v>2465</v>
      </c>
      <c r="F1421" s="13">
        <v>2.0</v>
      </c>
      <c r="G1421" s="13">
        <v>0.0</v>
      </c>
      <c r="H1421" s="13">
        <v>0.0</v>
      </c>
      <c r="I1421" s="13" t="s">
        <v>35</v>
      </c>
      <c r="J1421" s="13" t="s">
        <v>46</v>
      </c>
      <c r="K1421" s="13" t="s">
        <v>47</v>
      </c>
      <c r="L1421" s="13"/>
    </row>
    <row r="1422">
      <c r="A1422" s="13">
        <v>1420.0</v>
      </c>
      <c r="B1422" s="13">
        <v>1094.0</v>
      </c>
      <c r="C1422" s="13">
        <v>42.0</v>
      </c>
      <c r="D1422" s="12" t="s">
        <v>2466</v>
      </c>
      <c r="E1422" s="12" t="s">
        <v>2467</v>
      </c>
      <c r="F1422" s="13">
        <v>5.0</v>
      </c>
      <c r="G1422" s="13">
        <v>1.0</v>
      </c>
      <c r="H1422" s="13">
        <v>5.0</v>
      </c>
      <c r="I1422" s="13" t="s">
        <v>35</v>
      </c>
      <c r="J1422" s="13" t="s">
        <v>36</v>
      </c>
      <c r="K1422" s="13" t="s">
        <v>36</v>
      </c>
      <c r="L1422" s="13"/>
    </row>
    <row r="1423">
      <c r="A1423" s="13">
        <v>1421.0</v>
      </c>
      <c r="B1423" s="13">
        <v>1094.0</v>
      </c>
      <c r="C1423" s="13">
        <v>30.0</v>
      </c>
      <c r="D1423" s="12" t="s">
        <v>2468</v>
      </c>
      <c r="E1423" s="12" t="s">
        <v>2469</v>
      </c>
      <c r="F1423" s="13">
        <v>3.0</v>
      </c>
      <c r="G1423" s="13">
        <v>1.0</v>
      </c>
      <c r="H1423" s="13">
        <v>0.0</v>
      </c>
      <c r="I1423" s="13" t="s">
        <v>35</v>
      </c>
      <c r="J1423" s="13" t="s">
        <v>36</v>
      </c>
      <c r="K1423" s="13" t="s">
        <v>36</v>
      </c>
      <c r="L1423" s="13"/>
    </row>
    <row r="1424">
      <c r="A1424" s="13">
        <v>1422.0</v>
      </c>
      <c r="B1424" s="13">
        <v>1081.0</v>
      </c>
      <c r="C1424" s="13">
        <v>29.0</v>
      </c>
      <c r="D1424" s="12" t="s">
        <v>2470</v>
      </c>
      <c r="E1424" s="12" t="s">
        <v>2471</v>
      </c>
      <c r="F1424" s="13">
        <v>5.0</v>
      </c>
      <c r="G1424" s="13">
        <v>1.0</v>
      </c>
      <c r="H1424" s="13">
        <v>0.0</v>
      </c>
      <c r="I1424" s="13" t="s">
        <v>41</v>
      </c>
      <c r="J1424" s="13" t="s">
        <v>36</v>
      </c>
      <c r="K1424" s="13" t="s">
        <v>36</v>
      </c>
      <c r="L1424" s="13"/>
    </row>
    <row r="1425">
      <c r="A1425" s="13">
        <v>1423.0</v>
      </c>
      <c r="B1425" s="13">
        <v>1081.0</v>
      </c>
      <c r="C1425" s="13">
        <v>47.0</v>
      </c>
      <c r="D1425" s="12" t="s">
        <v>2472</v>
      </c>
      <c r="E1425" s="12" t="s">
        <v>2473</v>
      </c>
      <c r="F1425" s="13">
        <v>3.0</v>
      </c>
      <c r="G1425" s="13">
        <v>1.0</v>
      </c>
      <c r="H1425" s="13">
        <v>0.0</v>
      </c>
      <c r="I1425" s="13" t="s">
        <v>41</v>
      </c>
      <c r="J1425" s="13" t="s">
        <v>36</v>
      </c>
      <c r="K1425" s="13" t="s">
        <v>36</v>
      </c>
      <c r="L1425" s="13"/>
    </row>
    <row r="1426">
      <c r="A1426" s="13">
        <v>1424.0</v>
      </c>
      <c r="B1426" s="13">
        <v>1081.0</v>
      </c>
      <c r="C1426" s="13">
        <v>36.0</v>
      </c>
      <c r="D1426" s="12" t="s">
        <v>2474</v>
      </c>
      <c r="E1426" s="12" t="s">
        <v>2475</v>
      </c>
      <c r="F1426" s="13">
        <v>5.0</v>
      </c>
      <c r="G1426" s="13">
        <v>1.0</v>
      </c>
      <c r="H1426" s="13">
        <v>0.0</v>
      </c>
      <c r="I1426" s="13" t="s">
        <v>41</v>
      </c>
      <c r="J1426" s="13" t="s">
        <v>36</v>
      </c>
      <c r="K1426" s="13" t="s">
        <v>36</v>
      </c>
      <c r="L1426" s="13"/>
    </row>
    <row r="1427">
      <c r="A1427" s="13">
        <v>1425.0</v>
      </c>
      <c r="B1427" s="13">
        <v>1081.0</v>
      </c>
      <c r="C1427" s="13">
        <v>52.0</v>
      </c>
      <c r="D1427" s="12"/>
      <c r="E1427" s="12"/>
      <c r="F1427" s="13">
        <v>5.0</v>
      </c>
      <c r="G1427" s="13">
        <v>1.0</v>
      </c>
      <c r="H1427" s="13">
        <v>0.0</v>
      </c>
      <c r="I1427" s="13" t="s">
        <v>41</v>
      </c>
      <c r="J1427" s="13" t="s">
        <v>36</v>
      </c>
      <c r="K1427" s="13" t="s">
        <v>36</v>
      </c>
      <c r="L1427" s="13"/>
    </row>
    <row r="1428">
      <c r="A1428" s="13">
        <v>1426.0</v>
      </c>
      <c r="B1428" s="13">
        <v>1094.0</v>
      </c>
      <c r="C1428" s="13">
        <v>40.0</v>
      </c>
      <c r="D1428" s="12" t="s">
        <v>2058</v>
      </c>
      <c r="E1428" s="12" t="s">
        <v>2476</v>
      </c>
      <c r="F1428" s="13">
        <v>4.0</v>
      </c>
      <c r="G1428" s="13">
        <v>1.0</v>
      </c>
      <c r="H1428" s="13">
        <v>2.0</v>
      </c>
      <c r="I1428" s="13" t="s">
        <v>35</v>
      </c>
      <c r="J1428" s="13" t="s">
        <v>36</v>
      </c>
      <c r="K1428" s="13" t="s">
        <v>36</v>
      </c>
      <c r="L1428" s="13"/>
    </row>
    <row r="1429">
      <c r="A1429" s="13">
        <v>1427.0</v>
      </c>
      <c r="B1429" s="13">
        <v>1081.0</v>
      </c>
      <c r="C1429" s="13">
        <v>45.0</v>
      </c>
      <c r="D1429" s="12" t="s">
        <v>2477</v>
      </c>
      <c r="E1429" s="12" t="s">
        <v>2478</v>
      </c>
      <c r="F1429" s="13">
        <v>4.0</v>
      </c>
      <c r="G1429" s="13">
        <v>1.0</v>
      </c>
      <c r="H1429" s="13">
        <v>0.0</v>
      </c>
      <c r="I1429" s="13" t="s">
        <v>41</v>
      </c>
      <c r="J1429" s="13" t="s">
        <v>36</v>
      </c>
      <c r="K1429" s="13" t="s">
        <v>36</v>
      </c>
      <c r="L1429" s="13"/>
    </row>
    <row r="1430">
      <c r="A1430" s="13">
        <v>1428.0</v>
      </c>
      <c r="B1430" s="13">
        <v>1094.0</v>
      </c>
      <c r="C1430" s="13">
        <v>36.0</v>
      </c>
      <c r="D1430" s="12" t="s">
        <v>2479</v>
      </c>
      <c r="E1430" s="12" t="s">
        <v>2480</v>
      </c>
      <c r="F1430" s="13">
        <v>5.0</v>
      </c>
      <c r="G1430" s="13">
        <v>1.0</v>
      </c>
      <c r="H1430" s="13">
        <v>1.0</v>
      </c>
      <c r="I1430" s="13" t="s">
        <v>35</v>
      </c>
      <c r="J1430" s="13" t="s">
        <v>36</v>
      </c>
      <c r="K1430" s="13" t="s">
        <v>36</v>
      </c>
      <c r="L1430" s="13"/>
    </row>
    <row r="1431">
      <c r="A1431" s="13">
        <v>1429.0</v>
      </c>
      <c r="B1431" s="13">
        <v>1025.0</v>
      </c>
      <c r="C1431" s="13">
        <v>34.0</v>
      </c>
      <c r="D1431" s="12" t="s">
        <v>2481</v>
      </c>
      <c r="E1431" s="12" t="s">
        <v>2482</v>
      </c>
      <c r="F1431" s="13">
        <v>4.0</v>
      </c>
      <c r="G1431" s="13">
        <v>1.0</v>
      </c>
      <c r="H1431" s="13">
        <v>2.0</v>
      </c>
      <c r="I1431" s="13" t="s">
        <v>41</v>
      </c>
      <c r="J1431" s="13" t="s">
        <v>42</v>
      </c>
      <c r="K1431" s="13" t="s">
        <v>435</v>
      </c>
      <c r="L1431" s="13"/>
    </row>
    <row r="1432">
      <c r="A1432" s="13">
        <v>1430.0</v>
      </c>
      <c r="B1432" s="13">
        <v>775.0</v>
      </c>
      <c r="C1432" s="13">
        <v>66.0</v>
      </c>
      <c r="D1432" s="12" t="s">
        <v>2483</v>
      </c>
      <c r="E1432" s="12" t="s">
        <v>2484</v>
      </c>
      <c r="F1432" s="13">
        <v>3.0</v>
      </c>
      <c r="G1432" s="13">
        <v>1.0</v>
      </c>
      <c r="H1432" s="13">
        <v>0.0</v>
      </c>
      <c r="I1432" s="13" t="s">
        <v>31</v>
      </c>
      <c r="J1432" s="13" t="s">
        <v>32</v>
      </c>
      <c r="K1432" s="13" t="s">
        <v>126</v>
      </c>
      <c r="L1432" s="13"/>
    </row>
    <row r="1433">
      <c r="A1433" s="13">
        <v>1431.0</v>
      </c>
      <c r="B1433" s="13">
        <v>1081.0</v>
      </c>
      <c r="C1433" s="13">
        <v>45.0</v>
      </c>
      <c r="D1433" s="12" t="s">
        <v>2485</v>
      </c>
      <c r="E1433" s="12" t="s">
        <v>2486</v>
      </c>
      <c r="F1433" s="13">
        <v>3.0</v>
      </c>
      <c r="G1433" s="13">
        <v>1.0</v>
      </c>
      <c r="H1433" s="13">
        <v>0.0</v>
      </c>
      <c r="I1433" s="13" t="s">
        <v>41</v>
      </c>
      <c r="J1433" s="13" t="s">
        <v>36</v>
      </c>
      <c r="K1433" s="13" t="s">
        <v>36</v>
      </c>
      <c r="L1433" s="13"/>
    </row>
    <row r="1434">
      <c r="A1434" s="13">
        <v>1432.0</v>
      </c>
      <c r="B1434" s="13">
        <v>1094.0</v>
      </c>
      <c r="C1434" s="13">
        <v>48.0</v>
      </c>
      <c r="D1434" s="12" t="s">
        <v>436</v>
      </c>
      <c r="E1434" s="12" t="s">
        <v>2487</v>
      </c>
      <c r="F1434" s="13">
        <v>5.0</v>
      </c>
      <c r="G1434" s="13">
        <v>1.0</v>
      </c>
      <c r="H1434" s="13">
        <v>0.0</v>
      </c>
      <c r="I1434" s="13" t="s">
        <v>35</v>
      </c>
      <c r="J1434" s="13" t="s">
        <v>36</v>
      </c>
      <c r="K1434" s="13" t="s">
        <v>36</v>
      </c>
      <c r="L1434" s="13"/>
    </row>
    <row r="1435">
      <c r="A1435" s="13">
        <v>1433.0</v>
      </c>
      <c r="B1435" s="13">
        <v>1094.0</v>
      </c>
      <c r="C1435" s="13">
        <v>26.0</v>
      </c>
      <c r="D1435" s="12" t="s">
        <v>2488</v>
      </c>
      <c r="E1435" s="12" t="s">
        <v>2489</v>
      </c>
      <c r="F1435" s="13">
        <v>1.0</v>
      </c>
      <c r="G1435" s="13">
        <v>0.0</v>
      </c>
      <c r="H1435" s="13">
        <v>0.0</v>
      </c>
      <c r="I1435" s="13" t="s">
        <v>35</v>
      </c>
      <c r="J1435" s="13" t="s">
        <v>36</v>
      </c>
      <c r="K1435" s="13" t="s">
        <v>36</v>
      </c>
      <c r="L1435" s="13"/>
    </row>
    <row r="1436">
      <c r="A1436" s="13">
        <v>1434.0</v>
      </c>
      <c r="B1436" s="13">
        <v>1094.0</v>
      </c>
      <c r="C1436" s="13">
        <v>59.0</v>
      </c>
      <c r="D1436" s="12" t="s">
        <v>2490</v>
      </c>
      <c r="E1436" s="12" t="s">
        <v>2491</v>
      </c>
      <c r="F1436" s="13">
        <v>2.0</v>
      </c>
      <c r="G1436" s="13">
        <v>0.0</v>
      </c>
      <c r="H1436" s="13">
        <v>2.0</v>
      </c>
      <c r="I1436" s="13" t="s">
        <v>35</v>
      </c>
      <c r="J1436" s="13" t="s">
        <v>36</v>
      </c>
      <c r="K1436" s="13" t="s">
        <v>36</v>
      </c>
      <c r="L1436" s="13"/>
    </row>
    <row r="1437">
      <c r="A1437" s="13">
        <v>1435.0</v>
      </c>
      <c r="B1437" s="13">
        <v>1094.0</v>
      </c>
      <c r="C1437" s="13">
        <v>33.0</v>
      </c>
      <c r="D1437" s="12" t="s">
        <v>2492</v>
      </c>
      <c r="E1437" s="12" t="s">
        <v>2493</v>
      </c>
      <c r="F1437" s="13">
        <v>4.0</v>
      </c>
      <c r="G1437" s="13">
        <v>1.0</v>
      </c>
      <c r="H1437" s="13">
        <v>0.0</v>
      </c>
      <c r="I1437" s="13" t="s">
        <v>35</v>
      </c>
      <c r="J1437" s="13" t="s">
        <v>36</v>
      </c>
      <c r="K1437" s="13" t="s">
        <v>36</v>
      </c>
      <c r="L1437" s="13"/>
    </row>
    <row r="1438">
      <c r="A1438" s="13">
        <v>1436.0</v>
      </c>
      <c r="B1438" s="13">
        <v>442.0</v>
      </c>
      <c r="C1438" s="13">
        <v>53.0</v>
      </c>
      <c r="D1438" s="12" t="s">
        <v>2494</v>
      </c>
      <c r="E1438" s="12" t="s">
        <v>2495</v>
      </c>
      <c r="F1438" s="13">
        <v>5.0</v>
      </c>
      <c r="G1438" s="13">
        <v>1.0</v>
      </c>
      <c r="H1438" s="13">
        <v>1.0</v>
      </c>
      <c r="I1438" s="13" t="s">
        <v>31</v>
      </c>
      <c r="J1438" s="13" t="s">
        <v>32</v>
      </c>
      <c r="K1438" s="13" t="s">
        <v>320</v>
      </c>
      <c r="L1438" s="13"/>
    </row>
    <row r="1439">
      <c r="A1439" s="13">
        <v>1437.0</v>
      </c>
      <c r="B1439" s="13">
        <v>1081.0</v>
      </c>
      <c r="C1439" s="13">
        <v>52.0</v>
      </c>
      <c r="D1439" s="12" t="s">
        <v>2496</v>
      </c>
      <c r="E1439" s="12" t="s">
        <v>2497</v>
      </c>
      <c r="F1439" s="13">
        <v>4.0</v>
      </c>
      <c r="G1439" s="13">
        <v>1.0</v>
      </c>
      <c r="H1439" s="13">
        <v>0.0</v>
      </c>
      <c r="I1439" s="13" t="s">
        <v>41</v>
      </c>
      <c r="J1439" s="13" t="s">
        <v>36</v>
      </c>
      <c r="K1439" s="13" t="s">
        <v>36</v>
      </c>
      <c r="L1439" s="13"/>
    </row>
    <row r="1440">
      <c r="A1440" s="13">
        <v>1438.0</v>
      </c>
      <c r="B1440" s="13">
        <v>1081.0</v>
      </c>
      <c r="C1440" s="13">
        <v>39.0</v>
      </c>
      <c r="D1440" s="12" t="s">
        <v>2498</v>
      </c>
      <c r="E1440" s="12" t="s">
        <v>2499</v>
      </c>
      <c r="F1440" s="13">
        <v>5.0</v>
      </c>
      <c r="G1440" s="13">
        <v>1.0</v>
      </c>
      <c r="H1440" s="13">
        <v>0.0</v>
      </c>
      <c r="I1440" s="13" t="s">
        <v>41</v>
      </c>
      <c r="J1440" s="13" t="s">
        <v>36</v>
      </c>
      <c r="K1440" s="13" t="s">
        <v>36</v>
      </c>
      <c r="L1440" s="13"/>
    </row>
    <row r="1441">
      <c r="A1441" s="13">
        <v>1439.0</v>
      </c>
      <c r="B1441" s="13">
        <v>1081.0</v>
      </c>
      <c r="C1441" s="13">
        <v>51.0</v>
      </c>
      <c r="D1441" s="12" t="s">
        <v>2500</v>
      </c>
      <c r="E1441" s="12" t="s">
        <v>2501</v>
      </c>
      <c r="F1441" s="13">
        <v>5.0</v>
      </c>
      <c r="G1441" s="13">
        <v>1.0</v>
      </c>
      <c r="H1441" s="13">
        <v>0.0</v>
      </c>
      <c r="I1441" s="13" t="s">
        <v>41</v>
      </c>
      <c r="J1441" s="13" t="s">
        <v>36</v>
      </c>
      <c r="K1441" s="13" t="s">
        <v>36</v>
      </c>
      <c r="L1441" s="13"/>
    </row>
    <row r="1442">
      <c r="A1442" s="13">
        <v>1440.0</v>
      </c>
      <c r="B1442" s="13">
        <v>1087.0</v>
      </c>
      <c r="C1442" s="13">
        <v>31.0</v>
      </c>
      <c r="D1442" s="12" t="s">
        <v>2502</v>
      </c>
      <c r="E1442" s="12" t="s">
        <v>2503</v>
      </c>
      <c r="F1442" s="13">
        <v>1.0</v>
      </c>
      <c r="G1442" s="13">
        <v>0.0</v>
      </c>
      <c r="H1442" s="13">
        <v>0.0</v>
      </c>
      <c r="I1442" s="13" t="s">
        <v>35</v>
      </c>
      <c r="J1442" s="13" t="s">
        <v>36</v>
      </c>
      <c r="K1442" s="13" t="s">
        <v>36</v>
      </c>
      <c r="L1442" s="13"/>
    </row>
    <row r="1443">
      <c r="A1443" s="13">
        <v>1441.0</v>
      </c>
      <c r="B1443" s="13">
        <v>1081.0</v>
      </c>
      <c r="C1443" s="13">
        <v>43.0</v>
      </c>
      <c r="D1443" s="12" t="s">
        <v>2504</v>
      </c>
      <c r="E1443" s="12" t="s">
        <v>2505</v>
      </c>
      <c r="F1443" s="13">
        <v>5.0</v>
      </c>
      <c r="G1443" s="13">
        <v>1.0</v>
      </c>
      <c r="H1443" s="13">
        <v>0.0</v>
      </c>
      <c r="I1443" s="13" t="s">
        <v>41</v>
      </c>
      <c r="J1443" s="13" t="s">
        <v>36</v>
      </c>
      <c r="K1443" s="13" t="s">
        <v>36</v>
      </c>
      <c r="L1443" s="13"/>
    </row>
    <row r="1444">
      <c r="A1444" s="13">
        <v>1442.0</v>
      </c>
      <c r="B1444" s="13">
        <v>1025.0</v>
      </c>
      <c r="C1444" s="13">
        <v>57.0</v>
      </c>
      <c r="D1444" s="12" t="s">
        <v>2506</v>
      </c>
      <c r="E1444" s="12" t="s">
        <v>2507</v>
      </c>
      <c r="F1444" s="13">
        <v>5.0</v>
      </c>
      <c r="G1444" s="13">
        <v>1.0</v>
      </c>
      <c r="H1444" s="13">
        <v>0.0</v>
      </c>
      <c r="I1444" s="13" t="s">
        <v>41</v>
      </c>
      <c r="J1444" s="13" t="s">
        <v>42</v>
      </c>
      <c r="K1444" s="13" t="s">
        <v>435</v>
      </c>
      <c r="L1444" s="13"/>
    </row>
    <row r="1445">
      <c r="A1445" s="13">
        <v>1443.0</v>
      </c>
      <c r="B1445" s="13">
        <v>1094.0</v>
      </c>
      <c r="C1445" s="13">
        <v>39.0</v>
      </c>
      <c r="D1445" s="12" t="s">
        <v>2508</v>
      </c>
      <c r="E1445" s="12" t="s">
        <v>2509</v>
      </c>
      <c r="F1445" s="13">
        <v>5.0</v>
      </c>
      <c r="G1445" s="13">
        <v>1.0</v>
      </c>
      <c r="H1445" s="13">
        <v>2.0</v>
      </c>
      <c r="I1445" s="13" t="s">
        <v>35</v>
      </c>
      <c r="J1445" s="13" t="s">
        <v>36</v>
      </c>
      <c r="K1445" s="13" t="s">
        <v>36</v>
      </c>
      <c r="L1445" s="13"/>
    </row>
    <row r="1446">
      <c r="A1446" s="13">
        <v>1444.0</v>
      </c>
      <c r="B1446" s="13">
        <v>1094.0</v>
      </c>
      <c r="C1446" s="13">
        <v>36.0</v>
      </c>
      <c r="D1446" s="12" t="s">
        <v>2510</v>
      </c>
      <c r="E1446" s="12" t="s">
        <v>2511</v>
      </c>
      <c r="F1446" s="13">
        <v>4.0</v>
      </c>
      <c r="G1446" s="13">
        <v>1.0</v>
      </c>
      <c r="H1446" s="13">
        <v>3.0</v>
      </c>
      <c r="I1446" s="13" t="s">
        <v>35</v>
      </c>
      <c r="J1446" s="13" t="s">
        <v>36</v>
      </c>
      <c r="K1446" s="13" t="s">
        <v>36</v>
      </c>
      <c r="L1446" s="13"/>
    </row>
    <row r="1447">
      <c r="A1447" s="13">
        <v>1445.0</v>
      </c>
      <c r="B1447" s="13">
        <v>1087.0</v>
      </c>
      <c r="C1447" s="13">
        <v>38.0</v>
      </c>
      <c r="D1447" s="12" t="s">
        <v>2512</v>
      </c>
      <c r="E1447" s="12" t="s">
        <v>2513</v>
      </c>
      <c r="F1447" s="13">
        <v>5.0</v>
      </c>
      <c r="G1447" s="13">
        <v>1.0</v>
      </c>
      <c r="H1447" s="13">
        <v>0.0</v>
      </c>
      <c r="I1447" s="13" t="s">
        <v>35</v>
      </c>
      <c r="J1447" s="13" t="s">
        <v>36</v>
      </c>
      <c r="K1447" s="13" t="s">
        <v>36</v>
      </c>
      <c r="L1447" s="13"/>
    </row>
    <row r="1448">
      <c r="A1448" s="13">
        <v>1446.0</v>
      </c>
      <c r="B1448" s="13">
        <v>1094.0</v>
      </c>
      <c r="C1448" s="13">
        <v>59.0</v>
      </c>
      <c r="D1448" s="12"/>
      <c r="E1448" s="12" t="s">
        <v>2514</v>
      </c>
      <c r="F1448" s="13">
        <v>5.0</v>
      </c>
      <c r="G1448" s="13">
        <v>1.0</v>
      </c>
      <c r="H1448" s="13">
        <v>0.0</v>
      </c>
      <c r="I1448" s="13" t="s">
        <v>35</v>
      </c>
      <c r="J1448" s="13" t="s">
        <v>36</v>
      </c>
      <c r="K1448" s="13" t="s">
        <v>36</v>
      </c>
      <c r="L1448" s="13"/>
    </row>
    <row r="1449">
      <c r="A1449" s="13">
        <v>1447.0</v>
      </c>
      <c r="B1449" s="13">
        <v>1094.0</v>
      </c>
      <c r="C1449" s="13">
        <v>37.0</v>
      </c>
      <c r="D1449" s="12" t="s">
        <v>2515</v>
      </c>
      <c r="E1449" s="12" t="s">
        <v>2516</v>
      </c>
      <c r="F1449" s="13">
        <v>3.0</v>
      </c>
      <c r="G1449" s="13">
        <v>0.0</v>
      </c>
      <c r="H1449" s="13">
        <v>2.0</v>
      </c>
      <c r="I1449" s="13" t="s">
        <v>35</v>
      </c>
      <c r="J1449" s="13" t="s">
        <v>36</v>
      </c>
      <c r="K1449" s="13" t="s">
        <v>36</v>
      </c>
      <c r="L1449" s="13"/>
    </row>
    <row r="1450">
      <c r="A1450" s="13">
        <v>1448.0</v>
      </c>
      <c r="B1450" s="13">
        <v>1081.0</v>
      </c>
      <c r="C1450" s="13">
        <v>48.0</v>
      </c>
      <c r="D1450" s="12" t="s">
        <v>2517</v>
      </c>
      <c r="E1450" s="12" t="s">
        <v>2518</v>
      </c>
      <c r="F1450" s="13">
        <v>5.0</v>
      </c>
      <c r="G1450" s="13">
        <v>1.0</v>
      </c>
      <c r="H1450" s="13">
        <v>0.0</v>
      </c>
      <c r="I1450" s="13" t="s">
        <v>35</v>
      </c>
      <c r="J1450" s="13" t="s">
        <v>36</v>
      </c>
      <c r="K1450" s="13" t="s">
        <v>36</v>
      </c>
      <c r="L1450" s="13"/>
    </row>
    <row r="1451">
      <c r="A1451" s="13">
        <v>1449.0</v>
      </c>
      <c r="B1451" s="13">
        <v>442.0</v>
      </c>
      <c r="C1451" s="13">
        <v>47.0</v>
      </c>
      <c r="D1451" s="12" t="s">
        <v>2519</v>
      </c>
      <c r="E1451" s="12" t="s">
        <v>2520</v>
      </c>
      <c r="F1451" s="13">
        <v>4.0</v>
      </c>
      <c r="G1451" s="13">
        <v>1.0</v>
      </c>
      <c r="H1451" s="13">
        <v>0.0</v>
      </c>
      <c r="I1451" s="13" t="s">
        <v>31</v>
      </c>
      <c r="J1451" s="13" t="s">
        <v>32</v>
      </c>
      <c r="K1451" s="13" t="s">
        <v>320</v>
      </c>
      <c r="L1451" s="13"/>
    </row>
    <row r="1452">
      <c r="A1452" s="13">
        <v>1450.0</v>
      </c>
      <c r="B1452" s="13">
        <v>1072.0</v>
      </c>
      <c r="C1452" s="13">
        <v>36.0</v>
      </c>
      <c r="D1452" s="12" t="s">
        <v>2521</v>
      </c>
      <c r="E1452" s="12" t="s">
        <v>2522</v>
      </c>
      <c r="F1452" s="13">
        <v>3.0</v>
      </c>
      <c r="G1452" s="13">
        <v>1.0</v>
      </c>
      <c r="H1452" s="13">
        <v>3.0</v>
      </c>
      <c r="I1452" s="13" t="s">
        <v>35</v>
      </c>
      <c r="J1452" s="13" t="s">
        <v>36</v>
      </c>
      <c r="K1452" s="13" t="s">
        <v>36</v>
      </c>
      <c r="L1452" s="13"/>
    </row>
    <row r="1453">
      <c r="A1453" s="13">
        <v>1451.0</v>
      </c>
      <c r="B1453" s="13">
        <v>829.0</v>
      </c>
      <c r="C1453" s="13">
        <v>25.0</v>
      </c>
      <c r="D1453" s="12" t="s">
        <v>2523</v>
      </c>
      <c r="E1453" s="12" t="s">
        <v>2524</v>
      </c>
      <c r="F1453" s="13">
        <v>3.0</v>
      </c>
      <c r="G1453" s="13">
        <v>1.0</v>
      </c>
      <c r="H1453" s="13">
        <v>2.0</v>
      </c>
      <c r="I1453" s="13" t="s">
        <v>41</v>
      </c>
      <c r="J1453" s="13" t="s">
        <v>46</v>
      </c>
      <c r="K1453" s="13" t="s">
        <v>47</v>
      </c>
      <c r="L1453" s="13"/>
    </row>
    <row r="1454">
      <c r="A1454" s="13">
        <v>1452.0</v>
      </c>
      <c r="B1454" s="13">
        <v>1175.0</v>
      </c>
      <c r="C1454" s="13">
        <v>30.0</v>
      </c>
      <c r="D1454" s="12" t="s">
        <v>2525</v>
      </c>
      <c r="E1454" s="12" t="s">
        <v>2526</v>
      </c>
      <c r="F1454" s="13">
        <v>3.0</v>
      </c>
      <c r="G1454" s="13">
        <v>0.0</v>
      </c>
      <c r="H1454" s="13">
        <v>5.0</v>
      </c>
      <c r="I1454" s="13" t="s">
        <v>31</v>
      </c>
      <c r="J1454" s="13" t="s">
        <v>32</v>
      </c>
      <c r="K1454" s="13" t="s">
        <v>320</v>
      </c>
      <c r="L1454" s="13"/>
    </row>
    <row r="1455">
      <c r="A1455" s="13">
        <v>1453.0</v>
      </c>
      <c r="B1455" s="13">
        <v>952.0</v>
      </c>
      <c r="C1455" s="13">
        <v>57.0</v>
      </c>
      <c r="D1455" s="12"/>
      <c r="E1455" s="12" t="s">
        <v>2527</v>
      </c>
      <c r="F1455" s="13">
        <v>5.0</v>
      </c>
      <c r="G1455" s="13">
        <v>1.0</v>
      </c>
      <c r="H1455" s="13">
        <v>0.0</v>
      </c>
      <c r="I1455" s="13" t="s">
        <v>35</v>
      </c>
      <c r="J1455" s="13" t="s">
        <v>46</v>
      </c>
      <c r="K1455" s="13" t="s">
        <v>95</v>
      </c>
      <c r="L1455" s="13"/>
    </row>
    <row r="1456">
      <c r="A1456" s="13">
        <v>1454.0</v>
      </c>
      <c r="B1456" s="13">
        <v>411.0</v>
      </c>
      <c r="C1456" s="13">
        <v>55.0</v>
      </c>
      <c r="D1456" s="12"/>
      <c r="E1456" s="12"/>
      <c r="F1456" s="13">
        <v>5.0</v>
      </c>
      <c r="G1456" s="13">
        <v>1.0</v>
      </c>
      <c r="H1456" s="13">
        <v>0.0</v>
      </c>
      <c r="I1456" s="13" t="s">
        <v>31</v>
      </c>
      <c r="J1456" s="13" t="s">
        <v>32</v>
      </c>
      <c r="K1456" s="13" t="s">
        <v>33</v>
      </c>
      <c r="L1456" s="13"/>
    </row>
    <row r="1457">
      <c r="A1457" s="13">
        <v>1455.0</v>
      </c>
      <c r="B1457" s="13">
        <v>829.0</v>
      </c>
      <c r="C1457" s="13">
        <v>24.0</v>
      </c>
      <c r="D1457" s="12" t="s">
        <v>2528</v>
      </c>
      <c r="E1457" s="12" t="s">
        <v>2529</v>
      </c>
      <c r="F1457" s="13">
        <v>2.0</v>
      </c>
      <c r="G1457" s="13">
        <v>0.0</v>
      </c>
      <c r="H1457" s="13">
        <v>3.0</v>
      </c>
      <c r="I1457" s="13" t="s">
        <v>41</v>
      </c>
      <c r="J1457" s="13" t="s">
        <v>46</v>
      </c>
      <c r="K1457" s="13" t="s">
        <v>47</v>
      </c>
      <c r="L1457" s="13"/>
    </row>
    <row r="1458">
      <c r="A1458" s="13">
        <v>1456.0</v>
      </c>
      <c r="B1458" s="13">
        <v>411.0</v>
      </c>
      <c r="C1458" s="13">
        <v>38.0</v>
      </c>
      <c r="D1458" s="12" t="s">
        <v>2530</v>
      </c>
      <c r="E1458" s="12" t="s">
        <v>2531</v>
      </c>
      <c r="F1458" s="13">
        <v>3.0</v>
      </c>
      <c r="G1458" s="13">
        <v>1.0</v>
      </c>
      <c r="H1458" s="13">
        <v>0.0</v>
      </c>
      <c r="I1458" s="13" t="s">
        <v>31</v>
      </c>
      <c r="J1458" s="13" t="s">
        <v>32</v>
      </c>
      <c r="K1458" s="13" t="s">
        <v>33</v>
      </c>
      <c r="L1458" s="13"/>
    </row>
    <row r="1459">
      <c r="A1459" s="13">
        <v>1457.0</v>
      </c>
      <c r="B1459" s="13">
        <v>411.0</v>
      </c>
      <c r="C1459" s="13">
        <v>37.0</v>
      </c>
      <c r="D1459" s="12" t="s">
        <v>2532</v>
      </c>
      <c r="E1459" s="12" t="s">
        <v>2533</v>
      </c>
      <c r="F1459" s="13">
        <v>5.0</v>
      </c>
      <c r="G1459" s="13">
        <v>1.0</v>
      </c>
      <c r="H1459" s="13">
        <v>0.0</v>
      </c>
      <c r="I1459" s="13" t="s">
        <v>31</v>
      </c>
      <c r="J1459" s="13" t="s">
        <v>32</v>
      </c>
      <c r="K1459" s="13" t="s">
        <v>33</v>
      </c>
      <c r="L1459" s="13"/>
    </row>
    <row r="1460">
      <c r="A1460" s="13">
        <v>1458.0</v>
      </c>
      <c r="B1460" s="13">
        <v>952.0</v>
      </c>
      <c r="C1460" s="13">
        <v>35.0</v>
      </c>
      <c r="D1460" s="12" t="s">
        <v>480</v>
      </c>
      <c r="E1460" s="12" t="s">
        <v>2534</v>
      </c>
      <c r="F1460" s="13">
        <v>5.0</v>
      </c>
      <c r="G1460" s="13">
        <v>1.0</v>
      </c>
      <c r="H1460" s="13">
        <v>0.0</v>
      </c>
      <c r="I1460" s="13" t="s">
        <v>35</v>
      </c>
      <c r="J1460" s="13" t="s">
        <v>46</v>
      </c>
      <c r="K1460" s="13" t="s">
        <v>95</v>
      </c>
      <c r="L1460" s="13"/>
    </row>
    <row r="1461">
      <c r="A1461" s="13">
        <v>1459.0</v>
      </c>
      <c r="B1461" s="13">
        <v>829.0</v>
      </c>
      <c r="C1461" s="13">
        <v>34.0</v>
      </c>
      <c r="D1461" s="12" t="s">
        <v>2535</v>
      </c>
      <c r="E1461" s="12" t="s">
        <v>2536</v>
      </c>
      <c r="F1461" s="13">
        <v>5.0</v>
      </c>
      <c r="G1461" s="13">
        <v>1.0</v>
      </c>
      <c r="H1461" s="13">
        <v>3.0</v>
      </c>
      <c r="I1461" s="13" t="s">
        <v>35</v>
      </c>
      <c r="J1461" s="13" t="s">
        <v>46</v>
      </c>
      <c r="K1461" s="13" t="s">
        <v>47</v>
      </c>
      <c r="L1461" s="13"/>
    </row>
    <row r="1462">
      <c r="A1462" s="13">
        <v>1460.0</v>
      </c>
      <c r="B1462" s="13">
        <v>829.0</v>
      </c>
      <c r="C1462" s="13">
        <v>34.0</v>
      </c>
      <c r="D1462" s="12" t="s">
        <v>1399</v>
      </c>
      <c r="E1462" s="12" t="s">
        <v>2537</v>
      </c>
      <c r="F1462" s="13">
        <v>5.0</v>
      </c>
      <c r="G1462" s="13">
        <v>1.0</v>
      </c>
      <c r="H1462" s="13">
        <v>3.0</v>
      </c>
      <c r="I1462" s="13" t="s">
        <v>35</v>
      </c>
      <c r="J1462" s="13" t="s">
        <v>46</v>
      </c>
      <c r="K1462" s="13" t="s">
        <v>47</v>
      </c>
      <c r="L1462" s="13"/>
    </row>
    <row r="1463">
      <c r="A1463" s="13">
        <v>1461.0</v>
      </c>
      <c r="B1463" s="13">
        <v>829.0</v>
      </c>
      <c r="C1463" s="13">
        <v>49.0</v>
      </c>
      <c r="D1463" s="12" t="s">
        <v>336</v>
      </c>
      <c r="E1463" s="12" t="s">
        <v>2538</v>
      </c>
      <c r="F1463" s="13">
        <v>5.0</v>
      </c>
      <c r="G1463" s="13">
        <v>1.0</v>
      </c>
      <c r="H1463" s="13">
        <v>0.0</v>
      </c>
      <c r="I1463" s="13" t="s">
        <v>35</v>
      </c>
      <c r="J1463" s="13" t="s">
        <v>46</v>
      </c>
      <c r="K1463" s="13" t="s">
        <v>47</v>
      </c>
      <c r="L1463" s="13"/>
    </row>
    <row r="1464">
      <c r="A1464" s="13">
        <v>1462.0</v>
      </c>
      <c r="B1464" s="13">
        <v>411.0</v>
      </c>
      <c r="C1464" s="13">
        <v>29.0</v>
      </c>
      <c r="D1464" s="12" t="s">
        <v>377</v>
      </c>
      <c r="E1464" s="12" t="s">
        <v>2539</v>
      </c>
      <c r="F1464" s="13">
        <v>2.0</v>
      </c>
      <c r="G1464" s="13">
        <v>0.0</v>
      </c>
      <c r="H1464" s="13">
        <v>0.0</v>
      </c>
      <c r="I1464" s="13" t="s">
        <v>31</v>
      </c>
      <c r="J1464" s="13" t="s">
        <v>32</v>
      </c>
      <c r="K1464" s="13" t="s">
        <v>33</v>
      </c>
      <c r="L1464" s="13"/>
    </row>
    <row r="1465">
      <c r="A1465" s="13">
        <v>1463.0</v>
      </c>
      <c r="B1465" s="13">
        <v>839.0</v>
      </c>
      <c r="C1465" s="13">
        <v>44.0</v>
      </c>
      <c r="D1465" s="12" t="s">
        <v>2540</v>
      </c>
      <c r="E1465" s="12" t="s">
        <v>2541</v>
      </c>
      <c r="F1465" s="13">
        <v>3.0</v>
      </c>
      <c r="G1465" s="13">
        <v>1.0</v>
      </c>
      <c r="H1465" s="13">
        <v>3.0</v>
      </c>
      <c r="I1465" s="13" t="s">
        <v>35</v>
      </c>
      <c r="J1465" s="13" t="s">
        <v>46</v>
      </c>
      <c r="K1465" s="13" t="s">
        <v>47</v>
      </c>
      <c r="L1465" s="13"/>
    </row>
    <row r="1466">
      <c r="A1466" s="13">
        <v>1464.0</v>
      </c>
      <c r="B1466" s="13">
        <v>411.0</v>
      </c>
      <c r="C1466" s="13">
        <v>48.0</v>
      </c>
      <c r="D1466" s="12" t="s">
        <v>2542</v>
      </c>
      <c r="E1466" s="12" t="s">
        <v>2543</v>
      </c>
      <c r="F1466" s="13">
        <v>2.0</v>
      </c>
      <c r="G1466" s="13">
        <v>0.0</v>
      </c>
      <c r="H1466" s="13">
        <v>1.0</v>
      </c>
      <c r="I1466" s="13" t="s">
        <v>31</v>
      </c>
      <c r="J1466" s="13" t="s">
        <v>32</v>
      </c>
      <c r="K1466" s="13" t="s">
        <v>33</v>
      </c>
      <c r="L1466" s="13"/>
    </row>
    <row r="1467">
      <c r="A1467" s="13">
        <v>1465.0</v>
      </c>
      <c r="B1467" s="13">
        <v>839.0</v>
      </c>
      <c r="C1467" s="13">
        <v>23.0</v>
      </c>
      <c r="D1467" s="12" t="s">
        <v>779</v>
      </c>
      <c r="E1467" s="12" t="s">
        <v>2544</v>
      </c>
      <c r="F1467" s="13">
        <v>5.0</v>
      </c>
      <c r="G1467" s="13">
        <v>1.0</v>
      </c>
      <c r="H1467" s="13">
        <v>0.0</v>
      </c>
      <c r="I1467" s="13" t="s">
        <v>35</v>
      </c>
      <c r="J1467" s="13" t="s">
        <v>46</v>
      </c>
      <c r="K1467" s="13" t="s">
        <v>47</v>
      </c>
      <c r="L1467" s="13"/>
    </row>
    <row r="1468">
      <c r="A1468" s="13">
        <v>1466.0</v>
      </c>
      <c r="B1468" s="13">
        <v>952.0</v>
      </c>
      <c r="C1468" s="13">
        <v>45.0</v>
      </c>
      <c r="D1468" s="12" t="s">
        <v>2545</v>
      </c>
      <c r="E1468" s="12" t="s">
        <v>2546</v>
      </c>
      <c r="F1468" s="13">
        <v>4.0</v>
      </c>
      <c r="G1468" s="13">
        <v>1.0</v>
      </c>
      <c r="H1468" s="13">
        <v>6.0</v>
      </c>
      <c r="I1468" s="13" t="s">
        <v>35</v>
      </c>
      <c r="J1468" s="13" t="s">
        <v>46</v>
      </c>
      <c r="K1468" s="13" t="s">
        <v>95</v>
      </c>
      <c r="L1468" s="13"/>
    </row>
    <row r="1469">
      <c r="A1469" s="13">
        <v>1467.0</v>
      </c>
      <c r="B1469" s="13">
        <v>829.0</v>
      </c>
      <c r="C1469" s="13">
        <v>38.0</v>
      </c>
      <c r="D1469" s="12" t="s">
        <v>2547</v>
      </c>
      <c r="E1469" s="12" t="s">
        <v>2548</v>
      </c>
      <c r="F1469" s="13">
        <v>3.0</v>
      </c>
      <c r="G1469" s="13">
        <v>0.0</v>
      </c>
      <c r="H1469" s="13">
        <v>17.0</v>
      </c>
      <c r="I1469" s="13" t="s">
        <v>35</v>
      </c>
      <c r="J1469" s="13" t="s">
        <v>46</v>
      </c>
      <c r="K1469" s="13" t="s">
        <v>47</v>
      </c>
      <c r="L1469" s="13"/>
    </row>
    <row r="1470">
      <c r="A1470" s="13">
        <v>1468.0</v>
      </c>
      <c r="B1470" s="13">
        <v>411.0</v>
      </c>
      <c r="C1470" s="13">
        <v>41.0</v>
      </c>
      <c r="D1470" s="12" t="s">
        <v>2549</v>
      </c>
      <c r="E1470" s="12" t="s">
        <v>2550</v>
      </c>
      <c r="F1470" s="13">
        <v>5.0</v>
      </c>
      <c r="G1470" s="13">
        <v>1.0</v>
      </c>
      <c r="H1470" s="13">
        <v>2.0</v>
      </c>
      <c r="I1470" s="13" t="s">
        <v>31</v>
      </c>
      <c r="J1470" s="13" t="s">
        <v>32</v>
      </c>
      <c r="K1470" s="13" t="s">
        <v>33</v>
      </c>
      <c r="L1470" s="13"/>
    </row>
    <row r="1471">
      <c r="A1471" s="13">
        <v>1469.0</v>
      </c>
      <c r="B1471" s="13">
        <v>952.0</v>
      </c>
      <c r="C1471" s="13">
        <v>53.0</v>
      </c>
      <c r="D1471" s="12" t="s">
        <v>2551</v>
      </c>
      <c r="E1471" s="12" t="s">
        <v>2552</v>
      </c>
      <c r="F1471" s="13">
        <v>5.0</v>
      </c>
      <c r="G1471" s="13">
        <v>1.0</v>
      </c>
      <c r="H1471" s="13">
        <v>0.0</v>
      </c>
      <c r="I1471" s="13" t="s">
        <v>35</v>
      </c>
      <c r="J1471" s="13" t="s">
        <v>46</v>
      </c>
      <c r="K1471" s="13" t="s">
        <v>95</v>
      </c>
      <c r="L1471" s="13"/>
    </row>
    <row r="1472">
      <c r="A1472" s="13">
        <v>1470.0</v>
      </c>
      <c r="B1472" s="13">
        <v>1072.0</v>
      </c>
      <c r="C1472" s="13">
        <v>29.0</v>
      </c>
      <c r="D1472" s="12" t="s">
        <v>2553</v>
      </c>
      <c r="E1472" s="12" t="s">
        <v>2554</v>
      </c>
      <c r="F1472" s="13">
        <v>2.0</v>
      </c>
      <c r="G1472" s="13">
        <v>0.0</v>
      </c>
      <c r="H1472" s="13">
        <v>2.0</v>
      </c>
      <c r="I1472" s="13" t="s">
        <v>35</v>
      </c>
      <c r="J1472" s="13" t="s">
        <v>36</v>
      </c>
      <c r="K1472" s="13" t="s">
        <v>36</v>
      </c>
      <c r="L1472" s="13"/>
    </row>
    <row r="1473">
      <c r="A1473" s="13">
        <v>1471.0</v>
      </c>
      <c r="B1473" s="13">
        <v>993.0</v>
      </c>
      <c r="C1473" s="13">
        <v>35.0</v>
      </c>
      <c r="D1473" s="12"/>
      <c r="E1473" s="12"/>
      <c r="F1473" s="13">
        <v>3.0</v>
      </c>
      <c r="G1473" s="13">
        <v>0.0</v>
      </c>
      <c r="H1473" s="13">
        <v>0.0</v>
      </c>
      <c r="I1473" s="13" t="s">
        <v>41</v>
      </c>
      <c r="J1473" s="13" t="s">
        <v>42</v>
      </c>
      <c r="K1473" s="13" t="s">
        <v>98</v>
      </c>
      <c r="L1473" s="13"/>
    </row>
    <row r="1474">
      <c r="A1474" s="13">
        <v>1472.0</v>
      </c>
      <c r="B1474" s="13">
        <v>829.0</v>
      </c>
      <c r="C1474" s="13">
        <v>33.0</v>
      </c>
      <c r="D1474" s="12" t="s">
        <v>2555</v>
      </c>
      <c r="E1474" s="12" t="s">
        <v>2556</v>
      </c>
      <c r="F1474" s="13">
        <v>4.0</v>
      </c>
      <c r="G1474" s="13">
        <v>1.0</v>
      </c>
      <c r="H1474" s="13">
        <v>0.0</v>
      </c>
      <c r="I1474" s="13" t="s">
        <v>35</v>
      </c>
      <c r="J1474" s="13" t="s">
        <v>46</v>
      </c>
      <c r="K1474" s="13" t="s">
        <v>47</v>
      </c>
      <c r="L1474" s="13"/>
    </row>
    <row r="1475">
      <c r="A1475" s="13">
        <v>1473.0</v>
      </c>
      <c r="B1475" s="13">
        <v>829.0</v>
      </c>
      <c r="C1475" s="13">
        <v>28.0</v>
      </c>
      <c r="D1475" s="12" t="s">
        <v>2557</v>
      </c>
      <c r="E1475" s="12" t="s">
        <v>2558</v>
      </c>
      <c r="F1475" s="13">
        <v>4.0</v>
      </c>
      <c r="G1475" s="13">
        <v>1.0</v>
      </c>
      <c r="H1475" s="13">
        <v>0.0</v>
      </c>
      <c r="I1475" s="13" t="s">
        <v>35</v>
      </c>
      <c r="J1475" s="13" t="s">
        <v>46</v>
      </c>
      <c r="K1475" s="13" t="s">
        <v>47</v>
      </c>
      <c r="L1475" s="13"/>
    </row>
    <row r="1476">
      <c r="A1476" s="13">
        <v>1474.0</v>
      </c>
      <c r="B1476" s="13">
        <v>860.0</v>
      </c>
      <c r="C1476" s="13">
        <v>45.0</v>
      </c>
      <c r="D1476" s="12"/>
      <c r="E1476" s="12" t="s">
        <v>2559</v>
      </c>
      <c r="F1476" s="13">
        <v>1.0</v>
      </c>
      <c r="G1476" s="13">
        <v>0.0</v>
      </c>
      <c r="H1476" s="13">
        <v>2.0</v>
      </c>
      <c r="I1476" s="13" t="s">
        <v>35</v>
      </c>
      <c r="J1476" s="13" t="s">
        <v>46</v>
      </c>
      <c r="K1476" s="13" t="s">
        <v>52</v>
      </c>
      <c r="L1476" s="13"/>
    </row>
    <row r="1477">
      <c r="A1477" s="13">
        <v>1475.0</v>
      </c>
      <c r="B1477" s="13">
        <v>860.0</v>
      </c>
      <c r="C1477" s="13">
        <v>54.0</v>
      </c>
      <c r="D1477" s="12" t="s">
        <v>2560</v>
      </c>
      <c r="E1477" s="12" t="s">
        <v>2561</v>
      </c>
      <c r="F1477" s="13">
        <v>5.0</v>
      </c>
      <c r="G1477" s="13">
        <v>1.0</v>
      </c>
      <c r="H1477" s="13">
        <v>0.0</v>
      </c>
      <c r="I1477" s="13" t="s">
        <v>35</v>
      </c>
      <c r="J1477" s="13" t="s">
        <v>46</v>
      </c>
      <c r="K1477" s="13" t="s">
        <v>52</v>
      </c>
      <c r="L1477" s="13"/>
    </row>
    <row r="1478">
      <c r="A1478" s="13">
        <v>1476.0</v>
      </c>
      <c r="B1478" s="13">
        <v>1027.0</v>
      </c>
      <c r="C1478" s="13">
        <v>39.0</v>
      </c>
      <c r="D1478" s="12" t="s">
        <v>2562</v>
      </c>
      <c r="E1478" s="12" t="s">
        <v>2563</v>
      </c>
      <c r="F1478" s="13">
        <v>5.0</v>
      </c>
      <c r="G1478" s="13">
        <v>1.0</v>
      </c>
      <c r="H1478" s="13">
        <v>0.0</v>
      </c>
      <c r="I1478" s="13" t="s">
        <v>35</v>
      </c>
      <c r="J1478" s="13" t="s">
        <v>42</v>
      </c>
      <c r="K1478" s="13" t="s">
        <v>435</v>
      </c>
      <c r="L1478" s="13"/>
    </row>
    <row r="1479">
      <c r="A1479" s="13">
        <v>1477.0</v>
      </c>
      <c r="B1479" s="13">
        <v>1098.0</v>
      </c>
      <c r="C1479" s="13">
        <v>39.0</v>
      </c>
      <c r="D1479" s="12" t="s">
        <v>2564</v>
      </c>
      <c r="E1479" s="12" t="s">
        <v>2565</v>
      </c>
      <c r="F1479" s="13">
        <v>5.0</v>
      </c>
      <c r="G1479" s="13">
        <v>1.0</v>
      </c>
      <c r="H1479" s="13">
        <v>0.0</v>
      </c>
      <c r="I1479" s="13" t="s">
        <v>41</v>
      </c>
      <c r="J1479" s="13" t="s">
        <v>36</v>
      </c>
      <c r="K1479" s="13" t="s">
        <v>36</v>
      </c>
      <c r="L1479" s="13"/>
    </row>
    <row r="1480">
      <c r="A1480" s="13">
        <v>1478.0</v>
      </c>
      <c r="B1480" s="13">
        <v>829.0</v>
      </c>
      <c r="C1480" s="13">
        <v>36.0</v>
      </c>
      <c r="D1480" s="12" t="s">
        <v>2566</v>
      </c>
      <c r="E1480" s="12" t="s">
        <v>2567</v>
      </c>
      <c r="F1480" s="13">
        <v>5.0</v>
      </c>
      <c r="G1480" s="13">
        <v>1.0</v>
      </c>
      <c r="H1480" s="13">
        <v>0.0</v>
      </c>
      <c r="I1480" s="13" t="s">
        <v>35</v>
      </c>
      <c r="J1480" s="13" t="s">
        <v>46</v>
      </c>
      <c r="K1480" s="13" t="s">
        <v>47</v>
      </c>
      <c r="L1480" s="13"/>
    </row>
    <row r="1481">
      <c r="A1481" s="13">
        <v>1479.0</v>
      </c>
      <c r="B1481" s="13">
        <v>936.0</v>
      </c>
      <c r="C1481" s="13">
        <v>21.0</v>
      </c>
      <c r="D1481" s="12"/>
      <c r="E1481" s="12" t="s">
        <v>2568</v>
      </c>
      <c r="F1481" s="13">
        <v>5.0</v>
      </c>
      <c r="G1481" s="13">
        <v>1.0</v>
      </c>
      <c r="H1481" s="13">
        <v>0.0</v>
      </c>
      <c r="I1481" s="13" t="s">
        <v>35</v>
      </c>
      <c r="J1481" s="13" t="s">
        <v>46</v>
      </c>
      <c r="K1481" s="13" t="s">
        <v>95</v>
      </c>
      <c r="L1481" s="13"/>
    </row>
    <row r="1482">
      <c r="A1482" s="13">
        <v>1480.0</v>
      </c>
      <c r="B1482" s="13">
        <v>1066.0</v>
      </c>
      <c r="C1482" s="13">
        <v>26.0</v>
      </c>
      <c r="D1482" s="12" t="s">
        <v>2569</v>
      </c>
      <c r="E1482" s="12" t="s">
        <v>2570</v>
      </c>
      <c r="F1482" s="13">
        <v>5.0</v>
      </c>
      <c r="G1482" s="13">
        <v>1.0</v>
      </c>
      <c r="H1482" s="13">
        <v>1.0</v>
      </c>
      <c r="I1482" s="13" t="s">
        <v>35</v>
      </c>
      <c r="J1482" s="13" t="s">
        <v>42</v>
      </c>
      <c r="K1482" s="13" t="s">
        <v>43</v>
      </c>
      <c r="L1482" s="13"/>
    </row>
    <row r="1483">
      <c r="A1483" s="13">
        <v>1481.0</v>
      </c>
      <c r="B1483" s="13">
        <v>936.0</v>
      </c>
      <c r="C1483" s="13">
        <v>39.0</v>
      </c>
      <c r="D1483" s="12"/>
      <c r="E1483" s="12" t="s">
        <v>2571</v>
      </c>
      <c r="F1483" s="13">
        <v>3.0</v>
      </c>
      <c r="G1483" s="13">
        <v>0.0</v>
      </c>
      <c r="H1483" s="13">
        <v>0.0</v>
      </c>
      <c r="I1483" s="13" t="s">
        <v>35</v>
      </c>
      <c r="J1483" s="13" t="s">
        <v>46</v>
      </c>
      <c r="K1483" s="13" t="s">
        <v>95</v>
      </c>
      <c r="L1483" s="13"/>
    </row>
    <row r="1484">
      <c r="A1484" s="13">
        <v>1482.0</v>
      </c>
      <c r="B1484" s="13">
        <v>1022.0</v>
      </c>
      <c r="C1484" s="13">
        <v>36.0</v>
      </c>
      <c r="D1484" s="12"/>
      <c r="E1484" s="12" t="s">
        <v>2572</v>
      </c>
      <c r="F1484" s="13">
        <v>1.0</v>
      </c>
      <c r="G1484" s="13">
        <v>0.0</v>
      </c>
      <c r="H1484" s="13">
        <v>0.0</v>
      </c>
      <c r="I1484" s="13" t="s">
        <v>35</v>
      </c>
      <c r="J1484" s="13" t="s">
        <v>42</v>
      </c>
      <c r="K1484" s="13" t="s">
        <v>435</v>
      </c>
      <c r="L1484" s="13"/>
    </row>
    <row r="1485">
      <c r="A1485" s="13">
        <v>1483.0</v>
      </c>
      <c r="B1485" s="13">
        <v>860.0</v>
      </c>
      <c r="C1485" s="13">
        <v>31.0</v>
      </c>
      <c r="D1485" s="12" t="s">
        <v>2573</v>
      </c>
      <c r="E1485" s="12" t="s">
        <v>2574</v>
      </c>
      <c r="F1485" s="13">
        <v>2.0</v>
      </c>
      <c r="G1485" s="13">
        <v>0.0</v>
      </c>
      <c r="H1485" s="13">
        <v>0.0</v>
      </c>
      <c r="I1485" s="13" t="s">
        <v>35</v>
      </c>
      <c r="J1485" s="13" t="s">
        <v>46</v>
      </c>
      <c r="K1485" s="13" t="s">
        <v>52</v>
      </c>
      <c r="L1485" s="13"/>
    </row>
    <row r="1486">
      <c r="A1486" s="13">
        <v>1484.0</v>
      </c>
      <c r="B1486" s="13">
        <v>860.0</v>
      </c>
      <c r="C1486" s="13">
        <v>20.0</v>
      </c>
      <c r="D1486" s="12" t="s">
        <v>2575</v>
      </c>
      <c r="E1486" s="12" t="s">
        <v>2576</v>
      </c>
      <c r="F1486" s="13">
        <v>3.0</v>
      </c>
      <c r="G1486" s="13">
        <v>0.0</v>
      </c>
      <c r="H1486" s="13">
        <v>0.0</v>
      </c>
      <c r="I1486" s="13" t="s">
        <v>35</v>
      </c>
      <c r="J1486" s="13" t="s">
        <v>46</v>
      </c>
      <c r="K1486" s="13" t="s">
        <v>52</v>
      </c>
      <c r="L1486" s="13"/>
    </row>
    <row r="1487">
      <c r="A1487" s="13">
        <v>1485.0</v>
      </c>
      <c r="B1487" s="13">
        <v>1098.0</v>
      </c>
      <c r="C1487" s="13">
        <v>35.0</v>
      </c>
      <c r="D1487" s="12"/>
      <c r="E1487" s="12"/>
      <c r="F1487" s="13">
        <v>5.0</v>
      </c>
      <c r="G1487" s="13">
        <v>1.0</v>
      </c>
      <c r="H1487" s="13">
        <v>0.0</v>
      </c>
      <c r="I1487" s="13" t="s">
        <v>41</v>
      </c>
      <c r="J1487" s="13" t="s">
        <v>36</v>
      </c>
      <c r="K1487" s="13" t="s">
        <v>36</v>
      </c>
      <c r="L1487" s="13"/>
    </row>
    <row r="1488">
      <c r="A1488" s="13">
        <v>1486.0</v>
      </c>
      <c r="B1488" s="13">
        <v>949.0</v>
      </c>
      <c r="C1488" s="13">
        <v>70.0</v>
      </c>
      <c r="D1488" s="12" t="s">
        <v>2577</v>
      </c>
      <c r="E1488" s="12" t="s">
        <v>2578</v>
      </c>
      <c r="F1488" s="13">
        <v>4.0</v>
      </c>
      <c r="G1488" s="13">
        <v>1.0</v>
      </c>
      <c r="H1488" s="13">
        <v>1.0</v>
      </c>
      <c r="I1488" s="13" t="s">
        <v>41</v>
      </c>
      <c r="J1488" s="13" t="s">
        <v>46</v>
      </c>
      <c r="K1488" s="13" t="s">
        <v>95</v>
      </c>
      <c r="L1488" s="13"/>
    </row>
    <row r="1489">
      <c r="A1489" s="13">
        <v>1487.0</v>
      </c>
      <c r="B1489" s="13">
        <v>1066.0</v>
      </c>
      <c r="C1489" s="13">
        <v>39.0</v>
      </c>
      <c r="D1489" s="12"/>
      <c r="E1489" s="12" t="s">
        <v>2579</v>
      </c>
      <c r="F1489" s="13">
        <v>5.0</v>
      </c>
      <c r="G1489" s="13">
        <v>1.0</v>
      </c>
      <c r="H1489" s="13">
        <v>0.0</v>
      </c>
      <c r="I1489" s="13" t="s">
        <v>35</v>
      </c>
      <c r="J1489" s="13" t="s">
        <v>42</v>
      </c>
      <c r="K1489" s="13" t="s">
        <v>43</v>
      </c>
      <c r="L1489" s="13"/>
    </row>
    <row r="1490">
      <c r="A1490" s="13">
        <v>1488.0</v>
      </c>
      <c r="B1490" s="13">
        <v>1027.0</v>
      </c>
      <c r="C1490" s="13">
        <v>45.0</v>
      </c>
      <c r="D1490" s="12" t="s">
        <v>2580</v>
      </c>
      <c r="E1490" s="12" t="s">
        <v>2581</v>
      </c>
      <c r="F1490" s="13">
        <v>3.0</v>
      </c>
      <c r="G1490" s="13">
        <v>1.0</v>
      </c>
      <c r="H1490" s="13">
        <v>0.0</v>
      </c>
      <c r="I1490" s="13" t="s">
        <v>35</v>
      </c>
      <c r="J1490" s="13" t="s">
        <v>42</v>
      </c>
      <c r="K1490" s="13" t="s">
        <v>435</v>
      </c>
      <c r="L1490" s="13"/>
    </row>
    <row r="1491">
      <c r="A1491" s="13">
        <v>1489.0</v>
      </c>
      <c r="B1491" s="13">
        <v>829.0</v>
      </c>
      <c r="C1491" s="13">
        <v>36.0</v>
      </c>
      <c r="D1491" s="12" t="s">
        <v>2582</v>
      </c>
      <c r="E1491" s="12" t="s">
        <v>2583</v>
      </c>
      <c r="F1491" s="13">
        <v>5.0</v>
      </c>
      <c r="G1491" s="13">
        <v>1.0</v>
      </c>
      <c r="H1491" s="13">
        <v>0.0</v>
      </c>
      <c r="I1491" s="13" t="s">
        <v>41</v>
      </c>
      <c r="J1491" s="13" t="s">
        <v>46</v>
      </c>
      <c r="K1491" s="13" t="s">
        <v>47</v>
      </c>
      <c r="L1491" s="13"/>
    </row>
    <row r="1492">
      <c r="A1492" s="13">
        <v>1490.0</v>
      </c>
      <c r="B1492" s="13">
        <v>936.0</v>
      </c>
      <c r="C1492" s="13">
        <v>26.0</v>
      </c>
      <c r="D1492" s="12" t="s">
        <v>1567</v>
      </c>
      <c r="E1492" s="12" t="s">
        <v>2584</v>
      </c>
      <c r="F1492" s="13">
        <v>5.0</v>
      </c>
      <c r="G1492" s="13">
        <v>1.0</v>
      </c>
      <c r="H1492" s="13">
        <v>1.0</v>
      </c>
      <c r="I1492" s="13" t="s">
        <v>35</v>
      </c>
      <c r="J1492" s="13" t="s">
        <v>46</v>
      </c>
      <c r="K1492" s="13" t="s">
        <v>95</v>
      </c>
      <c r="L1492" s="13"/>
    </row>
    <row r="1493">
      <c r="A1493" s="13">
        <v>1491.0</v>
      </c>
      <c r="B1493" s="13">
        <v>936.0</v>
      </c>
      <c r="C1493" s="13">
        <v>78.0</v>
      </c>
      <c r="D1493" s="12" t="s">
        <v>2585</v>
      </c>
      <c r="E1493" s="12" t="s">
        <v>2586</v>
      </c>
      <c r="F1493" s="13">
        <v>5.0</v>
      </c>
      <c r="G1493" s="13">
        <v>1.0</v>
      </c>
      <c r="H1493" s="13">
        <v>2.0</v>
      </c>
      <c r="I1493" s="13" t="s">
        <v>35</v>
      </c>
      <c r="J1493" s="13" t="s">
        <v>46</v>
      </c>
      <c r="K1493" s="13" t="s">
        <v>95</v>
      </c>
      <c r="L1493" s="13"/>
    </row>
    <row r="1494">
      <c r="A1494" s="13">
        <v>1492.0</v>
      </c>
      <c r="B1494" s="13">
        <v>860.0</v>
      </c>
      <c r="C1494" s="13">
        <v>39.0</v>
      </c>
      <c r="D1494" s="12" t="s">
        <v>2138</v>
      </c>
      <c r="E1494" s="12" t="s">
        <v>2587</v>
      </c>
      <c r="F1494" s="13">
        <v>5.0</v>
      </c>
      <c r="G1494" s="13">
        <v>1.0</v>
      </c>
      <c r="H1494" s="13">
        <v>0.0</v>
      </c>
      <c r="I1494" s="13" t="s">
        <v>35</v>
      </c>
      <c r="J1494" s="13" t="s">
        <v>46</v>
      </c>
      <c r="K1494" s="13" t="s">
        <v>52</v>
      </c>
      <c r="L1494" s="13"/>
    </row>
    <row r="1495">
      <c r="A1495" s="13">
        <v>1493.0</v>
      </c>
      <c r="B1495" s="13">
        <v>860.0</v>
      </c>
      <c r="C1495" s="13">
        <v>43.0</v>
      </c>
      <c r="D1495" s="12" t="s">
        <v>586</v>
      </c>
      <c r="E1495" s="12" t="s">
        <v>2588</v>
      </c>
      <c r="F1495" s="13">
        <v>3.0</v>
      </c>
      <c r="G1495" s="13">
        <v>1.0</v>
      </c>
      <c r="H1495" s="13">
        <v>0.0</v>
      </c>
      <c r="I1495" s="13" t="s">
        <v>35</v>
      </c>
      <c r="J1495" s="13" t="s">
        <v>46</v>
      </c>
      <c r="K1495" s="13" t="s">
        <v>52</v>
      </c>
      <c r="L1495" s="13"/>
    </row>
    <row r="1496">
      <c r="A1496" s="13">
        <v>1494.0</v>
      </c>
      <c r="B1496" s="13">
        <v>1066.0</v>
      </c>
      <c r="C1496" s="13">
        <v>33.0</v>
      </c>
      <c r="D1496" s="12" t="s">
        <v>2589</v>
      </c>
      <c r="E1496" s="12" t="s">
        <v>2590</v>
      </c>
      <c r="F1496" s="13">
        <v>5.0</v>
      </c>
      <c r="G1496" s="13">
        <v>1.0</v>
      </c>
      <c r="H1496" s="13">
        <v>5.0</v>
      </c>
      <c r="I1496" s="13" t="s">
        <v>35</v>
      </c>
      <c r="J1496" s="13" t="s">
        <v>42</v>
      </c>
      <c r="K1496" s="13" t="s">
        <v>43</v>
      </c>
      <c r="L1496" s="13"/>
    </row>
    <row r="1497">
      <c r="A1497" s="13">
        <v>1495.0</v>
      </c>
      <c r="B1497" s="13">
        <v>949.0</v>
      </c>
      <c r="C1497" s="13">
        <v>35.0</v>
      </c>
      <c r="D1497" s="12" t="s">
        <v>205</v>
      </c>
      <c r="E1497" s="12" t="s">
        <v>2591</v>
      </c>
      <c r="F1497" s="13">
        <v>3.0</v>
      </c>
      <c r="G1497" s="13">
        <v>1.0</v>
      </c>
      <c r="H1497" s="13">
        <v>1.0</v>
      </c>
      <c r="I1497" s="13" t="s">
        <v>41</v>
      </c>
      <c r="J1497" s="13" t="s">
        <v>46</v>
      </c>
      <c r="K1497" s="13" t="s">
        <v>95</v>
      </c>
      <c r="L1497" s="13"/>
    </row>
    <row r="1498">
      <c r="A1498" s="13">
        <v>1496.0</v>
      </c>
      <c r="B1498" s="13">
        <v>860.0</v>
      </c>
      <c r="C1498" s="13">
        <v>51.0</v>
      </c>
      <c r="D1498" s="12" t="s">
        <v>2592</v>
      </c>
      <c r="E1498" s="12" t="s">
        <v>2593</v>
      </c>
      <c r="F1498" s="13">
        <v>1.0</v>
      </c>
      <c r="G1498" s="13">
        <v>0.0</v>
      </c>
      <c r="H1498" s="13">
        <v>0.0</v>
      </c>
      <c r="I1498" s="13" t="s">
        <v>35</v>
      </c>
      <c r="J1498" s="13" t="s">
        <v>46</v>
      </c>
      <c r="K1498" s="13" t="s">
        <v>52</v>
      </c>
      <c r="L1498" s="13"/>
    </row>
    <row r="1499">
      <c r="A1499" s="13">
        <v>1497.0</v>
      </c>
      <c r="B1499" s="13">
        <v>1066.0</v>
      </c>
      <c r="C1499" s="13">
        <v>41.0</v>
      </c>
      <c r="D1499" s="12" t="s">
        <v>2594</v>
      </c>
      <c r="E1499" s="12" t="s">
        <v>2595</v>
      </c>
      <c r="F1499" s="13">
        <v>5.0</v>
      </c>
      <c r="G1499" s="13">
        <v>1.0</v>
      </c>
      <c r="H1499" s="13">
        <v>0.0</v>
      </c>
      <c r="I1499" s="13" t="s">
        <v>35</v>
      </c>
      <c r="J1499" s="13" t="s">
        <v>42</v>
      </c>
      <c r="K1499" s="13" t="s">
        <v>43</v>
      </c>
      <c r="L1499" s="13"/>
    </row>
    <row r="1500">
      <c r="A1500" s="13">
        <v>1498.0</v>
      </c>
      <c r="B1500" s="13">
        <v>949.0</v>
      </c>
      <c r="C1500" s="13">
        <v>27.0</v>
      </c>
      <c r="D1500" s="12" t="s">
        <v>2596</v>
      </c>
      <c r="E1500" s="12" t="s">
        <v>2597</v>
      </c>
      <c r="F1500" s="13">
        <v>3.0</v>
      </c>
      <c r="G1500" s="13">
        <v>0.0</v>
      </c>
      <c r="H1500" s="13">
        <v>1.0</v>
      </c>
      <c r="I1500" s="13" t="s">
        <v>41</v>
      </c>
      <c r="J1500" s="13" t="s">
        <v>46</v>
      </c>
      <c r="K1500" s="13" t="s">
        <v>95</v>
      </c>
      <c r="L1500" s="13"/>
    </row>
    <row r="1501">
      <c r="A1501" s="13">
        <v>1499.0</v>
      </c>
      <c r="B1501" s="13">
        <v>829.0</v>
      </c>
      <c r="C1501" s="13">
        <v>44.0</v>
      </c>
      <c r="D1501" s="12" t="s">
        <v>2598</v>
      </c>
      <c r="E1501" s="12" t="s">
        <v>2599</v>
      </c>
      <c r="F1501" s="13">
        <v>5.0</v>
      </c>
      <c r="G1501" s="13">
        <v>1.0</v>
      </c>
      <c r="H1501" s="13">
        <v>4.0</v>
      </c>
      <c r="I1501" s="13" t="s">
        <v>41</v>
      </c>
      <c r="J1501" s="13" t="s">
        <v>46</v>
      </c>
      <c r="K1501" s="13" t="s">
        <v>47</v>
      </c>
      <c r="L1501" s="13"/>
    </row>
    <row r="1502">
      <c r="A1502" s="13">
        <v>1500.0</v>
      </c>
      <c r="B1502" s="13">
        <v>1003.0</v>
      </c>
      <c r="C1502" s="13">
        <v>38.0</v>
      </c>
      <c r="D1502" s="12" t="s">
        <v>2600</v>
      </c>
      <c r="E1502" s="12" t="s">
        <v>2601</v>
      </c>
      <c r="F1502" s="13">
        <v>5.0</v>
      </c>
      <c r="G1502" s="13">
        <v>1.0</v>
      </c>
      <c r="H1502" s="13">
        <v>0.0</v>
      </c>
      <c r="I1502" s="13" t="s">
        <v>35</v>
      </c>
      <c r="J1502" s="13" t="s">
        <v>42</v>
      </c>
      <c r="K1502" s="13" t="s">
        <v>98</v>
      </c>
      <c r="L1502" s="13"/>
    </row>
    <row r="1503">
      <c r="A1503" s="13">
        <v>1501.0</v>
      </c>
      <c r="B1503" s="13">
        <v>860.0</v>
      </c>
      <c r="C1503" s="13">
        <v>52.0</v>
      </c>
      <c r="D1503" s="12" t="s">
        <v>2602</v>
      </c>
      <c r="E1503" s="12" t="s">
        <v>2603</v>
      </c>
      <c r="F1503" s="13">
        <v>5.0</v>
      </c>
      <c r="G1503" s="13">
        <v>1.0</v>
      </c>
      <c r="H1503" s="13">
        <v>0.0</v>
      </c>
      <c r="I1503" s="13" t="s">
        <v>35</v>
      </c>
      <c r="J1503" s="13" t="s">
        <v>46</v>
      </c>
      <c r="K1503" s="13" t="s">
        <v>52</v>
      </c>
      <c r="L1503" s="13"/>
    </row>
    <row r="1504">
      <c r="A1504" s="13">
        <v>1502.0</v>
      </c>
      <c r="B1504" s="13">
        <v>1008.0</v>
      </c>
      <c r="C1504" s="13">
        <v>60.0</v>
      </c>
      <c r="D1504" s="12" t="s">
        <v>2604</v>
      </c>
      <c r="E1504" s="12" t="s">
        <v>2605</v>
      </c>
      <c r="F1504" s="13">
        <v>5.0</v>
      </c>
      <c r="G1504" s="13">
        <v>1.0</v>
      </c>
      <c r="H1504" s="13">
        <v>0.0</v>
      </c>
      <c r="I1504" s="13" t="s">
        <v>35</v>
      </c>
      <c r="J1504" s="13" t="s">
        <v>42</v>
      </c>
      <c r="K1504" s="13" t="s">
        <v>98</v>
      </c>
      <c r="L1504" s="13"/>
    </row>
    <row r="1505">
      <c r="A1505" s="13">
        <v>1503.0</v>
      </c>
      <c r="B1505" s="13">
        <v>1080.0</v>
      </c>
      <c r="C1505" s="13">
        <v>36.0</v>
      </c>
      <c r="D1505" s="12" t="s">
        <v>2606</v>
      </c>
      <c r="E1505" s="12" t="s">
        <v>2607</v>
      </c>
      <c r="F1505" s="13">
        <v>3.0</v>
      </c>
      <c r="G1505" s="13">
        <v>0.0</v>
      </c>
      <c r="H1505" s="13">
        <v>0.0</v>
      </c>
      <c r="I1505" s="13" t="s">
        <v>35</v>
      </c>
      <c r="J1505" s="13" t="s">
        <v>36</v>
      </c>
      <c r="K1505" s="13" t="s">
        <v>36</v>
      </c>
      <c r="L1505" s="13"/>
    </row>
    <row r="1506">
      <c r="A1506" s="13">
        <v>1504.0</v>
      </c>
      <c r="B1506" s="13">
        <v>927.0</v>
      </c>
      <c r="C1506" s="13">
        <v>44.0</v>
      </c>
      <c r="D1506" s="12"/>
      <c r="E1506" s="12" t="s">
        <v>2608</v>
      </c>
      <c r="F1506" s="13">
        <v>5.0</v>
      </c>
      <c r="G1506" s="13">
        <v>1.0</v>
      </c>
      <c r="H1506" s="13">
        <v>0.0</v>
      </c>
      <c r="I1506" s="13" t="s">
        <v>35</v>
      </c>
      <c r="J1506" s="13" t="s">
        <v>46</v>
      </c>
      <c r="K1506" s="13" t="s">
        <v>95</v>
      </c>
      <c r="L1506" s="13"/>
    </row>
    <row r="1507">
      <c r="A1507" s="13">
        <v>1505.0</v>
      </c>
      <c r="B1507" s="13">
        <v>1098.0</v>
      </c>
      <c r="C1507" s="13">
        <v>34.0</v>
      </c>
      <c r="D1507" s="12" t="s">
        <v>2609</v>
      </c>
      <c r="E1507" s="12" t="s">
        <v>2610</v>
      </c>
      <c r="F1507" s="13">
        <v>3.0</v>
      </c>
      <c r="G1507" s="13">
        <v>0.0</v>
      </c>
      <c r="H1507" s="13">
        <v>4.0</v>
      </c>
      <c r="I1507" s="13" t="s">
        <v>41</v>
      </c>
      <c r="J1507" s="13" t="s">
        <v>36</v>
      </c>
      <c r="K1507" s="13" t="s">
        <v>36</v>
      </c>
      <c r="L1507" s="13"/>
    </row>
    <row r="1508">
      <c r="A1508" s="13">
        <v>1506.0</v>
      </c>
      <c r="B1508" s="13">
        <v>831.0</v>
      </c>
      <c r="C1508" s="13">
        <v>41.0</v>
      </c>
      <c r="D1508" s="12"/>
      <c r="E1508" s="12" t="s">
        <v>2611</v>
      </c>
      <c r="F1508" s="13">
        <v>5.0</v>
      </c>
      <c r="G1508" s="13">
        <v>1.0</v>
      </c>
      <c r="H1508" s="13">
        <v>0.0</v>
      </c>
      <c r="I1508" s="13" t="s">
        <v>41</v>
      </c>
      <c r="J1508" s="13" t="s">
        <v>46</v>
      </c>
      <c r="K1508" s="13" t="s">
        <v>47</v>
      </c>
      <c r="L1508" s="13"/>
    </row>
    <row r="1509">
      <c r="A1509" s="13">
        <v>1507.0</v>
      </c>
      <c r="B1509" s="13">
        <v>1020.0</v>
      </c>
      <c r="C1509" s="13">
        <v>47.0</v>
      </c>
      <c r="D1509" s="12" t="s">
        <v>2612</v>
      </c>
      <c r="E1509" s="12" t="s">
        <v>2613</v>
      </c>
      <c r="F1509" s="13">
        <v>5.0</v>
      </c>
      <c r="G1509" s="13">
        <v>1.0</v>
      </c>
      <c r="H1509" s="13">
        <v>0.0</v>
      </c>
      <c r="I1509" s="13" t="s">
        <v>41</v>
      </c>
      <c r="J1509" s="13" t="s">
        <v>42</v>
      </c>
      <c r="K1509" s="13" t="s">
        <v>98</v>
      </c>
      <c r="L1509" s="13"/>
    </row>
    <row r="1510">
      <c r="A1510" s="13">
        <v>1508.0</v>
      </c>
      <c r="B1510" s="13">
        <v>863.0</v>
      </c>
      <c r="C1510" s="13">
        <v>60.0</v>
      </c>
      <c r="D1510" s="12" t="s">
        <v>2614</v>
      </c>
      <c r="E1510" s="12" t="s">
        <v>2615</v>
      </c>
      <c r="F1510" s="13">
        <v>4.0</v>
      </c>
      <c r="G1510" s="13">
        <v>0.0</v>
      </c>
      <c r="H1510" s="13">
        <v>3.0</v>
      </c>
      <c r="I1510" s="13" t="s">
        <v>35</v>
      </c>
      <c r="J1510" s="13" t="s">
        <v>46</v>
      </c>
      <c r="K1510" s="13" t="s">
        <v>52</v>
      </c>
      <c r="L1510" s="13"/>
    </row>
    <row r="1511">
      <c r="A1511" s="13">
        <v>1509.0</v>
      </c>
      <c r="B1511" s="13">
        <v>1020.0</v>
      </c>
      <c r="C1511" s="13">
        <v>38.0</v>
      </c>
      <c r="D1511" s="12" t="s">
        <v>2616</v>
      </c>
      <c r="E1511" s="12" t="s">
        <v>2617</v>
      </c>
      <c r="F1511" s="13">
        <v>5.0</v>
      </c>
      <c r="G1511" s="13">
        <v>1.0</v>
      </c>
      <c r="H1511" s="13">
        <v>1.0</v>
      </c>
      <c r="I1511" s="13" t="s">
        <v>41</v>
      </c>
      <c r="J1511" s="13" t="s">
        <v>42</v>
      </c>
      <c r="K1511" s="13" t="s">
        <v>98</v>
      </c>
      <c r="L1511" s="13"/>
    </row>
    <row r="1512">
      <c r="A1512" s="13">
        <v>1510.0</v>
      </c>
      <c r="B1512" s="13">
        <v>977.0</v>
      </c>
      <c r="C1512" s="13">
        <v>31.0</v>
      </c>
      <c r="D1512" s="12" t="s">
        <v>2618</v>
      </c>
      <c r="E1512" s="12" t="s">
        <v>2619</v>
      </c>
      <c r="F1512" s="13">
        <v>1.0</v>
      </c>
      <c r="G1512" s="13">
        <v>0.0</v>
      </c>
      <c r="H1512" s="13">
        <v>0.0</v>
      </c>
      <c r="I1512" s="13" t="s">
        <v>41</v>
      </c>
      <c r="J1512" s="13" t="s">
        <v>76</v>
      </c>
      <c r="K1512" s="13" t="s">
        <v>76</v>
      </c>
      <c r="L1512" s="13"/>
    </row>
    <row r="1513">
      <c r="A1513" s="13">
        <v>1511.0</v>
      </c>
      <c r="B1513" s="13">
        <v>1080.0</v>
      </c>
      <c r="C1513" s="13">
        <v>39.0</v>
      </c>
      <c r="D1513" s="12" t="s">
        <v>2620</v>
      </c>
      <c r="E1513" s="12" t="s">
        <v>2621</v>
      </c>
      <c r="F1513" s="13">
        <v>4.0</v>
      </c>
      <c r="G1513" s="13">
        <v>1.0</v>
      </c>
      <c r="H1513" s="13">
        <v>1.0</v>
      </c>
      <c r="I1513" s="13" t="s">
        <v>35</v>
      </c>
      <c r="J1513" s="13" t="s">
        <v>36</v>
      </c>
      <c r="K1513" s="13" t="s">
        <v>36</v>
      </c>
      <c r="L1513" s="13"/>
    </row>
    <row r="1514">
      <c r="A1514" s="13">
        <v>1512.0</v>
      </c>
      <c r="B1514" s="13">
        <v>912.0</v>
      </c>
      <c r="C1514" s="13">
        <v>46.0</v>
      </c>
      <c r="D1514" s="12" t="s">
        <v>2622</v>
      </c>
      <c r="E1514" s="12" t="s">
        <v>2623</v>
      </c>
      <c r="F1514" s="13">
        <v>3.0</v>
      </c>
      <c r="G1514" s="13">
        <v>0.0</v>
      </c>
      <c r="H1514" s="13">
        <v>0.0</v>
      </c>
      <c r="I1514" s="13" t="s">
        <v>41</v>
      </c>
      <c r="J1514" s="13" t="s">
        <v>46</v>
      </c>
      <c r="K1514" s="13" t="s">
        <v>123</v>
      </c>
      <c r="L1514" s="13"/>
    </row>
    <row r="1515">
      <c r="A1515" s="13">
        <v>1513.0</v>
      </c>
      <c r="B1515" s="13">
        <v>865.0</v>
      </c>
      <c r="C1515" s="13">
        <v>63.0</v>
      </c>
      <c r="D1515" s="12" t="s">
        <v>2624</v>
      </c>
      <c r="E1515" s="12" t="s">
        <v>2625</v>
      </c>
      <c r="F1515" s="13">
        <v>5.0</v>
      </c>
      <c r="G1515" s="13">
        <v>1.0</v>
      </c>
      <c r="H1515" s="13">
        <v>2.0</v>
      </c>
      <c r="I1515" s="13" t="s">
        <v>35</v>
      </c>
      <c r="J1515" s="13" t="s">
        <v>46</v>
      </c>
      <c r="K1515" s="13" t="s">
        <v>52</v>
      </c>
      <c r="L1515" s="13"/>
    </row>
    <row r="1516">
      <c r="A1516" s="13">
        <v>1514.0</v>
      </c>
      <c r="B1516" s="13">
        <v>850.0</v>
      </c>
      <c r="C1516" s="13">
        <v>33.0</v>
      </c>
      <c r="D1516" s="12" t="s">
        <v>2626</v>
      </c>
      <c r="E1516" s="12" t="s">
        <v>2627</v>
      </c>
      <c r="F1516" s="13">
        <v>5.0</v>
      </c>
      <c r="G1516" s="13">
        <v>1.0</v>
      </c>
      <c r="H1516" s="13">
        <v>0.0</v>
      </c>
      <c r="I1516" s="13" t="s">
        <v>35</v>
      </c>
      <c r="J1516" s="13" t="s">
        <v>46</v>
      </c>
      <c r="K1516" s="13" t="s">
        <v>47</v>
      </c>
      <c r="L1516" s="13"/>
    </row>
    <row r="1517">
      <c r="A1517" s="13">
        <v>1515.0</v>
      </c>
      <c r="B1517" s="13">
        <v>1080.0</v>
      </c>
      <c r="C1517" s="13">
        <v>56.0</v>
      </c>
      <c r="D1517" s="12" t="s">
        <v>2628</v>
      </c>
      <c r="E1517" s="12" t="s">
        <v>2629</v>
      </c>
      <c r="F1517" s="13">
        <v>2.0</v>
      </c>
      <c r="G1517" s="13">
        <v>0.0</v>
      </c>
      <c r="H1517" s="13">
        <v>0.0</v>
      </c>
      <c r="I1517" s="13" t="s">
        <v>35</v>
      </c>
      <c r="J1517" s="13" t="s">
        <v>36</v>
      </c>
      <c r="K1517" s="13" t="s">
        <v>36</v>
      </c>
      <c r="L1517" s="13"/>
    </row>
    <row r="1518">
      <c r="A1518" s="13">
        <v>1516.0</v>
      </c>
      <c r="B1518" s="13">
        <v>1080.0</v>
      </c>
      <c r="C1518" s="13">
        <v>40.0</v>
      </c>
      <c r="D1518" s="12" t="s">
        <v>2630</v>
      </c>
      <c r="E1518" s="12" t="s">
        <v>2631</v>
      </c>
      <c r="F1518" s="13">
        <v>5.0</v>
      </c>
      <c r="G1518" s="13">
        <v>1.0</v>
      </c>
      <c r="H1518" s="13">
        <v>0.0</v>
      </c>
      <c r="I1518" s="13" t="s">
        <v>35</v>
      </c>
      <c r="J1518" s="13" t="s">
        <v>36</v>
      </c>
      <c r="K1518" s="13" t="s">
        <v>36</v>
      </c>
      <c r="L1518" s="13"/>
    </row>
    <row r="1519">
      <c r="A1519" s="13">
        <v>1517.0</v>
      </c>
      <c r="B1519" s="13">
        <v>947.0</v>
      </c>
      <c r="C1519" s="13">
        <v>48.0</v>
      </c>
      <c r="D1519" s="12" t="s">
        <v>2632</v>
      </c>
      <c r="E1519" s="12" t="s">
        <v>2633</v>
      </c>
      <c r="F1519" s="13">
        <v>3.0</v>
      </c>
      <c r="G1519" s="13">
        <v>1.0</v>
      </c>
      <c r="H1519" s="13">
        <v>0.0</v>
      </c>
      <c r="I1519" s="13" t="s">
        <v>35</v>
      </c>
      <c r="J1519" s="13" t="s">
        <v>46</v>
      </c>
      <c r="K1519" s="13" t="s">
        <v>95</v>
      </c>
      <c r="L1519" s="13"/>
    </row>
    <row r="1520">
      <c r="A1520" s="13">
        <v>1518.0</v>
      </c>
      <c r="B1520" s="13">
        <v>1020.0</v>
      </c>
      <c r="C1520" s="13">
        <v>37.0</v>
      </c>
      <c r="D1520" s="12" t="s">
        <v>2634</v>
      </c>
      <c r="E1520" s="12" t="s">
        <v>2635</v>
      </c>
      <c r="F1520" s="13">
        <v>5.0</v>
      </c>
      <c r="G1520" s="13">
        <v>1.0</v>
      </c>
      <c r="H1520" s="13">
        <v>8.0</v>
      </c>
      <c r="I1520" s="13" t="s">
        <v>41</v>
      </c>
      <c r="J1520" s="13" t="s">
        <v>42</v>
      </c>
      <c r="K1520" s="13" t="s">
        <v>98</v>
      </c>
      <c r="L1520" s="13"/>
    </row>
    <row r="1521">
      <c r="A1521" s="13">
        <v>1519.0</v>
      </c>
      <c r="B1521" s="13">
        <v>850.0</v>
      </c>
      <c r="C1521" s="13">
        <v>32.0</v>
      </c>
      <c r="D1521" s="12" t="s">
        <v>2636</v>
      </c>
      <c r="E1521" s="12" t="s">
        <v>2637</v>
      </c>
      <c r="F1521" s="13">
        <v>5.0</v>
      </c>
      <c r="G1521" s="13">
        <v>1.0</v>
      </c>
      <c r="H1521" s="13">
        <v>7.0</v>
      </c>
      <c r="I1521" s="13" t="s">
        <v>35</v>
      </c>
      <c r="J1521" s="13" t="s">
        <v>46</v>
      </c>
      <c r="K1521" s="13" t="s">
        <v>47</v>
      </c>
      <c r="L1521" s="13"/>
    </row>
    <row r="1522">
      <c r="A1522" s="13">
        <v>1520.0</v>
      </c>
      <c r="B1522" s="13">
        <v>947.0</v>
      </c>
      <c r="C1522" s="13">
        <v>57.0</v>
      </c>
      <c r="D1522" s="12" t="s">
        <v>2638</v>
      </c>
      <c r="E1522" s="12" t="s">
        <v>2639</v>
      </c>
      <c r="F1522" s="13">
        <v>5.0</v>
      </c>
      <c r="G1522" s="13">
        <v>1.0</v>
      </c>
      <c r="H1522" s="13">
        <v>8.0</v>
      </c>
      <c r="I1522" s="13" t="s">
        <v>35</v>
      </c>
      <c r="J1522" s="13" t="s">
        <v>46</v>
      </c>
      <c r="K1522" s="13" t="s">
        <v>95</v>
      </c>
      <c r="L1522" s="13"/>
    </row>
    <row r="1523">
      <c r="A1523" s="13">
        <v>1521.0</v>
      </c>
      <c r="B1523" s="13">
        <v>947.0</v>
      </c>
      <c r="C1523" s="13">
        <v>45.0</v>
      </c>
      <c r="D1523" s="12" t="s">
        <v>2640</v>
      </c>
      <c r="E1523" s="12" t="s">
        <v>2641</v>
      </c>
      <c r="F1523" s="13">
        <v>5.0</v>
      </c>
      <c r="G1523" s="13">
        <v>1.0</v>
      </c>
      <c r="H1523" s="13">
        <v>12.0</v>
      </c>
      <c r="I1523" s="13" t="s">
        <v>35</v>
      </c>
      <c r="J1523" s="13" t="s">
        <v>46</v>
      </c>
      <c r="K1523" s="13" t="s">
        <v>95</v>
      </c>
      <c r="L1523" s="13"/>
    </row>
    <row r="1524">
      <c r="A1524" s="13">
        <v>1522.0</v>
      </c>
      <c r="B1524" s="13">
        <v>424.0</v>
      </c>
      <c r="C1524" s="13">
        <v>24.0</v>
      </c>
      <c r="D1524" s="12" t="s">
        <v>2642</v>
      </c>
      <c r="E1524" s="12" t="s">
        <v>2643</v>
      </c>
      <c r="F1524" s="13">
        <v>3.0</v>
      </c>
      <c r="G1524" s="13">
        <v>1.0</v>
      </c>
      <c r="H1524" s="13">
        <v>0.0</v>
      </c>
      <c r="I1524" s="13" t="s">
        <v>31</v>
      </c>
      <c r="J1524" s="13" t="s">
        <v>32</v>
      </c>
      <c r="K1524" s="13" t="s">
        <v>92</v>
      </c>
      <c r="L1524" s="13"/>
    </row>
    <row r="1525">
      <c r="A1525" s="13">
        <v>1523.0</v>
      </c>
      <c r="B1525" s="13">
        <v>850.0</v>
      </c>
      <c r="C1525" s="13">
        <v>69.0</v>
      </c>
      <c r="D1525" s="12" t="s">
        <v>2644</v>
      </c>
      <c r="E1525" s="12" t="s">
        <v>2645</v>
      </c>
      <c r="F1525" s="13">
        <v>5.0</v>
      </c>
      <c r="G1525" s="13">
        <v>1.0</v>
      </c>
      <c r="H1525" s="13">
        <v>6.0</v>
      </c>
      <c r="I1525" s="13" t="s">
        <v>35</v>
      </c>
      <c r="J1525" s="13" t="s">
        <v>46</v>
      </c>
      <c r="K1525" s="13" t="s">
        <v>47</v>
      </c>
      <c r="L1525" s="13"/>
    </row>
    <row r="1526">
      <c r="A1526" s="13">
        <v>1524.0</v>
      </c>
      <c r="B1526" s="13">
        <v>485.0</v>
      </c>
      <c r="C1526" s="13">
        <v>38.0</v>
      </c>
      <c r="D1526" s="12" t="s">
        <v>2646</v>
      </c>
      <c r="E1526" s="12" t="s">
        <v>2647</v>
      </c>
      <c r="F1526" s="13">
        <v>5.0</v>
      </c>
      <c r="G1526" s="13">
        <v>1.0</v>
      </c>
      <c r="H1526" s="13">
        <v>0.0</v>
      </c>
      <c r="I1526" s="13" t="s">
        <v>35</v>
      </c>
      <c r="J1526" s="13" t="s">
        <v>42</v>
      </c>
      <c r="K1526" s="13" t="s">
        <v>1141</v>
      </c>
      <c r="L1526" s="13"/>
    </row>
    <row r="1527">
      <c r="A1527" s="13">
        <v>1525.0</v>
      </c>
      <c r="B1527" s="13">
        <v>947.0</v>
      </c>
      <c r="C1527" s="13">
        <v>79.0</v>
      </c>
      <c r="D1527" s="12" t="s">
        <v>2648</v>
      </c>
      <c r="E1527" s="12" t="s">
        <v>2649</v>
      </c>
      <c r="F1527" s="13">
        <v>5.0</v>
      </c>
      <c r="G1527" s="13">
        <v>1.0</v>
      </c>
      <c r="H1527" s="13">
        <v>1.0</v>
      </c>
      <c r="I1527" s="13" t="s">
        <v>35</v>
      </c>
      <c r="J1527" s="13" t="s">
        <v>46</v>
      </c>
      <c r="K1527" s="13" t="s">
        <v>95</v>
      </c>
      <c r="L1527" s="13"/>
    </row>
    <row r="1528">
      <c r="A1528" s="13">
        <v>1526.0</v>
      </c>
      <c r="B1528" s="13">
        <v>927.0</v>
      </c>
      <c r="C1528" s="13">
        <v>47.0</v>
      </c>
      <c r="D1528" s="12" t="s">
        <v>2650</v>
      </c>
      <c r="E1528" s="12" t="s">
        <v>2651</v>
      </c>
      <c r="F1528" s="13">
        <v>5.0</v>
      </c>
      <c r="G1528" s="13">
        <v>1.0</v>
      </c>
      <c r="H1528" s="13">
        <v>0.0</v>
      </c>
      <c r="I1528" s="13" t="s">
        <v>35</v>
      </c>
      <c r="J1528" s="13" t="s">
        <v>46</v>
      </c>
      <c r="K1528" s="13" t="s">
        <v>95</v>
      </c>
      <c r="L1528" s="13"/>
    </row>
    <row r="1529">
      <c r="A1529" s="13">
        <v>1527.0</v>
      </c>
      <c r="B1529" s="13">
        <v>927.0</v>
      </c>
      <c r="C1529" s="13">
        <v>56.0</v>
      </c>
      <c r="D1529" s="12" t="s">
        <v>2652</v>
      </c>
      <c r="E1529" s="12" t="s">
        <v>2653</v>
      </c>
      <c r="F1529" s="13">
        <v>5.0</v>
      </c>
      <c r="G1529" s="13">
        <v>1.0</v>
      </c>
      <c r="H1529" s="13">
        <v>2.0</v>
      </c>
      <c r="I1529" s="13" t="s">
        <v>35</v>
      </c>
      <c r="J1529" s="13" t="s">
        <v>46</v>
      </c>
      <c r="K1529" s="13" t="s">
        <v>95</v>
      </c>
      <c r="L1529" s="13"/>
    </row>
    <row r="1530">
      <c r="A1530" s="13">
        <v>1528.0</v>
      </c>
      <c r="B1530" s="13">
        <v>927.0</v>
      </c>
      <c r="C1530" s="13">
        <v>54.0</v>
      </c>
      <c r="D1530" s="12"/>
      <c r="E1530" s="12" t="s">
        <v>2654</v>
      </c>
      <c r="F1530" s="13">
        <v>3.0</v>
      </c>
      <c r="G1530" s="13">
        <v>0.0</v>
      </c>
      <c r="H1530" s="13">
        <v>1.0</v>
      </c>
      <c r="I1530" s="13" t="s">
        <v>35</v>
      </c>
      <c r="J1530" s="13" t="s">
        <v>46</v>
      </c>
      <c r="K1530" s="13" t="s">
        <v>95</v>
      </c>
      <c r="L1530" s="13"/>
    </row>
    <row r="1531">
      <c r="A1531" s="13">
        <v>1529.0</v>
      </c>
      <c r="B1531" s="13">
        <v>1020.0</v>
      </c>
      <c r="C1531" s="13">
        <v>48.0</v>
      </c>
      <c r="D1531" s="12" t="s">
        <v>2655</v>
      </c>
      <c r="E1531" s="12" t="s">
        <v>2656</v>
      </c>
      <c r="F1531" s="13">
        <v>5.0</v>
      </c>
      <c r="G1531" s="13">
        <v>1.0</v>
      </c>
      <c r="H1531" s="13">
        <v>0.0</v>
      </c>
      <c r="I1531" s="13" t="s">
        <v>41</v>
      </c>
      <c r="J1531" s="13" t="s">
        <v>42</v>
      </c>
      <c r="K1531" s="13" t="s">
        <v>98</v>
      </c>
      <c r="L1531" s="13"/>
    </row>
    <row r="1532">
      <c r="A1532" s="13">
        <v>1530.0</v>
      </c>
      <c r="B1532" s="13">
        <v>1020.0</v>
      </c>
      <c r="C1532" s="13">
        <v>41.0</v>
      </c>
      <c r="D1532" s="12" t="s">
        <v>127</v>
      </c>
      <c r="E1532" s="12" t="s">
        <v>2657</v>
      </c>
      <c r="F1532" s="13">
        <v>5.0</v>
      </c>
      <c r="G1532" s="13">
        <v>1.0</v>
      </c>
      <c r="H1532" s="13">
        <v>1.0</v>
      </c>
      <c r="I1532" s="13" t="s">
        <v>41</v>
      </c>
      <c r="J1532" s="13" t="s">
        <v>42</v>
      </c>
      <c r="K1532" s="13" t="s">
        <v>98</v>
      </c>
      <c r="L1532" s="13"/>
    </row>
    <row r="1533">
      <c r="A1533" s="13">
        <v>1531.0</v>
      </c>
      <c r="B1533" s="13">
        <v>927.0</v>
      </c>
      <c r="C1533" s="13">
        <v>68.0</v>
      </c>
      <c r="D1533" s="12" t="s">
        <v>2658</v>
      </c>
      <c r="E1533" s="12" t="s">
        <v>2659</v>
      </c>
      <c r="F1533" s="13">
        <v>4.0</v>
      </c>
      <c r="G1533" s="13">
        <v>1.0</v>
      </c>
      <c r="H1533" s="13">
        <v>2.0</v>
      </c>
      <c r="I1533" s="13" t="s">
        <v>35</v>
      </c>
      <c r="J1533" s="13" t="s">
        <v>46</v>
      </c>
      <c r="K1533" s="13" t="s">
        <v>95</v>
      </c>
      <c r="L1533" s="13"/>
    </row>
    <row r="1534">
      <c r="A1534" s="13">
        <v>1532.0</v>
      </c>
      <c r="B1534" s="13">
        <v>977.0</v>
      </c>
      <c r="C1534" s="13">
        <v>49.0</v>
      </c>
      <c r="D1534" s="12" t="s">
        <v>2660</v>
      </c>
      <c r="E1534" s="12" t="s">
        <v>2661</v>
      </c>
      <c r="F1534" s="13">
        <v>5.0</v>
      </c>
      <c r="G1534" s="13">
        <v>1.0</v>
      </c>
      <c r="H1534" s="13">
        <v>3.0</v>
      </c>
      <c r="I1534" s="13" t="s">
        <v>41</v>
      </c>
      <c r="J1534" s="13" t="s">
        <v>76</v>
      </c>
      <c r="K1534" s="13" t="s">
        <v>76</v>
      </c>
      <c r="L1534" s="13"/>
    </row>
    <row r="1535">
      <c r="A1535" s="13">
        <v>1533.0</v>
      </c>
      <c r="B1535" s="13">
        <v>1080.0</v>
      </c>
      <c r="C1535" s="13">
        <v>30.0</v>
      </c>
      <c r="D1535" s="12" t="s">
        <v>1851</v>
      </c>
      <c r="E1535" s="12" t="s">
        <v>2662</v>
      </c>
      <c r="F1535" s="13">
        <v>4.0</v>
      </c>
      <c r="G1535" s="13">
        <v>1.0</v>
      </c>
      <c r="H1535" s="13">
        <v>2.0</v>
      </c>
      <c r="I1535" s="13" t="s">
        <v>35</v>
      </c>
      <c r="J1535" s="13" t="s">
        <v>36</v>
      </c>
      <c r="K1535" s="13" t="s">
        <v>36</v>
      </c>
      <c r="L1535" s="13"/>
    </row>
    <row r="1536">
      <c r="A1536" s="13">
        <v>1534.0</v>
      </c>
      <c r="B1536" s="13">
        <v>947.0</v>
      </c>
      <c r="C1536" s="13">
        <v>52.0</v>
      </c>
      <c r="D1536" s="12"/>
      <c r="E1536" s="12"/>
      <c r="F1536" s="13">
        <v>5.0</v>
      </c>
      <c r="G1536" s="13">
        <v>1.0</v>
      </c>
      <c r="H1536" s="13">
        <v>0.0</v>
      </c>
      <c r="I1536" s="13" t="s">
        <v>35</v>
      </c>
      <c r="J1536" s="13" t="s">
        <v>46</v>
      </c>
      <c r="K1536" s="13" t="s">
        <v>95</v>
      </c>
      <c r="L1536" s="13"/>
    </row>
    <row r="1537">
      <c r="A1537" s="13">
        <v>1535.0</v>
      </c>
      <c r="B1537" s="13">
        <v>831.0</v>
      </c>
      <c r="C1537" s="13">
        <v>42.0</v>
      </c>
      <c r="D1537" s="12" t="s">
        <v>302</v>
      </c>
      <c r="E1537" s="12" t="s">
        <v>2663</v>
      </c>
      <c r="F1537" s="13">
        <v>4.0</v>
      </c>
      <c r="G1537" s="13">
        <v>1.0</v>
      </c>
      <c r="H1537" s="13">
        <v>0.0</v>
      </c>
      <c r="I1537" s="13" t="s">
        <v>41</v>
      </c>
      <c r="J1537" s="13" t="s">
        <v>46</v>
      </c>
      <c r="K1537" s="13" t="s">
        <v>47</v>
      </c>
      <c r="L1537" s="13"/>
    </row>
    <row r="1538">
      <c r="A1538" s="13">
        <v>1536.0</v>
      </c>
      <c r="B1538" s="13">
        <v>603.0</v>
      </c>
      <c r="C1538" s="13">
        <v>51.0</v>
      </c>
      <c r="D1538" s="12" t="s">
        <v>2664</v>
      </c>
      <c r="E1538" s="12" t="s">
        <v>2665</v>
      </c>
      <c r="F1538" s="13">
        <v>3.0</v>
      </c>
      <c r="G1538" s="13">
        <v>1.0</v>
      </c>
      <c r="H1538" s="13">
        <v>0.0</v>
      </c>
      <c r="I1538" s="13" t="s">
        <v>35</v>
      </c>
      <c r="J1538" s="13" t="s">
        <v>42</v>
      </c>
      <c r="K1538" s="13" t="s">
        <v>1141</v>
      </c>
      <c r="L1538" s="13"/>
    </row>
    <row r="1539">
      <c r="A1539" s="13">
        <v>1537.0</v>
      </c>
      <c r="B1539" s="13">
        <v>865.0</v>
      </c>
      <c r="C1539" s="13">
        <v>44.0</v>
      </c>
      <c r="D1539" s="12" t="s">
        <v>2666</v>
      </c>
      <c r="E1539" s="12" t="s">
        <v>2667</v>
      </c>
      <c r="F1539" s="13">
        <v>5.0</v>
      </c>
      <c r="G1539" s="13">
        <v>1.0</v>
      </c>
      <c r="H1539" s="13">
        <v>0.0</v>
      </c>
      <c r="I1539" s="13" t="s">
        <v>35</v>
      </c>
      <c r="J1539" s="13" t="s">
        <v>46</v>
      </c>
      <c r="K1539" s="13" t="s">
        <v>52</v>
      </c>
      <c r="L1539" s="13"/>
    </row>
    <row r="1540">
      <c r="A1540" s="13">
        <v>1538.0</v>
      </c>
      <c r="B1540" s="13">
        <v>947.0</v>
      </c>
      <c r="C1540" s="13">
        <v>52.0</v>
      </c>
      <c r="D1540" s="12"/>
      <c r="E1540" s="12" t="s">
        <v>2668</v>
      </c>
      <c r="F1540" s="13">
        <v>4.0</v>
      </c>
      <c r="G1540" s="13">
        <v>1.0</v>
      </c>
      <c r="H1540" s="13">
        <v>0.0</v>
      </c>
      <c r="I1540" s="13" t="s">
        <v>35</v>
      </c>
      <c r="J1540" s="13" t="s">
        <v>46</v>
      </c>
      <c r="K1540" s="13" t="s">
        <v>95</v>
      </c>
      <c r="L1540" s="13"/>
    </row>
    <row r="1541">
      <c r="A1541" s="13">
        <v>1539.0</v>
      </c>
      <c r="B1541" s="13">
        <v>947.0</v>
      </c>
      <c r="C1541" s="13">
        <v>38.0</v>
      </c>
      <c r="D1541" s="12" t="s">
        <v>1797</v>
      </c>
      <c r="E1541" s="12" t="s">
        <v>2669</v>
      </c>
      <c r="F1541" s="13">
        <v>4.0</v>
      </c>
      <c r="G1541" s="13">
        <v>1.0</v>
      </c>
      <c r="H1541" s="13">
        <v>3.0</v>
      </c>
      <c r="I1541" s="13" t="s">
        <v>35</v>
      </c>
      <c r="J1541" s="13" t="s">
        <v>46</v>
      </c>
      <c r="K1541" s="13" t="s">
        <v>95</v>
      </c>
      <c r="L1541" s="13"/>
    </row>
    <row r="1542">
      <c r="A1542" s="13">
        <v>1540.0</v>
      </c>
      <c r="B1542" s="13">
        <v>947.0</v>
      </c>
      <c r="C1542" s="13">
        <v>38.0</v>
      </c>
      <c r="D1542" s="12" t="s">
        <v>2670</v>
      </c>
      <c r="E1542" s="12" t="s">
        <v>2671</v>
      </c>
      <c r="F1542" s="13">
        <v>4.0</v>
      </c>
      <c r="G1542" s="13">
        <v>1.0</v>
      </c>
      <c r="H1542" s="13">
        <v>1.0</v>
      </c>
      <c r="I1542" s="13" t="s">
        <v>35</v>
      </c>
      <c r="J1542" s="13" t="s">
        <v>46</v>
      </c>
      <c r="K1542" s="13" t="s">
        <v>95</v>
      </c>
      <c r="L1542" s="13"/>
    </row>
    <row r="1543">
      <c r="A1543" s="13">
        <v>1541.0</v>
      </c>
      <c r="B1543" s="13">
        <v>424.0</v>
      </c>
      <c r="C1543" s="13">
        <v>29.0</v>
      </c>
      <c r="D1543" s="12"/>
      <c r="E1543" s="12" t="s">
        <v>2672</v>
      </c>
      <c r="F1543" s="13">
        <v>5.0</v>
      </c>
      <c r="G1543" s="13">
        <v>1.0</v>
      </c>
      <c r="H1543" s="13">
        <v>1.0</v>
      </c>
      <c r="I1543" s="13" t="s">
        <v>31</v>
      </c>
      <c r="J1543" s="13" t="s">
        <v>32</v>
      </c>
      <c r="K1543" s="13" t="s">
        <v>92</v>
      </c>
      <c r="L1543" s="13"/>
    </row>
    <row r="1544">
      <c r="A1544" s="13">
        <v>1542.0</v>
      </c>
      <c r="B1544" s="13">
        <v>1020.0</v>
      </c>
      <c r="C1544" s="13">
        <v>34.0</v>
      </c>
      <c r="D1544" s="12" t="s">
        <v>2673</v>
      </c>
      <c r="E1544" s="12" t="s">
        <v>2674</v>
      </c>
      <c r="F1544" s="13">
        <v>5.0</v>
      </c>
      <c r="G1544" s="13">
        <v>1.0</v>
      </c>
      <c r="H1544" s="13">
        <v>15.0</v>
      </c>
      <c r="I1544" s="13" t="s">
        <v>41</v>
      </c>
      <c r="J1544" s="13" t="s">
        <v>42</v>
      </c>
      <c r="K1544" s="13" t="s">
        <v>98</v>
      </c>
      <c r="L1544" s="13"/>
    </row>
    <row r="1545">
      <c r="A1545" s="13">
        <v>1543.0</v>
      </c>
      <c r="B1545" s="13">
        <v>1122.0</v>
      </c>
      <c r="C1545" s="13">
        <v>62.0</v>
      </c>
      <c r="D1545" s="12" t="s">
        <v>2675</v>
      </c>
      <c r="E1545" s="12" t="s">
        <v>2676</v>
      </c>
      <c r="F1545" s="13">
        <v>5.0</v>
      </c>
      <c r="G1545" s="13">
        <v>1.0</v>
      </c>
      <c r="H1545" s="13">
        <v>2.0</v>
      </c>
      <c r="I1545" s="13" t="s">
        <v>35</v>
      </c>
      <c r="J1545" s="13" t="s">
        <v>76</v>
      </c>
      <c r="K1545" s="13" t="s">
        <v>77</v>
      </c>
      <c r="L1545" s="13"/>
    </row>
    <row r="1546">
      <c r="A1546" s="13">
        <v>1544.0</v>
      </c>
      <c r="B1546" s="13">
        <v>947.0</v>
      </c>
      <c r="C1546" s="13">
        <v>67.0</v>
      </c>
      <c r="D1546" s="12" t="s">
        <v>2677</v>
      </c>
      <c r="E1546" s="12" t="s">
        <v>2678</v>
      </c>
      <c r="F1546" s="13">
        <v>4.0</v>
      </c>
      <c r="G1546" s="13">
        <v>1.0</v>
      </c>
      <c r="H1546" s="13">
        <v>0.0</v>
      </c>
      <c r="I1546" s="13" t="s">
        <v>35</v>
      </c>
      <c r="J1546" s="13" t="s">
        <v>46</v>
      </c>
      <c r="K1546" s="13" t="s">
        <v>95</v>
      </c>
      <c r="L1546" s="13"/>
    </row>
    <row r="1547">
      <c r="A1547" s="13">
        <v>1545.0</v>
      </c>
      <c r="B1547" s="13">
        <v>947.0</v>
      </c>
      <c r="C1547" s="13">
        <v>77.0</v>
      </c>
      <c r="D1547" s="12" t="s">
        <v>2677</v>
      </c>
      <c r="E1547" s="12" t="s">
        <v>2679</v>
      </c>
      <c r="F1547" s="13">
        <v>2.0</v>
      </c>
      <c r="G1547" s="13">
        <v>0.0</v>
      </c>
      <c r="H1547" s="13">
        <v>1.0</v>
      </c>
      <c r="I1547" s="13" t="s">
        <v>35</v>
      </c>
      <c r="J1547" s="13" t="s">
        <v>46</v>
      </c>
      <c r="K1547" s="13" t="s">
        <v>95</v>
      </c>
      <c r="L1547" s="13"/>
    </row>
    <row r="1548">
      <c r="A1548" s="13">
        <v>1546.0</v>
      </c>
      <c r="B1548" s="13">
        <v>850.0</v>
      </c>
      <c r="C1548" s="13">
        <v>67.0</v>
      </c>
      <c r="D1548" s="12" t="s">
        <v>2680</v>
      </c>
      <c r="E1548" s="12" t="s">
        <v>2681</v>
      </c>
      <c r="F1548" s="13">
        <v>5.0</v>
      </c>
      <c r="G1548" s="13">
        <v>1.0</v>
      </c>
      <c r="H1548" s="13">
        <v>4.0</v>
      </c>
      <c r="I1548" s="13" t="s">
        <v>35</v>
      </c>
      <c r="J1548" s="13" t="s">
        <v>46</v>
      </c>
      <c r="K1548" s="13" t="s">
        <v>47</v>
      </c>
      <c r="L1548" s="13"/>
    </row>
    <row r="1549">
      <c r="A1549" s="13">
        <v>1547.0</v>
      </c>
      <c r="B1549" s="13">
        <v>1020.0</v>
      </c>
      <c r="C1549" s="13">
        <v>31.0</v>
      </c>
      <c r="D1549" s="12"/>
      <c r="E1549" s="12" t="s">
        <v>2682</v>
      </c>
      <c r="F1549" s="13">
        <v>5.0</v>
      </c>
      <c r="G1549" s="13">
        <v>1.0</v>
      </c>
      <c r="H1549" s="13">
        <v>0.0</v>
      </c>
      <c r="I1549" s="13" t="s">
        <v>41</v>
      </c>
      <c r="J1549" s="13" t="s">
        <v>42</v>
      </c>
      <c r="K1549" s="13" t="s">
        <v>98</v>
      </c>
      <c r="L1549" s="13"/>
    </row>
    <row r="1550">
      <c r="A1550" s="13">
        <v>1548.0</v>
      </c>
      <c r="B1550" s="13">
        <v>947.0</v>
      </c>
      <c r="C1550" s="13">
        <v>41.0</v>
      </c>
      <c r="D1550" s="12" t="s">
        <v>2683</v>
      </c>
      <c r="E1550" s="12" t="s">
        <v>2684</v>
      </c>
      <c r="F1550" s="13">
        <v>4.0</v>
      </c>
      <c r="G1550" s="13">
        <v>1.0</v>
      </c>
      <c r="H1550" s="13">
        <v>1.0</v>
      </c>
      <c r="I1550" s="13" t="s">
        <v>35</v>
      </c>
      <c r="J1550" s="13" t="s">
        <v>46</v>
      </c>
      <c r="K1550" s="13" t="s">
        <v>95</v>
      </c>
      <c r="L1550" s="13"/>
    </row>
    <row r="1551">
      <c r="A1551" s="13">
        <v>1549.0</v>
      </c>
      <c r="B1551" s="13">
        <v>1020.0</v>
      </c>
      <c r="C1551" s="13">
        <v>61.0</v>
      </c>
      <c r="D1551" s="12" t="s">
        <v>2685</v>
      </c>
      <c r="E1551" s="12" t="s">
        <v>2686</v>
      </c>
      <c r="F1551" s="13">
        <v>5.0</v>
      </c>
      <c r="G1551" s="13">
        <v>1.0</v>
      </c>
      <c r="H1551" s="13">
        <v>1.0</v>
      </c>
      <c r="I1551" s="13" t="s">
        <v>41</v>
      </c>
      <c r="J1551" s="13" t="s">
        <v>42</v>
      </c>
      <c r="K1551" s="13" t="s">
        <v>98</v>
      </c>
      <c r="L1551" s="13"/>
    </row>
    <row r="1552">
      <c r="A1552" s="13">
        <v>1550.0</v>
      </c>
      <c r="B1552" s="13">
        <v>850.0</v>
      </c>
      <c r="C1552" s="13">
        <v>64.0</v>
      </c>
      <c r="D1552" s="12" t="s">
        <v>2687</v>
      </c>
      <c r="E1552" s="12" t="s">
        <v>2688</v>
      </c>
      <c r="F1552" s="13">
        <v>5.0</v>
      </c>
      <c r="G1552" s="13">
        <v>1.0</v>
      </c>
      <c r="H1552" s="13">
        <v>0.0</v>
      </c>
      <c r="I1552" s="13" t="s">
        <v>41</v>
      </c>
      <c r="J1552" s="13" t="s">
        <v>46</v>
      </c>
      <c r="K1552" s="13" t="s">
        <v>47</v>
      </c>
      <c r="L1552" s="13"/>
    </row>
    <row r="1553">
      <c r="A1553" s="13">
        <v>1551.0</v>
      </c>
      <c r="B1553" s="13">
        <v>1080.0</v>
      </c>
      <c r="C1553" s="13">
        <v>30.0</v>
      </c>
      <c r="D1553" s="12" t="s">
        <v>2689</v>
      </c>
      <c r="E1553" s="12" t="s">
        <v>2690</v>
      </c>
      <c r="F1553" s="13">
        <v>3.0</v>
      </c>
      <c r="G1553" s="13">
        <v>1.0</v>
      </c>
      <c r="H1553" s="13">
        <v>2.0</v>
      </c>
      <c r="I1553" s="13" t="s">
        <v>35</v>
      </c>
      <c r="J1553" s="13" t="s">
        <v>36</v>
      </c>
      <c r="K1553" s="13" t="s">
        <v>36</v>
      </c>
      <c r="L1553" s="13"/>
    </row>
    <row r="1554">
      <c r="A1554" s="13">
        <v>1552.0</v>
      </c>
      <c r="B1554" s="13">
        <v>947.0</v>
      </c>
      <c r="C1554" s="13">
        <v>47.0</v>
      </c>
      <c r="D1554" s="12" t="s">
        <v>2691</v>
      </c>
      <c r="E1554" s="12" t="s">
        <v>2692</v>
      </c>
      <c r="F1554" s="13">
        <v>4.0</v>
      </c>
      <c r="G1554" s="13">
        <v>1.0</v>
      </c>
      <c r="H1554" s="13">
        <v>1.0</v>
      </c>
      <c r="I1554" s="13" t="s">
        <v>35</v>
      </c>
      <c r="J1554" s="13" t="s">
        <v>46</v>
      </c>
      <c r="K1554" s="13" t="s">
        <v>95</v>
      </c>
      <c r="L1554" s="13"/>
    </row>
    <row r="1555">
      <c r="A1555" s="13">
        <v>1553.0</v>
      </c>
      <c r="B1555" s="13">
        <v>947.0</v>
      </c>
      <c r="C1555" s="13">
        <v>45.0</v>
      </c>
      <c r="D1555" s="12" t="s">
        <v>2693</v>
      </c>
      <c r="E1555" s="12" t="s">
        <v>2694</v>
      </c>
      <c r="F1555" s="13">
        <v>3.0</v>
      </c>
      <c r="G1555" s="13">
        <v>0.0</v>
      </c>
      <c r="H1555" s="13">
        <v>1.0</v>
      </c>
      <c r="I1555" s="13" t="s">
        <v>35</v>
      </c>
      <c r="J1555" s="13" t="s">
        <v>46</v>
      </c>
      <c r="K1555" s="13" t="s">
        <v>95</v>
      </c>
      <c r="L1555" s="13"/>
    </row>
    <row r="1556">
      <c r="A1556" s="13">
        <v>1554.0</v>
      </c>
      <c r="B1556" s="13">
        <v>850.0</v>
      </c>
      <c r="C1556" s="13">
        <v>35.0</v>
      </c>
      <c r="D1556" s="12" t="s">
        <v>2695</v>
      </c>
      <c r="E1556" s="12" t="s">
        <v>2696</v>
      </c>
      <c r="F1556" s="13">
        <v>5.0</v>
      </c>
      <c r="G1556" s="13">
        <v>1.0</v>
      </c>
      <c r="H1556" s="13">
        <v>2.0</v>
      </c>
      <c r="I1556" s="13" t="s">
        <v>41</v>
      </c>
      <c r="J1556" s="13" t="s">
        <v>46</v>
      </c>
      <c r="K1556" s="13" t="s">
        <v>47</v>
      </c>
      <c r="L1556" s="13"/>
    </row>
    <row r="1557">
      <c r="A1557" s="13">
        <v>1555.0</v>
      </c>
      <c r="B1557" s="13">
        <v>1022.0</v>
      </c>
      <c r="C1557" s="13">
        <v>26.0</v>
      </c>
      <c r="D1557" s="12" t="s">
        <v>2697</v>
      </c>
      <c r="E1557" s="12" t="s">
        <v>2698</v>
      </c>
      <c r="F1557" s="13">
        <v>5.0</v>
      </c>
      <c r="G1557" s="13">
        <v>1.0</v>
      </c>
      <c r="H1557" s="13">
        <v>4.0</v>
      </c>
      <c r="I1557" s="13" t="s">
        <v>35</v>
      </c>
      <c r="J1557" s="13" t="s">
        <v>42</v>
      </c>
      <c r="K1557" s="13" t="s">
        <v>435</v>
      </c>
      <c r="L1557" s="13"/>
    </row>
    <row r="1558">
      <c r="A1558" s="13">
        <v>1556.0</v>
      </c>
      <c r="B1558" s="13">
        <v>862.0</v>
      </c>
      <c r="C1558" s="13">
        <v>35.0</v>
      </c>
      <c r="D1558" s="12" t="s">
        <v>1828</v>
      </c>
      <c r="E1558" s="12" t="s">
        <v>2699</v>
      </c>
      <c r="F1558" s="13">
        <v>5.0</v>
      </c>
      <c r="G1558" s="13">
        <v>1.0</v>
      </c>
      <c r="H1558" s="13">
        <v>0.0</v>
      </c>
      <c r="I1558" s="13" t="s">
        <v>35</v>
      </c>
      <c r="J1558" s="13" t="s">
        <v>46</v>
      </c>
      <c r="K1558" s="13" t="s">
        <v>52</v>
      </c>
      <c r="L1558" s="13"/>
    </row>
    <row r="1559">
      <c r="A1559" s="13">
        <v>1557.0</v>
      </c>
      <c r="B1559" s="13">
        <v>1078.0</v>
      </c>
      <c r="C1559" s="13">
        <v>66.0</v>
      </c>
      <c r="D1559" s="12" t="s">
        <v>1169</v>
      </c>
      <c r="E1559" s="12" t="s">
        <v>2700</v>
      </c>
      <c r="F1559" s="13">
        <v>5.0</v>
      </c>
      <c r="G1559" s="13">
        <v>1.0</v>
      </c>
      <c r="H1559" s="13">
        <v>2.0</v>
      </c>
      <c r="I1559" s="13" t="s">
        <v>35</v>
      </c>
      <c r="J1559" s="13" t="s">
        <v>36</v>
      </c>
      <c r="K1559" s="13" t="s">
        <v>36</v>
      </c>
      <c r="L1559" s="13"/>
    </row>
    <row r="1560">
      <c r="A1560" s="13">
        <v>1558.0</v>
      </c>
      <c r="B1560" s="13">
        <v>1078.0</v>
      </c>
      <c r="C1560" s="13">
        <v>62.0</v>
      </c>
      <c r="D1560" s="12"/>
      <c r="E1560" s="12" t="s">
        <v>2701</v>
      </c>
      <c r="F1560" s="13">
        <v>5.0</v>
      </c>
      <c r="G1560" s="13">
        <v>1.0</v>
      </c>
      <c r="H1560" s="13">
        <v>7.0</v>
      </c>
      <c r="I1560" s="13" t="s">
        <v>35</v>
      </c>
      <c r="J1560" s="13" t="s">
        <v>36</v>
      </c>
      <c r="K1560" s="13" t="s">
        <v>36</v>
      </c>
      <c r="L1560" s="13"/>
    </row>
    <row r="1561">
      <c r="A1561" s="13">
        <v>1559.0</v>
      </c>
      <c r="B1561" s="13">
        <v>1077.0</v>
      </c>
      <c r="C1561" s="13">
        <v>29.0</v>
      </c>
      <c r="D1561" s="12" t="s">
        <v>2702</v>
      </c>
      <c r="E1561" s="12" t="s">
        <v>2703</v>
      </c>
      <c r="F1561" s="13">
        <v>5.0</v>
      </c>
      <c r="G1561" s="13">
        <v>1.0</v>
      </c>
      <c r="H1561" s="13">
        <v>0.0</v>
      </c>
      <c r="I1561" s="13" t="s">
        <v>41</v>
      </c>
      <c r="J1561" s="13" t="s">
        <v>36</v>
      </c>
      <c r="K1561" s="13" t="s">
        <v>36</v>
      </c>
      <c r="L1561" s="13"/>
    </row>
    <row r="1562">
      <c r="A1562" s="13">
        <v>1560.0</v>
      </c>
      <c r="B1562" s="13">
        <v>1078.0</v>
      </c>
      <c r="C1562" s="13">
        <v>33.0</v>
      </c>
      <c r="D1562" s="12" t="s">
        <v>2704</v>
      </c>
      <c r="E1562" s="12" t="s">
        <v>2705</v>
      </c>
      <c r="F1562" s="13">
        <v>5.0</v>
      </c>
      <c r="G1562" s="13">
        <v>1.0</v>
      </c>
      <c r="H1562" s="13">
        <v>2.0</v>
      </c>
      <c r="I1562" s="13" t="s">
        <v>35</v>
      </c>
      <c r="J1562" s="13" t="s">
        <v>36</v>
      </c>
      <c r="K1562" s="13" t="s">
        <v>36</v>
      </c>
      <c r="L1562" s="13"/>
    </row>
    <row r="1563">
      <c r="A1563" s="13">
        <v>1561.0</v>
      </c>
      <c r="B1563" s="13">
        <v>985.0</v>
      </c>
      <c r="C1563" s="13">
        <v>53.0</v>
      </c>
      <c r="D1563" s="12" t="s">
        <v>2706</v>
      </c>
      <c r="E1563" s="12" t="s">
        <v>2707</v>
      </c>
      <c r="F1563" s="13">
        <v>5.0</v>
      </c>
      <c r="G1563" s="13">
        <v>1.0</v>
      </c>
      <c r="H1563" s="13">
        <v>0.0</v>
      </c>
      <c r="I1563" s="13" t="s">
        <v>35</v>
      </c>
      <c r="J1563" s="13" t="s">
        <v>76</v>
      </c>
      <c r="K1563" s="13" t="s">
        <v>76</v>
      </c>
      <c r="L1563" s="13"/>
    </row>
    <row r="1564">
      <c r="A1564" s="13">
        <v>1562.0</v>
      </c>
      <c r="B1564" s="13">
        <v>1201.0</v>
      </c>
      <c r="C1564" s="13">
        <v>38.0</v>
      </c>
      <c r="D1564" s="12"/>
      <c r="E1564" s="12"/>
      <c r="F1564" s="13">
        <v>3.0</v>
      </c>
      <c r="G1564" s="13">
        <v>1.0</v>
      </c>
      <c r="H1564" s="13">
        <v>0.0</v>
      </c>
      <c r="I1564" s="13" t="s">
        <v>35</v>
      </c>
      <c r="J1564" s="13" t="s">
        <v>36</v>
      </c>
      <c r="K1564" s="13" t="s">
        <v>36</v>
      </c>
      <c r="L1564" s="13"/>
    </row>
    <row r="1565">
      <c r="A1565" s="13">
        <v>1563.0</v>
      </c>
      <c r="B1565" s="13">
        <v>996.0</v>
      </c>
      <c r="C1565" s="13">
        <v>39.0</v>
      </c>
      <c r="D1565" s="12" t="s">
        <v>2708</v>
      </c>
      <c r="E1565" s="12" t="s">
        <v>2709</v>
      </c>
      <c r="F1565" s="13">
        <v>5.0</v>
      </c>
      <c r="G1565" s="13">
        <v>1.0</v>
      </c>
      <c r="H1565" s="13">
        <v>1.0</v>
      </c>
      <c r="I1565" s="13" t="s">
        <v>41</v>
      </c>
      <c r="J1565" s="13" t="s">
        <v>42</v>
      </c>
      <c r="K1565" s="13" t="s">
        <v>98</v>
      </c>
      <c r="L1565" s="13"/>
    </row>
    <row r="1566">
      <c r="A1566" s="13">
        <v>1564.0</v>
      </c>
      <c r="B1566" s="13">
        <v>864.0</v>
      </c>
      <c r="C1566" s="13">
        <v>48.0</v>
      </c>
      <c r="D1566" s="12" t="s">
        <v>2710</v>
      </c>
      <c r="E1566" s="12" t="s">
        <v>2711</v>
      </c>
      <c r="F1566" s="13">
        <v>3.0</v>
      </c>
      <c r="G1566" s="13">
        <v>1.0</v>
      </c>
      <c r="H1566" s="13">
        <v>6.0</v>
      </c>
      <c r="I1566" s="13" t="s">
        <v>35</v>
      </c>
      <c r="J1566" s="13" t="s">
        <v>46</v>
      </c>
      <c r="K1566" s="13" t="s">
        <v>52</v>
      </c>
      <c r="L1566" s="13"/>
    </row>
    <row r="1567">
      <c r="A1567" s="13">
        <v>1565.0</v>
      </c>
      <c r="B1567" s="13">
        <v>927.0</v>
      </c>
      <c r="C1567" s="13">
        <v>30.0</v>
      </c>
      <c r="D1567" s="12" t="s">
        <v>2712</v>
      </c>
      <c r="E1567" s="12" t="s">
        <v>2713</v>
      </c>
      <c r="F1567" s="13">
        <v>4.0</v>
      </c>
      <c r="G1567" s="13">
        <v>1.0</v>
      </c>
      <c r="H1567" s="13">
        <v>0.0</v>
      </c>
      <c r="I1567" s="13" t="s">
        <v>35</v>
      </c>
      <c r="J1567" s="13" t="s">
        <v>46</v>
      </c>
      <c r="K1567" s="13" t="s">
        <v>95</v>
      </c>
      <c r="L1567" s="13"/>
    </row>
    <row r="1568">
      <c r="A1568" s="13">
        <v>1566.0</v>
      </c>
      <c r="B1568" s="13">
        <v>1046.0</v>
      </c>
      <c r="C1568" s="13">
        <v>49.0</v>
      </c>
      <c r="D1568" s="12" t="s">
        <v>2714</v>
      </c>
      <c r="E1568" s="12" t="s">
        <v>2715</v>
      </c>
      <c r="F1568" s="13">
        <v>5.0</v>
      </c>
      <c r="G1568" s="13">
        <v>1.0</v>
      </c>
      <c r="H1568" s="13">
        <v>0.0</v>
      </c>
      <c r="I1568" s="13" t="s">
        <v>41</v>
      </c>
      <c r="J1568" s="13" t="s">
        <v>42</v>
      </c>
      <c r="K1568" s="13" t="s">
        <v>43</v>
      </c>
      <c r="L1568" s="13"/>
    </row>
    <row r="1569">
      <c r="A1569" s="13">
        <v>1567.0</v>
      </c>
      <c r="B1569" s="13">
        <v>864.0</v>
      </c>
      <c r="C1569" s="13">
        <v>64.0</v>
      </c>
      <c r="D1569" s="12"/>
      <c r="E1569" s="12" t="s">
        <v>2716</v>
      </c>
      <c r="F1569" s="13">
        <v>5.0</v>
      </c>
      <c r="G1569" s="13">
        <v>1.0</v>
      </c>
      <c r="H1569" s="13">
        <v>2.0</v>
      </c>
      <c r="I1569" s="13" t="s">
        <v>35</v>
      </c>
      <c r="J1569" s="13" t="s">
        <v>46</v>
      </c>
      <c r="K1569" s="13" t="s">
        <v>52</v>
      </c>
      <c r="L1569" s="13"/>
    </row>
    <row r="1570">
      <c r="A1570" s="13">
        <v>1568.0</v>
      </c>
      <c r="B1570" s="13">
        <v>985.0</v>
      </c>
      <c r="C1570" s="13">
        <v>45.0</v>
      </c>
      <c r="D1570" s="12" t="s">
        <v>2717</v>
      </c>
      <c r="E1570" s="12" t="s">
        <v>2718</v>
      </c>
      <c r="F1570" s="13">
        <v>5.0</v>
      </c>
      <c r="G1570" s="13">
        <v>1.0</v>
      </c>
      <c r="H1570" s="13">
        <v>4.0</v>
      </c>
      <c r="I1570" s="13" t="s">
        <v>35</v>
      </c>
      <c r="J1570" s="13" t="s">
        <v>76</v>
      </c>
      <c r="K1570" s="13" t="s">
        <v>76</v>
      </c>
      <c r="L1570" s="13"/>
    </row>
    <row r="1571">
      <c r="A1571" s="13">
        <v>1569.0</v>
      </c>
      <c r="B1571" s="13">
        <v>1078.0</v>
      </c>
      <c r="C1571" s="13">
        <v>56.0</v>
      </c>
      <c r="D1571" s="12" t="s">
        <v>2719</v>
      </c>
      <c r="E1571" s="12" t="s">
        <v>2720</v>
      </c>
      <c r="F1571" s="13">
        <v>3.0</v>
      </c>
      <c r="G1571" s="13">
        <v>0.0</v>
      </c>
      <c r="H1571" s="13">
        <v>15.0</v>
      </c>
      <c r="I1571" s="13" t="s">
        <v>41</v>
      </c>
      <c r="J1571" s="13" t="s">
        <v>36</v>
      </c>
      <c r="K1571" s="13" t="s">
        <v>36</v>
      </c>
      <c r="L1571" s="13"/>
    </row>
    <row r="1572">
      <c r="A1572" s="13">
        <v>1570.0</v>
      </c>
      <c r="B1572" s="13">
        <v>862.0</v>
      </c>
      <c r="C1572" s="13">
        <v>32.0</v>
      </c>
      <c r="D1572" s="12" t="s">
        <v>2721</v>
      </c>
      <c r="E1572" s="12" t="s">
        <v>2722</v>
      </c>
      <c r="F1572" s="13">
        <v>5.0</v>
      </c>
      <c r="G1572" s="13">
        <v>1.0</v>
      </c>
      <c r="H1572" s="13">
        <v>0.0</v>
      </c>
      <c r="I1572" s="13" t="s">
        <v>35</v>
      </c>
      <c r="J1572" s="13" t="s">
        <v>46</v>
      </c>
      <c r="K1572" s="13" t="s">
        <v>52</v>
      </c>
      <c r="L1572" s="13"/>
    </row>
    <row r="1573">
      <c r="A1573" s="13">
        <v>1571.0</v>
      </c>
      <c r="B1573" s="13">
        <v>1046.0</v>
      </c>
      <c r="C1573" s="13">
        <v>43.0</v>
      </c>
      <c r="D1573" s="12"/>
      <c r="E1573" s="12" t="s">
        <v>2723</v>
      </c>
      <c r="F1573" s="13">
        <v>5.0</v>
      </c>
      <c r="G1573" s="13">
        <v>1.0</v>
      </c>
      <c r="H1573" s="13">
        <v>2.0</v>
      </c>
      <c r="I1573" s="13" t="s">
        <v>41</v>
      </c>
      <c r="J1573" s="13" t="s">
        <v>42</v>
      </c>
      <c r="K1573" s="13" t="s">
        <v>43</v>
      </c>
      <c r="L1573" s="13"/>
    </row>
    <row r="1574">
      <c r="A1574" s="13">
        <v>1572.0</v>
      </c>
      <c r="B1574" s="13">
        <v>862.0</v>
      </c>
      <c r="C1574" s="13">
        <v>48.0</v>
      </c>
      <c r="D1574" s="12" t="s">
        <v>2724</v>
      </c>
      <c r="E1574" s="12" t="s">
        <v>2725</v>
      </c>
      <c r="F1574" s="13">
        <v>2.0</v>
      </c>
      <c r="G1574" s="13">
        <v>0.0</v>
      </c>
      <c r="H1574" s="13">
        <v>1.0</v>
      </c>
      <c r="I1574" s="13" t="s">
        <v>35</v>
      </c>
      <c r="J1574" s="13" t="s">
        <v>46</v>
      </c>
      <c r="K1574" s="13" t="s">
        <v>52</v>
      </c>
      <c r="L1574" s="13"/>
    </row>
    <row r="1575">
      <c r="A1575" s="13">
        <v>1573.0</v>
      </c>
      <c r="B1575" s="13">
        <v>1072.0</v>
      </c>
      <c r="C1575" s="13">
        <v>53.0</v>
      </c>
      <c r="D1575" s="12"/>
      <c r="E1575" s="12"/>
      <c r="F1575" s="13">
        <v>4.0</v>
      </c>
      <c r="G1575" s="13">
        <v>1.0</v>
      </c>
      <c r="H1575" s="13">
        <v>0.0</v>
      </c>
      <c r="I1575" s="13" t="s">
        <v>35</v>
      </c>
      <c r="J1575" s="13" t="s">
        <v>36</v>
      </c>
      <c r="K1575" s="13" t="s">
        <v>36</v>
      </c>
      <c r="L1575" s="13"/>
    </row>
    <row r="1576">
      <c r="A1576" s="13">
        <v>1574.0</v>
      </c>
      <c r="B1576" s="13">
        <v>1080.0</v>
      </c>
      <c r="C1576" s="13">
        <v>41.0</v>
      </c>
      <c r="D1576" s="12" t="s">
        <v>2070</v>
      </c>
      <c r="E1576" s="12" t="s">
        <v>2726</v>
      </c>
      <c r="F1576" s="13">
        <v>5.0</v>
      </c>
      <c r="G1576" s="13">
        <v>1.0</v>
      </c>
      <c r="H1576" s="13">
        <v>0.0</v>
      </c>
      <c r="I1576" s="13" t="s">
        <v>35</v>
      </c>
      <c r="J1576" s="13" t="s">
        <v>36</v>
      </c>
      <c r="K1576" s="13" t="s">
        <v>36</v>
      </c>
      <c r="L1576" s="13"/>
    </row>
    <row r="1577">
      <c r="A1577" s="13">
        <v>1575.0</v>
      </c>
      <c r="B1577" s="13">
        <v>985.0</v>
      </c>
      <c r="C1577" s="13">
        <v>40.0</v>
      </c>
      <c r="D1577" s="12" t="s">
        <v>2727</v>
      </c>
      <c r="E1577" s="12" t="s">
        <v>2728</v>
      </c>
      <c r="F1577" s="13">
        <v>4.0</v>
      </c>
      <c r="G1577" s="13">
        <v>1.0</v>
      </c>
      <c r="H1577" s="13">
        <v>2.0</v>
      </c>
      <c r="I1577" s="13" t="s">
        <v>35</v>
      </c>
      <c r="J1577" s="13" t="s">
        <v>76</v>
      </c>
      <c r="K1577" s="13" t="s">
        <v>76</v>
      </c>
      <c r="L1577" s="13"/>
    </row>
    <row r="1578">
      <c r="A1578" s="13">
        <v>1576.0</v>
      </c>
      <c r="B1578" s="13">
        <v>864.0</v>
      </c>
      <c r="C1578" s="13">
        <v>32.0</v>
      </c>
      <c r="D1578" s="12" t="s">
        <v>2729</v>
      </c>
      <c r="E1578" s="12" t="s">
        <v>2730</v>
      </c>
      <c r="F1578" s="13">
        <v>2.0</v>
      </c>
      <c r="G1578" s="13">
        <v>0.0</v>
      </c>
      <c r="H1578" s="13">
        <v>0.0</v>
      </c>
      <c r="I1578" s="13" t="s">
        <v>35</v>
      </c>
      <c r="J1578" s="13" t="s">
        <v>46</v>
      </c>
      <c r="K1578" s="13" t="s">
        <v>52</v>
      </c>
      <c r="L1578" s="13"/>
    </row>
    <row r="1579">
      <c r="A1579" s="13">
        <v>1577.0</v>
      </c>
      <c r="B1579" s="13">
        <v>927.0</v>
      </c>
      <c r="C1579" s="13">
        <v>68.0</v>
      </c>
      <c r="D1579" s="12" t="s">
        <v>2731</v>
      </c>
      <c r="E1579" s="12" t="s">
        <v>2732</v>
      </c>
      <c r="F1579" s="13">
        <v>5.0</v>
      </c>
      <c r="G1579" s="13">
        <v>1.0</v>
      </c>
      <c r="H1579" s="13">
        <v>0.0</v>
      </c>
      <c r="I1579" s="13" t="s">
        <v>35</v>
      </c>
      <c r="J1579" s="13" t="s">
        <v>46</v>
      </c>
      <c r="K1579" s="13" t="s">
        <v>95</v>
      </c>
      <c r="L1579" s="13"/>
    </row>
    <row r="1580">
      <c r="A1580" s="13">
        <v>1578.0</v>
      </c>
      <c r="B1580" s="13">
        <v>1078.0</v>
      </c>
      <c r="C1580" s="13">
        <v>65.0</v>
      </c>
      <c r="D1580" s="12"/>
      <c r="E1580" s="12" t="s">
        <v>2733</v>
      </c>
      <c r="F1580" s="13">
        <v>5.0</v>
      </c>
      <c r="G1580" s="13">
        <v>1.0</v>
      </c>
      <c r="H1580" s="13">
        <v>2.0</v>
      </c>
      <c r="I1580" s="13" t="s">
        <v>41</v>
      </c>
      <c r="J1580" s="13" t="s">
        <v>36</v>
      </c>
      <c r="K1580" s="13" t="s">
        <v>36</v>
      </c>
      <c r="L1580" s="13"/>
    </row>
    <row r="1581">
      <c r="A1581" s="13">
        <v>1579.0</v>
      </c>
      <c r="B1581" s="13">
        <v>1072.0</v>
      </c>
      <c r="C1581" s="13">
        <v>39.0</v>
      </c>
      <c r="D1581" s="12" t="s">
        <v>2734</v>
      </c>
      <c r="E1581" s="12" t="s">
        <v>2735</v>
      </c>
      <c r="F1581" s="13">
        <v>4.0</v>
      </c>
      <c r="G1581" s="13">
        <v>1.0</v>
      </c>
      <c r="H1581" s="13">
        <v>0.0</v>
      </c>
      <c r="I1581" s="13" t="s">
        <v>35</v>
      </c>
      <c r="J1581" s="13" t="s">
        <v>36</v>
      </c>
      <c r="K1581" s="13" t="s">
        <v>36</v>
      </c>
      <c r="L1581" s="13"/>
    </row>
    <row r="1582">
      <c r="A1582" s="13">
        <v>1580.0</v>
      </c>
      <c r="B1582" s="13">
        <v>1078.0</v>
      </c>
      <c r="C1582" s="13">
        <v>43.0</v>
      </c>
      <c r="D1582" s="12" t="s">
        <v>2736</v>
      </c>
      <c r="E1582" s="12" t="s">
        <v>2737</v>
      </c>
      <c r="F1582" s="13">
        <v>5.0</v>
      </c>
      <c r="G1582" s="13">
        <v>1.0</v>
      </c>
      <c r="H1582" s="13">
        <v>14.0</v>
      </c>
      <c r="I1582" s="13" t="s">
        <v>41</v>
      </c>
      <c r="J1582" s="13" t="s">
        <v>36</v>
      </c>
      <c r="K1582" s="13" t="s">
        <v>36</v>
      </c>
      <c r="L1582" s="13"/>
    </row>
    <row r="1583">
      <c r="A1583" s="13">
        <v>1581.0</v>
      </c>
      <c r="B1583" s="13">
        <v>862.0</v>
      </c>
      <c r="C1583" s="13">
        <v>26.0</v>
      </c>
      <c r="D1583" s="12" t="s">
        <v>2738</v>
      </c>
      <c r="E1583" s="12" t="s">
        <v>2739</v>
      </c>
      <c r="F1583" s="13">
        <v>5.0</v>
      </c>
      <c r="G1583" s="13">
        <v>1.0</v>
      </c>
      <c r="H1583" s="13">
        <v>0.0</v>
      </c>
      <c r="I1583" s="13" t="s">
        <v>35</v>
      </c>
      <c r="J1583" s="13" t="s">
        <v>46</v>
      </c>
      <c r="K1583" s="13" t="s">
        <v>52</v>
      </c>
      <c r="L1583" s="13"/>
    </row>
    <row r="1584">
      <c r="A1584" s="13">
        <v>1582.0</v>
      </c>
      <c r="B1584" s="13">
        <v>1201.0</v>
      </c>
      <c r="C1584" s="13">
        <v>35.0</v>
      </c>
      <c r="D1584" s="12"/>
      <c r="E1584" s="12"/>
      <c r="F1584" s="13">
        <v>5.0</v>
      </c>
      <c r="G1584" s="13">
        <v>1.0</v>
      </c>
      <c r="H1584" s="13">
        <v>0.0</v>
      </c>
      <c r="I1584" s="13" t="s">
        <v>35</v>
      </c>
      <c r="J1584" s="13" t="s">
        <v>36</v>
      </c>
      <c r="K1584" s="13" t="s">
        <v>36</v>
      </c>
      <c r="L1584" s="13"/>
    </row>
    <row r="1585">
      <c r="A1585" s="13">
        <v>1583.0</v>
      </c>
      <c r="B1585" s="13">
        <v>1046.0</v>
      </c>
      <c r="C1585" s="13">
        <v>53.0</v>
      </c>
      <c r="D1585" s="12" t="s">
        <v>2740</v>
      </c>
      <c r="E1585" s="12" t="s">
        <v>2741</v>
      </c>
      <c r="F1585" s="13">
        <v>4.0</v>
      </c>
      <c r="G1585" s="13">
        <v>1.0</v>
      </c>
      <c r="H1585" s="13">
        <v>3.0</v>
      </c>
      <c r="I1585" s="13" t="s">
        <v>41</v>
      </c>
      <c r="J1585" s="13" t="s">
        <v>42</v>
      </c>
      <c r="K1585" s="13" t="s">
        <v>43</v>
      </c>
      <c r="L1585" s="13"/>
    </row>
    <row r="1586">
      <c r="A1586" s="13">
        <v>1584.0</v>
      </c>
      <c r="B1586" s="13">
        <v>942.0</v>
      </c>
      <c r="C1586" s="13">
        <v>22.0</v>
      </c>
      <c r="D1586" s="12" t="s">
        <v>2742</v>
      </c>
      <c r="E1586" s="12" t="s">
        <v>2743</v>
      </c>
      <c r="F1586" s="13">
        <v>4.0</v>
      </c>
      <c r="G1586" s="13">
        <v>1.0</v>
      </c>
      <c r="H1586" s="13">
        <v>2.0</v>
      </c>
      <c r="I1586" s="13" t="s">
        <v>35</v>
      </c>
      <c r="J1586" s="13" t="s">
        <v>46</v>
      </c>
      <c r="K1586" s="13" t="s">
        <v>95</v>
      </c>
      <c r="L1586" s="13"/>
    </row>
    <row r="1587">
      <c r="A1587" s="13">
        <v>1585.0</v>
      </c>
      <c r="B1587" s="13">
        <v>1059.0</v>
      </c>
      <c r="C1587" s="13">
        <v>45.0</v>
      </c>
      <c r="D1587" s="12" t="s">
        <v>2744</v>
      </c>
      <c r="E1587" s="12" t="s">
        <v>2745</v>
      </c>
      <c r="F1587" s="13">
        <v>5.0</v>
      </c>
      <c r="G1587" s="13">
        <v>1.0</v>
      </c>
      <c r="H1587" s="13">
        <v>0.0</v>
      </c>
      <c r="I1587" s="13" t="s">
        <v>35</v>
      </c>
      <c r="J1587" s="13" t="s">
        <v>42</v>
      </c>
      <c r="K1587" s="13" t="s">
        <v>43</v>
      </c>
      <c r="L1587" s="13"/>
    </row>
    <row r="1588">
      <c r="A1588" s="13">
        <v>1586.0</v>
      </c>
      <c r="B1588" s="13">
        <v>1059.0</v>
      </c>
      <c r="C1588" s="13">
        <v>72.0</v>
      </c>
      <c r="D1588" s="12" t="s">
        <v>2746</v>
      </c>
      <c r="E1588" s="12" t="s">
        <v>2747</v>
      </c>
      <c r="F1588" s="13">
        <v>3.0</v>
      </c>
      <c r="G1588" s="13">
        <v>1.0</v>
      </c>
      <c r="H1588" s="13">
        <v>3.0</v>
      </c>
      <c r="I1588" s="13" t="s">
        <v>35</v>
      </c>
      <c r="J1588" s="13" t="s">
        <v>42</v>
      </c>
      <c r="K1588" s="13" t="s">
        <v>43</v>
      </c>
      <c r="L1588" s="13"/>
    </row>
    <row r="1589">
      <c r="A1589" s="13">
        <v>1587.0</v>
      </c>
      <c r="B1589" s="13">
        <v>1094.0</v>
      </c>
      <c r="C1589" s="13">
        <v>56.0</v>
      </c>
      <c r="D1589" s="12" t="s">
        <v>2748</v>
      </c>
      <c r="E1589" s="12" t="s">
        <v>2749</v>
      </c>
      <c r="F1589" s="13">
        <v>5.0</v>
      </c>
      <c r="G1589" s="13">
        <v>1.0</v>
      </c>
      <c r="H1589" s="13">
        <v>0.0</v>
      </c>
      <c r="I1589" s="13" t="s">
        <v>41</v>
      </c>
      <c r="J1589" s="13" t="s">
        <v>36</v>
      </c>
      <c r="K1589" s="13" t="s">
        <v>36</v>
      </c>
      <c r="L1589" s="13"/>
    </row>
    <row r="1590">
      <c r="A1590" s="13">
        <v>1588.0</v>
      </c>
      <c r="B1590" s="13">
        <v>833.0</v>
      </c>
      <c r="C1590" s="13">
        <v>71.0</v>
      </c>
      <c r="D1590" s="12" t="s">
        <v>1194</v>
      </c>
      <c r="E1590" s="12" t="s">
        <v>2750</v>
      </c>
      <c r="F1590" s="13">
        <v>5.0</v>
      </c>
      <c r="G1590" s="13">
        <v>1.0</v>
      </c>
      <c r="H1590" s="13">
        <v>2.0</v>
      </c>
      <c r="I1590" s="13" t="s">
        <v>35</v>
      </c>
      <c r="J1590" s="13" t="s">
        <v>46</v>
      </c>
      <c r="K1590" s="13" t="s">
        <v>47</v>
      </c>
      <c r="L1590" s="13"/>
    </row>
    <row r="1591">
      <c r="A1591" s="13">
        <v>1589.0</v>
      </c>
      <c r="B1591" s="13">
        <v>1051.0</v>
      </c>
      <c r="C1591" s="13">
        <v>29.0</v>
      </c>
      <c r="D1591" s="12" t="s">
        <v>2751</v>
      </c>
      <c r="E1591" s="12" t="s">
        <v>2752</v>
      </c>
      <c r="F1591" s="13">
        <v>4.0</v>
      </c>
      <c r="G1591" s="13">
        <v>1.0</v>
      </c>
      <c r="H1591" s="13">
        <v>0.0</v>
      </c>
      <c r="I1591" s="13" t="s">
        <v>41</v>
      </c>
      <c r="J1591" s="13" t="s">
        <v>42</v>
      </c>
      <c r="K1591" s="13" t="s">
        <v>43</v>
      </c>
      <c r="L1591" s="13"/>
    </row>
    <row r="1592">
      <c r="A1592" s="13">
        <v>1590.0</v>
      </c>
      <c r="B1592" s="13">
        <v>833.0</v>
      </c>
      <c r="C1592" s="13">
        <v>48.0</v>
      </c>
      <c r="D1592" s="12" t="s">
        <v>2753</v>
      </c>
      <c r="E1592" s="12" t="s">
        <v>2754</v>
      </c>
      <c r="F1592" s="13">
        <v>5.0</v>
      </c>
      <c r="G1592" s="13">
        <v>1.0</v>
      </c>
      <c r="H1592" s="13">
        <v>3.0</v>
      </c>
      <c r="I1592" s="13" t="s">
        <v>35</v>
      </c>
      <c r="J1592" s="13" t="s">
        <v>46</v>
      </c>
      <c r="K1592" s="13" t="s">
        <v>47</v>
      </c>
      <c r="L1592" s="13"/>
    </row>
    <row r="1593">
      <c r="A1593" s="13">
        <v>1591.0</v>
      </c>
      <c r="B1593" s="13">
        <v>115.0</v>
      </c>
      <c r="C1593" s="13">
        <v>39.0</v>
      </c>
      <c r="D1593" s="12"/>
      <c r="E1593" s="12" t="s">
        <v>2755</v>
      </c>
      <c r="F1593" s="13">
        <v>4.0</v>
      </c>
      <c r="G1593" s="13">
        <v>1.0</v>
      </c>
      <c r="H1593" s="13">
        <v>0.0</v>
      </c>
      <c r="I1593" s="13" t="s">
        <v>31</v>
      </c>
      <c r="J1593" s="13" t="s">
        <v>32</v>
      </c>
      <c r="K1593" s="13" t="s">
        <v>126</v>
      </c>
      <c r="L1593" s="13"/>
    </row>
    <row r="1594">
      <c r="A1594" s="13">
        <v>1592.0</v>
      </c>
      <c r="B1594" s="13">
        <v>878.0</v>
      </c>
      <c r="C1594" s="13">
        <v>51.0</v>
      </c>
      <c r="D1594" s="12"/>
      <c r="E1594" s="12" t="s">
        <v>2756</v>
      </c>
      <c r="F1594" s="13">
        <v>5.0</v>
      </c>
      <c r="G1594" s="13">
        <v>1.0</v>
      </c>
      <c r="H1594" s="13">
        <v>1.0</v>
      </c>
      <c r="I1594" s="13" t="s">
        <v>35</v>
      </c>
      <c r="J1594" s="13" t="s">
        <v>46</v>
      </c>
      <c r="K1594" s="13" t="s">
        <v>52</v>
      </c>
      <c r="L1594" s="13"/>
    </row>
    <row r="1595">
      <c r="A1595" s="13">
        <v>1593.0</v>
      </c>
      <c r="B1595" s="13">
        <v>1094.0</v>
      </c>
      <c r="C1595" s="13">
        <v>59.0</v>
      </c>
      <c r="D1595" s="12" t="s">
        <v>2757</v>
      </c>
      <c r="E1595" s="12" t="s">
        <v>2758</v>
      </c>
      <c r="F1595" s="13">
        <v>4.0</v>
      </c>
      <c r="G1595" s="13">
        <v>1.0</v>
      </c>
      <c r="H1595" s="13">
        <v>1.0</v>
      </c>
      <c r="I1595" s="13" t="s">
        <v>41</v>
      </c>
      <c r="J1595" s="13" t="s">
        <v>36</v>
      </c>
      <c r="K1595" s="13" t="s">
        <v>36</v>
      </c>
      <c r="L1595" s="13"/>
    </row>
    <row r="1596">
      <c r="A1596" s="13">
        <v>1594.0</v>
      </c>
      <c r="B1596" s="13">
        <v>942.0</v>
      </c>
      <c r="C1596" s="13">
        <v>52.0</v>
      </c>
      <c r="D1596" s="12" t="s">
        <v>2759</v>
      </c>
      <c r="E1596" s="12" t="s">
        <v>2760</v>
      </c>
      <c r="F1596" s="13">
        <v>4.0</v>
      </c>
      <c r="G1596" s="13">
        <v>1.0</v>
      </c>
      <c r="H1596" s="13">
        <v>4.0</v>
      </c>
      <c r="I1596" s="13" t="s">
        <v>35</v>
      </c>
      <c r="J1596" s="13" t="s">
        <v>46</v>
      </c>
      <c r="K1596" s="13" t="s">
        <v>95</v>
      </c>
      <c r="L1596" s="13"/>
    </row>
    <row r="1597">
      <c r="A1597" s="13">
        <v>1595.0</v>
      </c>
      <c r="B1597" s="13">
        <v>115.0</v>
      </c>
      <c r="C1597" s="13">
        <v>41.0</v>
      </c>
      <c r="D1597" s="12" t="s">
        <v>296</v>
      </c>
      <c r="E1597" s="12" t="s">
        <v>2761</v>
      </c>
      <c r="F1597" s="13">
        <v>3.0</v>
      </c>
      <c r="G1597" s="13">
        <v>1.0</v>
      </c>
      <c r="H1597" s="13">
        <v>0.0</v>
      </c>
      <c r="I1597" s="13" t="s">
        <v>31</v>
      </c>
      <c r="J1597" s="13" t="s">
        <v>32</v>
      </c>
      <c r="K1597" s="13" t="s">
        <v>126</v>
      </c>
      <c r="L1597" s="13"/>
    </row>
    <row r="1598">
      <c r="A1598" s="13">
        <v>1596.0</v>
      </c>
      <c r="B1598" s="13">
        <v>1059.0</v>
      </c>
      <c r="C1598" s="13">
        <v>50.0</v>
      </c>
      <c r="D1598" s="12" t="s">
        <v>2762</v>
      </c>
      <c r="E1598" s="12" t="s">
        <v>2763</v>
      </c>
      <c r="F1598" s="13">
        <v>5.0</v>
      </c>
      <c r="G1598" s="13">
        <v>1.0</v>
      </c>
      <c r="H1598" s="13">
        <v>0.0</v>
      </c>
      <c r="I1598" s="13" t="s">
        <v>41</v>
      </c>
      <c r="J1598" s="13" t="s">
        <v>42</v>
      </c>
      <c r="K1598" s="13" t="s">
        <v>43</v>
      </c>
      <c r="L1598" s="13"/>
    </row>
    <row r="1599">
      <c r="A1599" s="13">
        <v>1597.0</v>
      </c>
      <c r="B1599" s="13">
        <v>1078.0</v>
      </c>
      <c r="C1599" s="13">
        <v>39.0</v>
      </c>
      <c r="D1599" s="12" t="s">
        <v>2764</v>
      </c>
      <c r="E1599" s="12" t="s">
        <v>2765</v>
      </c>
      <c r="F1599" s="13">
        <v>4.0</v>
      </c>
      <c r="G1599" s="13">
        <v>1.0</v>
      </c>
      <c r="H1599" s="13">
        <v>8.0</v>
      </c>
      <c r="I1599" s="13" t="s">
        <v>41</v>
      </c>
      <c r="J1599" s="13" t="s">
        <v>36</v>
      </c>
      <c r="K1599" s="13" t="s">
        <v>36</v>
      </c>
      <c r="L1599" s="13"/>
    </row>
    <row r="1600">
      <c r="A1600" s="13">
        <v>1598.0</v>
      </c>
      <c r="B1600" s="13">
        <v>833.0</v>
      </c>
      <c r="C1600" s="13">
        <v>46.0</v>
      </c>
      <c r="D1600" s="12" t="s">
        <v>2766</v>
      </c>
      <c r="E1600" s="12" t="s">
        <v>2767</v>
      </c>
      <c r="F1600" s="13">
        <v>5.0</v>
      </c>
      <c r="G1600" s="13">
        <v>1.0</v>
      </c>
      <c r="H1600" s="13">
        <v>2.0</v>
      </c>
      <c r="I1600" s="13" t="s">
        <v>35</v>
      </c>
      <c r="J1600" s="13" t="s">
        <v>46</v>
      </c>
      <c r="K1600" s="13" t="s">
        <v>47</v>
      </c>
      <c r="L1600" s="13"/>
    </row>
    <row r="1601">
      <c r="A1601" s="13">
        <v>1599.0</v>
      </c>
      <c r="B1601" s="13">
        <v>1051.0</v>
      </c>
      <c r="C1601" s="13">
        <v>25.0</v>
      </c>
      <c r="D1601" s="12" t="s">
        <v>2768</v>
      </c>
      <c r="E1601" s="12" t="s">
        <v>2769</v>
      </c>
      <c r="F1601" s="13">
        <v>3.0</v>
      </c>
      <c r="G1601" s="13">
        <v>1.0</v>
      </c>
      <c r="H1601" s="13">
        <v>1.0</v>
      </c>
      <c r="I1601" s="13" t="s">
        <v>41</v>
      </c>
      <c r="J1601" s="13" t="s">
        <v>42</v>
      </c>
      <c r="K1601" s="13" t="s">
        <v>43</v>
      </c>
      <c r="L1601" s="13"/>
    </row>
    <row r="1602">
      <c r="A1602" s="13">
        <v>1600.0</v>
      </c>
      <c r="B1602" s="13">
        <v>1059.0</v>
      </c>
      <c r="C1602" s="13">
        <v>54.0</v>
      </c>
      <c r="D1602" s="12" t="s">
        <v>2770</v>
      </c>
      <c r="E1602" s="12" t="s">
        <v>2771</v>
      </c>
      <c r="F1602" s="13">
        <v>3.0</v>
      </c>
      <c r="G1602" s="13">
        <v>0.0</v>
      </c>
      <c r="H1602" s="13">
        <v>1.0</v>
      </c>
      <c r="I1602" s="13" t="s">
        <v>41</v>
      </c>
      <c r="J1602" s="13" t="s">
        <v>42</v>
      </c>
      <c r="K1602" s="13" t="s">
        <v>43</v>
      </c>
      <c r="L1602" s="13"/>
    </row>
    <row r="1603">
      <c r="A1603" s="13">
        <v>1601.0</v>
      </c>
      <c r="B1603" s="13">
        <v>1059.0</v>
      </c>
      <c r="C1603" s="13">
        <v>54.0</v>
      </c>
      <c r="D1603" s="12"/>
      <c r="E1603" s="12" t="s">
        <v>2772</v>
      </c>
      <c r="F1603" s="13">
        <v>4.0</v>
      </c>
      <c r="G1603" s="13">
        <v>1.0</v>
      </c>
      <c r="H1603" s="13">
        <v>9.0</v>
      </c>
      <c r="I1603" s="13" t="s">
        <v>41</v>
      </c>
      <c r="J1603" s="13" t="s">
        <v>42</v>
      </c>
      <c r="K1603" s="13" t="s">
        <v>43</v>
      </c>
      <c r="L1603" s="13"/>
    </row>
    <row r="1604">
      <c r="A1604" s="13">
        <v>1602.0</v>
      </c>
      <c r="B1604" s="13">
        <v>1059.0</v>
      </c>
      <c r="C1604" s="13">
        <v>51.0</v>
      </c>
      <c r="D1604" s="12" t="s">
        <v>2773</v>
      </c>
      <c r="E1604" s="12" t="s">
        <v>2774</v>
      </c>
      <c r="F1604" s="13">
        <v>4.0</v>
      </c>
      <c r="G1604" s="13">
        <v>0.0</v>
      </c>
      <c r="H1604" s="13">
        <v>0.0</v>
      </c>
      <c r="I1604" s="13" t="s">
        <v>41</v>
      </c>
      <c r="J1604" s="13" t="s">
        <v>42</v>
      </c>
      <c r="K1604" s="13" t="s">
        <v>43</v>
      </c>
      <c r="L1604" s="13"/>
    </row>
    <row r="1605">
      <c r="A1605" s="13">
        <v>1603.0</v>
      </c>
      <c r="B1605" s="13">
        <v>1051.0</v>
      </c>
      <c r="C1605" s="13">
        <v>47.0</v>
      </c>
      <c r="D1605" s="12" t="s">
        <v>2775</v>
      </c>
      <c r="E1605" s="12" t="s">
        <v>2776</v>
      </c>
      <c r="F1605" s="13">
        <v>5.0</v>
      </c>
      <c r="G1605" s="13">
        <v>1.0</v>
      </c>
      <c r="H1605" s="13">
        <v>0.0</v>
      </c>
      <c r="I1605" s="13" t="s">
        <v>41</v>
      </c>
      <c r="J1605" s="13" t="s">
        <v>42</v>
      </c>
      <c r="K1605" s="13" t="s">
        <v>43</v>
      </c>
      <c r="L1605" s="13"/>
    </row>
    <row r="1606">
      <c r="A1606" s="13">
        <v>1604.0</v>
      </c>
      <c r="B1606" s="13">
        <v>1059.0</v>
      </c>
      <c r="C1606" s="13">
        <v>79.0</v>
      </c>
      <c r="D1606" s="12" t="s">
        <v>2777</v>
      </c>
      <c r="E1606" s="12" t="s">
        <v>2778</v>
      </c>
      <c r="F1606" s="13">
        <v>5.0</v>
      </c>
      <c r="G1606" s="13">
        <v>1.0</v>
      </c>
      <c r="H1606" s="13">
        <v>1.0</v>
      </c>
      <c r="I1606" s="13" t="s">
        <v>41</v>
      </c>
      <c r="J1606" s="13" t="s">
        <v>42</v>
      </c>
      <c r="K1606" s="13" t="s">
        <v>43</v>
      </c>
      <c r="L1606" s="13"/>
    </row>
    <row r="1607">
      <c r="A1607" s="13">
        <v>1605.0</v>
      </c>
      <c r="B1607" s="13">
        <v>1078.0</v>
      </c>
      <c r="C1607" s="13">
        <v>55.0</v>
      </c>
      <c r="D1607" s="12" t="s">
        <v>2779</v>
      </c>
      <c r="E1607" s="12" t="s">
        <v>2780</v>
      </c>
      <c r="F1607" s="13">
        <v>5.0</v>
      </c>
      <c r="G1607" s="13">
        <v>1.0</v>
      </c>
      <c r="H1607" s="13">
        <v>0.0</v>
      </c>
      <c r="I1607" s="13" t="s">
        <v>41</v>
      </c>
      <c r="J1607" s="13" t="s">
        <v>36</v>
      </c>
      <c r="K1607" s="13" t="s">
        <v>36</v>
      </c>
      <c r="L1607" s="13"/>
    </row>
    <row r="1608">
      <c r="A1608" s="13">
        <v>1606.0</v>
      </c>
      <c r="B1608" s="13">
        <v>1051.0</v>
      </c>
      <c r="C1608" s="13">
        <v>58.0</v>
      </c>
      <c r="D1608" s="12" t="s">
        <v>2781</v>
      </c>
      <c r="E1608" s="12" t="s">
        <v>2782</v>
      </c>
      <c r="F1608" s="13">
        <v>4.0</v>
      </c>
      <c r="G1608" s="13">
        <v>1.0</v>
      </c>
      <c r="H1608" s="13">
        <v>4.0</v>
      </c>
      <c r="I1608" s="13" t="s">
        <v>41</v>
      </c>
      <c r="J1608" s="13" t="s">
        <v>42</v>
      </c>
      <c r="K1608" s="13" t="s">
        <v>43</v>
      </c>
      <c r="L1608" s="13"/>
    </row>
    <row r="1609">
      <c r="A1609" s="13">
        <v>1607.0</v>
      </c>
      <c r="B1609" s="13">
        <v>833.0</v>
      </c>
      <c r="C1609" s="13">
        <v>66.0</v>
      </c>
      <c r="D1609" s="12"/>
      <c r="E1609" s="12" t="s">
        <v>2783</v>
      </c>
      <c r="F1609" s="13">
        <v>5.0</v>
      </c>
      <c r="G1609" s="13">
        <v>1.0</v>
      </c>
      <c r="H1609" s="13">
        <v>15.0</v>
      </c>
      <c r="I1609" s="13" t="s">
        <v>35</v>
      </c>
      <c r="J1609" s="13" t="s">
        <v>46</v>
      </c>
      <c r="K1609" s="13" t="s">
        <v>47</v>
      </c>
      <c r="L1609" s="13"/>
    </row>
    <row r="1610">
      <c r="A1610" s="13">
        <v>1608.0</v>
      </c>
      <c r="B1610" s="13">
        <v>1051.0</v>
      </c>
      <c r="C1610" s="13">
        <v>53.0</v>
      </c>
      <c r="D1610" s="12" t="s">
        <v>2784</v>
      </c>
      <c r="E1610" s="12" t="s">
        <v>2785</v>
      </c>
      <c r="F1610" s="13">
        <v>5.0</v>
      </c>
      <c r="G1610" s="13">
        <v>1.0</v>
      </c>
      <c r="H1610" s="13">
        <v>1.0</v>
      </c>
      <c r="I1610" s="13" t="s">
        <v>41</v>
      </c>
      <c r="J1610" s="13" t="s">
        <v>42</v>
      </c>
      <c r="K1610" s="13" t="s">
        <v>43</v>
      </c>
      <c r="L1610" s="13"/>
    </row>
    <row r="1611">
      <c r="A1611" s="13">
        <v>1609.0</v>
      </c>
      <c r="B1611" s="13">
        <v>1059.0</v>
      </c>
      <c r="C1611" s="13">
        <v>40.0</v>
      </c>
      <c r="D1611" s="12" t="s">
        <v>2786</v>
      </c>
      <c r="E1611" s="12" t="s">
        <v>2787</v>
      </c>
      <c r="F1611" s="13">
        <v>5.0</v>
      </c>
      <c r="G1611" s="13">
        <v>1.0</v>
      </c>
      <c r="H1611" s="13">
        <v>0.0</v>
      </c>
      <c r="I1611" s="13" t="s">
        <v>41</v>
      </c>
      <c r="J1611" s="13" t="s">
        <v>42</v>
      </c>
      <c r="K1611" s="13" t="s">
        <v>43</v>
      </c>
      <c r="L1611" s="13"/>
    </row>
    <row r="1612">
      <c r="A1612" s="13">
        <v>1610.0</v>
      </c>
      <c r="B1612" s="13">
        <v>1051.0</v>
      </c>
      <c r="C1612" s="13">
        <v>30.0</v>
      </c>
      <c r="D1612" s="12" t="s">
        <v>355</v>
      </c>
      <c r="E1612" s="12" t="s">
        <v>2788</v>
      </c>
      <c r="F1612" s="13">
        <v>4.0</v>
      </c>
      <c r="G1612" s="13">
        <v>1.0</v>
      </c>
      <c r="H1612" s="13">
        <v>0.0</v>
      </c>
      <c r="I1612" s="13" t="s">
        <v>41</v>
      </c>
      <c r="J1612" s="13" t="s">
        <v>42</v>
      </c>
      <c r="K1612" s="13" t="s">
        <v>43</v>
      </c>
      <c r="L1612" s="13"/>
    </row>
    <row r="1613">
      <c r="A1613" s="13">
        <v>1611.0</v>
      </c>
      <c r="B1613" s="13">
        <v>992.0</v>
      </c>
      <c r="C1613" s="13">
        <v>50.0</v>
      </c>
      <c r="D1613" s="12"/>
      <c r="E1613" s="12"/>
      <c r="F1613" s="13">
        <v>5.0</v>
      </c>
      <c r="G1613" s="13">
        <v>1.0</v>
      </c>
      <c r="H1613" s="13">
        <v>0.0</v>
      </c>
      <c r="I1613" s="13" t="s">
        <v>41</v>
      </c>
      <c r="J1613" s="13" t="s">
        <v>42</v>
      </c>
      <c r="K1613" s="13" t="s">
        <v>98</v>
      </c>
      <c r="L1613" s="13"/>
    </row>
    <row r="1614">
      <c r="A1614" s="13">
        <v>1612.0</v>
      </c>
      <c r="B1614" s="13">
        <v>1051.0</v>
      </c>
      <c r="C1614" s="13">
        <v>33.0</v>
      </c>
      <c r="D1614" s="12" t="s">
        <v>2789</v>
      </c>
      <c r="E1614" s="12" t="s">
        <v>2790</v>
      </c>
      <c r="F1614" s="13">
        <v>5.0</v>
      </c>
      <c r="G1614" s="13">
        <v>1.0</v>
      </c>
      <c r="H1614" s="13">
        <v>20.0</v>
      </c>
      <c r="I1614" s="13" t="s">
        <v>41</v>
      </c>
      <c r="J1614" s="13" t="s">
        <v>42</v>
      </c>
      <c r="K1614" s="13" t="s">
        <v>43</v>
      </c>
      <c r="L1614" s="13"/>
    </row>
    <row r="1615">
      <c r="A1615" s="13">
        <v>1613.0</v>
      </c>
      <c r="B1615" s="13">
        <v>1053.0</v>
      </c>
      <c r="C1615" s="13">
        <v>33.0</v>
      </c>
      <c r="D1615" s="12" t="s">
        <v>2791</v>
      </c>
      <c r="E1615" s="12" t="s">
        <v>2792</v>
      </c>
      <c r="F1615" s="13">
        <v>4.0</v>
      </c>
      <c r="G1615" s="13">
        <v>1.0</v>
      </c>
      <c r="H1615" s="13">
        <v>0.0</v>
      </c>
      <c r="I1615" s="13" t="s">
        <v>35</v>
      </c>
      <c r="J1615" s="13" t="s">
        <v>42</v>
      </c>
      <c r="K1615" s="13" t="s">
        <v>43</v>
      </c>
      <c r="L1615" s="13"/>
    </row>
    <row r="1616">
      <c r="A1616" s="13">
        <v>1614.0</v>
      </c>
      <c r="B1616" s="13">
        <v>1059.0</v>
      </c>
      <c r="C1616" s="13">
        <v>43.0</v>
      </c>
      <c r="D1616" s="12" t="s">
        <v>2793</v>
      </c>
      <c r="E1616" s="12" t="s">
        <v>2794</v>
      </c>
      <c r="F1616" s="13">
        <v>5.0</v>
      </c>
      <c r="G1616" s="13">
        <v>1.0</v>
      </c>
      <c r="H1616" s="13">
        <v>0.0</v>
      </c>
      <c r="I1616" s="13" t="s">
        <v>35</v>
      </c>
      <c r="J1616" s="13" t="s">
        <v>42</v>
      </c>
      <c r="K1616" s="13" t="s">
        <v>43</v>
      </c>
      <c r="L1616" s="13"/>
    </row>
    <row r="1617">
      <c r="A1617" s="13">
        <v>1615.0</v>
      </c>
      <c r="B1617" s="13">
        <v>825.0</v>
      </c>
      <c r="C1617" s="13">
        <v>45.0</v>
      </c>
      <c r="D1617" s="12" t="s">
        <v>480</v>
      </c>
      <c r="E1617" s="12" t="s">
        <v>2795</v>
      </c>
      <c r="F1617" s="13">
        <v>5.0</v>
      </c>
      <c r="G1617" s="13">
        <v>1.0</v>
      </c>
      <c r="H1617" s="13">
        <v>2.0</v>
      </c>
      <c r="I1617" s="13" t="s">
        <v>41</v>
      </c>
      <c r="J1617" s="13" t="s">
        <v>46</v>
      </c>
      <c r="K1617" s="13" t="s">
        <v>47</v>
      </c>
      <c r="L1617" s="13"/>
    </row>
    <row r="1618">
      <c r="A1618" s="13">
        <v>1616.0</v>
      </c>
      <c r="B1618" s="13">
        <v>1059.0</v>
      </c>
      <c r="C1618" s="13">
        <v>85.0</v>
      </c>
      <c r="D1618" s="12" t="s">
        <v>2796</v>
      </c>
      <c r="E1618" s="12" t="s">
        <v>2797</v>
      </c>
      <c r="F1618" s="13">
        <v>2.0</v>
      </c>
      <c r="G1618" s="13">
        <v>1.0</v>
      </c>
      <c r="H1618" s="13">
        <v>2.0</v>
      </c>
      <c r="I1618" s="13" t="s">
        <v>35</v>
      </c>
      <c r="J1618" s="13" t="s">
        <v>42</v>
      </c>
      <c r="K1618" s="13" t="s">
        <v>43</v>
      </c>
      <c r="L1618" s="13"/>
    </row>
    <row r="1619">
      <c r="A1619" s="13">
        <v>1617.0</v>
      </c>
      <c r="B1619" s="13">
        <v>1094.0</v>
      </c>
      <c r="C1619" s="13">
        <v>27.0</v>
      </c>
      <c r="D1619" s="12" t="s">
        <v>2798</v>
      </c>
      <c r="E1619" s="12" t="s">
        <v>2799</v>
      </c>
      <c r="F1619" s="13">
        <v>5.0</v>
      </c>
      <c r="G1619" s="13">
        <v>1.0</v>
      </c>
      <c r="H1619" s="13">
        <v>0.0</v>
      </c>
      <c r="I1619" s="13" t="s">
        <v>41</v>
      </c>
      <c r="J1619" s="13" t="s">
        <v>36</v>
      </c>
      <c r="K1619" s="13" t="s">
        <v>36</v>
      </c>
      <c r="L1619" s="13"/>
    </row>
    <row r="1620">
      <c r="A1620" s="13">
        <v>1618.0</v>
      </c>
      <c r="B1620" s="13">
        <v>942.0</v>
      </c>
      <c r="C1620" s="13">
        <v>34.0</v>
      </c>
      <c r="D1620" s="12" t="s">
        <v>2800</v>
      </c>
      <c r="E1620" s="12" t="s">
        <v>2801</v>
      </c>
      <c r="F1620" s="13">
        <v>2.0</v>
      </c>
      <c r="G1620" s="13">
        <v>0.0</v>
      </c>
      <c r="H1620" s="13">
        <v>1.0</v>
      </c>
      <c r="I1620" s="13" t="s">
        <v>35</v>
      </c>
      <c r="J1620" s="13" t="s">
        <v>46</v>
      </c>
      <c r="K1620" s="13" t="s">
        <v>95</v>
      </c>
      <c r="L1620" s="13"/>
    </row>
    <row r="1621">
      <c r="A1621" s="13">
        <v>1619.0</v>
      </c>
      <c r="B1621" s="13">
        <v>1078.0</v>
      </c>
      <c r="C1621" s="13">
        <v>49.0</v>
      </c>
      <c r="D1621" s="12" t="s">
        <v>2802</v>
      </c>
      <c r="E1621" s="12" t="s">
        <v>2803</v>
      </c>
      <c r="F1621" s="13">
        <v>4.0</v>
      </c>
      <c r="G1621" s="13">
        <v>1.0</v>
      </c>
      <c r="H1621" s="13">
        <v>0.0</v>
      </c>
      <c r="I1621" s="13" t="s">
        <v>41</v>
      </c>
      <c r="J1621" s="13" t="s">
        <v>36</v>
      </c>
      <c r="K1621" s="13" t="s">
        <v>36</v>
      </c>
      <c r="L1621" s="13"/>
    </row>
    <row r="1622">
      <c r="A1622" s="13">
        <v>1620.0</v>
      </c>
      <c r="B1622" s="13">
        <v>992.0</v>
      </c>
      <c r="C1622" s="13">
        <v>66.0</v>
      </c>
      <c r="D1622" s="12" t="s">
        <v>2804</v>
      </c>
      <c r="E1622" s="12" t="s">
        <v>2805</v>
      </c>
      <c r="F1622" s="13">
        <v>4.0</v>
      </c>
      <c r="G1622" s="13">
        <v>1.0</v>
      </c>
      <c r="H1622" s="13">
        <v>0.0</v>
      </c>
      <c r="I1622" s="13" t="s">
        <v>41</v>
      </c>
      <c r="J1622" s="13" t="s">
        <v>42</v>
      </c>
      <c r="K1622" s="13" t="s">
        <v>98</v>
      </c>
      <c r="L1622" s="13"/>
    </row>
    <row r="1623">
      <c r="A1623" s="13">
        <v>1621.0</v>
      </c>
      <c r="B1623" s="13">
        <v>833.0</v>
      </c>
      <c r="C1623" s="13">
        <v>24.0</v>
      </c>
      <c r="D1623" s="12" t="s">
        <v>2806</v>
      </c>
      <c r="E1623" s="12" t="s">
        <v>2807</v>
      </c>
      <c r="F1623" s="13">
        <v>3.0</v>
      </c>
      <c r="G1623" s="13">
        <v>1.0</v>
      </c>
      <c r="H1623" s="13">
        <v>0.0</v>
      </c>
      <c r="I1623" s="13" t="s">
        <v>35</v>
      </c>
      <c r="J1623" s="13" t="s">
        <v>46</v>
      </c>
      <c r="K1623" s="13" t="s">
        <v>47</v>
      </c>
      <c r="L1623" s="13"/>
    </row>
    <row r="1624">
      <c r="A1624" s="13">
        <v>1622.0</v>
      </c>
      <c r="B1624" s="13">
        <v>1059.0</v>
      </c>
      <c r="C1624" s="13">
        <v>44.0</v>
      </c>
      <c r="D1624" s="12" t="s">
        <v>2808</v>
      </c>
      <c r="E1624" s="12" t="s">
        <v>2809</v>
      </c>
      <c r="F1624" s="13">
        <v>5.0</v>
      </c>
      <c r="G1624" s="13">
        <v>1.0</v>
      </c>
      <c r="H1624" s="13">
        <v>0.0</v>
      </c>
      <c r="I1624" s="13" t="s">
        <v>35</v>
      </c>
      <c r="J1624" s="13" t="s">
        <v>42</v>
      </c>
      <c r="K1624" s="13" t="s">
        <v>43</v>
      </c>
      <c r="L1624" s="13"/>
    </row>
    <row r="1625">
      <c r="A1625" s="13">
        <v>1623.0</v>
      </c>
      <c r="B1625" s="13">
        <v>1059.0</v>
      </c>
      <c r="C1625" s="13">
        <v>26.0</v>
      </c>
      <c r="D1625" s="12" t="s">
        <v>2810</v>
      </c>
      <c r="E1625" s="12" t="s">
        <v>2811</v>
      </c>
      <c r="F1625" s="13">
        <v>5.0</v>
      </c>
      <c r="G1625" s="13">
        <v>1.0</v>
      </c>
      <c r="H1625" s="13">
        <v>0.0</v>
      </c>
      <c r="I1625" s="13" t="s">
        <v>35</v>
      </c>
      <c r="J1625" s="13" t="s">
        <v>42</v>
      </c>
      <c r="K1625" s="13" t="s">
        <v>43</v>
      </c>
      <c r="L1625" s="13"/>
    </row>
    <row r="1626">
      <c r="A1626" s="13">
        <v>1624.0</v>
      </c>
      <c r="B1626" s="13">
        <v>1059.0</v>
      </c>
      <c r="C1626" s="13">
        <v>58.0</v>
      </c>
      <c r="D1626" s="12" t="s">
        <v>2812</v>
      </c>
      <c r="E1626" s="12" t="s">
        <v>2813</v>
      </c>
      <c r="F1626" s="13">
        <v>4.0</v>
      </c>
      <c r="G1626" s="13">
        <v>1.0</v>
      </c>
      <c r="H1626" s="13">
        <v>3.0</v>
      </c>
      <c r="I1626" s="13" t="s">
        <v>35</v>
      </c>
      <c r="J1626" s="13" t="s">
        <v>42</v>
      </c>
      <c r="K1626" s="13" t="s">
        <v>43</v>
      </c>
      <c r="L1626" s="13"/>
    </row>
    <row r="1627">
      <c r="A1627" s="13">
        <v>1625.0</v>
      </c>
      <c r="B1627" s="13">
        <v>1078.0</v>
      </c>
      <c r="C1627" s="13">
        <v>44.0</v>
      </c>
      <c r="D1627" s="12" t="s">
        <v>2814</v>
      </c>
      <c r="E1627" s="12" t="s">
        <v>2815</v>
      </c>
      <c r="F1627" s="13">
        <v>4.0</v>
      </c>
      <c r="G1627" s="13">
        <v>1.0</v>
      </c>
      <c r="H1627" s="13">
        <v>8.0</v>
      </c>
      <c r="I1627" s="13" t="s">
        <v>41</v>
      </c>
      <c r="J1627" s="13" t="s">
        <v>36</v>
      </c>
      <c r="K1627" s="13" t="s">
        <v>36</v>
      </c>
      <c r="L1627" s="13"/>
    </row>
    <row r="1628">
      <c r="A1628" s="13">
        <v>1626.0</v>
      </c>
      <c r="B1628" s="13">
        <v>1051.0</v>
      </c>
      <c r="C1628" s="13">
        <v>37.0</v>
      </c>
      <c r="D1628" s="12" t="s">
        <v>220</v>
      </c>
      <c r="E1628" s="12" t="s">
        <v>2816</v>
      </c>
      <c r="F1628" s="13">
        <v>4.0</v>
      </c>
      <c r="G1628" s="13">
        <v>1.0</v>
      </c>
      <c r="H1628" s="13">
        <v>2.0</v>
      </c>
      <c r="I1628" s="13" t="s">
        <v>41</v>
      </c>
      <c r="J1628" s="13" t="s">
        <v>42</v>
      </c>
      <c r="K1628" s="13" t="s">
        <v>43</v>
      </c>
      <c r="L1628" s="13"/>
    </row>
    <row r="1629">
      <c r="A1629" s="13">
        <v>1627.0</v>
      </c>
      <c r="B1629" s="13">
        <v>1059.0</v>
      </c>
      <c r="C1629" s="13">
        <v>47.0</v>
      </c>
      <c r="D1629" s="12" t="s">
        <v>586</v>
      </c>
      <c r="E1629" s="12" t="s">
        <v>2817</v>
      </c>
      <c r="F1629" s="13">
        <v>4.0</v>
      </c>
      <c r="G1629" s="13">
        <v>1.0</v>
      </c>
      <c r="H1629" s="13">
        <v>1.0</v>
      </c>
      <c r="I1629" s="13" t="s">
        <v>35</v>
      </c>
      <c r="J1629" s="13" t="s">
        <v>42</v>
      </c>
      <c r="K1629" s="13" t="s">
        <v>43</v>
      </c>
      <c r="L1629" s="13"/>
    </row>
    <row r="1630">
      <c r="A1630" s="13">
        <v>1628.0</v>
      </c>
      <c r="B1630" s="13">
        <v>1059.0</v>
      </c>
      <c r="C1630" s="13">
        <v>32.0</v>
      </c>
      <c r="D1630" s="12" t="s">
        <v>2818</v>
      </c>
      <c r="E1630" s="12" t="s">
        <v>2819</v>
      </c>
      <c r="F1630" s="13">
        <v>4.0</v>
      </c>
      <c r="G1630" s="13">
        <v>1.0</v>
      </c>
      <c r="H1630" s="13">
        <v>0.0</v>
      </c>
      <c r="I1630" s="13" t="s">
        <v>35</v>
      </c>
      <c r="J1630" s="13" t="s">
        <v>42</v>
      </c>
      <c r="K1630" s="13" t="s">
        <v>43</v>
      </c>
      <c r="L1630" s="13"/>
    </row>
    <row r="1631">
      <c r="A1631" s="13">
        <v>1629.0</v>
      </c>
      <c r="B1631" s="13">
        <v>1051.0</v>
      </c>
      <c r="C1631" s="13">
        <v>35.0</v>
      </c>
      <c r="D1631" s="12" t="s">
        <v>2820</v>
      </c>
      <c r="E1631" s="12" t="s">
        <v>2821</v>
      </c>
      <c r="F1631" s="13">
        <v>5.0</v>
      </c>
      <c r="G1631" s="13">
        <v>1.0</v>
      </c>
      <c r="H1631" s="13">
        <v>11.0</v>
      </c>
      <c r="I1631" s="13" t="s">
        <v>41</v>
      </c>
      <c r="J1631" s="13" t="s">
        <v>42</v>
      </c>
      <c r="K1631" s="13" t="s">
        <v>43</v>
      </c>
      <c r="L1631" s="13"/>
    </row>
    <row r="1632">
      <c r="A1632" s="13">
        <v>1630.0</v>
      </c>
      <c r="B1632" s="13">
        <v>833.0</v>
      </c>
      <c r="C1632" s="13">
        <v>56.0</v>
      </c>
      <c r="D1632" s="12" t="s">
        <v>1921</v>
      </c>
      <c r="E1632" s="12" t="s">
        <v>2822</v>
      </c>
      <c r="F1632" s="13">
        <v>5.0</v>
      </c>
      <c r="G1632" s="13">
        <v>1.0</v>
      </c>
      <c r="H1632" s="13">
        <v>7.0</v>
      </c>
      <c r="I1632" s="13" t="s">
        <v>35</v>
      </c>
      <c r="J1632" s="13" t="s">
        <v>46</v>
      </c>
      <c r="K1632" s="13" t="s">
        <v>47</v>
      </c>
      <c r="L1632" s="13"/>
    </row>
    <row r="1633">
      <c r="A1633" s="13">
        <v>1631.0</v>
      </c>
      <c r="B1633" s="13">
        <v>1094.0</v>
      </c>
      <c r="C1633" s="13">
        <v>34.0</v>
      </c>
      <c r="D1633" s="12" t="s">
        <v>1748</v>
      </c>
      <c r="E1633" s="12" t="s">
        <v>2823</v>
      </c>
      <c r="F1633" s="13">
        <v>5.0</v>
      </c>
      <c r="G1633" s="13">
        <v>1.0</v>
      </c>
      <c r="H1633" s="13">
        <v>18.0</v>
      </c>
      <c r="I1633" s="13" t="s">
        <v>41</v>
      </c>
      <c r="J1633" s="13" t="s">
        <v>36</v>
      </c>
      <c r="K1633" s="13" t="s">
        <v>36</v>
      </c>
      <c r="L1633" s="13"/>
    </row>
    <row r="1634">
      <c r="A1634" s="13">
        <v>1632.0</v>
      </c>
      <c r="B1634" s="13">
        <v>992.0</v>
      </c>
      <c r="C1634" s="13">
        <v>34.0</v>
      </c>
      <c r="D1634" s="12" t="s">
        <v>2810</v>
      </c>
      <c r="E1634" s="12" t="s">
        <v>2824</v>
      </c>
      <c r="F1634" s="13">
        <v>4.0</v>
      </c>
      <c r="G1634" s="13">
        <v>1.0</v>
      </c>
      <c r="H1634" s="13">
        <v>0.0</v>
      </c>
      <c r="I1634" s="13" t="s">
        <v>41</v>
      </c>
      <c r="J1634" s="13" t="s">
        <v>42</v>
      </c>
      <c r="K1634" s="13" t="s">
        <v>98</v>
      </c>
      <c r="L1634" s="13"/>
    </row>
    <row r="1635">
      <c r="A1635" s="13">
        <v>1633.0</v>
      </c>
      <c r="B1635" s="13">
        <v>1094.0</v>
      </c>
      <c r="C1635" s="13">
        <v>37.0</v>
      </c>
      <c r="D1635" s="12" t="s">
        <v>2825</v>
      </c>
      <c r="E1635" s="12" t="s">
        <v>2826</v>
      </c>
      <c r="F1635" s="13">
        <v>5.0</v>
      </c>
      <c r="G1635" s="13">
        <v>1.0</v>
      </c>
      <c r="H1635" s="13">
        <v>12.0</v>
      </c>
      <c r="I1635" s="13" t="s">
        <v>41</v>
      </c>
      <c r="J1635" s="13" t="s">
        <v>36</v>
      </c>
      <c r="K1635" s="13" t="s">
        <v>36</v>
      </c>
      <c r="L1635" s="13"/>
    </row>
    <row r="1636">
      <c r="A1636" s="13">
        <v>1634.0</v>
      </c>
      <c r="B1636" s="13">
        <v>1094.0</v>
      </c>
      <c r="C1636" s="13">
        <v>34.0</v>
      </c>
      <c r="D1636" s="12" t="s">
        <v>2827</v>
      </c>
      <c r="E1636" s="12" t="s">
        <v>2828</v>
      </c>
      <c r="F1636" s="13">
        <v>5.0</v>
      </c>
      <c r="G1636" s="13">
        <v>1.0</v>
      </c>
      <c r="H1636" s="13">
        <v>33.0</v>
      </c>
      <c r="I1636" s="13" t="s">
        <v>41</v>
      </c>
      <c r="J1636" s="13" t="s">
        <v>36</v>
      </c>
      <c r="K1636" s="13" t="s">
        <v>36</v>
      </c>
      <c r="L1636" s="13"/>
    </row>
    <row r="1637">
      <c r="A1637" s="13">
        <v>1635.0</v>
      </c>
      <c r="B1637" s="13">
        <v>942.0</v>
      </c>
      <c r="C1637" s="13">
        <v>38.0</v>
      </c>
      <c r="D1637" s="12" t="s">
        <v>2829</v>
      </c>
      <c r="E1637" s="12" t="s">
        <v>2830</v>
      </c>
      <c r="F1637" s="13">
        <v>2.0</v>
      </c>
      <c r="G1637" s="13">
        <v>0.0</v>
      </c>
      <c r="H1637" s="13">
        <v>6.0</v>
      </c>
      <c r="I1637" s="13" t="s">
        <v>35</v>
      </c>
      <c r="J1637" s="13" t="s">
        <v>46</v>
      </c>
      <c r="K1637" s="13" t="s">
        <v>95</v>
      </c>
      <c r="L1637" s="13"/>
    </row>
    <row r="1638">
      <c r="A1638" s="13">
        <v>1636.0</v>
      </c>
      <c r="B1638" s="13">
        <v>878.0</v>
      </c>
      <c r="C1638" s="13">
        <v>35.0</v>
      </c>
      <c r="D1638" s="12" t="s">
        <v>1874</v>
      </c>
      <c r="E1638" s="12" t="s">
        <v>2831</v>
      </c>
      <c r="F1638" s="13">
        <v>4.0</v>
      </c>
      <c r="G1638" s="13">
        <v>1.0</v>
      </c>
      <c r="H1638" s="13">
        <v>0.0</v>
      </c>
      <c r="I1638" s="13" t="s">
        <v>35</v>
      </c>
      <c r="J1638" s="13" t="s">
        <v>46</v>
      </c>
      <c r="K1638" s="13" t="s">
        <v>52</v>
      </c>
      <c r="L1638" s="13"/>
    </row>
    <row r="1639">
      <c r="A1639" s="13">
        <v>1637.0</v>
      </c>
      <c r="B1639" s="13">
        <v>992.0</v>
      </c>
      <c r="C1639" s="13">
        <v>53.0</v>
      </c>
      <c r="D1639" s="12" t="s">
        <v>2832</v>
      </c>
      <c r="E1639" s="12" t="s">
        <v>315</v>
      </c>
      <c r="F1639" s="13">
        <v>5.0</v>
      </c>
      <c r="G1639" s="13">
        <v>1.0</v>
      </c>
      <c r="H1639" s="13">
        <v>2.0</v>
      </c>
      <c r="I1639" s="13" t="s">
        <v>41</v>
      </c>
      <c r="J1639" s="13" t="s">
        <v>42</v>
      </c>
      <c r="K1639" s="13" t="s">
        <v>98</v>
      </c>
      <c r="L1639" s="13"/>
    </row>
    <row r="1640">
      <c r="A1640" s="13">
        <v>1638.0</v>
      </c>
      <c r="B1640" s="13">
        <v>1051.0</v>
      </c>
      <c r="C1640" s="13">
        <v>34.0</v>
      </c>
      <c r="D1640" s="12" t="s">
        <v>2833</v>
      </c>
      <c r="E1640" s="12" t="s">
        <v>2834</v>
      </c>
      <c r="F1640" s="13">
        <v>3.0</v>
      </c>
      <c r="G1640" s="13">
        <v>0.0</v>
      </c>
      <c r="H1640" s="13">
        <v>1.0</v>
      </c>
      <c r="I1640" s="13" t="s">
        <v>41</v>
      </c>
      <c r="J1640" s="13" t="s">
        <v>42</v>
      </c>
      <c r="K1640" s="13" t="s">
        <v>43</v>
      </c>
      <c r="L1640" s="13"/>
    </row>
    <row r="1641">
      <c r="A1641" s="13">
        <v>1639.0</v>
      </c>
      <c r="B1641" s="13">
        <v>833.0</v>
      </c>
      <c r="C1641" s="13">
        <v>38.0</v>
      </c>
      <c r="D1641" s="12" t="s">
        <v>271</v>
      </c>
      <c r="E1641" s="12" t="s">
        <v>2835</v>
      </c>
      <c r="F1641" s="13">
        <v>5.0</v>
      </c>
      <c r="G1641" s="13">
        <v>1.0</v>
      </c>
      <c r="H1641" s="13">
        <v>0.0</v>
      </c>
      <c r="I1641" s="13" t="s">
        <v>35</v>
      </c>
      <c r="J1641" s="13" t="s">
        <v>46</v>
      </c>
      <c r="K1641" s="13" t="s">
        <v>47</v>
      </c>
      <c r="L1641" s="13"/>
    </row>
    <row r="1642">
      <c r="A1642" s="13">
        <v>1640.0</v>
      </c>
      <c r="B1642" s="13">
        <v>1051.0</v>
      </c>
      <c r="C1642" s="13">
        <v>38.0</v>
      </c>
      <c r="D1642" s="12" t="s">
        <v>2836</v>
      </c>
      <c r="E1642" s="12" t="s">
        <v>2837</v>
      </c>
      <c r="F1642" s="13">
        <v>3.0</v>
      </c>
      <c r="G1642" s="13">
        <v>1.0</v>
      </c>
      <c r="H1642" s="13">
        <v>5.0</v>
      </c>
      <c r="I1642" s="13" t="s">
        <v>41</v>
      </c>
      <c r="J1642" s="13" t="s">
        <v>42</v>
      </c>
      <c r="K1642" s="13" t="s">
        <v>43</v>
      </c>
      <c r="L1642" s="13"/>
    </row>
    <row r="1643">
      <c r="A1643" s="13">
        <v>1641.0</v>
      </c>
      <c r="B1643" s="13">
        <v>1094.0</v>
      </c>
      <c r="C1643" s="13">
        <v>35.0</v>
      </c>
      <c r="D1643" s="12" t="s">
        <v>480</v>
      </c>
      <c r="E1643" s="12" t="s">
        <v>2838</v>
      </c>
      <c r="F1643" s="13">
        <v>5.0</v>
      </c>
      <c r="G1643" s="13">
        <v>1.0</v>
      </c>
      <c r="H1643" s="13">
        <v>0.0</v>
      </c>
      <c r="I1643" s="13" t="s">
        <v>35</v>
      </c>
      <c r="J1643" s="13" t="s">
        <v>36</v>
      </c>
      <c r="K1643" s="13" t="s">
        <v>36</v>
      </c>
      <c r="L1643" s="13"/>
    </row>
    <row r="1644">
      <c r="A1644" s="13">
        <v>1642.0</v>
      </c>
      <c r="B1644" s="13">
        <v>1059.0</v>
      </c>
      <c r="C1644" s="13">
        <v>52.0</v>
      </c>
      <c r="D1644" s="12" t="s">
        <v>2839</v>
      </c>
      <c r="E1644" s="12" t="s">
        <v>2840</v>
      </c>
      <c r="F1644" s="13">
        <v>5.0</v>
      </c>
      <c r="G1644" s="13">
        <v>1.0</v>
      </c>
      <c r="H1644" s="13">
        <v>2.0</v>
      </c>
      <c r="I1644" s="13" t="s">
        <v>35</v>
      </c>
      <c r="J1644" s="13" t="s">
        <v>42</v>
      </c>
      <c r="K1644" s="13" t="s">
        <v>43</v>
      </c>
      <c r="L1644" s="13"/>
    </row>
    <row r="1645">
      <c r="A1645" s="13">
        <v>1643.0</v>
      </c>
      <c r="B1645" s="13">
        <v>867.0</v>
      </c>
      <c r="C1645" s="13">
        <v>37.0</v>
      </c>
      <c r="D1645" s="12"/>
      <c r="E1645" s="12"/>
      <c r="F1645" s="13">
        <v>4.0</v>
      </c>
      <c r="G1645" s="13">
        <v>1.0</v>
      </c>
      <c r="H1645" s="13">
        <v>0.0</v>
      </c>
      <c r="I1645" s="13" t="s">
        <v>35</v>
      </c>
      <c r="J1645" s="13" t="s">
        <v>46</v>
      </c>
      <c r="K1645" s="13" t="s">
        <v>52</v>
      </c>
      <c r="L1645" s="13"/>
    </row>
    <row r="1646">
      <c r="A1646" s="13">
        <v>1644.0</v>
      </c>
      <c r="B1646" s="13">
        <v>1013.0</v>
      </c>
      <c r="C1646" s="13">
        <v>45.0</v>
      </c>
      <c r="D1646" s="12" t="s">
        <v>2841</v>
      </c>
      <c r="E1646" s="12" t="s">
        <v>2842</v>
      </c>
      <c r="F1646" s="13">
        <v>5.0</v>
      </c>
      <c r="G1646" s="13">
        <v>1.0</v>
      </c>
      <c r="H1646" s="13">
        <v>2.0</v>
      </c>
      <c r="I1646" s="13" t="s">
        <v>35</v>
      </c>
      <c r="J1646" s="13" t="s">
        <v>42</v>
      </c>
      <c r="K1646" s="13" t="s">
        <v>98</v>
      </c>
      <c r="L1646" s="13"/>
    </row>
    <row r="1647">
      <c r="A1647" s="13">
        <v>1645.0</v>
      </c>
      <c r="B1647" s="13">
        <v>1044.0</v>
      </c>
      <c r="C1647" s="13">
        <v>39.0</v>
      </c>
      <c r="D1647" s="12"/>
      <c r="E1647" s="12" t="s">
        <v>2843</v>
      </c>
      <c r="F1647" s="13">
        <v>3.0</v>
      </c>
      <c r="G1647" s="13">
        <v>0.0</v>
      </c>
      <c r="H1647" s="13">
        <v>0.0</v>
      </c>
      <c r="I1647" s="13" t="s">
        <v>35</v>
      </c>
      <c r="J1647" s="13" t="s">
        <v>42</v>
      </c>
      <c r="K1647" s="13" t="s">
        <v>43</v>
      </c>
      <c r="L1647" s="13"/>
    </row>
    <row r="1648">
      <c r="A1648" s="13">
        <v>1646.0</v>
      </c>
      <c r="B1648" s="13">
        <v>835.0</v>
      </c>
      <c r="C1648" s="13">
        <v>32.0</v>
      </c>
      <c r="D1648" s="12" t="s">
        <v>2844</v>
      </c>
      <c r="E1648" s="12" t="s">
        <v>2845</v>
      </c>
      <c r="F1648" s="13">
        <v>1.0</v>
      </c>
      <c r="G1648" s="13">
        <v>0.0</v>
      </c>
      <c r="H1648" s="13">
        <v>0.0</v>
      </c>
      <c r="I1648" s="13" t="s">
        <v>41</v>
      </c>
      <c r="J1648" s="13" t="s">
        <v>46</v>
      </c>
      <c r="K1648" s="13" t="s">
        <v>47</v>
      </c>
      <c r="L1648" s="13"/>
    </row>
    <row r="1649">
      <c r="A1649" s="13">
        <v>1647.0</v>
      </c>
      <c r="B1649" s="13">
        <v>1059.0</v>
      </c>
      <c r="C1649" s="13">
        <v>36.0</v>
      </c>
      <c r="D1649" s="12" t="s">
        <v>898</v>
      </c>
      <c r="E1649" s="12" t="s">
        <v>2846</v>
      </c>
      <c r="F1649" s="13">
        <v>5.0</v>
      </c>
      <c r="G1649" s="13">
        <v>1.0</v>
      </c>
      <c r="H1649" s="13">
        <v>1.0</v>
      </c>
      <c r="I1649" s="13" t="s">
        <v>35</v>
      </c>
      <c r="J1649" s="13" t="s">
        <v>42</v>
      </c>
      <c r="K1649" s="13" t="s">
        <v>43</v>
      </c>
      <c r="L1649" s="13"/>
    </row>
    <row r="1650">
      <c r="A1650" s="13">
        <v>1648.0</v>
      </c>
      <c r="B1650" s="13">
        <v>835.0</v>
      </c>
      <c r="C1650" s="13">
        <v>39.0</v>
      </c>
      <c r="D1650" s="12" t="s">
        <v>2847</v>
      </c>
      <c r="E1650" s="12" t="s">
        <v>2848</v>
      </c>
      <c r="F1650" s="13">
        <v>5.0</v>
      </c>
      <c r="G1650" s="13">
        <v>1.0</v>
      </c>
      <c r="H1650" s="13">
        <v>2.0</v>
      </c>
      <c r="I1650" s="13" t="s">
        <v>41</v>
      </c>
      <c r="J1650" s="13" t="s">
        <v>46</v>
      </c>
      <c r="K1650" s="13" t="s">
        <v>47</v>
      </c>
      <c r="L1650" s="13"/>
    </row>
    <row r="1651">
      <c r="A1651" s="13">
        <v>1649.0</v>
      </c>
      <c r="B1651" s="13">
        <v>857.0</v>
      </c>
      <c r="C1651" s="13">
        <v>29.0</v>
      </c>
      <c r="D1651" s="12"/>
      <c r="E1651" s="12" t="s">
        <v>2849</v>
      </c>
      <c r="F1651" s="13">
        <v>5.0</v>
      </c>
      <c r="G1651" s="13">
        <v>1.0</v>
      </c>
      <c r="H1651" s="13">
        <v>0.0</v>
      </c>
      <c r="I1651" s="13" t="s">
        <v>41</v>
      </c>
      <c r="J1651" s="13" t="s">
        <v>46</v>
      </c>
      <c r="K1651" s="13" t="s">
        <v>52</v>
      </c>
      <c r="L1651" s="13"/>
    </row>
    <row r="1652">
      <c r="A1652" s="13">
        <v>1650.0</v>
      </c>
      <c r="B1652" s="13">
        <v>867.0</v>
      </c>
      <c r="C1652" s="13">
        <v>35.0</v>
      </c>
      <c r="D1652" s="12"/>
      <c r="E1652" s="12" t="s">
        <v>2850</v>
      </c>
      <c r="F1652" s="13">
        <v>5.0</v>
      </c>
      <c r="G1652" s="13">
        <v>1.0</v>
      </c>
      <c r="H1652" s="13">
        <v>1.0</v>
      </c>
      <c r="I1652" s="13" t="s">
        <v>35</v>
      </c>
      <c r="J1652" s="13" t="s">
        <v>46</v>
      </c>
      <c r="K1652" s="13" t="s">
        <v>52</v>
      </c>
      <c r="L1652" s="13"/>
    </row>
    <row r="1653">
      <c r="A1653" s="13">
        <v>1651.0</v>
      </c>
      <c r="B1653" s="13">
        <v>1104.0</v>
      </c>
      <c r="C1653" s="13">
        <v>41.0</v>
      </c>
      <c r="D1653" s="12" t="s">
        <v>2851</v>
      </c>
      <c r="E1653" s="12" t="s">
        <v>2852</v>
      </c>
      <c r="F1653" s="13">
        <v>4.0</v>
      </c>
      <c r="G1653" s="13">
        <v>1.0</v>
      </c>
      <c r="H1653" s="13">
        <v>0.0</v>
      </c>
      <c r="I1653" s="13" t="s">
        <v>41</v>
      </c>
      <c r="J1653" s="13" t="s">
        <v>36</v>
      </c>
      <c r="K1653" s="13" t="s">
        <v>36</v>
      </c>
      <c r="L1653" s="13"/>
    </row>
    <row r="1654">
      <c r="A1654" s="13">
        <v>1652.0</v>
      </c>
      <c r="B1654" s="13">
        <v>835.0</v>
      </c>
      <c r="C1654" s="13">
        <v>31.0</v>
      </c>
      <c r="D1654" s="12" t="s">
        <v>1399</v>
      </c>
      <c r="E1654" s="12" t="s">
        <v>2853</v>
      </c>
      <c r="F1654" s="13">
        <v>4.0</v>
      </c>
      <c r="G1654" s="13">
        <v>1.0</v>
      </c>
      <c r="H1654" s="13">
        <v>1.0</v>
      </c>
      <c r="I1654" s="13" t="s">
        <v>41</v>
      </c>
      <c r="J1654" s="13" t="s">
        <v>46</v>
      </c>
      <c r="K1654" s="13" t="s">
        <v>47</v>
      </c>
      <c r="L1654" s="13"/>
    </row>
    <row r="1655">
      <c r="A1655" s="13">
        <v>1653.0</v>
      </c>
      <c r="B1655" s="13">
        <v>835.0</v>
      </c>
      <c r="C1655" s="13">
        <v>46.0</v>
      </c>
      <c r="D1655" s="12" t="s">
        <v>2854</v>
      </c>
      <c r="E1655" s="12" t="s">
        <v>2855</v>
      </c>
      <c r="F1655" s="13">
        <v>4.0</v>
      </c>
      <c r="G1655" s="13">
        <v>1.0</v>
      </c>
      <c r="H1655" s="13">
        <v>7.0</v>
      </c>
      <c r="I1655" s="13" t="s">
        <v>41</v>
      </c>
      <c r="J1655" s="13" t="s">
        <v>46</v>
      </c>
      <c r="K1655" s="13" t="s">
        <v>47</v>
      </c>
      <c r="L1655" s="13"/>
    </row>
    <row r="1656">
      <c r="A1656" s="13">
        <v>1654.0</v>
      </c>
      <c r="B1656" s="13">
        <v>434.0</v>
      </c>
      <c r="C1656" s="13">
        <v>37.0</v>
      </c>
      <c r="D1656" s="12" t="s">
        <v>2856</v>
      </c>
      <c r="E1656" s="12" t="s">
        <v>2857</v>
      </c>
      <c r="F1656" s="13">
        <v>3.0</v>
      </c>
      <c r="G1656" s="13">
        <v>0.0</v>
      </c>
      <c r="H1656" s="13">
        <v>1.0</v>
      </c>
      <c r="I1656" s="13" t="s">
        <v>31</v>
      </c>
      <c r="J1656" s="13" t="s">
        <v>32</v>
      </c>
      <c r="K1656" s="13" t="s">
        <v>92</v>
      </c>
      <c r="L1656" s="13"/>
    </row>
    <row r="1657">
      <c r="A1657" s="13">
        <v>1655.0</v>
      </c>
      <c r="B1657" s="13">
        <v>878.0</v>
      </c>
      <c r="C1657" s="13">
        <v>41.0</v>
      </c>
      <c r="D1657" s="12" t="s">
        <v>2858</v>
      </c>
      <c r="E1657" s="12" t="s">
        <v>2859</v>
      </c>
      <c r="F1657" s="13">
        <v>3.0</v>
      </c>
      <c r="G1657" s="13">
        <v>1.0</v>
      </c>
      <c r="H1657" s="13">
        <v>0.0</v>
      </c>
      <c r="I1657" s="13" t="s">
        <v>35</v>
      </c>
      <c r="J1657" s="13" t="s">
        <v>46</v>
      </c>
      <c r="K1657" s="13" t="s">
        <v>52</v>
      </c>
      <c r="L1657" s="13"/>
    </row>
    <row r="1658">
      <c r="A1658" s="13">
        <v>1656.0</v>
      </c>
      <c r="B1658" s="13">
        <v>1020.0</v>
      </c>
      <c r="C1658" s="13">
        <v>55.0</v>
      </c>
      <c r="D1658" s="12" t="s">
        <v>2860</v>
      </c>
      <c r="E1658" s="12" t="s">
        <v>2861</v>
      </c>
      <c r="F1658" s="13">
        <v>5.0</v>
      </c>
      <c r="G1658" s="13">
        <v>1.0</v>
      </c>
      <c r="H1658" s="13">
        <v>0.0</v>
      </c>
      <c r="I1658" s="13" t="s">
        <v>35</v>
      </c>
      <c r="J1658" s="13" t="s">
        <v>42</v>
      </c>
      <c r="K1658" s="13" t="s">
        <v>98</v>
      </c>
      <c r="L1658" s="13"/>
    </row>
    <row r="1659">
      <c r="A1659" s="13">
        <v>1657.0</v>
      </c>
      <c r="B1659" s="13">
        <v>867.0</v>
      </c>
      <c r="C1659" s="13">
        <v>26.0</v>
      </c>
      <c r="D1659" s="12" t="s">
        <v>2862</v>
      </c>
      <c r="E1659" s="12" t="s">
        <v>2863</v>
      </c>
      <c r="F1659" s="13">
        <v>4.0</v>
      </c>
      <c r="G1659" s="13">
        <v>1.0</v>
      </c>
      <c r="H1659" s="13">
        <v>0.0</v>
      </c>
      <c r="I1659" s="13" t="s">
        <v>35</v>
      </c>
      <c r="J1659" s="13" t="s">
        <v>46</v>
      </c>
      <c r="K1659" s="13" t="s">
        <v>52</v>
      </c>
      <c r="L1659" s="13"/>
    </row>
    <row r="1660">
      <c r="A1660" s="13">
        <v>1658.0</v>
      </c>
      <c r="B1660" s="13">
        <v>1104.0</v>
      </c>
      <c r="C1660" s="13">
        <v>51.0</v>
      </c>
      <c r="D1660" s="12" t="s">
        <v>2864</v>
      </c>
      <c r="E1660" s="12" t="s">
        <v>2865</v>
      </c>
      <c r="F1660" s="13">
        <v>3.0</v>
      </c>
      <c r="G1660" s="13">
        <v>0.0</v>
      </c>
      <c r="H1660" s="13">
        <v>11.0</v>
      </c>
      <c r="I1660" s="13" t="s">
        <v>41</v>
      </c>
      <c r="J1660" s="13" t="s">
        <v>36</v>
      </c>
      <c r="K1660" s="13" t="s">
        <v>36</v>
      </c>
      <c r="L1660" s="13"/>
    </row>
    <row r="1661">
      <c r="A1661" s="13">
        <v>1659.0</v>
      </c>
      <c r="B1661" s="13">
        <v>867.0</v>
      </c>
      <c r="C1661" s="13">
        <v>47.0</v>
      </c>
      <c r="D1661" s="12" t="s">
        <v>2866</v>
      </c>
      <c r="E1661" s="12" t="s">
        <v>2867</v>
      </c>
      <c r="F1661" s="13">
        <v>5.0</v>
      </c>
      <c r="G1661" s="13">
        <v>1.0</v>
      </c>
      <c r="H1661" s="13">
        <v>0.0</v>
      </c>
      <c r="I1661" s="13" t="s">
        <v>35</v>
      </c>
      <c r="J1661" s="13" t="s">
        <v>46</v>
      </c>
      <c r="K1661" s="13" t="s">
        <v>52</v>
      </c>
      <c r="L1661" s="13"/>
    </row>
    <row r="1662">
      <c r="A1662" s="13">
        <v>1660.0</v>
      </c>
      <c r="B1662" s="13">
        <v>1059.0</v>
      </c>
      <c r="C1662" s="13">
        <v>32.0</v>
      </c>
      <c r="D1662" s="12"/>
      <c r="E1662" s="12"/>
      <c r="F1662" s="13">
        <v>4.0</v>
      </c>
      <c r="G1662" s="13">
        <v>1.0</v>
      </c>
      <c r="H1662" s="13">
        <v>0.0</v>
      </c>
      <c r="I1662" s="13" t="s">
        <v>35</v>
      </c>
      <c r="J1662" s="13" t="s">
        <v>42</v>
      </c>
      <c r="K1662" s="13" t="s">
        <v>43</v>
      </c>
      <c r="L1662" s="13"/>
    </row>
    <row r="1663">
      <c r="A1663" s="13">
        <v>1661.0</v>
      </c>
      <c r="B1663" s="13">
        <v>835.0</v>
      </c>
      <c r="C1663" s="13">
        <v>49.0</v>
      </c>
      <c r="D1663" s="12" t="s">
        <v>2868</v>
      </c>
      <c r="E1663" s="12" t="s">
        <v>2869</v>
      </c>
      <c r="F1663" s="13">
        <v>3.0</v>
      </c>
      <c r="G1663" s="13">
        <v>1.0</v>
      </c>
      <c r="H1663" s="13">
        <v>1.0</v>
      </c>
      <c r="I1663" s="13" t="s">
        <v>41</v>
      </c>
      <c r="J1663" s="13" t="s">
        <v>46</v>
      </c>
      <c r="K1663" s="13" t="s">
        <v>47</v>
      </c>
      <c r="L1663" s="13"/>
    </row>
    <row r="1664">
      <c r="A1664" s="13">
        <v>1662.0</v>
      </c>
      <c r="B1664" s="13">
        <v>835.0</v>
      </c>
      <c r="C1664" s="13">
        <v>34.0</v>
      </c>
      <c r="D1664" s="12" t="s">
        <v>608</v>
      </c>
      <c r="E1664" s="12" t="s">
        <v>2870</v>
      </c>
      <c r="F1664" s="13">
        <v>5.0</v>
      </c>
      <c r="G1664" s="13">
        <v>1.0</v>
      </c>
      <c r="H1664" s="13">
        <v>3.0</v>
      </c>
      <c r="I1664" s="13" t="s">
        <v>41</v>
      </c>
      <c r="J1664" s="13" t="s">
        <v>46</v>
      </c>
      <c r="K1664" s="13" t="s">
        <v>47</v>
      </c>
      <c r="L1664" s="13"/>
    </row>
    <row r="1665">
      <c r="A1665" s="13">
        <v>1663.0</v>
      </c>
      <c r="B1665" s="13">
        <v>835.0</v>
      </c>
      <c r="C1665" s="13">
        <v>27.0</v>
      </c>
      <c r="D1665" s="12" t="s">
        <v>2871</v>
      </c>
      <c r="E1665" s="12" t="s">
        <v>2872</v>
      </c>
      <c r="F1665" s="13">
        <v>3.0</v>
      </c>
      <c r="G1665" s="13">
        <v>0.0</v>
      </c>
      <c r="H1665" s="13">
        <v>0.0</v>
      </c>
      <c r="I1665" s="13" t="s">
        <v>41</v>
      </c>
      <c r="J1665" s="13" t="s">
        <v>46</v>
      </c>
      <c r="K1665" s="13" t="s">
        <v>47</v>
      </c>
      <c r="L1665" s="13"/>
    </row>
    <row r="1666">
      <c r="A1666" s="13">
        <v>1664.0</v>
      </c>
      <c r="B1666" s="13">
        <v>1020.0</v>
      </c>
      <c r="C1666" s="13">
        <v>56.0</v>
      </c>
      <c r="D1666" s="12" t="s">
        <v>2873</v>
      </c>
      <c r="E1666" s="12" t="s">
        <v>2874</v>
      </c>
      <c r="F1666" s="13">
        <v>5.0</v>
      </c>
      <c r="G1666" s="13">
        <v>1.0</v>
      </c>
      <c r="H1666" s="13">
        <v>5.0</v>
      </c>
      <c r="I1666" s="13" t="s">
        <v>35</v>
      </c>
      <c r="J1666" s="13" t="s">
        <v>42</v>
      </c>
      <c r="K1666" s="13" t="s">
        <v>98</v>
      </c>
      <c r="L1666" s="13"/>
    </row>
    <row r="1667">
      <c r="A1667" s="13">
        <v>1665.0</v>
      </c>
      <c r="B1667" s="13">
        <v>835.0</v>
      </c>
      <c r="C1667" s="13">
        <v>28.0</v>
      </c>
      <c r="D1667" s="12" t="s">
        <v>2004</v>
      </c>
      <c r="E1667" s="12" t="s">
        <v>2875</v>
      </c>
      <c r="F1667" s="13">
        <v>1.0</v>
      </c>
      <c r="G1667" s="13">
        <v>0.0</v>
      </c>
      <c r="H1667" s="13">
        <v>4.0</v>
      </c>
      <c r="I1667" s="13" t="s">
        <v>41</v>
      </c>
      <c r="J1667" s="13" t="s">
        <v>46</v>
      </c>
      <c r="K1667" s="13" t="s">
        <v>47</v>
      </c>
      <c r="L1667" s="13"/>
    </row>
    <row r="1668">
      <c r="A1668" s="13">
        <v>1666.0</v>
      </c>
      <c r="B1668" s="13">
        <v>835.0</v>
      </c>
      <c r="C1668" s="13">
        <v>56.0</v>
      </c>
      <c r="D1668" s="12" t="s">
        <v>2876</v>
      </c>
      <c r="E1668" s="12" t="s">
        <v>2877</v>
      </c>
      <c r="F1668" s="13">
        <v>3.0</v>
      </c>
      <c r="G1668" s="13">
        <v>0.0</v>
      </c>
      <c r="H1668" s="13">
        <v>25.0</v>
      </c>
      <c r="I1668" s="13" t="s">
        <v>41</v>
      </c>
      <c r="J1668" s="13" t="s">
        <v>46</v>
      </c>
      <c r="K1668" s="13" t="s">
        <v>47</v>
      </c>
      <c r="L1668" s="13"/>
    </row>
    <row r="1669">
      <c r="A1669" s="13">
        <v>1667.0</v>
      </c>
      <c r="B1669" s="13">
        <v>867.0</v>
      </c>
      <c r="C1669" s="13">
        <v>70.0</v>
      </c>
      <c r="D1669" s="12" t="s">
        <v>2878</v>
      </c>
      <c r="E1669" s="12" t="s">
        <v>2879</v>
      </c>
      <c r="F1669" s="13">
        <v>5.0</v>
      </c>
      <c r="G1669" s="13">
        <v>1.0</v>
      </c>
      <c r="H1669" s="13">
        <v>0.0</v>
      </c>
      <c r="I1669" s="13" t="s">
        <v>35</v>
      </c>
      <c r="J1669" s="13" t="s">
        <v>46</v>
      </c>
      <c r="K1669" s="13" t="s">
        <v>52</v>
      </c>
      <c r="L1669" s="13"/>
    </row>
    <row r="1670">
      <c r="A1670" s="13">
        <v>1668.0</v>
      </c>
      <c r="B1670" s="13">
        <v>1020.0</v>
      </c>
      <c r="C1670" s="13">
        <v>31.0</v>
      </c>
      <c r="D1670" s="12" t="s">
        <v>898</v>
      </c>
      <c r="E1670" s="12" t="s">
        <v>2880</v>
      </c>
      <c r="F1670" s="13">
        <v>5.0</v>
      </c>
      <c r="G1670" s="13">
        <v>1.0</v>
      </c>
      <c r="H1670" s="13">
        <v>6.0</v>
      </c>
      <c r="I1670" s="13" t="s">
        <v>35</v>
      </c>
      <c r="J1670" s="13" t="s">
        <v>42</v>
      </c>
      <c r="K1670" s="13" t="s">
        <v>98</v>
      </c>
      <c r="L1670" s="13"/>
    </row>
    <row r="1671">
      <c r="A1671" s="13">
        <v>1669.0</v>
      </c>
      <c r="B1671" s="13">
        <v>1059.0</v>
      </c>
      <c r="C1671" s="13">
        <v>58.0</v>
      </c>
      <c r="D1671" s="12" t="s">
        <v>2881</v>
      </c>
      <c r="E1671" s="12" t="s">
        <v>2882</v>
      </c>
      <c r="F1671" s="13">
        <v>5.0</v>
      </c>
      <c r="G1671" s="13">
        <v>1.0</v>
      </c>
      <c r="H1671" s="13">
        <v>0.0</v>
      </c>
      <c r="I1671" s="13" t="s">
        <v>35</v>
      </c>
      <c r="J1671" s="13" t="s">
        <v>42</v>
      </c>
      <c r="K1671" s="13" t="s">
        <v>43</v>
      </c>
      <c r="L1671" s="13"/>
    </row>
    <row r="1672">
      <c r="A1672" s="13">
        <v>1670.0</v>
      </c>
      <c r="B1672" s="13">
        <v>835.0</v>
      </c>
      <c r="C1672" s="13">
        <v>63.0</v>
      </c>
      <c r="D1672" s="12" t="s">
        <v>2883</v>
      </c>
      <c r="E1672" s="12" t="s">
        <v>2884</v>
      </c>
      <c r="F1672" s="13">
        <v>5.0</v>
      </c>
      <c r="G1672" s="13">
        <v>1.0</v>
      </c>
      <c r="H1672" s="13">
        <v>2.0</v>
      </c>
      <c r="I1672" s="13" t="s">
        <v>41</v>
      </c>
      <c r="J1672" s="13" t="s">
        <v>46</v>
      </c>
      <c r="K1672" s="13" t="s">
        <v>47</v>
      </c>
      <c r="L1672" s="13"/>
    </row>
    <row r="1673">
      <c r="A1673" s="13">
        <v>1671.0</v>
      </c>
      <c r="B1673" s="13">
        <v>1059.0</v>
      </c>
      <c r="C1673" s="13">
        <v>26.0</v>
      </c>
      <c r="D1673" s="12" t="s">
        <v>2885</v>
      </c>
      <c r="E1673" s="12" t="s">
        <v>2886</v>
      </c>
      <c r="F1673" s="13">
        <v>5.0</v>
      </c>
      <c r="G1673" s="13">
        <v>1.0</v>
      </c>
      <c r="H1673" s="13">
        <v>1.0</v>
      </c>
      <c r="I1673" s="13" t="s">
        <v>35</v>
      </c>
      <c r="J1673" s="13" t="s">
        <v>42</v>
      </c>
      <c r="K1673" s="13" t="s">
        <v>43</v>
      </c>
      <c r="L1673" s="13"/>
    </row>
    <row r="1674">
      <c r="A1674" s="13">
        <v>1672.0</v>
      </c>
      <c r="B1674" s="13">
        <v>1059.0</v>
      </c>
      <c r="C1674" s="13">
        <v>51.0</v>
      </c>
      <c r="D1674" s="12" t="s">
        <v>2887</v>
      </c>
      <c r="E1674" s="12" t="s">
        <v>2888</v>
      </c>
      <c r="F1674" s="13">
        <v>5.0</v>
      </c>
      <c r="G1674" s="13">
        <v>1.0</v>
      </c>
      <c r="H1674" s="13">
        <v>5.0</v>
      </c>
      <c r="I1674" s="13" t="s">
        <v>35</v>
      </c>
      <c r="J1674" s="13" t="s">
        <v>42</v>
      </c>
      <c r="K1674" s="13" t="s">
        <v>43</v>
      </c>
      <c r="L1674" s="13"/>
    </row>
    <row r="1675">
      <c r="A1675" s="13">
        <v>1673.0</v>
      </c>
      <c r="B1675" s="13">
        <v>867.0</v>
      </c>
      <c r="C1675" s="13">
        <v>63.0</v>
      </c>
      <c r="D1675" s="12" t="s">
        <v>2889</v>
      </c>
      <c r="E1675" s="12" t="s">
        <v>2890</v>
      </c>
      <c r="F1675" s="13">
        <v>5.0</v>
      </c>
      <c r="G1675" s="13">
        <v>1.0</v>
      </c>
      <c r="H1675" s="13">
        <v>3.0</v>
      </c>
      <c r="I1675" s="13" t="s">
        <v>35</v>
      </c>
      <c r="J1675" s="13" t="s">
        <v>46</v>
      </c>
      <c r="K1675" s="13" t="s">
        <v>52</v>
      </c>
      <c r="L1675" s="13"/>
    </row>
    <row r="1676">
      <c r="A1676" s="13">
        <v>1674.0</v>
      </c>
      <c r="B1676" s="13">
        <v>835.0</v>
      </c>
      <c r="C1676" s="13">
        <v>33.0</v>
      </c>
      <c r="D1676" s="12" t="s">
        <v>2891</v>
      </c>
      <c r="E1676" s="12" t="s">
        <v>2892</v>
      </c>
      <c r="F1676" s="13">
        <v>4.0</v>
      </c>
      <c r="G1676" s="13">
        <v>1.0</v>
      </c>
      <c r="H1676" s="13">
        <v>2.0</v>
      </c>
      <c r="I1676" s="13" t="s">
        <v>41</v>
      </c>
      <c r="J1676" s="13" t="s">
        <v>46</v>
      </c>
      <c r="K1676" s="13" t="s">
        <v>47</v>
      </c>
      <c r="L1676" s="13"/>
    </row>
    <row r="1677">
      <c r="A1677" s="13">
        <v>1675.0</v>
      </c>
      <c r="B1677" s="13">
        <v>835.0</v>
      </c>
      <c r="C1677" s="13">
        <v>36.0</v>
      </c>
      <c r="D1677" s="12"/>
      <c r="E1677" s="12" t="s">
        <v>2893</v>
      </c>
      <c r="F1677" s="13">
        <v>5.0</v>
      </c>
      <c r="G1677" s="13">
        <v>1.0</v>
      </c>
      <c r="H1677" s="13">
        <v>0.0</v>
      </c>
      <c r="I1677" s="13" t="s">
        <v>41</v>
      </c>
      <c r="J1677" s="13" t="s">
        <v>46</v>
      </c>
      <c r="K1677" s="13" t="s">
        <v>47</v>
      </c>
      <c r="L1677" s="13"/>
    </row>
    <row r="1678">
      <c r="A1678" s="13">
        <v>1676.0</v>
      </c>
      <c r="B1678" s="13">
        <v>835.0</v>
      </c>
      <c r="C1678" s="13">
        <v>54.0</v>
      </c>
      <c r="D1678" s="12"/>
      <c r="E1678" s="12" t="s">
        <v>2894</v>
      </c>
      <c r="F1678" s="13">
        <v>5.0</v>
      </c>
      <c r="G1678" s="13">
        <v>1.0</v>
      </c>
      <c r="H1678" s="13">
        <v>3.0</v>
      </c>
      <c r="I1678" s="13" t="s">
        <v>41</v>
      </c>
      <c r="J1678" s="13" t="s">
        <v>46</v>
      </c>
      <c r="K1678" s="13" t="s">
        <v>47</v>
      </c>
      <c r="L1678" s="13"/>
    </row>
    <row r="1679">
      <c r="A1679" s="13">
        <v>1677.0</v>
      </c>
      <c r="B1679" s="13">
        <v>1020.0</v>
      </c>
      <c r="C1679" s="13">
        <v>26.0</v>
      </c>
      <c r="D1679" s="12" t="s">
        <v>2895</v>
      </c>
      <c r="E1679" s="12" t="s">
        <v>2896</v>
      </c>
      <c r="F1679" s="13">
        <v>5.0</v>
      </c>
      <c r="G1679" s="13">
        <v>1.0</v>
      </c>
      <c r="H1679" s="13">
        <v>0.0</v>
      </c>
      <c r="I1679" s="13" t="s">
        <v>35</v>
      </c>
      <c r="J1679" s="13" t="s">
        <v>42</v>
      </c>
      <c r="K1679" s="13" t="s">
        <v>98</v>
      </c>
      <c r="L1679" s="13"/>
    </row>
    <row r="1680">
      <c r="A1680" s="13">
        <v>1678.0</v>
      </c>
      <c r="B1680" s="13">
        <v>878.0</v>
      </c>
      <c r="C1680" s="13">
        <v>48.0</v>
      </c>
      <c r="D1680" s="12"/>
      <c r="E1680" s="12" t="s">
        <v>2897</v>
      </c>
      <c r="F1680" s="13">
        <v>2.0</v>
      </c>
      <c r="G1680" s="13">
        <v>0.0</v>
      </c>
      <c r="H1680" s="13">
        <v>2.0</v>
      </c>
      <c r="I1680" s="13" t="s">
        <v>35</v>
      </c>
      <c r="J1680" s="13" t="s">
        <v>46</v>
      </c>
      <c r="K1680" s="13" t="s">
        <v>52</v>
      </c>
      <c r="L1680" s="13"/>
    </row>
    <row r="1681">
      <c r="A1681" s="13">
        <v>1679.0</v>
      </c>
      <c r="B1681" s="13">
        <v>964.0</v>
      </c>
      <c r="C1681" s="13">
        <v>33.0</v>
      </c>
      <c r="D1681" s="12" t="s">
        <v>480</v>
      </c>
      <c r="E1681" s="12" t="s">
        <v>2898</v>
      </c>
      <c r="F1681" s="13">
        <v>5.0</v>
      </c>
      <c r="G1681" s="13">
        <v>1.0</v>
      </c>
      <c r="H1681" s="13">
        <v>0.0</v>
      </c>
      <c r="I1681" s="13" t="s">
        <v>41</v>
      </c>
      <c r="J1681" s="13" t="s">
        <v>76</v>
      </c>
      <c r="K1681" s="13" t="s">
        <v>76</v>
      </c>
      <c r="L1681" s="13"/>
    </row>
    <row r="1682">
      <c r="A1682" s="13">
        <v>1680.0</v>
      </c>
      <c r="B1682" s="13">
        <v>178.0</v>
      </c>
      <c r="C1682" s="13">
        <v>24.0</v>
      </c>
      <c r="D1682" s="12" t="s">
        <v>2899</v>
      </c>
      <c r="E1682" s="12" t="s">
        <v>2900</v>
      </c>
      <c r="F1682" s="13">
        <v>3.0</v>
      </c>
      <c r="G1682" s="13">
        <v>0.0</v>
      </c>
      <c r="H1682" s="13">
        <v>0.0</v>
      </c>
      <c r="I1682" s="13" t="s">
        <v>31</v>
      </c>
      <c r="J1682" s="13" t="s">
        <v>32</v>
      </c>
      <c r="K1682" s="13" t="s">
        <v>33</v>
      </c>
      <c r="L1682" s="13"/>
    </row>
    <row r="1683">
      <c r="A1683" s="13">
        <v>1681.0</v>
      </c>
      <c r="B1683" s="13">
        <v>860.0</v>
      </c>
      <c r="C1683" s="13">
        <v>26.0</v>
      </c>
      <c r="D1683" s="12" t="s">
        <v>2901</v>
      </c>
      <c r="E1683" s="12" t="s">
        <v>2902</v>
      </c>
      <c r="F1683" s="13">
        <v>5.0</v>
      </c>
      <c r="G1683" s="13">
        <v>1.0</v>
      </c>
      <c r="H1683" s="13">
        <v>0.0</v>
      </c>
      <c r="I1683" s="13" t="s">
        <v>41</v>
      </c>
      <c r="J1683" s="13" t="s">
        <v>46</v>
      </c>
      <c r="K1683" s="13" t="s">
        <v>52</v>
      </c>
      <c r="L1683" s="13"/>
    </row>
    <row r="1684">
      <c r="A1684" s="13">
        <v>1682.0</v>
      </c>
      <c r="B1684" s="13">
        <v>860.0</v>
      </c>
      <c r="C1684" s="13">
        <v>56.0</v>
      </c>
      <c r="D1684" s="12" t="s">
        <v>2903</v>
      </c>
      <c r="E1684" s="12" t="s">
        <v>2904</v>
      </c>
      <c r="F1684" s="13">
        <v>4.0</v>
      </c>
      <c r="G1684" s="13">
        <v>1.0</v>
      </c>
      <c r="H1684" s="13">
        <v>1.0</v>
      </c>
      <c r="I1684" s="13" t="s">
        <v>41</v>
      </c>
      <c r="J1684" s="13" t="s">
        <v>46</v>
      </c>
      <c r="K1684" s="13" t="s">
        <v>52</v>
      </c>
      <c r="L1684" s="13"/>
    </row>
    <row r="1685">
      <c r="A1685" s="13">
        <v>1683.0</v>
      </c>
      <c r="B1685" s="13">
        <v>899.0</v>
      </c>
      <c r="C1685" s="13">
        <v>63.0</v>
      </c>
      <c r="D1685" s="12" t="s">
        <v>2905</v>
      </c>
      <c r="E1685" s="12" t="s">
        <v>2906</v>
      </c>
      <c r="F1685" s="13">
        <v>4.0</v>
      </c>
      <c r="G1685" s="13">
        <v>1.0</v>
      </c>
      <c r="H1685" s="13">
        <v>2.0</v>
      </c>
      <c r="I1685" s="13" t="s">
        <v>41</v>
      </c>
      <c r="J1685" s="13" t="s">
        <v>46</v>
      </c>
      <c r="K1685" s="13" t="s">
        <v>123</v>
      </c>
      <c r="L1685" s="13"/>
    </row>
    <row r="1686">
      <c r="A1686" s="13">
        <v>1684.0</v>
      </c>
      <c r="B1686" s="13">
        <v>914.0</v>
      </c>
      <c r="C1686" s="13">
        <v>43.0</v>
      </c>
      <c r="D1686" s="12" t="s">
        <v>2907</v>
      </c>
      <c r="E1686" s="12" t="s">
        <v>2908</v>
      </c>
      <c r="F1686" s="13">
        <v>5.0</v>
      </c>
      <c r="G1686" s="13">
        <v>1.0</v>
      </c>
      <c r="H1686" s="13">
        <v>0.0</v>
      </c>
      <c r="I1686" s="13" t="s">
        <v>35</v>
      </c>
      <c r="J1686" s="13" t="s">
        <v>46</v>
      </c>
      <c r="K1686" s="13" t="s">
        <v>123</v>
      </c>
      <c r="L1686" s="13"/>
    </row>
    <row r="1687">
      <c r="A1687" s="13">
        <v>1685.0</v>
      </c>
      <c r="B1687" s="13">
        <v>860.0</v>
      </c>
      <c r="C1687" s="13">
        <v>39.0</v>
      </c>
      <c r="D1687" s="12" t="s">
        <v>1874</v>
      </c>
      <c r="E1687" s="12" t="s">
        <v>2909</v>
      </c>
      <c r="F1687" s="13">
        <v>5.0</v>
      </c>
      <c r="G1687" s="13">
        <v>1.0</v>
      </c>
      <c r="H1687" s="13">
        <v>2.0</v>
      </c>
      <c r="I1687" s="13" t="s">
        <v>41</v>
      </c>
      <c r="J1687" s="13" t="s">
        <v>46</v>
      </c>
      <c r="K1687" s="13" t="s">
        <v>52</v>
      </c>
      <c r="L1687" s="13"/>
    </row>
    <row r="1688">
      <c r="A1688" s="13">
        <v>1686.0</v>
      </c>
      <c r="B1688" s="13">
        <v>225.0</v>
      </c>
      <c r="C1688" s="13">
        <v>32.0</v>
      </c>
      <c r="D1688" s="12" t="s">
        <v>2910</v>
      </c>
      <c r="E1688" s="12" t="s">
        <v>2911</v>
      </c>
      <c r="F1688" s="13">
        <v>5.0</v>
      </c>
      <c r="G1688" s="13">
        <v>1.0</v>
      </c>
      <c r="H1688" s="13">
        <v>1.0</v>
      </c>
      <c r="I1688" s="13" t="s">
        <v>31</v>
      </c>
      <c r="J1688" s="13" t="s">
        <v>32</v>
      </c>
      <c r="K1688" s="13" t="s">
        <v>1113</v>
      </c>
      <c r="L1688" s="13"/>
    </row>
    <row r="1689">
      <c r="A1689" s="13">
        <v>1687.0</v>
      </c>
      <c r="B1689" s="13">
        <v>841.0</v>
      </c>
      <c r="C1689" s="13">
        <v>28.0</v>
      </c>
      <c r="D1689" s="12" t="s">
        <v>2912</v>
      </c>
      <c r="E1689" s="12" t="s">
        <v>2913</v>
      </c>
      <c r="F1689" s="13">
        <v>3.0</v>
      </c>
      <c r="G1689" s="13">
        <v>0.0</v>
      </c>
      <c r="H1689" s="13">
        <v>4.0</v>
      </c>
      <c r="I1689" s="13" t="s">
        <v>35</v>
      </c>
      <c r="J1689" s="13" t="s">
        <v>46</v>
      </c>
      <c r="K1689" s="13" t="s">
        <v>47</v>
      </c>
      <c r="L1689" s="13"/>
    </row>
    <row r="1690">
      <c r="A1690" s="13">
        <v>1688.0</v>
      </c>
      <c r="B1690" s="13">
        <v>862.0</v>
      </c>
      <c r="C1690" s="13">
        <v>37.0</v>
      </c>
      <c r="D1690" s="12" t="s">
        <v>2914</v>
      </c>
      <c r="E1690" s="12" t="s">
        <v>2915</v>
      </c>
      <c r="F1690" s="13">
        <v>5.0</v>
      </c>
      <c r="G1690" s="13">
        <v>1.0</v>
      </c>
      <c r="H1690" s="13">
        <v>0.0</v>
      </c>
      <c r="I1690" s="13" t="s">
        <v>35</v>
      </c>
      <c r="J1690" s="13" t="s">
        <v>46</v>
      </c>
      <c r="K1690" s="13" t="s">
        <v>52</v>
      </c>
      <c r="L1690" s="13"/>
    </row>
    <row r="1691">
      <c r="A1691" s="13">
        <v>1689.0</v>
      </c>
      <c r="B1691" s="13">
        <v>970.0</v>
      </c>
      <c r="C1691" s="13">
        <v>42.0</v>
      </c>
      <c r="D1691" s="12" t="s">
        <v>2916</v>
      </c>
      <c r="E1691" s="12" t="s">
        <v>2917</v>
      </c>
      <c r="F1691" s="13">
        <v>4.0</v>
      </c>
      <c r="G1691" s="13">
        <v>1.0</v>
      </c>
      <c r="H1691" s="13">
        <v>0.0</v>
      </c>
      <c r="I1691" s="13" t="s">
        <v>41</v>
      </c>
      <c r="J1691" s="13" t="s">
        <v>76</v>
      </c>
      <c r="K1691" s="13" t="s">
        <v>76</v>
      </c>
      <c r="L1691" s="13"/>
    </row>
    <row r="1692">
      <c r="A1692" s="13">
        <v>1690.0</v>
      </c>
      <c r="B1692" s="13">
        <v>862.0</v>
      </c>
      <c r="C1692" s="13">
        <v>33.0</v>
      </c>
      <c r="D1692" s="12" t="s">
        <v>2918</v>
      </c>
      <c r="E1692" s="12" t="s">
        <v>2919</v>
      </c>
      <c r="F1692" s="13">
        <v>3.0</v>
      </c>
      <c r="G1692" s="13">
        <v>1.0</v>
      </c>
      <c r="H1692" s="13">
        <v>1.0</v>
      </c>
      <c r="I1692" s="13" t="s">
        <v>35</v>
      </c>
      <c r="J1692" s="13" t="s">
        <v>46</v>
      </c>
      <c r="K1692" s="13" t="s">
        <v>52</v>
      </c>
      <c r="L1692" s="13"/>
    </row>
    <row r="1693">
      <c r="A1693" s="13">
        <v>1691.0</v>
      </c>
      <c r="B1693" s="13">
        <v>225.0</v>
      </c>
      <c r="C1693" s="13">
        <v>45.0</v>
      </c>
      <c r="D1693" s="12" t="s">
        <v>2920</v>
      </c>
      <c r="E1693" s="12" t="s">
        <v>2921</v>
      </c>
      <c r="F1693" s="13">
        <v>5.0</v>
      </c>
      <c r="G1693" s="13">
        <v>1.0</v>
      </c>
      <c r="H1693" s="13">
        <v>1.0</v>
      </c>
      <c r="I1693" s="13" t="s">
        <v>31</v>
      </c>
      <c r="J1693" s="13" t="s">
        <v>32</v>
      </c>
      <c r="K1693" s="13" t="s">
        <v>1113</v>
      </c>
      <c r="L1693" s="13"/>
    </row>
    <row r="1694">
      <c r="A1694" s="13">
        <v>1692.0</v>
      </c>
      <c r="B1694" s="13">
        <v>899.0</v>
      </c>
      <c r="C1694" s="13">
        <v>63.0</v>
      </c>
      <c r="D1694" s="12" t="s">
        <v>2922</v>
      </c>
      <c r="E1694" s="12" t="s">
        <v>2923</v>
      </c>
      <c r="F1694" s="13">
        <v>5.0</v>
      </c>
      <c r="G1694" s="13">
        <v>1.0</v>
      </c>
      <c r="H1694" s="13">
        <v>4.0</v>
      </c>
      <c r="I1694" s="13" t="s">
        <v>41</v>
      </c>
      <c r="J1694" s="13" t="s">
        <v>46</v>
      </c>
      <c r="K1694" s="13" t="s">
        <v>123</v>
      </c>
      <c r="L1694" s="13"/>
    </row>
    <row r="1695">
      <c r="A1695" s="13">
        <v>1693.0</v>
      </c>
      <c r="B1695" s="13">
        <v>862.0</v>
      </c>
      <c r="C1695" s="13">
        <v>38.0</v>
      </c>
      <c r="D1695" s="12"/>
      <c r="E1695" s="12" t="s">
        <v>2924</v>
      </c>
      <c r="F1695" s="13">
        <v>2.0</v>
      </c>
      <c r="G1695" s="13">
        <v>0.0</v>
      </c>
      <c r="H1695" s="13">
        <v>1.0</v>
      </c>
      <c r="I1695" s="13" t="s">
        <v>35</v>
      </c>
      <c r="J1695" s="13" t="s">
        <v>46</v>
      </c>
      <c r="K1695" s="13" t="s">
        <v>52</v>
      </c>
      <c r="L1695" s="13"/>
    </row>
    <row r="1696">
      <c r="A1696" s="13">
        <v>1694.0</v>
      </c>
      <c r="B1696" s="13">
        <v>899.0</v>
      </c>
      <c r="C1696" s="13">
        <v>45.0</v>
      </c>
      <c r="D1696" s="12" t="s">
        <v>2925</v>
      </c>
      <c r="E1696" s="12" t="s">
        <v>2926</v>
      </c>
      <c r="F1696" s="13">
        <v>2.0</v>
      </c>
      <c r="G1696" s="13">
        <v>0.0</v>
      </c>
      <c r="H1696" s="13">
        <v>0.0</v>
      </c>
      <c r="I1696" s="13" t="s">
        <v>41</v>
      </c>
      <c r="J1696" s="13" t="s">
        <v>46</v>
      </c>
      <c r="K1696" s="13" t="s">
        <v>123</v>
      </c>
      <c r="L1696" s="13"/>
    </row>
    <row r="1697">
      <c r="A1697" s="13">
        <v>1695.0</v>
      </c>
      <c r="B1697" s="13">
        <v>862.0</v>
      </c>
      <c r="C1697" s="13">
        <v>40.0</v>
      </c>
      <c r="D1697" s="12"/>
      <c r="E1697" s="12" t="s">
        <v>2927</v>
      </c>
      <c r="F1697" s="13">
        <v>1.0</v>
      </c>
      <c r="G1697" s="13">
        <v>0.0</v>
      </c>
      <c r="H1697" s="13">
        <v>0.0</v>
      </c>
      <c r="I1697" s="13" t="s">
        <v>35</v>
      </c>
      <c r="J1697" s="13" t="s">
        <v>46</v>
      </c>
      <c r="K1697" s="13" t="s">
        <v>52</v>
      </c>
      <c r="L1697" s="13"/>
    </row>
    <row r="1698">
      <c r="A1698" s="13">
        <v>1696.0</v>
      </c>
      <c r="B1698" s="13">
        <v>899.0</v>
      </c>
      <c r="C1698" s="13">
        <v>52.0</v>
      </c>
      <c r="D1698" s="12" t="s">
        <v>2928</v>
      </c>
      <c r="E1698" s="12" t="s">
        <v>2929</v>
      </c>
      <c r="F1698" s="13">
        <v>4.0</v>
      </c>
      <c r="G1698" s="13">
        <v>1.0</v>
      </c>
      <c r="H1698" s="13">
        <v>2.0</v>
      </c>
      <c r="I1698" s="13" t="s">
        <v>41</v>
      </c>
      <c r="J1698" s="13" t="s">
        <v>46</v>
      </c>
      <c r="K1698" s="13" t="s">
        <v>123</v>
      </c>
      <c r="L1698" s="13"/>
    </row>
    <row r="1699">
      <c r="A1699" s="13">
        <v>1697.0</v>
      </c>
      <c r="B1699" s="13">
        <v>862.0</v>
      </c>
      <c r="C1699" s="13">
        <v>53.0</v>
      </c>
      <c r="D1699" s="12" t="s">
        <v>2866</v>
      </c>
      <c r="E1699" s="12" t="s">
        <v>2930</v>
      </c>
      <c r="F1699" s="13">
        <v>4.0</v>
      </c>
      <c r="G1699" s="13">
        <v>1.0</v>
      </c>
      <c r="H1699" s="13">
        <v>4.0</v>
      </c>
      <c r="I1699" s="13" t="s">
        <v>35</v>
      </c>
      <c r="J1699" s="13" t="s">
        <v>46</v>
      </c>
      <c r="K1699" s="13" t="s">
        <v>52</v>
      </c>
      <c r="L1699" s="13"/>
    </row>
    <row r="1700">
      <c r="A1700" s="13">
        <v>1698.0</v>
      </c>
      <c r="B1700" s="13">
        <v>899.0</v>
      </c>
      <c r="C1700" s="13">
        <v>47.0</v>
      </c>
      <c r="D1700" s="12" t="s">
        <v>2931</v>
      </c>
      <c r="E1700" s="12" t="s">
        <v>2932</v>
      </c>
      <c r="F1700" s="13">
        <v>5.0</v>
      </c>
      <c r="G1700" s="13">
        <v>1.0</v>
      </c>
      <c r="H1700" s="13">
        <v>6.0</v>
      </c>
      <c r="I1700" s="13" t="s">
        <v>41</v>
      </c>
      <c r="J1700" s="13" t="s">
        <v>46</v>
      </c>
      <c r="K1700" s="13" t="s">
        <v>123</v>
      </c>
      <c r="L1700" s="13"/>
    </row>
    <row r="1701">
      <c r="A1701" s="13">
        <v>1699.0</v>
      </c>
      <c r="B1701" s="13">
        <v>862.0</v>
      </c>
      <c r="C1701" s="13">
        <v>43.0</v>
      </c>
      <c r="D1701" s="12" t="s">
        <v>2933</v>
      </c>
      <c r="E1701" s="12" t="s">
        <v>2934</v>
      </c>
      <c r="F1701" s="13">
        <v>4.0</v>
      </c>
      <c r="G1701" s="13">
        <v>1.0</v>
      </c>
      <c r="H1701" s="13">
        <v>1.0</v>
      </c>
      <c r="I1701" s="13" t="s">
        <v>35</v>
      </c>
      <c r="J1701" s="13" t="s">
        <v>46</v>
      </c>
      <c r="K1701" s="13" t="s">
        <v>52</v>
      </c>
      <c r="L1701" s="13"/>
    </row>
    <row r="1702">
      <c r="A1702" s="13">
        <v>1700.0</v>
      </c>
      <c r="B1702" s="13">
        <v>860.0</v>
      </c>
      <c r="C1702" s="13">
        <v>37.0</v>
      </c>
      <c r="D1702" s="12" t="s">
        <v>2935</v>
      </c>
      <c r="E1702" s="12" t="s">
        <v>2936</v>
      </c>
      <c r="F1702" s="13">
        <v>4.0</v>
      </c>
      <c r="G1702" s="13">
        <v>1.0</v>
      </c>
      <c r="H1702" s="13">
        <v>1.0</v>
      </c>
      <c r="I1702" s="13" t="s">
        <v>41</v>
      </c>
      <c r="J1702" s="13" t="s">
        <v>46</v>
      </c>
      <c r="K1702" s="13" t="s">
        <v>52</v>
      </c>
      <c r="L1702" s="13"/>
    </row>
    <row r="1703">
      <c r="A1703" s="13">
        <v>1701.0</v>
      </c>
      <c r="B1703" s="13">
        <v>225.0</v>
      </c>
      <c r="C1703" s="13">
        <v>38.0</v>
      </c>
      <c r="D1703" s="12" t="s">
        <v>2937</v>
      </c>
      <c r="E1703" s="12" t="s">
        <v>2938</v>
      </c>
      <c r="F1703" s="13">
        <v>2.0</v>
      </c>
      <c r="G1703" s="13">
        <v>0.0</v>
      </c>
      <c r="H1703" s="13">
        <v>0.0</v>
      </c>
      <c r="I1703" s="13" t="s">
        <v>31</v>
      </c>
      <c r="J1703" s="13" t="s">
        <v>32</v>
      </c>
      <c r="K1703" s="13" t="s">
        <v>1113</v>
      </c>
      <c r="L1703" s="13"/>
    </row>
    <row r="1704">
      <c r="A1704" s="13">
        <v>1702.0</v>
      </c>
      <c r="B1704" s="13">
        <v>860.0</v>
      </c>
      <c r="C1704" s="13">
        <v>33.0</v>
      </c>
      <c r="D1704" s="12" t="s">
        <v>2939</v>
      </c>
      <c r="E1704" s="12" t="s">
        <v>2940</v>
      </c>
      <c r="F1704" s="13">
        <v>4.0</v>
      </c>
      <c r="G1704" s="13">
        <v>1.0</v>
      </c>
      <c r="H1704" s="13">
        <v>0.0</v>
      </c>
      <c r="I1704" s="13" t="s">
        <v>41</v>
      </c>
      <c r="J1704" s="13" t="s">
        <v>46</v>
      </c>
      <c r="K1704" s="13" t="s">
        <v>52</v>
      </c>
      <c r="L1704" s="13"/>
    </row>
    <row r="1705">
      <c r="A1705" s="13">
        <v>1703.0</v>
      </c>
      <c r="B1705" s="13">
        <v>860.0</v>
      </c>
      <c r="C1705" s="13">
        <v>42.0</v>
      </c>
      <c r="D1705" s="12"/>
      <c r="E1705" s="12"/>
      <c r="F1705" s="13">
        <v>5.0</v>
      </c>
      <c r="G1705" s="13">
        <v>1.0</v>
      </c>
      <c r="H1705" s="13">
        <v>0.0</v>
      </c>
      <c r="I1705" s="13" t="s">
        <v>41</v>
      </c>
      <c r="J1705" s="13" t="s">
        <v>46</v>
      </c>
      <c r="K1705" s="13" t="s">
        <v>52</v>
      </c>
      <c r="L1705" s="13"/>
    </row>
    <row r="1706">
      <c r="A1706" s="13">
        <v>1704.0</v>
      </c>
      <c r="B1706" s="13">
        <v>860.0</v>
      </c>
      <c r="C1706" s="13">
        <v>48.0</v>
      </c>
      <c r="D1706" s="12" t="s">
        <v>2941</v>
      </c>
      <c r="E1706" s="12" t="s">
        <v>2942</v>
      </c>
      <c r="F1706" s="13">
        <v>4.0</v>
      </c>
      <c r="G1706" s="13">
        <v>1.0</v>
      </c>
      <c r="H1706" s="13">
        <v>0.0</v>
      </c>
      <c r="I1706" s="13" t="s">
        <v>41</v>
      </c>
      <c r="J1706" s="13" t="s">
        <v>46</v>
      </c>
      <c r="K1706" s="13" t="s">
        <v>52</v>
      </c>
      <c r="L1706" s="13"/>
    </row>
    <row r="1707">
      <c r="A1707" s="13">
        <v>1705.0</v>
      </c>
      <c r="B1707" s="13">
        <v>862.0</v>
      </c>
      <c r="C1707" s="13">
        <v>58.0</v>
      </c>
      <c r="D1707" s="12" t="s">
        <v>2943</v>
      </c>
      <c r="E1707" s="12" t="s">
        <v>2944</v>
      </c>
      <c r="F1707" s="13">
        <v>5.0</v>
      </c>
      <c r="G1707" s="13">
        <v>1.0</v>
      </c>
      <c r="H1707" s="13">
        <v>2.0</v>
      </c>
      <c r="I1707" s="13" t="s">
        <v>35</v>
      </c>
      <c r="J1707" s="13" t="s">
        <v>46</v>
      </c>
      <c r="K1707" s="13" t="s">
        <v>52</v>
      </c>
      <c r="L1707" s="13"/>
    </row>
    <row r="1708">
      <c r="A1708" s="13">
        <v>1706.0</v>
      </c>
      <c r="B1708" s="13">
        <v>860.0</v>
      </c>
      <c r="C1708" s="13">
        <v>29.0</v>
      </c>
      <c r="D1708" s="12" t="s">
        <v>2945</v>
      </c>
      <c r="E1708" s="12" t="s">
        <v>2946</v>
      </c>
      <c r="F1708" s="13">
        <v>3.0</v>
      </c>
      <c r="G1708" s="13">
        <v>1.0</v>
      </c>
      <c r="H1708" s="13">
        <v>1.0</v>
      </c>
      <c r="I1708" s="13" t="s">
        <v>41</v>
      </c>
      <c r="J1708" s="13" t="s">
        <v>46</v>
      </c>
      <c r="K1708" s="13" t="s">
        <v>52</v>
      </c>
      <c r="L1708" s="13"/>
    </row>
    <row r="1709">
      <c r="A1709" s="13">
        <v>1707.0</v>
      </c>
      <c r="B1709" s="13">
        <v>862.0</v>
      </c>
      <c r="C1709" s="13">
        <v>36.0</v>
      </c>
      <c r="D1709" s="12"/>
      <c r="E1709" s="12" t="s">
        <v>2947</v>
      </c>
      <c r="F1709" s="13">
        <v>5.0</v>
      </c>
      <c r="G1709" s="13">
        <v>1.0</v>
      </c>
      <c r="H1709" s="13">
        <v>3.0</v>
      </c>
      <c r="I1709" s="13" t="s">
        <v>35</v>
      </c>
      <c r="J1709" s="13" t="s">
        <v>46</v>
      </c>
      <c r="K1709" s="13" t="s">
        <v>52</v>
      </c>
      <c r="L1709" s="13"/>
    </row>
    <row r="1710">
      <c r="A1710" s="13">
        <v>1708.0</v>
      </c>
      <c r="B1710" s="13">
        <v>899.0</v>
      </c>
      <c r="C1710" s="13">
        <v>28.0</v>
      </c>
      <c r="D1710" s="12" t="s">
        <v>2948</v>
      </c>
      <c r="E1710" s="12" t="s">
        <v>2949</v>
      </c>
      <c r="F1710" s="13">
        <v>3.0</v>
      </c>
      <c r="G1710" s="13">
        <v>0.0</v>
      </c>
      <c r="H1710" s="13">
        <v>0.0</v>
      </c>
      <c r="I1710" s="13" t="s">
        <v>41</v>
      </c>
      <c r="J1710" s="13" t="s">
        <v>46</v>
      </c>
      <c r="K1710" s="13" t="s">
        <v>123</v>
      </c>
      <c r="L1710" s="13"/>
    </row>
    <row r="1711">
      <c r="A1711" s="13">
        <v>1709.0</v>
      </c>
      <c r="B1711" s="13">
        <v>899.0</v>
      </c>
      <c r="C1711" s="13">
        <v>53.0</v>
      </c>
      <c r="D1711" s="12" t="s">
        <v>2950</v>
      </c>
      <c r="E1711" s="12" t="s">
        <v>2951</v>
      </c>
      <c r="F1711" s="13">
        <v>5.0</v>
      </c>
      <c r="G1711" s="13">
        <v>1.0</v>
      </c>
      <c r="H1711" s="13">
        <v>1.0</v>
      </c>
      <c r="I1711" s="13" t="s">
        <v>41</v>
      </c>
      <c r="J1711" s="13" t="s">
        <v>46</v>
      </c>
      <c r="K1711" s="13" t="s">
        <v>123</v>
      </c>
      <c r="L1711" s="13"/>
    </row>
    <row r="1712">
      <c r="A1712" s="13">
        <v>1710.0</v>
      </c>
      <c r="B1712" s="13">
        <v>398.0</v>
      </c>
      <c r="C1712" s="13">
        <v>30.0</v>
      </c>
      <c r="D1712" s="12" t="s">
        <v>2952</v>
      </c>
      <c r="E1712" s="12" t="s">
        <v>2953</v>
      </c>
      <c r="F1712" s="13">
        <v>4.0</v>
      </c>
      <c r="G1712" s="13">
        <v>1.0</v>
      </c>
      <c r="H1712" s="13">
        <v>2.0</v>
      </c>
      <c r="I1712" s="13" t="s">
        <v>31</v>
      </c>
      <c r="J1712" s="13" t="s">
        <v>32</v>
      </c>
      <c r="K1712" s="13" t="s">
        <v>92</v>
      </c>
      <c r="L1712" s="13"/>
    </row>
    <row r="1713">
      <c r="A1713" s="13">
        <v>1711.0</v>
      </c>
      <c r="B1713" s="13">
        <v>970.0</v>
      </c>
      <c r="C1713" s="13">
        <v>37.0</v>
      </c>
      <c r="D1713" s="12" t="s">
        <v>1726</v>
      </c>
      <c r="E1713" s="12" t="s">
        <v>2954</v>
      </c>
      <c r="F1713" s="13">
        <v>5.0</v>
      </c>
      <c r="G1713" s="13">
        <v>1.0</v>
      </c>
      <c r="H1713" s="13">
        <v>1.0</v>
      </c>
      <c r="I1713" s="13" t="s">
        <v>35</v>
      </c>
      <c r="J1713" s="13" t="s">
        <v>76</v>
      </c>
      <c r="K1713" s="13" t="s">
        <v>76</v>
      </c>
      <c r="L1713" s="13"/>
    </row>
    <row r="1714">
      <c r="A1714" s="13">
        <v>1712.0</v>
      </c>
      <c r="B1714" s="13">
        <v>860.0</v>
      </c>
      <c r="C1714" s="13">
        <v>53.0</v>
      </c>
      <c r="D1714" s="12" t="s">
        <v>2955</v>
      </c>
      <c r="E1714" s="12" t="s">
        <v>2956</v>
      </c>
      <c r="F1714" s="13">
        <v>4.0</v>
      </c>
      <c r="G1714" s="13">
        <v>1.0</v>
      </c>
      <c r="H1714" s="13">
        <v>0.0</v>
      </c>
      <c r="I1714" s="13" t="s">
        <v>41</v>
      </c>
      <c r="J1714" s="13" t="s">
        <v>46</v>
      </c>
      <c r="K1714" s="13" t="s">
        <v>52</v>
      </c>
      <c r="L1714" s="13"/>
    </row>
    <row r="1715">
      <c r="A1715" s="13">
        <v>1713.0</v>
      </c>
      <c r="B1715" s="13">
        <v>964.0</v>
      </c>
      <c r="C1715" s="13">
        <v>71.0</v>
      </c>
      <c r="D1715" s="12" t="s">
        <v>2957</v>
      </c>
      <c r="E1715" s="12" t="s">
        <v>2958</v>
      </c>
      <c r="F1715" s="13">
        <v>5.0</v>
      </c>
      <c r="G1715" s="13">
        <v>1.0</v>
      </c>
      <c r="H1715" s="13">
        <v>6.0</v>
      </c>
      <c r="I1715" s="13" t="s">
        <v>41</v>
      </c>
      <c r="J1715" s="13" t="s">
        <v>76</v>
      </c>
      <c r="K1715" s="13" t="s">
        <v>76</v>
      </c>
      <c r="L1715" s="13"/>
    </row>
    <row r="1716">
      <c r="A1716" s="13">
        <v>1714.0</v>
      </c>
      <c r="B1716" s="13">
        <v>862.0</v>
      </c>
      <c r="C1716" s="13">
        <v>59.0</v>
      </c>
      <c r="D1716" s="12" t="s">
        <v>2959</v>
      </c>
      <c r="E1716" s="12" t="s">
        <v>2960</v>
      </c>
      <c r="F1716" s="13">
        <v>5.0</v>
      </c>
      <c r="G1716" s="13">
        <v>1.0</v>
      </c>
      <c r="H1716" s="13">
        <v>0.0</v>
      </c>
      <c r="I1716" s="13" t="s">
        <v>35</v>
      </c>
      <c r="J1716" s="13" t="s">
        <v>46</v>
      </c>
      <c r="K1716" s="13" t="s">
        <v>52</v>
      </c>
      <c r="L1716" s="13"/>
    </row>
    <row r="1717">
      <c r="A1717" s="13">
        <v>1715.0</v>
      </c>
      <c r="B1717" s="13">
        <v>225.0</v>
      </c>
      <c r="C1717" s="13">
        <v>41.0</v>
      </c>
      <c r="D1717" s="12"/>
      <c r="E1717" s="12" t="s">
        <v>2961</v>
      </c>
      <c r="F1717" s="13">
        <v>5.0</v>
      </c>
      <c r="G1717" s="13">
        <v>1.0</v>
      </c>
      <c r="H1717" s="13">
        <v>1.0</v>
      </c>
      <c r="I1717" s="13" t="s">
        <v>31</v>
      </c>
      <c r="J1717" s="13" t="s">
        <v>32</v>
      </c>
      <c r="K1717" s="13" t="s">
        <v>1113</v>
      </c>
      <c r="L1717" s="13"/>
    </row>
    <row r="1718">
      <c r="A1718" s="13">
        <v>1716.0</v>
      </c>
      <c r="B1718" s="13">
        <v>899.0</v>
      </c>
      <c r="C1718" s="13">
        <v>54.0</v>
      </c>
      <c r="D1718" s="12" t="s">
        <v>2962</v>
      </c>
      <c r="E1718" s="12" t="s">
        <v>2963</v>
      </c>
      <c r="F1718" s="13">
        <v>4.0</v>
      </c>
      <c r="G1718" s="13">
        <v>1.0</v>
      </c>
      <c r="H1718" s="13">
        <v>0.0</v>
      </c>
      <c r="I1718" s="13" t="s">
        <v>41</v>
      </c>
      <c r="J1718" s="13" t="s">
        <v>46</v>
      </c>
      <c r="K1718" s="13" t="s">
        <v>123</v>
      </c>
      <c r="L1718" s="13"/>
    </row>
    <row r="1719">
      <c r="A1719" s="13">
        <v>1717.0</v>
      </c>
      <c r="B1719" s="13">
        <v>860.0</v>
      </c>
      <c r="C1719" s="13">
        <v>39.0</v>
      </c>
      <c r="D1719" s="12"/>
      <c r="E1719" s="12"/>
      <c r="F1719" s="13">
        <v>5.0</v>
      </c>
      <c r="G1719" s="13">
        <v>1.0</v>
      </c>
      <c r="H1719" s="13">
        <v>0.0</v>
      </c>
      <c r="I1719" s="13" t="s">
        <v>41</v>
      </c>
      <c r="J1719" s="13" t="s">
        <v>46</v>
      </c>
      <c r="K1719" s="13" t="s">
        <v>52</v>
      </c>
      <c r="L1719" s="13"/>
    </row>
    <row r="1720">
      <c r="A1720" s="13">
        <v>1718.0</v>
      </c>
      <c r="B1720" s="13">
        <v>964.0</v>
      </c>
      <c r="C1720" s="13">
        <v>36.0</v>
      </c>
      <c r="D1720" s="12" t="s">
        <v>2964</v>
      </c>
      <c r="E1720" s="12" t="s">
        <v>2965</v>
      </c>
      <c r="F1720" s="13">
        <v>5.0</v>
      </c>
      <c r="G1720" s="13">
        <v>1.0</v>
      </c>
      <c r="H1720" s="13">
        <v>0.0</v>
      </c>
      <c r="I1720" s="13" t="s">
        <v>41</v>
      </c>
      <c r="J1720" s="13" t="s">
        <v>76</v>
      </c>
      <c r="K1720" s="13" t="s">
        <v>76</v>
      </c>
      <c r="L1720" s="13"/>
    </row>
    <row r="1721">
      <c r="A1721" s="13">
        <v>1719.0</v>
      </c>
      <c r="B1721" s="13">
        <v>899.0</v>
      </c>
      <c r="C1721" s="13">
        <v>53.0</v>
      </c>
      <c r="D1721" s="12" t="s">
        <v>2966</v>
      </c>
      <c r="E1721" s="12" t="s">
        <v>2967</v>
      </c>
      <c r="F1721" s="13">
        <v>5.0</v>
      </c>
      <c r="G1721" s="13">
        <v>1.0</v>
      </c>
      <c r="H1721" s="13">
        <v>0.0</v>
      </c>
      <c r="I1721" s="13" t="s">
        <v>41</v>
      </c>
      <c r="J1721" s="13" t="s">
        <v>46</v>
      </c>
      <c r="K1721" s="13" t="s">
        <v>123</v>
      </c>
      <c r="L1721" s="13"/>
    </row>
    <row r="1722">
      <c r="A1722" s="13">
        <v>1720.0</v>
      </c>
      <c r="B1722" s="13">
        <v>862.0</v>
      </c>
      <c r="C1722" s="13">
        <v>37.0</v>
      </c>
      <c r="D1722" s="12"/>
      <c r="E1722" s="12"/>
      <c r="F1722" s="13">
        <v>5.0</v>
      </c>
      <c r="G1722" s="13">
        <v>1.0</v>
      </c>
      <c r="H1722" s="13">
        <v>0.0</v>
      </c>
      <c r="I1722" s="13" t="s">
        <v>35</v>
      </c>
      <c r="J1722" s="13" t="s">
        <v>46</v>
      </c>
      <c r="K1722" s="13" t="s">
        <v>52</v>
      </c>
      <c r="L1722" s="13"/>
    </row>
    <row r="1723">
      <c r="A1723" s="13">
        <v>1721.0</v>
      </c>
      <c r="B1723" s="13">
        <v>225.0</v>
      </c>
      <c r="C1723" s="13">
        <v>38.0</v>
      </c>
      <c r="D1723" s="12" t="s">
        <v>2968</v>
      </c>
      <c r="E1723" s="12" t="s">
        <v>2969</v>
      </c>
      <c r="F1723" s="13">
        <v>4.0</v>
      </c>
      <c r="G1723" s="13">
        <v>1.0</v>
      </c>
      <c r="H1723" s="13">
        <v>0.0</v>
      </c>
      <c r="I1723" s="13" t="s">
        <v>31</v>
      </c>
      <c r="J1723" s="13" t="s">
        <v>32</v>
      </c>
      <c r="K1723" s="13" t="s">
        <v>1113</v>
      </c>
      <c r="L1723" s="13"/>
    </row>
    <row r="1724">
      <c r="A1724" s="13">
        <v>1722.0</v>
      </c>
      <c r="B1724" s="13">
        <v>895.0</v>
      </c>
      <c r="C1724" s="13">
        <v>30.0</v>
      </c>
      <c r="D1724" s="12"/>
      <c r="E1724" s="12" t="s">
        <v>2970</v>
      </c>
      <c r="F1724" s="13">
        <v>2.0</v>
      </c>
      <c r="G1724" s="13">
        <v>0.0</v>
      </c>
      <c r="H1724" s="13">
        <v>0.0</v>
      </c>
      <c r="I1724" s="13" t="s">
        <v>35</v>
      </c>
      <c r="J1724" s="13" t="s">
        <v>46</v>
      </c>
      <c r="K1724" s="13" t="s">
        <v>123</v>
      </c>
      <c r="L1724" s="13"/>
    </row>
    <row r="1725">
      <c r="A1725" s="13">
        <v>1723.0</v>
      </c>
      <c r="B1725" s="13">
        <v>431.0</v>
      </c>
      <c r="C1725" s="13">
        <v>19.0</v>
      </c>
      <c r="D1725" s="12" t="s">
        <v>2971</v>
      </c>
      <c r="E1725" s="12" t="s">
        <v>2972</v>
      </c>
      <c r="F1725" s="13">
        <v>4.0</v>
      </c>
      <c r="G1725" s="13">
        <v>1.0</v>
      </c>
      <c r="H1725" s="13">
        <v>0.0</v>
      </c>
      <c r="I1725" s="13" t="s">
        <v>31</v>
      </c>
      <c r="J1725" s="13" t="s">
        <v>32</v>
      </c>
      <c r="K1725" s="13" t="s">
        <v>33</v>
      </c>
      <c r="L1725" s="13"/>
    </row>
    <row r="1726">
      <c r="A1726" s="13">
        <v>1724.0</v>
      </c>
      <c r="B1726" s="13">
        <v>862.0</v>
      </c>
      <c r="C1726" s="13">
        <v>35.0</v>
      </c>
      <c r="D1726" s="12" t="s">
        <v>162</v>
      </c>
      <c r="E1726" s="12" t="s">
        <v>2973</v>
      </c>
      <c r="F1726" s="13">
        <v>5.0</v>
      </c>
      <c r="G1726" s="13">
        <v>1.0</v>
      </c>
      <c r="H1726" s="13">
        <v>0.0</v>
      </c>
      <c r="I1726" s="13" t="s">
        <v>35</v>
      </c>
      <c r="J1726" s="13" t="s">
        <v>46</v>
      </c>
      <c r="K1726" s="13" t="s">
        <v>52</v>
      </c>
      <c r="L1726" s="13"/>
    </row>
    <row r="1727">
      <c r="A1727" s="13">
        <v>1725.0</v>
      </c>
      <c r="B1727" s="13">
        <v>831.0</v>
      </c>
      <c r="C1727" s="13">
        <v>48.0</v>
      </c>
      <c r="D1727" s="12" t="s">
        <v>2974</v>
      </c>
      <c r="E1727" s="12" t="s">
        <v>2975</v>
      </c>
      <c r="F1727" s="13">
        <v>5.0</v>
      </c>
      <c r="G1727" s="13">
        <v>1.0</v>
      </c>
      <c r="H1727" s="13">
        <v>3.0</v>
      </c>
      <c r="I1727" s="13" t="s">
        <v>35</v>
      </c>
      <c r="J1727" s="13" t="s">
        <v>46</v>
      </c>
      <c r="K1727" s="13" t="s">
        <v>47</v>
      </c>
      <c r="L1727" s="13"/>
    </row>
    <row r="1728">
      <c r="A1728" s="13">
        <v>1726.0</v>
      </c>
      <c r="B1728" s="13">
        <v>899.0</v>
      </c>
      <c r="C1728" s="13">
        <v>65.0</v>
      </c>
      <c r="D1728" s="12" t="s">
        <v>2976</v>
      </c>
      <c r="E1728" s="12" t="s">
        <v>2977</v>
      </c>
      <c r="F1728" s="13">
        <v>5.0</v>
      </c>
      <c r="G1728" s="13">
        <v>1.0</v>
      </c>
      <c r="H1728" s="13">
        <v>0.0</v>
      </c>
      <c r="I1728" s="13" t="s">
        <v>41</v>
      </c>
      <c r="J1728" s="13" t="s">
        <v>46</v>
      </c>
      <c r="K1728" s="13" t="s">
        <v>123</v>
      </c>
      <c r="L1728" s="13"/>
    </row>
    <row r="1729">
      <c r="A1729" s="13">
        <v>1727.0</v>
      </c>
      <c r="B1729" s="13">
        <v>860.0</v>
      </c>
      <c r="C1729" s="13">
        <v>45.0</v>
      </c>
      <c r="D1729" s="12" t="s">
        <v>2978</v>
      </c>
      <c r="E1729" s="12" t="s">
        <v>2979</v>
      </c>
      <c r="F1729" s="13">
        <v>5.0</v>
      </c>
      <c r="G1729" s="13">
        <v>1.0</v>
      </c>
      <c r="H1729" s="13">
        <v>4.0</v>
      </c>
      <c r="I1729" s="13" t="s">
        <v>41</v>
      </c>
      <c r="J1729" s="13" t="s">
        <v>46</v>
      </c>
      <c r="K1729" s="13" t="s">
        <v>52</v>
      </c>
      <c r="L1729" s="13"/>
    </row>
    <row r="1730">
      <c r="A1730" s="13">
        <v>1728.0</v>
      </c>
      <c r="B1730" s="13">
        <v>225.0</v>
      </c>
      <c r="C1730" s="13">
        <v>58.0</v>
      </c>
      <c r="D1730" s="12" t="s">
        <v>2980</v>
      </c>
      <c r="E1730" s="12" t="s">
        <v>2981</v>
      </c>
      <c r="F1730" s="13">
        <v>5.0</v>
      </c>
      <c r="G1730" s="13">
        <v>1.0</v>
      </c>
      <c r="H1730" s="13">
        <v>0.0</v>
      </c>
      <c r="I1730" s="13" t="s">
        <v>31</v>
      </c>
      <c r="J1730" s="13" t="s">
        <v>32</v>
      </c>
      <c r="K1730" s="13" t="s">
        <v>1113</v>
      </c>
      <c r="L1730" s="13"/>
    </row>
    <row r="1731">
      <c r="A1731" s="13">
        <v>1729.0</v>
      </c>
      <c r="B1731" s="13">
        <v>964.0</v>
      </c>
      <c r="C1731" s="13">
        <v>66.0</v>
      </c>
      <c r="D1731" s="12" t="s">
        <v>2982</v>
      </c>
      <c r="E1731" s="12" t="s">
        <v>2983</v>
      </c>
      <c r="F1731" s="13">
        <v>5.0</v>
      </c>
      <c r="G1731" s="13">
        <v>1.0</v>
      </c>
      <c r="H1731" s="13">
        <v>4.0</v>
      </c>
      <c r="I1731" s="13" t="s">
        <v>41</v>
      </c>
      <c r="J1731" s="13" t="s">
        <v>76</v>
      </c>
      <c r="K1731" s="13" t="s">
        <v>76</v>
      </c>
      <c r="L1731" s="13"/>
    </row>
    <row r="1732">
      <c r="A1732" s="13">
        <v>1730.0</v>
      </c>
      <c r="B1732" s="13">
        <v>862.0</v>
      </c>
      <c r="C1732" s="13">
        <v>64.0</v>
      </c>
      <c r="D1732" s="12" t="s">
        <v>2984</v>
      </c>
      <c r="E1732" s="12" t="s">
        <v>2985</v>
      </c>
      <c r="F1732" s="13">
        <v>5.0</v>
      </c>
      <c r="G1732" s="13">
        <v>1.0</v>
      </c>
      <c r="H1732" s="13">
        <v>2.0</v>
      </c>
      <c r="I1732" s="13" t="s">
        <v>35</v>
      </c>
      <c r="J1732" s="13" t="s">
        <v>46</v>
      </c>
      <c r="K1732" s="13" t="s">
        <v>52</v>
      </c>
      <c r="L1732" s="13"/>
    </row>
    <row r="1733">
      <c r="A1733" s="13">
        <v>1731.0</v>
      </c>
      <c r="B1733" s="13">
        <v>862.0</v>
      </c>
      <c r="C1733" s="13">
        <v>59.0</v>
      </c>
      <c r="D1733" s="12" t="s">
        <v>2986</v>
      </c>
      <c r="E1733" s="12" t="s">
        <v>2987</v>
      </c>
      <c r="F1733" s="13">
        <v>3.0</v>
      </c>
      <c r="G1733" s="13">
        <v>1.0</v>
      </c>
      <c r="H1733" s="13">
        <v>0.0</v>
      </c>
      <c r="I1733" s="13" t="s">
        <v>35</v>
      </c>
      <c r="J1733" s="13" t="s">
        <v>46</v>
      </c>
      <c r="K1733" s="13" t="s">
        <v>52</v>
      </c>
      <c r="L1733" s="13"/>
    </row>
    <row r="1734">
      <c r="A1734" s="13">
        <v>1732.0</v>
      </c>
      <c r="B1734" s="13">
        <v>841.0</v>
      </c>
      <c r="C1734" s="13">
        <v>35.0</v>
      </c>
      <c r="D1734" s="12" t="s">
        <v>2988</v>
      </c>
      <c r="E1734" s="12" t="s">
        <v>2989</v>
      </c>
      <c r="F1734" s="13">
        <v>2.0</v>
      </c>
      <c r="G1734" s="13">
        <v>0.0</v>
      </c>
      <c r="H1734" s="13">
        <v>3.0</v>
      </c>
      <c r="I1734" s="13" t="s">
        <v>35</v>
      </c>
      <c r="J1734" s="13" t="s">
        <v>46</v>
      </c>
      <c r="K1734" s="13" t="s">
        <v>47</v>
      </c>
      <c r="L1734" s="13"/>
    </row>
    <row r="1735">
      <c r="A1735" s="13">
        <v>1733.0</v>
      </c>
      <c r="B1735" s="13">
        <v>899.0</v>
      </c>
      <c r="C1735" s="13">
        <v>28.0</v>
      </c>
      <c r="D1735" s="12" t="s">
        <v>2394</v>
      </c>
      <c r="E1735" s="12" t="s">
        <v>2990</v>
      </c>
      <c r="F1735" s="13">
        <v>5.0</v>
      </c>
      <c r="G1735" s="13">
        <v>1.0</v>
      </c>
      <c r="H1735" s="13">
        <v>0.0</v>
      </c>
      <c r="I1735" s="13" t="s">
        <v>41</v>
      </c>
      <c r="J1735" s="13" t="s">
        <v>46</v>
      </c>
      <c r="K1735" s="13" t="s">
        <v>123</v>
      </c>
      <c r="L1735" s="13"/>
    </row>
    <row r="1736">
      <c r="A1736" s="13">
        <v>1734.0</v>
      </c>
      <c r="B1736" s="13">
        <v>841.0</v>
      </c>
      <c r="C1736" s="13">
        <v>38.0</v>
      </c>
      <c r="D1736" s="12" t="s">
        <v>271</v>
      </c>
      <c r="E1736" s="12" t="s">
        <v>2991</v>
      </c>
      <c r="F1736" s="13">
        <v>4.0</v>
      </c>
      <c r="G1736" s="13">
        <v>1.0</v>
      </c>
      <c r="H1736" s="13">
        <v>3.0</v>
      </c>
      <c r="I1736" s="13" t="s">
        <v>35</v>
      </c>
      <c r="J1736" s="13" t="s">
        <v>46</v>
      </c>
      <c r="K1736" s="13" t="s">
        <v>47</v>
      </c>
      <c r="L1736" s="13"/>
    </row>
    <row r="1737">
      <c r="A1737" s="13">
        <v>1735.0</v>
      </c>
      <c r="B1737" s="13">
        <v>830.0</v>
      </c>
      <c r="C1737" s="13">
        <v>46.0</v>
      </c>
      <c r="D1737" s="12" t="s">
        <v>2992</v>
      </c>
      <c r="E1737" s="12" t="s">
        <v>2993</v>
      </c>
      <c r="F1737" s="13">
        <v>5.0</v>
      </c>
      <c r="G1737" s="13">
        <v>1.0</v>
      </c>
      <c r="H1737" s="13">
        <v>12.0</v>
      </c>
      <c r="I1737" s="13" t="s">
        <v>41</v>
      </c>
      <c r="J1737" s="13" t="s">
        <v>46</v>
      </c>
      <c r="K1737" s="13" t="s">
        <v>47</v>
      </c>
      <c r="L1737" s="13"/>
    </row>
    <row r="1738">
      <c r="A1738" s="13">
        <v>1736.0</v>
      </c>
      <c r="B1738" s="13">
        <v>1081.0</v>
      </c>
      <c r="C1738" s="13">
        <v>35.0</v>
      </c>
      <c r="D1738" s="12" t="s">
        <v>2994</v>
      </c>
      <c r="E1738" s="12" t="s">
        <v>2995</v>
      </c>
      <c r="F1738" s="13">
        <v>4.0</v>
      </c>
      <c r="G1738" s="13">
        <v>1.0</v>
      </c>
      <c r="H1738" s="13">
        <v>2.0</v>
      </c>
      <c r="I1738" s="13" t="s">
        <v>35</v>
      </c>
      <c r="J1738" s="13" t="s">
        <v>36</v>
      </c>
      <c r="K1738" s="13" t="s">
        <v>36</v>
      </c>
      <c r="L1738" s="13"/>
    </row>
    <row r="1739">
      <c r="A1739" s="13">
        <v>1737.0</v>
      </c>
      <c r="B1739" s="13">
        <v>1035.0</v>
      </c>
      <c r="C1739" s="13">
        <v>59.0</v>
      </c>
      <c r="D1739" s="12"/>
      <c r="E1739" s="12" t="s">
        <v>2996</v>
      </c>
      <c r="F1739" s="13">
        <v>5.0</v>
      </c>
      <c r="G1739" s="13">
        <v>1.0</v>
      </c>
      <c r="H1739" s="13">
        <v>0.0</v>
      </c>
      <c r="I1739" s="13" t="s">
        <v>35</v>
      </c>
      <c r="J1739" s="13" t="s">
        <v>42</v>
      </c>
      <c r="K1739" s="13" t="s">
        <v>435</v>
      </c>
      <c r="L1739" s="13"/>
    </row>
    <row r="1740">
      <c r="A1740" s="13">
        <v>1738.0</v>
      </c>
      <c r="B1740" s="13">
        <v>984.0</v>
      </c>
      <c r="C1740" s="13">
        <v>55.0</v>
      </c>
      <c r="D1740" s="12" t="s">
        <v>2997</v>
      </c>
      <c r="E1740" s="12" t="s">
        <v>2998</v>
      </c>
      <c r="F1740" s="13">
        <v>5.0</v>
      </c>
      <c r="G1740" s="13">
        <v>1.0</v>
      </c>
      <c r="H1740" s="13">
        <v>0.0</v>
      </c>
      <c r="I1740" s="13" t="s">
        <v>41</v>
      </c>
      <c r="J1740" s="13" t="s">
        <v>76</v>
      </c>
      <c r="K1740" s="13" t="s">
        <v>76</v>
      </c>
      <c r="L1740" s="13"/>
    </row>
    <row r="1741">
      <c r="A1741" s="13">
        <v>1739.0</v>
      </c>
      <c r="B1741" s="13">
        <v>1008.0</v>
      </c>
      <c r="C1741" s="13">
        <v>29.0</v>
      </c>
      <c r="D1741" s="12" t="s">
        <v>2999</v>
      </c>
      <c r="E1741" s="12" t="s">
        <v>3000</v>
      </c>
      <c r="F1741" s="13">
        <v>1.0</v>
      </c>
      <c r="G1741" s="13">
        <v>0.0</v>
      </c>
      <c r="H1741" s="13">
        <v>2.0</v>
      </c>
      <c r="I1741" s="13" t="s">
        <v>41</v>
      </c>
      <c r="J1741" s="13" t="s">
        <v>42</v>
      </c>
      <c r="K1741" s="13" t="s">
        <v>98</v>
      </c>
      <c r="L1741" s="13"/>
    </row>
    <row r="1742">
      <c r="A1742" s="13">
        <v>1740.0</v>
      </c>
      <c r="B1742" s="13">
        <v>830.0</v>
      </c>
      <c r="C1742" s="13">
        <v>31.0</v>
      </c>
      <c r="D1742" s="12" t="s">
        <v>1169</v>
      </c>
      <c r="E1742" s="12" t="s">
        <v>3001</v>
      </c>
      <c r="F1742" s="13">
        <v>5.0</v>
      </c>
      <c r="G1742" s="13">
        <v>1.0</v>
      </c>
      <c r="H1742" s="13">
        <v>0.0</v>
      </c>
      <c r="I1742" s="13" t="s">
        <v>41</v>
      </c>
      <c r="J1742" s="13" t="s">
        <v>46</v>
      </c>
      <c r="K1742" s="13" t="s">
        <v>47</v>
      </c>
      <c r="L1742" s="13"/>
    </row>
    <row r="1743">
      <c r="A1743" s="13">
        <v>1741.0</v>
      </c>
      <c r="B1743" s="13">
        <v>984.0</v>
      </c>
      <c r="C1743" s="13">
        <v>60.0</v>
      </c>
      <c r="D1743" s="12" t="s">
        <v>1593</v>
      </c>
      <c r="E1743" s="12" t="s">
        <v>3002</v>
      </c>
      <c r="F1743" s="13">
        <v>5.0</v>
      </c>
      <c r="G1743" s="13">
        <v>1.0</v>
      </c>
      <c r="H1743" s="13">
        <v>12.0</v>
      </c>
      <c r="I1743" s="13" t="s">
        <v>41</v>
      </c>
      <c r="J1743" s="13" t="s">
        <v>76</v>
      </c>
      <c r="K1743" s="13" t="s">
        <v>76</v>
      </c>
      <c r="L1743" s="13"/>
    </row>
    <row r="1744">
      <c r="A1744" s="13">
        <v>1742.0</v>
      </c>
      <c r="B1744" s="13">
        <v>769.0</v>
      </c>
      <c r="C1744" s="13">
        <v>55.0</v>
      </c>
      <c r="D1744" s="12" t="s">
        <v>3003</v>
      </c>
      <c r="E1744" s="12" t="s">
        <v>3004</v>
      </c>
      <c r="F1744" s="13">
        <v>4.0</v>
      </c>
      <c r="G1744" s="13">
        <v>1.0</v>
      </c>
      <c r="H1744" s="13">
        <v>2.0</v>
      </c>
      <c r="I1744" s="13" t="s">
        <v>31</v>
      </c>
      <c r="J1744" s="13" t="s">
        <v>32</v>
      </c>
      <c r="K1744" s="13" t="s">
        <v>92</v>
      </c>
      <c r="L1744" s="13"/>
    </row>
    <row r="1745">
      <c r="A1745" s="13">
        <v>1743.0</v>
      </c>
      <c r="B1745" s="13">
        <v>1025.0</v>
      </c>
      <c r="C1745" s="13">
        <v>41.0</v>
      </c>
      <c r="D1745" s="12" t="s">
        <v>3005</v>
      </c>
      <c r="E1745" s="12" t="s">
        <v>3006</v>
      </c>
      <c r="F1745" s="13">
        <v>4.0</v>
      </c>
      <c r="G1745" s="13">
        <v>1.0</v>
      </c>
      <c r="H1745" s="13">
        <v>2.0</v>
      </c>
      <c r="I1745" s="13" t="s">
        <v>35</v>
      </c>
      <c r="J1745" s="13" t="s">
        <v>42</v>
      </c>
      <c r="K1745" s="13" t="s">
        <v>435</v>
      </c>
      <c r="L1745" s="13"/>
    </row>
    <row r="1746">
      <c r="A1746" s="13">
        <v>1744.0</v>
      </c>
      <c r="B1746" s="13">
        <v>830.0</v>
      </c>
      <c r="C1746" s="13">
        <v>60.0</v>
      </c>
      <c r="D1746" s="12" t="s">
        <v>3007</v>
      </c>
      <c r="E1746" s="12" t="s">
        <v>3008</v>
      </c>
      <c r="F1746" s="13">
        <v>3.0</v>
      </c>
      <c r="G1746" s="13">
        <v>1.0</v>
      </c>
      <c r="H1746" s="13">
        <v>13.0</v>
      </c>
      <c r="I1746" s="13" t="s">
        <v>41</v>
      </c>
      <c r="J1746" s="13" t="s">
        <v>46</v>
      </c>
      <c r="K1746" s="13" t="s">
        <v>47</v>
      </c>
      <c r="L1746" s="13"/>
    </row>
    <row r="1747">
      <c r="A1747" s="13">
        <v>1745.0</v>
      </c>
      <c r="B1747" s="13">
        <v>888.0</v>
      </c>
      <c r="C1747" s="13">
        <v>54.0</v>
      </c>
      <c r="D1747" s="12" t="s">
        <v>2019</v>
      </c>
      <c r="E1747" s="12" t="s">
        <v>3009</v>
      </c>
      <c r="F1747" s="13">
        <v>5.0</v>
      </c>
      <c r="G1747" s="13">
        <v>1.0</v>
      </c>
      <c r="H1747" s="13">
        <v>0.0</v>
      </c>
      <c r="I1747" s="13" t="s">
        <v>35</v>
      </c>
      <c r="J1747" s="13" t="s">
        <v>46</v>
      </c>
      <c r="K1747" s="13" t="s">
        <v>52</v>
      </c>
      <c r="L1747" s="13"/>
    </row>
    <row r="1748">
      <c r="A1748" s="13">
        <v>1746.0</v>
      </c>
      <c r="B1748" s="13">
        <v>1008.0</v>
      </c>
      <c r="C1748" s="13">
        <v>51.0</v>
      </c>
      <c r="D1748" s="12" t="s">
        <v>220</v>
      </c>
      <c r="E1748" s="12" t="s">
        <v>3010</v>
      </c>
      <c r="F1748" s="13">
        <v>5.0</v>
      </c>
      <c r="G1748" s="13">
        <v>1.0</v>
      </c>
      <c r="H1748" s="13">
        <v>5.0</v>
      </c>
      <c r="I1748" s="13" t="s">
        <v>41</v>
      </c>
      <c r="J1748" s="13" t="s">
        <v>42</v>
      </c>
      <c r="K1748" s="13" t="s">
        <v>98</v>
      </c>
      <c r="L1748" s="13"/>
    </row>
    <row r="1749">
      <c r="A1749" s="13">
        <v>1747.0</v>
      </c>
      <c r="B1749" s="13">
        <v>34.0</v>
      </c>
      <c r="C1749" s="13">
        <v>42.0</v>
      </c>
      <c r="D1749" s="12" t="s">
        <v>3011</v>
      </c>
      <c r="E1749" s="12" t="s">
        <v>3012</v>
      </c>
      <c r="F1749" s="13">
        <v>5.0</v>
      </c>
      <c r="G1749" s="13">
        <v>1.0</v>
      </c>
      <c r="H1749" s="13">
        <v>0.0</v>
      </c>
      <c r="I1749" s="13" t="s">
        <v>31</v>
      </c>
      <c r="J1749" s="13" t="s">
        <v>32</v>
      </c>
      <c r="K1749" s="13" t="s">
        <v>33</v>
      </c>
      <c r="L1749" s="13"/>
    </row>
    <row r="1750">
      <c r="A1750" s="13">
        <v>1748.0</v>
      </c>
      <c r="B1750" s="13">
        <v>1008.0</v>
      </c>
      <c r="C1750" s="13">
        <v>32.0</v>
      </c>
      <c r="D1750" s="12" t="s">
        <v>3013</v>
      </c>
      <c r="E1750" s="12" t="s">
        <v>3014</v>
      </c>
      <c r="F1750" s="13">
        <v>3.0</v>
      </c>
      <c r="G1750" s="13">
        <v>1.0</v>
      </c>
      <c r="H1750" s="13">
        <v>0.0</v>
      </c>
      <c r="I1750" s="13" t="s">
        <v>41</v>
      </c>
      <c r="J1750" s="13" t="s">
        <v>42</v>
      </c>
      <c r="K1750" s="13" t="s">
        <v>98</v>
      </c>
      <c r="L1750" s="13"/>
    </row>
    <row r="1751">
      <c r="A1751" s="13">
        <v>1749.0</v>
      </c>
      <c r="B1751" s="13">
        <v>1008.0</v>
      </c>
      <c r="C1751" s="13">
        <v>35.0</v>
      </c>
      <c r="D1751" s="12" t="s">
        <v>3015</v>
      </c>
      <c r="E1751" s="12" t="s">
        <v>3016</v>
      </c>
      <c r="F1751" s="13">
        <v>5.0</v>
      </c>
      <c r="G1751" s="13">
        <v>1.0</v>
      </c>
      <c r="H1751" s="13">
        <v>1.0</v>
      </c>
      <c r="I1751" s="13" t="s">
        <v>41</v>
      </c>
      <c r="J1751" s="13" t="s">
        <v>42</v>
      </c>
      <c r="K1751" s="13" t="s">
        <v>98</v>
      </c>
      <c r="L1751" s="13"/>
    </row>
    <row r="1752">
      <c r="A1752" s="13">
        <v>1750.0</v>
      </c>
      <c r="B1752" s="13">
        <v>1081.0</v>
      </c>
      <c r="C1752" s="13">
        <v>34.0</v>
      </c>
      <c r="D1752" s="12" t="s">
        <v>3017</v>
      </c>
      <c r="E1752" s="12" t="s">
        <v>3018</v>
      </c>
      <c r="F1752" s="13">
        <v>4.0</v>
      </c>
      <c r="G1752" s="13">
        <v>1.0</v>
      </c>
      <c r="H1752" s="13">
        <v>4.0</v>
      </c>
      <c r="I1752" s="13" t="s">
        <v>35</v>
      </c>
      <c r="J1752" s="13" t="s">
        <v>36</v>
      </c>
      <c r="K1752" s="13" t="s">
        <v>36</v>
      </c>
      <c r="L1752" s="13"/>
    </row>
    <row r="1753">
      <c r="A1753" s="13">
        <v>1751.0</v>
      </c>
      <c r="B1753" s="13">
        <v>1008.0</v>
      </c>
      <c r="C1753" s="13">
        <v>27.0</v>
      </c>
      <c r="D1753" s="12" t="s">
        <v>244</v>
      </c>
      <c r="E1753" s="12" t="s">
        <v>3019</v>
      </c>
      <c r="F1753" s="13">
        <v>4.0</v>
      </c>
      <c r="G1753" s="13">
        <v>1.0</v>
      </c>
      <c r="H1753" s="13">
        <v>6.0</v>
      </c>
      <c r="I1753" s="13" t="s">
        <v>41</v>
      </c>
      <c r="J1753" s="13" t="s">
        <v>42</v>
      </c>
      <c r="K1753" s="13" t="s">
        <v>98</v>
      </c>
      <c r="L1753" s="13"/>
    </row>
    <row r="1754">
      <c r="A1754" s="13">
        <v>1752.0</v>
      </c>
      <c r="B1754" s="13">
        <v>984.0</v>
      </c>
      <c r="C1754" s="13">
        <v>56.0</v>
      </c>
      <c r="D1754" s="12" t="s">
        <v>3020</v>
      </c>
      <c r="E1754" s="12" t="s">
        <v>3021</v>
      </c>
      <c r="F1754" s="13">
        <v>5.0</v>
      </c>
      <c r="G1754" s="13">
        <v>1.0</v>
      </c>
      <c r="H1754" s="13">
        <v>0.0</v>
      </c>
      <c r="I1754" s="13" t="s">
        <v>41</v>
      </c>
      <c r="J1754" s="13" t="s">
        <v>76</v>
      </c>
      <c r="K1754" s="13" t="s">
        <v>76</v>
      </c>
      <c r="L1754" s="13"/>
    </row>
    <row r="1755">
      <c r="A1755" s="13">
        <v>1753.0</v>
      </c>
      <c r="B1755" s="13">
        <v>888.0</v>
      </c>
      <c r="C1755" s="13">
        <v>26.0</v>
      </c>
      <c r="D1755" s="12" t="s">
        <v>3022</v>
      </c>
      <c r="E1755" s="12" t="s">
        <v>3023</v>
      </c>
      <c r="F1755" s="13">
        <v>4.0</v>
      </c>
      <c r="G1755" s="13">
        <v>1.0</v>
      </c>
      <c r="H1755" s="13">
        <v>1.0</v>
      </c>
      <c r="I1755" s="13" t="s">
        <v>35</v>
      </c>
      <c r="J1755" s="13" t="s">
        <v>46</v>
      </c>
      <c r="K1755" s="13" t="s">
        <v>52</v>
      </c>
      <c r="L1755" s="13"/>
    </row>
    <row r="1756">
      <c r="A1756" s="13">
        <v>1754.0</v>
      </c>
      <c r="B1756" s="13">
        <v>1008.0</v>
      </c>
      <c r="C1756" s="13">
        <v>39.0</v>
      </c>
      <c r="D1756" s="12"/>
      <c r="E1756" s="12" t="s">
        <v>3024</v>
      </c>
      <c r="F1756" s="13">
        <v>5.0</v>
      </c>
      <c r="G1756" s="13">
        <v>1.0</v>
      </c>
      <c r="H1756" s="13">
        <v>1.0</v>
      </c>
      <c r="I1756" s="13" t="s">
        <v>41</v>
      </c>
      <c r="J1756" s="13" t="s">
        <v>42</v>
      </c>
      <c r="K1756" s="13" t="s">
        <v>98</v>
      </c>
      <c r="L1756" s="13"/>
    </row>
    <row r="1757">
      <c r="A1757" s="13">
        <v>1755.0</v>
      </c>
      <c r="B1757" s="13">
        <v>1095.0</v>
      </c>
      <c r="C1757" s="13">
        <v>27.0</v>
      </c>
      <c r="D1757" s="12" t="s">
        <v>3025</v>
      </c>
      <c r="E1757" s="12" t="s">
        <v>3026</v>
      </c>
      <c r="F1757" s="13">
        <v>4.0</v>
      </c>
      <c r="G1757" s="13">
        <v>0.0</v>
      </c>
      <c r="H1757" s="13">
        <v>0.0</v>
      </c>
      <c r="I1757" s="13" t="s">
        <v>41</v>
      </c>
      <c r="J1757" s="13" t="s">
        <v>36</v>
      </c>
      <c r="K1757" s="13" t="s">
        <v>36</v>
      </c>
      <c r="L1757" s="13"/>
    </row>
    <row r="1758">
      <c r="A1758" s="13">
        <v>1756.0</v>
      </c>
      <c r="B1758" s="13">
        <v>1095.0</v>
      </c>
      <c r="C1758" s="13">
        <v>35.0</v>
      </c>
      <c r="D1758" s="12" t="s">
        <v>3027</v>
      </c>
      <c r="E1758" s="12" t="s">
        <v>3028</v>
      </c>
      <c r="F1758" s="13">
        <v>5.0</v>
      </c>
      <c r="G1758" s="13">
        <v>1.0</v>
      </c>
      <c r="H1758" s="13">
        <v>2.0</v>
      </c>
      <c r="I1758" s="13" t="s">
        <v>41</v>
      </c>
      <c r="J1758" s="13" t="s">
        <v>36</v>
      </c>
      <c r="K1758" s="13" t="s">
        <v>36</v>
      </c>
      <c r="L1758" s="13"/>
    </row>
    <row r="1759">
      <c r="A1759" s="13">
        <v>1757.0</v>
      </c>
      <c r="B1759" s="13">
        <v>1008.0</v>
      </c>
      <c r="C1759" s="13">
        <v>53.0</v>
      </c>
      <c r="D1759" s="12" t="s">
        <v>3029</v>
      </c>
      <c r="E1759" s="12" t="s">
        <v>3030</v>
      </c>
      <c r="F1759" s="13">
        <v>5.0</v>
      </c>
      <c r="G1759" s="13">
        <v>1.0</v>
      </c>
      <c r="H1759" s="13">
        <v>1.0</v>
      </c>
      <c r="I1759" s="13" t="s">
        <v>41</v>
      </c>
      <c r="J1759" s="13" t="s">
        <v>42</v>
      </c>
      <c r="K1759" s="13" t="s">
        <v>98</v>
      </c>
      <c r="L1759" s="13"/>
    </row>
    <row r="1760">
      <c r="A1760" s="13">
        <v>1758.0</v>
      </c>
      <c r="B1760" s="13">
        <v>1013.0</v>
      </c>
      <c r="C1760" s="13">
        <v>28.0</v>
      </c>
      <c r="D1760" s="12" t="s">
        <v>3031</v>
      </c>
      <c r="E1760" s="12" t="s">
        <v>3032</v>
      </c>
      <c r="F1760" s="13">
        <v>1.0</v>
      </c>
      <c r="G1760" s="13">
        <v>0.0</v>
      </c>
      <c r="H1760" s="13">
        <v>1.0</v>
      </c>
      <c r="I1760" s="13" t="s">
        <v>35</v>
      </c>
      <c r="J1760" s="13" t="s">
        <v>42</v>
      </c>
      <c r="K1760" s="13" t="s">
        <v>98</v>
      </c>
      <c r="L1760" s="13"/>
    </row>
    <row r="1761">
      <c r="A1761" s="13">
        <v>1759.0</v>
      </c>
      <c r="B1761" s="13">
        <v>1027.0</v>
      </c>
      <c r="C1761" s="13">
        <v>59.0</v>
      </c>
      <c r="D1761" s="12" t="s">
        <v>889</v>
      </c>
      <c r="E1761" s="12" t="s">
        <v>3033</v>
      </c>
      <c r="F1761" s="13">
        <v>5.0</v>
      </c>
      <c r="G1761" s="13">
        <v>1.0</v>
      </c>
      <c r="H1761" s="13">
        <v>2.0</v>
      </c>
      <c r="I1761" s="13" t="s">
        <v>35</v>
      </c>
      <c r="J1761" s="13" t="s">
        <v>42</v>
      </c>
      <c r="K1761" s="13" t="s">
        <v>435</v>
      </c>
      <c r="L1761" s="13"/>
    </row>
    <row r="1762">
      <c r="A1762" s="13">
        <v>1760.0</v>
      </c>
      <c r="B1762" s="13">
        <v>1095.0</v>
      </c>
      <c r="C1762" s="13">
        <v>46.0</v>
      </c>
      <c r="D1762" s="12" t="s">
        <v>377</v>
      </c>
      <c r="E1762" s="12" t="s">
        <v>3034</v>
      </c>
      <c r="F1762" s="13">
        <v>3.0</v>
      </c>
      <c r="G1762" s="13">
        <v>0.0</v>
      </c>
      <c r="H1762" s="13">
        <v>1.0</v>
      </c>
      <c r="I1762" s="13" t="s">
        <v>41</v>
      </c>
      <c r="J1762" s="13" t="s">
        <v>36</v>
      </c>
      <c r="K1762" s="13" t="s">
        <v>36</v>
      </c>
      <c r="L1762" s="13"/>
    </row>
    <row r="1763">
      <c r="A1763" s="13">
        <v>1761.0</v>
      </c>
      <c r="B1763" s="13">
        <v>1095.0</v>
      </c>
      <c r="C1763" s="13">
        <v>34.0</v>
      </c>
      <c r="D1763" s="12" t="s">
        <v>3035</v>
      </c>
      <c r="E1763" s="12" t="s">
        <v>3036</v>
      </c>
      <c r="F1763" s="13">
        <v>3.0</v>
      </c>
      <c r="G1763" s="13">
        <v>0.0</v>
      </c>
      <c r="H1763" s="13">
        <v>4.0</v>
      </c>
      <c r="I1763" s="13" t="s">
        <v>41</v>
      </c>
      <c r="J1763" s="13" t="s">
        <v>36</v>
      </c>
      <c r="K1763" s="13" t="s">
        <v>36</v>
      </c>
      <c r="L1763" s="13"/>
    </row>
    <row r="1764">
      <c r="A1764" s="13">
        <v>1762.0</v>
      </c>
      <c r="B1764" s="13">
        <v>867.0</v>
      </c>
      <c r="C1764" s="13">
        <v>56.0</v>
      </c>
      <c r="D1764" s="12" t="s">
        <v>3037</v>
      </c>
      <c r="E1764" s="12" t="s">
        <v>3038</v>
      </c>
      <c r="F1764" s="13">
        <v>5.0</v>
      </c>
      <c r="G1764" s="13">
        <v>1.0</v>
      </c>
      <c r="H1764" s="13">
        <v>5.0</v>
      </c>
      <c r="I1764" s="13" t="s">
        <v>35</v>
      </c>
      <c r="J1764" s="13" t="s">
        <v>46</v>
      </c>
      <c r="K1764" s="13" t="s">
        <v>52</v>
      </c>
      <c r="L1764" s="13"/>
    </row>
    <row r="1765">
      <c r="A1765" s="13">
        <v>1763.0</v>
      </c>
      <c r="B1765" s="13">
        <v>1008.0</v>
      </c>
      <c r="C1765" s="13">
        <v>45.0</v>
      </c>
      <c r="D1765" s="12" t="s">
        <v>2841</v>
      </c>
      <c r="E1765" s="12" t="s">
        <v>3039</v>
      </c>
      <c r="F1765" s="13">
        <v>5.0</v>
      </c>
      <c r="G1765" s="13">
        <v>1.0</v>
      </c>
      <c r="H1765" s="13">
        <v>5.0</v>
      </c>
      <c r="I1765" s="13" t="s">
        <v>41</v>
      </c>
      <c r="J1765" s="13" t="s">
        <v>42</v>
      </c>
      <c r="K1765" s="13" t="s">
        <v>98</v>
      </c>
      <c r="L1765" s="13"/>
    </row>
    <row r="1766">
      <c r="A1766" s="13">
        <v>1764.0</v>
      </c>
      <c r="B1766" s="13">
        <v>867.0</v>
      </c>
      <c r="C1766" s="13">
        <v>38.0</v>
      </c>
      <c r="D1766" s="12"/>
      <c r="E1766" s="12"/>
      <c r="F1766" s="13">
        <v>3.0</v>
      </c>
      <c r="G1766" s="13">
        <v>0.0</v>
      </c>
      <c r="H1766" s="13">
        <v>0.0</v>
      </c>
      <c r="I1766" s="13" t="s">
        <v>35</v>
      </c>
      <c r="J1766" s="13" t="s">
        <v>46</v>
      </c>
      <c r="K1766" s="13" t="s">
        <v>52</v>
      </c>
      <c r="L1766" s="13"/>
    </row>
    <row r="1767">
      <c r="A1767" s="13">
        <v>1765.0</v>
      </c>
      <c r="B1767" s="13">
        <v>1008.0</v>
      </c>
      <c r="C1767" s="13">
        <v>36.0</v>
      </c>
      <c r="D1767" s="12" t="s">
        <v>3040</v>
      </c>
      <c r="E1767" s="12" t="s">
        <v>3041</v>
      </c>
      <c r="F1767" s="13">
        <v>4.0</v>
      </c>
      <c r="G1767" s="13">
        <v>1.0</v>
      </c>
      <c r="H1767" s="13">
        <v>1.0</v>
      </c>
      <c r="I1767" s="13" t="s">
        <v>41</v>
      </c>
      <c r="J1767" s="13" t="s">
        <v>42</v>
      </c>
      <c r="K1767" s="13" t="s">
        <v>98</v>
      </c>
      <c r="L1767" s="13"/>
    </row>
    <row r="1768">
      <c r="A1768" s="13">
        <v>1766.0</v>
      </c>
      <c r="B1768" s="13">
        <v>1095.0</v>
      </c>
      <c r="C1768" s="13">
        <v>24.0</v>
      </c>
      <c r="D1768" s="12" t="s">
        <v>412</v>
      </c>
      <c r="E1768" s="12" t="s">
        <v>3042</v>
      </c>
      <c r="F1768" s="13">
        <v>5.0</v>
      </c>
      <c r="G1768" s="13">
        <v>1.0</v>
      </c>
      <c r="H1768" s="13">
        <v>2.0</v>
      </c>
      <c r="I1768" s="13" t="s">
        <v>41</v>
      </c>
      <c r="J1768" s="13" t="s">
        <v>36</v>
      </c>
      <c r="K1768" s="13" t="s">
        <v>36</v>
      </c>
      <c r="L1768" s="13"/>
    </row>
    <row r="1769">
      <c r="A1769" s="13">
        <v>1767.0</v>
      </c>
      <c r="B1769" s="13">
        <v>825.0</v>
      </c>
      <c r="C1769" s="13">
        <v>39.0</v>
      </c>
      <c r="D1769" s="12" t="s">
        <v>3043</v>
      </c>
      <c r="E1769" s="12" t="s">
        <v>3044</v>
      </c>
      <c r="F1769" s="13">
        <v>4.0</v>
      </c>
      <c r="G1769" s="13">
        <v>1.0</v>
      </c>
      <c r="H1769" s="13">
        <v>0.0</v>
      </c>
      <c r="I1769" s="13" t="s">
        <v>41</v>
      </c>
      <c r="J1769" s="13" t="s">
        <v>46</v>
      </c>
      <c r="K1769" s="13" t="s">
        <v>47</v>
      </c>
      <c r="L1769" s="13"/>
    </row>
    <row r="1770">
      <c r="A1770" s="13">
        <v>1768.0</v>
      </c>
      <c r="B1770" s="13">
        <v>825.0</v>
      </c>
      <c r="C1770" s="13">
        <v>35.0</v>
      </c>
      <c r="D1770" s="12" t="s">
        <v>3045</v>
      </c>
      <c r="E1770" s="12" t="s">
        <v>3046</v>
      </c>
      <c r="F1770" s="13">
        <v>4.0</v>
      </c>
      <c r="G1770" s="13">
        <v>1.0</v>
      </c>
      <c r="H1770" s="13">
        <v>0.0</v>
      </c>
      <c r="I1770" s="13" t="s">
        <v>41</v>
      </c>
      <c r="J1770" s="13" t="s">
        <v>46</v>
      </c>
      <c r="K1770" s="13" t="s">
        <v>47</v>
      </c>
      <c r="L1770" s="13"/>
    </row>
    <row r="1771">
      <c r="A1771" s="13">
        <v>1769.0</v>
      </c>
      <c r="B1771" s="13">
        <v>867.0</v>
      </c>
      <c r="C1771" s="13">
        <v>47.0</v>
      </c>
      <c r="D1771" s="12" t="s">
        <v>3047</v>
      </c>
      <c r="E1771" s="12" t="s">
        <v>3048</v>
      </c>
      <c r="F1771" s="13">
        <v>1.0</v>
      </c>
      <c r="G1771" s="13">
        <v>0.0</v>
      </c>
      <c r="H1771" s="13">
        <v>20.0</v>
      </c>
      <c r="I1771" s="13" t="s">
        <v>35</v>
      </c>
      <c r="J1771" s="13" t="s">
        <v>46</v>
      </c>
      <c r="K1771" s="13" t="s">
        <v>52</v>
      </c>
      <c r="L1771" s="13"/>
    </row>
    <row r="1772">
      <c r="A1772" s="13">
        <v>1770.0</v>
      </c>
      <c r="B1772" s="13">
        <v>867.0</v>
      </c>
      <c r="C1772" s="13">
        <v>60.0</v>
      </c>
      <c r="D1772" s="12" t="s">
        <v>3049</v>
      </c>
      <c r="E1772" s="12" t="s">
        <v>3050</v>
      </c>
      <c r="F1772" s="13">
        <v>2.0</v>
      </c>
      <c r="G1772" s="13">
        <v>0.0</v>
      </c>
      <c r="H1772" s="13">
        <v>1.0</v>
      </c>
      <c r="I1772" s="13" t="s">
        <v>35</v>
      </c>
      <c r="J1772" s="13" t="s">
        <v>46</v>
      </c>
      <c r="K1772" s="13" t="s">
        <v>52</v>
      </c>
      <c r="L1772" s="13"/>
    </row>
    <row r="1773">
      <c r="A1773" s="13">
        <v>1771.0</v>
      </c>
      <c r="B1773" s="13">
        <v>867.0</v>
      </c>
      <c r="C1773" s="13">
        <v>46.0</v>
      </c>
      <c r="D1773" s="12" t="s">
        <v>3051</v>
      </c>
      <c r="E1773" s="12" t="s">
        <v>3052</v>
      </c>
      <c r="F1773" s="13">
        <v>4.0</v>
      </c>
      <c r="G1773" s="13">
        <v>1.0</v>
      </c>
      <c r="H1773" s="13">
        <v>0.0</v>
      </c>
      <c r="I1773" s="13" t="s">
        <v>35</v>
      </c>
      <c r="J1773" s="13" t="s">
        <v>46</v>
      </c>
      <c r="K1773" s="13" t="s">
        <v>52</v>
      </c>
      <c r="L1773" s="13"/>
    </row>
    <row r="1774">
      <c r="A1774" s="13">
        <v>1772.0</v>
      </c>
      <c r="B1774" s="13">
        <v>1095.0</v>
      </c>
      <c r="C1774" s="13">
        <v>35.0</v>
      </c>
      <c r="D1774" s="12" t="s">
        <v>364</v>
      </c>
      <c r="E1774" s="12" t="s">
        <v>3053</v>
      </c>
      <c r="F1774" s="13">
        <v>5.0</v>
      </c>
      <c r="G1774" s="13">
        <v>1.0</v>
      </c>
      <c r="H1774" s="13">
        <v>0.0</v>
      </c>
      <c r="I1774" s="13" t="s">
        <v>41</v>
      </c>
      <c r="J1774" s="13" t="s">
        <v>36</v>
      </c>
      <c r="K1774" s="13" t="s">
        <v>36</v>
      </c>
      <c r="L1774" s="13"/>
    </row>
    <row r="1775">
      <c r="A1775" s="13">
        <v>1773.0</v>
      </c>
      <c r="B1775" s="13">
        <v>1095.0</v>
      </c>
      <c r="C1775" s="13">
        <v>26.0</v>
      </c>
      <c r="D1775" s="12" t="s">
        <v>1874</v>
      </c>
      <c r="E1775" s="12" t="s">
        <v>3054</v>
      </c>
      <c r="F1775" s="13">
        <v>3.0</v>
      </c>
      <c r="G1775" s="13">
        <v>1.0</v>
      </c>
      <c r="H1775" s="13">
        <v>1.0</v>
      </c>
      <c r="I1775" s="13" t="s">
        <v>41</v>
      </c>
      <c r="J1775" s="13" t="s">
        <v>36</v>
      </c>
      <c r="K1775" s="13" t="s">
        <v>36</v>
      </c>
      <c r="L1775" s="13"/>
    </row>
    <row r="1776">
      <c r="A1776" s="13">
        <v>1774.0</v>
      </c>
      <c r="B1776" s="13">
        <v>1095.0</v>
      </c>
      <c r="C1776" s="13">
        <v>70.0</v>
      </c>
      <c r="D1776" s="12" t="s">
        <v>3055</v>
      </c>
      <c r="E1776" s="12" t="s">
        <v>3056</v>
      </c>
      <c r="F1776" s="13">
        <v>4.0</v>
      </c>
      <c r="G1776" s="13">
        <v>1.0</v>
      </c>
      <c r="H1776" s="13">
        <v>0.0</v>
      </c>
      <c r="I1776" s="13" t="s">
        <v>41</v>
      </c>
      <c r="J1776" s="13" t="s">
        <v>36</v>
      </c>
      <c r="K1776" s="13" t="s">
        <v>36</v>
      </c>
      <c r="L1776" s="13"/>
    </row>
    <row r="1777">
      <c r="A1777" s="13">
        <v>1775.0</v>
      </c>
      <c r="B1777" s="13">
        <v>867.0</v>
      </c>
      <c r="C1777" s="13">
        <v>53.0</v>
      </c>
      <c r="D1777" s="12" t="s">
        <v>2866</v>
      </c>
      <c r="E1777" s="12" t="s">
        <v>3057</v>
      </c>
      <c r="F1777" s="13">
        <v>4.0</v>
      </c>
      <c r="G1777" s="13">
        <v>1.0</v>
      </c>
      <c r="H1777" s="13">
        <v>2.0</v>
      </c>
      <c r="I1777" s="13" t="s">
        <v>35</v>
      </c>
      <c r="J1777" s="13" t="s">
        <v>46</v>
      </c>
      <c r="K1777" s="13" t="s">
        <v>52</v>
      </c>
      <c r="L1777" s="13"/>
    </row>
    <row r="1778">
      <c r="A1778" s="13">
        <v>1776.0</v>
      </c>
      <c r="B1778" s="13">
        <v>1008.0</v>
      </c>
      <c r="C1778" s="13">
        <v>35.0</v>
      </c>
      <c r="D1778" s="12"/>
      <c r="E1778" s="12" t="s">
        <v>3058</v>
      </c>
      <c r="F1778" s="13">
        <v>5.0</v>
      </c>
      <c r="G1778" s="13">
        <v>1.0</v>
      </c>
      <c r="H1778" s="13">
        <v>0.0</v>
      </c>
      <c r="I1778" s="13" t="s">
        <v>41</v>
      </c>
      <c r="J1778" s="13" t="s">
        <v>42</v>
      </c>
      <c r="K1778" s="13" t="s">
        <v>98</v>
      </c>
      <c r="L1778" s="13"/>
    </row>
    <row r="1779">
      <c r="A1779" s="13">
        <v>1777.0</v>
      </c>
      <c r="B1779" s="13">
        <v>1095.0</v>
      </c>
      <c r="C1779" s="13">
        <v>24.0</v>
      </c>
      <c r="D1779" s="12"/>
      <c r="E1779" s="12" t="s">
        <v>3059</v>
      </c>
      <c r="F1779" s="13">
        <v>4.0</v>
      </c>
      <c r="G1779" s="13">
        <v>1.0</v>
      </c>
      <c r="H1779" s="13">
        <v>0.0</v>
      </c>
      <c r="I1779" s="13" t="s">
        <v>41</v>
      </c>
      <c r="J1779" s="13" t="s">
        <v>36</v>
      </c>
      <c r="K1779" s="13" t="s">
        <v>36</v>
      </c>
      <c r="L1779" s="13"/>
    </row>
    <row r="1780">
      <c r="A1780" s="13">
        <v>1778.0</v>
      </c>
      <c r="B1780" s="13">
        <v>1008.0</v>
      </c>
      <c r="C1780" s="13">
        <v>30.0</v>
      </c>
      <c r="D1780" s="12" t="s">
        <v>3060</v>
      </c>
      <c r="E1780" s="12" t="s">
        <v>3061</v>
      </c>
      <c r="F1780" s="13">
        <v>5.0</v>
      </c>
      <c r="G1780" s="13">
        <v>1.0</v>
      </c>
      <c r="H1780" s="13">
        <v>0.0</v>
      </c>
      <c r="I1780" s="13" t="s">
        <v>41</v>
      </c>
      <c r="J1780" s="13" t="s">
        <v>42</v>
      </c>
      <c r="K1780" s="13" t="s">
        <v>98</v>
      </c>
      <c r="L1780" s="13"/>
    </row>
    <row r="1781">
      <c r="A1781" s="13">
        <v>1779.0</v>
      </c>
      <c r="B1781" s="13">
        <v>1008.0</v>
      </c>
      <c r="C1781" s="13">
        <v>36.0</v>
      </c>
      <c r="D1781" s="12"/>
      <c r="E1781" s="12" t="s">
        <v>3062</v>
      </c>
      <c r="F1781" s="13">
        <v>5.0</v>
      </c>
      <c r="G1781" s="13">
        <v>1.0</v>
      </c>
      <c r="H1781" s="13">
        <v>2.0</v>
      </c>
      <c r="I1781" s="13" t="s">
        <v>41</v>
      </c>
      <c r="J1781" s="13" t="s">
        <v>42</v>
      </c>
      <c r="K1781" s="13" t="s">
        <v>98</v>
      </c>
      <c r="L1781" s="13"/>
    </row>
    <row r="1782">
      <c r="A1782" s="13">
        <v>1780.0</v>
      </c>
      <c r="B1782" s="13">
        <v>867.0</v>
      </c>
      <c r="C1782" s="13">
        <v>73.0</v>
      </c>
      <c r="D1782" s="12" t="s">
        <v>3063</v>
      </c>
      <c r="E1782" s="12" t="s">
        <v>3064</v>
      </c>
      <c r="F1782" s="13">
        <v>3.0</v>
      </c>
      <c r="G1782" s="13">
        <v>1.0</v>
      </c>
      <c r="H1782" s="13">
        <v>10.0</v>
      </c>
      <c r="I1782" s="13" t="s">
        <v>35</v>
      </c>
      <c r="J1782" s="13" t="s">
        <v>46</v>
      </c>
      <c r="K1782" s="13" t="s">
        <v>52</v>
      </c>
      <c r="L1782" s="13"/>
    </row>
    <row r="1783">
      <c r="A1783" s="13">
        <v>1781.0</v>
      </c>
      <c r="B1783" s="13">
        <v>867.0</v>
      </c>
      <c r="C1783" s="13">
        <v>34.0</v>
      </c>
      <c r="D1783" s="12" t="s">
        <v>3065</v>
      </c>
      <c r="E1783" s="12" t="s">
        <v>3066</v>
      </c>
      <c r="F1783" s="13">
        <v>5.0</v>
      </c>
      <c r="G1783" s="13">
        <v>1.0</v>
      </c>
      <c r="H1783" s="13">
        <v>2.0</v>
      </c>
      <c r="I1783" s="13" t="s">
        <v>35</v>
      </c>
      <c r="J1783" s="13" t="s">
        <v>46</v>
      </c>
      <c r="K1783" s="13" t="s">
        <v>52</v>
      </c>
      <c r="L1783" s="13"/>
    </row>
    <row r="1784">
      <c r="A1784" s="13">
        <v>1782.0</v>
      </c>
      <c r="B1784" s="13">
        <v>1008.0</v>
      </c>
      <c r="C1784" s="13">
        <v>41.0</v>
      </c>
      <c r="D1784" s="12" t="s">
        <v>429</v>
      </c>
      <c r="E1784" s="12" t="s">
        <v>3067</v>
      </c>
      <c r="F1784" s="13">
        <v>5.0</v>
      </c>
      <c r="G1784" s="13">
        <v>1.0</v>
      </c>
      <c r="H1784" s="13">
        <v>0.0</v>
      </c>
      <c r="I1784" s="13" t="s">
        <v>41</v>
      </c>
      <c r="J1784" s="13" t="s">
        <v>42</v>
      </c>
      <c r="K1784" s="13" t="s">
        <v>98</v>
      </c>
      <c r="L1784" s="13"/>
    </row>
    <row r="1785">
      <c r="A1785" s="13">
        <v>1783.0</v>
      </c>
      <c r="B1785" s="13">
        <v>1095.0</v>
      </c>
      <c r="C1785" s="13">
        <v>41.0</v>
      </c>
      <c r="D1785" s="12" t="s">
        <v>3068</v>
      </c>
      <c r="E1785" s="12" t="s">
        <v>3069</v>
      </c>
      <c r="F1785" s="13">
        <v>4.0</v>
      </c>
      <c r="G1785" s="13">
        <v>1.0</v>
      </c>
      <c r="H1785" s="13">
        <v>0.0</v>
      </c>
      <c r="I1785" s="13" t="s">
        <v>41</v>
      </c>
      <c r="J1785" s="13" t="s">
        <v>36</v>
      </c>
      <c r="K1785" s="13" t="s">
        <v>36</v>
      </c>
      <c r="L1785" s="13"/>
    </row>
    <row r="1786">
      <c r="A1786" s="13">
        <v>1784.0</v>
      </c>
      <c r="B1786" s="13">
        <v>825.0</v>
      </c>
      <c r="C1786" s="13">
        <v>37.0</v>
      </c>
      <c r="D1786" s="12"/>
      <c r="E1786" s="12" t="s">
        <v>3070</v>
      </c>
      <c r="F1786" s="13">
        <v>4.0</v>
      </c>
      <c r="G1786" s="13">
        <v>1.0</v>
      </c>
      <c r="H1786" s="13">
        <v>0.0</v>
      </c>
      <c r="I1786" s="13" t="s">
        <v>41</v>
      </c>
      <c r="J1786" s="13" t="s">
        <v>46</v>
      </c>
      <c r="K1786" s="13" t="s">
        <v>47</v>
      </c>
      <c r="L1786" s="13"/>
    </row>
    <row r="1787">
      <c r="A1787" s="13">
        <v>1785.0</v>
      </c>
      <c r="B1787" s="13">
        <v>825.0</v>
      </c>
      <c r="C1787" s="13">
        <v>43.0</v>
      </c>
      <c r="D1787" s="12" t="s">
        <v>3071</v>
      </c>
      <c r="E1787" s="12" t="s">
        <v>3072</v>
      </c>
      <c r="F1787" s="13">
        <v>5.0</v>
      </c>
      <c r="G1787" s="13">
        <v>1.0</v>
      </c>
      <c r="H1787" s="13">
        <v>0.0</v>
      </c>
      <c r="I1787" s="13" t="s">
        <v>41</v>
      </c>
      <c r="J1787" s="13" t="s">
        <v>46</v>
      </c>
      <c r="K1787" s="13" t="s">
        <v>47</v>
      </c>
      <c r="L1787" s="13"/>
    </row>
    <row r="1788">
      <c r="A1788" s="13">
        <v>1786.0</v>
      </c>
      <c r="B1788" s="13">
        <v>867.0</v>
      </c>
      <c r="C1788" s="13">
        <v>41.0</v>
      </c>
      <c r="D1788" s="12" t="s">
        <v>3073</v>
      </c>
      <c r="E1788" s="12" t="s">
        <v>3074</v>
      </c>
      <c r="F1788" s="13">
        <v>2.0</v>
      </c>
      <c r="G1788" s="13">
        <v>0.0</v>
      </c>
      <c r="H1788" s="13">
        <v>0.0</v>
      </c>
      <c r="I1788" s="13" t="s">
        <v>35</v>
      </c>
      <c r="J1788" s="13" t="s">
        <v>46</v>
      </c>
      <c r="K1788" s="13" t="s">
        <v>52</v>
      </c>
      <c r="L1788" s="13"/>
    </row>
    <row r="1789">
      <c r="A1789" s="13">
        <v>1787.0</v>
      </c>
      <c r="B1789" s="13">
        <v>867.0</v>
      </c>
      <c r="C1789" s="13">
        <v>32.0</v>
      </c>
      <c r="D1789" s="12" t="s">
        <v>3075</v>
      </c>
      <c r="E1789" s="12" t="s">
        <v>3076</v>
      </c>
      <c r="F1789" s="13">
        <v>5.0</v>
      </c>
      <c r="G1789" s="13">
        <v>1.0</v>
      </c>
      <c r="H1789" s="13">
        <v>2.0</v>
      </c>
      <c r="I1789" s="13" t="s">
        <v>35</v>
      </c>
      <c r="J1789" s="13" t="s">
        <v>46</v>
      </c>
      <c r="K1789" s="13" t="s">
        <v>52</v>
      </c>
      <c r="L1789" s="13"/>
    </row>
    <row r="1790">
      <c r="A1790" s="13">
        <v>1788.0</v>
      </c>
      <c r="B1790" s="13">
        <v>825.0</v>
      </c>
      <c r="C1790" s="13">
        <v>22.0</v>
      </c>
      <c r="D1790" s="12" t="s">
        <v>3077</v>
      </c>
      <c r="E1790" s="12" t="s">
        <v>3078</v>
      </c>
      <c r="F1790" s="13">
        <v>5.0</v>
      </c>
      <c r="G1790" s="13">
        <v>1.0</v>
      </c>
      <c r="H1790" s="13">
        <v>0.0</v>
      </c>
      <c r="I1790" s="13" t="s">
        <v>41</v>
      </c>
      <c r="J1790" s="13" t="s">
        <v>46</v>
      </c>
      <c r="K1790" s="13" t="s">
        <v>47</v>
      </c>
      <c r="L1790" s="13"/>
    </row>
    <row r="1791">
      <c r="A1791" s="13">
        <v>1789.0</v>
      </c>
      <c r="B1791" s="13">
        <v>1095.0</v>
      </c>
      <c r="C1791" s="13">
        <v>30.0</v>
      </c>
      <c r="D1791" s="12" t="s">
        <v>3079</v>
      </c>
      <c r="E1791" s="12" t="s">
        <v>3080</v>
      </c>
      <c r="F1791" s="13">
        <v>3.0</v>
      </c>
      <c r="G1791" s="13">
        <v>1.0</v>
      </c>
      <c r="H1791" s="13">
        <v>27.0</v>
      </c>
      <c r="I1791" s="13" t="s">
        <v>41</v>
      </c>
      <c r="J1791" s="13" t="s">
        <v>36</v>
      </c>
      <c r="K1791" s="13" t="s">
        <v>36</v>
      </c>
      <c r="L1791" s="13"/>
    </row>
    <row r="1792">
      <c r="A1792" s="13">
        <v>1790.0</v>
      </c>
      <c r="B1792" s="13">
        <v>1095.0</v>
      </c>
      <c r="C1792" s="13">
        <v>26.0</v>
      </c>
      <c r="D1792" s="12" t="s">
        <v>55</v>
      </c>
      <c r="E1792" s="12" t="s">
        <v>3081</v>
      </c>
      <c r="F1792" s="13">
        <v>5.0</v>
      </c>
      <c r="G1792" s="13">
        <v>1.0</v>
      </c>
      <c r="H1792" s="13">
        <v>7.0</v>
      </c>
      <c r="I1792" s="13" t="s">
        <v>41</v>
      </c>
      <c r="J1792" s="13" t="s">
        <v>36</v>
      </c>
      <c r="K1792" s="13" t="s">
        <v>36</v>
      </c>
      <c r="L1792" s="13"/>
    </row>
    <row r="1793">
      <c r="A1793" s="13">
        <v>1791.0</v>
      </c>
      <c r="B1793" s="13">
        <v>825.0</v>
      </c>
      <c r="C1793" s="13">
        <v>43.0</v>
      </c>
      <c r="D1793" s="12" t="s">
        <v>3082</v>
      </c>
      <c r="E1793" s="12" t="s">
        <v>3083</v>
      </c>
      <c r="F1793" s="13">
        <v>5.0</v>
      </c>
      <c r="G1793" s="13">
        <v>1.0</v>
      </c>
      <c r="H1793" s="13">
        <v>1.0</v>
      </c>
      <c r="I1793" s="13" t="s">
        <v>41</v>
      </c>
      <c r="J1793" s="13" t="s">
        <v>46</v>
      </c>
      <c r="K1793" s="13" t="s">
        <v>47</v>
      </c>
      <c r="L1793" s="13"/>
    </row>
    <row r="1794">
      <c r="A1794" s="13">
        <v>1792.0</v>
      </c>
      <c r="B1794" s="13">
        <v>1095.0</v>
      </c>
      <c r="C1794" s="13">
        <v>66.0</v>
      </c>
      <c r="D1794" s="12"/>
      <c r="E1794" s="12" t="s">
        <v>3084</v>
      </c>
      <c r="F1794" s="13">
        <v>4.0</v>
      </c>
      <c r="G1794" s="13">
        <v>1.0</v>
      </c>
      <c r="H1794" s="13">
        <v>10.0</v>
      </c>
      <c r="I1794" s="13" t="s">
        <v>41</v>
      </c>
      <c r="J1794" s="13" t="s">
        <v>36</v>
      </c>
      <c r="K1794" s="13" t="s">
        <v>36</v>
      </c>
      <c r="L1794" s="13"/>
    </row>
    <row r="1795">
      <c r="A1795" s="13">
        <v>1793.0</v>
      </c>
      <c r="B1795" s="13">
        <v>867.0</v>
      </c>
      <c r="C1795" s="13">
        <v>39.0</v>
      </c>
      <c r="D1795" s="12" t="s">
        <v>3085</v>
      </c>
      <c r="E1795" s="12" t="s">
        <v>3086</v>
      </c>
      <c r="F1795" s="13">
        <v>4.0</v>
      </c>
      <c r="G1795" s="13">
        <v>1.0</v>
      </c>
      <c r="H1795" s="13">
        <v>7.0</v>
      </c>
      <c r="I1795" s="13" t="s">
        <v>35</v>
      </c>
      <c r="J1795" s="13" t="s">
        <v>46</v>
      </c>
      <c r="K1795" s="13" t="s">
        <v>52</v>
      </c>
      <c r="L1795" s="13"/>
    </row>
    <row r="1796">
      <c r="A1796" s="13">
        <v>1794.0</v>
      </c>
      <c r="B1796" s="13">
        <v>825.0</v>
      </c>
      <c r="C1796" s="13">
        <v>37.0</v>
      </c>
      <c r="D1796" s="12" t="s">
        <v>3087</v>
      </c>
      <c r="E1796" s="12" t="s">
        <v>3088</v>
      </c>
      <c r="F1796" s="13">
        <v>5.0</v>
      </c>
      <c r="G1796" s="13">
        <v>1.0</v>
      </c>
      <c r="H1796" s="13">
        <v>0.0</v>
      </c>
      <c r="I1796" s="13" t="s">
        <v>41</v>
      </c>
      <c r="J1796" s="13" t="s">
        <v>46</v>
      </c>
      <c r="K1796" s="13" t="s">
        <v>47</v>
      </c>
      <c r="L1796" s="13"/>
    </row>
    <row r="1797">
      <c r="A1797" s="13">
        <v>1795.0</v>
      </c>
      <c r="B1797" s="13">
        <v>825.0</v>
      </c>
      <c r="C1797" s="13">
        <v>56.0</v>
      </c>
      <c r="D1797" s="12" t="s">
        <v>3089</v>
      </c>
      <c r="E1797" s="12" t="s">
        <v>3090</v>
      </c>
      <c r="F1797" s="13">
        <v>5.0</v>
      </c>
      <c r="G1797" s="13">
        <v>1.0</v>
      </c>
      <c r="H1797" s="13">
        <v>0.0</v>
      </c>
      <c r="I1797" s="13" t="s">
        <v>41</v>
      </c>
      <c r="J1797" s="13" t="s">
        <v>46</v>
      </c>
      <c r="K1797" s="13" t="s">
        <v>47</v>
      </c>
      <c r="L1797" s="13"/>
    </row>
    <row r="1798">
      <c r="A1798" s="13">
        <v>1796.0</v>
      </c>
      <c r="B1798" s="13">
        <v>1008.0</v>
      </c>
      <c r="C1798" s="13">
        <v>37.0</v>
      </c>
      <c r="D1798" s="12"/>
      <c r="E1798" s="12" t="s">
        <v>3091</v>
      </c>
      <c r="F1798" s="13">
        <v>5.0</v>
      </c>
      <c r="G1798" s="13">
        <v>1.0</v>
      </c>
      <c r="H1798" s="13">
        <v>0.0</v>
      </c>
      <c r="I1798" s="13" t="s">
        <v>41</v>
      </c>
      <c r="J1798" s="13" t="s">
        <v>42</v>
      </c>
      <c r="K1798" s="13" t="s">
        <v>98</v>
      </c>
      <c r="L1798" s="13"/>
    </row>
    <row r="1799">
      <c r="A1799" s="13">
        <v>1797.0</v>
      </c>
      <c r="B1799" s="13">
        <v>867.0</v>
      </c>
      <c r="C1799" s="13">
        <v>29.0</v>
      </c>
      <c r="D1799" s="12" t="s">
        <v>590</v>
      </c>
      <c r="E1799" s="12" t="s">
        <v>3092</v>
      </c>
      <c r="F1799" s="13">
        <v>5.0</v>
      </c>
      <c r="G1799" s="13">
        <v>1.0</v>
      </c>
      <c r="H1799" s="13">
        <v>1.0</v>
      </c>
      <c r="I1799" s="13" t="s">
        <v>35</v>
      </c>
      <c r="J1799" s="13" t="s">
        <v>46</v>
      </c>
      <c r="K1799" s="13" t="s">
        <v>52</v>
      </c>
      <c r="L1799" s="13"/>
    </row>
    <row r="1800">
      <c r="A1800" s="13">
        <v>1798.0</v>
      </c>
      <c r="B1800" s="13">
        <v>825.0</v>
      </c>
      <c r="C1800" s="13">
        <v>62.0</v>
      </c>
      <c r="D1800" s="12" t="s">
        <v>3093</v>
      </c>
      <c r="E1800" s="12" t="s">
        <v>3094</v>
      </c>
      <c r="F1800" s="13">
        <v>4.0</v>
      </c>
      <c r="G1800" s="13">
        <v>1.0</v>
      </c>
      <c r="H1800" s="13">
        <v>1.0</v>
      </c>
      <c r="I1800" s="13" t="s">
        <v>41</v>
      </c>
      <c r="J1800" s="13" t="s">
        <v>46</v>
      </c>
      <c r="K1800" s="13" t="s">
        <v>47</v>
      </c>
      <c r="L1800" s="13"/>
    </row>
    <row r="1801">
      <c r="A1801" s="13">
        <v>1799.0</v>
      </c>
      <c r="B1801" s="13">
        <v>1008.0</v>
      </c>
      <c r="C1801" s="13">
        <v>66.0</v>
      </c>
      <c r="D1801" s="12" t="s">
        <v>3095</v>
      </c>
      <c r="E1801" s="12" t="s">
        <v>3096</v>
      </c>
      <c r="F1801" s="13">
        <v>5.0</v>
      </c>
      <c r="G1801" s="13">
        <v>1.0</v>
      </c>
      <c r="H1801" s="13">
        <v>0.0</v>
      </c>
      <c r="I1801" s="13" t="s">
        <v>41</v>
      </c>
      <c r="J1801" s="13" t="s">
        <v>42</v>
      </c>
      <c r="K1801" s="13" t="s">
        <v>98</v>
      </c>
      <c r="L1801" s="13"/>
    </row>
    <row r="1802">
      <c r="A1802" s="13">
        <v>1800.0</v>
      </c>
      <c r="B1802" s="13">
        <v>921.0</v>
      </c>
      <c r="C1802" s="13">
        <v>32.0</v>
      </c>
      <c r="D1802" s="12" t="s">
        <v>3097</v>
      </c>
      <c r="E1802" s="12" t="s">
        <v>3098</v>
      </c>
      <c r="F1802" s="13">
        <v>5.0</v>
      </c>
      <c r="G1802" s="13">
        <v>1.0</v>
      </c>
      <c r="H1802" s="13">
        <v>0.0</v>
      </c>
      <c r="I1802" s="13" t="s">
        <v>35</v>
      </c>
      <c r="J1802" s="13" t="s">
        <v>46</v>
      </c>
      <c r="K1802" s="13" t="s">
        <v>95</v>
      </c>
      <c r="L1802" s="13"/>
    </row>
    <row r="1803">
      <c r="A1803" s="13">
        <v>1801.0</v>
      </c>
      <c r="B1803" s="13">
        <v>1095.0</v>
      </c>
      <c r="C1803" s="13">
        <v>23.0</v>
      </c>
      <c r="D1803" s="12" t="s">
        <v>3099</v>
      </c>
      <c r="E1803" s="12" t="s">
        <v>3100</v>
      </c>
      <c r="F1803" s="13">
        <v>4.0</v>
      </c>
      <c r="G1803" s="13">
        <v>1.0</v>
      </c>
      <c r="H1803" s="13">
        <v>8.0</v>
      </c>
      <c r="I1803" s="13" t="s">
        <v>41</v>
      </c>
      <c r="J1803" s="13" t="s">
        <v>36</v>
      </c>
      <c r="K1803" s="13" t="s">
        <v>36</v>
      </c>
      <c r="L1803" s="13"/>
    </row>
    <row r="1804">
      <c r="A1804" s="13">
        <v>1802.0</v>
      </c>
      <c r="B1804" s="13">
        <v>867.0</v>
      </c>
      <c r="C1804" s="13">
        <v>43.0</v>
      </c>
      <c r="D1804" s="12" t="s">
        <v>3101</v>
      </c>
      <c r="E1804" s="12" t="s">
        <v>3102</v>
      </c>
      <c r="F1804" s="13">
        <v>4.0</v>
      </c>
      <c r="G1804" s="13">
        <v>1.0</v>
      </c>
      <c r="H1804" s="13">
        <v>1.0</v>
      </c>
      <c r="I1804" s="13" t="s">
        <v>35</v>
      </c>
      <c r="J1804" s="13" t="s">
        <v>46</v>
      </c>
      <c r="K1804" s="13" t="s">
        <v>52</v>
      </c>
      <c r="L1804" s="13"/>
    </row>
    <row r="1805">
      <c r="A1805" s="13">
        <v>1803.0</v>
      </c>
      <c r="B1805" s="13">
        <v>1030.0</v>
      </c>
      <c r="C1805" s="13">
        <v>41.0</v>
      </c>
      <c r="D1805" s="12" t="s">
        <v>3103</v>
      </c>
      <c r="E1805" s="12" t="s">
        <v>3104</v>
      </c>
      <c r="F1805" s="13">
        <v>5.0</v>
      </c>
      <c r="G1805" s="13">
        <v>1.0</v>
      </c>
      <c r="H1805" s="13">
        <v>1.0</v>
      </c>
      <c r="I1805" s="13" t="s">
        <v>35</v>
      </c>
      <c r="J1805" s="13" t="s">
        <v>42</v>
      </c>
      <c r="K1805" s="13" t="s">
        <v>435</v>
      </c>
      <c r="L1805" s="13"/>
    </row>
    <row r="1806">
      <c r="A1806" s="13">
        <v>1804.0</v>
      </c>
      <c r="B1806" s="13">
        <v>1095.0</v>
      </c>
      <c r="C1806" s="13">
        <v>27.0</v>
      </c>
      <c r="D1806" s="12"/>
      <c r="E1806" s="12" t="s">
        <v>3105</v>
      </c>
      <c r="F1806" s="13">
        <v>5.0</v>
      </c>
      <c r="G1806" s="13">
        <v>1.0</v>
      </c>
      <c r="H1806" s="13">
        <v>2.0</v>
      </c>
      <c r="I1806" s="13" t="s">
        <v>41</v>
      </c>
      <c r="J1806" s="13" t="s">
        <v>36</v>
      </c>
      <c r="K1806" s="13" t="s">
        <v>36</v>
      </c>
      <c r="L1806" s="13"/>
    </row>
    <row r="1807">
      <c r="A1807" s="13">
        <v>1805.0</v>
      </c>
      <c r="B1807" s="13">
        <v>867.0</v>
      </c>
      <c r="C1807" s="13">
        <v>43.0</v>
      </c>
      <c r="D1807" s="12" t="s">
        <v>2179</v>
      </c>
      <c r="E1807" s="12" t="s">
        <v>3106</v>
      </c>
      <c r="F1807" s="13">
        <v>4.0</v>
      </c>
      <c r="G1807" s="13">
        <v>1.0</v>
      </c>
      <c r="H1807" s="13">
        <v>0.0</v>
      </c>
      <c r="I1807" s="13" t="s">
        <v>35</v>
      </c>
      <c r="J1807" s="13" t="s">
        <v>46</v>
      </c>
      <c r="K1807" s="13" t="s">
        <v>52</v>
      </c>
      <c r="L1807" s="13"/>
    </row>
    <row r="1808">
      <c r="A1808" s="13">
        <v>1806.0</v>
      </c>
      <c r="B1808" s="13">
        <v>867.0</v>
      </c>
      <c r="C1808" s="13">
        <v>37.0</v>
      </c>
      <c r="D1808" s="12" t="s">
        <v>3107</v>
      </c>
      <c r="E1808" s="12" t="s">
        <v>3108</v>
      </c>
      <c r="F1808" s="13">
        <v>1.0</v>
      </c>
      <c r="G1808" s="13">
        <v>0.0</v>
      </c>
      <c r="H1808" s="13">
        <v>0.0</v>
      </c>
      <c r="I1808" s="13" t="s">
        <v>35</v>
      </c>
      <c r="J1808" s="13" t="s">
        <v>46</v>
      </c>
      <c r="K1808" s="13" t="s">
        <v>52</v>
      </c>
      <c r="L1808" s="13"/>
    </row>
    <row r="1809">
      <c r="A1809" s="13">
        <v>1807.0</v>
      </c>
      <c r="B1809" s="13">
        <v>1095.0</v>
      </c>
      <c r="C1809" s="13">
        <v>42.0</v>
      </c>
      <c r="D1809" s="12" t="s">
        <v>3109</v>
      </c>
      <c r="E1809" s="12" t="s">
        <v>3110</v>
      </c>
      <c r="F1809" s="13">
        <v>2.0</v>
      </c>
      <c r="G1809" s="13">
        <v>0.0</v>
      </c>
      <c r="H1809" s="13">
        <v>4.0</v>
      </c>
      <c r="I1809" s="13" t="s">
        <v>41</v>
      </c>
      <c r="J1809" s="13" t="s">
        <v>36</v>
      </c>
      <c r="K1809" s="13" t="s">
        <v>36</v>
      </c>
      <c r="L1809" s="13"/>
    </row>
    <row r="1810">
      <c r="A1810" s="13">
        <v>1808.0</v>
      </c>
      <c r="B1810" s="13">
        <v>822.0</v>
      </c>
      <c r="C1810" s="13">
        <v>25.0</v>
      </c>
      <c r="D1810" s="12" t="s">
        <v>3111</v>
      </c>
      <c r="E1810" s="12" t="s">
        <v>3112</v>
      </c>
      <c r="F1810" s="13">
        <v>4.0</v>
      </c>
      <c r="G1810" s="13">
        <v>1.0</v>
      </c>
      <c r="H1810" s="13">
        <v>1.0</v>
      </c>
      <c r="I1810" s="13" t="s">
        <v>35</v>
      </c>
      <c r="J1810" s="13" t="s">
        <v>46</v>
      </c>
      <c r="K1810" s="13" t="s">
        <v>47</v>
      </c>
      <c r="L1810" s="13"/>
    </row>
    <row r="1811">
      <c r="A1811" s="13">
        <v>1809.0</v>
      </c>
      <c r="B1811" s="13">
        <v>867.0</v>
      </c>
      <c r="C1811" s="13">
        <v>39.0</v>
      </c>
      <c r="D1811" s="12" t="s">
        <v>3113</v>
      </c>
      <c r="E1811" s="12" t="s">
        <v>3114</v>
      </c>
      <c r="F1811" s="13">
        <v>1.0</v>
      </c>
      <c r="G1811" s="13">
        <v>0.0</v>
      </c>
      <c r="H1811" s="13">
        <v>8.0</v>
      </c>
      <c r="I1811" s="13" t="s">
        <v>35</v>
      </c>
      <c r="J1811" s="13" t="s">
        <v>46</v>
      </c>
      <c r="K1811" s="13" t="s">
        <v>52</v>
      </c>
      <c r="L1811" s="13"/>
    </row>
    <row r="1812">
      <c r="A1812" s="13">
        <v>1810.0</v>
      </c>
      <c r="B1812" s="13">
        <v>1094.0</v>
      </c>
      <c r="C1812" s="13">
        <v>23.0</v>
      </c>
      <c r="D1812" s="12"/>
      <c r="E1812" s="12" t="s">
        <v>3115</v>
      </c>
      <c r="F1812" s="13">
        <v>5.0</v>
      </c>
      <c r="G1812" s="13">
        <v>1.0</v>
      </c>
      <c r="H1812" s="13">
        <v>0.0</v>
      </c>
      <c r="I1812" s="13" t="s">
        <v>35</v>
      </c>
      <c r="J1812" s="13" t="s">
        <v>36</v>
      </c>
      <c r="K1812" s="13" t="s">
        <v>36</v>
      </c>
      <c r="L1812" s="13"/>
    </row>
    <row r="1813">
      <c r="A1813" s="13">
        <v>1811.0</v>
      </c>
      <c r="B1813" s="13">
        <v>994.0</v>
      </c>
      <c r="C1813" s="13">
        <v>35.0</v>
      </c>
      <c r="D1813" s="12" t="s">
        <v>3116</v>
      </c>
      <c r="E1813" s="12" t="s">
        <v>3117</v>
      </c>
      <c r="F1813" s="13">
        <v>5.0</v>
      </c>
      <c r="G1813" s="13">
        <v>1.0</v>
      </c>
      <c r="H1813" s="13">
        <v>2.0</v>
      </c>
      <c r="I1813" s="13" t="s">
        <v>41</v>
      </c>
      <c r="J1813" s="13" t="s">
        <v>42</v>
      </c>
      <c r="K1813" s="13" t="s">
        <v>98</v>
      </c>
      <c r="L1813" s="13"/>
    </row>
    <row r="1814">
      <c r="A1814" s="13">
        <v>1812.0</v>
      </c>
      <c r="B1814" s="13">
        <v>868.0</v>
      </c>
      <c r="C1814" s="13">
        <v>38.0</v>
      </c>
      <c r="D1814" s="12" t="s">
        <v>2866</v>
      </c>
      <c r="E1814" s="12" t="s">
        <v>3118</v>
      </c>
      <c r="F1814" s="13">
        <v>5.0</v>
      </c>
      <c r="G1814" s="13">
        <v>1.0</v>
      </c>
      <c r="H1814" s="13">
        <v>0.0</v>
      </c>
      <c r="I1814" s="13" t="s">
        <v>35</v>
      </c>
      <c r="J1814" s="13" t="s">
        <v>46</v>
      </c>
      <c r="K1814" s="13" t="s">
        <v>52</v>
      </c>
      <c r="L1814" s="13"/>
    </row>
    <row r="1815">
      <c r="A1815" s="13">
        <v>1813.0</v>
      </c>
      <c r="B1815" s="13">
        <v>481.0</v>
      </c>
      <c r="C1815" s="13">
        <v>53.0</v>
      </c>
      <c r="D1815" s="12" t="s">
        <v>3119</v>
      </c>
      <c r="E1815" s="12" t="s">
        <v>3120</v>
      </c>
      <c r="F1815" s="13">
        <v>4.0</v>
      </c>
      <c r="G1815" s="13">
        <v>1.0</v>
      </c>
      <c r="H1815" s="13">
        <v>3.0</v>
      </c>
      <c r="I1815" s="13" t="s">
        <v>41</v>
      </c>
      <c r="J1815" s="13" t="s">
        <v>42</v>
      </c>
      <c r="K1815" s="13" t="s">
        <v>43</v>
      </c>
      <c r="L1815" s="13"/>
    </row>
    <row r="1816">
      <c r="A1816" s="13">
        <v>1814.0</v>
      </c>
      <c r="B1816" s="13">
        <v>481.0</v>
      </c>
      <c r="C1816" s="13">
        <v>31.0</v>
      </c>
      <c r="D1816" s="12"/>
      <c r="E1816" s="12" t="s">
        <v>3121</v>
      </c>
      <c r="F1816" s="13">
        <v>3.0</v>
      </c>
      <c r="G1816" s="13">
        <v>1.0</v>
      </c>
      <c r="H1816" s="13">
        <v>1.0</v>
      </c>
      <c r="I1816" s="13" t="s">
        <v>41</v>
      </c>
      <c r="J1816" s="13" t="s">
        <v>42</v>
      </c>
      <c r="K1816" s="13" t="s">
        <v>43</v>
      </c>
      <c r="L1816" s="13"/>
    </row>
    <row r="1817">
      <c r="A1817" s="13">
        <v>1815.0</v>
      </c>
      <c r="B1817" s="13">
        <v>1080.0</v>
      </c>
      <c r="C1817" s="13">
        <v>57.0</v>
      </c>
      <c r="D1817" s="12" t="s">
        <v>834</v>
      </c>
      <c r="E1817" s="12" t="s">
        <v>3122</v>
      </c>
      <c r="F1817" s="13">
        <v>5.0</v>
      </c>
      <c r="G1817" s="13">
        <v>1.0</v>
      </c>
      <c r="H1817" s="13">
        <v>0.0</v>
      </c>
      <c r="I1817" s="13" t="s">
        <v>35</v>
      </c>
      <c r="J1817" s="13" t="s">
        <v>36</v>
      </c>
      <c r="K1817" s="13" t="s">
        <v>36</v>
      </c>
      <c r="L1817" s="13"/>
    </row>
    <row r="1818">
      <c r="A1818" s="13">
        <v>1816.0</v>
      </c>
      <c r="B1818" s="13">
        <v>1080.0</v>
      </c>
      <c r="C1818" s="13">
        <v>37.0</v>
      </c>
      <c r="D1818" s="12"/>
      <c r="E1818" s="12" t="s">
        <v>3123</v>
      </c>
      <c r="F1818" s="13">
        <v>4.0</v>
      </c>
      <c r="G1818" s="13">
        <v>1.0</v>
      </c>
      <c r="H1818" s="13">
        <v>3.0</v>
      </c>
      <c r="I1818" s="13" t="s">
        <v>35</v>
      </c>
      <c r="J1818" s="13" t="s">
        <v>36</v>
      </c>
      <c r="K1818" s="13" t="s">
        <v>36</v>
      </c>
      <c r="L1818" s="13"/>
    </row>
    <row r="1819">
      <c r="A1819" s="13">
        <v>1817.0</v>
      </c>
      <c r="B1819" s="13">
        <v>994.0</v>
      </c>
      <c r="C1819" s="13">
        <v>35.0</v>
      </c>
      <c r="D1819" s="12"/>
      <c r="E1819" s="12"/>
      <c r="F1819" s="13">
        <v>5.0</v>
      </c>
      <c r="G1819" s="13">
        <v>1.0</v>
      </c>
      <c r="H1819" s="13">
        <v>0.0</v>
      </c>
      <c r="I1819" s="13" t="s">
        <v>41</v>
      </c>
      <c r="J1819" s="13" t="s">
        <v>42</v>
      </c>
      <c r="K1819" s="13" t="s">
        <v>98</v>
      </c>
      <c r="L1819" s="13"/>
    </row>
    <row r="1820">
      <c r="A1820" s="13">
        <v>1818.0</v>
      </c>
      <c r="B1820" s="13">
        <v>481.0</v>
      </c>
      <c r="C1820" s="13">
        <v>31.0</v>
      </c>
      <c r="D1820" s="12" t="s">
        <v>3124</v>
      </c>
      <c r="E1820" s="12" t="s">
        <v>3125</v>
      </c>
      <c r="F1820" s="13">
        <v>3.0</v>
      </c>
      <c r="G1820" s="13">
        <v>1.0</v>
      </c>
      <c r="H1820" s="13">
        <v>0.0</v>
      </c>
      <c r="I1820" s="13" t="s">
        <v>41</v>
      </c>
      <c r="J1820" s="13" t="s">
        <v>42</v>
      </c>
      <c r="K1820" s="13" t="s">
        <v>43</v>
      </c>
      <c r="L1820" s="13"/>
    </row>
    <row r="1821">
      <c r="A1821" s="13">
        <v>1819.0</v>
      </c>
      <c r="B1821" s="13">
        <v>481.0</v>
      </c>
      <c r="C1821" s="13">
        <v>38.0</v>
      </c>
      <c r="D1821" s="12" t="s">
        <v>3126</v>
      </c>
      <c r="E1821" s="12" t="s">
        <v>3127</v>
      </c>
      <c r="F1821" s="13">
        <v>2.0</v>
      </c>
      <c r="G1821" s="13">
        <v>0.0</v>
      </c>
      <c r="H1821" s="13">
        <v>1.0</v>
      </c>
      <c r="I1821" s="13" t="s">
        <v>41</v>
      </c>
      <c r="J1821" s="13" t="s">
        <v>42</v>
      </c>
      <c r="K1821" s="13" t="s">
        <v>43</v>
      </c>
      <c r="L1821" s="13"/>
    </row>
    <row r="1822">
      <c r="A1822" s="13">
        <v>1820.0</v>
      </c>
      <c r="B1822" s="13">
        <v>902.0</v>
      </c>
      <c r="C1822" s="13">
        <v>56.0</v>
      </c>
      <c r="D1822" s="12" t="s">
        <v>3128</v>
      </c>
      <c r="E1822" s="12" t="s">
        <v>3129</v>
      </c>
      <c r="F1822" s="13">
        <v>4.0</v>
      </c>
      <c r="G1822" s="13">
        <v>0.0</v>
      </c>
      <c r="H1822" s="13">
        <v>0.0</v>
      </c>
      <c r="I1822" s="13" t="s">
        <v>35</v>
      </c>
      <c r="J1822" s="13" t="s">
        <v>46</v>
      </c>
      <c r="K1822" s="13" t="s">
        <v>123</v>
      </c>
      <c r="L1822" s="13"/>
    </row>
    <row r="1823">
      <c r="A1823" s="13">
        <v>1821.0</v>
      </c>
      <c r="B1823" s="13">
        <v>1054.0</v>
      </c>
      <c r="C1823" s="13">
        <v>62.0</v>
      </c>
      <c r="D1823" s="12" t="s">
        <v>3130</v>
      </c>
      <c r="E1823" s="12" t="s">
        <v>3131</v>
      </c>
      <c r="F1823" s="13">
        <v>3.0</v>
      </c>
      <c r="G1823" s="13">
        <v>1.0</v>
      </c>
      <c r="H1823" s="13">
        <v>0.0</v>
      </c>
      <c r="I1823" s="13" t="s">
        <v>35</v>
      </c>
      <c r="J1823" s="13" t="s">
        <v>42</v>
      </c>
      <c r="K1823" s="13" t="s">
        <v>43</v>
      </c>
      <c r="L1823" s="13"/>
    </row>
    <row r="1824">
      <c r="A1824" s="13">
        <v>1822.0</v>
      </c>
      <c r="B1824" s="13">
        <v>1094.0</v>
      </c>
      <c r="C1824" s="13">
        <v>43.0</v>
      </c>
      <c r="D1824" s="12" t="s">
        <v>205</v>
      </c>
      <c r="E1824" s="12" t="s">
        <v>3132</v>
      </c>
      <c r="F1824" s="13">
        <v>2.0</v>
      </c>
      <c r="G1824" s="13">
        <v>0.0</v>
      </c>
      <c r="H1824" s="13">
        <v>0.0</v>
      </c>
      <c r="I1824" s="13" t="s">
        <v>35</v>
      </c>
      <c r="J1824" s="13" t="s">
        <v>36</v>
      </c>
      <c r="K1824" s="13" t="s">
        <v>36</v>
      </c>
      <c r="L1824" s="13"/>
    </row>
    <row r="1825">
      <c r="A1825" s="13">
        <v>1823.0</v>
      </c>
      <c r="B1825" s="13">
        <v>1026.0</v>
      </c>
      <c r="C1825" s="13">
        <v>55.0</v>
      </c>
      <c r="D1825" s="12" t="s">
        <v>3133</v>
      </c>
      <c r="E1825" s="12" t="s">
        <v>3134</v>
      </c>
      <c r="F1825" s="13">
        <v>5.0</v>
      </c>
      <c r="G1825" s="13">
        <v>1.0</v>
      </c>
      <c r="H1825" s="13">
        <v>0.0</v>
      </c>
      <c r="I1825" s="13" t="s">
        <v>41</v>
      </c>
      <c r="J1825" s="13" t="s">
        <v>42</v>
      </c>
      <c r="K1825" s="13" t="s">
        <v>435</v>
      </c>
      <c r="L1825" s="13"/>
    </row>
    <row r="1826">
      <c r="A1826" s="13">
        <v>1824.0</v>
      </c>
      <c r="B1826" s="13">
        <v>868.0</v>
      </c>
      <c r="C1826" s="13">
        <v>66.0</v>
      </c>
      <c r="D1826" s="12" t="s">
        <v>3135</v>
      </c>
      <c r="E1826" s="12" t="s">
        <v>3136</v>
      </c>
      <c r="F1826" s="13">
        <v>3.0</v>
      </c>
      <c r="G1826" s="13">
        <v>1.0</v>
      </c>
      <c r="H1826" s="13">
        <v>0.0</v>
      </c>
      <c r="I1826" s="13" t="s">
        <v>35</v>
      </c>
      <c r="J1826" s="13" t="s">
        <v>46</v>
      </c>
      <c r="K1826" s="13" t="s">
        <v>52</v>
      </c>
      <c r="L1826" s="13"/>
    </row>
    <row r="1827">
      <c r="A1827" s="13">
        <v>1825.0</v>
      </c>
      <c r="B1827" s="13">
        <v>1054.0</v>
      </c>
      <c r="C1827" s="13">
        <v>24.0</v>
      </c>
      <c r="D1827" s="12"/>
      <c r="E1827" s="12" t="s">
        <v>3137</v>
      </c>
      <c r="F1827" s="13">
        <v>5.0</v>
      </c>
      <c r="G1827" s="13">
        <v>1.0</v>
      </c>
      <c r="H1827" s="13">
        <v>0.0</v>
      </c>
      <c r="I1827" s="13" t="s">
        <v>35</v>
      </c>
      <c r="J1827" s="13" t="s">
        <v>42</v>
      </c>
      <c r="K1827" s="13" t="s">
        <v>43</v>
      </c>
      <c r="L1827" s="13"/>
    </row>
    <row r="1828">
      <c r="A1828" s="13">
        <v>1826.0</v>
      </c>
      <c r="B1828" s="13">
        <v>1080.0</v>
      </c>
      <c r="C1828" s="13">
        <v>27.0</v>
      </c>
      <c r="D1828" s="12" t="s">
        <v>3138</v>
      </c>
      <c r="E1828" s="12" t="s">
        <v>3139</v>
      </c>
      <c r="F1828" s="13">
        <v>5.0</v>
      </c>
      <c r="G1828" s="13">
        <v>1.0</v>
      </c>
      <c r="H1828" s="13">
        <v>3.0</v>
      </c>
      <c r="I1828" s="13" t="s">
        <v>35</v>
      </c>
      <c r="J1828" s="13" t="s">
        <v>36</v>
      </c>
      <c r="K1828" s="13" t="s">
        <v>36</v>
      </c>
      <c r="L1828" s="13"/>
    </row>
    <row r="1829">
      <c r="A1829" s="13">
        <v>1827.0</v>
      </c>
      <c r="B1829" s="13">
        <v>994.0</v>
      </c>
      <c r="C1829" s="13">
        <v>24.0</v>
      </c>
      <c r="D1829" s="12" t="s">
        <v>3140</v>
      </c>
      <c r="E1829" s="12" t="s">
        <v>3141</v>
      </c>
      <c r="F1829" s="13">
        <v>5.0</v>
      </c>
      <c r="G1829" s="13">
        <v>1.0</v>
      </c>
      <c r="H1829" s="13">
        <v>0.0</v>
      </c>
      <c r="I1829" s="13" t="s">
        <v>41</v>
      </c>
      <c r="J1829" s="13" t="s">
        <v>42</v>
      </c>
      <c r="K1829" s="13" t="s">
        <v>98</v>
      </c>
      <c r="L1829" s="13"/>
    </row>
    <row r="1830">
      <c r="A1830" s="13">
        <v>1828.0</v>
      </c>
      <c r="B1830" s="13">
        <v>1080.0</v>
      </c>
      <c r="C1830" s="13">
        <v>43.0</v>
      </c>
      <c r="D1830" s="12" t="s">
        <v>3142</v>
      </c>
      <c r="E1830" s="12" t="s">
        <v>3143</v>
      </c>
      <c r="F1830" s="13">
        <v>1.0</v>
      </c>
      <c r="G1830" s="13">
        <v>0.0</v>
      </c>
      <c r="H1830" s="13">
        <v>0.0</v>
      </c>
      <c r="I1830" s="13" t="s">
        <v>35</v>
      </c>
      <c r="J1830" s="13" t="s">
        <v>36</v>
      </c>
      <c r="K1830" s="13" t="s">
        <v>36</v>
      </c>
      <c r="L1830" s="13"/>
    </row>
    <row r="1831">
      <c r="A1831" s="13">
        <v>1829.0</v>
      </c>
      <c r="B1831" s="13">
        <v>1080.0</v>
      </c>
      <c r="C1831" s="13">
        <v>40.0</v>
      </c>
      <c r="D1831" s="12" t="s">
        <v>3144</v>
      </c>
      <c r="E1831" s="12" t="s">
        <v>3145</v>
      </c>
      <c r="F1831" s="13">
        <v>4.0</v>
      </c>
      <c r="G1831" s="13">
        <v>1.0</v>
      </c>
      <c r="H1831" s="13">
        <v>17.0</v>
      </c>
      <c r="I1831" s="13" t="s">
        <v>35</v>
      </c>
      <c r="J1831" s="13" t="s">
        <v>36</v>
      </c>
      <c r="K1831" s="13" t="s">
        <v>36</v>
      </c>
      <c r="L1831" s="13"/>
    </row>
    <row r="1832">
      <c r="A1832" s="13">
        <v>1830.0</v>
      </c>
      <c r="B1832" s="13">
        <v>1094.0</v>
      </c>
      <c r="C1832" s="13">
        <v>47.0</v>
      </c>
      <c r="D1832" s="12" t="s">
        <v>3146</v>
      </c>
      <c r="E1832" s="12" t="s">
        <v>3147</v>
      </c>
      <c r="F1832" s="13">
        <v>5.0</v>
      </c>
      <c r="G1832" s="13">
        <v>1.0</v>
      </c>
      <c r="H1832" s="13">
        <v>0.0</v>
      </c>
      <c r="I1832" s="13" t="s">
        <v>35</v>
      </c>
      <c r="J1832" s="13" t="s">
        <v>36</v>
      </c>
      <c r="K1832" s="13" t="s">
        <v>36</v>
      </c>
      <c r="L1832" s="13"/>
    </row>
    <row r="1833">
      <c r="A1833" s="13">
        <v>1831.0</v>
      </c>
      <c r="B1833" s="13">
        <v>1001.0</v>
      </c>
      <c r="C1833" s="13">
        <v>28.0</v>
      </c>
      <c r="D1833" s="12" t="s">
        <v>3148</v>
      </c>
      <c r="E1833" s="12" t="s">
        <v>3149</v>
      </c>
      <c r="F1833" s="13">
        <v>1.0</v>
      </c>
      <c r="G1833" s="13">
        <v>0.0</v>
      </c>
      <c r="H1833" s="13">
        <v>0.0</v>
      </c>
      <c r="I1833" s="13" t="s">
        <v>35</v>
      </c>
      <c r="J1833" s="13" t="s">
        <v>42</v>
      </c>
      <c r="K1833" s="13" t="s">
        <v>98</v>
      </c>
      <c r="L1833" s="13"/>
    </row>
    <row r="1834">
      <c r="A1834" s="13">
        <v>1832.0</v>
      </c>
      <c r="B1834" s="13">
        <v>1080.0</v>
      </c>
      <c r="C1834" s="13">
        <v>37.0</v>
      </c>
      <c r="D1834" s="12"/>
      <c r="E1834" s="12" t="s">
        <v>3150</v>
      </c>
      <c r="F1834" s="13">
        <v>4.0</v>
      </c>
      <c r="G1834" s="13">
        <v>1.0</v>
      </c>
      <c r="H1834" s="13">
        <v>10.0</v>
      </c>
      <c r="I1834" s="13" t="s">
        <v>35</v>
      </c>
      <c r="J1834" s="13" t="s">
        <v>36</v>
      </c>
      <c r="K1834" s="13" t="s">
        <v>36</v>
      </c>
      <c r="L1834" s="13"/>
    </row>
    <row r="1835">
      <c r="A1835" s="13">
        <v>1833.0</v>
      </c>
      <c r="B1835" s="13">
        <v>903.0</v>
      </c>
      <c r="C1835" s="13">
        <v>35.0</v>
      </c>
      <c r="D1835" s="12" t="s">
        <v>112</v>
      </c>
      <c r="E1835" s="12" t="s">
        <v>3151</v>
      </c>
      <c r="F1835" s="13">
        <v>5.0</v>
      </c>
      <c r="G1835" s="13">
        <v>1.0</v>
      </c>
      <c r="H1835" s="13">
        <v>0.0</v>
      </c>
      <c r="I1835" s="13" t="s">
        <v>35</v>
      </c>
      <c r="J1835" s="13" t="s">
        <v>46</v>
      </c>
      <c r="K1835" s="13" t="s">
        <v>123</v>
      </c>
      <c r="L1835" s="13"/>
    </row>
    <row r="1836">
      <c r="A1836" s="13">
        <v>1834.0</v>
      </c>
      <c r="B1836" s="13">
        <v>1026.0</v>
      </c>
      <c r="C1836" s="13">
        <v>33.0</v>
      </c>
      <c r="D1836" s="12" t="s">
        <v>3152</v>
      </c>
      <c r="E1836" s="12" t="s">
        <v>3153</v>
      </c>
      <c r="F1836" s="13">
        <v>5.0</v>
      </c>
      <c r="G1836" s="13">
        <v>1.0</v>
      </c>
      <c r="H1836" s="13">
        <v>0.0</v>
      </c>
      <c r="I1836" s="13" t="s">
        <v>41</v>
      </c>
      <c r="J1836" s="13" t="s">
        <v>42</v>
      </c>
      <c r="K1836" s="13" t="s">
        <v>435</v>
      </c>
      <c r="L1836" s="13"/>
    </row>
    <row r="1837">
      <c r="A1837" s="13">
        <v>1835.0</v>
      </c>
      <c r="B1837" s="13">
        <v>994.0</v>
      </c>
      <c r="C1837" s="13">
        <v>57.0</v>
      </c>
      <c r="D1837" s="12"/>
      <c r="E1837" s="12"/>
      <c r="F1837" s="13">
        <v>5.0</v>
      </c>
      <c r="G1837" s="13">
        <v>1.0</v>
      </c>
      <c r="H1837" s="13">
        <v>0.0</v>
      </c>
      <c r="I1837" s="13" t="s">
        <v>41</v>
      </c>
      <c r="J1837" s="13" t="s">
        <v>42</v>
      </c>
      <c r="K1837" s="13" t="s">
        <v>98</v>
      </c>
      <c r="L1837" s="13"/>
    </row>
    <row r="1838">
      <c r="A1838" s="13">
        <v>1836.0</v>
      </c>
      <c r="B1838" s="13">
        <v>1094.0</v>
      </c>
      <c r="C1838" s="13">
        <v>43.0</v>
      </c>
      <c r="D1838" s="12"/>
      <c r="E1838" s="12" t="s">
        <v>3154</v>
      </c>
      <c r="F1838" s="13">
        <v>5.0</v>
      </c>
      <c r="G1838" s="13">
        <v>1.0</v>
      </c>
      <c r="H1838" s="13">
        <v>0.0</v>
      </c>
      <c r="I1838" s="13" t="s">
        <v>35</v>
      </c>
      <c r="J1838" s="13" t="s">
        <v>36</v>
      </c>
      <c r="K1838" s="13" t="s">
        <v>36</v>
      </c>
      <c r="L1838" s="13"/>
    </row>
    <row r="1839">
      <c r="A1839" s="13">
        <v>1837.0</v>
      </c>
      <c r="B1839" s="13">
        <v>1094.0</v>
      </c>
      <c r="C1839" s="13">
        <v>36.0</v>
      </c>
      <c r="D1839" s="12" t="s">
        <v>3155</v>
      </c>
      <c r="E1839" s="12" t="s">
        <v>3156</v>
      </c>
      <c r="F1839" s="13">
        <v>3.0</v>
      </c>
      <c r="G1839" s="13">
        <v>1.0</v>
      </c>
      <c r="H1839" s="13">
        <v>0.0</v>
      </c>
      <c r="I1839" s="13" t="s">
        <v>35</v>
      </c>
      <c r="J1839" s="13" t="s">
        <v>36</v>
      </c>
      <c r="K1839" s="13" t="s">
        <v>36</v>
      </c>
      <c r="L1839" s="13"/>
    </row>
    <row r="1840">
      <c r="A1840" s="13">
        <v>1838.0</v>
      </c>
      <c r="B1840" s="13">
        <v>481.0</v>
      </c>
      <c r="C1840" s="13">
        <v>33.0</v>
      </c>
      <c r="D1840" s="12"/>
      <c r="E1840" s="12" t="s">
        <v>3157</v>
      </c>
      <c r="F1840" s="13">
        <v>5.0</v>
      </c>
      <c r="G1840" s="13">
        <v>1.0</v>
      </c>
      <c r="H1840" s="13">
        <v>0.0</v>
      </c>
      <c r="I1840" s="13" t="s">
        <v>41</v>
      </c>
      <c r="J1840" s="13" t="s">
        <v>42</v>
      </c>
      <c r="K1840" s="13" t="s">
        <v>43</v>
      </c>
      <c r="L1840" s="13"/>
    </row>
    <row r="1841">
      <c r="A1841" s="13">
        <v>1839.0</v>
      </c>
      <c r="B1841" s="13">
        <v>868.0</v>
      </c>
      <c r="C1841" s="13">
        <v>48.0</v>
      </c>
      <c r="D1841" s="12" t="s">
        <v>3158</v>
      </c>
      <c r="E1841" s="12" t="s">
        <v>3159</v>
      </c>
      <c r="F1841" s="13">
        <v>5.0</v>
      </c>
      <c r="G1841" s="13">
        <v>1.0</v>
      </c>
      <c r="H1841" s="13">
        <v>0.0</v>
      </c>
      <c r="I1841" s="13" t="s">
        <v>35</v>
      </c>
      <c r="J1841" s="13" t="s">
        <v>46</v>
      </c>
      <c r="K1841" s="13" t="s">
        <v>52</v>
      </c>
      <c r="L1841" s="13"/>
    </row>
    <row r="1842">
      <c r="A1842" s="13">
        <v>1840.0</v>
      </c>
      <c r="B1842" s="13">
        <v>994.0</v>
      </c>
      <c r="C1842" s="13">
        <v>33.0</v>
      </c>
      <c r="D1842" s="12" t="s">
        <v>3160</v>
      </c>
      <c r="E1842" s="12" t="s">
        <v>3161</v>
      </c>
      <c r="F1842" s="13">
        <v>4.0</v>
      </c>
      <c r="G1842" s="13">
        <v>1.0</v>
      </c>
      <c r="H1842" s="13">
        <v>0.0</v>
      </c>
      <c r="I1842" s="13" t="s">
        <v>41</v>
      </c>
      <c r="J1842" s="13" t="s">
        <v>42</v>
      </c>
      <c r="K1842" s="13" t="s">
        <v>98</v>
      </c>
      <c r="L1842" s="13"/>
    </row>
    <row r="1843">
      <c r="A1843" s="13">
        <v>1841.0</v>
      </c>
      <c r="B1843" s="13">
        <v>1094.0</v>
      </c>
      <c r="C1843" s="13">
        <v>58.0</v>
      </c>
      <c r="D1843" s="12" t="s">
        <v>918</v>
      </c>
      <c r="E1843" s="12" t="s">
        <v>3162</v>
      </c>
      <c r="F1843" s="13">
        <v>5.0</v>
      </c>
      <c r="G1843" s="13">
        <v>1.0</v>
      </c>
      <c r="H1843" s="13">
        <v>3.0</v>
      </c>
      <c r="I1843" s="13" t="s">
        <v>35</v>
      </c>
      <c r="J1843" s="13" t="s">
        <v>36</v>
      </c>
      <c r="K1843" s="13" t="s">
        <v>36</v>
      </c>
      <c r="L1843" s="13"/>
    </row>
    <row r="1844">
      <c r="A1844" s="13">
        <v>1842.0</v>
      </c>
      <c r="B1844" s="13">
        <v>868.0</v>
      </c>
      <c r="C1844" s="13">
        <v>49.0</v>
      </c>
      <c r="D1844" s="12" t="s">
        <v>162</v>
      </c>
      <c r="E1844" s="12" t="s">
        <v>3163</v>
      </c>
      <c r="F1844" s="13">
        <v>5.0</v>
      </c>
      <c r="G1844" s="13">
        <v>1.0</v>
      </c>
      <c r="H1844" s="13">
        <v>6.0</v>
      </c>
      <c r="I1844" s="13" t="s">
        <v>35</v>
      </c>
      <c r="J1844" s="13" t="s">
        <v>46</v>
      </c>
      <c r="K1844" s="13" t="s">
        <v>52</v>
      </c>
      <c r="L1844" s="13"/>
    </row>
    <row r="1845">
      <c r="A1845" s="13">
        <v>1843.0</v>
      </c>
      <c r="B1845" s="13">
        <v>1026.0</v>
      </c>
      <c r="C1845" s="13">
        <v>35.0</v>
      </c>
      <c r="D1845" s="12" t="s">
        <v>3164</v>
      </c>
      <c r="E1845" s="12" t="s">
        <v>3165</v>
      </c>
      <c r="F1845" s="13">
        <v>4.0</v>
      </c>
      <c r="G1845" s="13">
        <v>1.0</v>
      </c>
      <c r="H1845" s="13">
        <v>0.0</v>
      </c>
      <c r="I1845" s="13" t="s">
        <v>41</v>
      </c>
      <c r="J1845" s="13" t="s">
        <v>42</v>
      </c>
      <c r="K1845" s="13" t="s">
        <v>435</v>
      </c>
      <c r="L1845" s="13"/>
    </row>
    <row r="1846">
      <c r="A1846" s="13">
        <v>1844.0</v>
      </c>
      <c r="B1846" s="13">
        <v>1080.0</v>
      </c>
      <c r="C1846" s="13">
        <v>32.0</v>
      </c>
      <c r="D1846" s="12" t="s">
        <v>3166</v>
      </c>
      <c r="E1846" s="12" t="s">
        <v>3167</v>
      </c>
      <c r="F1846" s="13">
        <v>5.0</v>
      </c>
      <c r="G1846" s="13">
        <v>1.0</v>
      </c>
      <c r="H1846" s="13">
        <v>1.0</v>
      </c>
      <c r="I1846" s="13" t="s">
        <v>35</v>
      </c>
      <c r="J1846" s="13" t="s">
        <v>36</v>
      </c>
      <c r="K1846" s="13" t="s">
        <v>36</v>
      </c>
      <c r="L1846" s="13"/>
    </row>
    <row r="1847">
      <c r="A1847" s="13">
        <v>1845.0</v>
      </c>
      <c r="B1847" s="13">
        <v>1026.0</v>
      </c>
      <c r="C1847" s="13">
        <v>34.0</v>
      </c>
      <c r="D1847" s="12" t="s">
        <v>3168</v>
      </c>
      <c r="E1847" s="12" t="s">
        <v>3169</v>
      </c>
      <c r="F1847" s="13">
        <v>4.0</v>
      </c>
      <c r="G1847" s="13">
        <v>1.0</v>
      </c>
      <c r="H1847" s="13">
        <v>2.0</v>
      </c>
      <c r="I1847" s="13" t="s">
        <v>41</v>
      </c>
      <c r="J1847" s="13" t="s">
        <v>42</v>
      </c>
      <c r="K1847" s="13" t="s">
        <v>435</v>
      </c>
      <c r="L1847" s="13"/>
    </row>
    <row r="1848">
      <c r="A1848" s="13">
        <v>1846.0</v>
      </c>
      <c r="B1848" s="13">
        <v>1026.0</v>
      </c>
      <c r="C1848" s="13">
        <v>36.0</v>
      </c>
      <c r="D1848" s="12"/>
      <c r="E1848" s="12" t="s">
        <v>3170</v>
      </c>
      <c r="F1848" s="13">
        <v>5.0</v>
      </c>
      <c r="G1848" s="13">
        <v>1.0</v>
      </c>
      <c r="H1848" s="13">
        <v>0.0</v>
      </c>
      <c r="I1848" s="13" t="s">
        <v>41</v>
      </c>
      <c r="J1848" s="13" t="s">
        <v>42</v>
      </c>
      <c r="K1848" s="13" t="s">
        <v>435</v>
      </c>
      <c r="L1848" s="13"/>
    </row>
    <row r="1849">
      <c r="A1849" s="13">
        <v>1847.0</v>
      </c>
      <c r="B1849" s="13">
        <v>1094.0</v>
      </c>
      <c r="C1849" s="13">
        <v>66.0</v>
      </c>
      <c r="D1849" s="12" t="s">
        <v>3171</v>
      </c>
      <c r="E1849" s="12" t="s">
        <v>3172</v>
      </c>
      <c r="F1849" s="13">
        <v>3.0</v>
      </c>
      <c r="G1849" s="13">
        <v>1.0</v>
      </c>
      <c r="H1849" s="13">
        <v>2.0</v>
      </c>
      <c r="I1849" s="13" t="s">
        <v>35</v>
      </c>
      <c r="J1849" s="13" t="s">
        <v>36</v>
      </c>
      <c r="K1849" s="13" t="s">
        <v>36</v>
      </c>
      <c r="L1849" s="13"/>
    </row>
    <row r="1850">
      <c r="A1850" s="13">
        <v>1848.0</v>
      </c>
      <c r="B1850" s="13">
        <v>1080.0</v>
      </c>
      <c r="C1850" s="13">
        <v>39.0</v>
      </c>
      <c r="D1850" s="12"/>
      <c r="E1850" s="12" t="s">
        <v>3173</v>
      </c>
      <c r="F1850" s="13">
        <v>5.0</v>
      </c>
      <c r="G1850" s="13">
        <v>1.0</v>
      </c>
      <c r="H1850" s="13">
        <v>2.0</v>
      </c>
      <c r="I1850" s="13" t="s">
        <v>35</v>
      </c>
      <c r="J1850" s="13" t="s">
        <v>36</v>
      </c>
      <c r="K1850" s="13" t="s">
        <v>36</v>
      </c>
      <c r="L1850" s="13"/>
    </row>
    <row r="1851">
      <c r="A1851" s="13">
        <v>1849.0</v>
      </c>
      <c r="B1851" s="13">
        <v>1080.0</v>
      </c>
      <c r="C1851" s="13">
        <v>28.0</v>
      </c>
      <c r="D1851" s="12" t="s">
        <v>3174</v>
      </c>
      <c r="E1851" s="12" t="s">
        <v>3175</v>
      </c>
      <c r="F1851" s="13">
        <v>5.0</v>
      </c>
      <c r="G1851" s="13">
        <v>1.0</v>
      </c>
      <c r="H1851" s="13">
        <v>0.0</v>
      </c>
      <c r="I1851" s="13" t="s">
        <v>35</v>
      </c>
      <c r="J1851" s="13" t="s">
        <v>36</v>
      </c>
      <c r="K1851" s="13" t="s">
        <v>36</v>
      </c>
      <c r="L1851" s="13"/>
    </row>
    <row r="1852">
      <c r="A1852" s="13">
        <v>1850.0</v>
      </c>
      <c r="B1852" s="13">
        <v>1080.0</v>
      </c>
      <c r="C1852" s="13">
        <v>31.0</v>
      </c>
      <c r="D1852" s="12" t="s">
        <v>3176</v>
      </c>
      <c r="E1852" s="12" t="s">
        <v>3177</v>
      </c>
      <c r="F1852" s="13">
        <v>5.0</v>
      </c>
      <c r="G1852" s="13">
        <v>1.0</v>
      </c>
      <c r="H1852" s="13">
        <v>0.0</v>
      </c>
      <c r="I1852" s="13" t="s">
        <v>35</v>
      </c>
      <c r="J1852" s="13" t="s">
        <v>36</v>
      </c>
      <c r="K1852" s="13" t="s">
        <v>36</v>
      </c>
      <c r="L1852" s="13"/>
    </row>
    <row r="1853">
      <c r="A1853" s="13">
        <v>1851.0</v>
      </c>
      <c r="B1853" s="13">
        <v>868.0</v>
      </c>
      <c r="C1853" s="13">
        <v>63.0</v>
      </c>
      <c r="D1853" s="12"/>
      <c r="E1853" s="12" t="s">
        <v>3178</v>
      </c>
      <c r="F1853" s="13">
        <v>4.0</v>
      </c>
      <c r="G1853" s="13">
        <v>1.0</v>
      </c>
      <c r="H1853" s="13">
        <v>0.0</v>
      </c>
      <c r="I1853" s="13" t="s">
        <v>35</v>
      </c>
      <c r="J1853" s="13" t="s">
        <v>46</v>
      </c>
      <c r="K1853" s="13" t="s">
        <v>52</v>
      </c>
      <c r="L1853" s="13"/>
    </row>
    <row r="1854">
      <c r="A1854" s="13">
        <v>1852.0</v>
      </c>
      <c r="B1854" s="13">
        <v>481.0</v>
      </c>
      <c r="C1854" s="13">
        <v>41.0</v>
      </c>
      <c r="D1854" s="12" t="s">
        <v>3179</v>
      </c>
      <c r="E1854" s="12" t="s">
        <v>3180</v>
      </c>
      <c r="F1854" s="13">
        <v>5.0</v>
      </c>
      <c r="G1854" s="13">
        <v>1.0</v>
      </c>
      <c r="H1854" s="13">
        <v>9.0</v>
      </c>
      <c r="I1854" s="13" t="s">
        <v>41</v>
      </c>
      <c r="J1854" s="13" t="s">
        <v>42</v>
      </c>
      <c r="K1854" s="13" t="s">
        <v>43</v>
      </c>
      <c r="L1854" s="13"/>
    </row>
    <row r="1855">
      <c r="A1855" s="13">
        <v>1853.0</v>
      </c>
      <c r="B1855" s="13">
        <v>1080.0</v>
      </c>
      <c r="C1855" s="13">
        <v>41.0</v>
      </c>
      <c r="D1855" s="12" t="s">
        <v>1169</v>
      </c>
      <c r="E1855" s="12" t="s">
        <v>3181</v>
      </c>
      <c r="F1855" s="13">
        <v>4.0</v>
      </c>
      <c r="G1855" s="13">
        <v>1.0</v>
      </c>
      <c r="H1855" s="13">
        <v>47.0</v>
      </c>
      <c r="I1855" s="13" t="s">
        <v>35</v>
      </c>
      <c r="J1855" s="13" t="s">
        <v>36</v>
      </c>
      <c r="K1855" s="13" t="s">
        <v>36</v>
      </c>
      <c r="L1855" s="13"/>
    </row>
    <row r="1856">
      <c r="A1856" s="13">
        <v>1854.0</v>
      </c>
      <c r="B1856" s="13">
        <v>857.0</v>
      </c>
      <c r="C1856" s="13">
        <v>33.0</v>
      </c>
      <c r="D1856" s="12" t="s">
        <v>3182</v>
      </c>
      <c r="E1856" s="12" t="s">
        <v>3183</v>
      </c>
      <c r="F1856" s="13">
        <v>1.0</v>
      </c>
      <c r="G1856" s="13">
        <v>0.0</v>
      </c>
      <c r="H1856" s="13">
        <v>12.0</v>
      </c>
      <c r="I1856" s="13" t="s">
        <v>35</v>
      </c>
      <c r="J1856" s="13" t="s">
        <v>46</v>
      </c>
      <c r="K1856" s="13" t="s">
        <v>52</v>
      </c>
      <c r="L1856" s="13"/>
    </row>
    <row r="1857">
      <c r="A1857" s="13">
        <v>1855.0</v>
      </c>
      <c r="B1857" s="13">
        <v>1080.0</v>
      </c>
      <c r="C1857" s="13">
        <v>43.0</v>
      </c>
      <c r="D1857" s="12" t="s">
        <v>3184</v>
      </c>
      <c r="E1857" s="12" t="s">
        <v>3185</v>
      </c>
      <c r="F1857" s="13">
        <v>5.0</v>
      </c>
      <c r="G1857" s="13">
        <v>1.0</v>
      </c>
      <c r="H1857" s="13">
        <v>2.0</v>
      </c>
      <c r="I1857" s="13" t="s">
        <v>35</v>
      </c>
      <c r="J1857" s="13" t="s">
        <v>36</v>
      </c>
      <c r="K1857" s="13" t="s">
        <v>36</v>
      </c>
      <c r="L1857" s="13"/>
    </row>
    <row r="1858">
      <c r="A1858" s="13">
        <v>1856.0</v>
      </c>
      <c r="B1858" s="13">
        <v>481.0</v>
      </c>
      <c r="C1858" s="13">
        <v>59.0</v>
      </c>
      <c r="D1858" s="12" t="s">
        <v>3186</v>
      </c>
      <c r="E1858" s="12" t="s">
        <v>3187</v>
      </c>
      <c r="F1858" s="13">
        <v>4.0</v>
      </c>
      <c r="G1858" s="13">
        <v>0.0</v>
      </c>
      <c r="H1858" s="13">
        <v>1.0</v>
      </c>
      <c r="I1858" s="13" t="s">
        <v>41</v>
      </c>
      <c r="J1858" s="13" t="s">
        <v>42</v>
      </c>
      <c r="K1858" s="13" t="s">
        <v>43</v>
      </c>
      <c r="L1858" s="13"/>
    </row>
    <row r="1859">
      <c r="A1859" s="13">
        <v>1857.0</v>
      </c>
      <c r="B1859" s="13">
        <v>1094.0</v>
      </c>
      <c r="C1859" s="13">
        <v>30.0</v>
      </c>
      <c r="D1859" s="12" t="s">
        <v>3188</v>
      </c>
      <c r="E1859" s="12" t="s">
        <v>3189</v>
      </c>
      <c r="F1859" s="13">
        <v>2.0</v>
      </c>
      <c r="G1859" s="13">
        <v>0.0</v>
      </c>
      <c r="H1859" s="13">
        <v>0.0</v>
      </c>
      <c r="I1859" s="13" t="s">
        <v>35</v>
      </c>
      <c r="J1859" s="13" t="s">
        <v>36</v>
      </c>
      <c r="K1859" s="13" t="s">
        <v>36</v>
      </c>
      <c r="L1859" s="13"/>
    </row>
    <row r="1860">
      <c r="A1860" s="13">
        <v>1858.0</v>
      </c>
      <c r="B1860" s="13">
        <v>1094.0</v>
      </c>
      <c r="C1860" s="13">
        <v>63.0</v>
      </c>
      <c r="D1860" s="12" t="s">
        <v>3190</v>
      </c>
      <c r="E1860" s="12" t="s">
        <v>3191</v>
      </c>
      <c r="F1860" s="13">
        <v>3.0</v>
      </c>
      <c r="G1860" s="13">
        <v>0.0</v>
      </c>
      <c r="H1860" s="13">
        <v>1.0</v>
      </c>
      <c r="I1860" s="13" t="s">
        <v>35</v>
      </c>
      <c r="J1860" s="13" t="s">
        <v>36</v>
      </c>
      <c r="K1860" s="13" t="s">
        <v>36</v>
      </c>
      <c r="L1860" s="13"/>
    </row>
    <row r="1861">
      <c r="A1861" s="13">
        <v>1859.0</v>
      </c>
      <c r="B1861" s="13">
        <v>857.0</v>
      </c>
      <c r="C1861" s="13">
        <v>34.0</v>
      </c>
      <c r="D1861" s="12" t="s">
        <v>1248</v>
      </c>
      <c r="E1861" s="12" t="s">
        <v>3192</v>
      </c>
      <c r="F1861" s="13">
        <v>4.0</v>
      </c>
      <c r="G1861" s="13">
        <v>1.0</v>
      </c>
      <c r="H1861" s="13">
        <v>0.0</v>
      </c>
      <c r="I1861" s="13" t="s">
        <v>35</v>
      </c>
      <c r="J1861" s="13" t="s">
        <v>46</v>
      </c>
      <c r="K1861" s="13" t="s">
        <v>52</v>
      </c>
      <c r="L1861" s="13"/>
    </row>
    <row r="1862">
      <c r="A1862" s="13">
        <v>1860.0</v>
      </c>
      <c r="B1862" s="13">
        <v>1094.0</v>
      </c>
      <c r="C1862" s="13">
        <v>58.0</v>
      </c>
      <c r="D1862" s="12" t="s">
        <v>3193</v>
      </c>
      <c r="E1862" s="12" t="s">
        <v>3194</v>
      </c>
      <c r="F1862" s="13">
        <v>5.0</v>
      </c>
      <c r="G1862" s="13">
        <v>1.0</v>
      </c>
      <c r="H1862" s="13">
        <v>0.0</v>
      </c>
      <c r="I1862" s="13" t="s">
        <v>35</v>
      </c>
      <c r="J1862" s="13" t="s">
        <v>36</v>
      </c>
      <c r="K1862" s="13" t="s">
        <v>36</v>
      </c>
      <c r="L1862" s="13"/>
    </row>
    <row r="1863">
      <c r="A1863" s="13">
        <v>1861.0</v>
      </c>
      <c r="B1863" s="13">
        <v>1026.0</v>
      </c>
      <c r="C1863" s="13">
        <v>35.0</v>
      </c>
      <c r="D1863" s="12" t="s">
        <v>3195</v>
      </c>
      <c r="E1863" s="12" t="s">
        <v>3196</v>
      </c>
      <c r="F1863" s="13">
        <v>4.0</v>
      </c>
      <c r="G1863" s="13">
        <v>1.0</v>
      </c>
      <c r="H1863" s="13">
        <v>0.0</v>
      </c>
      <c r="I1863" s="13" t="s">
        <v>41</v>
      </c>
      <c r="J1863" s="13" t="s">
        <v>42</v>
      </c>
      <c r="K1863" s="13" t="s">
        <v>435</v>
      </c>
      <c r="L1863" s="13"/>
    </row>
    <row r="1864">
      <c r="A1864" s="13">
        <v>1862.0</v>
      </c>
      <c r="B1864" s="13">
        <v>1026.0</v>
      </c>
      <c r="C1864" s="13">
        <v>34.0</v>
      </c>
      <c r="D1864" s="12" t="s">
        <v>3197</v>
      </c>
      <c r="E1864" s="12" t="s">
        <v>3198</v>
      </c>
      <c r="F1864" s="13">
        <v>5.0</v>
      </c>
      <c r="G1864" s="13">
        <v>1.0</v>
      </c>
      <c r="H1864" s="13">
        <v>0.0</v>
      </c>
      <c r="I1864" s="13" t="s">
        <v>41</v>
      </c>
      <c r="J1864" s="13" t="s">
        <v>42</v>
      </c>
      <c r="K1864" s="13" t="s">
        <v>435</v>
      </c>
      <c r="L1864" s="13"/>
    </row>
    <row r="1865">
      <c r="A1865" s="13">
        <v>1863.0</v>
      </c>
      <c r="B1865" s="13">
        <v>903.0</v>
      </c>
      <c r="C1865" s="13">
        <v>36.0</v>
      </c>
      <c r="D1865" s="12" t="s">
        <v>177</v>
      </c>
      <c r="E1865" s="12" t="s">
        <v>3199</v>
      </c>
      <c r="F1865" s="13">
        <v>4.0</v>
      </c>
      <c r="G1865" s="13">
        <v>1.0</v>
      </c>
      <c r="H1865" s="13">
        <v>0.0</v>
      </c>
      <c r="I1865" s="13" t="s">
        <v>35</v>
      </c>
      <c r="J1865" s="13" t="s">
        <v>46</v>
      </c>
      <c r="K1865" s="13" t="s">
        <v>123</v>
      </c>
      <c r="L1865" s="13"/>
    </row>
    <row r="1866">
      <c r="A1866" s="13">
        <v>1864.0</v>
      </c>
      <c r="B1866" s="13">
        <v>1054.0</v>
      </c>
      <c r="C1866" s="13">
        <v>35.0</v>
      </c>
      <c r="D1866" s="12" t="s">
        <v>635</v>
      </c>
      <c r="E1866" s="12" t="s">
        <v>3200</v>
      </c>
      <c r="F1866" s="13">
        <v>4.0</v>
      </c>
      <c r="G1866" s="13">
        <v>1.0</v>
      </c>
      <c r="H1866" s="13">
        <v>0.0</v>
      </c>
      <c r="I1866" s="13" t="s">
        <v>35</v>
      </c>
      <c r="J1866" s="13" t="s">
        <v>42</v>
      </c>
      <c r="K1866" s="13" t="s">
        <v>43</v>
      </c>
      <c r="L1866" s="13"/>
    </row>
    <row r="1867">
      <c r="A1867" s="13">
        <v>1865.0</v>
      </c>
      <c r="B1867" s="13">
        <v>1094.0</v>
      </c>
      <c r="C1867" s="13">
        <v>39.0</v>
      </c>
      <c r="D1867" s="12" t="s">
        <v>3201</v>
      </c>
      <c r="E1867" s="12" t="s">
        <v>3202</v>
      </c>
      <c r="F1867" s="13">
        <v>4.0</v>
      </c>
      <c r="G1867" s="13">
        <v>1.0</v>
      </c>
      <c r="H1867" s="13">
        <v>0.0</v>
      </c>
      <c r="I1867" s="13" t="s">
        <v>35</v>
      </c>
      <c r="J1867" s="13" t="s">
        <v>36</v>
      </c>
      <c r="K1867" s="13" t="s">
        <v>36</v>
      </c>
      <c r="L1867" s="13"/>
    </row>
    <row r="1868">
      <c r="A1868" s="13">
        <v>1866.0</v>
      </c>
      <c r="B1868" s="13">
        <v>1080.0</v>
      </c>
      <c r="C1868" s="13">
        <v>39.0</v>
      </c>
      <c r="D1868" s="12" t="s">
        <v>3203</v>
      </c>
      <c r="E1868" s="12" t="s">
        <v>3204</v>
      </c>
      <c r="F1868" s="13">
        <v>5.0</v>
      </c>
      <c r="G1868" s="13">
        <v>1.0</v>
      </c>
      <c r="H1868" s="13">
        <v>6.0</v>
      </c>
      <c r="I1868" s="13" t="s">
        <v>35</v>
      </c>
      <c r="J1868" s="13" t="s">
        <v>36</v>
      </c>
      <c r="K1868" s="13" t="s">
        <v>36</v>
      </c>
      <c r="L1868" s="13"/>
    </row>
    <row r="1869">
      <c r="A1869" s="13">
        <v>1867.0</v>
      </c>
      <c r="B1869" s="13">
        <v>1080.0</v>
      </c>
      <c r="C1869" s="13">
        <v>33.0</v>
      </c>
      <c r="D1869" s="12" t="s">
        <v>954</v>
      </c>
      <c r="E1869" s="12" t="s">
        <v>3205</v>
      </c>
      <c r="F1869" s="13">
        <v>5.0</v>
      </c>
      <c r="G1869" s="13">
        <v>1.0</v>
      </c>
      <c r="H1869" s="13">
        <v>2.0</v>
      </c>
      <c r="I1869" s="13" t="s">
        <v>35</v>
      </c>
      <c r="J1869" s="13" t="s">
        <v>36</v>
      </c>
      <c r="K1869" s="13" t="s">
        <v>36</v>
      </c>
      <c r="L1869" s="13"/>
    </row>
    <row r="1870">
      <c r="A1870" s="13">
        <v>1868.0</v>
      </c>
      <c r="B1870" s="13">
        <v>1094.0</v>
      </c>
      <c r="C1870" s="13">
        <v>50.0</v>
      </c>
      <c r="D1870" s="12" t="s">
        <v>3206</v>
      </c>
      <c r="E1870" s="12" t="s">
        <v>3207</v>
      </c>
      <c r="F1870" s="13">
        <v>5.0</v>
      </c>
      <c r="G1870" s="13">
        <v>1.0</v>
      </c>
      <c r="H1870" s="13">
        <v>0.0</v>
      </c>
      <c r="I1870" s="13" t="s">
        <v>35</v>
      </c>
      <c r="J1870" s="13" t="s">
        <v>36</v>
      </c>
      <c r="K1870" s="13" t="s">
        <v>36</v>
      </c>
      <c r="L1870" s="13"/>
    </row>
    <row r="1871">
      <c r="A1871" s="13">
        <v>1869.0</v>
      </c>
      <c r="B1871" s="13">
        <v>857.0</v>
      </c>
      <c r="C1871" s="13">
        <v>32.0</v>
      </c>
      <c r="D1871" s="12" t="s">
        <v>3208</v>
      </c>
      <c r="E1871" s="12" t="s">
        <v>3209</v>
      </c>
      <c r="F1871" s="13">
        <v>3.0</v>
      </c>
      <c r="G1871" s="13">
        <v>1.0</v>
      </c>
      <c r="H1871" s="13">
        <v>0.0</v>
      </c>
      <c r="I1871" s="13" t="s">
        <v>35</v>
      </c>
      <c r="J1871" s="13" t="s">
        <v>46</v>
      </c>
      <c r="K1871" s="13" t="s">
        <v>52</v>
      </c>
      <c r="L1871" s="13"/>
    </row>
    <row r="1872">
      <c r="A1872" s="13">
        <v>1870.0</v>
      </c>
      <c r="B1872" s="13">
        <v>1080.0</v>
      </c>
      <c r="C1872" s="13">
        <v>33.0</v>
      </c>
      <c r="D1872" s="12" t="s">
        <v>1981</v>
      </c>
      <c r="E1872" s="12" t="s">
        <v>3210</v>
      </c>
      <c r="F1872" s="13">
        <v>5.0</v>
      </c>
      <c r="G1872" s="13">
        <v>1.0</v>
      </c>
      <c r="H1872" s="13">
        <v>0.0</v>
      </c>
      <c r="I1872" s="13" t="s">
        <v>35</v>
      </c>
      <c r="J1872" s="13" t="s">
        <v>36</v>
      </c>
      <c r="K1872" s="13" t="s">
        <v>36</v>
      </c>
      <c r="L1872" s="13"/>
    </row>
    <row r="1873">
      <c r="A1873" s="13">
        <v>1871.0</v>
      </c>
      <c r="B1873" s="13">
        <v>1094.0</v>
      </c>
      <c r="C1873" s="13">
        <v>39.0</v>
      </c>
      <c r="D1873" s="12" t="s">
        <v>3211</v>
      </c>
      <c r="E1873" s="12" t="s">
        <v>3212</v>
      </c>
      <c r="F1873" s="13">
        <v>5.0</v>
      </c>
      <c r="G1873" s="13">
        <v>1.0</v>
      </c>
      <c r="H1873" s="13">
        <v>0.0</v>
      </c>
      <c r="I1873" s="13" t="s">
        <v>35</v>
      </c>
      <c r="J1873" s="13" t="s">
        <v>36</v>
      </c>
      <c r="K1873" s="13" t="s">
        <v>36</v>
      </c>
      <c r="L1873" s="13"/>
    </row>
    <row r="1874">
      <c r="A1874" s="13">
        <v>1872.0</v>
      </c>
      <c r="B1874" s="13">
        <v>1094.0</v>
      </c>
      <c r="C1874" s="13">
        <v>65.0</v>
      </c>
      <c r="D1874" s="12" t="s">
        <v>3213</v>
      </c>
      <c r="E1874" s="12" t="s">
        <v>3214</v>
      </c>
      <c r="F1874" s="13">
        <v>5.0</v>
      </c>
      <c r="G1874" s="13">
        <v>1.0</v>
      </c>
      <c r="H1874" s="13">
        <v>9.0</v>
      </c>
      <c r="I1874" s="13" t="s">
        <v>35</v>
      </c>
      <c r="J1874" s="13" t="s">
        <v>36</v>
      </c>
      <c r="K1874" s="13" t="s">
        <v>36</v>
      </c>
      <c r="L1874" s="13"/>
    </row>
    <row r="1875">
      <c r="A1875" s="13">
        <v>1873.0</v>
      </c>
      <c r="B1875" s="13">
        <v>1001.0</v>
      </c>
      <c r="C1875" s="13">
        <v>43.0</v>
      </c>
      <c r="D1875" s="12" t="s">
        <v>3215</v>
      </c>
      <c r="E1875" s="12" t="s">
        <v>3216</v>
      </c>
      <c r="F1875" s="13">
        <v>2.0</v>
      </c>
      <c r="G1875" s="13">
        <v>0.0</v>
      </c>
      <c r="H1875" s="13">
        <v>5.0</v>
      </c>
      <c r="I1875" s="13" t="s">
        <v>35</v>
      </c>
      <c r="J1875" s="13" t="s">
        <v>42</v>
      </c>
      <c r="K1875" s="13" t="s">
        <v>98</v>
      </c>
      <c r="L1875" s="13"/>
    </row>
    <row r="1876">
      <c r="A1876" s="13">
        <v>1874.0</v>
      </c>
      <c r="B1876" s="13">
        <v>1080.0</v>
      </c>
      <c r="C1876" s="13">
        <v>44.0</v>
      </c>
      <c r="D1876" s="12" t="s">
        <v>3217</v>
      </c>
      <c r="E1876" s="12" t="s">
        <v>3218</v>
      </c>
      <c r="F1876" s="13">
        <v>5.0</v>
      </c>
      <c r="G1876" s="13">
        <v>1.0</v>
      </c>
      <c r="H1876" s="13">
        <v>2.0</v>
      </c>
      <c r="I1876" s="13" t="s">
        <v>35</v>
      </c>
      <c r="J1876" s="13" t="s">
        <v>36</v>
      </c>
      <c r="K1876" s="13" t="s">
        <v>36</v>
      </c>
      <c r="L1876" s="13"/>
    </row>
    <row r="1877">
      <c r="A1877" s="13">
        <v>1875.0</v>
      </c>
      <c r="B1877" s="13">
        <v>857.0</v>
      </c>
      <c r="C1877" s="13">
        <v>38.0</v>
      </c>
      <c r="D1877" s="12" t="s">
        <v>3219</v>
      </c>
      <c r="E1877" s="12" t="s">
        <v>3220</v>
      </c>
      <c r="F1877" s="13">
        <v>5.0</v>
      </c>
      <c r="G1877" s="13">
        <v>1.0</v>
      </c>
      <c r="H1877" s="13">
        <v>1.0</v>
      </c>
      <c r="I1877" s="13" t="s">
        <v>35</v>
      </c>
      <c r="J1877" s="13" t="s">
        <v>46</v>
      </c>
      <c r="K1877" s="13" t="s">
        <v>52</v>
      </c>
      <c r="L1877" s="13"/>
    </row>
    <row r="1878">
      <c r="A1878" s="13">
        <v>1876.0</v>
      </c>
      <c r="B1878" s="13">
        <v>1054.0</v>
      </c>
      <c r="C1878" s="13">
        <v>37.0</v>
      </c>
      <c r="D1878" s="12" t="s">
        <v>400</v>
      </c>
      <c r="E1878" s="12" t="s">
        <v>3221</v>
      </c>
      <c r="F1878" s="13">
        <v>2.0</v>
      </c>
      <c r="G1878" s="13">
        <v>0.0</v>
      </c>
      <c r="H1878" s="13">
        <v>0.0</v>
      </c>
      <c r="I1878" s="13" t="s">
        <v>35</v>
      </c>
      <c r="J1878" s="13" t="s">
        <v>42</v>
      </c>
      <c r="K1878" s="13" t="s">
        <v>43</v>
      </c>
      <c r="L1878" s="13"/>
    </row>
    <row r="1879">
      <c r="A1879" s="13">
        <v>1877.0</v>
      </c>
      <c r="B1879" s="13">
        <v>1080.0</v>
      </c>
      <c r="C1879" s="13">
        <v>39.0</v>
      </c>
      <c r="D1879" s="12" t="s">
        <v>3222</v>
      </c>
      <c r="E1879" s="12" t="s">
        <v>3223</v>
      </c>
      <c r="F1879" s="13">
        <v>5.0</v>
      </c>
      <c r="G1879" s="13">
        <v>1.0</v>
      </c>
      <c r="H1879" s="13">
        <v>1.0</v>
      </c>
      <c r="I1879" s="13" t="s">
        <v>35</v>
      </c>
      <c r="J1879" s="13" t="s">
        <v>36</v>
      </c>
      <c r="K1879" s="13" t="s">
        <v>36</v>
      </c>
      <c r="L1879" s="13"/>
    </row>
    <row r="1880">
      <c r="A1880" s="13">
        <v>1878.0</v>
      </c>
      <c r="B1880" s="13">
        <v>860.0</v>
      </c>
      <c r="C1880" s="13">
        <v>36.0</v>
      </c>
      <c r="D1880" s="12" t="s">
        <v>3224</v>
      </c>
      <c r="E1880" s="12" t="s">
        <v>3225</v>
      </c>
      <c r="F1880" s="13">
        <v>5.0</v>
      </c>
      <c r="G1880" s="13">
        <v>1.0</v>
      </c>
      <c r="H1880" s="13">
        <v>0.0</v>
      </c>
      <c r="I1880" s="13" t="s">
        <v>35</v>
      </c>
      <c r="J1880" s="13" t="s">
        <v>46</v>
      </c>
      <c r="K1880" s="13" t="s">
        <v>52</v>
      </c>
      <c r="L1880" s="13"/>
    </row>
    <row r="1881">
      <c r="A1881" s="13">
        <v>1879.0</v>
      </c>
      <c r="B1881" s="13">
        <v>1059.0</v>
      </c>
      <c r="C1881" s="13">
        <v>67.0</v>
      </c>
      <c r="D1881" s="12" t="s">
        <v>3226</v>
      </c>
      <c r="E1881" s="12" t="s">
        <v>3227</v>
      </c>
      <c r="F1881" s="13">
        <v>5.0</v>
      </c>
      <c r="G1881" s="13">
        <v>1.0</v>
      </c>
      <c r="H1881" s="13">
        <v>13.0</v>
      </c>
      <c r="I1881" s="13" t="s">
        <v>41</v>
      </c>
      <c r="J1881" s="13" t="s">
        <v>42</v>
      </c>
      <c r="K1881" s="13" t="s">
        <v>43</v>
      </c>
      <c r="L1881" s="13"/>
    </row>
    <row r="1882">
      <c r="A1882" s="13">
        <v>1880.0</v>
      </c>
      <c r="B1882" s="13">
        <v>1066.0</v>
      </c>
      <c r="C1882" s="13">
        <v>51.0</v>
      </c>
      <c r="D1882" s="12" t="s">
        <v>3228</v>
      </c>
      <c r="E1882" s="12" t="s">
        <v>3229</v>
      </c>
      <c r="F1882" s="13">
        <v>5.0</v>
      </c>
      <c r="G1882" s="13">
        <v>1.0</v>
      </c>
      <c r="H1882" s="13">
        <v>0.0</v>
      </c>
      <c r="I1882" s="13" t="s">
        <v>41</v>
      </c>
      <c r="J1882" s="13" t="s">
        <v>42</v>
      </c>
      <c r="K1882" s="13" t="s">
        <v>43</v>
      </c>
      <c r="L1882" s="13"/>
    </row>
    <row r="1883">
      <c r="A1883" s="13">
        <v>1881.0</v>
      </c>
      <c r="B1883" s="13">
        <v>1094.0</v>
      </c>
      <c r="C1883" s="13">
        <v>26.0</v>
      </c>
      <c r="D1883" s="12" t="s">
        <v>3230</v>
      </c>
      <c r="E1883" s="12" t="s">
        <v>3231</v>
      </c>
      <c r="F1883" s="13">
        <v>5.0</v>
      </c>
      <c r="G1883" s="13">
        <v>1.0</v>
      </c>
      <c r="H1883" s="13">
        <v>0.0</v>
      </c>
      <c r="I1883" s="13" t="s">
        <v>35</v>
      </c>
      <c r="J1883" s="13" t="s">
        <v>36</v>
      </c>
      <c r="K1883" s="13" t="s">
        <v>36</v>
      </c>
      <c r="L1883" s="13"/>
    </row>
    <row r="1884">
      <c r="A1884" s="13">
        <v>1882.0</v>
      </c>
      <c r="B1884" s="13">
        <v>371.0</v>
      </c>
      <c r="C1884" s="13">
        <v>38.0</v>
      </c>
      <c r="D1884" s="12" t="s">
        <v>785</v>
      </c>
      <c r="E1884" s="12" t="s">
        <v>3232</v>
      </c>
      <c r="F1884" s="13">
        <v>1.0</v>
      </c>
      <c r="G1884" s="13">
        <v>0.0</v>
      </c>
      <c r="H1884" s="13">
        <v>1.0</v>
      </c>
      <c r="I1884" s="13" t="s">
        <v>31</v>
      </c>
      <c r="J1884" s="13" t="s">
        <v>32</v>
      </c>
      <c r="K1884" s="13" t="s">
        <v>92</v>
      </c>
      <c r="L1884" s="13"/>
    </row>
    <row r="1885">
      <c r="A1885" s="13">
        <v>1883.0</v>
      </c>
      <c r="B1885" s="13">
        <v>1066.0</v>
      </c>
      <c r="C1885" s="13">
        <v>44.0</v>
      </c>
      <c r="D1885" s="12"/>
      <c r="E1885" s="12" t="s">
        <v>3233</v>
      </c>
      <c r="F1885" s="13">
        <v>5.0</v>
      </c>
      <c r="G1885" s="13">
        <v>1.0</v>
      </c>
      <c r="H1885" s="13">
        <v>2.0</v>
      </c>
      <c r="I1885" s="13" t="s">
        <v>41</v>
      </c>
      <c r="J1885" s="13" t="s">
        <v>42</v>
      </c>
      <c r="K1885" s="13" t="s">
        <v>43</v>
      </c>
      <c r="L1885" s="13"/>
    </row>
    <row r="1886">
      <c r="A1886" s="13">
        <v>1884.0</v>
      </c>
      <c r="B1886" s="13">
        <v>828.0</v>
      </c>
      <c r="C1886" s="13">
        <v>56.0</v>
      </c>
      <c r="D1886" s="12" t="s">
        <v>2810</v>
      </c>
      <c r="E1886" s="12" t="s">
        <v>3234</v>
      </c>
      <c r="F1886" s="13">
        <v>4.0</v>
      </c>
      <c r="G1886" s="13">
        <v>1.0</v>
      </c>
      <c r="H1886" s="13">
        <v>0.0</v>
      </c>
      <c r="I1886" s="13" t="s">
        <v>35</v>
      </c>
      <c r="J1886" s="13" t="s">
        <v>46</v>
      </c>
      <c r="K1886" s="13" t="s">
        <v>47</v>
      </c>
      <c r="L1886" s="13"/>
    </row>
    <row r="1887">
      <c r="A1887" s="13">
        <v>1885.0</v>
      </c>
      <c r="B1887" s="13">
        <v>1035.0</v>
      </c>
      <c r="C1887" s="13">
        <v>41.0</v>
      </c>
      <c r="D1887" s="12" t="s">
        <v>3235</v>
      </c>
      <c r="E1887" s="12" t="s">
        <v>3236</v>
      </c>
      <c r="F1887" s="13">
        <v>5.0</v>
      </c>
      <c r="G1887" s="13">
        <v>1.0</v>
      </c>
      <c r="H1887" s="13">
        <v>4.0</v>
      </c>
      <c r="I1887" s="13" t="s">
        <v>35</v>
      </c>
      <c r="J1887" s="13" t="s">
        <v>42</v>
      </c>
      <c r="K1887" s="13" t="s">
        <v>435</v>
      </c>
      <c r="L1887" s="13"/>
    </row>
    <row r="1888">
      <c r="A1888" s="13">
        <v>1886.0</v>
      </c>
      <c r="B1888" s="13">
        <v>1059.0</v>
      </c>
      <c r="C1888" s="13">
        <v>36.0</v>
      </c>
      <c r="D1888" s="12" t="s">
        <v>3237</v>
      </c>
      <c r="E1888" s="12" t="s">
        <v>3238</v>
      </c>
      <c r="F1888" s="13">
        <v>4.0</v>
      </c>
      <c r="G1888" s="13">
        <v>0.0</v>
      </c>
      <c r="H1888" s="13">
        <v>0.0</v>
      </c>
      <c r="I1888" s="13" t="s">
        <v>41</v>
      </c>
      <c r="J1888" s="13" t="s">
        <v>42</v>
      </c>
      <c r="K1888" s="13" t="s">
        <v>43</v>
      </c>
      <c r="L1888" s="13"/>
    </row>
    <row r="1889">
      <c r="A1889" s="13">
        <v>1887.0</v>
      </c>
      <c r="B1889" s="13">
        <v>1059.0</v>
      </c>
      <c r="C1889" s="13">
        <v>39.0</v>
      </c>
      <c r="D1889" s="12" t="s">
        <v>3239</v>
      </c>
      <c r="E1889" s="12" t="s">
        <v>3240</v>
      </c>
      <c r="F1889" s="13">
        <v>5.0</v>
      </c>
      <c r="G1889" s="13">
        <v>1.0</v>
      </c>
      <c r="H1889" s="13">
        <v>0.0</v>
      </c>
      <c r="I1889" s="13" t="s">
        <v>41</v>
      </c>
      <c r="J1889" s="13" t="s">
        <v>42</v>
      </c>
      <c r="K1889" s="13" t="s">
        <v>43</v>
      </c>
      <c r="L1889" s="13"/>
    </row>
    <row r="1890">
      <c r="A1890" s="13">
        <v>1888.0</v>
      </c>
      <c r="B1890" s="13">
        <v>1066.0</v>
      </c>
      <c r="C1890" s="13">
        <v>38.0</v>
      </c>
      <c r="D1890" s="12" t="s">
        <v>3241</v>
      </c>
      <c r="E1890" s="12" t="s">
        <v>3242</v>
      </c>
      <c r="F1890" s="13">
        <v>4.0</v>
      </c>
      <c r="G1890" s="13">
        <v>1.0</v>
      </c>
      <c r="H1890" s="13">
        <v>0.0</v>
      </c>
      <c r="I1890" s="13" t="s">
        <v>41</v>
      </c>
      <c r="J1890" s="13" t="s">
        <v>42</v>
      </c>
      <c r="K1890" s="13" t="s">
        <v>43</v>
      </c>
      <c r="L1890" s="13"/>
    </row>
    <row r="1891">
      <c r="A1891" s="13">
        <v>1889.0</v>
      </c>
      <c r="B1891" s="13">
        <v>860.0</v>
      </c>
      <c r="C1891" s="13">
        <v>41.0</v>
      </c>
      <c r="D1891" s="12"/>
      <c r="E1891" s="12" t="s">
        <v>3243</v>
      </c>
      <c r="F1891" s="13">
        <v>5.0</v>
      </c>
      <c r="G1891" s="13">
        <v>1.0</v>
      </c>
      <c r="H1891" s="13">
        <v>16.0</v>
      </c>
      <c r="I1891" s="13" t="s">
        <v>35</v>
      </c>
      <c r="J1891" s="13" t="s">
        <v>46</v>
      </c>
      <c r="K1891" s="13" t="s">
        <v>52</v>
      </c>
      <c r="L1891" s="13"/>
    </row>
    <row r="1892">
      <c r="A1892" s="13">
        <v>1890.0</v>
      </c>
      <c r="B1892" s="13">
        <v>838.0</v>
      </c>
      <c r="C1892" s="13">
        <v>42.0</v>
      </c>
      <c r="D1892" s="12" t="s">
        <v>3244</v>
      </c>
      <c r="E1892" s="12" t="s">
        <v>3245</v>
      </c>
      <c r="F1892" s="13">
        <v>2.0</v>
      </c>
      <c r="G1892" s="13">
        <v>0.0</v>
      </c>
      <c r="H1892" s="13">
        <v>14.0</v>
      </c>
      <c r="I1892" s="13" t="s">
        <v>35</v>
      </c>
      <c r="J1892" s="13" t="s">
        <v>46</v>
      </c>
      <c r="K1892" s="13" t="s">
        <v>47</v>
      </c>
      <c r="L1892" s="13"/>
    </row>
    <row r="1893">
      <c r="A1893" s="13">
        <v>1891.0</v>
      </c>
      <c r="B1893" s="13">
        <v>1081.0</v>
      </c>
      <c r="C1893" s="13">
        <v>42.0</v>
      </c>
      <c r="D1893" s="12" t="s">
        <v>3246</v>
      </c>
      <c r="E1893" s="12" t="s">
        <v>3247</v>
      </c>
      <c r="F1893" s="13">
        <v>2.0</v>
      </c>
      <c r="G1893" s="13">
        <v>0.0</v>
      </c>
      <c r="H1893" s="13">
        <v>5.0</v>
      </c>
      <c r="I1893" s="13" t="s">
        <v>35</v>
      </c>
      <c r="J1893" s="13" t="s">
        <v>36</v>
      </c>
      <c r="K1893" s="13" t="s">
        <v>36</v>
      </c>
      <c r="L1893" s="13"/>
    </row>
    <row r="1894">
      <c r="A1894" s="13">
        <v>1892.0</v>
      </c>
      <c r="B1894" s="13">
        <v>828.0</v>
      </c>
      <c r="C1894" s="13">
        <v>33.0</v>
      </c>
      <c r="D1894" s="12" t="s">
        <v>3248</v>
      </c>
      <c r="E1894" s="12" t="s">
        <v>3249</v>
      </c>
      <c r="F1894" s="13">
        <v>5.0</v>
      </c>
      <c r="G1894" s="13">
        <v>1.0</v>
      </c>
      <c r="H1894" s="13">
        <v>0.0</v>
      </c>
      <c r="I1894" s="13" t="s">
        <v>35</v>
      </c>
      <c r="J1894" s="13" t="s">
        <v>46</v>
      </c>
      <c r="K1894" s="13" t="s">
        <v>47</v>
      </c>
      <c r="L1894" s="13"/>
    </row>
    <row r="1895">
      <c r="A1895" s="13">
        <v>1893.0</v>
      </c>
      <c r="B1895" s="13">
        <v>898.0</v>
      </c>
      <c r="C1895" s="13">
        <v>50.0</v>
      </c>
      <c r="D1895" s="12" t="s">
        <v>3250</v>
      </c>
      <c r="E1895" s="12" t="s">
        <v>3251</v>
      </c>
      <c r="F1895" s="13">
        <v>2.0</v>
      </c>
      <c r="G1895" s="13">
        <v>0.0</v>
      </c>
      <c r="H1895" s="13">
        <v>7.0</v>
      </c>
      <c r="I1895" s="13" t="s">
        <v>35</v>
      </c>
      <c r="J1895" s="13" t="s">
        <v>46</v>
      </c>
      <c r="K1895" s="13" t="s">
        <v>123</v>
      </c>
      <c r="L1895" s="13"/>
    </row>
    <row r="1896">
      <c r="A1896" s="13">
        <v>1894.0</v>
      </c>
      <c r="B1896" s="13">
        <v>860.0</v>
      </c>
      <c r="C1896" s="13">
        <v>53.0</v>
      </c>
      <c r="D1896" s="12" t="s">
        <v>1399</v>
      </c>
      <c r="E1896" s="12" t="s">
        <v>3252</v>
      </c>
      <c r="F1896" s="13">
        <v>5.0</v>
      </c>
      <c r="G1896" s="13">
        <v>1.0</v>
      </c>
      <c r="H1896" s="13">
        <v>2.0</v>
      </c>
      <c r="I1896" s="13" t="s">
        <v>35</v>
      </c>
      <c r="J1896" s="13" t="s">
        <v>46</v>
      </c>
      <c r="K1896" s="13" t="s">
        <v>52</v>
      </c>
      <c r="L1896" s="13"/>
    </row>
    <row r="1897">
      <c r="A1897" s="13">
        <v>1895.0</v>
      </c>
      <c r="B1897" s="13">
        <v>1035.0</v>
      </c>
      <c r="C1897" s="13">
        <v>39.0</v>
      </c>
      <c r="D1897" s="12" t="s">
        <v>3253</v>
      </c>
      <c r="E1897" s="12" t="s">
        <v>3254</v>
      </c>
      <c r="F1897" s="13">
        <v>4.0</v>
      </c>
      <c r="G1897" s="13">
        <v>1.0</v>
      </c>
      <c r="H1897" s="13">
        <v>2.0</v>
      </c>
      <c r="I1897" s="13" t="s">
        <v>35</v>
      </c>
      <c r="J1897" s="13" t="s">
        <v>42</v>
      </c>
      <c r="K1897" s="13" t="s">
        <v>435</v>
      </c>
      <c r="L1897" s="13"/>
    </row>
    <row r="1898">
      <c r="A1898" s="13">
        <v>1896.0</v>
      </c>
      <c r="B1898" s="13">
        <v>1066.0</v>
      </c>
      <c r="C1898" s="13">
        <v>39.0</v>
      </c>
      <c r="D1898" s="12" t="s">
        <v>3255</v>
      </c>
      <c r="E1898" s="12" t="s">
        <v>3256</v>
      </c>
      <c r="F1898" s="13">
        <v>5.0</v>
      </c>
      <c r="G1898" s="13">
        <v>1.0</v>
      </c>
      <c r="H1898" s="13">
        <v>13.0</v>
      </c>
      <c r="I1898" s="13" t="s">
        <v>41</v>
      </c>
      <c r="J1898" s="13" t="s">
        <v>42</v>
      </c>
      <c r="K1898" s="13" t="s">
        <v>43</v>
      </c>
      <c r="L1898" s="13"/>
    </row>
    <row r="1899">
      <c r="A1899" s="13">
        <v>1897.0</v>
      </c>
      <c r="B1899" s="13">
        <v>1035.0</v>
      </c>
      <c r="C1899" s="13">
        <v>59.0</v>
      </c>
      <c r="D1899" s="12" t="s">
        <v>3257</v>
      </c>
      <c r="E1899" s="12" t="s">
        <v>3258</v>
      </c>
      <c r="F1899" s="13">
        <v>3.0</v>
      </c>
      <c r="G1899" s="13">
        <v>1.0</v>
      </c>
      <c r="H1899" s="13">
        <v>15.0</v>
      </c>
      <c r="I1899" s="13" t="s">
        <v>35</v>
      </c>
      <c r="J1899" s="13" t="s">
        <v>42</v>
      </c>
      <c r="K1899" s="13" t="s">
        <v>435</v>
      </c>
      <c r="L1899" s="13"/>
    </row>
    <row r="1900">
      <c r="A1900" s="13">
        <v>1898.0</v>
      </c>
      <c r="B1900" s="13">
        <v>1035.0</v>
      </c>
      <c r="C1900" s="13">
        <v>38.0</v>
      </c>
      <c r="D1900" s="12" t="s">
        <v>984</v>
      </c>
      <c r="E1900" s="12" t="s">
        <v>3259</v>
      </c>
      <c r="F1900" s="13">
        <v>4.0</v>
      </c>
      <c r="G1900" s="13">
        <v>1.0</v>
      </c>
      <c r="H1900" s="13">
        <v>1.0</v>
      </c>
      <c r="I1900" s="13" t="s">
        <v>35</v>
      </c>
      <c r="J1900" s="13" t="s">
        <v>42</v>
      </c>
      <c r="K1900" s="13" t="s">
        <v>435</v>
      </c>
      <c r="L1900" s="13"/>
    </row>
    <row r="1901">
      <c r="A1901" s="13">
        <v>1899.0</v>
      </c>
      <c r="B1901" s="13">
        <v>860.0</v>
      </c>
      <c r="C1901" s="13">
        <v>25.0</v>
      </c>
      <c r="D1901" s="12"/>
      <c r="E1901" s="12" t="s">
        <v>3260</v>
      </c>
      <c r="F1901" s="13">
        <v>5.0</v>
      </c>
      <c r="G1901" s="13">
        <v>1.0</v>
      </c>
      <c r="H1901" s="13">
        <v>0.0</v>
      </c>
      <c r="I1901" s="13" t="s">
        <v>35</v>
      </c>
      <c r="J1901" s="13" t="s">
        <v>46</v>
      </c>
      <c r="K1901" s="13" t="s">
        <v>52</v>
      </c>
      <c r="L1901" s="13"/>
    </row>
    <row r="1902">
      <c r="A1902" s="13">
        <v>1900.0</v>
      </c>
      <c r="B1902" s="13">
        <v>1066.0</v>
      </c>
      <c r="C1902" s="13">
        <v>56.0</v>
      </c>
      <c r="D1902" s="12" t="s">
        <v>3261</v>
      </c>
      <c r="E1902" s="12" t="s">
        <v>3262</v>
      </c>
      <c r="F1902" s="13">
        <v>5.0</v>
      </c>
      <c r="G1902" s="13">
        <v>1.0</v>
      </c>
      <c r="H1902" s="13">
        <v>4.0</v>
      </c>
      <c r="I1902" s="13" t="s">
        <v>41</v>
      </c>
      <c r="J1902" s="13" t="s">
        <v>42</v>
      </c>
      <c r="K1902" s="13" t="s">
        <v>43</v>
      </c>
      <c r="L1902" s="13"/>
    </row>
    <row r="1903">
      <c r="A1903" s="13">
        <v>1901.0</v>
      </c>
      <c r="B1903" s="13">
        <v>1066.0</v>
      </c>
      <c r="C1903" s="13">
        <v>41.0</v>
      </c>
      <c r="D1903" s="12" t="s">
        <v>3263</v>
      </c>
      <c r="E1903" s="12" t="s">
        <v>3264</v>
      </c>
      <c r="F1903" s="13">
        <v>5.0</v>
      </c>
      <c r="G1903" s="13">
        <v>1.0</v>
      </c>
      <c r="H1903" s="13">
        <v>2.0</v>
      </c>
      <c r="I1903" s="13" t="s">
        <v>41</v>
      </c>
      <c r="J1903" s="13" t="s">
        <v>42</v>
      </c>
      <c r="K1903" s="13" t="s">
        <v>43</v>
      </c>
      <c r="L1903" s="13"/>
    </row>
    <row r="1904">
      <c r="A1904" s="13">
        <v>1902.0</v>
      </c>
      <c r="B1904" s="13">
        <v>1066.0</v>
      </c>
      <c r="C1904" s="13">
        <v>52.0</v>
      </c>
      <c r="D1904" s="12" t="s">
        <v>2808</v>
      </c>
      <c r="E1904" s="12" t="s">
        <v>3265</v>
      </c>
      <c r="F1904" s="13">
        <v>5.0</v>
      </c>
      <c r="G1904" s="13">
        <v>1.0</v>
      </c>
      <c r="H1904" s="13">
        <v>1.0</v>
      </c>
      <c r="I1904" s="13" t="s">
        <v>41</v>
      </c>
      <c r="J1904" s="13" t="s">
        <v>42</v>
      </c>
      <c r="K1904" s="13" t="s">
        <v>43</v>
      </c>
      <c r="L1904" s="13"/>
    </row>
    <row r="1905">
      <c r="A1905" s="13">
        <v>1903.0</v>
      </c>
      <c r="B1905" s="13">
        <v>1036.0</v>
      </c>
      <c r="C1905" s="13">
        <v>56.0</v>
      </c>
      <c r="D1905" s="12" t="s">
        <v>3266</v>
      </c>
      <c r="E1905" s="12" t="s">
        <v>3267</v>
      </c>
      <c r="F1905" s="13">
        <v>5.0</v>
      </c>
      <c r="G1905" s="13">
        <v>1.0</v>
      </c>
      <c r="H1905" s="13">
        <v>0.0</v>
      </c>
      <c r="I1905" s="13" t="s">
        <v>35</v>
      </c>
      <c r="J1905" s="13" t="s">
        <v>42</v>
      </c>
      <c r="K1905" s="13" t="s">
        <v>435</v>
      </c>
      <c r="L1905" s="13"/>
    </row>
    <row r="1906">
      <c r="A1906" s="13">
        <v>1904.0</v>
      </c>
      <c r="B1906" s="13">
        <v>1078.0</v>
      </c>
      <c r="C1906" s="13">
        <v>46.0</v>
      </c>
      <c r="D1906" s="12" t="s">
        <v>3268</v>
      </c>
      <c r="E1906" s="12" t="s">
        <v>3269</v>
      </c>
      <c r="F1906" s="13">
        <v>5.0</v>
      </c>
      <c r="G1906" s="13">
        <v>1.0</v>
      </c>
      <c r="H1906" s="13">
        <v>0.0</v>
      </c>
      <c r="I1906" s="13" t="s">
        <v>35</v>
      </c>
      <c r="J1906" s="13" t="s">
        <v>36</v>
      </c>
      <c r="K1906" s="13" t="s">
        <v>36</v>
      </c>
      <c r="L1906" s="13"/>
    </row>
    <row r="1907">
      <c r="A1907" s="13">
        <v>1905.0</v>
      </c>
      <c r="B1907" s="13">
        <v>1094.0</v>
      </c>
      <c r="C1907" s="13">
        <v>26.0</v>
      </c>
      <c r="D1907" s="12"/>
      <c r="E1907" s="12" t="s">
        <v>3270</v>
      </c>
      <c r="F1907" s="13">
        <v>5.0</v>
      </c>
      <c r="G1907" s="13">
        <v>1.0</v>
      </c>
      <c r="H1907" s="13">
        <v>0.0</v>
      </c>
      <c r="I1907" s="13" t="s">
        <v>35</v>
      </c>
      <c r="J1907" s="13" t="s">
        <v>36</v>
      </c>
      <c r="K1907" s="13" t="s">
        <v>36</v>
      </c>
      <c r="L1907" s="13"/>
    </row>
    <row r="1908">
      <c r="A1908" s="13">
        <v>1906.0</v>
      </c>
      <c r="B1908" s="13">
        <v>1081.0</v>
      </c>
      <c r="C1908" s="13">
        <v>47.0</v>
      </c>
      <c r="D1908" s="12" t="s">
        <v>3271</v>
      </c>
      <c r="E1908" s="12" t="s">
        <v>3272</v>
      </c>
      <c r="F1908" s="13">
        <v>3.0</v>
      </c>
      <c r="G1908" s="13">
        <v>0.0</v>
      </c>
      <c r="H1908" s="13">
        <v>0.0</v>
      </c>
      <c r="I1908" s="13" t="s">
        <v>35</v>
      </c>
      <c r="J1908" s="13" t="s">
        <v>36</v>
      </c>
      <c r="K1908" s="13" t="s">
        <v>36</v>
      </c>
      <c r="L1908" s="13"/>
    </row>
    <row r="1909">
      <c r="A1909" s="13">
        <v>1907.0</v>
      </c>
      <c r="B1909" s="13">
        <v>1059.0</v>
      </c>
      <c r="C1909" s="13">
        <v>54.0</v>
      </c>
      <c r="D1909" s="12" t="s">
        <v>3273</v>
      </c>
      <c r="E1909" s="12" t="s">
        <v>3274</v>
      </c>
      <c r="F1909" s="13">
        <v>5.0</v>
      </c>
      <c r="G1909" s="13">
        <v>1.0</v>
      </c>
      <c r="H1909" s="13">
        <v>0.0</v>
      </c>
      <c r="I1909" s="13" t="s">
        <v>41</v>
      </c>
      <c r="J1909" s="13" t="s">
        <v>42</v>
      </c>
      <c r="K1909" s="13" t="s">
        <v>43</v>
      </c>
      <c r="L1909" s="13"/>
    </row>
    <row r="1910">
      <c r="A1910" s="13">
        <v>1908.0</v>
      </c>
      <c r="B1910" s="13">
        <v>860.0</v>
      </c>
      <c r="C1910" s="13">
        <v>41.0</v>
      </c>
      <c r="D1910" s="12" t="s">
        <v>3275</v>
      </c>
      <c r="E1910" s="12" t="s">
        <v>3276</v>
      </c>
      <c r="F1910" s="13">
        <v>4.0</v>
      </c>
      <c r="G1910" s="13">
        <v>1.0</v>
      </c>
      <c r="H1910" s="13">
        <v>2.0</v>
      </c>
      <c r="I1910" s="13" t="s">
        <v>35</v>
      </c>
      <c r="J1910" s="13" t="s">
        <v>46</v>
      </c>
      <c r="K1910" s="13" t="s">
        <v>52</v>
      </c>
      <c r="L1910" s="13"/>
    </row>
    <row r="1911">
      <c r="A1911" s="13">
        <v>1909.0</v>
      </c>
      <c r="B1911" s="13">
        <v>1066.0</v>
      </c>
      <c r="C1911" s="13">
        <v>56.0</v>
      </c>
      <c r="D1911" s="12" t="s">
        <v>3277</v>
      </c>
      <c r="E1911" s="12" t="s">
        <v>3278</v>
      </c>
      <c r="F1911" s="13">
        <v>5.0</v>
      </c>
      <c r="G1911" s="13">
        <v>1.0</v>
      </c>
      <c r="H1911" s="13">
        <v>3.0</v>
      </c>
      <c r="I1911" s="13" t="s">
        <v>41</v>
      </c>
      <c r="J1911" s="13" t="s">
        <v>42</v>
      </c>
      <c r="K1911" s="13" t="s">
        <v>43</v>
      </c>
      <c r="L1911" s="13"/>
    </row>
    <row r="1912">
      <c r="A1912" s="13">
        <v>1910.0</v>
      </c>
      <c r="B1912" s="13">
        <v>1146.0</v>
      </c>
      <c r="C1912" s="13">
        <v>66.0</v>
      </c>
      <c r="D1912" s="12" t="s">
        <v>3107</v>
      </c>
      <c r="E1912" s="12" t="s">
        <v>3279</v>
      </c>
      <c r="F1912" s="13">
        <v>3.0</v>
      </c>
      <c r="G1912" s="13">
        <v>1.0</v>
      </c>
      <c r="H1912" s="13">
        <v>10.0</v>
      </c>
      <c r="I1912" s="13" t="s">
        <v>35</v>
      </c>
      <c r="J1912" s="13" t="s">
        <v>374</v>
      </c>
      <c r="K1912" s="13" t="s">
        <v>374</v>
      </c>
      <c r="L1912" s="13"/>
    </row>
    <row r="1913">
      <c r="A1913" s="13">
        <v>1911.0</v>
      </c>
      <c r="B1913" s="13">
        <v>206.0</v>
      </c>
      <c r="C1913" s="13">
        <v>39.0</v>
      </c>
      <c r="D1913" s="12" t="s">
        <v>3280</v>
      </c>
      <c r="E1913" s="12" t="s">
        <v>3281</v>
      </c>
      <c r="F1913" s="13">
        <v>5.0</v>
      </c>
      <c r="G1913" s="13">
        <v>1.0</v>
      </c>
      <c r="H1913" s="13">
        <v>2.0</v>
      </c>
      <c r="I1913" s="13" t="s">
        <v>31</v>
      </c>
      <c r="J1913" s="13" t="s">
        <v>32</v>
      </c>
      <c r="K1913" s="13" t="s">
        <v>126</v>
      </c>
      <c r="L1913" s="13"/>
    </row>
    <row r="1914">
      <c r="A1914" s="13">
        <v>1912.0</v>
      </c>
      <c r="B1914" s="13">
        <v>1066.0</v>
      </c>
      <c r="C1914" s="13">
        <v>49.0</v>
      </c>
      <c r="D1914" s="12" t="s">
        <v>3282</v>
      </c>
      <c r="E1914" s="12" t="s">
        <v>3283</v>
      </c>
      <c r="F1914" s="13">
        <v>5.0</v>
      </c>
      <c r="G1914" s="13">
        <v>1.0</v>
      </c>
      <c r="H1914" s="13">
        <v>2.0</v>
      </c>
      <c r="I1914" s="13" t="s">
        <v>41</v>
      </c>
      <c r="J1914" s="13" t="s">
        <v>42</v>
      </c>
      <c r="K1914" s="13" t="s">
        <v>43</v>
      </c>
      <c r="L1914" s="13"/>
    </row>
    <row r="1915">
      <c r="A1915" s="13">
        <v>1913.0</v>
      </c>
      <c r="B1915" s="13">
        <v>1059.0</v>
      </c>
      <c r="C1915" s="13">
        <v>57.0</v>
      </c>
      <c r="D1915" s="12" t="s">
        <v>3284</v>
      </c>
      <c r="E1915" s="12" t="s">
        <v>3285</v>
      </c>
      <c r="F1915" s="13">
        <v>5.0</v>
      </c>
      <c r="G1915" s="13">
        <v>1.0</v>
      </c>
      <c r="H1915" s="13">
        <v>0.0</v>
      </c>
      <c r="I1915" s="13" t="s">
        <v>41</v>
      </c>
      <c r="J1915" s="13" t="s">
        <v>42</v>
      </c>
      <c r="K1915" s="13" t="s">
        <v>43</v>
      </c>
      <c r="L1915" s="13"/>
    </row>
    <row r="1916">
      <c r="A1916" s="13">
        <v>1914.0</v>
      </c>
      <c r="B1916" s="13">
        <v>1066.0</v>
      </c>
      <c r="C1916" s="13">
        <v>57.0</v>
      </c>
      <c r="D1916" s="12" t="s">
        <v>3286</v>
      </c>
      <c r="E1916" s="12" t="s">
        <v>3287</v>
      </c>
      <c r="F1916" s="13">
        <v>5.0</v>
      </c>
      <c r="G1916" s="13">
        <v>1.0</v>
      </c>
      <c r="H1916" s="13">
        <v>5.0</v>
      </c>
      <c r="I1916" s="13" t="s">
        <v>41</v>
      </c>
      <c r="J1916" s="13" t="s">
        <v>42</v>
      </c>
      <c r="K1916" s="13" t="s">
        <v>43</v>
      </c>
      <c r="L1916" s="13"/>
    </row>
    <row r="1917">
      <c r="A1917" s="13">
        <v>1915.0</v>
      </c>
      <c r="B1917" s="13">
        <v>1082.0</v>
      </c>
      <c r="C1917" s="13">
        <v>35.0</v>
      </c>
      <c r="D1917" s="12"/>
      <c r="E1917" s="12" t="s">
        <v>3288</v>
      </c>
      <c r="F1917" s="13">
        <v>5.0</v>
      </c>
      <c r="G1917" s="13">
        <v>1.0</v>
      </c>
      <c r="H1917" s="13">
        <v>1.0</v>
      </c>
      <c r="I1917" s="13" t="s">
        <v>41</v>
      </c>
      <c r="J1917" s="13" t="s">
        <v>36</v>
      </c>
      <c r="K1917" s="13" t="s">
        <v>36</v>
      </c>
      <c r="L1917" s="13"/>
    </row>
    <row r="1918">
      <c r="A1918" s="13">
        <v>1916.0</v>
      </c>
      <c r="B1918" s="13">
        <v>1035.0</v>
      </c>
      <c r="C1918" s="13">
        <v>32.0</v>
      </c>
      <c r="D1918" s="12" t="s">
        <v>3289</v>
      </c>
      <c r="E1918" s="12" t="s">
        <v>3290</v>
      </c>
      <c r="F1918" s="13">
        <v>5.0</v>
      </c>
      <c r="G1918" s="13">
        <v>1.0</v>
      </c>
      <c r="H1918" s="13">
        <v>1.0</v>
      </c>
      <c r="I1918" s="13" t="s">
        <v>41</v>
      </c>
      <c r="J1918" s="13" t="s">
        <v>42</v>
      </c>
      <c r="K1918" s="13" t="s">
        <v>435</v>
      </c>
      <c r="L1918" s="13"/>
    </row>
    <row r="1919">
      <c r="A1919" s="13">
        <v>1917.0</v>
      </c>
      <c r="B1919" s="13">
        <v>1066.0</v>
      </c>
      <c r="C1919" s="13">
        <v>72.0</v>
      </c>
      <c r="D1919" s="12" t="s">
        <v>3291</v>
      </c>
      <c r="E1919" s="12" t="s">
        <v>3292</v>
      </c>
      <c r="F1919" s="13">
        <v>5.0</v>
      </c>
      <c r="G1919" s="13">
        <v>1.0</v>
      </c>
      <c r="H1919" s="13">
        <v>11.0</v>
      </c>
      <c r="I1919" s="13" t="s">
        <v>41</v>
      </c>
      <c r="J1919" s="13" t="s">
        <v>42</v>
      </c>
      <c r="K1919" s="13" t="s">
        <v>43</v>
      </c>
      <c r="L1919" s="13"/>
    </row>
    <row r="1920">
      <c r="A1920" s="13">
        <v>1918.0</v>
      </c>
      <c r="B1920" s="13">
        <v>1066.0</v>
      </c>
      <c r="C1920" s="13">
        <v>36.0</v>
      </c>
      <c r="D1920" s="12" t="s">
        <v>3293</v>
      </c>
      <c r="E1920" s="12" t="s">
        <v>3294</v>
      </c>
      <c r="F1920" s="13">
        <v>4.0</v>
      </c>
      <c r="G1920" s="13">
        <v>1.0</v>
      </c>
      <c r="H1920" s="13">
        <v>1.0</v>
      </c>
      <c r="I1920" s="13" t="s">
        <v>41</v>
      </c>
      <c r="J1920" s="13" t="s">
        <v>42</v>
      </c>
      <c r="K1920" s="13" t="s">
        <v>43</v>
      </c>
      <c r="L1920" s="13"/>
    </row>
    <row r="1921">
      <c r="A1921" s="13">
        <v>1919.0</v>
      </c>
      <c r="B1921" s="13">
        <v>1035.0</v>
      </c>
      <c r="C1921" s="13">
        <v>41.0</v>
      </c>
      <c r="D1921" s="12" t="s">
        <v>3295</v>
      </c>
      <c r="E1921" s="12" t="s">
        <v>3296</v>
      </c>
      <c r="F1921" s="13">
        <v>5.0</v>
      </c>
      <c r="G1921" s="13">
        <v>1.0</v>
      </c>
      <c r="H1921" s="13">
        <v>1.0</v>
      </c>
      <c r="I1921" s="13" t="s">
        <v>41</v>
      </c>
      <c r="J1921" s="13" t="s">
        <v>42</v>
      </c>
      <c r="K1921" s="13" t="s">
        <v>435</v>
      </c>
      <c r="L1921" s="13"/>
    </row>
    <row r="1922">
      <c r="A1922" s="13">
        <v>1920.0</v>
      </c>
      <c r="B1922" s="13">
        <v>828.0</v>
      </c>
      <c r="C1922" s="13">
        <v>25.0</v>
      </c>
      <c r="D1922" s="12" t="s">
        <v>3297</v>
      </c>
      <c r="E1922" s="12" t="s">
        <v>3298</v>
      </c>
      <c r="F1922" s="13">
        <v>5.0</v>
      </c>
      <c r="G1922" s="13">
        <v>1.0</v>
      </c>
      <c r="H1922" s="13">
        <v>0.0</v>
      </c>
      <c r="I1922" s="13" t="s">
        <v>35</v>
      </c>
      <c r="J1922" s="13" t="s">
        <v>46</v>
      </c>
      <c r="K1922" s="13" t="s">
        <v>47</v>
      </c>
      <c r="L1922" s="13"/>
    </row>
    <row r="1923">
      <c r="A1923" s="13">
        <v>1921.0</v>
      </c>
      <c r="B1923" s="13">
        <v>1066.0</v>
      </c>
      <c r="C1923" s="13">
        <v>60.0</v>
      </c>
      <c r="D1923" s="12"/>
      <c r="E1923" s="12" t="s">
        <v>3299</v>
      </c>
      <c r="F1923" s="13">
        <v>4.0</v>
      </c>
      <c r="G1923" s="13">
        <v>1.0</v>
      </c>
      <c r="H1923" s="13">
        <v>8.0</v>
      </c>
      <c r="I1923" s="13" t="s">
        <v>41</v>
      </c>
      <c r="J1923" s="13" t="s">
        <v>42</v>
      </c>
      <c r="K1923" s="13" t="s">
        <v>43</v>
      </c>
      <c r="L1923" s="13"/>
    </row>
    <row r="1924">
      <c r="A1924" s="13">
        <v>1922.0</v>
      </c>
      <c r="B1924" s="13">
        <v>1066.0</v>
      </c>
      <c r="C1924" s="13">
        <v>49.0</v>
      </c>
      <c r="D1924" s="12" t="s">
        <v>1200</v>
      </c>
      <c r="E1924" s="12" t="s">
        <v>3300</v>
      </c>
      <c r="F1924" s="13">
        <v>4.0</v>
      </c>
      <c r="G1924" s="13">
        <v>1.0</v>
      </c>
      <c r="H1924" s="13">
        <v>0.0</v>
      </c>
      <c r="I1924" s="13" t="s">
        <v>41</v>
      </c>
      <c r="J1924" s="13" t="s">
        <v>42</v>
      </c>
      <c r="K1924" s="13" t="s">
        <v>43</v>
      </c>
      <c r="L1924" s="13"/>
    </row>
    <row r="1925">
      <c r="A1925" s="13">
        <v>1923.0</v>
      </c>
      <c r="B1925" s="13">
        <v>828.0</v>
      </c>
      <c r="C1925" s="13">
        <v>45.0</v>
      </c>
      <c r="D1925" s="12" t="s">
        <v>3301</v>
      </c>
      <c r="E1925" s="12" t="s">
        <v>3302</v>
      </c>
      <c r="F1925" s="13">
        <v>5.0</v>
      </c>
      <c r="G1925" s="13">
        <v>1.0</v>
      </c>
      <c r="H1925" s="13">
        <v>0.0</v>
      </c>
      <c r="I1925" s="13" t="s">
        <v>35</v>
      </c>
      <c r="J1925" s="13" t="s">
        <v>46</v>
      </c>
      <c r="K1925" s="13" t="s">
        <v>47</v>
      </c>
      <c r="L1925" s="13"/>
    </row>
    <row r="1926">
      <c r="A1926" s="13">
        <v>1924.0</v>
      </c>
      <c r="B1926" s="13">
        <v>1059.0</v>
      </c>
      <c r="C1926" s="13">
        <v>68.0</v>
      </c>
      <c r="D1926" s="12" t="s">
        <v>3303</v>
      </c>
      <c r="E1926" s="12" t="s">
        <v>3304</v>
      </c>
      <c r="F1926" s="13">
        <v>5.0</v>
      </c>
      <c r="G1926" s="13">
        <v>1.0</v>
      </c>
      <c r="H1926" s="13">
        <v>2.0</v>
      </c>
      <c r="I1926" s="13" t="s">
        <v>41</v>
      </c>
      <c r="J1926" s="13" t="s">
        <v>42</v>
      </c>
      <c r="K1926" s="13" t="s">
        <v>43</v>
      </c>
      <c r="L1926" s="13"/>
    </row>
    <row r="1927">
      <c r="A1927" s="13">
        <v>1925.0</v>
      </c>
      <c r="B1927" s="13">
        <v>1078.0</v>
      </c>
      <c r="C1927" s="13">
        <v>28.0</v>
      </c>
      <c r="D1927" s="12" t="s">
        <v>3305</v>
      </c>
      <c r="E1927" s="12" t="s">
        <v>3306</v>
      </c>
      <c r="F1927" s="13">
        <v>5.0</v>
      </c>
      <c r="G1927" s="13">
        <v>1.0</v>
      </c>
      <c r="H1927" s="13">
        <v>3.0</v>
      </c>
      <c r="I1927" s="13" t="s">
        <v>41</v>
      </c>
      <c r="J1927" s="13" t="s">
        <v>36</v>
      </c>
      <c r="K1927" s="13" t="s">
        <v>36</v>
      </c>
      <c r="L1927" s="13"/>
    </row>
    <row r="1928">
      <c r="A1928" s="13">
        <v>1926.0</v>
      </c>
      <c r="B1928" s="13">
        <v>1082.0</v>
      </c>
      <c r="C1928" s="13">
        <v>59.0</v>
      </c>
      <c r="D1928" s="12" t="s">
        <v>3307</v>
      </c>
      <c r="E1928" s="12" t="s">
        <v>3308</v>
      </c>
      <c r="F1928" s="13">
        <v>1.0</v>
      </c>
      <c r="G1928" s="13">
        <v>0.0</v>
      </c>
      <c r="H1928" s="13">
        <v>6.0</v>
      </c>
      <c r="I1928" s="13" t="s">
        <v>41</v>
      </c>
      <c r="J1928" s="13" t="s">
        <v>36</v>
      </c>
      <c r="K1928" s="13" t="s">
        <v>36</v>
      </c>
      <c r="L1928" s="13"/>
    </row>
    <row r="1929">
      <c r="A1929" s="13">
        <v>1927.0</v>
      </c>
      <c r="B1929" s="13">
        <v>1059.0</v>
      </c>
      <c r="C1929" s="13">
        <v>38.0</v>
      </c>
      <c r="D1929" s="12" t="s">
        <v>1574</v>
      </c>
      <c r="E1929" s="12" t="s">
        <v>3309</v>
      </c>
      <c r="F1929" s="13">
        <v>5.0</v>
      </c>
      <c r="G1929" s="13">
        <v>1.0</v>
      </c>
      <c r="H1929" s="13">
        <v>3.0</v>
      </c>
      <c r="I1929" s="13" t="s">
        <v>41</v>
      </c>
      <c r="J1929" s="13" t="s">
        <v>42</v>
      </c>
      <c r="K1929" s="13" t="s">
        <v>43</v>
      </c>
      <c r="L1929" s="13"/>
    </row>
    <row r="1930">
      <c r="A1930" s="13">
        <v>1928.0</v>
      </c>
      <c r="B1930" s="13">
        <v>860.0</v>
      </c>
      <c r="C1930" s="13">
        <v>28.0</v>
      </c>
      <c r="D1930" s="12"/>
      <c r="E1930" s="12"/>
      <c r="F1930" s="13">
        <v>5.0</v>
      </c>
      <c r="G1930" s="13">
        <v>1.0</v>
      </c>
      <c r="H1930" s="13">
        <v>0.0</v>
      </c>
      <c r="I1930" s="13" t="s">
        <v>35</v>
      </c>
      <c r="J1930" s="13" t="s">
        <v>46</v>
      </c>
      <c r="K1930" s="13" t="s">
        <v>52</v>
      </c>
      <c r="L1930" s="13"/>
    </row>
    <row r="1931">
      <c r="A1931" s="13">
        <v>1929.0</v>
      </c>
      <c r="B1931" s="13">
        <v>1066.0</v>
      </c>
      <c r="C1931" s="13">
        <v>50.0</v>
      </c>
      <c r="D1931" s="12" t="s">
        <v>3310</v>
      </c>
      <c r="E1931" s="12" t="s">
        <v>3311</v>
      </c>
      <c r="F1931" s="13">
        <v>5.0</v>
      </c>
      <c r="G1931" s="13">
        <v>1.0</v>
      </c>
      <c r="H1931" s="13">
        <v>2.0</v>
      </c>
      <c r="I1931" s="13" t="s">
        <v>41</v>
      </c>
      <c r="J1931" s="13" t="s">
        <v>42</v>
      </c>
      <c r="K1931" s="13" t="s">
        <v>43</v>
      </c>
      <c r="L1931" s="13"/>
    </row>
    <row r="1932">
      <c r="A1932" s="13">
        <v>1930.0</v>
      </c>
      <c r="B1932" s="13">
        <v>1081.0</v>
      </c>
      <c r="C1932" s="13">
        <v>55.0</v>
      </c>
      <c r="D1932" s="12" t="s">
        <v>3312</v>
      </c>
      <c r="E1932" s="12" t="s">
        <v>3313</v>
      </c>
      <c r="F1932" s="13">
        <v>2.0</v>
      </c>
      <c r="G1932" s="13">
        <v>0.0</v>
      </c>
      <c r="H1932" s="13">
        <v>3.0</v>
      </c>
      <c r="I1932" s="13" t="s">
        <v>41</v>
      </c>
      <c r="J1932" s="13" t="s">
        <v>36</v>
      </c>
      <c r="K1932" s="13" t="s">
        <v>36</v>
      </c>
      <c r="L1932" s="13"/>
    </row>
    <row r="1933">
      <c r="A1933" s="13">
        <v>1931.0</v>
      </c>
      <c r="B1933" s="13">
        <v>860.0</v>
      </c>
      <c r="C1933" s="13">
        <v>48.0</v>
      </c>
      <c r="D1933" s="12" t="s">
        <v>3314</v>
      </c>
      <c r="E1933" s="12" t="s">
        <v>3315</v>
      </c>
      <c r="F1933" s="13">
        <v>5.0</v>
      </c>
      <c r="G1933" s="13">
        <v>1.0</v>
      </c>
      <c r="H1933" s="13">
        <v>37.0</v>
      </c>
      <c r="I1933" s="13" t="s">
        <v>35</v>
      </c>
      <c r="J1933" s="13" t="s">
        <v>46</v>
      </c>
      <c r="K1933" s="13" t="s">
        <v>52</v>
      </c>
      <c r="L1933" s="13"/>
    </row>
    <row r="1934">
      <c r="A1934" s="13">
        <v>1932.0</v>
      </c>
      <c r="B1934" s="13">
        <v>860.0</v>
      </c>
      <c r="C1934" s="13">
        <v>50.0</v>
      </c>
      <c r="D1934" s="12" t="s">
        <v>3316</v>
      </c>
      <c r="E1934" s="12" t="s">
        <v>3317</v>
      </c>
      <c r="F1934" s="13">
        <v>3.0</v>
      </c>
      <c r="G1934" s="13">
        <v>1.0</v>
      </c>
      <c r="H1934" s="13">
        <v>0.0</v>
      </c>
      <c r="I1934" s="13" t="s">
        <v>35</v>
      </c>
      <c r="J1934" s="13" t="s">
        <v>46</v>
      </c>
      <c r="K1934" s="13" t="s">
        <v>52</v>
      </c>
      <c r="L1934" s="13"/>
    </row>
    <row r="1935">
      <c r="A1935" s="13">
        <v>1933.0</v>
      </c>
      <c r="B1935" s="13">
        <v>1035.0</v>
      </c>
      <c r="C1935" s="13">
        <v>37.0</v>
      </c>
      <c r="D1935" s="12" t="s">
        <v>3318</v>
      </c>
      <c r="E1935" s="12" t="s">
        <v>3319</v>
      </c>
      <c r="F1935" s="13">
        <v>4.0</v>
      </c>
      <c r="G1935" s="13">
        <v>1.0</v>
      </c>
      <c r="H1935" s="13">
        <v>2.0</v>
      </c>
      <c r="I1935" s="13" t="s">
        <v>41</v>
      </c>
      <c r="J1935" s="13" t="s">
        <v>42</v>
      </c>
      <c r="K1935" s="13" t="s">
        <v>435</v>
      </c>
      <c r="L1935" s="13"/>
    </row>
    <row r="1936">
      <c r="A1936" s="13">
        <v>1934.0</v>
      </c>
      <c r="B1936" s="13">
        <v>1009.0</v>
      </c>
      <c r="C1936" s="13">
        <v>56.0</v>
      </c>
      <c r="D1936" s="12"/>
      <c r="E1936" s="12" t="s">
        <v>3320</v>
      </c>
      <c r="F1936" s="13">
        <v>5.0</v>
      </c>
      <c r="G1936" s="13">
        <v>1.0</v>
      </c>
      <c r="H1936" s="13">
        <v>1.0</v>
      </c>
      <c r="I1936" s="13" t="s">
        <v>41</v>
      </c>
      <c r="J1936" s="13" t="s">
        <v>42</v>
      </c>
      <c r="K1936" s="13" t="s">
        <v>98</v>
      </c>
      <c r="L1936" s="13"/>
    </row>
    <row r="1937">
      <c r="A1937" s="13">
        <v>1935.0</v>
      </c>
      <c r="B1937" s="13">
        <v>1092.0</v>
      </c>
      <c r="C1937" s="13">
        <v>50.0</v>
      </c>
      <c r="D1937" s="12" t="s">
        <v>3321</v>
      </c>
      <c r="E1937" s="12" t="s">
        <v>3322</v>
      </c>
      <c r="F1937" s="13">
        <v>5.0</v>
      </c>
      <c r="G1937" s="13">
        <v>1.0</v>
      </c>
      <c r="H1937" s="13">
        <v>0.0</v>
      </c>
      <c r="I1937" s="13" t="s">
        <v>41</v>
      </c>
      <c r="J1937" s="13" t="s">
        <v>36</v>
      </c>
      <c r="K1937" s="13" t="s">
        <v>36</v>
      </c>
      <c r="L1937" s="13"/>
    </row>
    <row r="1938">
      <c r="A1938" s="13">
        <v>1936.0</v>
      </c>
      <c r="B1938" s="13">
        <v>872.0</v>
      </c>
      <c r="C1938" s="13">
        <v>49.0</v>
      </c>
      <c r="D1938" s="12"/>
      <c r="E1938" s="12" t="s">
        <v>3323</v>
      </c>
      <c r="F1938" s="13">
        <v>5.0</v>
      </c>
      <c r="G1938" s="13">
        <v>1.0</v>
      </c>
      <c r="H1938" s="13">
        <v>0.0</v>
      </c>
      <c r="I1938" s="13" t="s">
        <v>41</v>
      </c>
      <c r="J1938" s="13" t="s">
        <v>46</v>
      </c>
      <c r="K1938" s="13" t="s">
        <v>52</v>
      </c>
      <c r="L1938" s="13"/>
    </row>
    <row r="1939">
      <c r="A1939" s="13">
        <v>1937.0</v>
      </c>
      <c r="B1939" s="13">
        <v>1016.0</v>
      </c>
      <c r="C1939" s="13">
        <v>41.0</v>
      </c>
      <c r="D1939" s="12" t="s">
        <v>3324</v>
      </c>
      <c r="E1939" s="12" t="s">
        <v>3325</v>
      </c>
      <c r="F1939" s="13">
        <v>2.0</v>
      </c>
      <c r="G1939" s="13">
        <v>0.0</v>
      </c>
      <c r="H1939" s="13">
        <v>11.0</v>
      </c>
      <c r="I1939" s="13" t="s">
        <v>35</v>
      </c>
      <c r="J1939" s="13" t="s">
        <v>42</v>
      </c>
      <c r="K1939" s="13" t="s">
        <v>98</v>
      </c>
      <c r="L1939" s="13"/>
    </row>
    <row r="1940">
      <c r="A1940" s="13">
        <v>1938.0</v>
      </c>
      <c r="B1940" s="13">
        <v>1197.0</v>
      </c>
      <c r="C1940" s="13">
        <v>68.0</v>
      </c>
      <c r="D1940" s="12" t="s">
        <v>3326</v>
      </c>
      <c r="E1940" s="12" t="s">
        <v>3327</v>
      </c>
      <c r="F1940" s="13">
        <v>5.0</v>
      </c>
      <c r="G1940" s="13">
        <v>1.0</v>
      </c>
      <c r="H1940" s="13">
        <v>1.0</v>
      </c>
      <c r="I1940" s="13" t="s">
        <v>35</v>
      </c>
      <c r="J1940" s="13" t="s">
        <v>36</v>
      </c>
      <c r="K1940" s="13" t="s">
        <v>36</v>
      </c>
      <c r="L1940" s="13"/>
    </row>
    <row r="1941">
      <c r="A1941" s="13">
        <v>1939.0</v>
      </c>
      <c r="B1941" s="13">
        <v>862.0</v>
      </c>
      <c r="C1941" s="13">
        <v>76.0</v>
      </c>
      <c r="D1941" s="12"/>
      <c r="E1941" s="12" t="s">
        <v>3328</v>
      </c>
      <c r="F1941" s="13">
        <v>2.0</v>
      </c>
      <c r="G1941" s="13">
        <v>0.0</v>
      </c>
      <c r="H1941" s="13">
        <v>0.0</v>
      </c>
      <c r="I1941" s="13" t="s">
        <v>41</v>
      </c>
      <c r="J1941" s="13" t="s">
        <v>46</v>
      </c>
      <c r="K1941" s="13" t="s">
        <v>52</v>
      </c>
      <c r="L1941" s="13"/>
    </row>
    <row r="1942">
      <c r="A1942" s="13">
        <v>1940.0</v>
      </c>
      <c r="B1942" s="13">
        <v>1092.0</v>
      </c>
      <c r="C1942" s="13">
        <v>50.0</v>
      </c>
      <c r="D1942" s="12" t="s">
        <v>3329</v>
      </c>
      <c r="E1942" s="12" t="s">
        <v>3330</v>
      </c>
      <c r="F1942" s="13">
        <v>3.0</v>
      </c>
      <c r="G1942" s="13">
        <v>0.0</v>
      </c>
      <c r="H1942" s="13">
        <v>0.0</v>
      </c>
      <c r="I1942" s="13" t="s">
        <v>41</v>
      </c>
      <c r="J1942" s="13" t="s">
        <v>36</v>
      </c>
      <c r="K1942" s="13" t="s">
        <v>36</v>
      </c>
      <c r="L1942" s="13"/>
    </row>
    <row r="1943">
      <c r="A1943" s="13">
        <v>1941.0</v>
      </c>
      <c r="B1943" s="13">
        <v>1016.0</v>
      </c>
      <c r="C1943" s="13">
        <v>42.0</v>
      </c>
      <c r="D1943" s="12" t="s">
        <v>3331</v>
      </c>
      <c r="E1943" s="12" t="s">
        <v>3332</v>
      </c>
      <c r="F1943" s="13">
        <v>4.0</v>
      </c>
      <c r="G1943" s="13">
        <v>1.0</v>
      </c>
      <c r="H1943" s="13">
        <v>1.0</v>
      </c>
      <c r="I1943" s="13" t="s">
        <v>35</v>
      </c>
      <c r="J1943" s="13" t="s">
        <v>42</v>
      </c>
      <c r="K1943" s="13" t="s">
        <v>98</v>
      </c>
      <c r="L1943" s="13"/>
    </row>
    <row r="1944">
      <c r="A1944" s="13">
        <v>1942.0</v>
      </c>
      <c r="B1944" s="13">
        <v>862.0</v>
      </c>
      <c r="C1944" s="13">
        <v>37.0</v>
      </c>
      <c r="D1944" s="12"/>
      <c r="E1944" s="12" t="s">
        <v>3333</v>
      </c>
      <c r="F1944" s="13">
        <v>5.0</v>
      </c>
      <c r="G1944" s="13">
        <v>1.0</v>
      </c>
      <c r="H1944" s="13">
        <v>0.0</v>
      </c>
      <c r="I1944" s="13" t="s">
        <v>41</v>
      </c>
      <c r="J1944" s="13" t="s">
        <v>46</v>
      </c>
      <c r="K1944" s="13" t="s">
        <v>52</v>
      </c>
      <c r="L1944" s="13"/>
    </row>
    <row r="1945">
      <c r="A1945" s="13">
        <v>1943.0</v>
      </c>
      <c r="B1945" s="13">
        <v>1092.0</v>
      </c>
      <c r="C1945" s="13">
        <v>44.0</v>
      </c>
      <c r="D1945" s="12"/>
      <c r="E1945" s="12" t="s">
        <v>3334</v>
      </c>
      <c r="F1945" s="13">
        <v>3.0</v>
      </c>
      <c r="G1945" s="13">
        <v>0.0</v>
      </c>
      <c r="H1945" s="13">
        <v>0.0</v>
      </c>
      <c r="I1945" s="13" t="s">
        <v>41</v>
      </c>
      <c r="J1945" s="13" t="s">
        <v>36</v>
      </c>
      <c r="K1945" s="13" t="s">
        <v>36</v>
      </c>
      <c r="L1945" s="13"/>
    </row>
    <row r="1946">
      <c r="A1946" s="13">
        <v>1944.0</v>
      </c>
      <c r="B1946" s="13">
        <v>862.0</v>
      </c>
      <c r="C1946" s="13">
        <v>46.0</v>
      </c>
      <c r="D1946" s="12" t="s">
        <v>3335</v>
      </c>
      <c r="E1946" s="12" t="s">
        <v>3336</v>
      </c>
      <c r="F1946" s="13">
        <v>5.0</v>
      </c>
      <c r="G1946" s="13">
        <v>1.0</v>
      </c>
      <c r="H1946" s="13">
        <v>6.0</v>
      </c>
      <c r="I1946" s="13" t="s">
        <v>41</v>
      </c>
      <c r="J1946" s="13" t="s">
        <v>46</v>
      </c>
      <c r="K1946" s="13" t="s">
        <v>52</v>
      </c>
      <c r="L1946" s="13"/>
    </row>
    <row r="1947">
      <c r="A1947" s="13">
        <v>1945.0</v>
      </c>
      <c r="B1947" s="13">
        <v>1016.0</v>
      </c>
      <c r="C1947" s="13">
        <v>49.0</v>
      </c>
      <c r="D1947" s="12" t="s">
        <v>441</v>
      </c>
      <c r="E1947" s="12" t="s">
        <v>3337</v>
      </c>
      <c r="F1947" s="13">
        <v>4.0</v>
      </c>
      <c r="G1947" s="13">
        <v>1.0</v>
      </c>
      <c r="H1947" s="13">
        <v>1.0</v>
      </c>
      <c r="I1947" s="13" t="s">
        <v>35</v>
      </c>
      <c r="J1947" s="13" t="s">
        <v>42</v>
      </c>
      <c r="K1947" s="13" t="s">
        <v>98</v>
      </c>
      <c r="L1947" s="13"/>
    </row>
    <row r="1948">
      <c r="A1948" s="13">
        <v>1946.0</v>
      </c>
      <c r="B1948" s="13">
        <v>1016.0</v>
      </c>
      <c r="C1948" s="13">
        <v>35.0</v>
      </c>
      <c r="D1948" s="12" t="s">
        <v>3338</v>
      </c>
      <c r="E1948" s="12" t="s">
        <v>3339</v>
      </c>
      <c r="F1948" s="13">
        <v>1.0</v>
      </c>
      <c r="G1948" s="13">
        <v>0.0</v>
      </c>
      <c r="H1948" s="13">
        <v>3.0</v>
      </c>
      <c r="I1948" s="13" t="s">
        <v>35</v>
      </c>
      <c r="J1948" s="13" t="s">
        <v>42</v>
      </c>
      <c r="K1948" s="13" t="s">
        <v>98</v>
      </c>
      <c r="L1948" s="13"/>
    </row>
    <row r="1949">
      <c r="A1949" s="13">
        <v>1947.0</v>
      </c>
      <c r="B1949" s="13">
        <v>862.0</v>
      </c>
      <c r="C1949" s="13">
        <v>64.0</v>
      </c>
      <c r="D1949" s="12"/>
      <c r="E1949" s="12" t="s">
        <v>3340</v>
      </c>
      <c r="F1949" s="13">
        <v>5.0</v>
      </c>
      <c r="G1949" s="13">
        <v>1.0</v>
      </c>
      <c r="H1949" s="13">
        <v>3.0</v>
      </c>
      <c r="I1949" s="13" t="s">
        <v>41</v>
      </c>
      <c r="J1949" s="13" t="s">
        <v>46</v>
      </c>
      <c r="K1949" s="13" t="s">
        <v>52</v>
      </c>
      <c r="L1949" s="13"/>
    </row>
    <row r="1950">
      <c r="A1950" s="13">
        <v>1948.0</v>
      </c>
      <c r="B1950" s="13">
        <v>872.0</v>
      </c>
      <c r="C1950" s="13">
        <v>29.0</v>
      </c>
      <c r="D1950" s="12" t="s">
        <v>3341</v>
      </c>
      <c r="E1950" s="12" t="s">
        <v>3342</v>
      </c>
      <c r="F1950" s="13">
        <v>4.0</v>
      </c>
      <c r="G1950" s="13">
        <v>0.0</v>
      </c>
      <c r="H1950" s="13">
        <v>0.0</v>
      </c>
      <c r="I1950" s="13" t="s">
        <v>41</v>
      </c>
      <c r="J1950" s="13" t="s">
        <v>46</v>
      </c>
      <c r="K1950" s="13" t="s">
        <v>52</v>
      </c>
      <c r="L1950" s="13"/>
    </row>
    <row r="1951">
      <c r="A1951" s="13">
        <v>1949.0</v>
      </c>
      <c r="B1951" s="13">
        <v>1092.0</v>
      </c>
      <c r="C1951" s="13">
        <v>31.0</v>
      </c>
      <c r="D1951" s="12" t="s">
        <v>139</v>
      </c>
      <c r="E1951" s="12" t="s">
        <v>3343</v>
      </c>
      <c r="F1951" s="13">
        <v>5.0</v>
      </c>
      <c r="G1951" s="13">
        <v>1.0</v>
      </c>
      <c r="H1951" s="13">
        <v>3.0</v>
      </c>
      <c r="I1951" s="13" t="s">
        <v>41</v>
      </c>
      <c r="J1951" s="13" t="s">
        <v>36</v>
      </c>
      <c r="K1951" s="13" t="s">
        <v>36</v>
      </c>
      <c r="L1951" s="13"/>
    </row>
    <row r="1952">
      <c r="A1952" s="13">
        <v>1950.0</v>
      </c>
      <c r="B1952" s="13">
        <v>807.0</v>
      </c>
      <c r="C1952" s="13">
        <v>21.0</v>
      </c>
      <c r="D1952" s="12"/>
      <c r="E1952" s="12" t="s">
        <v>3344</v>
      </c>
      <c r="F1952" s="13">
        <v>5.0</v>
      </c>
      <c r="G1952" s="13">
        <v>1.0</v>
      </c>
      <c r="H1952" s="13">
        <v>2.0</v>
      </c>
      <c r="I1952" s="13" t="s">
        <v>31</v>
      </c>
      <c r="J1952" s="13" t="s">
        <v>32</v>
      </c>
      <c r="K1952" s="13" t="s">
        <v>33</v>
      </c>
      <c r="L1952" s="13"/>
    </row>
    <row r="1953">
      <c r="A1953" s="13">
        <v>1951.0</v>
      </c>
      <c r="B1953" s="13">
        <v>1197.0</v>
      </c>
      <c r="C1953" s="13">
        <v>60.0</v>
      </c>
      <c r="D1953" s="12" t="s">
        <v>3345</v>
      </c>
      <c r="E1953" s="12" t="s">
        <v>3346</v>
      </c>
      <c r="F1953" s="13">
        <v>5.0</v>
      </c>
      <c r="G1953" s="13">
        <v>1.0</v>
      </c>
      <c r="H1953" s="13">
        <v>0.0</v>
      </c>
      <c r="I1953" s="13" t="s">
        <v>35</v>
      </c>
      <c r="J1953" s="13" t="s">
        <v>36</v>
      </c>
      <c r="K1953" s="13" t="s">
        <v>36</v>
      </c>
      <c r="L1953" s="13"/>
    </row>
    <row r="1954">
      <c r="A1954" s="13">
        <v>1952.0</v>
      </c>
      <c r="B1954" s="13">
        <v>1016.0</v>
      </c>
      <c r="C1954" s="13">
        <v>45.0</v>
      </c>
      <c r="D1954" s="12" t="s">
        <v>3347</v>
      </c>
      <c r="E1954" s="12" t="s">
        <v>3348</v>
      </c>
      <c r="F1954" s="13">
        <v>2.0</v>
      </c>
      <c r="G1954" s="13">
        <v>0.0</v>
      </c>
      <c r="H1954" s="13">
        <v>2.0</v>
      </c>
      <c r="I1954" s="13" t="s">
        <v>35</v>
      </c>
      <c r="J1954" s="13" t="s">
        <v>42</v>
      </c>
      <c r="K1954" s="13" t="s">
        <v>98</v>
      </c>
      <c r="L1954" s="13"/>
    </row>
    <row r="1955">
      <c r="A1955" s="13">
        <v>1953.0</v>
      </c>
      <c r="B1955" s="13">
        <v>872.0</v>
      </c>
      <c r="C1955" s="13">
        <v>60.0</v>
      </c>
      <c r="D1955" s="12" t="s">
        <v>1342</v>
      </c>
      <c r="E1955" s="12" t="s">
        <v>3349</v>
      </c>
      <c r="F1955" s="13">
        <v>5.0</v>
      </c>
      <c r="G1955" s="13">
        <v>1.0</v>
      </c>
      <c r="H1955" s="13">
        <v>0.0</v>
      </c>
      <c r="I1955" s="13" t="s">
        <v>41</v>
      </c>
      <c r="J1955" s="13" t="s">
        <v>46</v>
      </c>
      <c r="K1955" s="13" t="s">
        <v>52</v>
      </c>
      <c r="L1955" s="13"/>
    </row>
    <row r="1956">
      <c r="A1956" s="13">
        <v>1954.0</v>
      </c>
      <c r="B1956" s="13">
        <v>1016.0</v>
      </c>
      <c r="C1956" s="13">
        <v>44.0</v>
      </c>
      <c r="D1956" s="12" t="s">
        <v>3350</v>
      </c>
      <c r="E1956" s="12" t="s">
        <v>3351</v>
      </c>
      <c r="F1956" s="13">
        <v>1.0</v>
      </c>
      <c r="G1956" s="13">
        <v>0.0</v>
      </c>
      <c r="H1956" s="13">
        <v>2.0</v>
      </c>
      <c r="I1956" s="13" t="s">
        <v>35</v>
      </c>
      <c r="J1956" s="13" t="s">
        <v>42</v>
      </c>
      <c r="K1956" s="13" t="s">
        <v>98</v>
      </c>
      <c r="L1956" s="13"/>
    </row>
    <row r="1957">
      <c r="A1957" s="13">
        <v>1955.0</v>
      </c>
      <c r="B1957" s="13">
        <v>1197.0</v>
      </c>
      <c r="C1957" s="13">
        <v>55.0</v>
      </c>
      <c r="D1957" s="12" t="s">
        <v>3352</v>
      </c>
      <c r="E1957" s="12" t="s">
        <v>3353</v>
      </c>
      <c r="F1957" s="13">
        <v>5.0</v>
      </c>
      <c r="G1957" s="13">
        <v>1.0</v>
      </c>
      <c r="H1957" s="13">
        <v>0.0</v>
      </c>
      <c r="I1957" s="13" t="s">
        <v>35</v>
      </c>
      <c r="J1957" s="13" t="s">
        <v>36</v>
      </c>
      <c r="K1957" s="13" t="s">
        <v>36</v>
      </c>
      <c r="L1957" s="13"/>
    </row>
    <row r="1958">
      <c r="A1958" s="13">
        <v>1956.0</v>
      </c>
      <c r="B1958" s="13">
        <v>1009.0</v>
      </c>
      <c r="C1958" s="13">
        <v>23.0</v>
      </c>
      <c r="D1958" s="12"/>
      <c r="E1958" s="12" t="s">
        <v>3354</v>
      </c>
      <c r="F1958" s="13">
        <v>4.0</v>
      </c>
      <c r="G1958" s="13">
        <v>1.0</v>
      </c>
      <c r="H1958" s="13">
        <v>0.0</v>
      </c>
      <c r="I1958" s="13" t="s">
        <v>41</v>
      </c>
      <c r="J1958" s="13" t="s">
        <v>42</v>
      </c>
      <c r="K1958" s="13" t="s">
        <v>98</v>
      </c>
      <c r="L1958" s="13"/>
    </row>
    <row r="1959">
      <c r="A1959" s="13">
        <v>1957.0</v>
      </c>
      <c r="B1959" s="13">
        <v>793.0</v>
      </c>
      <c r="C1959" s="13">
        <v>66.0</v>
      </c>
      <c r="D1959" s="12" t="s">
        <v>3355</v>
      </c>
      <c r="E1959" s="12" t="s">
        <v>3356</v>
      </c>
      <c r="F1959" s="13">
        <v>4.0</v>
      </c>
      <c r="G1959" s="13">
        <v>1.0</v>
      </c>
      <c r="H1959" s="13">
        <v>0.0</v>
      </c>
      <c r="I1959" s="13" t="s">
        <v>31</v>
      </c>
      <c r="J1959" s="13" t="s">
        <v>32</v>
      </c>
      <c r="K1959" s="13" t="s">
        <v>126</v>
      </c>
      <c r="L1959" s="13"/>
    </row>
    <row r="1960">
      <c r="A1960" s="13">
        <v>1958.0</v>
      </c>
      <c r="B1960" s="13">
        <v>1009.0</v>
      </c>
      <c r="C1960" s="13">
        <v>51.0</v>
      </c>
      <c r="D1960" s="12" t="s">
        <v>3357</v>
      </c>
      <c r="E1960" s="12" t="s">
        <v>3358</v>
      </c>
      <c r="F1960" s="13">
        <v>3.0</v>
      </c>
      <c r="G1960" s="13">
        <v>0.0</v>
      </c>
      <c r="H1960" s="13">
        <v>4.0</v>
      </c>
      <c r="I1960" s="13" t="s">
        <v>41</v>
      </c>
      <c r="J1960" s="13" t="s">
        <v>42</v>
      </c>
      <c r="K1960" s="13" t="s">
        <v>98</v>
      </c>
      <c r="L1960" s="13"/>
    </row>
    <row r="1961">
      <c r="A1961" s="13">
        <v>1959.0</v>
      </c>
      <c r="B1961" s="13">
        <v>872.0</v>
      </c>
      <c r="C1961" s="13">
        <v>28.0</v>
      </c>
      <c r="D1961" s="12" t="s">
        <v>3359</v>
      </c>
      <c r="E1961" s="12" t="s">
        <v>3360</v>
      </c>
      <c r="F1961" s="13">
        <v>5.0</v>
      </c>
      <c r="G1961" s="13">
        <v>1.0</v>
      </c>
      <c r="H1961" s="13">
        <v>3.0</v>
      </c>
      <c r="I1961" s="13" t="s">
        <v>41</v>
      </c>
      <c r="J1961" s="13" t="s">
        <v>46</v>
      </c>
      <c r="K1961" s="13" t="s">
        <v>52</v>
      </c>
      <c r="L1961" s="13"/>
    </row>
    <row r="1962">
      <c r="A1962" s="13">
        <v>1960.0</v>
      </c>
      <c r="B1962" s="13">
        <v>1016.0</v>
      </c>
      <c r="C1962" s="13">
        <v>61.0</v>
      </c>
      <c r="D1962" s="12" t="s">
        <v>3361</v>
      </c>
      <c r="E1962" s="12" t="s">
        <v>3362</v>
      </c>
      <c r="F1962" s="13">
        <v>5.0</v>
      </c>
      <c r="G1962" s="13">
        <v>1.0</v>
      </c>
      <c r="H1962" s="13">
        <v>3.0</v>
      </c>
      <c r="I1962" s="13" t="s">
        <v>35</v>
      </c>
      <c r="J1962" s="13" t="s">
        <v>42</v>
      </c>
      <c r="K1962" s="13" t="s">
        <v>98</v>
      </c>
      <c r="L1962" s="13"/>
    </row>
    <row r="1963">
      <c r="A1963" s="13">
        <v>1961.0</v>
      </c>
      <c r="B1963" s="13">
        <v>1009.0</v>
      </c>
      <c r="C1963" s="13">
        <v>39.0</v>
      </c>
      <c r="D1963" s="12" t="s">
        <v>3363</v>
      </c>
      <c r="E1963" s="12" t="s">
        <v>3364</v>
      </c>
      <c r="F1963" s="13">
        <v>3.0</v>
      </c>
      <c r="G1963" s="13">
        <v>1.0</v>
      </c>
      <c r="H1963" s="13">
        <v>0.0</v>
      </c>
      <c r="I1963" s="13" t="s">
        <v>41</v>
      </c>
      <c r="J1963" s="13" t="s">
        <v>42</v>
      </c>
      <c r="K1963" s="13" t="s">
        <v>98</v>
      </c>
      <c r="L1963" s="13"/>
    </row>
    <row r="1964">
      <c r="A1964" s="13">
        <v>1962.0</v>
      </c>
      <c r="B1964" s="13">
        <v>1092.0</v>
      </c>
      <c r="C1964" s="13">
        <v>44.0</v>
      </c>
      <c r="D1964" s="12" t="s">
        <v>3365</v>
      </c>
      <c r="E1964" s="12" t="s">
        <v>3366</v>
      </c>
      <c r="F1964" s="13">
        <v>4.0</v>
      </c>
      <c r="G1964" s="13">
        <v>1.0</v>
      </c>
      <c r="H1964" s="13">
        <v>3.0</v>
      </c>
      <c r="I1964" s="13" t="s">
        <v>41</v>
      </c>
      <c r="J1964" s="13" t="s">
        <v>36</v>
      </c>
      <c r="K1964" s="13" t="s">
        <v>36</v>
      </c>
      <c r="L1964" s="13"/>
    </row>
    <row r="1965">
      <c r="A1965" s="13">
        <v>1963.0</v>
      </c>
      <c r="B1965" s="13">
        <v>1083.0</v>
      </c>
      <c r="C1965" s="13">
        <v>31.0</v>
      </c>
      <c r="D1965" s="12" t="s">
        <v>3367</v>
      </c>
      <c r="E1965" s="12" t="s">
        <v>3368</v>
      </c>
      <c r="F1965" s="13">
        <v>4.0</v>
      </c>
      <c r="G1965" s="13">
        <v>1.0</v>
      </c>
      <c r="H1965" s="13">
        <v>2.0</v>
      </c>
      <c r="I1965" s="13" t="s">
        <v>41</v>
      </c>
      <c r="J1965" s="13" t="s">
        <v>36</v>
      </c>
      <c r="K1965" s="13" t="s">
        <v>36</v>
      </c>
      <c r="L1965" s="13"/>
    </row>
    <row r="1966">
      <c r="A1966" s="13">
        <v>1964.0</v>
      </c>
      <c r="B1966" s="13">
        <v>1009.0</v>
      </c>
      <c r="C1966" s="13">
        <v>31.0</v>
      </c>
      <c r="D1966" s="12" t="s">
        <v>3369</v>
      </c>
      <c r="E1966" s="12" t="s">
        <v>3370</v>
      </c>
      <c r="F1966" s="13">
        <v>4.0</v>
      </c>
      <c r="G1966" s="13">
        <v>1.0</v>
      </c>
      <c r="H1966" s="13">
        <v>4.0</v>
      </c>
      <c r="I1966" s="13" t="s">
        <v>41</v>
      </c>
      <c r="J1966" s="13" t="s">
        <v>42</v>
      </c>
      <c r="K1966" s="13" t="s">
        <v>98</v>
      </c>
      <c r="L1966" s="13"/>
    </row>
    <row r="1967">
      <c r="A1967" s="13">
        <v>1965.0</v>
      </c>
      <c r="B1967" s="13">
        <v>1016.0</v>
      </c>
      <c r="C1967" s="13">
        <v>38.0</v>
      </c>
      <c r="D1967" s="12" t="s">
        <v>3371</v>
      </c>
      <c r="E1967" s="12" t="s">
        <v>3372</v>
      </c>
      <c r="F1967" s="13">
        <v>2.0</v>
      </c>
      <c r="G1967" s="13">
        <v>0.0</v>
      </c>
      <c r="H1967" s="13">
        <v>24.0</v>
      </c>
      <c r="I1967" s="13" t="s">
        <v>35</v>
      </c>
      <c r="J1967" s="13" t="s">
        <v>42</v>
      </c>
      <c r="K1967" s="13" t="s">
        <v>98</v>
      </c>
      <c r="L1967" s="13"/>
    </row>
    <row r="1968">
      <c r="A1968" s="13">
        <v>1966.0</v>
      </c>
      <c r="B1968" s="13">
        <v>1009.0</v>
      </c>
      <c r="C1968" s="13">
        <v>34.0</v>
      </c>
      <c r="D1968" s="12" t="s">
        <v>127</v>
      </c>
      <c r="E1968" s="12" t="s">
        <v>3373</v>
      </c>
      <c r="F1968" s="13">
        <v>5.0</v>
      </c>
      <c r="G1968" s="13">
        <v>1.0</v>
      </c>
      <c r="H1968" s="13">
        <v>17.0</v>
      </c>
      <c r="I1968" s="13" t="s">
        <v>41</v>
      </c>
      <c r="J1968" s="13" t="s">
        <v>42</v>
      </c>
      <c r="K1968" s="13" t="s">
        <v>98</v>
      </c>
      <c r="L1968" s="13"/>
    </row>
    <row r="1969">
      <c r="A1969" s="13">
        <v>1967.0</v>
      </c>
      <c r="B1969" s="13">
        <v>1009.0</v>
      </c>
      <c r="C1969" s="13">
        <v>57.0</v>
      </c>
      <c r="D1969" s="12" t="s">
        <v>3374</v>
      </c>
      <c r="E1969" s="12" t="s">
        <v>3375</v>
      </c>
      <c r="F1969" s="13">
        <v>4.0</v>
      </c>
      <c r="G1969" s="13">
        <v>1.0</v>
      </c>
      <c r="H1969" s="13">
        <v>8.0</v>
      </c>
      <c r="I1969" s="13" t="s">
        <v>41</v>
      </c>
      <c r="J1969" s="13" t="s">
        <v>42</v>
      </c>
      <c r="K1969" s="13" t="s">
        <v>98</v>
      </c>
      <c r="L1969" s="13"/>
    </row>
    <row r="1970">
      <c r="A1970" s="13">
        <v>1968.0</v>
      </c>
      <c r="B1970" s="13">
        <v>862.0</v>
      </c>
      <c r="C1970" s="13">
        <v>63.0</v>
      </c>
      <c r="D1970" s="12"/>
      <c r="E1970" s="12" t="s">
        <v>3376</v>
      </c>
      <c r="F1970" s="13">
        <v>5.0</v>
      </c>
      <c r="G1970" s="13">
        <v>1.0</v>
      </c>
      <c r="H1970" s="13">
        <v>0.0</v>
      </c>
      <c r="I1970" s="13" t="s">
        <v>41</v>
      </c>
      <c r="J1970" s="13" t="s">
        <v>46</v>
      </c>
      <c r="K1970" s="13" t="s">
        <v>52</v>
      </c>
      <c r="L1970" s="13"/>
    </row>
    <row r="1971">
      <c r="A1971" s="13">
        <v>1969.0</v>
      </c>
      <c r="B1971" s="13">
        <v>872.0</v>
      </c>
      <c r="C1971" s="13">
        <v>41.0</v>
      </c>
      <c r="D1971" s="12" t="s">
        <v>1495</v>
      </c>
      <c r="E1971" s="12" t="s">
        <v>3377</v>
      </c>
      <c r="F1971" s="13">
        <v>4.0</v>
      </c>
      <c r="G1971" s="13">
        <v>1.0</v>
      </c>
      <c r="H1971" s="13">
        <v>0.0</v>
      </c>
      <c r="I1971" s="13" t="s">
        <v>41</v>
      </c>
      <c r="J1971" s="13" t="s">
        <v>46</v>
      </c>
      <c r="K1971" s="13" t="s">
        <v>52</v>
      </c>
      <c r="L1971" s="13"/>
    </row>
    <row r="1972">
      <c r="A1972" s="13">
        <v>1970.0</v>
      </c>
      <c r="B1972" s="13">
        <v>862.0</v>
      </c>
      <c r="C1972" s="13">
        <v>31.0</v>
      </c>
      <c r="D1972" s="12" t="s">
        <v>3378</v>
      </c>
      <c r="E1972" s="12" t="s">
        <v>3379</v>
      </c>
      <c r="F1972" s="13">
        <v>5.0</v>
      </c>
      <c r="G1972" s="13">
        <v>1.0</v>
      </c>
      <c r="H1972" s="13">
        <v>0.0</v>
      </c>
      <c r="I1972" s="13" t="s">
        <v>41</v>
      </c>
      <c r="J1972" s="13" t="s">
        <v>46</v>
      </c>
      <c r="K1972" s="13" t="s">
        <v>52</v>
      </c>
      <c r="L1972" s="13"/>
    </row>
    <row r="1973">
      <c r="A1973" s="13">
        <v>1971.0</v>
      </c>
      <c r="B1973" s="13">
        <v>1016.0</v>
      </c>
      <c r="C1973" s="13">
        <v>43.0</v>
      </c>
      <c r="D1973" s="12" t="s">
        <v>3380</v>
      </c>
      <c r="E1973" s="12" t="s">
        <v>3381</v>
      </c>
      <c r="F1973" s="13">
        <v>4.0</v>
      </c>
      <c r="G1973" s="13">
        <v>1.0</v>
      </c>
      <c r="H1973" s="13">
        <v>1.0</v>
      </c>
      <c r="I1973" s="13" t="s">
        <v>35</v>
      </c>
      <c r="J1973" s="13" t="s">
        <v>42</v>
      </c>
      <c r="K1973" s="13" t="s">
        <v>98</v>
      </c>
      <c r="L1973" s="13"/>
    </row>
    <row r="1974">
      <c r="A1974" s="13">
        <v>1972.0</v>
      </c>
      <c r="B1974" s="13">
        <v>1016.0</v>
      </c>
      <c r="C1974" s="13">
        <v>32.0</v>
      </c>
      <c r="D1974" s="12" t="s">
        <v>3382</v>
      </c>
      <c r="E1974" s="12" t="s">
        <v>3383</v>
      </c>
      <c r="F1974" s="13">
        <v>4.0</v>
      </c>
      <c r="G1974" s="13">
        <v>1.0</v>
      </c>
      <c r="H1974" s="13">
        <v>0.0</v>
      </c>
      <c r="I1974" s="13" t="s">
        <v>35</v>
      </c>
      <c r="J1974" s="13" t="s">
        <v>42</v>
      </c>
      <c r="K1974" s="13" t="s">
        <v>98</v>
      </c>
      <c r="L1974" s="13"/>
    </row>
    <row r="1975">
      <c r="A1975" s="13">
        <v>1973.0</v>
      </c>
      <c r="B1975" s="13">
        <v>1092.0</v>
      </c>
      <c r="C1975" s="13">
        <v>36.0</v>
      </c>
      <c r="D1975" s="12"/>
      <c r="E1975" s="12" t="s">
        <v>3384</v>
      </c>
      <c r="F1975" s="13">
        <v>5.0</v>
      </c>
      <c r="G1975" s="13">
        <v>1.0</v>
      </c>
      <c r="H1975" s="13">
        <v>22.0</v>
      </c>
      <c r="I1975" s="13" t="s">
        <v>41</v>
      </c>
      <c r="J1975" s="13" t="s">
        <v>36</v>
      </c>
      <c r="K1975" s="13" t="s">
        <v>36</v>
      </c>
      <c r="L1975" s="13"/>
    </row>
    <row r="1976">
      <c r="A1976" s="13">
        <v>1974.0</v>
      </c>
      <c r="B1976" s="13">
        <v>1092.0</v>
      </c>
      <c r="C1976" s="13">
        <v>50.0</v>
      </c>
      <c r="D1976" s="12" t="s">
        <v>918</v>
      </c>
      <c r="E1976" s="12" t="s">
        <v>3385</v>
      </c>
      <c r="F1976" s="13">
        <v>5.0</v>
      </c>
      <c r="G1976" s="13">
        <v>1.0</v>
      </c>
      <c r="H1976" s="13">
        <v>1.0</v>
      </c>
      <c r="I1976" s="13" t="s">
        <v>41</v>
      </c>
      <c r="J1976" s="13" t="s">
        <v>36</v>
      </c>
      <c r="K1976" s="13" t="s">
        <v>36</v>
      </c>
      <c r="L1976" s="13"/>
    </row>
    <row r="1977">
      <c r="A1977" s="13">
        <v>1975.0</v>
      </c>
      <c r="B1977" s="13">
        <v>862.0</v>
      </c>
      <c r="C1977" s="13">
        <v>27.0</v>
      </c>
      <c r="D1977" s="12" t="s">
        <v>3386</v>
      </c>
      <c r="E1977" s="12" t="s">
        <v>3387</v>
      </c>
      <c r="F1977" s="13">
        <v>4.0</v>
      </c>
      <c r="G1977" s="13">
        <v>1.0</v>
      </c>
      <c r="H1977" s="13">
        <v>0.0</v>
      </c>
      <c r="I1977" s="13" t="s">
        <v>35</v>
      </c>
      <c r="J1977" s="13" t="s">
        <v>46</v>
      </c>
      <c r="K1977" s="13" t="s">
        <v>52</v>
      </c>
      <c r="L1977" s="13"/>
    </row>
    <row r="1978">
      <c r="A1978" s="13">
        <v>1976.0</v>
      </c>
      <c r="B1978" s="13">
        <v>872.0</v>
      </c>
      <c r="C1978" s="13">
        <v>66.0</v>
      </c>
      <c r="D1978" s="12" t="s">
        <v>244</v>
      </c>
      <c r="E1978" s="12" t="s">
        <v>3388</v>
      </c>
      <c r="F1978" s="13">
        <v>5.0</v>
      </c>
      <c r="G1978" s="13">
        <v>1.0</v>
      </c>
      <c r="H1978" s="13">
        <v>0.0</v>
      </c>
      <c r="I1978" s="13" t="s">
        <v>41</v>
      </c>
      <c r="J1978" s="13" t="s">
        <v>46</v>
      </c>
      <c r="K1978" s="13" t="s">
        <v>52</v>
      </c>
      <c r="L1978" s="13"/>
    </row>
    <row r="1979">
      <c r="A1979" s="13">
        <v>1977.0</v>
      </c>
      <c r="B1979" s="13">
        <v>1016.0</v>
      </c>
      <c r="C1979" s="13">
        <v>46.0</v>
      </c>
      <c r="D1979" s="12" t="s">
        <v>3389</v>
      </c>
      <c r="E1979" s="12" t="s">
        <v>3390</v>
      </c>
      <c r="F1979" s="13">
        <v>2.0</v>
      </c>
      <c r="G1979" s="13">
        <v>0.0</v>
      </c>
      <c r="H1979" s="13">
        <v>1.0</v>
      </c>
      <c r="I1979" s="13" t="s">
        <v>35</v>
      </c>
      <c r="J1979" s="13" t="s">
        <v>42</v>
      </c>
      <c r="K1979" s="13" t="s">
        <v>98</v>
      </c>
      <c r="L1979" s="13"/>
    </row>
    <row r="1980">
      <c r="A1980" s="13">
        <v>1978.0</v>
      </c>
      <c r="B1980" s="13">
        <v>321.0</v>
      </c>
      <c r="C1980" s="13">
        <v>27.0</v>
      </c>
      <c r="D1980" s="12" t="s">
        <v>3391</v>
      </c>
      <c r="E1980" s="12" t="s">
        <v>3392</v>
      </c>
      <c r="F1980" s="13">
        <v>5.0</v>
      </c>
      <c r="G1980" s="13">
        <v>1.0</v>
      </c>
      <c r="H1980" s="13">
        <v>5.0</v>
      </c>
      <c r="I1980" s="13" t="s">
        <v>31</v>
      </c>
      <c r="J1980" s="13" t="s">
        <v>32</v>
      </c>
      <c r="K1980" s="13" t="s">
        <v>320</v>
      </c>
      <c r="L1980" s="13"/>
    </row>
    <row r="1981">
      <c r="A1981" s="13">
        <v>1979.0</v>
      </c>
      <c r="B1981" s="13">
        <v>807.0</v>
      </c>
      <c r="C1981" s="13">
        <v>39.0</v>
      </c>
      <c r="D1981" s="12" t="s">
        <v>2866</v>
      </c>
      <c r="E1981" s="12" t="s">
        <v>3393</v>
      </c>
      <c r="F1981" s="13">
        <v>5.0</v>
      </c>
      <c r="G1981" s="13">
        <v>1.0</v>
      </c>
      <c r="H1981" s="13">
        <v>0.0</v>
      </c>
      <c r="I1981" s="13" t="s">
        <v>31</v>
      </c>
      <c r="J1981" s="13" t="s">
        <v>32</v>
      </c>
      <c r="K1981" s="13" t="s">
        <v>33</v>
      </c>
      <c r="L1981" s="13"/>
    </row>
    <row r="1982">
      <c r="A1982" s="13">
        <v>1980.0</v>
      </c>
      <c r="B1982" s="13">
        <v>807.0</v>
      </c>
      <c r="C1982" s="13">
        <v>43.0</v>
      </c>
      <c r="D1982" s="12" t="s">
        <v>3394</v>
      </c>
      <c r="E1982" s="12" t="s">
        <v>3395</v>
      </c>
      <c r="F1982" s="13">
        <v>5.0</v>
      </c>
      <c r="G1982" s="13">
        <v>1.0</v>
      </c>
      <c r="H1982" s="13">
        <v>0.0</v>
      </c>
      <c r="I1982" s="13" t="s">
        <v>31</v>
      </c>
      <c r="J1982" s="13" t="s">
        <v>32</v>
      </c>
      <c r="K1982" s="13" t="s">
        <v>33</v>
      </c>
      <c r="L1982" s="13"/>
    </row>
    <row r="1983">
      <c r="A1983" s="13">
        <v>1981.0</v>
      </c>
      <c r="B1983" s="13">
        <v>872.0</v>
      </c>
      <c r="C1983" s="13">
        <v>36.0</v>
      </c>
      <c r="D1983" s="12" t="s">
        <v>3396</v>
      </c>
      <c r="E1983" s="12" t="s">
        <v>3397</v>
      </c>
      <c r="F1983" s="13">
        <v>5.0</v>
      </c>
      <c r="G1983" s="13">
        <v>1.0</v>
      </c>
      <c r="H1983" s="13">
        <v>4.0</v>
      </c>
      <c r="I1983" s="13" t="s">
        <v>41</v>
      </c>
      <c r="J1983" s="13" t="s">
        <v>46</v>
      </c>
      <c r="K1983" s="13" t="s">
        <v>52</v>
      </c>
      <c r="L1983" s="13"/>
    </row>
    <row r="1984">
      <c r="A1984" s="13">
        <v>1982.0</v>
      </c>
      <c r="B1984" s="13">
        <v>1092.0</v>
      </c>
      <c r="C1984" s="13">
        <v>39.0</v>
      </c>
      <c r="D1984" s="12" t="s">
        <v>3398</v>
      </c>
      <c r="E1984" s="12" t="s">
        <v>3399</v>
      </c>
      <c r="F1984" s="13">
        <v>5.0</v>
      </c>
      <c r="G1984" s="13">
        <v>1.0</v>
      </c>
      <c r="H1984" s="13">
        <v>2.0</v>
      </c>
      <c r="I1984" s="13" t="s">
        <v>41</v>
      </c>
      <c r="J1984" s="13" t="s">
        <v>36</v>
      </c>
      <c r="K1984" s="13" t="s">
        <v>36</v>
      </c>
      <c r="L1984" s="13"/>
    </row>
    <row r="1985">
      <c r="A1985" s="13">
        <v>1983.0</v>
      </c>
      <c r="B1985" s="13">
        <v>862.0</v>
      </c>
      <c r="C1985" s="13">
        <v>61.0</v>
      </c>
      <c r="D1985" s="12"/>
      <c r="E1985" s="12" t="s">
        <v>3400</v>
      </c>
      <c r="F1985" s="13">
        <v>4.0</v>
      </c>
      <c r="G1985" s="13">
        <v>1.0</v>
      </c>
      <c r="H1985" s="13">
        <v>6.0</v>
      </c>
      <c r="I1985" s="13" t="s">
        <v>35</v>
      </c>
      <c r="J1985" s="13" t="s">
        <v>46</v>
      </c>
      <c r="K1985" s="13" t="s">
        <v>52</v>
      </c>
      <c r="L1985" s="13"/>
    </row>
    <row r="1986">
      <c r="A1986" s="13">
        <v>1984.0</v>
      </c>
      <c r="B1986" s="13">
        <v>1016.0</v>
      </c>
      <c r="C1986" s="13">
        <v>67.0</v>
      </c>
      <c r="D1986" s="12" t="s">
        <v>3401</v>
      </c>
      <c r="E1986" s="12" t="s">
        <v>3402</v>
      </c>
      <c r="F1986" s="13">
        <v>1.0</v>
      </c>
      <c r="G1986" s="13">
        <v>0.0</v>
      </c>
      <c r="H1986" s="13">
        <v>13.0</v>
      </c>
      <c r="I1986" s="13" t="s">
        <v>35</v>
      </c>
      <c r="J1986" s="13" t="s">
        <v>42</v>
      </c>
      <c r="K1986" s="13" t="s">
        <v>98</v>
      </c>
      <c r="L1986" s="13"/>
    </row>
    <row r="1987">
      <c r="A1987" s="13">
        <v>1985.0</v>
      </c>
      <c r="B1987" s="13">
        <v>1116.0</v>
      </c>
      <c r="C1987" s="13">
        <v>46.0</v>
      </c>
      <c r="D1987" s="12" t="s">
        <v>3403</v>
      </c>
      <c r="E1987" s="12" t="s">
        <v>3404</v>
      </c>
      <c r="F1987" s="13">
        <v>1.0</v>
      </c>
      <c r="G1987" s="13">
        <v>0.0</v>
      </c>
      <c r="H1987" s="13">
        <v>1.0</v>
      </c>
      <c r="I1987" s="13" t="s">
        <v>35</v>
      </c>
      <c r="J1987" s="13" t="s">
        <v>76</v>
      </c>
      <c r="K1987" s="13" t="s">
        <v>77</v>
      </c>
      <c r="L1987" s="13"/>
    </row>
    <row r="1988">
      <c r="A1988" s="13">
        <v>1986.0</v>
      </c>
      <c r="B1988" s="13">
        <v>1009.0</v>
      </c>
      <c r="C1988" s="13">
        <v>38.0</v>
      </c>
      <c r="D1988" s="12" t="s">
        <v>3405</v>
      </c>
      <c r="E1988" s="12" t="s">
        <v>3406</v>
      </c>
      <c r="F1988" s="13">
        <v>5.0</v>
      </c>
      <c r="G1988" s="13">
        <v>1.0</v>
      </c>
      <c r="H1988" s="13">
        <v>0.0</v>
      </c>
      <c r="I1988" s="13" t="s">
        <v>41</v>
      </c>
      <c r="J1988" s="13" t="s">
        <v>42</v>
      </c>
      <c r="K1988" s="13" t="s">
        <v>98</v>
      </c>
      <c r="L1988" s="13"/>
    </row>
    <row r="1989">
      <c r="A1989" s="13">
        <v>1987.0</v>
      </c>
      <c r="B1989" s="13">
        <v>1022.0</v>
      </c>
      <c r="C1989" s="13">
        <v>42.0</v>
      </c>
      <c r="D1989" s="12" t="s">
        <v>2430</v>
      </c>
      <c r="E1989" s="12" t="s">
        <v>3407</v>
      </c>
      <c r="F1989" s="13">
        <v>5.0</v>
      </c>
      <c r="G1989" s="13">
        <v>1.0</v>
      </c>
      <c r="H1989" s="13">
        <v>4.0</v>
      </c>
      <c r="I1989" s="13" t="s">
        <v>35</v>
      </c>
      <c r="J1989" s="13" t="s">
        <v>42</v>
      </c>
      <c r="K1989" s="13" t="s">
        <v>435</v>
      </c>
      <c r="L1989" s="13"/>
    </row>
    <row r="1990">
      <c r="A1990" s="13">
        <v>1988.0</v>
      </c>
      <c r="B1990" s="13">
        <v>831.0</v>
      </c>
      <c r="C1990" s="13">
        <v>32.0</v>
      </c>
      <c r="D1990" s="12" t="s">
        <v>233</v>
      </c>
      <c r="E1990" s="12" t="s">
        <v>3408</v>
      </c>
      <c r="F1990" s="13">
        <v>5.0</v>
      </c>
      <c r="G1990" s="13">
        <v>1.0</v>
      </c>
      <c r="H1990" s="13">
        <v>0.0</v>
      </c>
      <c r="I1990" s="13" t="s">
        <v>35</v>
      </c>
      <c r="J1990" s="13" t="s">
        <v>46</v>
      </c>
      <c r="K1990" s="13" t="s">
        <v>47</v>
      </c>
      <c r="L1990" s="13"/>
    </row>
    <row r="1991">
      <c r="A1991" s="13">
        <v>1989.0</v>
      </c>
      <c r="B1991" s="13">
        <v>872.0</v>
      </c>
      <c r="C1991" s="13">
        <v>29.0</v>
      </c>
      <c r="D1991" s="12"/>
      <c r="E1991" s="12" t="s">
        <v>3409</v>
      </c>
      <c r="F1991" s="13">
        <v>5.0</v>
      </c>
      <c r="G1991" s="13">
        <v>1.0</v>
      </c>
      <c r="H1991" s="13">
        <v>0.0</v>
      </c>
      <c r="I1991" s="13" t="s">
        <v>41</v>
      </c>
      <c r="J1991" s="13" t="s">
        <v>46</v>
      </c>
      <c r="K1991" s="13" t="s">
        <v>52</v>
      </c>
      <c r="L1991" s="13"/>
    </row>
    <row r="1992">
      <c r="A1992" s="13">
        <v>1990.0</v>
      </c>
      <c r="B1992" s="13">
        <v>831.0</v>
      </c>
      <c r="C1992" s="13">
        <v>67.0</v>
      </c>
      <c r="D1992" s="12" t="s">
        <v>3410</v>
      </c>
      <c r="E1992" s="12" t="s">
        <v>3411</v>
      </c>
      <c r="F1992" s="13">
        <v>5.0</v>
      </c>
      <c r="G1992" s="13">
        <v>1.0</v>
      </c>
      <c r="H1992" s="13">
        <v>2.0</v>
      </c>
      <c r="I1992" s="13" t="s">
        <v>35</v>
      </c>
      <c r="J1992" s="13" t="s">
        <v>46</v>
      </c>
      <c r="K1992" s="13" t="s">
        <v>47</v>
      </c>
      <c r="L1992" s="13"/>
    </row>
    <row r="1993">
      <c r="A1993" s="13">
        <v>1991.0</v>
      </c>
      <c r="B1993" s="13">
        <v>831.0</v>
      </c>
      <c r="C1993" s="13">
        <v>43.0</v>
      </c>
      <c r="D1993" s="12" t="s">
        <v>3412</v>
      </c>
      <c r="E1993" s="12" t="s">
        <v>3413</v>
      </c>
      <c r="F1993" s="13">
        <v>5.0</v>
      </c>
      <c r="G1993" s="13">
        <v>1.0</v>
      </c>
      <c r="H1993" s="13">
        <v>3.0</v>
      </c>
      <c r="I1993" s="13" t="s">
        <v>35</v>
      </c>
      <c r="J1993" s="13" t="s">
        <v>46</v>
      </c>
      <c r="K1993" s="13" t="s">
        <v>47</v>
      </c>
      <c r="L1993" s="13"/>
    </row>
    <row r="1994">
      <c r="A1994" s="13">
        <v>1992.0</v>
      </c>
      <c r="B1994" s="13">
        <v>831.0</v>
      </c>
      <c r="C1994" s="13">
        <v>64.0</v>
      </c>
      <c r="D1994" s="12" t="s">
        <v>3414</v>
      </c>
      <c r="E1994" s="12" t="s">
        <v>3415</v>
      </c>
      <c r="F1994" s="13">
        <v>5.0</v>
      </c>
      <c r="G1994" s="13">
        <v>1.0</v>
      </c>
      <c r="H1994" s="13">
        <v>3.0</v>
      </c>
      <c r="I1994" s="13" t="s">
        <v>35</v>
      </c>
      <c r="J1994" s="13" t="s">
        <v>46</v>
      </c>
      <c r="K1994" s="13" t="s">
        <v>47</v>
      </c>
      <c r="L1994" s="13"/>
    </row>
    <row r="1995">
      <c r="A1995" s="13">
        <v>1993.0</v>
      </c>
      <c r="B1995" s="13">
        <v>1146.0</v>
      </c>
      <c r="C1995" s="13">
        <v>36.0</v>
      </c>
      <c r="D1995" s="12" t="s">
        <v>3416</v>
      </c>
      <c r="E1995" s="12" t="s">
        <v>3417</v>
      </c>
      <c r="F1995" s="13">
        <v>5.0</v>
      </c>
      <c r="G1995" s="13">
        <v>1.0</v>
      </c>
      <c r="H1995" s="13">
        <v>1.0</v>
      </c>
      <c r="I1995" s="13" t="s">
        <v>35</v>
      </c>
      <c r="J1995" s="13" t="s">
        <v>374</v>
      </c>
      <c r="K1995" s="13" t="s">
        <v>374</v>
      </c>
      <c r="L1995" s="13"/>
    </row>
    <row r="1996">
      <c r="A1996" s="13">
        <v>1994.0</v>
      </c>
      <c r="B1996" s="13">
        <v>1097.0</v>
      </c>
      <c r="C1996" s="13">
        <v>37.0</v>
      </c>
      <c r="D1996" s="12" t="s">
        <v>3418</v>
      </c>
      <c r="E1996" s="12" t="s">
        <v>3419</v>
      </c>
      <c r="F1996" s="13">
        <v>4.0</v>
      </c>
      <c r="G1996" s="13">
        <v>1.0</v>
      </c>
      <c r="H1996" s="13">
        <v>10.0</v>
      </c>
      <c r="I1996" s="13" t="s">
        <v>35</v>
      </c>
      <c r="J1996" s="13" t="s">
        <v>36</v>
      </c>
      <c r="K1996" s="13" t="s">
        <v>36</v>
      </c>
      <c r="L1996" s="13"/>
    </row>
    <row r="1997">
      <c r="A1997" s="13">
        <v>1995.0</v>
      </c>
      <c r="B1997" s="13">
        <v>867.0</v>
      </c>
      <c r="C1997" s="13">
        <v>38.0</v>
      </c>
      <c r="D1997" s="12" t="s">
        <v>3420</v>
      </c>
      <c r="E1997" s="12" t="s">
        <v>3421</v>
      </c>
      <c r="F1997" s="13">
        <v>2.0</v>
      </c>
      <c r="G1997" s="13">
        <v>0.0</v>
      </c>
      <c r="H1997" s="13">
        <v>0.0</v>
      </c>
      <c r="I1997" s="13" t="s">
        <v>35</v>
      </c>
      <c r="J1997" s="13" t="s">
        <v>46</v>
      </c>
      <c r="K1997" s="13" t="s">
        <v>52</v>
      </c>
      <c r="L1997" s="13"/>
    </row>
    <row r="1998">
      <c r="A1998" s="13">
        <v>1996.0</v>
      </c>
      <c r="B1998" s="13">
        <v>927.0</v>
      </c>
      <c r="C1998" s="13">
        <v>48.0</v>
      </c>
      <c r="D1998" s="12"/>
      <c r="E1998" s="12" t="s">
        <v>3422</v>
      </c>
      <c r="F1998" s="13">
        <v>4.0</v>
      </c>
      <c r="G1998" s="13">
        <v>1.0</v>
      </c>
      <c r="H1998" s="13">
        <v>0.0</v>
      </c>
      <c r="I1998" s="13" t="s">
        <v>41</v>
      </c>
      <c r="J1998" s="13" t="s">
        <v>46</v>
      </c>
      <c r="K1998" s="13" t="s">
        <v>95</v>
      </c>
      <c r="L1998" s="13"/>
    </row>
    <row r="1999">
      <c r="A1999" s="13">
        <v>1997.0</v>
      </c>
      <c r="B1999" s="13">
        <v>1022.0</v>
      </c>
      <c r="C1999" s="13">
        <v>35.0</v>
      </c>
      <c r="D1999" s="12"/>
      <c r="E1999" s="12" t="s">
        <v>3423</v>
      </c>
      <c r="F1999" s="13">
        <v>5.0</v>
      </c>
      <c r="G1999" s="13">
        <v>1.0</v>
      </c>
      <c r="H1999" s="13">
        <v>0.0</v>
      </c>
      <c r="I1999" s="13" t="s">
        <v>35</v>
      </c>
      <c r="J1999" s="13" t="s">
        <v>42</v>
      </c>
      <c r="K1999" s="13" t="s">
        <v>435</v>
      </c>
      <c r="L1999" s="13"/>
    </row>
    <row r="2000">
      <c r="A2000" s="13">
        <v>1998.0</v>
      </c>
      <c r="B2000" s="13">
        <v>164.0</v>
      </c>
      <c r="C2000" s="13">
        <v>25.0</v>
      </c>
      <c r="D2000" s="12" t="s">
        <v>772</v>
      </c>
      <c r="E2000" s="12" t="s">
        <v>3424</v>
      </c>
      <c r="F2000" s="13">
        <v>4.0</v>
      </c>
      <c r="G2000" s="13">
        <v>1.0</v>
      </c>
      <c r="H2000" s="13">
        <v>0.0</v>
      </c>
      <c r="I2000" s="13" t="s">
        <v>31</v>
      </c>
      <c r="J2000" s="13" t="s">
        <v>32</v>
      </c>
      <c r="K2000" s="13" t="s">
        <v>92</v>
      </c>
      <c r="L2000" s="13"/>
    </row>
    <row r="2001">
      <c r="A2001" s="13">
        <v>1999.0</v>
      </c>
      <c r="B2001" s="13">
        <v>1110.0</v>
      </c>
      <c r="C2001" s="13">
        <v>26.0</v>
      </c>
      <c r="D2001" s="12" t="s">
        <v>3425</v>
      </c>
      <c r="E2001" s="12" t="s">
        <v>3426</v>
      </c>
      <c r="F2001" s="13">
        <v>5.0</v>
      </c>
      <c r="G2001" s="13">
        <v>1.0</v>
      </c>
      <c r="H2001" s="13">
        <v>0.0</v>
      </c>
      <c r="I2001" s="13" t="s">
        <v>41</v>
      </c>
      <c r="J2001" s="13" t="s">
        <v>36</v>
      </c>
      <c r="K2001" s="13" t="s">
        <v>36</v>
      </c>
      <c r="L2001" s="13"/>
    </row>
    <row r="2002">
      <c r="A2002" s="13">
        <v>2000.0</v>
      </c>
      <c r="B2002" s="13">
        <v>1083.0</v>
      </c>
      <c r="C2002" s="13">
        <v>57.0</v>
      </c>
      <c r="D2002" s="12" t="s">
        <v>785</v>
      </c>
      <c r="E2002" s="12" t="s">
        <v>3427</v>
      </c>
      <c r="F2002" s="13">
        <v>1.0</v>
      </c>
      <c r="G2002" s="13">
        <v>0.0</v>
      </c>
      <c r="H2002" s="13">
        <v>0.0</v>
      </c>
      <c r="I2002" s="13" t="s">
        <v>41</v>
      </c>
      <c r="J2002" s="13" t="s">
        <v>36</v>
      </c>
      <c r="K2002" s="13" t="s">
        <v>36</v>
      </c>
      <c r="L2002" s="13"/>
    </row>
    <row r="2003">
      <c r="A2003" s="13">
        <v>2001.0</v>
      </c>
      <c r="B2003" s="13">
        <v>1083.0</v>
      </c>
      <c r="C2003" s="13">
        <v>38.0</v>
      </c>
      <c r="D2003" s="12" t="s">
        <v>3428</v>
      </c>
      <c r="E2003" s="12" t="s">
        <v>3429</v>
      </c>
      <c r="F2003" s="13">
        <v>5.0</v>
      </c>
      <c r="G2003" s="13">
        <v>1.0</v>
      </c>
      <c r="H2003" s="13">
        <v>0.0</v>
      </c>
      <c r="I2003" s="13" t="s">
        <v>41</v>
      </c>
      <c r="J2003" s="13" t="s">
        <v>36</v>
      </c>
      <c r="K2003" s="13" t="s">
        <v>36</v>
      </c>
      <c r="L2003" s="13"/>
    </row>
    <row r="2004">
      <c r="A2004" s="13">
        <v>2002.0</v>
      </c>
      <c r="B2004" s="13">
        <v>1044.0</v>
      </c>
      <c r="C2004" s="13">
        <v>34.0</v>
      </c>
      <c r="D2004" s="12" t="s">
        <v>3430</v>
      </c>
      <c r="E2004" s="12" t="s">
        <v>3431</v>
      </c>
      <c r="F2004" s="13">
        <v>3.0</v>
      </c>
      <c r="G2004" s="13">
        <v>1.0</v>
      </c>
      <c r="H2004" s="13">
        <v>2.0</v>
      </c>
      <c r="I2004" s="13" t="s">
        <v>35</v>
      </c>
      <c r="J2004" s="13" t="s">
        <v>42</v>
      </c>
      <c r="K2004" s="13" t="s">
        <v>43</v>
      </c>
      <c r="L2004" s="13"/>
    </row>
    <row r="2005">
      <c r="A2005" s="13">
        <v>2003.0</v>
      </c>
      <c r="B2005" s="13">
        <v>1022.0</v>
      </c>
      <c r="C2005" s="13">
        <v>33.0</v>
      </c>
      <c r="D2005" s="12" t="s">
        <v>3432</v>
      </c>
      <c r="E2005" s="12" t="s">
        <v>3433</v>
      </c>
      <c r="F2005" s="13">
        <v>5.0</v>
      </c>
      <c r="G2005" s="13">
        <v>1.0</v>
      </c>
      <c r="H2005" s="13">
        <v>2.0</v>
      </c>
      <c r="I2005" s="13" t="s">
        <v>35</v>
      </c>
      <c r="J2005" s="13" t="s">
        <v>42</v>
      </c>
      <c r="K2005" s="13" t="s">
        <v>435</v>
      </c>
      <c r="L2005" s="13"/>
    </row>
    <row r="2006">
      <c r="A2006" s="13">
        <v>2004.0</v>
      </c>
      <c r="B2006" s="13">
        <v>1110.0</v>
      </c>
      <c r="C2006" s="13">
        <v>35.0</v>
      </c>
      <c r="D2006" s="12" t="s">
        <v>3434</v>
      </c>
      <c r="E2006" s="12" t="s">
        <v>3435</v>
      </c>
      <c r="F2006" s="13">
        <v>5.0</v>
      </c>
      <c r="G2006" s="13">
        <v>1.0</v>
      </c>
      <c r="H2006" s="13">
        <v>0.0</v>
      </c>
      <c r="I2006" s="13" t="s">
        <v>41</v>
      </c>
      <c r="J2006" s="13" t="s">
        <v>36</v>
      </c>
      <c r="K2006" s="13" t="s">
        <v>36</v>
      </c>
      <c r="L2006" s="13"/>
    </row>
    <row r="2007">
      <c r="A2007" s="13">
        <v>2005.0</v>
      </c>
      <c r="B2007" s="13">
        <v>1083.0</v>
      </c>
      <c r="C2007" s="13">
        <v>43.0</v>
      </c>
      <c r="D2007" s="12" t="s">
        <v>2052</v>
      </c>
      <c r="E2007" s="12" t="s">
        <v>3436</v>
      </c>
      <c r="F2007" s="13">
        <v>5.0</v>
      </c>
      <c r="G2007" s="13">
        <v>1.0</v>
      </c>
      <c r="H2007" s="13">
        <v>0.0</v>
      </c>
      <c r="I2007" s="13" t="s">
        <v>41</v>
      </c>
      <c r="J2007" s="13" t="s">
        <v>36</v>
      </c>
      <c r="K2007" s="13" t="s">
        <v>36</v>
      </c>
      <c r="L2007" s="13"/>
    </row>
    <row r="2008">
      <c r="A2008" s="13">
        <v>2006.0</v>
      </c>
      <c r="B2008" s="13">
        <v>1080.0</v>
      </c>
      <c r="C2008" s="13">
        <v>83.0</v>
      </c>
      <c r="D2008" s="12" t="s">
        <v>3437</v>
      </c>
      <c r="E2008" s="12" t="s">
        <v>3438</v>
      </c>
      <c r="F2008" s="13">
        <v>5.0</v>
      </c>
      <c r="G2008" s="13">
        <v>1.0</v>
      </c>
      <c r="H2008" s="13">
        <v>5.0</v>
      </c>
      <c r="I2008" s="13" t="s">
        <v>35</v>
      </c>
      <c r="J2008" s="13" t="s">
        <v>36</v>
      </c>
      <c r="K2008" s="13" t="s">
        <v>36</v>
      </c>
      <c r="L2008" s="13"/>
    </row>
    <row r="2009">
      <c r="A2009" s="13">
        <v>2007.0</v>
      </c>
      <c r="B2009" s="13">
        <v>1095.0</v>
      </c>
      <c r="C2009" s="13">
        <v>53.0</v>
      </c>
      <c r="D2009" s="12" t="s">
        <v>3439</v>
      </c>
      <c r="E2009" s="12" t="s">
        <v>3440</v>
      </c>
      <c r="F2009" s="13">
        <v>3.0</v>
      </c>
      <c r="G2009" s="13">
        <v>1.0</v>
      </c>
      <c r="H2009" s="13">
        <v>0.0</v>
      </c>
      <c r="I2009" s="13" t="s">
        <v>41</v>
      </c>
      <c r="J2009" s="13" t="s">
        <v>36</v>
      </c>
      <c r="K2009" s="13" t="s">
        <v>36</v>
      </c>
      <c r="L2009" s="13"/>
    </row>
    <row r="2010">
      <c r="A2010" s="13">
        <v>2008.0</v>
      </c>
      <c r="B2010" s="13">
        <v>1083.0</v>
      </c>
      <c r="C2010" s="13">
        <v>41.0</v>
      </c>
      <c r="D2010" s="12" t="s">
        <v>3441</v>
      </c>
      <c r="E2010" s="12" t="s">
        <v>3442</v>
      </c>
      <c r="F2010" s="13">
        <v>5.0</v>
      </c>
      <c r="G2010" s="13">
        <v>1.0</v>
      </c>
      <c r="H2010" s="13">
        <v>0.0</v>
      </c>
      <c r="I2010" s="13" t="s">
        <v>41</v>
      </c>
      <c r="J2010" s="13" t="s">
        <v>36</v>
      </c>
      <c r="K2010" s="13" t="s">
        <v>36</v>
      </c>
      <c r="L2010" s="13"/>
    </row>
    <row r="2011">
      <c r="A2011" s="13">
        <v>2009.0</v>
      </c>
      <c r="B2011" s="13">
        <v>164.0</v>
      </c>
      <c r="C2011" s="13">
        <v>44.0</v>
      </c>
      <c r="D2011" s="12" t="s">
        <v>3443</v>
      </c>
      <c r="E2011" s="12" t="s">
        <v>3444</v>
      </c>
      <c r="F2011" s="13">
        <v>4.0</v>
      </c>
      <c r="G2011" s="13">
        <v>1.0</v>
      </c>
      <c r="H2011" s="13">
        <v>0.0</v>
      </c>
      <c r="I2011" s="13" t="s">
        <v>31</v>
      </c>
      <c r="J2011" s="13" t="s">
        <v>32</v>
      </c>
      <c r="K2011" s="13" t="s">
        <v>92</v>
      </c>
      <c r="L2011" s="13"/>
    </row>
    <row r="2012">
      <c r="A2012" s="13">
        <v>2010.0</v>
      </c>
      <c r="B2012" s="13">
        <v>1083.0</v>
      </c>
      <c r="C2012" s="13">
        <v>56.0</v>
      </c>
      <c r="D2012" s="12" t="s">
        <v>2138</v>
      </c>
      <c r="E2012" s="12" t="s">
        <v>3445</v>
      </c>
      <c r="F2012" s="13">
        <v>5.0</v>
      </c>
      <c r="G2012" s="13">
        <v>1.0</v>
      </c>
      <c r="H2012" s="13">
        <v>0.0</v>
      </c>
      <c r="I2012" s="13" t="s">
        <v>41</v>
      </c>
      <c r="J2012" s="13" t="s">
        <v>36</v>
      </c>
      <c r="K2012" s="13" t="s">
        <v>36</v>
      </c>
      <c r="L2012" s="13"/>
    </row>
    <row r="2013">
      <c r="A2013" s="13">
        <v>2011.0</v>
      </c>
      <c r="B2013" s="13">
        <v>862.0</v>
      </c>
      <c r="C2013" s="13">
        <v>41.0</v>
      </c>
      <c r="D2013" s="12" t="s">
        <v>3446</v>
      </c>
      <c r="E2013" s="12" t="s">
        <v>3447</v>
      </c>
      <c r="F2013" s="13">
        <v>4.0</v>
      </c>
      <c r="G2013" s="13">
        <v>1.0</v>
      </c>
      <c r="H2013" s="13">
        <v>2.0</v>
      </c>
      <c r="I2013" s="13" t="s">
        <v>41</v>
      </c>
      <c r="J2013" s="13" t="s">
        <v>46</v>
      </c>
      <c r="K2013" s="13" t="s">
        <v>52</v>
      </c>
      <c r="L2013" s="13"/>
    </row>
    <row r="2014">
      <c r="A2014" s="13">
        <v>2012.0</v>
      </c>
      <c r="B2014" s="13">
        <v>862.0</v>
      </c>
      <c r="C2014" s="13">
        <v>23.0</v>
      </c>
      <c r="D2014" s="12"/>
      <c r="E2014" s="12" t="s">
        <v>3448</v>
      </c>
      <c r="F2014" s="13">
        <v>4.0</v>
      </c>
      <c r="G2014" s="13">
        <v>1.0</v>
      </c>
      <c r="H2014" s="13">
        <v>3.0</v>
      </c>
      <c r="I2014" s="13" t="s">
        <v>41</v>
      </c>
      <c r="J2014" s="13" t="s">
        <v>46</v>
      </c>
      <c r="K2014" s="13" t="s">
        <v>52</v>
      </c>
      <c r="L2014" s="13"/>
    </row>
    <row r="2015">
      <c r="A2015" s="13">
        <v>2013.0</v>
      </c>
      <c r="B2015" s="13">
        <v>1134.0</v>
      </c>
      <c r="C2015" s="13">
        <v>42.0</v>
      </c>
      <c r="D2015" s="12"/>
      <c r="E2015" s="12" t="s">
        <v>3449</v>
      </c>
      <c r="F2015" s="13">
        <v>5.0</v>
      </c>
      <c r="G2015" s="13">
        <v>1.0</v>
      </c>
      <c r="H2015" s="13">
        <v>4.0</v>
      </c>
      <c r="I2015" s="13" t="s">
        <v>35</v>
      </c>
      <c r="J2015" s="13" t="s">
        <v>76</v>
      </c>
      <c r="K2015" s="13" t="s">
        <v>77</v>
      </c>
      <c r="L2015" s="13"/>
    </row>
    <row r="2016">
      <c r="A2016" s="13">
        <v>2014.0</v>
      </c>
      <c r="B2016" s="13">
        <v>1110.0</v>
      </c>
      <c r="C2016" s="13">
        <v>36.0</v>
      </c>
      <c r="D2016" s="12"/>
      <c r="E2016" s="12" t="s">
        <v>3450</v>
      </c>
      <c r="F2016" s="13">
        <v>5.0</v>
      </c>
      <c r="G2016" s="13">
        <v>1.0</v>
      </c>
      <c r="H2016" s="13">
        <v>0.0</v>
      </c>
      <c r="I2016" s="13" t="s">
        <v>41</v>
      </c>
      <c r="J2016" s="13" t="s">
        <v>36</v>
      </c>
      <c r="K2016" s="13" t="s">
        <v>36</v>
      </c>
      <c r="L2016" s="13"/>
    </row>
    <row r="2017">
      <c r="A2017" s="13">
        <v>2015.0</v>
      </c>
      <c r="B2017" s="13">
        <v>867.0</v>
      </c>
      <c r="C2017" s="13">
        <v>79.0</v>
      </c>
      <c r="D2017" s="12" t="s">
        <v>3451</v>
      </c>
      <c r="E2017" s="12" t="s">
        <v>3452</v>
      </c>
      <c r="F2017" s="13">
        <v>5.0</v>
      </c>
      <c r="G2017" s="13">
        <v>1.0</v>
      </c>
      <c r="H2017" s="13">
        <v>0.0</v>
      </c>
      <c r="I2017" s="13" t="s">
        <v>35</v>
      </c>
      <c r="J2017" s="13" t="s">
        <v>46</v>
      </c>
      <c r="K2017" s="13" t="s">
        <v>52</v>
      </c>
      <c r="L2017" s="13"/>
    </row>
    <row r="2018">
      <c r="A2018" s="13">
        <v>2016.0</v>
      </c>
      <c r="B2018" s="13">
        <v>862.0</v>
      </c>
      <c r="C2018" s="13">
        <v>66.0</v>
      </c>
      <c r="D2018" s="12" t="s">
        <v>3453</v>
      </c>
      <c r="E2018" s="12" t="s">
        <v>3454</v>
      </c>
      <c r="F2018" s="13">
        <v>5.0</v>
      </c>
      <c r="G2018" s="13">
        <v>1.0</v>
      </c>
      <c r="H2018" s="13">
        <v>0.0</v>
      </c>
      <c r="I2018" s="13" t="s">
        <v>41</v>
      </c>
      <c r="J2018" s="13" t="s">
        <v>46</v>
      </c>
      <c r="K2018" s="13" t="s">
        <v>52</v>
      </c>
      <c r="L2018" s="13"/>
    </row>
    <row r="2019">
      <c r="A2019" s="13">
        <v>2017.0</v>
      </c>
      <c r="B2019" s="13">
        <v>927.0</v>
      </c>
      <c r="C2019" s="13">
        <v>41.0</v>
      </c>
      <c r="D2019" s="12" t="s">
        <v>3455</v>
      </c>
      <c r="E2019" s="12" t="s">
        <v>3456</v>
      </c>
      <c r="F2019" s="13">
        <v>4.0</v>
      </c>
      <c r="G2019" s="13">
        <v>1.0</v>
      </c>
      <c r="H2019" s="13">
        <v>3.0</v>
      </c>
      <c r="I2019" s="13" t="s">
        <v>41</v>
      </c>
      <c r="J2019" s="13" t="s">
        <v>46</v>
      </c>
      <c r="K2019" s="13" t="s">
        <v>95</v>
      </c>
      <c r="L2019" s="13"/>
    </row>
    <row r="2020">
      <c r="A2020" s="13">
        <v>2018.0</v>
      </c>
      <c r="B2020" s="13">
        <v>63.0</v>
      </c>
      <c r="C2020" s="13">
        <v>33.0</v>
      </c>
      <c r="D2020" s="12" t="s">
        <v>3457</v>
      </c>
      <c r="E2020" s="12" t="s">
        <v>3458</v>
      </c>
      <c r="F2020" s="13">
        <v>3.0</v>
      </c>
      <c r="G2020" s="13">
        <v>0.0</v>
      </c>
      <c r="H2020" s="13">
        <v>0.0</v>
      </c>
      <c r="I2020" s="13" t="s">
        <v>35</v>
      </c>
      <c r="J2020" s="13" t="s">
        <v>42</v>
      </c>
      <c r="K2020" s="13" t="s">
        <v>1141</v>
      </c>
      <c r="L2020" s="13"/>
    </row>
    <row r="2021">
      <c r="A2021" s="13">
        <v>2019.0</v>
      </c>
      <c r="B2021" s="13">
        <v>1095.0</v>
      </c>
      <c r="C2021" s="13">
        <v>29.0</v>
      </c>
      <c r="D2021" s="12" t="s">
        <v>3459</v>
      </c>
      <c r="E2021" s="12" t="s">
        <v>3460</v>
      </c>
      <c r="F2021" s="13">
        <v>5.0</v>
      </c>
      <c r="G2021" s="13">
        <v>1.0</v>
      </c>
      <c r="H2021" s="13">
        <v>3.0</v>
      </c>
      <c r="I2021" s="13" t="s">
        <v>41</v>
      </c>
      <c r="J2021" s="13" t="s">
        <v>36</v>
      </c>
      <c r="K2021" s="13" t="s">
        <v>36</v>
      </c>
      <c r="L2021" s="13"/>
    </row>
    <row r="2022">
      <c r="A2022" s="13">
        <v>2020.0</v>
      </c>
      <c r="B2022" s="13">
        <v>1022.0</v>
      </c>
      <c r="C2022" s="13">
        <v>21.0</v>
      </c>
      <c r="D2022" s="12" t="s">
        <v>3461</v>
      </c>
      <c r="E2022" s="12" t="s">
        <v>3462</v>
      </c>
      <c r="F2022" s="13">
        <v>4.0</v>
      </c>
      <c r="G2022" s="13">
        <v>1.0</v>
      </c>
      <c r="H2022" s="13">
        <v>6.0</v>
      </c>
      <c r="I2022" s="13" t="s">
        <v>35</v>
      </c>
      <c r="J2022" s="13" t="s">
        <v>42</v>
      </c>
      <c r="K2022" s="13" t="s">
        <v>435</v>
      </c>
      <c r="L2022" s="13"/>
    </row>
    <row r="2023">
      <c r="A2023" s="13">
        <v>2021.0</v>
      </c>
      <c r="B2023" s="13">
        <v>1110.0</v>
      </c>
      <c r="C2023" s="13">
        <v>56.0</v>
      </c>
      <c r="D2023" s="12" t="s">
        <v>3463</v>
      </c>
      <c r="E2023" s="12" t="s">
        <v>3464</v>
      </c>
      <c r="F2023" s="13">
        <v>5.0</v>
      </c>
      <c r="G2023" s="13">
        <v>1.0</v>
      </c>
      <c r="H2023" s="13">
        <v>1.0</v>
      </c>
      <c r="I2023" s="13" t="s">
        <v>35</v>
      </c>
      <c r="J2023" s="13" t="s">
        <v>36</v>
      </c>
      <c r="K2023" s="13" t="s">
        <v>36</v>
      </c>
      <c r="L2023" s="13"/>
    </row>
    <row r="2024">
      <c r="A2024" s="13">
        <v>2022.0</v>
      </c>
      <c r="B2024" s="13">
        <v>867.0</v>
      </c>
      <c r="C2024" s="13">
        <v>31.0</v>
      </c>
      <c r="D2024" s="12"/>
      <c r="E2024" s="12" t="s">
        <v>3465</v>
      </c>
      <c r="F2024" s="13">
        <v>2.0</v>
      </c>
      <c r="G2024" s="13">
        <v>0.0</v>
      </c>
      <c r="H2024" s="13">
        <v>0.0</v>
      </c>
      <c r="I2024" s="13" t="s">
        <v>35</v>
      </c>
      <c r="J2024" s="13" t="s">
        <v>46</v>
      </c>
      <c r="K2024" s="13" t="s">
        <v>52</v>
      </c>
      <c r="L2024" s="13"/>
    </row>
    <row r="2025">
      <c r="A2025" s="13">
        <v>2023.0</v>
      </c>
      <c r="B2025" s="13">
        <v>1044.0</v>
      </c>
      <c r="C2025" s="13">
        <v>68.0</v>
      </c>
      <c r="D2025" s="12" t="s">
        <v>3466</v>
      </c>
      <c r="E2025" s="12" t="s">
        <v>3467</v>
      </c>
      <c r="F2025" s="13">
        <v>3.0</v>
      </c>
      <c r="G2025" s="13">
        <v>0.0</v>
      </c>
      <c r="H2025" s="13">
        <v>6.0</v>
      </c>
      <c r="I2025" s="13" t="s">
        <v>35</v>
      </c>
      <c r="J2025" s="13" t="s">
        <v>42</v>
      </c>
      <c r="K2025" s="13" t="s">
        <v>43</v>
      </c>
      <c r="L2025" s="13"/>
    </row>
    <row r="2026">
      <c r="A2026" s="13">
        <v>2024.0</v>
      </c>
      <c r="B2026" s="13">
        <v>862.0</v>
      </c>
      <c r="C2026" s="13">
        <v>45.0</v>
      </c>
      <c r="D2026" s="12" t="s">
        <v>1022</v>
      </c>
      <c r="E2026" s="12" t="s">
        <v>3468</v>
      </c>
      <c r="F2026" s="13">
        <v>5.0</v>
      </c>
      <c r="G2026" s="13">
        <v>1.0</v>
      </c>
      <c r="H2026" s="13">
        <v>1.0</v>
      </c>
      <c r="I2026" s="13" t="s">
        <v>41</v>
      </c>
      <c r="J2026" s="13" t="s">
        <v>46</v>
      </c>
      <c r="K2026" s="13" t="s">
        <v>52</v>
      </c>
      <c r="L2026" s="13"/>
    </row>
    <row r="2027">
      <c r="A2027" s="13">
        <v>2025.0</v>
      </c>
      <c r="B2027" s="13">
        <v>1075.0</v>
      </c>
      <c r="C2027" s="13">
        <v>37.0</v>
      </c>
      <c r="D2027" s="12" t="s">
        <v>3469</v>
      </c>
      <c r="E2027" s="12" t="s">
        <v>3470</v>
      </c>
      <c r="F2027" s="13">
        <v>5.0</v>
      </c>
      <c r="G2027" s="13">
        <v>1.0</v>
      </c>
      <c r="H2027" s="13">
        <v>0.0</v>
      </c>
      <c r="I2027" s="13" t="s">
        <v>35</v>
      </c>
      <c r="J2027" s="13" t="s">
        <v>36</v>
      </c>
      <c r="K2027" s="13" t="s">
        <v>36</v>
      </c>
      <c r="L2027" s="13"/>
    </row>
    <row r="2028">
      <c r="A2028" s="13">
        <v>2026.0</v>
      </c>
      <c r="B2028" s="13">
        <v>1095.0</v>
      </c>
      <c r="C2028" s="13">
        <v>32.0</v>
      </c>
      <c r="D2028" s="12" t="s">
        <v>3471</v>
      </c>
      <c r="E2028" s="12" t="s">
        <v>3472</v>
      </c>
      <c r="F2028" s="13">
        <v>5.0</v>
      </c>
      <c r="G2028" s="13">
        <v>1.0</v>
      </c>
      <c r="H2028" s="13">
        <v>12.0</v>
      </c>
      <c r="I2028" s="13" t="s">
        <v>41</v>
      </c>
      <c r="J2028" s="13" t="s">
        <v>36</v>
      </c>
      <c r="K2028" s="13" t="s">
        <v>36</v>
      </c>
      <c r="L2028" s="13"/>
    </row>
    <row r="2029">
      <c r="A2029" s="13">
        <v>2027.0</v>
      </c>
      <c r="B2029" s="13">
        <v>1083.0</v>
      </c>
      <c r="C2029" s="13">
        <v>36.0</v>
      </c>
      <c r="D2029" s="12" t="s">
        <v>677</v>
      </c>
      <c r="E2029" s="12" t="s">
        <v>3473</v>
      </c>
      <c r="F2029" s="13">
        <v>4.0</v>
      </c>
      <c r="G2029" s="13">
        <v>1.0</v>
      </c>
      <c r="H2029" s="13">
        <v>0.0</v>
      </c>
      <c r="I2029" s="13" t="s">
        <v>41</v>
      </c>
      <c r="J2029" s="13" t="s">
        <v>36</v>
      </c>
      <c r="K2029" s="13" t="s">
        <v>36</v>
      </c>
      <c r="L2029" s="13"/>
    </row>
    <row r="2030">
      <c r="A2030" s="13">
        <v>2028.0</v>
      </c>
      <c r="B2030" s="13">
        <v>862.0</v>
      </c>
      <c r="C2030" s="13">
        <v>48.0</v>
      </c>
      <c r="D2030" s="12"/>
      <c r="E2030" s="12" t="s">
        <v>3474</v>
      </c>
      <c r="F2030" s="13">
        <v>4.0</v>
      </c>
      <c r="G2030" s="13">
        <v>1.0</v>
      </c>
      <c r="H2030" s="13">
        <v>0.0</v>
      </c>
      <c r="I2030" s="13" t="s">
        <v>41</v>
      </c>
      <c r="J2030" s="13" t="s">
        <v>46</v>
      </c>
      <c r="K2030" s="13" t="s">
        <v>52</v>
      </c>
      <c r="L2030" s="13"/>
    </row>
    <row r="2031">
      <c r="A2031" s="13">
        <v>2029.0</v>
      </c>
      <c r="B2031" s="13">
        <v>1110.0</v>
      </c>
      <c r="C2031" s="13">
        <v>48.0</v>
      </c>
      <c r="D2031" s="12" t="s">
        <v>3475</v>
      </c>
      <c r="E2031" s="12" t="s">
        <v>3476</v>
      </c>
      <c r="F2031" s="13">
        <v>5.0</v>
      </c>
      <c r="G2031" s="13">
        <v>1.0</v>
      </c>
      <c r="H2031" s="13">
        <v>5.0</v>
      </c>
      <c r="I2031" s="13" t="s">
        <v>35</v>
      </c>
      <c r="J2031" s="13" t="s">
        <v>36</v>
      </c>
      <c r="K2031" s="13" t="s">
        <v>36</v>
      </c>
      <c r="L2031" s="13"/>
    </row>
    <row r="2032">
      <c r="A2032" s="13">
        <v>2030.0</v>
      </c>
      <c r="B2032" s="13">
        <v>1095.0</v>
      </c>
      <c r="C2032" s="13">
        <v>64.0</v>
      </c>
      <c r="D2032" s="12" t="s">
        <v>3477</v>
      </c>
      <c r="E2032" s="12" t="s">
        <v>3478</v>
      </c>
      <c r="F2032" s="13">
        <v>4.0</v>
      </c>
      <c r="G2032" s="13">
        <v>1.0</v>
      </c>
      <c r="H2032" s="13">
        <v>9.0</v>
      </c>
      <c r="I2032" s="13" t="s">
        <v>41</v>
      </c>
      <c r="J2032" s="13" t="s">
        <v>36</v>
      </c>
      <c r="K2032" s="13" t="s">
        <v>36</v>
      </c>
      <c r="L2032" s="13"/>
    </row>
    <row r="2033">
      <c r="A2033" s="13">
        <v>2031.0</v>
      </c>
      <c r="B2033" s="13">
        <v>1095.0</v>
      </c>
      <c r="C2033" s="13">
        <v>49.0</v>
      </c>
      <c r="D2033" s="12" t="s">
        <v>1196</v>
      </c>
      <c r="E2033" s="12" t="s">
        <v>3479</v>
      </c>
      <c r="F2033" s="13">
        <v>2.0</v>
      </c>
      <c r="G2033" s="13">
        <v>0.0</v>
      </c>
      <c r="H2033" s="13">
        <v>0.0</v>
      </c>
      <c r="I2033" s="13" t="s">
        <v>41</v>
      </c>
      <c r="J2033" s="13" t="s">
        <v>36</v>
      </c>
      <c r="K2033" s="13" t="s">
        <v>36</v>
      </c>
      <c r="L2033" s="13"/>
    </row>
    <row r="2034">
      <c r="A2034" s="13">
        <v>2032.0</v>
      </c>
      <c r="B2034" s="13">
        <v>1083.0</v>
      </c>
      <c r="C2034" s="13">
        <v>37.0</v>
      </c>
      <c r="D2034" s="12" t="s">
        <v>3480</v>
      </c>
      <c r="E2034" s="12" t="s">
        <v>3481</v>
      </c>
      <c r="F2034" s="13">
        <v>4.0</v>
      </c>
      <c r="G2034" s="13">
        <v>1.0</v>
      </c>
      <c r="H2034" s="13">
        <v>0.0</v>
      </c>
      <c r="I2034" s="13" t="s">
        <v>41</v>
      </c>
      <c r="J2034" s="13" t="s">
        <v>36</v>
      </c>
      <c r="K2034" s="13" t="s">
        <v>36</v>
      </c>
      <c r="L2034" s="13"/>
    </row>
    <row r="2035">
      <c r="A2035" s="13">
        <v>2033.0</v>
      </c>
      <c r="B2035" s="13">
        <v>1079.0</v>
      </c>
      <c r="C2035" s="13">
        <v>47.0</v>
      </c>
      <c r="D2035" s="12" t="s">
        <v>3482</v>
      </c>
      <c r="E2035" s="12" t="s">
        <v>3483</v>
      </c>
      <c r="F2035" s="13">
        <v>3.0</v>
      </c>
      <c r="G2035" s="13">
        <v>1.0</v>
      </c>
      <c r="H2035" s="13">
        <v>1.0</v>
      </c>
      <c r="I2035" s="13" t="s">
        <v>35</v>
      </c>
      <c r="J2035" s="13" t="s">
        <v>36</v>
      </c>
      <c r="K2035" s="13" t="s">
        <v>36</v>
      </c>
      <c r="L2035" s="13"/>
    </row>
    <row r="2036">
      <c r="A2036" s="13">
        <v>2034.0</v>
      </c>
      <c r="B2036" s="13">
        <v>1072.0</v>
      </c>
      <c r="C2036" s="13">
        <v>67.0</v>
      </c>
      <c r="D2036" s="12" t="s">
        <v>3484</v>
      </c>
      <c r="E2036" s="12" t="s">
        <v>3485</v>
      </c>
      <c r="F2036" s="13">
        <v>5.0</v>
      </c>
      <c r="G2036" s="13">
        <v>1.0</v>
      </c>
      <c r="H2036" s="13">
        <v>1.0</v>
      </c>
      <c r="I2036" s="13" t="s">
        <v>35</v>
      </c>
      <c r="J2036" s="13" t="s">
        <v>36</v>
      </c>
      <c r="K2036" s="13" t="s">
        <v>36</v>
      </c>
      <c r="L2036" s="13"/>
    </row>
    <row r="2037">
      <c r="A2037" s="13">
        <v>2035.0</v>
      </c>
      <c r="B2037" s="13">
        <v>872.0</v>
      </c>
      <c r="C2037" s="13">
        <v>30.0</v>
      </c>
      <c r="D2037" s="12" t="s">
        <v>3486</v>
      </c>
      <c r="E2037" s="12" t="s">
        <v>3487</v>
      </c>
      <c r="F2037" s="13">
        <v>2.0</v>
      </c>
      <c r="G2037" s="13">
        <v>0.0</v>
      </c>
      <c r="H2037" s="13">
        <v>0.0</v>
      </c>
      <c r="I2037" s="13" t="s">
        <v>41</v>
      </c>
      <c r="J2037" s="13" t="s">
        <v>46</v>
      </c>
      <c r="K2037" s="13" t="s">
        <v>52</v>
      </c>
      <c r="L2037" s="13"/>
    </row>
    <row r="2038">
      <c r="A2038" s="13">
        <v>2036.0</v>
      </c>
      <c r="B2038" s="13">
        <v>1072.0</v>
      </c>
      <c r="C2038" s="13">
        <v>55.0</v>
      </c>
      <c r="D2038" s="12" t="s">
        <v>3488</v>
      </c>
      <c r="E2038" s="12" t="s">
        <v>3489</v>
      </c>
      <c r="F2038" s="13">
        <v>5.0</v>
      </c>
      <c r="G2038" s="13">
        <v>1.0</v>
      </c>
      <c r="H2038" s="13">
        <v>1.0</v>
      </c>
      <c r="I2038" s="13" t="s">
        <v>35</v>
      </c>
      <c r="J2038" s="13" t="s">
        <v>36</v>
      </c>
      <c r="K2038" s="13" t="s">
        <v>36</v>
      </c>
      <c r="L2038" s="13"/>
    </row>
    <row r="2039">
      <c r="A2039" s="13">
        <v>2037.0</v>
      </c>
      <c r="B2039" s="13">
        <v>815.0</v>
      </c>
      <c r="C2039" s="13">
        <v>60.0</v>
      </c>
      <c r="D2039" s="12"/>
      <c r="E2039" s="12" t="s">
        <v>3490</v>
      </c>
      <c r="F2039" s="13">
        <v>3.0</v>
      </c>
      <c r="G2039" s="13">
        <v>1.0</v>
      </c>
      <c r="H2039" s="13">
        <v>0.0</v>
      </c>
      <c r="I2039" s="13" t="s">
        <v>41</v>
      </c>
      <c r="J2039" s="13" t="s">
        <v>46</v>
      </c>
      <c r="K2039" s="13" t="s">
        <v>47</v>
      </c>
      <c r="L2039" s="13"/>
    </row>
    <row r="2040">
      <c r="A2040" s="13">
        <v>2038.0</v>
      </c>
      <c r="B2040" s="13">
        <v>1072.0</v>
      </c>
      <c r="C2040" s="13">
        <v>39.0</v>
      </c>
      <c r="D2040" s="12" t="s">
        <v>3491</v>
      </c>
      <c r="E2040" s="12" t="s">
        <v>3492</v>
      </c>
      <c r="F2040" s="13">
        <v>4.0</v>
      </c>
      <c r="G2040" s="13">
        <v>1.0</v>
      </c>
      <c r="H2040" s="13">
        <v>0.0</v>
      </c>
      <c r="I2040" s="13" t="s">
        <v>35</v>
      </c>
      <c r="J2040" s="13" t="s">
        <v>36</v>
      </c>
      <c r="K2040" s="13" t="s">
        <v>36</v>
      </c>
      <c r="L2040" s="13"/>
    </row>
    <row r="2041">
      <c r="A2041" s="13">
        <v>2039.0</v>
      </c>
      <c r="B2041" s="13">
        <v>862.0</v>
      </c>
      <c r="C2041" s="13">
        <v>53.0</v>
      </c>
      <c r="D2041" s="12" t="s">
        <v>3493</v>
      </c>
      <c r="E2041" s="12" t="s">
        <v>3494</v>
      </c>
      <c r="F2041" s="13">
        <v>3.0</v>
      </c>
      <c r="G2041" s="13">
        <v>0.0</v>
      </c>
      <c r="H2041" s="13">
        <v>4.0</v>
      </c>
      <c r="I2041" s="13" t="s">
        <v>35</v>
      </c>
      <c r="J2041" s="13" t="s">
        <v>46</v>
      </c>
      <c r="K2041" s="13" t="s">
        <v>52</v>
      </c>
      <c r="L2041" s="13"/>
    </row>
    <row r="2042">
      <c r="A2042" s="13">
        <v>2040.0</v>
      </c>
      <c r="B2042" s="13">
        <v>1072.0</v>
      </c>
      <c r="C2042" s="13">
        <v>39.0</v>
      </c>
      <c r="D2042" s="12" t="s">
        <v>3495</v>
      </c>
      <c r="E2042" s="12" t="s">
        <v>3496</v>
      </c>
      <c r="F2042" s="13">
        <v>4.0</v>
      </c>
      <c r="G2042" s="13">
        <v>1.0</v>
      </c>
      <c r="H2042" s="13">
        <v>0.0</v>
      </c>
      <c r="I2042" s="13" t="s">
        <v>35</v>
      </c>
      <c r="J2042" s="13" t="s">
        <v>36</v>
      </c>
      <c r="K2042" s="13" t="s">
        <v>36</v>
      </c>
      <c r="L2042" s="13"/>
    </row>
    <row r="2043">
      <c r="A2043" s="13">
        <v>2041.0</v>
      </c>
      <c r="B2043" s="13">
        <v>862.0</v>
      </c>
      <c r="C2043" s="13">
        <v>49.0</v>
      </c>
      <c r="D2043" s="12" t="s">
        <v>1924</v>
      </c>
      <c r="E2043" s="12" t="s">
        <v>3497</v>
      </c>
      <c r="F2043" s="13">
        <v>4.0</v>
      </c>
      <c r="G2043" s="13">
        <v>1.0</v>
      </c>
      <c r="H2043" s="13">
        <v>7.0</v>
      </c>
      <c r="I2043" s="13" t="s">
        <v>35</v>
      </c>
      <c r="J2043" s="13" t="s">
        <v>46</v>
      </c>
      <c r="K2043" s="13" t="s">
        <v>52</v>
      </c>
      <c r="L2043" s="13"/>
    </row>
    <row r="2044">
      <c r="A2044" s="13">
        <v>2042.0</v>
      </c>
      <c r="B2044" s="13">
        <v>1072.0</v>
      </c>
      <c r="C2044" s="13">
        <v>33.0</v>
      </c>
      <c r="D2044" s="12" t="s">
        <v>3498</v>
      </c>
      <c r="E2044" s="12" t="s">
        <v>3499</v>
      </c>
      <c r="F2044" s="13">
        <v>5.0</v>
      </c>
      <c r="G2044" s="13">
        <v>1.0</v>
      </c>
      <c r="H2044" s="13">
        <v>51.0</v>
      </c>
      <c r="I2044" s="13" t="s">
        <v>35</v>
      </c>
      <c r="J2044" s="13" t="s">
        <v>36</v>
      </c>
      <c r="K2044" s="13" t="s">
        <v>36</v>
      </c>
      <c r="L2044" s="13"/>
    </row>
    <row r="2045">
      <c r="A2045" s="13">
        <v>2043.0</v>
      </c>
      <c r="B2045" s="13">
        <v>896.0</v>
      </c>
      <c r="C2045" s="13">
        <v>52.0</v>
      </c>
      <c r="D2045" s="12" t="s">
        <v>3097</v>
      </c>
      <c r="E2045" s="12" t="s">
        <v>3500</v>
      </c>
      <c r="F2045" s="13">
        <v>5.0</v>
      </c>
      <c r="G2045" s="13">
        <v>1.0</v>
      </c>
      <c r="H2045" s="13">
        <v>0.0</v>
      </c>
      <c r="I2045" s="13" t="s">
        <v>35</v>
      </c>
      <c r="J2045" s="13" t="s">
        <v>46</v>
      </c>
      <c r="K2045" s="13" t="s">
        <v>123</v>
      </c>
      <c r="L2045" s="13"/>
    </row>
    <row r="2046">
      <c r="A2046" s="13">
        <v>2044.0</v>
      </c>
      <c r="B2046" s="13">
        <v>872.0</v>
      </c>
      <c r="C2046" s="13">
        <v>36.0</v>
      </c>
      <c r="D2046" s="12" t="s">
        <v>3501</v>
      </c>
      <c r="E2046" s="12" t="s">
        <v>3502</v>
      </c>
      <c r="F2046" s="13">
        <v>5.0</v>
      </c>
      <c r="G2046" s="13">
        <v>1.0</v>
      </c>
      <c r="H2046" s="13">
        <v>1.0</v>
      </c>
      <c r="I2046" s="13" t="s">
        <v>41</v>
      </c>
      <c r="J2046" s="13" t="s">
        <v>46</v>
      </c>
      <c r="K2046" s="13" t="s">
        <v>52</v>
      </c>
      <c r="L2046" s="13"/>
    </row>
    <row r="2047">
      <c r="A2047" s="13">
        <v>2045.0</v>
      </c>
      <c r="B2047" s="13">
        <v>1068.0</v>
      </c>
      <c r="C2047" s="13">
        <v>74.0</v>
      </c>
      <c r="D2047" s="12"/>
      <c r="E2047" s="12" t="s">
        <v>3503</v>
      </c>
      <c r="F2047" s="13">
        <v>4.0</v>
      </c>
      <c r="G2047" s="13">
        <v>1.0</v>
      </c>
      <c r="H2047" s="13">
        <v>7.0</v>
      </c>
      <c r="I2047" s="13" t="s">
        <v>35</v>
      </c>
      <c r="J2047" s="13" t="s">
        <v>42</v>
      </c>
      <c r="K2047" s="13" t="s">
        <v>43</v>
      </c>
      <c r="L2047" s="13"/>
    </row>
    <row r="2048">
      <c r="A2048" s="13">
        <v>2046.0</v>
      </c>
      <c r="B2048" s="13">
        <v>1092.0</v>
      </c>
      <c r="C2048" s="13">
        <v>35.0</v>
      </c>
      <c r="D2048" s="12" t="s">
        <v>3504</v>
      </c>
      <c r="E2048" s="12" t="s">
        <v>3505</v>
      </c>
      <c r="F2048" s="13">
        <v>5.0</v>
      </c>
      <c r="G2048" s="13">
        <v>1.0</v>
      </c>
      <c r="H2048" s="13">
        <v>0.0</v>
      </c>
      <c r="I2048" s="13" t="s">
        <v>41</v>
      </c>
      <c r="J2048" s="13" t="s">
        <v>36</v>
      </c>
      <c r="K2048" s="13" t="s">
        <v>36</v>
      </c>
      <c r="L2048" s="13"/>
    </row>
    <row r="2049">
      <c r="A2049" s="13">
        <v>2047.0</v>
      </c>
      <c r="B2049" s="13">
        <v>1072.0</v>
      </c>
      <c r="C2049" s="13">
        <v>62.0</v>
      </c>
      <c r="D2049" s="12" t="s">
        <v>3506</v>
      </c>
      <c r="E2049" s="12" t="s">
        <v>3507</v>
      </c>
      <c r="F2049" s="13">
        <v>4.0</v>
      </c>
      <c r="G2049" s="13">
        <v>1.0</v>
      </c>
      <c r="H2049" s="13">
        <v>5.0</v>
      </c>
      <c r="I2049" s="13" t="s">
        <v>35</v>
      </c>
      <c r="J2049" s="13" t="s">
        <v>36</v>
      </c>
      <c r="K2049" s="13" t="s">
        <v>36</v>
      </c>
      <c r="L2049" s="13"/>
    </row>
    <row r="2050">
      <c r="A2050" s="13">
        <v>2048.0</v>
      </c>
      <c r="B2050" s="13">
        <v>1092.0</v>
      </c>
      <c r="C2050" s="13">
        <v>43.0</v>
      </c>
      <c r="D2050" s="12" t="s">
        <v>3508</v>
      </c>
      <c r="E2050" s="12" t="s">
        <v>3509</v>
      </c>
      <c r="F2050" s="13">
        <v>5.0</v>
      </c>
      <c r="G2050" s="13">
        <v>1.0</v>
      </c>
      <c r="H2050" s="13">
        <v>0.0</v>
      </c>
      <c r="I2050" s="13" t="s">
        <v>41</v>
      </c>
      <c r="J2050" s="13" t="s">
        <v>36</v>
      </c>
      <c r="K2050" s="13" t="s">
        <v>36</v>
      </c>
      <c r="L2050" s="13"/>
    </row>
    <row r="2051">
      <c r="A2051" s="13">
        <v>2049.0</v>
      </c>
      <c r="B2051" s="13">
        <v>1092.0</v>
      </c>
      <c r="C2051" s="13">
        <v>39.0</v>
      </c>
      <c r="D2051" s="12" t="s">
        <v>3510</v>
      </c>
      <c r="E2051" s="12" t="s">
        <v>3511</v>
      </c>
      <c r="F2051" s="13">
        <v>5.0</v>
      </c>
      <c r="G2051" s="13">
        <v>1.0</v>
      </c>
      <c r="H2051" s="13">
        <v>0.0</v>
      </c>
      <c r="I2051" s="13" t="s">
        <v>41</v>
      </c>
      <c r="J2051" s="13" t="s">
        <v>36</v>
      </c>
      <c r="K2051" s="13" t="s">
        <v>36</v>
      </c>
      <c r="L2051" s="13"/>
    </row>
    <row r="2052">
      <c r="A2052" s="13">
        <v>2050.0</v>
      </c>
      <c r="B2052" s="13">
        <v>872.0</v>
      </c>
      <c r="C2052" s="13">
        <v>41.0</v>
      </c>
      <c r="D2052" s="12"/>
      <c r="E2052" s="12" t="s">
        <v>3512</v>
      </c>
      <c r="F2052" s="13">
        <v>4.0</v>
      </c>
      <c r="G2052" s="13">
        <v>1.0</v>
      </c>
      <c r="H2052" s="13">
        <v>0.0</v>
      </c>
      <c r="I2052" s="13" t="s">
        <v>41</v>
      </c>
      <c r="J2052" s="13" t="s">
        <v>46</v>
      </c>
      <c r="K2052" s="13" t="s">
        <v>52</v>
      </c>
      <c r="L2052" s="13"/>
    </row>
    <row r="2053">
      <c r="A2053" s="13">
        <v>2051.0</v>
      </c>
      <c r="B2053" s="13">
        <v>1072.0</v>
      </c>
      <c r="C2053" s="13">
        <v>37.0</v>
      </c>
      <c r="D2053" s="12" t="s">
        <v>355</v>
      </c>
      <c r="E2053" s="12" t="s">
        <v>3513</v>
      </c>
      <c r="F2053" s="13">
        <v>4.0</v>
      </c>
      <c r="G2053" s="13">
        <v>0.0</v>
      </c>
      <c r="H2053" s="13">
        <v>2.0</v>
      </c>
      <c r="I2053" s="13" t="s">
        <v>41</v>
      </c>
      <c r="J2053" s="13" t="s">
        <v>36</v>
      </c>
      <c r="K2053" s="13" t="s">
        <v>36</v>
      </c>
      <c r="L2053" s="13"/>
    </row>
    <row r="2054">
      <c r="A2054" s="13">
        <v>2052.0</v>
      </c>
      <c r="B2054" s="13">
        <v>850.0</v>
      </c>
      <c r="C2054" s="13">
        <v>26.0</v>
      </c>
      <c r="D2054" s="12" t="s">
        <v>3514</v>
      </c>
      <c r="E2054" s="12" t="s">
        <v>3515</v>
      </c>
      <c r="F2054" s="13">
        <v>5.0</v>
      </c>
      <c r="G2054" s="13">
        <v>1.0</v>
      </c>
      <c r="H2054" s="13">
        <v>1.0</v>
      </c>
      <c r="I2054" s="13" t="s">
        <v>41</v>
      </c>
      <c r="J2054" s="13" t="s">
        <v>46</v>
      </c>
      <c r="K2054" s="13" t="s">
        <v>47</v>
      </c>
      <c r="L2054" s="13"/>
    </row>
    <row r="2055">
      <c r="A2055" s="13">
        <v>2053.0</v>
      </c>
      <c r="B2055" s="13">
        <v>1072.0</v>
      </c>
      <c r="C2055" s="13">
        <v>33.0</v>
      </c>
      <c r="D2055" s="12" t="s">
        <v>205</v>
      </c>
      <c r="E2055" s="12" t="s">
        <v>3516</v>
      </c>
      <c r="F2055" s="13">
        <v>4.0</v>
      </c>
      <c r="G2055" s="13">
        <v>1.0</v>
      </c>
      <c r="H2055" s="13">
        <v>0.0</v>
      </c>
      <c r="I2055" s="13" t="s">
        <v>41</v>
      </c>
      <c r="J2055" s="13" t="s">
        <v>36</v>
      </c>
      <c r="K2055" s="13" t="s">
        <v>36</v>
      </c>
      <c r="L2055" s="13"/>
    </row>
    <row r="2056">
      <c r="A2056" s="13">
        <v>2054.0</v>
      </c>
      <c r="B2056" s="13">
        <v>1092.0</v>
      </c>
      <c r="C2056" s="13">
        <v>39.0</v>
      </c>
      <c r="D2056" s="12" t="s">
        <v>3517</v>
      </c>
      <c r="E2056" s="12" t="s">
        <v>3518</v>
      </c>
      <c r="F2056" s="13">
        <v>4.0</v>
      </c>
      <c r="G2056" s="13">
        <v>1.0</v>
      </c>
      <c r="H2056" s="13">
        <v>1.0</v>
      </c>
      <c r="I2056" s="13" t="s">
        <v>41</v>
      </c>
      <c r="J2056" s="13" t="s">
        <v>36</v>
      </c>
      <c r="K2056" s="13" t="s">
        <v>36</v>
      </c>
      <c r="L2056" s="13"/>
    </row>
    <row r="2057">
      <c r="A2057" s="13">
        <v>2055.0</v>
      </c>
      <c r="B2057" s="13">
        <v>896.0</v>
      </c>
      <c r="C2057" s="13">
        <v>39.0</v>
      </c>
      <c r="D2057" s="12" t="s">
        <v>3519</v>
      </c>
      <c r="E2057" s="12" t="s">
        <v>3520</v>
      </c>
      <c r="F2057" s="13">
        <v>5.0</v>
      </c>
      <c r="G2057" s="13">
        <v>1.0</v>
      </c>
      <c r="H2057" s="13">
        <v>0.0</v>
      </c>
      <c r="I2057" s="13" t="s">
        <v>35</v>
      </c>
      <c r="J2057" s="13" t="s">
        <v>46</v>
      </c>
      <c r="K2057" s="13" t="s">
        <v>123</v>
      </c>
      <c r="L2057" s="13"/>
    </row>
    <row r="2058">
      <c r="A2058" s="13">
        <v>2056.0</v>
      </c>
      <c r="B2058" s="13">
        <v>1072.0</v>
      </c>
      <c r="C2058" s="13">
        <v>58.0</v>
      </c>
      <c r="D2058" s="12" t="s">
        <v>3521</v>
      </c>
      <c r="E2058" s="12" t="s">
        <v>3522</v>
      </c>
      <c r="F2058" s="13">
        <v>5.0</v>
      </c>
      <c r="G2058" s="13">
        <v>1.0</v>
      </c>
      <c r="H2058" s="13">
        <v>1.0</v>
      </c>
      <c r="I2058" s="13" t="s">
        <v>41</v>
      </c>
      <c r="J2058" s="13" t="s">
        <v>36</v>
      </c>
      <c r="K2058" s="13" t="s">
        <v>36</v>
      </c>
      <c r="L2058" s="13"/>
    </row>
    <row r="2059">
      <c r="A2059" s="13">
        <v>2057.0</v>
      </c>
      <c r="B2059" s="13">
        <v>862.0</v>
      </c>
      <c r="C2059" s="13">
        <v>42.0</v>
      </c>
      <c r="D2059" s="12" t="s">
        <v>3523</v>
      </c>
      <c r="E2059" s="12" t="s">
        <v>3524</v>
      </c>
      <c r="F2059" s="13">
        <v>3.0</v>
      </c>
      <c r="G2059" s="13">
        <v>0.0</v>
      </c>
      <c r="H2059" s="13">
        <v>10.0</v>
      </c>
      <c r="I2059" s="13" t="s">
        <v>35</v>
      </c>
      <c r="J2059" s="13" t="s">
        <v>46</v>
      </c>
      <c r="K2059" s="13" t="s">
        <v>52</v>
      </c>
      <c r="L2059" s="13"/>
    </row>
    <row r="2060">
      <c r="A2060" s="13">
        <v>2058.0</v>
      </c>
      <c r="B2060" s="13">
        <v>862.0</v>
      </c>
      <c r="C2060" s="13">
        <v>57.0</v>
      </c>
      <c r="D2060" s="12"/>
      <c r="E2060" s="12" t="s">
        <v>3525</v>
      </c>
      <c r="F2060" s="13">
        <v>5.0</v>
      </c>
      <c r="G2060" s="13">
        <v>1.0</v>
      </c>
      <c r="H2060" s="13">
        <v>0.0</v>
      </c>
      <c r="I2060" s="13" t="s">
        <v>35</v>
      </c>
      <c r="J2060" s="13" t="s">
        <v>46</v>
      </c>
      <c r="K2060" s="13" t="s">
        <v>52</v>
      </c>
      <c r="L2060" s="13"/>
    </row>
    <row r="2061">
      <c r="A2061" s="13">
        <v>2059.0</v>
      </c>
      <c r="B2061" s="13">
        <v>1072.0</v>
      </c>
      <c r="C2061" s="13">
        <v>38.0</v>
      </c>
      <c r="D2061" s="12" t="s">
        <v>3428</v>
      </c>
      <c r="E2061" s="12" t="s">
        <v>3526</v>
      </c>
      <c r="F2061" s="13">
        <v>5.0</v>
      </c>
      <c r="G2061" s="13">
        <v>1.0</v>
      </c>
      <c r="H2061" s="13">
        <v>0.0</v>
      </c>
      <c r="I2061" s="13" t="s">
        <v>41</v>
      </c>
      <c r="J2061" s="13" t="s">
        <v>36</v>
      </c>
      <c r="K2061" s="13" t="s">
        <v>36</v>
      </c>
      <c r="L2061" s="13"/>
    </row>
    <row r="2062">
      <c r="A2062" s="13">
        <v>2060.0</v>
      </c>
      <c r="B2062" s="13">
        <v>1092.0</v>
      </c>
      <c r="C2062" s="13">
        <v>41.0</v>
      </c>
      <c r="D2062" s="12" t="s">
        <v>3527</v>
      </c>
      <c r="E2062" s="12" t="s">
        <v>3528</v>
      </c>
      <c r="F2062" s="13">
        <v>5.0</v>
      </c>
      <c r="G2062" s="13">
        <v>1.0</v>
      </c>
      <c r="H2062" s="13">
        <v>0.0</v>
      </c>
      <c r="I2062" s="13" t="s">
        <v>41</v>
      </c>
      <c r="J2062" s="13" t="s">
        <v>36</v>
      </c>
      <c r="K2062" s="13" t="s">
        <v>36</v>
      </c>
      <c r="L2062" s="13"/>
    </row>
    <row r="2063">
      <c r="A2063" s="13">
        <v>2061.0</v>
      </c>
      <c r="B2063" s="13">
        <v>1126.0</v>
      </c>
      <c r="C2063" s="13">
        <v>61.0</v>
      </c>
      <c r="D2063" s="12"/>
      <c r="E2063" s="12" t="s">
        <v>3529</v>
      </c>
      <c r="F2063" s="13">
        <v>5.0</v>
      </c>
      <c r="G2063" s="13">
        <v>1.0</v>
      </c>
      <c r="H2063" s="13">
        <v>1.0</v>
      </c>
      <c r="I2063" s="13" t="s">
        <v>35</v>
      </c>
      <c r="J2063" s="13" t="s">
        <v>76</v>
      </c>
      <c r="K2063" s="13" t="s">
        <v>77</v>
      </c>
      <c r="L2063" s="13"/>
    </row>
    <row r="2064">
      <c r="A2064" s="13">
        <v>2062.0</v>
      </c>
      <c r="B2064" s="13">
        <v>896.0</v>
      </c>
      <c r="C2064" s="13">
        <v>39.0</v>
      </c>
      <c r="D2064" s="12"/>
      <c r="E2064" s="12" t="s">
        <v>3530</v>
      </c>
      <c r="F2064" s="13">
        <v>5.0</v>
      </c>
      <c r="G2064" s="13">
        <v>1.0</v>
      </c>
      <c r="H2064" s="13">
        <v>6.0</v>
      </c>
      <c r="I2064" s="13" t="s">
        <v>35</v>
      </c>
      <c r="J2064" s="13" t="s">
        <v>46</v>
      </c>
      <c r="K2064" s="13" t="s">
        <v>123</v>
      </c>
      <c r="L2064" s="13"/>
    </row>
    <row r="2065">
      <c r="A2065" s="13">
        <v>2063.0</v>
      </c>
      <c r="B2065" s="13">
        <v>872.0</v>
      </c>
      <c r="C2065" s="13">
        <v>26.0</v>
      </c>
      <c r="D2065" s="12"/>
      <c r="E2065" s="12"/>
      <c r="F2065" s="13">
        <v>3.0</v>
      </c>
      <c r="G2065" s="13">
        <v>0.0</v>
      </c>
      <c r="H2065" s="13">
        <v>0.0</v>
      </c>
      <c r="I2065" s="13" t="s">
        <v>41</v>
      </c>
      <c r="J2065" s="13" t="s">
        <v>46</v>
      </c>
      <c r="K2065" s="13" t="s">
        <v>52</v>
      </c>
      <c r="L2065" s="13"/>
    </row>
    <row r="2066">
      <c r="A2066" s="13">
        <v>2064.0</v>
      </c>
      <c r="B2066" s="13">
        <v>896.0</v>
      </c>
      <c r="C2066" s="13">
        <v>63.0</v>
      </c>
      <c r="D2066" s="12" t="s">
        <v>3531</v>
      </c>
      <c r="E2066" s="12" t="s">
        <v>3532</v>
      </c>
      <c r="F2066" s="13">
        <v>5.0</v>
      </c>
      <c r="G2066" s="13">
        <v>1.0</v>
      </c>
      <c r="H2066" s="13">
        <v>4.0</v>
      </c>
      <c r="I2066" s="13" t="s">
        <v>35</v>
      </c>
      <c r="J2066" s="13" t="s">
        <v>46</v>
      </c>
      <c r="K2066" s="13" t="s">
        <v>123</v>
      </c>
      <c r="L2066" s="13"/>
    </row>
    <row r="2067">
      <c r="A2067" s="13">
        <v>2065.0</v>
      </c>
      <c r="B2067" s="13">
        <v>872.0</v>
      </c>
      <c r="C2067" s="13">
        <v>23.0</v>
      </c>
      <c r="D2067" s="12" t="s">
        <v>2277</v>
      </c>
      <c r="E2067" s="12" t="s">
        <v>3533</v>
      </c>
      <c r="F2067" s="13">
        <v>5.0</v>
      </c>
      <c r="G2067" s="13">
        <v>1.0</v>
      </c>
      <c r="H2067" s="13">
        <v>0.0</v>
      </c>
      <c r="I2067" s="13" t="s">
        <v>41</v>
      </c>
      <c r="J2067" s="13" t="s">
        <v>46</v>
      </c>
      <c r="K2067" s="13" t="s">
        <v>52</v>
      </c>
      <c r="L2067" s="13"/>
    </row>
    <row r="2068">
      <c r="A2068" s="13">
        <v>2066.0</v>
      </c>
      <c r="B2068" s="13">
        <v>1072.0</v>
      </c>
      <c r="C2068" s="13">
        <v>59.0</v>
      </c>
      <c r="D2068" s="12" t="s">
        <v>3534</v>
      </c>
      <c r="E2068" s="12" t="s">
        <v>3535</v>
      </c>
      <c r="F2068" s="13">
        <v>4.0</v>
      </c>
      <c r="G2068" s="13">
        <v>1.0</v>
      </c>
      <c r="H2068" s="13">
        <v>4.0</v>
      </c>
      <c r="I2068" s="13" t="s">
        <v>41</v>
      </c>
      <c r="J2068" s="13" t="s">
        <v>36</v>
      </c>
      <c r="K2068" s="13" t="s">
        <v>36</v>
      </c>
      <c r="L2068" s="13"/>
    </row>
    <row r="2069">
      <c r="A2069" s="13">
        <v>2067.0</v>
      </c>
      <c r="B2069" s="13">
        <v>850.0</v>
      </c>
      <c r="C2069" s="13">
        <v>63.0</v>
      </c>
      <c r="D2069" s="12" t="s">
        <v>3536</v>
      </c>
      <c r="E2069" s="12" t="s">
        <v>3537</v>
      </c>
      <c r="F2069" s="13">
        <v>4.0</v>
      </c>
      <c r="G2069" s="13">
        <v>1.0</v>
      </c>
      <c r="H2069" s="13">
        <v>19.0</v>
      </c>
      <c r="I2069" s="13" t="s">
        <v>41</v>
      </c>
      <c r="J2069" s="13" t="s">
        <v>46</v>
      </c>
      <c r="K2069" s="13" t="s">
        <v>47</v>
      </c>
      <c r="L2069" s="13"/>
    </row>
    <row r="2070">
      <c r="A2070" s="13">
        <v>2068.0</v>
      </c>
      <c r="B2070" s="13">
        <v>872.0</v>
      </c>
      <c r="C2070" s="13">
        <v>42.0</v>
      </c>
      <c r="D2070" s="12" t="s">
        <v>3538</v>
      </c>
      <c r="E2070" s="12" t="s">
        <v>3539</v>
      </c>
      <c r="F2070" s="13">
        <v>3.0</v>
      </c>
      <c r="G2070" s="13">
        <v>0.0</v>
      </c>
      <c r="H2070" s="13">
        <v>0.0</v>
      </c>
      <c r="I2070" s="13" t="s">
        <v>41</v>
      </c>
      <c r="J2070" s="13" t="s">
        <v>46</v>
      </c>
      <c r="K2070" s="13" t="s">
        <v>52</v>
      </c>
      <c r="L2070" s="13"/>
    </row>
    <row r="2071">
      <c r="A2071" s="13">
        <v>2069.0</v>
      </c>
      <c r="B2071" s="13">
        <v>1126.0</v>
      </c>
      <c r="C2071" s="13">
        <v>51.0</v>
      </c>
      <c r="D2071" s="12" t="s">
        <v>3540</v>
      </c>
      <c r="E2071" s="12" t="s">
        <v>3541</v>
      </c>
      <c r="F2071" s="13">
        <v>5.0</v>
      </c>
      <c r="G2071" s="13">
        <v>1.0</v>
      </c>
      <c r="H2071" s="13">
        <v>3.0</v>
      </c>
      <c r="I2071" s="13" t="s">
        <v>35</v>
      </c>
      <c r="J2071" s="13" t="s">
        <v>76</v>
      </c>
      <c r="K2071" s="13" t="s">
        <v>77</v>
      </c>
      <c r="L2071" s="13"/>
    </row>
    <row r="2072">
      <c r="A2072" s="13">
        <v>2070.0</v>
      </c>
      <c r="B2072" s="13">
        <v>850.0</v>
      </c>
      <c r="C2072" s="13">
        <v>23.0</v>
      </c>
      <c r="D2072" s="12" t="s">
        <v>3542</v>
      </c>
      <c r="E2072" s="12" t="s">
        <v>3543</v>
      </c>
      <c r="F2072" s="13">
        <v>5.0</v>
      </c>
      <c r="G2072" s="13">
        <v>1.0</v>
      </c>
      <c r="H2072" s="13">
        <v>6.0</v>
      </c>
      <c r="I2072" s="13" t="s">
        <v>41</v>
      </c>
      <c r="J2072" s="13" t="s">
        <v>46</v>
      </c>
      <c r="K2072" s="13" t="s">
        <v>47</v>
      </c>
      <c r="L2072" s="13"/>
    </row>
    <row r="2073">
      <c r="A2073" s="13">
        <v>2071.0</v>
      </c>
      <c r="B2073" s="13">
        <v>862.0</v>
      </c>
      <c r="C2073" s="13">
        <v>23.0</v>
      </c>
      <c r="D2073" s="12" t="s">
        <v>3544</v>
      </c>
      <c r="E2073" s="12" t="s">
        <v>3545</v>
      </c>
      <c r="F2073" s="13">
        <v>5.0</v>
      </c>
      <c r="G2073" s="13">
        <v>1.0</v>
      </c>
      <c r="H2073" s="13">
        <v>21.0</v>
      </c>
      <c r="I2073" s="13" t="s">
        <v>35</v>
      </c>
      <c r="J2073" s="13" t="s">
        <v>46</v>
      </c>
      <c r="K2073" s="13" t="s">
        <v>52</v>
      </c>
      <c r="L2073" s="13"/>
    </row>
    <row r="2074">
      <c r="A2074" s="13">
        <v>2072.0</v>
      </c>
      <c r="B2074" s="13">
        <v>1072.0</v>
      </c>
      <c r="C2074" s="13">
        <v>33.0</v>
      </c>
      <c r="D2074" s="12" t="s">
        <v>112</v>
      </c>
      <c r="E2074" s="12" t="s">
        <v>3546</v>
      </c>
      <c r="F2074" s="13">
        <v>5.0</v>
      </c>
      <c r="G2074" s="13">
        <v>1.0</v>
      </c>
      <c r="H2074" s="13">
        <v>0.0</v>
      </c>
      <c r="I2074" s="13" t="s">
        <v>41</v>
      </c>
      <c r="J2074" s="13" t="s">
        <v>36</v>
      </c>
      <c r="K2074" s="13" t="s">
        <v>36</v>
      </c>
      <c r="L2074" s="13"/>
    </row>
    <row r="2075">
      <c r="A2075" s="13">
        <v>2073.0</v>
      </c>
      <c r="B2075" s="13">
        <v>862.0</v>
      </c>
      <c r="C2075" s="13">
        <v>64.0</v>
      </c>
      <c r="D2075" s="12" t="s">
        <v>3547</v>
      </c>
      <c r="E2075" s="12" t="s">
        <v>3548</v>
      </c>
      <c r="F2075" s="13">
        <v>5.0</v>
      </c>
      <c r="G2075" s="13">
        <v>1.0</v>
      </c>
      <c r="H2075" s="13">
        <v>0.0</v>
      </c>
      <c r="I2075" s="13" t="s">
        <v>35</v>
      </c>
      <c r="J2075" s="13" t="s">
        <v>46</v>
      </c>
      <c r="K2075" s="13" t="s">
        <v>52</v>
      </c>
      <c r="L2075" s="13"/>
    </row>
    <row r="2076">
      <c r="A2076" s="13">
        <v>2074.0</v>
      </c>
      <c r="B2076" s="13">
        <v>1072.0</v>
      </c>
      <c r="C2076" s="13">
        <v>33.0</v>
      </c>
      <c r="D2076" s="12" t="s">
        <v>3549</v>
      </c>
      <c r="E2076" s="12" t="s">
        <v>3550</v>
      </c>
      <c r="F2076" s="13">
        <v>5.0</v>
      </c>
      <c r="G2076" s="13">
        <v>1.0</v>
      </c>
      <c r="H2076" s="13">
        <v>14.0</v>
      </c>
      <c r="I2076" s="13" t="s">
        <v>41</v>
      </c>
      <c r="J2076" s="13" t="s">
        <v>36</v>
      </c>
      <c r="K2076" s="13" t="s">
        <v>36</v>
      </c>
      <c r="L2076" s="13"/>
    </row>
    <row r="2077">
      <c r="A2077" s="13">
        <v>2075.0</v>
      </c>
      <c r="B2077" s="13">
        <v>1072.0</v>
      </c>
      <c r="C2077" s="13">
        <v>40.0</v>
      </c>
      <c r="D2077" s="12" t="s">
        <v>3551</v>
      </c>
      <c r="E2077" s="12" t="s">
        <v>3552</v>
      </c>
      <c r="F2077" s="13">
        <v>4.0</v>
      </c>
      <c r="G2077" s="13">
        <v>1.0</v>
      </c>
      <c r="H2077" s="13">
        <v>0.0</v>
      </c>
      <c r="I2077" s="13" t="s">
        <v>41</v>
      </c>
      <c r="J2077" s="13" t="s">
        <v>36</v>
      </c>
      <c r="K2077" s="13" t="s">
        <v>36</v>
      </c>
      <c r="L2077" s="13"/>
    </row>
    <row r="2078">
      <c r="A2078" s="13">
        <v>2076.0</v>
      </c>
      <c r="B2078" s="13">
        <v>896.0</v>
      </c>
      <c r="C2078" s="13">
        <v>60.0</v>
      </c>
      <c r="D2078" s="12" t="s">
        <v>3553</v>
      </c>
      <c r="E2078" s="12" t="s">
        <v>3554</v>
      </c>
      <c r="F2078" s="13">
        <v>5.0</v>
      </c>
      <c r="G2078" s="13">
        <v>1.0</v>
      </c>
      <c r="H2078" s="13">
        <v>1.0</v>
      </c>
      <c r="I2078" s="13" t="s">
        <v>35</v>
      </c>
      <c r="J2078" s="13" t="s">
        <v>46</v>
      </c>
      <c r="K2078" s="13" t="s">
        <v>123</v>
      </c>
      <c r="L2078" s="13"/>
    </row>
    <row r="2079">
      <c r="A2079" s="13">
        <v>2077.0</v>
      </c>
      <c r="B2079" s="13">
        <v>872.0</v>
      </c>
      <c r="C2079" s="13">
        <v>36.0</v>
      </c>
      <c r="D2079" s="12" t="s">
        <v>3555</v>
      </c>
      <c r="E2079" s="12" t="s">
        <v>3556</v>
      </c>
      <c r="F2079" s="13">
        <v>1.0</v>
      </c>
      <c r="G2079" s="13">
        <v>0.0</v>
      </c>
      <c r="H2079" s="13">
        <v>0.0</v>
      </c>
      <c r="I2079" s="13" t="s">
        <v>41</v>
      </c>
      <c r="J2079" s="13" t="s">
        <v>46</v>
      </c>
      <c r="K2079" s="13" t="s">
        <v>52</v>
      </c>
      <c r="L2079" s="13"/>
    </row>
    <row r="2080">
      <c r="A2080" s="13">
        <v>2078.0</v>
      </c>
      <c r="B2080" s="13">
        <v>1072.0</v>
      </c>
      <c r="C2080" s="13">
        <v>35.0</v>
      </c>
      <c r="D2080" s="12" t="s">
        <v>3557</v>
      </c>
      <c r="E2080" s="12" t="s">
        <v>3558</v>
      </c>
      <c r="F2080" s="13">
        <v>5.0</v>
      </c>
      <c r="G2080" s="13">
        <v>1.0</v>
      </c>
      <c r="H2080" s="13">
        <v>3.0</v>
      </c>
      <c r="I2080" s="13" t="s">
        <v>41</v>
      </c>
      <c r="J2080" s="13" t="s">
        <v>36</v>
      </c>
      <c r="K2080" s="13" t="s">
        <v>36</v>
      </c>
      <c r="L2080" s="13"/>
    </row>
    <row r="2081">
      <c r="A2081" s="13">
        <v>2079.0</v>
      </c>
      <c r="B2081" s="13">
        <v>1072.0</v>
      </c>
      <c r="C2081" s="13">
        <v>68.0</v>
      </c>
      <c r="D2081" s="12" t="s">
        <v>3559</v>
      </c>
      <c r="E2081" s="12" t="s">
        <v>3560</v>
      </c>
      <c r="F2081" s="13">
        <v>4.0</v>
      </c>
      <c r="G2081" s="13">
        <v>1.0</v>
      </c>
      <c r="H2081" s="13">
        <v>1.0</v>
      </c>
      <c r="I2081" s="13" t="s">
        <v>41</v>
      </c>
      <c r="J2081" s="13" t="s">
        <v>36</v>
      </c>
      <c r="K2081" s="13" t="s">
        <v>36</v>
      </c>
      <c r="L2081" s="13"/>
    </row>
    <row r="2082">
      <c r="A2082" s="13">
        <v>2080.0</v>
      </c>
      <c r="B2082" s="13">
        <v>850.0</v>
      </c>
      <c r="C2082" s="13">
        <v>53.0</v>
      </c>
      <c r="D2082" s="12" t="s">
        <v>1169</v>
      </c>
      <c r="E2082" s="12" t="s">
        <v>3561</v>
      </c>
      <c r="F2082" s="13">
        <v>5.0</v>
      </c>
      <c r="G2082" s="13">
        <v>1.0</v>
      </c>
      <c r="H2082" s="13">
        <v>3.0</v>
      </c>
      <c r="I2082" s="13" t="s">
        <v>41</v>
      </c>
      <c r="J2082" s="13" t="s">
        <v>46</v>
      </c>
      <c r="K2082" s="13" t="s">
        <v>47</v>
      </c>
      <c r="L2082" s="13"/>
    </row>
    <row r="2083">
      <c r="A2083" s="13">
        <v>2081.0</v>
      </c>
      <c r="B2083" s="13">
        <v>912.0</v>
      </c>
      <c r="C2083" s="13">
        <v>32.0</v>
      </c>
      <c r="D2083" s="12"/>
      <c r="E2083" s="12"/>
      <c r="F2083" s="13">
        <v>5.0</v>
      </c>
      <c r="G2083" s="13">
        <v>1.0</v>
      </c>
      <c r="H2083" s="13">
        <v>0.0</v>
      </c>
      <c r="I2083" s="13" t="s">
        <v>35</v>
      </c>
      <c r="J2083" s="13" t="s">
        <v>46</v>
      </c>
      <c r="K2083" s="13" t="s">
        <v>123</v>
      </c>
      <c r="L2083" s="13"/>
    </row>
    <row r="2084">
      <c r="A2084" s="13">
        <v>2082.0</v>
      </c>
      <c r="B2084" s="13">
        <v>912.0</v>
      </c>
      <c r="C2084" s="13">
        <v>70.0</v>
      </c>
      <c r="D2084" s="12" t="s">
        <v>3562</v>
      </c>
      <c r="E2084" s="12" t="s">
        <v>3563</v>
      </c>
      <c r="F2084" s="13">
        <v>4.0</v>
      </c>
      <c r="G2084" s="13">
        <v>1.0</v>
      </c>
      <c r="H2084" s="13">
        <v>4.0</v>
      </c>
      <c r="I2084" s="13" t="s">
        <v>35</v>
      </c>
      <c r="J2084" s="13" t="s">
        <v>46</v>
      </c>
      <c r="K2084" s="13" t="s">
        <v>123</v>
      </c>
      <c r="L2084" s="13"/>
    </row>
    <row r="2085">
      <c r="A2085" s="13">
        <v>2083.0</v>
      </c>
      <c r="B2085" s="13">
        <v>896.0</v>
      </c>
      <c r="C2085" s="13">
        <v>28.0</v>
      </c>
      <c r="D2085" s="12" t="s">
        <v>3564</v>
      </c>
      <c r="E2085" s="12" t="s">
        <v>3565</v>
      </c>
      <c r="F2085" s="13">
        <v>5.0</v>
      </c>
      <c r="G2085" s="13">
        <v>1.0</v>
      </c>
      <c r="H2085" s="13">
        <v>0.0</v>
      </c>
      <c r="I2085" s="13" t="s">
        <v>35</v>
      </c>
      <c r="J2085" s="13" t="s">
        <v>46</v>
      </c>
      <c r="K2085" s="13" t="s">
        <v>123</v>
      </c>
      <c r="L2085" s="13"/>
    </row>
    <row r="2086">
      <c r="A2086" s="13">
        <v>2084.0</v>
      </c>
      <c r="B2086" s="13">
        <v>1126.0</v>
      </c>
      <c r="C2086" s="13">
        <v>38.0</v>
      </c>
      <c r="D2086" s="12" t="s">
        <v>3566</v>
      </c>
      <c r="E2086" s="12" t="s">
        <v>3567</v>
      </c>
      <c r="F2086" s="13">
        <v>3.0</v>
      </c>
      <c r="G2086" s="13">
        <v>0.0</v>
      </c>
      <c r="H2086" s="13">
        <v>1.0</v>
      </c>
      <c r="I2086" s="13" t="s">
        <v>35</v>
      </c>
      <c r="J2086" s="13" t="s">
        <v>76</v>
      </c>
      <c r="K2086" s="13" t="s">
        <v>77</v>
      </c>
      <c r="L2086" s="13"/>
    </row>
    <row r="2087">
      <c r="A2087" s="13">
        <v>2085.0</v>
      </c>
      <c r="B2087" s="13">
        <v>862.0</v>
      </c>
      <c r="C2087" s="13">
        <v>21.0</v>
      </c>
      <c r="D2087" s="12" t="s">
        <v>3314</v>
      </c>
      <c r="E2087" s="12" t="s">
        <v>3568</v>
      </c>
      <c r="F2087" s="13">
        <v>5.0</v>
      </c>
      <c r="G2087" s="13">
        <v>1.0</v>
      </c>
      <c r="H2087" s="13">
        <v>0.0</v>
      </c>
      <c r="I2087" s="13" t="s">
        <v>35</v>
      </c>
      <c r="J2087" s="13" t="s">
        <v>46</v>
      </c>
      <c r="K2087" s="13" t="s">
        <v>52</v>
      </c>
      <c r="L2087" s="13"/>
    </row>
    <row r="2088">
      <c r="A2088" s="13">
        <v>2086.0</v>
      </c>
      <c r="B2088" s="13">
        <v>1072.0</v>
      </c>
      <c r="C2088" s="13">
        <v>41.0</v>
      </c>
      <c r="D2088" s="12" t="s">
        <v>1092</v>
      </c>
      <c r="E2088" s="12" t="s">
        <v>3569</v>
      </c>
      <c r="F2088" s="13">
        <v>2.0</v>
      </c>
      <c r="G2088" s="13">
        <v>0.0</v>
      </c>
      <c r="H2088" s="13">
        <v>2.0</v>
      </c>
      <c r="I2088" s="13" t="s">
        <v>41</v>
      </c>
      <c r="J2088" s="13" t="s">
        <v>36</v>
      </c>
      <c r="K2088" s="13" t="s">
        <v>36</v>
      </c>
      <c r="L2088" s="13"/>
    </row>
    <row r="2089">
      <c r="A2089" s="13">
        <v>2087.0</v>
      </c>
      <c r="B2089" s="13">
        <v>872.0</v>
      </c>
      <c r="C2089" s="13">
        <v>32.0</v>
      </c>
      <c r="D2089" s="12" t="s">
        <v>2740</v>
      </c>
      <c r="E2089" s="12" t="s">
        <v>3570</v>
      </c>
      <c r="F2089" s="13">
        <v>5.0</v>
      </c>
      <c r="G2089" s="13">
        <v>1.0</v>
      </c>
      <c r="H2089" s="13">
        <v>0.0</v>
      </c>
      <c r="I2089" s="13" t="s">
        <v>41</v>
      </c>
      <c r="J2089" s="13" t="s">
        <v>46</v>
      </c>
      <c r="K2089" s="13" t="s">
        <v>52</v>
      </c>
      <c r="L2089" s="13"/>
    </row>
    <row r="2090">
      <c r="A2090" s="13">
        <v>2088.0</v>
      </c>
      <c r="B2090" s="13">
        <v>912.0</v>
      </c>
      <c r="C2090" s="13">
        <v>50.0</v>
      </c>
      <c r="D2090" s="12" t="s">
        <v>3571</v>
      </c>
      <c r="E2090" s="12" t="s">
        <v>3572</v>
      </c>
      <c r="F2090" s="13">
        <v>5.0</v>
      </c>
      <c r="G2090" s="13">
        <v>1.0</v>
      </c>
      <c r="H2090" s="13">
        <v>3.0</v>
      </c>
      <c r="I2090" s="13" t="s">
        <v>35</v>
      </c>
      <c r="J2090" s="13" t="s">
        <v>46</v>
      </c>
      <c r="K2090" s="13" t="s">
        <v>123</v>
      </c>
      <c r="L2090" s="13"/>
    </row>
    <row r="2091">
      <c r="A2091" s="13">
        <v>2089.0</v>
      </c>
      <c r="B2091" s="13">
        <v>862.0</v>
      </c>
      <c r="C2091" s="13">
        <v>37.0</v>
      </c>
      <c r="D2091" s="12" t="s">
        <v>3573</v>
      </c>
      <c r="E2091" s="12" t="s">
        <v>3574</v>
      </c>
      <c r="F2091" s="13">
        <v>5.0</v>
      </c>
      <c r="G2091" s="13">
        <v>1.0</v>
      </c>
      <c r="H2091" s="13">
        <v>0.0</v>
      </c>
      <c r="I2091" s="13" t="s">
        <v>35</v>
      </c>
      <c r="J2091" s="13" t="s">
        <v>46</v>
      </c>
      <c r="K2091" s="13" t="s">
        <v>52</v>
      </c>
      <c r="L2091" s="13"/>
    </row>
    <row r="2092">
      <c r="A2092" s="13">
        <v>2090.0</v>
      </c>
      <c r="B2092" s="13">
        <v>1072.0</v>
      </c>
      <c r="C2092" s="13">
        <v>39.0</v>
      </c>
      <c r="D2092" s="12" t="s">
        <v>2277</v>
      </c>
      <c r="E2092" s="12" t="s">
        <v>3575</v>
      </c>
      <c r="F2092" s="13">
        <v>5.0</v>
      </c>
      <c r="G2092" s="13">
        <v>1.0</v>
      </c>
      <c r="H2092" s="13">
        <v>0.0</v>
      </c>
      <c r="I2092" s="13" t="s">
        <v>41</v>
      </c>
      <c r="J2092" s="13" t="s">
        <v>36</v>
      </c>
      <c r="K2092" s="13" t="s">
        <v>36</v>
      </c>
      <c r="L2092" s="13"/>
    </row>
    <row r="2093">
      <c r="A2093" s="13">
        <v>2091.0</v>
      </c>
      <c r="B2093" s="13">
        <v>862.0</v>
      </c>
      <c r="C2093" s="13">
        <v>28.0</v>
      </c>
      <c r="D2093" s="12" t="s">
        <v>3576</v>
      </c>
      <c r="E2093" s="12" t="s">
        <v>3577</v>
      </c>
      <c r="F2093" s="13">
        <v>1.0</v>
      </c>
      <c r="G2093" s="13">
        <v>0.0</v>
      </c>
      <c r="H2093" s="13">
        <v>1.0</v>
      </c>
      <c r="I2093" s="13" t="s">
        <v>35</v>
      </c>
      <c r="J2093" s="13" t="s">
        <v>46</v>
      </c>
      <c r="K2093" s="13" t="s">
        <v>52</v>
      </c>
      <c r="L2093" s="13"/>
    </row>
    <row r="2094">
      <c r="A2094" s="13">
        <v>2092.0</v>
      </c>
      <c r="B2094" s="13">
        <v>1092.0</v>
      </c>
      <c r="C2094" s="13">
        <v>51.0</v>
      </c>
      <c r="D2094" s="12" t="s">
        <v>233</v>
      </c>
      <c r="E2094" s="12" t="s">
        <v>3578</v>
      </c>
      <c r="F2094" s="13">
        <v>5.0</v>
      </c>
      <c r="G2094" s="13">
        <v>1.0</v>
      </c>
      <c r="H2094" s="13">
        <v>3.0</v>
      </c>
      <c r="I2094" s="13" t="s">
        <v>41</v>
      </c>
      <c r="J2094" s="13" t="s">
        <v>36</v>
      </c>
      <c r="K2094" s="13" t="s">
        <v>36</v>
      </c>
      <c r="L2094" s="13"/>
    </row>
    <row r="2095">
      <c r="A2095" s="13">
        <v>2093.0</v>
      </c>
      <c r="B2095" s="13">
        <v>896.0</v>
      </c>
      <c r="C2095" s="13">
        <v>48.0</v>
      </c>
      <c r="D2095" s="12" t="s">
        <v>436</v>
      </c>
      <c r="E2095" s="12" t="s">
        <v>3579</v>
      </c>
      <c r="F2095" s="13">
        <v>5.0</v>
      </c>
      <c r="G2095" s="13">
        <v>1.0</v>
      </c>
      <c r="H2095" s="13">
        <v>0.0</v>
      </c>
      <c r="I2095" s="13" t="s">
        <v>35</v>
      </c>
      <c r="J2095" s="13" t="s">
        <v>46</v>
      </c>
      <c r="K2095" s="13" t="s">
        <v>123</v>
      </c>
      <c r="L2095" s="13"/>
    </row>
    <row r="2096">
      <c r="A2096" s="13">
        <v>2094.0</v>
      </c>
      <c r="B2096" s="13">
        <v>872.0</v>
      </c>
      <c r="C2096" s="13">
        <v>36.0</v>
      </c>
      <c r="D2096" s="12" t="s">
        <v>3580</v>
      </c>
      <c r="E2096" s="12" t="s">
        <v>3581</v>
      </c>
      <c r="F2096" s="13">
        <v>4.0</v>
      </c>
      <c r="G2096" s="13">
        <v>1.0</v>
      </c>
      <c r="H2096" s="13">
        <v>1.0</v>
      </c>
      <c r="I2096" s="13" t="s">
        <v>41</v>
      </c>
      <c r="J2096" s="13" t="s">
        <v>46</v>
      </c>
      <c r="K2096" s="13" t="s">
        <v>52</v>
      </c>
      <c r="L2096" s="13"/>
    </row>
    <row r="2097">
      <c r="A2097" s="13">
        <v>2095.0</v>
      </c>
      <c r="B2097" s="13">
        <v>1072.0</v>
      </c>
      <c r="C2097" s="13">
        <v>36.0</v>
      </c>
      <c r="D2097" s="12" t="s">
        <v>3582</v>
      </c>
      <c r="E2097" s="12" t="s">
        <v>3583</v>
      </c>
      <c r="F2097" s="13">
        <v>5.0</v>
      </c>
      <c r="G2097" s="13">
        <v>1.0</v>
      </c>
      <c r="H2097" s="13">
        <v>2.0</v>
      </c>
      <c r="I2097" s="13" t="s">
        <v>41</v>
      </c>
      <c r="J2097" s="13" t="s">
        <v>36</v>
      </c>
      <c r="K2097" s="13" t="s">
        <v>36</v>
      </c>
      <c r="L2097" s="13"/>
    </row>
    <row r="2098">
      <c r="A2098" s="13">
        <v>2096.0</v>
      </c>
      <c r="B2098" s="13">
        <v>850.0</v>
      </c>
      <c r="C2098" s="13">
        <v>24.0</v>
      </c>
      <c r="D2098" s="12" t="s">
        <v>3584</v>
      </c>
      <c r="E2098" s="12" t="s">
        <v>3585</v>
      </c>
      <c r="F2098" s="13">
        <v>4.0</v>
      </c>
      <c r="G2098" s="13">
        <v>1.0</v>
      </c>
      <c r="H2098" s="13">
        <v>1.0</v>
      </c>
      <c r="I2098" s="13" t="s">
        <v>41</v>
      </c>
      <c r="J2098" s="13" t="s">
        <v>46</v>
      </c>
      <c r="K2098" s="13" t="s">
        <v>47</v>
      </c>
      <c r="L2098" s="13"/>
    </row>
    <row r="2099">
      <c r="A2099" s="13">
        <v>2097.0</v>
      </c>
      <c r="B2099" s="13">
        <v>1072.0</v>
      </c>
      <c r="C2099" s="13">
        <v>39.0</v>
      </c>
      <c r="D2099" s="12" t="s">
        <v>187</v>
      </c>
      <c r="E2099" s="12" t="s">
        <v>3586</v>
      </c>
      <c r="F2099" s="13">
        <v>5.0</v>
      </c>
      <c r="G2099" s="13">
        <v>1.0</v>
      </c>
      <c r="H2099" s="13">
        <v>1.0</v>
      </c>
      <c r="I2099" s="13" t="s">
        <v>41</v>
      </c>
      <c r="J2099" s="13" t="s">
        <v>36</v>
      </c>
      <c r="K2099" s="13" t="s">
        <v>36</v>
      </c>
      <c r="L2099" s="13"/>
    </row>
    <row r="2100">
      <c r="A2100" s="13">
        <v>2098.0</v>
      </c>
      <c r="B2100" s="13">
        <v>896.0</v>
      </c>
      <c r="C2100" s="13">
        <v>46.0</v>
      </c>
      <c r="D2100" s="12" t="s">
        <v>3587</v>
      </c>
      <c r="E2100" s="12" t="s">
        <v>3588</v>
      </c>
      <c r="F2100" s="13">
        <v>5.0</v>
      </c>
      <c r="G2100" s="13">
        <v>1.0</v>
      </c>
      <c r="H2100" s="13">
        <v>1.0</v>
      </c>
      <c r="I2100" s="13" t="s">
        <v>35</v>
      </c>
      <c r="J2100" s="13" t="s">
        <v>46</v>
      </c>
      <c r="K2100" s="13" t="s">
        <v>123</v>
      </c>
      <c r="L2100" s="13"/>
    </row>
    <row r="2101">
      <c r="A2101" s="13">
        <v>2099.0</v>
      </c>
      <c r="B2101" s="13">
        <v>1092.0</v>
      </c>
      <c r="C2101" s="13">
        <v>27.0</v>
      </c>
      <c r="D2101" s="12" t="s">
        <v>1169</v>
      </c>
      <c r="E2101" s="12" t="s">
        <v>3589</v>
      </c>
      <c r="F2101" s="13">
        <v>5.0</v>
      </c>
      <c r="G2101" s="13">
        <v>1.0</v>
      </c>
      <c r="H2101" s="13">
        <v>0.0</v>
      </c>
      <c r="I2101" s="13" t="s">
        <v>41</v>
      </c>
      <c r="J2101" s="13" t="s">
        <v>36</v>
      </c>
      <c r="K2101" s="13" t="s">
        <v>36</v>
      </c>
      <c r="L2101" s="13"/>
    </row>
    <row r="2102">
      <c r="A2102" s="13">
        <v>2100.0</v>
      </c>
      <c r="B2102" s="13">
        <v>862.0</v>
      </c>
      <c r="C2102" s="13">
        <v>34.0</v>
      </c>
      <c r="D2102" s="12"/>
      <c r="E2102" s="12" t="s">
        <v>3590</v>
      </c>
      <c r="F2102" s="13">
        <v>3.0</v>
      </c>
      <c r="G2102" s="13">
        <v>0.0</v>
      </c>
      <c r="H2102" s="13">
        <v>0.0</v>
      </c>
      <c r="I2102" s="13" t="s">
        <v>35</v>
      </c>
      <c r="J2102" s="13" t="s">
        <v>46</v>
      </c>
      <c r="K2102" s="13" t="s">
        <v>52</v>
      </c>
      <c r="L2102" s="13"/>
    </row>
    <row r="2103">
      <c r="A2103" s="13">
        <v>2101.0</v>
      </c>
      <c r="B2103" s="13">
        <v>1092.0</v>
      </c>
      <c r="C2103" s="13">
        <v>41.0</v>
      </c>
      <c r="D2103" s="12" t="s">
        <v>233</v>
      </c>
      <c r="E2103" s="12" t="s">
        <v>3591</v>
      </c>
      <c r="F2103" s="13">
        <v>5.0</v>
      </c>
      <c r="G2103" s="13">
        <v>1.0</v>
      </c>
      <c r="H2103" s="13">
        <v>0.0</v>
      </c>
      <c r="I2103" s="13" t="s">
        <v>41</v>
      </c>
      <c r="J2103" s="13" t="s">
        <v>36</v>
      </c>
      <c r="K2103" s="13" t="s">
        <v>36</v>
      </c>
      <c r="L2103" s="13"/>
    </row>
    <row r="2104">
      <c r="A2104" s="13">
        <v>2102.0</v>
      </c>
      <c r="B2104" s="13">
        <v>1092.0</v>
      </c>
      <c r="C2104" s="13">
        <v>29.0</v>
      </c>
      <c r="D2104" s="12"/>
      <c r="E2104" s="12" t="s">
        <v>3592</v>
      </c>
      <c r="F2104" s="13">
        <v>3.0</v>
      </c>
      <c r="G2104" s="13">
        <v>0.0</v>
      </c>
      <c r="H2104" s="13">
        <v>1.0</v>
      </c>
      <c r="I2104" s="13" t="s">
        <v>41</v>
      </c>
      <c r="J2104" s="13" t="s">
        <v>36</v>
      </c>
      <c r="K2104" s="13" t="s">
        <v>36</v>
      </c>
      <c r="L2104" s="13"/>
    </row>
    <row r="2105">
      <c r="A2105" s="13">
        <v>2103.0</v>
      </c>
      <c r="B2105" s="13">
        <v>912.0</v>
      </c>
      <c r="C2105" s="13">
        <v>49.0</v>
      </c>
      <c r="D2105" s="12"/>
      <c r="E2105" s="12"/>
      <c r="F2105" s="13">
        <v>5.0</v>
      </c>
      <c r="G2105" s="13">
        <v>1.0</v>
      </c>
      <c r="H2105" s="13">
        <v>0.0</v>
      </c>
      <c r="I2105" s="13" t="s">
        <v>35</v>
      </c>
      <c r="J2105" s="13" t="s">
        <v>46</v>
      </c>
      <c r="K2105" s="13" t="s">
        <v>123</v>
      </c>
      <c r="L2105" s="13"/>
    </row>
    <row r="2106">
      <c r="A2106" s="13">
        <v>2104.0</v>
      </c>
      <c r="B2106" s="13">
        <v>896.0</v>
      </c>
      <c r="C2106" s="13">
        <v>37.0</v>
      </c>
      <c r="D2106" s="12" t="s">
        <v>3593</v>
      </c>
      <c r="E2106" s="12" t="s">
        <v>3594</v>
      </c>
      <c r="F2106" s="13">
        <v>3.0</v>
      </c>
      <c r="G2106" s="13">
        <v>0.0</v>
      </c>
      <c r="H2106" s="13">
        <v>0.0</v>
      </c>
      <c r="I2106" s="13" t="s">
        <v>35</v>
      </c>
      <c r="J2106" s="13" t="s">
        <v>46</v>
      </c>
      <c r="K2106" s="13" t="s">
        <v>123</v>
      </c>
      <c r="L2106" s="13"/>
    </row>
    <row r="2107">
      <c r="A2107" s="13">
        <v>2105.0</v>
      </c>
      <c r="B2107" s="13">
        <v>896.0</v>
      </c>
      <c r="C2107" s="13">
        <v>35.0</v>
      </c>
      <c r="D2107" s="12" t="s">
        <v>3595</v>
      </c>
      <c r="E2107" s="12" t="s">
        <v>3596</v>
      </c>
      <c r="F2107" s="13">
        <v>4.0</v>
      </c>
      <c r="G2107" s="13">
        <v>1.0</v>
      </c>
      <c r="H2107" s="13">
        <v>0.0</v>
      </c>
      <c r="I2107" s="13" t="s">
        <v>35</v>
      </c>
      <c r="J2107" s="13" t="s">
        <v>46</v>
      </c>
      <c r="K2107" s="13" t="s">
        <v>123</v>
      </c>
      <c r="L2107" s="13"/>
    </row>
    <row r="2108">
      <c r="A2108" s="13">
        <v>2106.0</v>
      </c>
      <c r="B2108" s="13">
        <v>1092.0</v>
      </c>
      <c r="C2108" s="13">
        <v>37.0</v>
      </c>
      <c r="D2108" s="12" t="s">
        <v>3597</v>
      </c>
      <c r="E2108" s="12" t="s">
        <v>3598</v>
      </c>
      <c r="F2108" s="13">
        <v>2.0</v>
      </c>
      <c r="G2108" s="13">
        <v>0.0</v>
      </c>
      <c r="H2108" s="13">
        <v>0.0</v>
      </c>
      <c r="I2108" s="13" t="s">
        <v>41</v>
      </c>
      <c r="J2108" s="13" t="s">
        <v>36</v>
      </c>
      <c r="K2108" s="13" t="s">
        <v>36</v>
      </c>
      <c r="L2108" s="13"/>
    </row>
    <row r="2109">
      <c r="A2109" s="13">
        <v>2107.0</v>
      </c>
      <c r="B2109" s="13">
        <v>1126.0</v>
      </c>
      <c r="C2109" s="13">
        <v>32.0</v>
      </c>
      <c r="D2109" s="12" t="s">
        <v>3599</v>
      </c>
      <c r="E2109" s="12" t="s">
        <v>3600</v>
      </c>
      <c r="F2109" s="13">
        <v>4.0</v>
      </c>
      <c r="G2109" s="13">
        <v>1.0</v>
      </c>
      <c r="H2109" s="13">
        <v>1.0</v>
      </c>
      <c r="I2109" s="13" t="s">
        <v>35</v>
      </c>
      <c r="J2109" s="13" t="s">
        <v>76</v>
      </c>
      <c r="K2109" s="13" t="s">
        <v>77</v>
      </c>
      <c r="L2109" s="13"/>
    </row>
    <row r="2110">
      <c r="A2110" s="13">
        <v>2108.0</v>
      </c>
      <c r="B2110" s="13">
        <v>1126.0</v>
      </c>
      <c r="C2110" s="13">
        <v>30.0</v>
      </c>
      <c r="D2110" s="12" t="s">
        <v>3601</v>
      </c>
      <c r="E2110" s="12" t="s">
        <v>3602</v>
      </c>
      <c r="F2110" s="13">
        <v>5.0</v>
      </c>
      <c r="G2110" s="13">
        <v>1.0</v>
      </c>
      <c r="H2110" s="13">
        <v>0.0</v>
      </c>
      <c r="I2110" s="13" t="s">
        <v>35</v>
      </c>
      <c r="J2110" s="13" t="s">
        <v>76</v>
      </c>
      <c r="K2110" s="13" t="s">
        <v>77</v>
      </c>
      <c r="L2110" s="13"/>
    </row>
    <row r="2111">
      <c r="A2111" s="13">
        <v>2109.0</v>
      </c>
      <c r="B2111" s="13">
        <v>1092.0</v>
      </c>
      <c r="C2111" s="13">
        <v>36.0</v>
      </c>
      <c r="D2111" s="12"/>
      <c r="E2111" s="12" t="s">
        <v>3603</v>
      </c>
      <c r="F2111" s="13">
        <v>4.0</v>
      </c>
      <c r="G2111" s="13">
        <v>1.0</v>
      </c>
      <c r="H2111" s="13">
        <v>6.0</v>
      </c>
      <c r="I2111" s="13" t="s">
        <v>41</v>
      </c>
      <c r="J2111" s="13" t="s">
        <v>36</v>
      </c>
      <c r="K2111" s="13" t="s">
        <v>36</v>
      </c>
      <c r="L2111" s="13"/>
    </row>
    <row r="2112">
      <c r="A2112" s="13">
        <v>2110.0</v>
      </c>
      <c r="B2112" s="13">
        <v>862.0</v>
      </c>
      <c r="C2112" s="13">
        <v>66.0</v>
      </c>
      <c r="D2112" s="12" t="s">
        <v>3604</v>
      </c>
      <c r="E2112" s="12" t="s">
        <v>3605</v>
      </c>
      <c r="F2112" s="13">
        <v>2.0</v>
      </c>
      <c r="G2112" s="13">
        <v>0.0</v>
      </c>
      <c r="H2112" s="13">
        <v>2.0</v>
      </c>
      <c r="I2112" s="13" t="s">
        <v>35</v>
      </c>
      <c r="J2112" s="13" t="s">
        <v>46</v>
      </c>
      <c r="K2112" s="13" t="s">
        <v>52</v>
      </c>
      <c r="L2112" s="13"/>
    </row>
    <row r="2113">
      <c r="A2113" s="13">
        <v>2111.0</v>
      </c>
      <c r="B2113" s="13">
        <v>1068.0</v>
      </c>
      <c r="C2113" s="13">
        <v>44.0</v>
      </c>
      <c r="D2113" s="12"/>
      <c r="E2113" s="12" t="s">
        <v>3606</v>
      </c>
      <c r="F2113" s="13">
        <v>5.0</v>
      </c>
      <c r="G2113" s="13">
        <v>1.0</v>
      </c>
      <c r="H2113" s="13">
        <v>6.0</v>
      </c>
      <c r="I2113" s="13" t="s">
        <v>35</v>
      </c>
      <c r="J2113" s="13" t="s">
        <v>42</v>
      </c>
      <c r="K2113" s="13" t="s">
        <v>43</v>
      </c>
      <c r="L2113" s="13"/>
    </row>
    <row r="2114">
      <c r="A2114" s="13">
        <v>2112.0</v>
      </c>
      <c r="B2114" s="13">
        <v>1111.0</v>
      </c>
      <c r="C2114" s="13">
        <v>56.0</v>
      </c>
      <c r="D2114" s="12" t="s">
        <v>3607</v>
      </c>
      <c r="E2114" s="12" t="s">
        <v>3608</v>
      </c>
      <c r="F2114" s="13">
        <v>1.0</v>
      </c>
      <c r="G2114" s="13">
        <v>0.0</v>
      </c>
      <c r="H2114" s="13">
        <v>3.0</v>
      </c>
      <c r="I2114" s="13" t="s">
        <v>35</v>
      </c>
      <c r="J2114" s="13" t="s">
        <v>36</v>
      </c>
      <c r="K2114" s="13" t="s">
        <v>36</v>
      </c>
      <c r="L2114" s="13"/>
    </row>
    <row r="2115">
      <c r="A2115" s="13">
        <v>2113.0</v>
      </c>
      <c r="B2115" s="13">
        <v>896.0</v>
      </c>
      <c r="C2115" s="13">
        <v>44.0</v>
      </c>
      <c r="D2115" s="12" t="s">
        <v>3609</v>
      </c>
      <c r="E2115" s="12" t="s">
        <v>3610</v>
      </c>
      <c r="F2115" s="13">
        <v>4.0</v>
      </c>
      <c r="G2115" s="13">
        <v>1.0</v>
      </c>
      <c r="H2115" s="13">
        <v>0.0</v>
      </c>
      <c r="I2115" s="13" t="s">
        <v>35</v>
      </c>
      <c r="J2115" s="13" t="s">
        <v>46</v>
      </c>
      <c r="K2115" s="13" t="s">
        <v>123</v>
      </c>
      <c r="L2115" s="13"/>
    </row>
    <row r="2116">
      <c r="A2116" s="13">
        <v>2114.0</v>
      </c>
      <c r="B2116" s="13">
        <v>1092.0</v>
      </c>
      <c r="C2116" s="13">
        <v>38.0</v>
      </c>
      <c r="D2116" s="12" t="s">
        <v>3611</v>
      </c>
      <c r="E2116" s="12" t="s">
        <v>3612</v>
      </c>
      <c r="F2116" s="13">
        <v>3.0</v>
      </c>
      <c r="G2116" s="13">
        <v>0.0</v>
      </c>
      <c r="H2116" s="13">
        <v>29.0</v>
      </c>
      <c r="I2116" s="13" t="s">
        <v>41</v>
      </c>
      <c r="J2116" s="13" t="s">
        <v>36</v>
      </c>
      <c r="K2116" s="13" t="s">
        <v>36</v>
      </c>
      <c r="L2116" s="13"/>
    </row>
    <row r="2117">
      <c r="A2117" s="13">
        <v>2115.0</v>
      </c>
      <c r="B2117" s="13">
        <v>912.0</v>
      </c>
      <c r="C2117" s="13">
        <v>68.0</v>
      </c>
      <c r="D2117" s="12" t="s">
        <v>3613</v>
      </c>
      <c r="E2117" s="12" t="s">
        <v>3614</v>
      </c>
      <c r="F2117" s="13">
        <v>4.0</v>
      </c>
      <c r="G2117" s="13">
        <v>1.0</v>
      </c>
      <c r="H2117" s="13">
        <v>8.0</v>
      </c>
      <c r="I2117" s="13" t="s">
        <v>35</v>
      </c>
      <c r="J2117" s="13" t="s">
        <v>46</v>
      </c>
      <c r="K2117" s="13" t="s">
        <v>123</v>
      </c>
      <c r="L2117" s="13"/>
    </row>
    <row r="2118">
      <c r="A2118" s="13">
        <v>2116.0</v>
      </c>
      <c r="B2118" s="13">
        <v>1092.0</v>
      </c>
      <c r="C2118" s="13">
        <v>41.0</v>
      </c>
      <c r="D2118" s="12" t="s">
        <v>3615</v>
      </c>
      <c r="E2118" s="12" t="s">
        <v>3616</v>
      </c>
      <c r="F2118" s="13">
        <v>5.0</v>
      </c>
      <c r="G2118" s="13">
        <v>1.0</v>
      </c>
      <c r="H2118" s="13">
        <v>5.0</v>
      </c>
      <c r="I2118" s="13" t="s">
        <v>41</v>
      </c>
      <c r="J2118" s="13" t="s">
        <v>36</v>
      </c>
      <c r="K2118" s="13" t="s">
        <v>36</v>
      </c>
      <c r="L2118" s="13"/>
    </row>
    <row r="2119">
      <c r="A2119" s="13">
        <v>2117.0</v>
      </c>
      <c r="B2119" s="13">
        <v>1092.0</v>
      </c>
      <c r="C2119" s="13">
        <v>34.0</v>
      </c>
      <c r="D2119" s="12" t="s">
        <v>364</v>
      </c>
      <c r="E2119" s="12" t="s">
        <v>3617</v>
      </c>
      <c r="F2119" s="13">
        <v>5.0</v>
      </c>
      <c r="G2119" s="13">
        <v>1.0</v>
      </c>
      <c r="H2119" s="13">
        <v>1.0</v>
      </c>
      <c r="I2119" s="13" t="s">
        <v>41</v>
      </c>
      <c r="J2119" s="13" t="s">
        <v>36</v>
      </c>
      <c r="K2119" s="13" t="s">
        <v>36</v>
      </c>
      <c r="L2119" s="13"/>
    </row>
    <row r="2120">
      <c r="A2120" s="13">
        <v>2118.0</v>
      </c>
      <c r="B2120" s="13">
        <v>1072.0</v>
      </c>
      <c r="C2120" s="13">
        <v>65.0</v>
      </c>
      <c r="D2120" s="12"/>
      <c r="E2120" s="12" t="s">
        <v>3618</v>
      </c>
      <c r="F2120" s="13">
        <v>5.0</v>
      </c>
      <c r="G2120" s="13">
        <v>1.0</v>
      </c>
      <c r="H2120" s="13">
        <v>1.0</v>
      </c>
      <c r="I2120" s="13" t="s">
        <v>41</v>
      </c>
      <c r="J2120" s="13" t="s">
        <v>36</v>
      </c>
      <c r="K2120" s="13" t="s">
        <v>36</v>
      </c>
      <c r="L2120" s="13"/>
    </row>
    <row r="2121">
      <c r="A2121" s="13">
        <v>2119.0</v>
      </c>
      <c r="B2121" s="13">
        <v>862.0</v>
      </c>
      <c r="C2121" s="13">
        <v>84.0</v>
      </c>
      <c r="D2121" s="12" t="s">
        <v>2264</v>
      </c>
      <c r="E2121" s="12" t="s">
        <v>3619</v>
      </c>
      <c r="F2121" s="13">
        <v>3.0</v>
      </c>
      <c r="G2121" s="13">
        <v>1.0</v>
      </c>
      <c r="H2121" s="13">
        <v>1.0</v>
      </c>
      <c r="I2121" s="13" t="s">
        <v>35</v>
      </c>
      <c r="J2121" s="13" t="s">
        <v>46</v>
      </c>
      <c r="K2121" s="13" t="s">
        <v>52</v>
      </c>
      <c r="L2121" s="13"/>
    </row>
    <row r="2122">
      <c r="A2122" s="13">
        <v>2120.0</v>
      </c>
      <c r="B2122" s="13">
        <v>850.0</v>
      </c>
      <c r="C2122" s="13">
        <v>44.0</v>
      </c>
      <c r="D2122" s="12" t="s">
        <v>3620</v>
      </c>
      <c r="E2122" s="12" t="s">
        <v>3621</v>
      </c>
      <c r="F2122" s="13">
        <v>5.0</v>
      </c>
      <c r="G2122" s="13">
        <v>1.0</v>
      </c>
      <c r="H2122" s="13">
        <v>0.0</v>
      </c>
      <c r="I2122" s="13" t="s">
        <v>41</v>
      </c>
      <c r="J2122" s="13" t="s">
        <v>46</v>
      </c>
      <c r="K2122" s="13" t="s">
        <v>47</v>
      </c>
      <c r="L2122" s="13"/>
    </row>
    <row r="2123">
      <c r="A2123" s="13">
        <v>2121.0</v>
      </c>
      <c r="B2123" s="13">
        <v>850.0</v>
      </c>
      <c r="C2123" s="13">
        <v>60.0</v>
      </c>
      <c r="D2123" s="12" t="s">
        <v>3622</v>
      </c>
      <c r="E2123" s="12" t="s">
        <v>3623</v>
      </c>
      <c r="F2123" s="13">
        <v>4.0</v>
      </c>
      <c r="G2123" s="13">
        <v>1.0</v>
      </c>
      <c r="H2123" s="13">
        <v>3.0</v>
      </c>
      <c r="I2123" s="13" t="s">
        <v>41</v>
      </c>
      <c r="J2123" s="13" t="s">
        <v>46</v>
      </c>
      <c r="K2123" s="13" t="s">
        <v>47</v>
      </c>
      <c r="L2123" s="13"/>
    </row>
    <row r="2124">
      <c r="A2124" s="13">
        <v>2122.0</v>
      </c>
      <c r="B2124" s="13">
        <v>912.0</v>
      </c>
      <c r="C2124" s="13">
        <v>39.0</v>
      </c>
      <c r="D2124" s="12"/>
      <c r="E2124" s="12" t="s">
        <v>3624</v>
      </c>
      <c r="F2124" s="13">
        <v>4.0</v>
      </c>
      <c r="G2124" s="13">
        <v>1.0</v>
      </c>
      <c r="H2124" s="13">
        <v>0.0</v>
      </c>
      <c r="I2124" s="13" t="s">
        <v>35</v>
      </c>
      <c r="J2124" s="13" t="s">
        <v>46</v>
      </c>
      <c r="K2124" s="13" t="s">
        <v>123</v>
      </c>
      <c r="L2124" s="13"/>
    </row>
    <row r="2125">
      <c r="A2125" s="13">
        <v>2123.0</v>
      </c>
      <c r="B2125" s="13">
        <v>1072.0</v>
      </c>
      <c r="C2125" s="13">
        <v>39.0</v>
      </c>
      <c r="D2125" s="12" t="s">
        <v>3625</v>
      </c>
      <c r="E2125" s="12" t="s">
        <v>3626</v>
      </c>
      <c r="F2125" s="13">
        <v>5.0</v>
      </c>
      <c r="G2125" s="13">
        <v>1.0</v>
      </c>
      <c r="H2125" s="13">
        <v>94.0</v>
      </c>
      <c r="I2125" s="13" t="s">
        <v>41</v>
      </c>
      <c r="J2125" s="13" t="s">
        <v>36</v>
      </c>
      <c r="K2125" s="13" t="s">
        <v>36</v>
      </c>
      <c r="L2125" s="13"/>
    </row>
    <row r="2126">
      <c r="A2126" s="13">
        <v>2124.0</v>
      </c>
      <c r="B2126" s="13">
        <v>1092.0</v>
      </c>
      <c r="C2126" s="13">
        <v>39.0</v>
      </c>
      <c r="D2126" s="12" t="s">
        <v>3627</v>
      </c>
      <c r="E2126" s="12" t="s">
        <v>3628</v>
      </c>
      <c r="F2126" s="13">
        <v>3.0</v>
      </c>
      <c r="G2126" s="13">
        <v>0.0</v>
      </c>
      <c r="H2126" s="13">
        <v>2.0</v>
      </c>
      <c r="I2126" s="13" t="s">
        <v>41</v>
      </c>
      <c r="J2126" s="13" t="s">
        <v>36</v>
      </c>
      <c r="K2126" s="13" t="s">
        <v>36</v>
      </c>
      <c r="L2126" s="13"/>
    </row>
    <row r="2127">
      <c r="A2127" s="13">
        <v>2125.0</v>
      </c>
      <c r="B2127" s="13">
        <v>850.0</v>
      </c>
      <c r="C2127" s="13">
        <v>27.0</v>
      </c>
      <c r="D2127" s="12" t="s">
        <v>2535</v>
      </c>
      <c r="E2127" s="12" t="s">
        <v>3629</v>
      </c>
      <c r="F2127" s="13">
        <v>5.0</v>
      </c>
      <c r="G2127" s="13">
        <v>1.0</v>
      </c>
      <c r="H2127" s="13">
        <v>0.0</v>
      </c>
      <c r="I2127" s="13" t="s">
        <v>41</v>
      </c>
      <c r="J2127" s="13" t="s">
        <v>46</v>
      </c>
      <c r="K2127" s="13" t="s">
        <v>47</v>
      </c>
      <c r="L2127" s="13"/>
    </row>
    <row r="2128">
      <c r="A2128" s="13">
        <v>2126.0</v>
      </c>
      <c r="B2128" s="13">
        <v>872.0</v>
      </c>
      <c r="C2128" s="13">
        <v>56.0</v>
      </c>
      <c r="D2128" s="12" t="s">
        <v>3630</v>
      </c>
      <c r="E2128" s="12" t="s">
        <v>3631</v>
      </c>
      <c r="F2128" s="13">
        <v>2.0</v>
      </c>
      <c r="G2128" s="13">
        <v>0.0</v>
      </c>
      <c r="H2128" s="13">
        <v>7.0</v>
      </c>
      <c r="I2128" s="13" t="s">
        <v>41</v>
      </c>
      <c r="J2128" s="13" t="s">
        <v>46</v>
      </c>
      <c r="K2128" s="13" t="s">
        <v>52</v>
      </c>
      <c r="L2128" s="13"/>
    </row>
    <row r="2129">
      <c r="A2129" s="13">
        <v>2127.0</v>
      </c>
      <c r="B2129" s="13">
        <v>1072.0</v>
      </c>
      <c r="C2129" s="13">
        <v>60.0</v>
      </c>
      <c r="D2129" s="12" t="s">
        <v>3632</v>
      </c>
      <c r="E2129" s="12" t="s">
        <v>3633</v>
      </c>
      <c r="F2129" s="13">
        <v>5.0</v>
      </c>
      <c r="G2129" s="13">
        <v>1.0</v>
      </c>
      <c r="H2129" s="13">
        <v>0.0</v>
      </c>
      <c r="I2129" s="13" t="s">
        <v>41</v>
      </c>
      <c r="J2129" s="13" t="s">
        <v>36</v>
      </c>
      <c r="K2129" s="13" t="s">
        <v>36</v>
      </c>
      <c r="L2129" s="13"/>
    </row>
    <row r="2130">
      <c r="A2130" s="13">
        <v>2128.0</v>
      </c>
      <c r="B2130" s="13">
        <v>862.0</v>
      </c>
      <c r="C2130" s="13">
        <v>35.0</v>
      </c>
      <c r="D2130" s="12" t="s">
        <v>3634</v>
      </c>
      <c r="E2130" s="12" t="s">
        <v>3635</v>
      </c>
      <c r="F2130" s="13">
        <v>1.0</v>
      </c>
      <c r="G2130" s="13">
        <v>0.0</v>
      </c>
      <c r="H2130" s="13">
        <v>10.0</v>
      </c>
      <c r="I2130" s="13" t="s">
        <v>35</v>
      </c>
      <c r="J2130" s="13" t="s">
        <v>46</v>
      </c>
      <c r="K2130" s="13" t="s">
        <v>52</v>
      </c>
      <c r="L2130" s="13"/>
    </row>
    <row r="2131">
      <c r="A2131" s="13">
        <v>2129.0</v>
      </c>
      <c r="B2131" s="13">
        <v>862.0</v>
      </c>
      <c r="C2131" s="13">
        <v>60.0</v>
      </c>
      <c r="D2131" s="12" t="s">
        <v>3636</v>
      </c>
      <c r="E2131" s="12" t="s">
        <v>3637</v>
      </c>
      <c r="F2131" s="13">
        <v>5.0</v>
      </c>
      <c r="G2131" s="13">
        <v>1.0</v>
      </c>
      <c r="H2131" s="13">
        <v>0.0</v>
      </c>
      <c r="I2131" s="13" t="s">
        <v>35</v>
      </c>
      <c r="J2131" s="13" t="s">
        <v>46</v>
      </c>
      <c r="K2131" s="13" t="s">
        <v>52</v>
      </c>
      <c r="L2131" s="13"/>
    </row>
    <row r="2132">
      <c r="A2132" s="13">
        <v>2130.0</v>
      </c>
      <c r="B2132" s="13">
        <v>872.0</v>
      </c>
      <c r="C2132" s="13">
        <v>34.0</v>
      </c>
      <c r="D2132" s="12" t="s">
        <v>3638</v>
      </c>
      <c r="E2132" s="12" t="s">
        <v>3639</v>
      </c>
      <c r="F2132" s="13">
        <v>5.0</v>
      </c>
      <c r="G2132" s="13">
        <v>1.0</v>
      </c>
      <c r="H2132" s="13">
        <v>0.0</v>
      </c>
      <c r="I2132" s="13" t="s">
        <v>41</v>
      </c>
      <c r="J2132" s="13" t="s">
        <v>46</v>
      </c>
      <c r="K2132" s="13" t="s">
        <v>52</v>
      </c>
      <c r="L2132" s="13"/>
    </row>
    <row r="2133">
      <c r="A2133" s="13">
        <v>2131.0</v>
      </c>
      <c r="B2133" s="13">
        <v>862.0</v>
      </c>
      <c r="C2133" s="13">
        <v>54.0</v>
      </c>
      <c r="D2133" s="12"/>
      <c r="E2133" s="12" t="s">
        <v>3640</v>
      </c>
      <c r="F2133" s="13">
        <v>5.0</v>
      </c>
      <c r="G2133" s="13">
        <v>1.0</v>
      </c>
      <c r="H2133" s="13">
        <v>0.0</v>
      </c>
      <c r="I2133" s="13" t="s">
        <v>35</v>
      </c>
      <c r="J2133" s="13" t="s">
        <v>46</v>
      </c>
      <c r="K2133" s="13" t="s">
        <v>52</v>
      </c>
      <c r="L2133" s="13"/>
    </row>
    <row r="2134">
      <c r="A2134" s="13">
        <v>2132.0</v>
      </c>
      <c r="B2134" s="13">
        <v>872.0</v>
      </c>
      <c r="C2134" s="13">
        <v>25.0</v>
      </c>
      <c r="D2134" s="12" t="s">
        <v>3641</v>
      </c>
      <c r="E2134" s="12" t="s">
        <v>3642</v>
      </c>
      <c r="F2134" s="13">
        <v>1.0</v>
      </c>
      <c r="G2134" s="13">
        <v>0.0</v>
      </c>
      <c r="H2134" s="13">
        <v>0.0</v>
      </c>
      <c r="I2134" s="13" t="s">
        <v>41</v>
      </c>
      <c r="J2134" s="13" t="s">
        <v>46</v>
      </c>
      <c r="K2134" s="13" t="s">
        <v>52</v>
      </c>
      <c r="L2134" s="13"/>
    </row>
    <row r="2135">
      <c r="A2135" s="13">
        <v>2133.0</v>
      </c>
      <c r="B2135" s="13">
        <v>896.0</v>
      </c>
      <c r="C2135" s="13">
        <v>42.0</v>
      </c>
      <c r="D2135" s="12" t="s">
        <v>274</v>
      </c>
      <c r="E2135" s="12" t="s">
        <v>3643</v>
      </c>
      <c r="F2135" s="13">
        <v>3.0</v>
      </c>
      <c r="G2135" s="13">
        <v>1.0</v>
      </c>
      <c r="H2135" s="13">
        <v>2.0</v>
      </c>
      <c r="I2135" s="13" t="s">
        <v>35</v>
      </c>
      <c r="J2135" s="13" t="s">
        <v>46</v>
      </c>
      <c r="K2135" s="13" t="s">
        <v>123</v>
      </c>
      <c r="L2135" s="13"/>
    </row>
    <row r="2136">
      <c r="A2136" s="13">
        <v>2134.0</v>
      </c>
      <c r="B2136" s="13">
        <v>1072.0</v>
      </c>
      <c r="C2136" s="13">
        <v>36.0</v>
      </c>
      <c r="D2136" s="12" t="s">
        <v>3644</v>
      </c>
      <c r="E2136" s="12" t="s">
        <v>3645</v>
      </c>
      <c r="F2136" s="13">
        <v>5.0</v>
      </c>
      <c r="G2136" s="13">
        <v>1.0</v>
      </c>
      <c r="H2136" s="13">
        <v>0.0</v>
      </c>
      <c r="I2136" s="13" t="s">
        <v>41</v>
      </c>
      <c r="J2136" s="13" t="s">
        <v>36</v>
      </c>
      <c r="K2136" s="13" t="s">
        <v>36</v>
      </c>
      <c r="L2136" s="13"/>
    </row>
    <row r="2137">
      <c r="A2137" s="13">
        <v>2135.0</v>
      </c>
      <c r="B2137" s="13">
        <v>896.0</v>
      </c>
      <c r="C2137" s="13">
        <v>34.0</v>
      </c>
      <c r="D2137" s="12" t="s">
        <v>3646</v>
      </c>
      <c r="E2137" s="12" t="s">
        <v>3647</v>
      </c>
      <c r="F2137" s="13">
        <v>5.0</v>
      </c>
      <c r="G2137" s="13">
        <v>1.0</v>
      </c>
      <c r="H2137" s="13">
        <v>0.0</v>
      </c>
      <c r="I2137" s="13" t="s">
        <v>35</v>
      </c>
      <c r="J2137" s="13" t="s">
        <v>46</v>
      </c>
      <c r="K2137" s="13" t="s">
        <v>123</v>
      </c>
      <c r="L2137" s="13"/>
    </row>
    <row r="2138">
      <c r="A2138" s="13">
        <v>2136.0</v>
      </c>
      <c r="B2138" s="13">
        <v>1126.0</v>
      </c>
      <c r="C2138" s="13">
        <v>33.0</v>
      </c>
      <c r="D2138" s="12" t="s">
        <v>3648</v>
      </c>
      <c r="E2138" s="12" t="s">
        <v>3649</v>
      </c>
      <c r="F2138" s="13">
        <v>5.0</v>
      </c>
      <c r="G2138" s="13">
        <v>1.0</v>
      </c>
      <c r="H2138" s="13">
        <v>0.0</v>
      </c>
      <c r="I2138" s="13" t="s">
        <v>35</v>
      </c>
      <c r="J2138" s="13" t="s">
        <v>76</v>
      </c>
      <c r="K2138" s="13" t="s">
        <v>77</v>
      </c>
      <c r="L2138" s="13"/>
    </row>
    <row r="2139">
      <c r="A2139" s="13">
        <v>2137.0</v>
      </c>
      <c r="B2139" s="13">
        <v>1072.0</v>
      </c>
      <c r="C2139" s="13">
        <v>41.0</v>
      </c>
      <c r="D2139" s="12" t="s">
        <v>332</v>
      </c>
      <c r="E2139" s="12" t="s">
        <v>3650</v>
      </c>
      <c r="F2139" s="13">
        <v>5.0</v>
      </c>
      <c r="G2139" s="13">
        <v>1.0</v>
      </c>
      <c r="H2139" s="13">
        <v>0.0</v>
      </c>
      <c r="I2139" s="13" t="s">
        <v>41</v>
      </c>
      <c r="J2139" s="13" t="s">
        <v>36</v>
      </c>
      <c r="K2139" s="13" t="s">
        <v>36</v>
      </c>
      <c r="L2139" s="13"/>
    </row>
    <row r="2140">
      <c r="A2140" s="13">
        <v>2138.0</v>
      </c>
      <c r="B2140" s="13">
        <v>850.0</v>
      </c>
      <c r="C2140" s="13">
        <v>42.0</v>
      </c>
      <c r="D2140" s="12" t="s">
        <v>3651</v>
      </c>
      <c r="E2140" s="12" t="s">
        <v>3652</v>
      </c>
      <c r="F2140" s="13">
        <v>3.0</v>
      </c>
      <c r="G2140" s="13">
        <v>0.0</v>
      </c>
      <c r="H2140" s="13">
        <v>1.0</v>
      </c>
      <c r="I2140" s="13" t="s">
        <v>41</v>
      </c>
      <c r="J2140" s="13" t="s">
        <v>46</v>
      </c>
      <c r="K2140" s="13" t="s">
        <v>47</v>
      </c>
      <c r="L2140" s="13"/>
    </row>
    <row r="2141">
      <c r="A2141" s="13">
        <v>2139.0</v>
      </c>
      <c r="B2141" s="13">
        <v>872.0</v>
      </c>
      <c r="C2141" s="13">
        <v>38.0</v>
      </c>
      <c r="D2141" s="12"/>
      <c r="E2141" s="12" t="s">
        <v>3653</v>
      </c>
      <c r="F2141" s="13">
        <v>4.0</v>
      </c>
      <c r="G2141" s="13">
        <v>1.0</v>
      </c>
      <c r="H2141" s="13">
        <v>2.0</v>
      </c>
      <c r="I2141" s="13" t="s">
        <v>41</v>
      </c>
      <c r="J2141" s="13" t="s">
        <v>46</v>
      </c>
      <c r="K2141" s="13" t="s">
        <v>52</v>
      </c>
      <c r="L2141" s="13"/>
    </row>
    <row r="2142">
      <c r="A2142" s="13">
        <v>2140.0</v>
      </c>
      <c r="B2142" s="13">
        <v>1072.0</v>
      </c>
      <c r="C2142" s="13">
        <v>52.0</v>
      </c>
      <c r="D2142" s="12" t="s">
        <v>2079</v>
      </c>
      <c r="E2142" s="12" t="s">
        <v>3654</v>
      </c>
      <c r="F2142" s="13">
        <v>4.0</v>
      </c>
      <c r="G2142" s="13">
        <v>1.0</v>
      </c>
      <c r="H2142" s="13">
        <v>0.0</v>
      </c>
      <c r="I2142" s="13" t="s">
        <v>41</v>
      </c>
      <c r="J2142" s="13" t="s">
        <v>36</v>
      </c>
      <c r="K2142" s="13" t="s">
        <v>36</v>
      </c>
      <c r="L2142" s="13"/>
    </row>
    <row r="2143">
      <c r="A2143" s="13">
        <v>2141.0</v>
      </c>
      <c r="B2143" s="13">
        <v>1072.0</v>
      </c>
      <c r="C2143" s="13">
        <v>58.0</v>
      </c>
      <c r="D2143" s="12" t="s">
        <v>3655</v>
      </c>
      <c r="E2143" s="12" t="s">
        <v>3656</v>
      </c>
      <c r="F2143" s="13">
        <v>5.0</v>
      </c>
      <c r="G2143" s="13">
        <v>1.0</v>
      </c>
      <c r="H2143" s="13">
        <v>27.0</v>
      </c>
      <c r="I2143" s="13" t="s">
        <v>41</v>
      </c>
      <c r="J2143" s="13" t="s">
        <v>36</v>
      </c>
      <c r="K2143" s="13" t="s">
        <v>36</v>
      </c>
      <c r="L2143" s="13"/>
    </row>
    <row r="2144">
      <c r="A2144" s="13">
        <v>2142.0</v>
      </c>
      <c r="B2144" s="13">
        <v>872.0</v>
      </c>
      <c r="C2144" s="13">
        <v>21.0</v>
      </c>
      <c r="D2144" s="12" t="s">
        <v>3657</v>
      </c>
      <c r="E2144" s="12" t="s">
        <v>3658</v>
      </c>
      <c r="F2144" s="13">
        <v>5.0</v>
      </c>
      <c r="G2144" s="13">
        <v>1.0</v>
      </c>
      <c r="H2144" s="13">
        <v>0.0</v>
      </c>
      <c r="I2144" s="13" t="s">
        <v>41</v>
      </c>
      <c r="J2144" s="13" t="s">
        <v>46</v>
      </c>
      <c r="K2144" s="13" t="s">
        <v>52</v>
      </c>
      <c r="L2144" s="13"/>
    </row>
    <row r="2145">
      <c r="A2145" s="13">
        <v>2143.0</v>
      </c>
      <c r="B2145" s="13">
        <v>1089.0</v>
      </c>
      <c r="C2145" s="13">
        <v>34.0</v>
      </c>
      <c r="D2145" s="12" t="s">
        <v>3659</v>
      </c>
      <c r="E2145" s="12" t="s">
        <v>3660</v>
      </c>
      <c r="F2145" s="13">
        <v>5.0</v>
      </c>
      <c r="G2145" s="13">
        <v>1.0</v>
      </c>
      <c r="H2145" s="13">
        <v>15.0</v>
      </c>
      <c r="I2145" s="13" t="s">
        <v>41</v>
      </c>
      <c r="J2145" s="13" t="s">
        <v>36</v>
      </c>
      <c r="K2145" s="13" t="s">
        <v>36</v>
      </c>
      <c r="L2145" s="13"/>
    </row>
    <row r="2146">
      <c r="A2146" s="13">
        <v>2144.0</v>
      </c>
      <c r="B2146" s="13">
        <v>911.0</v>
      </c>
      <c r="C2146" s="13">
        <v>46.0</v>
      </c>
      <c r="D2146" s="12" t="s">
        <v>663</v>
      </c>
      <c r="E2146" s="12" t="s">
        <v>3661</v>
      </c>
      <c r="F2146" s="13">
        <v>3.0</v>
      </c>
      <c r="G2146" s="13">
        <v>0.0</v>
      </c>
      <c r="H2146" s="13">
        <v>0.0</v>
      </c>
      <c r="I2146" s="13" t="s">
        <v>35</v>
      </c>
      <c r="J2146" s="13" t="s">
        <v>46</v>
      </c>
      <c r="K2146" s="13" t="s">
        <v>123</v>
      </c>
      <c r="L2146" s="13"/>
    </row>
    <row r="2147">
      <c r="A2147" s="13">
        <v>2145.0</v>
      </c>
      <c r="B2147" s="13">
        <v>872.0</v>
      </c>
      <c r="C2147" s="13">
        <v>30.0</v>
      </c>
      <c r="D2147" s="12" t="s">
        <v>3662</v>
      </c>
      <c r="E2147" s="12" t="s">
        <v>3663</v>
      </c>
      <c r="F2147" s="13">
        <v>5.0</v>
      </c>
      <c r="G2147" s="13">
        <v>1.0</v>
      </c>
      <c r="H2147" s="13">
        <v>0.0</v>
      </c>
      <c r="I2147" s="13" t="s">
        <v>41</v>
      </c>
      <c r="J2147" s="13" t="s">
        <v>46</v>
      </c>
      <c r="K2147" s="13" t="s">
        <v>52</v>
      </c>
      <c r="L2147" s="13"/>
    </row>
    <row r="2148">
      <c r="A2148" s="13">
        <v>2146.0</v>
      </c>
      <c r="B2148" s="13">
        <v>872.0</v>
      </c>
      <c r="C2148" s="13">
        <v>60.0</v>
      </c>
      <c r="D2148" s="12" t="s">
        <v>1737</v>
      </c>
      <c r="E2148" s="12" t="s">
        <v>3664</v>
      </c>
      <c r="F2148" s="13">
        <v>5.0</v>
      </c>
      <c r="G2148" s="13">
        <v>1.0</v>
      </c>
      <c r="H2148" s="13">
        <v>0.0</v>
      </c>
      <c r="I2148" s="13" t="s">
        <v>41</v>
      </c>
      <c r="J2148" s="13" t="s">
        <v>46</v>
      </c>
      <c r="K2148" s="13" t="s">
        <v>52</v>
      </c>
      <c r="L2148" s="13"/>
    </row>
    <row r="2149">
      <c r="A2149" s="13">
        <v>2147.0</v>
      </c>
      <c r="B2149" s="13">
        <v>872.0</v>
      </c>
      <c r="C2149" s="13">
        <v>29.0</v>
      </c>
      <c r="D2149" s="12"/>
      <c r="E2149" s="12" t="s">
        <v>3665</v>
      </c>
      <c r="F2149" s="13">
        <v>5.0</v>
      </c>
      <c r="G2149" s="13">
        <v>1.0</v>
      </c>
      <c r="H2149" s="13">
        <v>0.0</v>
      </c>
      <c r="I2149" s="13" t="s">
        <v>41</v>
      </c>
      <c r="J2149" s="13" t="s">
        <v>46</v>
      </c>
      <c r="K2149" s="13" t="s">
        <v>52</v>
      </c>
      <c r="L2149" s="13"/>
    </row>
    <row r="2150">
      <c r="A2150" s="13">
        <v>2148.0</v>
      </c>
      <c r="B2150" s="13">
        <v>872.0</v>
      </c>
      <c r="C2150" s="13">
        <v>68.0</v>
      </c>
      <c r="D2150" s="12" t="s">
        <v>3666</v>
      </c>
      <c r="E2150" s="12" t="s">
        <v>3667</v>
      </c>
      <c r="F2150" s="13">
        <v>5.0</v>
      </c>
      <c r="G2150" s="13">
        <v>1.0</v>
      </c>
      <c r="H2150" s="13">
        <v>3.0</v>
      </c>
      <c r="I2150" s="13" t="s">
        <v>41</v>
      </c>
      <c r="J2150" s="13" t="s">
        <v>46</v>
      </c>
      <c r="K2150" s="13" t="s">
        <v>52</v>
      </c>
      <c r="L2150" s="13"/>
    </row>
    <row r="2151">
      <c r="A2151" s="13">
        <v>2149.0</v>
      </c>
      <c r="B2151" s="13">
        <v>1082.0</v>
      </c>
      <c r="C2151" s="13">
        <v>36.0</v>
      </c>
      <c r="D2151" s="12"/>
      <c r="E2151" s="12"/>
      <c r="F2151" s="13">
        <v>1.0</v>
      </c>
      <c r="G2151" s="13">
        <v>0.0</v>
      </c>
      <c r="H2151" s="13">
        <v>0.0</v>
      </c>
      <c r="I2151" s="13" t="s">
        <v>35</v>
      </c>
      <c r="J2151" s="13" t="s">
        <v>36</v>
      </c>
      <c r="K2151" s="13" t="s">
        <v>36</v>
      </c>
      <c r="L2151" s="13"/>
    </row>
    <row r="2152">
      <c r="A2152" s="13">
        <v>2150.0</v>
      </c>
      <c r="B2152" s="13">
        <v>872.0</v>
      </c>
      <c r="C2152" s="13">
        <v>35.0</v>
      </c>
      <c r="D2152" s="12" t="s">
        <v>3668</v>
      </c>
      <c r="E2152" s="12" t="s">
        <v>3669</v>
      </c>
      <c r="F2152" s="13">
        <v>3.0</v>
      </c>
      <c r="G2152" s="13">
        <v>0.0</v>
      </c>
      <c r="H2152" s="13">
        <v>0.0</v>
      </c>
      <c r="I2152" s="13" t="s">
        <v>41</v>
      </c>
      <c r="J2152" s="13" t="s">
        <v>46</v>
      </c>
      <c r="K2152" s="13" t="s">
        <v>52</v>
      </c>
      <c r="L2152" s="13"/>
    </row>
    <row r="2153">
      <c r="A2153" s="13">
        <v>2151.0</v>
      </c>
      <c r="B2153" s="13">
        <v>867.0</v>
      </c>
      <c r="C2153" s="13">
        <v>53.0</v>
      </c>
      <c r="D2153" s="12"/>
      <c r="E2153" s="12" t="s">
        <v>3670</v>
      </c>
      <c r="F2153" s="13">
        <v>5.0</v>
      </c>
      <c r="G2153" s="13">
        <v>1.0</v>
      </c>
      <c r="H2153" s="13">
        <v>0.0</v>
      </c>
      <c r="I2153" s="13" t="s">
        <v>35</v>
      </c>
      <c r="J2153" s="13" t="s">
        <v>46</v>
      </c>
      <c r="K2153" s="13" t="s">
        <v>52</v>
      </c>
      <c r="L2153" s="13"/>
    </row>
    <row r="2154">
      <c r="A2154" s="13">
        <v>2152.0</v>
      </c>
      <c r="B2154" s="13">
        <v>940.0</v>
      </c>
      <c r="C2154" s="13">
        <v>37.0</v>
      </c>
      <c r="D2154" s="12" t="s">
        <v>355</v>
      </c>
      <c r="E2154" s="12" t="s">
        <v>3671</v>
      </c>
      <c r="F2154" s="13">
        <v>3.0</v>
      </c>
      <c r="G2154" s="13">
        <v>0.0</v>
      </c>
      <c r="H2154" s="13">
        <v>2.0</v>
      </c>
      <c r="I2154" s="13" t="s">
        <v>35</v>
      </c>
      <c r="J2154" s="13" t="s">
        <v>46</v>
      </c>
      <c r="K2154" s="13" t="s">
        <v>95</v>
      </c>
      <c r="L2154" s="13"/>
    </row>
    <row r="2155">
      <c r="A2155" s="13">
        <v>2153.0</v>
      </c>
      <c r="B2155" s="13">
        <v>1086.0</v>
      </c>
      <c r="C2155" s="13">
        <v>67.0</v>
      </c>
      <c r="D2155" s="12" t="s">
        <v>3672</v>
      </c>
      <c r="E2155" s="12" t="s">
        <v>3673</v>
      </c>
      <c r="F2155" s="13">
        <v>3.0</v>
      </c>
      <c r="G2155" s="13">
        <v>0.0</v>
      </c>
      <c r="H2155" s="13">
        <v>0.0</v>
      </c>
      <c r="I2155" s="13" t="s">
        <v>41</v>
      </c>
      <c r="J2155" s="13" t="s">
        <v>36</v>
      </c>
      <c r="K2155" s="13" t="s">
        <v>36</v>
      </c>
      <c r="L2155" s="13"/>
    </row>
    <row r="2156">
      <c r="A2156" s="13">
        <v>2154.0</v>
      </c>
      <c r="B2156" s="13">
        <v>160.0</v>
      </c>
      <c r="C2156" s="13">
        <v>23.0</v>
      </c>
      <c r="D2156" s="12"/>
      <c r="E2156" s="12" t="s">
        <v>3674</v>
      </c>
      <c r="F2156" s="13">
        <v>5.0</v>
      </c>
      <c r="G2156" s="13">
        <v>1.0</v>
      </c>
      <c r="H2156" s="13">
        <v>1.0</v>
      </c>
      <c r="I2156" s="13" t="s">
        <v>31</v>
      </c>
      <c r="J2156" s="13" t="s">
        <v>32</v>
      </c>
      <c r="K2156" s="13" t="s">
        <v>33</v>
      </c>
      <c r="L2156" s="13"/>
    </row>
    <row r="2157">
      <c r="A2157" s="13">
        <v>2155.0</v>
      </c>
      <c r="B2157" s="13">
        <v>872.0</v>
      </c>
      <c r="C2157" s="13">
        <v>25.0</v>
      </c>
      <c r="D2157" s="12" t="s">
        <v>3675</v>
      </c>
      <c r="E2157" s="12" t="s">
        <v>3676</v>
      </c>
      <c r="F2157" s="13">
        <v>5.0</v>
      </c>
      <c r="G2157" s="13">
        <v>1.0</v>
      </c>
      <c r="H2157" s="13">
        <v>0.0</v>
      </c>
      <c r="I2157" s="13" t="s">
        <v>41</v>
      </c>
      <c r="J2157" s="13" t="s">
        <v>46</v>
      </c>
      <c r="K2157" s="13" t="s">
        <v>52</v>
      </c>
      <c r="L2157" s="13"/>
    </row>
    <row r="2158">
      <c r="A2158" s="13">
        <v>2156.0</v>
      </c>
      <c r="B2158" s="13">
        <v>872.0</v>
      </c>
      <c r="C2158" s="13">
        <v>62.0</v>
      </c>
      <c r="D2158" s="12" t="s">
        <v>3677</v>
      </c>
      <c r="E2158" s="12" t="s">
        <v>3678</v>
      </c>
      <c r="F2158" s="13">
        <v>5.0</v>
      </c>
      <c r="G2158" s="13">
        <v>1.0</v>
      </c>
      <c r="H2158" s="13">
        <v>1.0</v>
      </c>
      <c r="I2158" s="13" t="s">
        <v>41</v>
      </c>
      <c r="J2158" s="13" t="s">
        <v>46</v>
      </c>
      <c r="K2158" s="13" t="s">
        <v>52</v>
      </c>
      <c r="L2158" s="13"/>
    </row>
    <row r="2159">
      <c r="A2159" s="13">
        <v>2157.0</v>
      </c>
      <c r="B2159" s="13">
        <v>872.0</v>
      </c>
      <c r="C2159" s="13">
        <v>35.0</v>
      </c>
      <c r="D2159" s="12" t="s">
        <v>3679</v>
      </c>
      <c r="E2159" s="12" t="s">
        <v>3680</v>
      </c>
      <c r="F2159" s="13">
        <v>5.0</v>
      </c>
      <c r="G2159" s="13">
        <v>1.0</v>
      </c>
      <c r="H2159" s="13">
        <v>0.0</v>
      </c>
      <c r="I2159" s="13" t="s">
        <v>41</v>
      </c>
      <c r="J2159" s="13" t="s">
        <v>46</v>
      </c>
      <c r="K2159" s="13" t="s">
        <v>52</v>
      </c>
      <c r="L2159" s="13"/>
    </row>
    <row r="2160">
      <c r="A2160" s="13">
        <v>2158.0</v>
      </c>
      <c r="B2160" s="13">
        <v>1052.0</v>
      </c>
      <c r="C2160" s="13">
        <v>46.0</v>
      </c>
      <c r="D2160" s="12" t="s">
        <v>3681</v>
      </c>
      <c r="E2160" s="12" t="s">
        <v>3682</v>
      </c>
      <c r="F2160" s="13">
        <v>4.0</v>
      </c>
      <c r="G2160" s="13">
        <v>1.0</v>
      </c>
      <c r="H2160" s="13">
        <v>1.0</v>
      </c>
      <c r="I2160" s="13" t="s">
        <v>35</v>
      </c>
      <c r="J2160" s="13" t="s">
        <v>42</v>
      </c>
      <c r="K2160" s="13" t="s">
        <v>43</v>
      </c>
      <c r="L2160" s="13"/>
    </row>
    <row r="2161">
      <c r="A2161" s="13">
        <v>2159.0</v>
      </c>
      <c r="B2161" s="13">
        <v>1086.0</v>
      </c>
      <c r="C2161" s="13">
        <v>39.0</v>
      </c>
      <c r="D2161" s="12" t="s">
        <v>3683</v>
      </c>
      <c r="E2161" s="12" t="s">
        <v>3684</v>
      </c>
      <c r="F2161" s="13">
        <v>4.0</v>
      </c>
      <c r="G2161" s="13">
        <v>1.0</v>
      </c>
      <c r="H2161" s="13">
        <v>2.0</v>
      </c>
      <c r="I2161" s="13" t="s">
        <v>41</v>
      </c>
      <c r="J2161" s="13" t="s">
        <v>36</v>
      </c>
      <c r="K2161" s="13" t="s">
        <v>36</v>
      </c>
      <c r="L2161" s="13"/>
    </row>
    <row r="2162">
      <c r="A2162" s="13">
        <v>2160.0</v>
      </c>
      <c r="B2162" s="13">
        <v>872.0</v>
      </c>
      <c r="C2162" s="13">
        <v>65.0</v>
      </c>
      <c r="D2162" s="12"/>
      <c r="E2162" s="12"/>
      <c r="F2162" s="13">
        <v>5.0</v>
      </c>
      <c r="G2162" s="13">
        <v>1.0</v>
      </c>
      <c r="H2162" s="13">
        <v>0.0</v>
      </c>
      <c r="I2162" s="13" t="s">
        <v>41</v>
      </c>
      <c r="J2162" s="13" t="s">
        <v>46</v>
      </c>
      <c r="K2162" s="13" t="s">
        <v>52</v>
      </c>
      <c r="L2162" s="13"/>
    </row>
    <row r="2163">
      <c r="A2163" s="13">
        <v>2161.0</v>
      </c>
      <c r="B2163" s="13">
        <v>872.0</v>
      </c>
      <c r="C2163" s="13">
        <v>30.0</v>
      </c>
      <c r="D2163" s="12" t="s">
        <v>3685</v>
      </c>
      <c r="E2163" s="12" t="s">
        <v>3686</v>
      </c>
      <c r="F2163" s="13">
        <v>5.0</v>
      </c>
      <c r="G2163" s="13">
        <v>1.0</v>
      </c>
      <c r="H2163" s="13">
        <v>0.0</v>
      </c>
      <c r="I2163" s="13" t="s">
        <v>41</v>
      </c>
      <c r="J2163" s="13" t="s">
        <v>46</v>
      </c>
      <c r="K2163" s="13" t="s">
        <v>52</v>
      </c>
      <c r="L2163" s="13"/>
    </row>
    <row r="2164">
      <c r="A2164" s="13">
        <v>2162.0</v>
      </c>
      <c r="B2164" s="13">
        <v>872.0</v>
      </c>
      <c r="C2164" s="13">
        <v>48.0</v>
      </c>
      <c r="D2164" s="12" t="s">
        <v>3687</v>
      </c>
      <c r="E2164" s="12" t="s">
        <v>3688</v>
      </c>
      <c r="F2164" s="13">
        <v>4.0</v>
      </c>
      <c r="G2164" s="13">
        <v>1.0</v>
      </c>
      <c r="H2164" s="13">
        <v>2.0</v>
      </c>
      <c r="I2164" s="13" t="s">
        <v>41</v>
      </c>
      <c r="J2164" s="13" t="s">
        <v>46</v>
      </c>
      <c r="K2164" s="13" t="s">
        <v>52</v>
      </c>
      <c r="L2164" s="13"/>
    </row>
    <row r="2165">
      <c r="A2165" s="13">
        <v>2163.0</v>
      </c>
      <c r="B2165" s="13">
        <v>984.0</v>
      </c>
      <c r="C2165" s="13">
        <v>59.0</v>
      </c>
      <c r="D2165" s="12" t="s">
        <v>3689</v>
      </c>
      <c r="E2165" s="12" t="s">
        <v>3690</v>
      </c>
      <c r="F2165" s="13">
        <v>5.0</v>
      </c>
      <c r="G2165" s="13">
        <v>1.0</v>
      </c>
      <c r="H2165" s="13">
        <v>1.0</v>
      </c>
      <c r="I2165" s="13" t="s">
        <v>35</v>
      </c>
      <c r="J2165" s="13" t="s">
        <v>76</v>
      </c>
      <c r="K2165" s="13" t="s">
        <v>76</v>
      </c>
      <c r="L2165" s="13"/>
    </row>
    <row r="2166">
      <c r="A2166" s="13">
        <v>2164.0</v>
      </c>
      <c r="B2166" s="13">
        <v>867.0</v>
      </c>
      <c r="C2166" s="13">
        <v>53.0</v>
      </c>
      <c r="D2166" s="12" t="s">
        <v>3691</v>
      </c>
      <c r="E2166" s="12" t="s">
        <v>3692</v>
      </c>
      <c r="F2166" s="13">
        <v>5.0</v>
      </c>
      <c r="G2166" s="13">
        <v>1.0</v>
      </c>
      <c r="H2166" s="13">
        <v>0.0</v>
      </c>
      <c r="I2166" s="13" t="s">
        <v>41</v>
      </c>
      <c r="J2166" s="13" t="s">
        <v>46</v>
      </c>
      <c r="K2166" s="13" t="s">
        <v>52</v>
      </c>
      <c r="L2166" s="13"/>
    </row>
    <row r="2167">
      <c r="A2167" s="13">
        <v>2165.0</v>
      </c>
      <c r="B2167" s="13">
        <v>940.0</v>
      </c>
      <c r="C2167" s="13">
        <v>46.0</v>
      </c>
      <c r="D2167" s="12" t="s">
        <v>3693</v>
      </c>
      <c r="E2167" s="12" t="s">
        <v>3694</v>
      </c>
      <c r="F2167" s="13">
        <v>2.0</v>
      </c>
      <c r="G2167" s="13">
        <v>0.0</v>
      </c>
      <c r="H2167" s="13">
        <v>2.0</v>
      </c>
      <c r="I2167" s="13" t="s">
        <v>35</v>
      </c>
      <c r="J2167" s="13" t="s">
        <v>46</v>
      </c>
      <c r="K2167" s="13" t="s">
        <v>95</v>
      </c>
      <c r="L2167" s="13"/>
    </row>
    <row r="2168">
      <c r="A2168" s="13">
        <v>2166.0</v>
      </c>
      <c r="B2168" s="13">
        <v>872.0</v>
      </c>
      <c r="C2168" s="13">
        <v>33.0</v>
      </c>
      <c r="D2168" s="12" t="s">
        <v>3695</v>
      </c>
      <c r="E2168" s="12" t="s">
        <v>3696</v>
      </c>
      <c r="F2168" s="13">
        <v>5.0</v>
      </c>
      <c r="G2168" s="13">
        <v>1.0</v>
      </c>
      <c r="H2168" s="13">
        <v>0.0</v>
      </c>
      <c r="I2168" s="13" t="s">
        <v>41</v>
      </c>
      <c r="J2168" s="13" t="s">
        <v>46</v>
      </c>
      <c r="K2168" s="13" t="s">
        <v>52</v>
      </c>
      <c r="L2168" s="13"/>
    </row>
    <row r="2169">
      <c r="A2169" s="13">
        <v>2167.0</v>
      </c>
      <c r="B2169" s="13">
        <v>872.0</v>
      </c>
      <c r="C2169" s="13">
        <v>49.0</v>
      </c>
      <c r="D2169" s="12" t="s">
        <v>3697</v>
      </c>
      <c r="E2169" s="12" t="s">
        <v>3698</v>
      </c>
      <c r="F2169" s="13">
        <v>5.0</v>
      </c>
      <c r="G2169" s="13">
        <v>1.0</v>
      </c>
      <c r="H2169" s="13">
        <v>0.0</v>
      </c>
      <c r="I2169" s="13" t="s">
        <v>35</v>
      </c>
      <c r="J2169" s="13" t="s">
        <v>46</v>
      </c>
      <c r="K2169" s="13" t="s">
        <v>52</v>
      </c>
      <c r="L2169" s="13"/>
    </row>
    <row r="2170">
      <c r="A2170" s="13">
        <v>2168.0</v>
      </c>
      <c r="B2170" s="13">
        <v>867.0</v>
      </c>
      <c r="C2170" s="13">
        <v>36.0</v>
      </c>
      <c r="D2170" s="12" t="s">
        <v>233</v>
      </c>
      <c r="E2170" s="12" t="s">
        <v>3699</v>
      </c>
      <c r="F2170" s="13">
        <v>5.0</v>
      </c>
      <c r="G2170" s="13">
        <v>1.0</v>
      </c>
      <c r="H2170" s="13">
        <v>0.0</v>
      </c>
      <c r="I2170" s="13" t="s">
        <v>41</v>
      </c>
      <c r="J2170" s="13" t="s">
        <v>46</v>
      </c>
      <c r="K2170" s="13" t="s">
        <v>52</v>
      </c>
      <c r="L2170" s="13"/>
    </row>
    <row r="2171">
      <c r="A2171" s="13">
        <v>2169.0</v>
      </c>
      <c r="B2171" s="13">
        <v>1086.0</v>
      </c>
      <c r="C2171" s="13">
        <v>36.0</v>
      </c>
      <c r="D2171" s="12"/>
      <c r="E2171" s="12" t="s">
        <v>3700</v>
      </c>
      <c r="F2171" s="13">
        <v>4.0</v>
      </c>
      <c r="G2171" s="13">
        <v>1.0</v>
      </c>
      <c r="H2171" s="13">
        <v>8.0</v>
      </c>
      <c r="I2171" s="13" t="s">
        <v>41</v>
      </c>
      <c r="J2171" s="13" t="s">
        <v>36</v>
      </c>
      <c r="K2171" s="13" t="s">
        <v>36</v>
      </c>
      <c r="L2171" s="13"/>
    </row>
    <row r="2172">
      <c r="A2172" s="13">
        <v>2170.0</v>
      </c>
      <c r="B2172" s="13">
        <v>1094.0</v>
      </c>
      <c r="C2172" s="13">
        <v>39.0</v>
      </c>
      <c r="D2172" s="12" t="s">
        <v>2492</v>
      </c>
      <c r="E2172" s="12" t="s">
        <v>3701</v>
      </c>
      <c r="F2172" s="13">
        <v>5.0</v>
      </c>
      <c r="G2172" s="13">
        <v>1.0</v>
      </c>
      <c r="H2172" s="13">
        <v>0.0</v>
      </c>
      <c r="I2172" s="13" t="s">
        <v>35</v>
      </c>
      <c r="J2172" s="13" t="s">
        <v>36</v>
      </c>
      <c r="K2172" s="13" t="s">
        <v>36</v>
      </c>
      <c r="L2172" s="13"/>
    </row>
    <row r="2173">
      <c r="A2173" s="13">
        <v>2171.0</v>
      </c>
      <c r="B2173" s="13">
        <v>876.0</v>
      </c>
      <c r="C2173" s="13">
        <v>51.0</v>
      </c>
      <c r="D2173" s="12" t="s">
        <v>3702</v>
      </c>
      <c r="E2173" s="12" t="s">
        <v>3703</v>
      </c>
      <c r="F2173" s="13">
        <v>4.0</v>
      </c>
      <c r="G2173" s="13">
        <v>1.0</v>
      </c>
      <c r="H2173" s="13">
        <v>0.0</v>
      </c>
      <c r="I2173" s="13" t="s">
        <v>41</v>
      </c>
      <c r="J2173" s="13" t="s">
        <v>46</v>
      </c>
      <c r="K2173" s="13" t="s">
        <v>52</v>
      </c>
      <c r="L2173" s="13"/>
    </row>
    <row r="2174">
      <c r="A2174" s="13">
        <v>2172.0</v>
      </c>
      <c r="B2174" s="13">
        <v>867.0</v>
      </c>
      <c r="C2174" s="13">
        <v>35.0</v>
      </c>
      <c r="D2174" s="12" t="s">
        <v>3704</v>
      </c>
      <c r="E2174" s="12" t="s">
        <v>3705</v>
      </c>
      <c r="F2174" s="13">
        <v>4.0</v>
      </c>
      <c r="G2174" s="13">
        <v>1.0</v>
      </c>
      <c r="H2174" s="13">
        <v>0.0</v>
      </c>
      <c r="I2174" s="13" t="s">
        <v>41</v>
      </c>
      <c r="J2174" s="13" t="s">
        <v>46</v>
      </c>
      <c r="K2174" s="13" t="s">
        <v>52</v>
      </c>
      <c r="L2174" s="13"/>
    </row>
    <row r="2175">
      <c r="A2175" s="13">
        <v>2173.0</v>
      </c>
      <c r="B2175" s="13">
        <v>872.0</v>
      </c>
      <c r="C2175" s="13">
        <v>38.0</v>
      </c>
      <c r="D2175" s="12" t="s">
        <v>3706</v>
      </c>
      <c r="E2175" s="12" t="s">
        <v>3707</v>
      </c>
      <c r="F2175" s="13">
        <v>5.0</v>
      </c>
      <c r="G2175" s="13">
        <v>1.0</v>
      </c>
      <c r="H2175" s="13">
        <v>0.0</v>
      </c>
      <c r="I2175" s="13" t="s">
        <v>35</v>
      </c>
      <c r="J2175" s="13" t="s">
        <v>46</v>
      </c>
      <c r="K2175" s="13" t="s">
        <v>52</v>
      </c>
      <c r="L2175" s="13"/>
    </row>
    <row r="2176">
      <c r="A2176" s="13">
        <v>2174.0</v>
      </c>
      <c r="B2176" s="13">
        <v>1089.0</v>
      </c>
      <c r="C2176" s="13">
        <v>59.0</v>
      </c>
      <c r="D2176" s="12"/>
      <c r="E2176" s="12"/>
      <c r="F2176" s="13">
        <v>5.0</v>
      </c>
      <c r="G2176" s="13">
        <v>1.0</v>
      </c>
      <c r="H2176" s="13">
        <v>0.0</v>
      </c>
      <c r="I2176" s="13" t="s">
        <v>41</v>
      </c>
      <c r="J2176" s="13" t="s">
        <v>36</v>
      </c>
      <c r="K2176" s="13" t="s">
        <v>36</v>
      </c>
      <c r="L2176" s="13"/>
    </row>
    <row r="2177">
      <c r="A2177" s="13">
        <v>2175.0</v>
      </c>
      <c r="B2177" s="13">
        <v>1072.0</v>
      </c>
      <c r="C2177" s="13">
        <v>73.0</v>
      </c>
      <c r="D2177" s="12"/>
      <c r="E2177" s="12" t="s">
        <v>3708</v>
      </c>
      <c r="F2177" s="13">
        <v>4.0</v>
      </c>
      <c r="G2177" s="13">
        <v>1.0</v>
      </c>
      <c r="H2177" s="13">
        <v>1.0</v>
      </c>
      <c r="I2177" s="13" t="s">
        <v>41</v>
      </c>
      <c r="J2177" s="13" t="s">
        <v>36</v>
      </c>
      <c r="K2177" s="13" t="s">
        <v>36</v>
      </c>
      <c r="L2177" s="13"/>
    </row>
    <row r="2178">
      <c r="A2178" s="13">
        <v>2176.0</v>
      </c>
      <c r="B2178" s="13">
        <v>867.0</v>
      </c>
      <c r="C2178" s="13">
        <v>63.0</v>
      </c>
      <c r="D2178" s="12" t="s">
        <v>3709</v>
      </c>
      <c r="E2178" s="12" t="s">
        <v>3710</v>
      </c>
      <c r="F2178" s="13">
        <v>5.0</v>
      </c>
      <c r="G2178" s="13">
        <v>1.0</v>
      </c>
      <c r="H2178" s="13">
        <v>1.0</v>
      </c>
      <c r="I2178" s="13" t="s">
        <v>41</v>
      </c>
      <c r="J2178" s="13" t="s">
        <v>46</v>
      </c>
      <c r="K2178" s="13" t="s">
        <v>52</v>
      </c>
      <c r="L2178" s="13"/>
    </row>
    <row r="2179">
      <c r="A2179" s="13">
        <v>2177.0</v>
      </c>
      <c r="B2179" s="13">
        <v>872.0</v>
      </c>
      <c r="C2179" s="13">
        <v>28.0</v>
      </c>
      <c r="D2179" s="12"/>
      <c r="E2179" s="12" t="s">
        <v>3711</v>
      </c>
      <c r="F2179" s="13">
        <v>5.0</v>
      </c>
      <c r="G2179" s="13">
        <v>1.0</v>
      </c>
      <c r="H2179" s="13">
        <v>1.0</v>
      </c>
      <c r="I2179" s="13" t="s">
        <v>35</v>
      </c>
      <c r="J2179" s="13" t="s">
        <v>46</v>
      </c>
      <c r="K2179" s="13" t="s">
        <v>52</v>
      </c>
      <c r="L2179" s="13"/>
    </row>
    <row r="2180">
      <c r="A2180" s="13">
        <v>2178.0</v>
      </c>
      <c r="B2180" s="13">
        <v>872.0</v>
      </c>
      <c r="C2180" s="13">
        <v>32.0</v>
      </c>
      <c r="D2180" s="12"/>
      <c r="E2180" s="12" t="s">
        <v>3712</v>
      </c>
      <c r="F2180" s="13">
        <v>5.0</v>
      </c>
      <c r="G2180" s="13">
        <v>1.0</v>
      </c>
      <c r="H2180" s="13">
        <v>0.0</v>
      </c>
      <c r="I2180" s="13" t="s">
        <v>35</v>
      </c>
      <c r="J2180" s="13" t="s">
        <v>46</v>
      </c>
      <c r="K2180" s="13" t="s">
        <v>52</v>
      </c>
      <c r="L2180" s="13"/>
    </row>
    <row r="2181">
      <c r="A2181" s="13">
        <v>2179.0</v>
      </c>
      <c r="B2181" s="13">
        <v>872.0</v>
      </c>
      <c r="C2181" s="13">
        <v>44.0</v>
      </c>
      <c r="D2181" s="12" t="s">
        <v>3713</v>
      </c>
      <c r="E2181" s="12" t="s">
        <v>3714</v>
      </c>
      <c r="F2181" s="13">
        <v>2.0</v>
      </c>
      <c r="G2181" s="13">
        <v>0.0</v>
      </c>
      <c r="H2181" s="13">
        <v>1.0</v>
      </c>
      <c r="I2181" s="13" t="s">
        <v>35</v>
      </c>
      <c r="J2181" s="13" t="s">
        <v>46</v>
      </c>
      <c r="K2181" s="13" t="s">
        <v>52</v>
      </c>
      <c r="L2181" s="13"/>
    </row>
    <row r="2182">
      <c r="A2182" s="13">
        <v>2180.0</v>
      </c>
      <c r="B2182" s="13">
        <v>872.0</v>
      </c>
      <c r="C2182" s="13">
        <v>26.0</v>
      </c>
      <c r="D2182" s="12" t="s">
        <v>3715</v>
      </c>
      <c r="E2182" s="12" t="s">
        <v>3716</v>
      </c>
      <c r="F2182" s="13">
        <v>3.0</v>
      </c>
      <c r="G2182" s="13">
        <v>0.0</v>
      </c>
      <c r="H2182" s="13">
        <v>0.0</v>
      </c>
      <c r="I2182" s="13" t="s">
        <v>35</v>
      </c>
      <c r="J2182" s="13" t="s">
        <v>46</v>
      </c>
      <c r="K2182" s="13" t="s">
        <v>52</v>
      </c>
      <c r="L2182" s="13"/>
    </row>
    <row r="2183">
      <c r="A2183" s="13">
        <v>2181.0</v>
      </c>
      <c r="B2183" s="13">
        <v>872.0</v>
      </c>
      <c r="C2183" s="13">
        <v>42.0</v>
      </c>
      <c r="D2183" s="12"/>
      <c r="E2183" s="12" t="s">
        <v>3717</v>
      </c>
      <c r="F2183" s="13">
        <v>5.0</v>
      </c>
      <c r="G2183" s="13">
        <v>1.0</v>
      </c>
      <c r="H2183" s="13">
        <v>1.0</v>
      </c>
      <c r="I2183" s="13" t="s">
        <v>35</v>
      </c>
      <c r="J2183" s="13" t="s">
        <v>46</v>
      </c>
      <c r="K2183" s="13" t="s">
        <v>52</v>
      </c>
      <c r="L2183" s="13"/>
    </row>
    <row r="2184">
      <c r="A2184" s="13">
        <v>2182.0</v>
      </c>
      <c r="B2184" s="13">
        <v>876.0</v>
      </c>
      <c r="C2184" s="13">
        <v>48.0</v>
      </c>
      <c r="D2184" s="12"/>
      <c r="E2184" s="12" t="s">
        <v>3718</v>
      </c>
      <c r="F2184" s="13">
        <v>4.0</v>
      </c>
      <c r="G2184" s="13">
        <v>1.0</v>
      </c>
      <c r="H2184" s="13">
        <v>0.0</v>
      </c>
      <c r="I2184" s="13" t="s">
        <v>41</v>
      </c>
      <c r="J2184" s="13" t="s">
        <v>46</v>
      </c>
      <c r="K2184" s="13" t="s">
        <v>52</v>
      </c>
      <c r="L2184" s="13"/>
    </row>
    <row r="2185">
      <c r="A2185" s="13">
        <v>2183.0</v>
      </c>
      <c r="B2185" s="13">
        <v>872.0</v>
      </c>
      <c r="C2185" s="13">
        <v>32.0</v>
      </c>
      <c r="D2185" s="12"/>
      <c r="E2185" s="12" t="s">
        <v>3719</v>
      </c>
      <c r="F2185" s="13">
        <v>5.0</v>
      </c>
      <c r="G2185" s="13">
        <v>1.0</v>
      </c>
      <c r="H2185" s="13">
        <v>0.0</v>
      </c>
      <c r="I2185" s="13" t="s">
        <v>35</v>
      </c>
      <c r="J2185" s="13" t="s">
        <v>46</v>
      </c>
      <c r="K2185" s="13" t="s">
        <v>52</v>
      </c>
      <c r="L2185" s="13"/>
    </row>
    <row r="2186">
      <c r="A2186" s="13">
        <v>2184.0</v>
      </c>
      <c r="B2186" s="13">
        <v>1086.0</v>
      </c>
      <c r="C2186" s="13">
        <v>52.0</v>
      </c>
      <c r="D2186" s="12" t="s">
        <v>1167</v>
      </c>
      <c r="E2186" s="12" t="s">
        <v>3720</v>
      </c>
      <c r="F2186" s="13">
        <v>5.0</v>
      </c>
      <c r="G2186" s="13">
        <v>1.0</v>
      </c>
      <c r="H2186" s="13">
        <v>9.0</v>
      </c>
      <c r="I2186" s="13" t="s">
        <v>41</v>
      </c>
      <c r="J2186" s="13" t="s">
        <v>36</v>
      </c>
      <c r="K2186" s="13" t="s">
        <v>36</v>
      </c>
      <c r="L2186" s="13"/>
    </row>
    <row r="2187">
      <c r="A2187" s="13">
        <v>2185.0</v>
      </c>
      <c r="B2187" s="13">
        <v>146.0</v>
      </c>
      <c r="C2187" s="13">
        <v>31.0</v>
      </c>
      <c r="D2187" s="12"/>
      <c r="E2187" s="12" t="s">
        <v>3721</v>
      </c>
      <c r="F2187" s="13">
        <v>5.0</v>
      </c>
      <c r="G2187" s="13">
        <v>1.0</v>
      </c>
      <c r="H2187" s="13">
        <v>10.0</v>
      </c>
      <c r="I2187" s="13" t="s">
        <v>41</v>
      </c>
      <c r="J2187" s="13" t="s">
        <v>32</v>
      </c>
      <c r="K2187" s="13" t="s">
        <v>92</v>
      </c>
      <c r="L2187" s="13"/>
    </row>
    <row r="2188">
      <c r="A2188" s="13">
        <v>2186.0</v>
      </c>
      <c r="B2188" s="13">
        <v>872.0</v>
      </c>
      <c r="C2188" s="13">
        <v>32.0</v>
      </c>
      <c r="D2188" s="12" t="s">
        <v>1167</v>
      </c>
      <c r="E2188" s="12" t="s">
        <v>3722</v>
      </c>
      <c r="F2188" s="13">
        <v>5.0</v>
      </c>
      <c r="G2188" s="13">
        <v>1.0</v>
      </c>
      <c r="H2188" s="13">
        <v>0.0</v>
      </c>
      <c r="I2188" s="13" t="s">
        <v>35</v>
      </c>
      <c r="J2188" s="13" t="s">
        <v>46</v>
      </c>
      <c r="K2188" s="13" t="s">
        <v>52</v>
      </c>
      <c r="L2188" s="13"/>
    </row>
    <row r="2189">
      <c r="A2189" s="13">
        <v>2187.0</v>
      </c>
      <c r="B2189" s="13">
        <v>867.0</v>
      </c>
      <c r="C2189" s="13">
        <v>51.0</v>
      </c>
      <c r="D2189" s="12" t="s">
        <v>3723</v>
      </c>
      <c r="E2189" s="12" t="s">
        <v>3724</v>
      </c>
      <c r="F2189" s="13">
        <v>4.0</v>
      </c>
      <c r="G2189" s="13">
        <v>1.0</v>
      </c>
      <c r="H2189" s="13">
        <v>0.0</v>
      </c>
      <c r="I2189" s="13" t="s">
        <v>41</v>
      </c>
      <c r="J2189" s="13" t="s">
        <v>46</v>
      </c>
      <c r="K2189" s="13" t="s">
        <v>52</v>
      </c>
      <c r="L2189" s="13"/>
    </row>
    <row r="2190">
      <c r="A2190" s="13">
        <v>2188.0</v>
      </c>
      <c r="B2190" s="13">
        <v>984.0</v>
      </c>
      <c r="C2190" s="13">
        <v>40.0</v>
      </c>
      <c r="D2190" s="12" t="s">
        <v>564</v>
      </c>
      <c r="E2190" s="12" t="s">
        <v>3725</v>
      </c>
      <c r="F2190" s="13">
        <v>5.0</v>
      </c>
      <c r="G2190" s="13">
        <v>1.0</v>
      </c>
      <c r="H2190" s="13">
        <v>1.0</v>
      </c>
      <c r="I2190" s="13" t="s">
        <v>35</v>
      </c>
      <c r="J2190" s="13" t="s">
        <v>76</v>
      </c>
      <c r="K2190" s="13" t="s">
        <v>76</v>
      </c>
      <c r="L2190" s="13"/>
    </row>
    <row r="2191">
      <c r="A2191" s="13">
        <v>2189.0</v>
      </c>
      <c r="B2191" s="13">
        <v>872.0</v>
      </c>
      <c r="C2191" s="13">
        <v>35.0</v>
      </c>
      <c r="D2191" s="12" t="s">
        <v>3726</v>
      </c>
      <c r="E2191" s="12" t="s">
        <v>3727</v>
      </c>
      <c r="F2191" s="13">
        <v>4.0</v>
      </c>
      <c r="G2191" s="13">
        <v>1.0</v>
      </c>
      <c r="H2191" s="13">
        <v>0.0</v>
      </c>
      <c r="I2191" s="13" t="s">
        <v>35</v>
      </c>
      <c r="J2191" s="13" t="s">
        <v>46</v>
      </c>
      <c r="K2191" s="13" t="s">
        <v>52</v>
      </c>
      <c r="L2191" s="13"/>
    </row>
    <row r="2192">
      <c r="A2192" s="13">
        <v>2190.0</v>
      </c>
      <c r="B2192" s="13">
        <v>876.0</v>
      </c>
      <c r="C2192" s="13">
        <v>56.0</v>
      </c>
      <c r="D2192" s="12" t="s">
        <v>3728</v>
      </c>
      <c r="E2192" s="12" t="s">
        <v>3729</v>
      </c>
      <c r="F2192" s="13">
        <v>4.0</v>
      </c>
      <c r="G2192" s="13">
        <v>1.0</v>
      </c>
      <c r="H2192" s="13">
        <v>0.0</v>
      </c>
      <c r="I2192" s="13" t="s">
        <v>41</v>
      </c>
      <c r="J2192" s="13" t="s">
        <v>46</v>
      </c>
      <c r="K2192" s="13" t="s">
        <v>52</v>
      </c>
      <c r="L2192" s="13"/>
    </row>
    <row r="2193">
      <c r="A2193" s="13">
        <v>2191.0</v>
      </c>
      <c r="B2193" s="13">
        <v>872.0</v>
      </c>
      <c r="C2193" s="13">
        <v>37.0</v>
      </c>
      <c r="D2193" s="12" t="s">
        <v>1383</v>
      </c>
      <c r="E2193" s="12" t="s">
        <v>3730</v>
      </c>
      <c r="F2193" s="13">
        <v>5.0</v>
      </c>
      <c r="G2193" s="13">
        <v>1.0</v>
      </c>
      <c r="H2193" s="13">
        <v>0.0</v>
      </c>
      <c r="I2193" s="13" t="s">
        <v>35</v>
      </c>
      <c r="J2193" s="13" t="s">
        <v>46</v>
      </c>
      <c r="K2193" s="13" t="s">
        <v>52</v>
      </c>
      <c r="L2193" s="13"/>
    </row>
    <row r="2194">
      <c r="A2194" s="13">
        <v>2192.0</v>
      </c>
      <c r="B2194" s="13">
        <v>867.0</v>
      </c>
      <c r="C2194" s="13">
        <v>46.0</v>
      </c>
      <c r="D2194" s="12"/>
      <c r="E2194" s="12" t="s">
        <v>3731</v>
      </c>
      <c r="F2194" s="13">
        <v>5.0</v>
      </c>
      <c r="G2194" s="13">
        <v>1.0</v>
      </c>
      <c r="H2194" s="13">
        <v>0.0</v>
      </c>
      <c r="I2194" s="13" t="s">
        <v>41</v>
      </c>
      <c r="J2194" s="13" t="s">
        <v>46</v>
      </c>
      <c r="K2194" s="13" t="s">
        <v>52</v>
      </c>
      <c r="L2194" s="13"/>
    </row>
    <row r="2195">
      <c r="A2195" s="13">
        <v>2193.0</v>
      </c>
      <c r="B2195" s="13">
        <v>1052.0</v>
      </c>
      <c r="C2195" s="13">
        <v>67.0</v>
      </c>
      <c r="D2195" s="12"/>
      <c r="E2195" s="12" t="s">
        <v>3732</v>
      </c>
      <c r="F2195" s="13">
        <v>5.0</v>
      </c>
      <c r="G2195" s="13">
        <v>1.0</v>
      </c>
      <c r="H2195" s="13">
        <v>1.0</v>
      </c>
      <c r="I2195" s="13" t="s">
        <v>35</v>
      </c>
      <c r="J2195" s="13" t="s">
        <v>42</v>
      </c>
      <c r="K2195" s="13" t="s">
        <v>43</v>
      </c>
      <c r="L2195" s="13"/>
    </row>
    <row r="2196">
      <c r="A2196" s="13">
        <v>2194.0</v>
      </c>
      <c r="B2196" s="13">
        <v>940.0</v>
      </c>
      <c r="C2196" s="13">
        <v>38.0</v>
      </c>
      <c r="D2196" s="12" t="s">
        <v>3733</v>
      </c>
      <c r="E2196" s="12" t="s">
        <v>3734</v>
      </c>
      <c r="F2196" s="13">
        <v>4.0</v>
      </c>
      <c r="G2196" s="13">
        <v>1.0</v>
      </c>
      <c r="H2196" s="13">
        <v>9.0</v>
      </c>
      <c r="I2196" s="13" t="s">
        <v>35</v>
      </c>
      <c r="J2196" s="13" t="s">
        <v>46</v>
      </c>
      <c r="K2196" s="13" t="s">
        <v>95</v>
      </c>
      <c r="L2196" s="13"/>
    </row>
    <row r="2197">
      <c r="A2197" s="13">
        <v>2195.0</v>
      </c>
      <c r="B2197" s="13">
        <v>146.0</v>
      </c>
      <c r="C2197" s="13">
        <v>33.0</v>
      </c>
      <c r="D2197" s="12"/>
      <c r="E2197" s="12" t="s">
        <v>3735</v>
      </c>
      <c r="F2197" s="13">
        <v>5.0</v>
      </c>
      <c r="G2197" s="13">
        <v>1.0</v>
      </c>
      <c r="H2197" s="13">
        <v>0.0</v>
      </c>
      <c r="I2197" s="13" t="s">
        <v>41</v>
      </c>
      <c r="J2197" s="13" t="s">
        <v>32</v>
      </c>
      <c r="K2197" s="13" t="s">
        <v>92</v>
      </c>
      <c r="L2197" s="13"/>
    </row>
    <row r="2198">
      <c r="A2198" s="13">
        <v>2196.0</v>
      </c>
      <c r="B2198" s="13">
        <v>1086.0</v>
      </c>
      <c r="C2198" s="13">
        <v>46.0</v>
      </c>
      <c r="D2198" s="12" t="s">
        <v>3736</v>
      </c>
      <c r="E2198" s="12" t="s">
        <v>3737</v>
      </c>
      <c r="F2198" s="13">
        <v>5.0</v>
      </c>
      <c r="G2198" s="13">
        <v>1.0</v>
      </c>
      <c r="H2198" s="13">
        <v>4.0</v>
      </c>
      <c r="I2198" s="13" t="s">
        <v>41</v>
      </c>
      <c r="J2198" s="13" t="s">
        <v>36</v>
      </c>
      <c r="K2198" s="13" t="s">
        <v>36</v>
      </c>
      <c r="L2198" s="13"/>
    </row>
    <row r="2199">
      <c r="A2199" s="13">
        <v>2197.0</v>
      </c>
      <c r="B2199" s="13">
        <v>940.0</v>
      </c>
      <c r="C2199" s="13">
        <v>34.0</v>
      </c>
      <c r="D2199" s="12" t="s">
        <v>3738</v>
      </c>
      <c r="E2199" s="12" t="s">
        <v>3739</v>
      </c>
      <c r="F2199" s="13">
        <v>3.0</v>
      </c>
      <c r="G2199" s="13">
        <v>0.0</v>
      </c>
      <c r="H2199" s="13">
        <v>2.0</v>
      </c>
      <c r="I2199" s="13" t="s">
        <v>35</v>
      </c>
      <c r="J2199" s="13" t="s">
        <v>46</v>
      </c>
      <c r="K2199" s="13" t="s">
        <v>95</v>
      </c>
      <c r="L2199" s="13"/>
    </row>
    <row r="2200">
      <c r="A2200" s="13">
        <v>2198.0</v>
      </c>
      <c r="B2200" s="13">
        <v>872.0</v>
      </c>
      <c r="C2200" s="13">
        <v>63.0</v>
      </c>
      <c r="D2200" s="12" t="s">
        <v>3740</v>
      </c>
      <c r="E2200" s="12" t="s">
        <v>3741</v>
      </c>
      <c r="F2200" s="13">
        <v>1.0</v>
      </c>
      <c r="G2200" s="13">
        <v>0.0</v>
      </c>
      <c r="H2200" s="13">
        <v>0.0</v>
      </c>
      <c r="I2200" s="13" t="s">
        <v>35</v>
      </c>
      <c r="J2200" s="13" t="s">
        <v>46</v>
      </c>
      <c r="K2200" s="13" t="s">
        <v>52</v>
      </c>
      <c r="L2200" s="13"/>
    </row>
    <row r="2201">
      <c r="A2201" s="13">
        <v>2199.0</v>
      </c>
      <c r="B2201" s="13">
        <v>872.0</v>
      </c>
      <c r="C2201" s="13">
        <v>34.0</v>
      </c>
      <c r="D2201" s="12" t="s">
        <v>3742</v>
      </c>
      <c r="E2201" s="12" t="s">
        <v>3743</v>
      </c>
      <c r="F2201" s="13">
        <v>5.0</v>
      </c>
      <c r="G2201" s="13">
        <v>1.0</v>
      </c>
      <c r="H2201" s="13">
        <v>0.0</v>
      </c>
      <c r="I2201" s="13" t="s">
        <v>35</v>
      </c>
      <c r="J2201" s="13" t="s">
        <v>46</v>
      </c>
      <c r="K2201" s="13" t="s">
        <v>52</v>
      </c>
      <c r="L2201" s="13"/>
    </row>
    <row r="2202">
      <c r="A2202" s="13">
        <v>2200.0</v>
      </c>
      <c r="B2202" s="13">
        <v>940.0</v>
      </c>
      <c r="C2202" s="13">
        <v>50.0</v>
      </c>
      <c r="D2202" s="12" t="s">
        <v>3744</v>
      </c>
      <c r="E2202" s="12" t="s">
        <v>3745</v>
      </c>
      <c r="F2202" s="13">
        <v>4.0</v>
      </c>
      <c r="G2202" s="13">
        <v>1.0</v>
      </c>
      <c r="H2202" s="13">
        <v>2.0</v>
      </c>
      <c r="I2202" s="13" t="s">
        <v>35</v>
      </c>
      <c r="J2202" s="13" t="s">
        <v>46</v>
      </c>
      <c r="K2202" s="13" t="s">
        <v>95</v>
      </c>
      <c r="L2202" s="13"/>
    </row>
    <row r="2203">
      <c r="A2203" s="13">
        <v>2201.0</v>
      </c>
      <c r="B2203" s="13">
        <v>872.0</v>
      </c>
      <c r="C2203" s="13">
        <v>36.0</v>
      </c>
      <c r="D2203" s="12" t="s">
        <v>162</v>
      </c>
      <c r="E2203" s="12" t="s">
        <v>3746</v>
      </c>
      <c r="F2203" s="13">
        <v>5.0</v>
      </c>
      <c r="G2203" s="13">
        <v>1.0</v>
      </c>
      <c r="H2203" s="13">
        <v>1.0</v>
      </c>
      <c r="I2203" s="13" t="s">
        <v>35</v>
      </c>
      <c r="J2203" s="13" t="s">
        <v>46</v>
      </c>
      <c r="K2203" s="13" t="s">
        <v>52</v>
      </c>
      <c r="L2203" s="13"/>
    </row>
    <row r="2204">
      <c r="A2204" s="13">
        <v>2202.0</v>
      </c>
      <c r="B2204" s="13">
        <v>870.0</v>
      </c>
      <c r="C2204" s="13">
        <v>39.0</v>
      </c>
      <c r="D2204" s="12" t="s">
        <v>898</v>
      </c>
      <c r="E2204" s="12" t="s">
        <v>3747</v>
      </c>
      <c r="F2204" s="13">
        <v>4.0</v>
      </c>
      <c r="G2204" s="13">
        <v>1.0</v>
      </c>
      <c r="H2204" s="13">
        <v>0.0</v>
      </c>
      <c r="I2204" s="13" t="s">
        <v>35</v>
      </c>
      <c r="J2204" s="13" t="s">
        <v>46</v>
      </c>
      <c r="K2204" s="13" t="s">
        <v>52</v>
      </c>
      <c r="L2204" s="13"/>
    </row>
    <row r="2205">
      <c r="A2205" s="13">
        <v>2203.0</v>
      </c>
      <c r="B2205" s="13">
        <v>1086.0</v>
      </c>
      <c r="C2205" s="13">
        <v>44.0</v>
      </c>
      <c r="D2205" s="12" t="s">
        <v>205</v>
      </c>
      <c r="E2205" s="12" t="s">
        <v>3748</v>
      </c>
      <c r="F2205" s="13">
        <v>1.0</v>
      </c>
      <c r="G2205" s="13">
        <v>0.0</v>
      </c>
      <c r="H2205" s="13">
        <v>1.0</v>
      </c>
      <c r="I2205" s="13" t="s">
        <v>41</v>
      </c>
      <c r="J2205" s="13" t="s">
        <v>36</v>
      </c>
      <c r="K2205" s="13" t="s">
        <v>36</v>
      </c>
      <c r="L2205" s="13"/>
    </row>
    <row r="2206">
      <c r="A2206" s="13">
        <v>2204.0</v>
      </c>
      <c r="B2206" s="13">
        <v>940.0</v>
      </c>
      <c r="C2206" s="13">
        <v>48.0</v>
      </c>
      <c r="D2206" s="12"/>
      <c r="E2206" s="12" t="s">
        <v>3749</v>
      </c>
      <c r="F2206" s="13">
        <v>5.0</v>
      </c>
      <c r="G2206" s="13">
        <v>1.0</v>
      </c>
      <c r="H2206" s="13">
        <v>2.0</v>
      </c>
      <c r="I2206" s="13" t="s">
        <v>35</v>
      </c>
      <c r="J2206" s="13" t="s">
        <v>46</v>
      </c>
      <c r="K2206" s="13" t="s">
        <v>95</v>
      </c>
      <c r="L2206" s="13"/>
    </row>
    <row r="2207">
      <c r="A2207" s="13">
        <v>2205.0</v>
      </c>
      <c r="B2207" s="13">
        <v>1086.0</v>
      </c>
      <c r="C2207" s="13">
        <v>44.0</v>
      </c>
      <c r="D2207" s="12" t="s">
        <v>3750</v>
      </c>
      <c r="E2207" s="12" t="s">
        <v>3751</v>
      </c>
      <c r="F2207" s="13">
        <v>2.0</v>
      </c>
      <c r="G2207" s="13">
        <v>1.0</v>
      </c>
      <c r="H2207" s="13">
        <v>1.0</v>
      </c>
      <c r="I2207" s="13" t="s">
        <v>41</v>
      </c>
      <c r="J2207" s="13" t="s">
        <v>36</v>
      </c>
      <c r="K2207" s="13" t="s">
        <v>36</v>
      </c>
      <c r="L2207" s="13"/>
    </row>
    <row r="2208">
      <c r="A2208" s="13">
        <v>2206.0</v>
      </c>
      <c r="B2208" s="13">
        <v>1102.0</v>
      </c>
      <c r="C2208" s="13">
        <v>57.0</v>
      </c>
      <c r="D2208" s="12"/>
      <c r="E2208" s="12" t="s">
        <v>3752</v>
      </c>
      <c r="F2208" s="13">
        <v>3.0</v>
      </c>
      <c r="G2208" s="13">
        <v>1.0</v>
      </c>
      <c r="H2208" s="13">
        <v>11.0</v>
      </c>
      <c r="I2208" s="13" t="s">
        <v>41</v>
      </c>
      <c r="J2208" s="13" t="s">
        <v>36</v>
      </c>
      <c r="K2208" s="13" t="s">
        <v>36</v>
      </c>
      <c r="L2208" s="13"/>
    </row>
  </sheetData>
  <conditionalFormatting sqref="A1:K2208">
    <cfRule type="containsBlanks" dxfId="0" priority="1">
      <formula>LEN(TRIM(A1))=0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6.88"/>
  </cols>
  <sheetData>
    <row r="1">
      <c r="A1" s="14" t="str">
        <f>IFERROR(__xludf.DUMMYFUNCTION("query(Main_data!A1:K2208,""SELECT A, B, C, D, E, F, G, H, I, J, K ""&amp;Filters!$B$16,1)"),"Operation_id")</f>
        <v>Operation_id</v>
      </c>
      <c r="B1" s="11" t="str">
        <f>IFERROR(__xludf.DUMMYFUNCTION("""COMPUTED_VALUE"""),"Clothing_ID")</f>
        <v>Clothing_ID</v>
      </c>
      <c r="C1" s="10" t="str">
        <f>IFERROR(__xludf.DUMMYFUNCTION("""COMPUTED_VALUE"""),"Age")</f>
        <v>Age</v>
      </c>
      <c r="D1" s="10" t="str">
        <f>IFERROR(__xludf.DUMMYFUNCTION("""COMPUTED_VALUE"""),"Title")</f>
        <v>Title</v>
      </c>
      <c r="E1" s="11" t="str">
        <f>IFERROR(__xludf.DUMMYFUNCTION("""COMPUTED_VALUE"""),"Review_Text")</f>
        <v>Review_Text</v>
      </c>
      <c r="F1" s="10" t="str">
        <f>IFERROR(__xludf.DUMMYFUNCTION("""COMPUTED_VALUE"""),"Rating")</f>
        <v>Rating</v>
      </c>
      <c r="G1" s="11" t="str">
        <f>IFERROR(__xludf.DUMMYFUNCTION("""COMPUTED_VALUE"""),"Recommended_IND")</f>
        <v>Recommended_IND</v>
      </c>
      <c r="H1" s="11" t="str">
        <f>IFERROR(__xludf.DUMMYFUNCTION("""COMPUTED_VALUE"""),"Positive_Feedback_Count")</f>
        <v>Positive_Feedback_Count</v>
      </c>
      <c r="I1" s="11" t="str">
        <f>IFERROR(__xludf.DUMMYFUNCTION("""COMPUTED_VALUE"""),"Division_Name")</f>
        <v>Division_Name</v>
      </c>
      <c r="J1" s="11" t="str">
        <f>IFERROR(__xludf.DUMMYFUNCTION("""COMPUTED_VALUE"""),"Department_Name")</f>
        <v>Department_Name</v>
      </c>
      <c r="K1" s="11" t="str">
        <f>IFERROR(__xludf.DUMMYFUNCTION("""COMPUTED_VALUE"""),"Class_Name")</f>
        <v>Class_Name</v>
      </c>
      <c r="L1" s="12"/>
    </row>
    <row r="2">
      <c r="A2" s="13">
        <f>IFERROR(__xludf.DUMMYFUNCTION("""COMPUTED_VALUE"""),0.0)</f>
        <v>0</v>
      </c>
      <c r="B2" s="13">
        <f>IFERROR(__xludf.DUMMYFUNCTION("""COMPUTED_VALUE"""),767.0)</f>
        <v>767</v>
      </c>
      <c r="C2" s="13">
        <f>IFERROR(__xludf.DUMMYFUNCTION("""COMPUTED_VALUE"""),33.0)</f>
        <v>33</v>
      </c>
      <c r="D2" s="12"/>
      <c r="E2" s="12" t="str">
        <f>IFERROR(__xludf.DUMMYFUNCTION("""COMPUTED_VALUE"""),"Absolutely wonderful - silky and sexy and comfortable")</f>
        <v>Absolutely wonderful - silky and sexy and comfortable</v>
      </c>
      <c r="F2" s="13">
        <f>IFERROR(__xludf.DUMMYFUNCTION("""COMPUTED_VALUE"""),4.0)</f>
        <v>4</v>
      </c>
      <c r="G2" s="13">
        <f>IFERROR(__xludf.DUMMYFUNCTION("""COMPUTED_VALUE"""),1.0)</f>
        <v>1</v>
      </c>
      <c r="H2" s="13">
        <f>IFERROR(__xludf.DUMMYFUNCTION("""COMPUTED_VALUE"""),0.0)</f>
        <v>0</v>
      </c>
      <c r="I2" s="13" t="str">
        <f>IFERROR(__xludf.DUMMYFUNCTION("""COMPUTED_VALUE"""),"Initmates")</f>
        <v>Initmates</v>
      </c>
      <c r="J2" s="13" t="str">
        <f>IFERROR(__xludf.DUMMYFUNCTION("""COMPUTED_VALUE"""),"Intimate")</f>
        <v>Intimate</v>
      </c>
      <c r="K2" s="13" t="str">
        <f>IFERROR(__xludf.DUMMYFUNCTION("""COMPUTED_VALUE"""),"Intimates")</f>
        <v>Intimates</v>
      </c>
      <c r="L2" s="13"/>
    </row>
    <row r="3">
      <c r="A3" s="13">
        <f>IFERROR(__xludf.DUMMYFUNCTION("""COMPUTED_VALUE"""),1.0)</f>
        <v>1</v>
      </c>
      <c r="B3" s="13">
        <f>IFERROR(__xludf.DUMMYFUNCTION("""COMPUTED_VALUE"""),1080.0)</f>
        <v>1080</v>
      </c>
      <c r="C3" s="13">
        <f>IFERROR(__xludf.DUMMYFUNCTION("""COMPUTED_VALUE"""),34.0)</f>
        <v>34</v>
      </c>
      <c r="D3" s="12"/>
      <c r="E3" s="12" t="str">
        <f>IFERROR(__xludf.DUMMYFUNCTION("""COMPUTED_VALUE"""),"Love this dress!  it's sooo pretty.  i happened to find it in a store, and i'm glad i did bc i never would have ordered it online bc it's petite.  i bought a petite and am 5'8"".  i love the length on me- hits just a little below the knee.  would definite"&amp;"ly be a true midi on someone who is truly petite.")</f>
        <v>Love this dress!  it's sooo pretty.  i happened to find it in a store, and i'm glad i did bc i never would have ordered it online bc it's petite.  i bought a petite and am 5'8".  i love the length on me- hits just a little below the knee.  would definitely be a true midi on someone who is truly petite.</v>
      </c>
      <c r="F3" s="13">
        <f>IFERROR(__xludf.DUMMYFUNCTION("""COMPUTED_VALUE"""),5.0)</f>
        <v>5</v>
      </c>
      <c r="G3" s="13">
        <f>IFERROR(__xludf.DUMMYFUNCTION("""COMPUTED_VALUE"""),1.0)</f>
        <v>1</v>
      </c>
      <c r="H3" s="13">
        <f>IFERROR(__xludf.DUMMYFUNCTION("""COMPUTED_VALUE"""),4.0)</f>
        <v>4</v>
      </c>
      <c r="I3" s="13" t="str">
        <f>IFERROR(__xludf.DUMMYFUNCTION("""COMPUTED_VALUE"""),"General")</f>
        <v>General</v>
      </c>
      <c r="J3" s="13" t="str">
        <f>IFERROR(__xludf.DUMMYFUNCTION("""COMPUTED_VALUE"""),"Dresses")</f>
        <v>Dresses</v>
      </c>
      <c r="K3" s="13" t="str">
        <f>IFERROR(__xludf.DUMMYFUNCTION("""COMPUTED_VALUE"""),"Dresses")</f>
        <v>Dresses</v>
      </c>
      <c r="L3" s="13"/>
    </row>
    <row r="4">
      <c r="A4" s="13">
        <f>IFERROR(__xludf.DUMMYFUNCTION("""COMPUTED_VALUE"""),2.0)</f>
        <v>2</v>
      </c>
      <c r="B4" s="13">
        <f>IFERROR(__xludf.DUMMYFUNCTION("""COMPUTED_VALUE"""),1077.0)</f>
        <v>1077</v>
      </c>
      <c r="C4" s="13">
        <f>IFERROR(__xludf.DUMMYFUNCTION("""COMPUTED_VALUE"""),60.0)</f>
        <v>60</v>
      </c>
      <c r="D4" s="12" t="str">
        <f>IFERROR(__xludf.DUMMYFUNCTION("""COMPUTED_VALUE"""),"Some major design flaws")</f>
        <v>Some major design flaws</v>
      </c>
      <c r="E4" s="12" t="str">
        <f>IFERROR(__xludf.DUMMYFUNCTION("""COMPUTED_VALUE"""),"I had such high hopes for this dress and really wanted it to work for me. i initially ordered the petite small (my usual size) but i found this to be outrageously small. so small in fact that i could not zip it up! i reordered it in petite medium, which w"&amp;"as just ok. overall, the top half was comfortable and fit nicely, but the bottom half had a very tight under layer and several somewhat cheap (net) over layers. imo, a major design flaw was the net over layer sewn directly into the zipper - it c")</f>
        <v>I had such high hopes for this dress and really wanted it to work for me. i initially ordered the petite small (my usual size) but i found this to be outrageously small. so small in fact that i could not zip it up! i reordered it in petite medium, which was just ok. overall, the top half was comfortable and fit nicely, but the bottom half had a very tight under layer and several somewhat cheap (net) over layers. imo, a major design flaw was the net over layer sewn directly into the zipper - it c</v>
      </c>
      <c r="F4" s="13">
        <f>IFERROR(__xludf.DUMMYFUNCTION("""COMPUTED_VALUE"""),3.0)</f>
        <v>3</v>
      </c>
      <c r="G4" s="13">
        <f>IFERROR(__xludf.DUMMYFUNCTION("""COMPUTED_VALUE"""),0.0)</f>
        <v>0</v>
      </c>
      <c r="H4" s="13">
        <f>IFERROR(__xludf.DUMMYFUNCTION("""COMPUTED_VALUE"""),0.0)</f>
        <v>0</v>
      </c>
      <c r="I4" s="13" t="str">
        <f>IFERROR(__xludf.DUMMYFUNCTION("""COMPUTED_VALUE"""),"General")</f>
        <v>General</v>
      </c>
      <c r="J4" s="13" t="str">
        <f>IFERROR(__xludf.DUMMYFUNCTION("""COMPUTED_VALUE"""),"Dresses")</f>
        <v>Dresses</v>
      </c>
      <c r="K4" s="13" t="str">
        <f>IFERROR(__xludf.DUMMYFUNCTION("""COMPUTED_VALUE"""),"Dresses")</f>
        <v>Dresses</v>
      </c>
      <c r="L4" s="13"/>
    </row>
    <row r="5">
      <c r="A5" s="13">
        <f>IFERROR(__xludf.DUMMYFUNCTION("""COMPUTED_VALUE"""),3.0)</f>
        <v>3</v>
      </c>
      <c r="B5" s="13">
        <f>IFERROR(__xludf.DUMMYFUNCTION("""COMPUTED_VALUE"""),1049.0)</f>
        <v>1049</v>
      </c>
      <c r="C5" s="13">
        <f>IFERROR(__xludf.DUMMYFUNCTION("""COMPUTED_VALUE"""),50.0)</f>
        <v>50</v>
      </c>
      <c r="D5" s="12" t="str">
        <f>IFERROR(__xludf.DUMMYFUNCTION("""COMPUTED_VALUE"""),"My favorite buy!")</f>
        <v>My favorite buy!</v>
      </c>
      <c r="E5" s="12" t="str">
        <f>IFERROR(__xludf.DUMMYFUNCTION("""COMPUTED_VALUE"""),"I love, love, love this jumpsuit. it's fun, flirty, and fabulous! every time i wear it, i get nothing but great compliments!")</f>
        <v>I love, love, love this jumpsuit. it's fun, flirty, and fabulous! every time i wear it, i get nothing but great compliments!</v>
      </c>
      <c r="F5" s="13">
        <f>IFERROR(__xludf.DUMMYFUNCTION("""COMPUTED_VALUE"""),5.0)</f>
        <v>5</v>
      </c>
      <c r="G5" s="13">
        <f>IFERROR(__xludf.DUMMYFUNCTION("""COMPUTED_VALUE"""),1.0)</f>
        <v>1</v>
      </c>
      <c r="H5" s="13">
        <f>IFERROR(__xludf.DUMMYFUNCTION("""COMPUTED_VALUE"""),0.0)</f>
        <v>0</v>
      </c>
      <c r="I5" s="13" t="str">
        <f>IFERROR(__xludf.DUMMYFUNCTION("""COMPUTED_VALUE"""),"General Petite")</f>
        <v>General Petite</v>
      </c>
      <c r="J5" s="13" t="str">
        <f>IFERROR(__xludf.DUMMYFUNCTION("""COMPUTED_VALUE"""),"Bottoms")</f>
        <v>Bottoms</v>
      </c>
      <c r="K5" s="13" t="str">
        <f>IFERROR(__xludf.DUMMYFUNCTION("""COMPUTED_VALUE"""),"Pants")</f>
        <v>Pants</v>
      </c>
      <c r="L5" s="13"/>
    </row>
    <row r="6">
      <c r="A6" s="13">
        <f>IFERROR(__xludf.DUMMYFUNCTION("""COMPUTED_VALUE"""),4.0)</f>
        <v>4</v>
      </c>
      <c r="B6" s="13">
        <f>IFERROR(__xludf.DUMMYFUNCTION("""COMPUTED_VALUE"""),847.0)</f>
        <v>847</v>
      </c>
      <c r="C6" s="13">
        <f>IFERROR(__xludf.DUMMYFUNCTION("""COMPUTED_VALUE"""),47.0)</f>
        <v>47</v>
      </c>
      <c r="D6" s="12" t="str">
        <f>IFERROR(__xludf.DUMMYFUNCTION("""COMPUTED_VALUE"""),"Flattering shirt")</f>
        <v>Flattering shirt</v>
      </c>
      <c r="E6" s="12" t="str">
        <f>IFERROR(__xludf.DUMMYFUNCTION("""COMPUTED_VALUE"""),"This shirt is very flattering to all due to the adjustable front tie. it is the perfect length to wear with leggings and it is sleeveless so it pairs well with any cardigan. love this shirt!!!")</f>
        <v>This shirt is very flattering to all due to the adjustable front tie. it is the perfect length to wear with leggings and it is sleeveless so it pairs well with any cardigan. love this shirt!!!</v>
      </c>
      <c r="F6" s="13">
        <f>IFERROR(__xludf.DUMMYFUNCTION("""COMPUTED_VALUE"""),5.0)</f>
        <v>5</v>
      </c>
      <c r="G6" s="13">
        <f>IFERROR(__xludf.DUMMYFUNCTION("""COMPUTED_VALUE"""),1.0)</f>
        <v>1</v>
      </c>
      <c r="H6" s="13">
        <f>IFERROR(__xludf.DUMMYFUNCTION("""COMPUTED_VALUE"""),6.0)</f>
        <v>6</v>
      </c>
      <c r="I6" s="13" t="str">
        <f>IFERROR(__xludf.DUMMYFUNCTION("""COMPUTED_VALUE"""),"General")</f>
        <v>General</v>
      </c>
      <c r="J6" s="13" t="str">
        <f>IFERROR(__xludf.DUMMYFUNCTION("""COMPUTED_VALUE"""),"Tops")</f>
        <v>Tops</v>
      </c>
      <c r="K6" s="13" t="str">
        <f>IFERROR(__xludf.DUMMYFUNCTION("""COMPUTED_VALUE"""),"Blouses")</f>
        <v>Blouses</v>
      </c>
      <c r="L6" s="13"/>
    </row>
    <row r="7">
      <c r="A7" s="13">
        <f>IFERROR(__xludf.DUMMYFUNCTION("""COMPUTED_VALUE"""),5.0)</f>
        <v>5</v>
      </c>
      <c r="B7" s="13">
        <f>IFERROR(__xludf.DUMMYFUNCTION("""COMPUTED_VALUE"""),1080.0)</f>
        <v>1080</v>
      </c>
      <c r="C7" s="13">
        <f>IFERROR(__xludf.DUMMYFUNCTION("""COMPUTED_VALUE"""),49.0)</f>
        <v>49</v>
      </c>
      <c r="D7" s="12" t="str">
        <f>IFERROR(__xludf.DUMMYFUNCTION("""COMPUTED_VALUE"""),"Not for the very petite")</f>
        <v>Not for the very petite</v>
      </c>
      <c r="E7" s="12" t="str">
        <f>IFERROR(__xludf.DUMMYFUNCTION("""COMPUTED_VALUE"""),"I love tracy reese dresses, but this one is not for the very petite. i am just under 5 feet tall and usually wear a 0p in this brand. this dress was very pretty out of the package but its a lot of dress. the skirt is long and very full so it overwhelmed m"&amp;"y small frame. not a stranger to alterations, shortening and narrowing the skirt would take away from the embellishment of the garment. i love the color and the idea of the style but it just did not work on me. i returned this dress.")</f>
        <v>I love tracy reese dresses, but this one is not for the very petite. i am just under 5 feet tall and usually wear a 0p in this brand. this dress was very pretty out of the package but its a lot of dress. the skirt is long and very full so it overwhelmed my small frame. not a stranger to alterations, shortening and narrowing the skirt would take away from the embellishment of the garment. i love the color and the idea of the style but it just did not work on me. i returned this dress.</v>
      </c>
      <c r="F7" s="13">
        <f>IFERROR(__xludf.DUMMYFUNCTION("""COMPUTED_VALUE"""),2.0)</f>
        <v>2</v>
      </c>
      <c r="G7" s="13">
        <f>IFERROR(__xludf.DUMMYFUNCTION("""COMPUTED_VALUE"""),0.0)</f>
        <v>0</v>
      </c>
      <c r="H7" s="13">
        <f>IFERROR(__xludf.DUMMYFUNCTION("""COMPUTED_VALUE"""),4.0)</f>
        <v>4</v>
      </c>
      <c r="I7" s="13" t="str">
        <f>IFERROR(__xludf.DUMMYFUNCTION("""COMPUTED_VALUE"""),"General")</f>
        <v>General</v>
      </c>
      <c r="J7" s="13" t="str">
        <f>IFERROR(__xludf.DUMMYFUNCTION("""COMPUTED_VALUE"""),"Dresses")</f>
        <v>Dresses</v>
      </c>
      <c r="K7" s="13" t="str">
        <f>IFERROR(__xludf.DUMMYFUNCTION("""COMPUTED_VALUE"""),"Dresses")</f>
        <v>Dresses</v>
      </c>
      <c r="L7" s="13"/>
    </row>
    <row r="8">
      <c r="A8" s="13">
        <f>IFERROR(__xludf.DUMMYFUNCTION("""COMPUTED_VALUE"""),6.0)</f>
        <v>6</v>
      </c>
      <c r="B8" s="13">
        <f>IFERROR(__xludf.DUMMYFUNCTION("""COMPUTED_VALUE"""),858.0)</f>
        <v>858</v>
      </c>
      <c r="C8" s="13">
        <f>IFERROR(__xludf.DUMMYFUNCTION("""COMPUTED_VALUE"""),39.0)</f>
        <v>39</v>
      </c>
      <c r="D8" s="12" t="str">
        <f>IFERROR(__xludf.DUMMYFUNCTION("""COMPUTED_VALUE"""),"Cagrcoal shimmer fun")</f>
        <v>Cagrcoal shimmer fun</v>
      </c>
      <c r="E8" s="12" t="str">
        <f>IFERROR(__xludf.DUMMYFUNCTION("""COMPUTED_VALUE"""),"I aded this in my basket at hte last mintue to see what it would look like in person. (store pick up). i went with teh darkler color only because i am so pale :-) hte color is really gorgeous, and turns out it mathced everythiing i was trying on with it p"&amp;"refectly. it is a little baggy on me and hte xs is hte msallet size (bummer, no petite). i decided to jkeep it though, because as i said, it matvehd everything. my ejans, pants, and the 3 skirts i waas trying on (of which i ]kept all ) oops.")</f>
        <v>I aded this in my basket at hte last mintue to see what it would look like in person. (store pick up). i went with teh darkler color only because i am so pale :-) hte color is really gorgeous, and turns out it mathced everythiing i was trying on with it prefectly. it is a little baggy on me and hte xs is hte msallet size (bummer, no petite). i decided to jkeep it though, because as i said, it matvehd everything. my ejans, pants, and the 3 skirts i waas trying on (of which i ]kept all ) oops.</v>
      </c>
      <c r="F8" s="13">
        <f>IFERROR(__xludf.DUMMYFUNCTION("""COMPUTED_VALUE"""),5.0)</f>
        <v>5</v>
      </c>
      <c r="G8" s="13">
        <f>IFERROR(__xludf.DUMMYFUNCTION("""COMPUTED_VALUE"""),1.0)</f>
        <v>1</v>
      </c>
      <c r="H8" s="13">
        <f>IFERROR(__xludf.DUMMYFUNCTION("""COMPUTED_VALUE"""),1.0)</f>
        <v>1</v>
      </c>
      <c r="I8" s="13" t="str">
        <f>IFERROR(__xludf.DUMMYFUNCTION("""COMPUTED_VALUE"""),"General Petite")</f>
        <v>General Petite</v>
      </c>
      <c r="J8" s="13" t="str">
        <f>IFERROR(__xludf.DUMMYFUNCTION("""COMPUTED_VALUE"""),"Tops")</f>
        <v>Tops</v>
      </c>
      <c r="K8" s="13" t="str">
        <f>IFERROR(__xludf.DUMMYFUNCTION("""COMPUTED_VALUE"""),"Knits")</f>
        <v>Knits</v>
      </c>
      <c r="L8" s="13"/>
    </row>
    <row r="9">
      <c r="A9" s="13">
        <f>IFERROR(__xludf.DUMMYFUNCTION("""COMPUTED_VALUE"""),7.0)</f>
        <v>7</v>
      </c>
      <c r="B9" s="13">
        <f>IFERROR(__xludf.DUMMYFUNCTION("""COMPUTED_VALUE"""),858.0)</f>
        <v>858</v>
      </c>
      <c r="C9" s="13">
        <f>IFERROR(__xludf.DUMMYFUNCTION("""COMPUTED_VALUE"""),39.0)</f>
        <v>39</v>
      </c>
      <c r="D9" s="12" t="str">
        <f>IFERROR(__xludf.DUMMYFUNCTION("""COMPUTED_VALUE"""),"Shimmer, surprisingly goes with lots")</f>
        <v>Shimmer, surprisingly goes with lots</v>
      </c>
      <c r="E9" s="12" t="str">
        <f>IFERROR(__xludf.DUMMYFUNCTION("""COMPUTED_VALUE"""),"I ordered this in carbon for store pick up, and had a ton of stuff (as always) to try on and used this top to pair (skirts and pants). everything went with it. the color is really nice charcoal with shimmer, and went well with pencil skirts, flare pants, "&amp;"etc. my only compaint is it is a bit big, sleeves are long and it doesn't go in petite. also a bit loose for me, but no xxs... so i kept it and wil ldecide later since the light color is already sold out in hte smallest size...")</f>
        <v>I ordered this in carbon for store pick up, and had a ton of stuff (as always) to try on and used this top to pair (skirts and pants). everything went with it. the color is really nice charcoal with shimmer, and went well with pencil skirts, flare pants, etc. my only compaint is it is a bit big, sleeves are long and it doesn't go in petite. also a bit loose for me, but no xxs... so i kept it and wil ldecide later since the light color is already sold out in hte smallest size...</v>
      </c>
      <c r="F9" s="13">
        <f>IFERROR(__xludf.DUMMYFUNCTION("""COMPUTED_VALUE"""),4.0)</f>
        <v>4</v>
      </c>
      <c r="G9" s="13">
        <f>IFERROR(__xludf.DUMMYFUNCTION("""COMPUTED_VALUE"""),1.0)</f>
        <v>1</v>
      </c>
      <c r="H9" s="13">
        <f>IFERROR(__xludf.DUMMYFUNCTION("""COMPUTED_VALUE"""),4.0)</f>
        <v>4</v>
      </c>
      <c r="I9" s="13" t="str">
        <f>IFERROR(__xludf.DUMMYFUNCTION("""COMPUTED_VALUE"""),"General Petite")</f>
        <v>General Petite</v>
      </c>
      <c r="J9" s="13" t="str">
        <f>IFERROR(__xludf.DUMMYFUNCTION("""COMPUTED_VALUE"""),"Tops")</f>
        <v>Tops</v>
      </c>
      <c r="K9" s="13" t="str">
        <f>IFERROR(__xludf.DUMMYFUNCTION("""COMPUTED_VALUE"""),"Knits")</f>
        <v>Knits</v>
      </c>
      <c r="L9" s="13"/>
    </row>
    <row r="10">
      <c r="A10" s="13">
        <f>IFERROR(__xludf.DUMMYFUNCTION("""COMPUTED_VALUE"""),8.0)</f>
        <v>8</v>
      </c>
      <c r="B10" s="13">
        <f>IFERROR(__xludf.DUMMYFUNCTION("""COMPUTED_VALUE"""),1077.0)</f>
        <v>1077</v>
      </c>
      <c r="C10" s="13">
        <f>IFERROR(__xludf.DUMMYFUNCTION("""COMPUTED_VALUE"""),24.0)</f>
        <v>24</v>
      </c>
      <c r="D10" s="12" t="str">
        <f>IFERROR(__xludf.DUMMYFUNCTION("""COMPUTED_VALUE"""),"Flattering")</f>
        <v>Flattering</v>
      </c>
      <c r="E10" s="12" t="str">
        <f>IFERROR(__xludf.DUMMYFUNCTION("""COMPUTED_VALUE"""),"I love this dress. i usually get an xs but it runs a little snug in bust so i ordered up a size. very flattering and feminine with the usual retailer flair for style.")</f>
        <v>I love this dress. i usually get an xs but it runs a little snug in bust so i ordered up a size. very flattering and feminine with the usual retailer flair for style.</v>
      </c>
      <c r="F10" s="13">
        <f>IFERROR(__xludf.DUMMYFUNCTION("""COMPUTED_VALUE"""),5.0)</f>
        <v>5</v>
      </c>
      <c r="G10" s="13">
        <f>IFERROR(__xludf.DUMMYFUNCTION("""COMPUTED_VALUE"""),1.0)</f>
        <v>1</v>
      </c>
      <c r="H10" s="13">
        <f>IFERROR(__xludf.DUMMYFUNCTION("""COMPUTED_VALUE"""),0.0)</f>
        <v>0</v>
      </c>
      <c r="I10" s="13" t="str">
        <f>IFERROR(__xludf.DUMMYFUNCTION("""COMPUTED_VALUE"""),"General")</f>
        <v>General</v>
      </c>
      <c r="J10" s="13" t="str">
        <f>IFERROR(__xludf.DUMMYFUNCTION("""COMPUTED_VALUE"""),"Dresses")</f>
        <v>Dresses</v>
      </c>
      <c r="K10" s="13" t="str">
        <f>IFERROR(__xludf.DUMMYFUNCTION("""COMPUTED_VALUE"""),"Dresses")</f>
        <v>Dresses</v>
      </c>
      <c r="L10" s="13"/>
    </row>
    <row r="11">
      <c r="A11" s="13">
        <f>IFERROR(__xludf.DUMMYFUNCTION("""COMPUTED_VALUE"""),9.0)</f>
        <v>9</v>
      </c>
      <c r="B11" s="13">
        <f>IFERROR(__xludf.DUMMYFUNCTION("""COMPUTED_VALUE"""),1077.0)</f>
        <v>1077</v>
      </c>
      <c r="C11" s="13">
        <f>IFERROR(__xludf.DUMMYFUNCTION("""COMPUTED_VALUE"""),34.0)</f>
        <v>34</v>
      </c>
      <c r="D11" s="12" t="str">
        <f>IFERROR(__xludf.DUMMYFUNCTION("""COMPUTED_VALUE"""),"Such a fun dress!")</f>
        <v>Such a fun dress!</v>
      </c>
      <c r="E11" s="12" t="str">
        <f>IFERROR(__xludf.DUMMYFUNCTION("""COMPUTED_VALUE"""),"I'm 5""5' and 125 lbs. i ordered the s petite to make sure the length wasn't too long. i typically wear an xs regular in retailer dresses. if you're less busty (34b cup or smaller), a s petite will fit you perfectly (snug, but not tight). i love that i co"&amp;"uld dress it up for a party, or down for work. i love that the tulle is longer then the fabric underneath.")</f>
        <v>I'm 5"5' and 125 lbs. i ordered the s petite to make sure the length wasn't too long. i typically wear an xs regular in retailer dresses. if you're less busty (34b cup or smaller), a s petite will fit you perfectly (snug, but not tight). i love that i could dress it up for a party, or down for work. i love that the tulle is longer then the fabric underneath.</v>
      </c>
      <c r="F11" s="13">
        <f>IFERROR(__xludf.DUMMYFUNCTION("""COMPUTED_VALUE"""),5.0)</f>
        <v>5</v>
      </c>
      <c r="G11" s="13">
        <f>IFERROR(__xludf.DUMMYFUNCTION("""COMPUTED_VALUE"""),1.0)</f>
        <v>1</v>
      </c>
      <c r="H11" s="13">
        <f>IFERROR(__xludf.DUMMYFUNCTION("""COMPUTED_VALUE"""),0.0)</f>
        <v>0</v>
      </c>
      <c r="I11" s="13" t="str">
        <f>IFERROR(__xludf.DUMMYFUNCTION("""COMPUTED_VALUE"""),"General")</f>
        <v>General</v>
      </c>
      <c r="J11" s="13" t="str">
        <f>IFERROR(__xludf.DUMMYFUNCTION("""COMPUTED_VALUE"""),"Dresses")</f>
        <v>Dresses</v>
      </c>
      <c r="K11" s="13" t="str">
        <f>IFERROR(__xludf.DUMMYFUNCTION("""COMPUTED_VALUE"""),"Dresses")</f>
        <v>Dresses</v>
      </c>
      <c r="L11" s="13"/>
    </row>
    <row r="12">
      <c r="A12" s="13">
        <f>IFERROR(__xludf.DUMMYFUNCTION("""COMPUTED_VALUE"""),10.0)</f>
        <v>10</v>
      </c>
      <c r="B12" s="13">
        <f>IFERROR(__xludf.DUMMYFUNCTION("""COMPUTED_VALUE"""),1077.0)</f>
        <v>1077</v>
      </c>
      <c r="C12" s="13">
        <f>IFERROR(__xludf.DUMMYFUNCTION("""COMPUTED_VALUE"""),53.0)</f>
        <v>53</v>
      </c>
      <c r="D12" s="12" t="str">
        <f>IFERROR(__xludf.DUMMYFUNCTION("""COMPUTED_VALUE"""),"Dress looks like it's made of cheap material")</f>
        <v>Dress looks like it's made of cheap material</v>
      </c>
      <c r="E12" s="12" t="str">
        <f>IFERROR(__xludf.DUMMYFUNCTION("""COMPUTED_VALUE"""),"Dress runs small esp where the zipper area runs. i ordered the sp which typically fits me and it was very tight! the material on the top looks and feels very cheap that even just pulling on it will cause it to rip the fabric. pretty disappointed as it was"&amp;" going to be my christmas dress this year! needless to say it will be going back.")</f>
        <v>Dress runs small esp where the zipper area runs. i ordered the sp which typically fits me and it was very tight! the material on the top looks and feels very cheap that even just pulling on it will cause it to rip the fabric. pretty disappointed as it was going to be my christmas dress this year! needless to say it will be going back.</v>
      </c>
      <c r="F12" s="13">
        <f>IFERROR(__xludf.DUMMYFUNCTION("""COMPUTED_VALUE"""),3.0)</f>
        <v>3</v>
      </c>
      <c r="G12" s="13">
        <f>IFERROR(__xludf.DUMMYFUNCTION("""COMPUTED_VALUE"""),0.0)</f>
        <v>0</v>
      </c>
      <c r="H12" s="13">
        <f>IFERROR(__xludf.DUMMYFUNCTION("""COMPUTED_VALUE"""),14.0)</f>
        <v>14</v>
      </c>
      <c r="I12" s="13" t="str">
        <f>IFERROR(__xludf.DUMMYFUNCTION("""COMPUTED_VALUE"""),"General")</f>
        <v>General</v>
      </c>
      <c r="J12" s="13" t="str">
        <f>IFERROR(__xludf.DUMMYFUNCTION("""COMPUTED_VALUE"""),"Dresses")</f>
        <v>Dresses</v>
      </c>
      <c r="K12" s="13" t="str">
        <f>IFERROR(__xludf.DUMMYFUNCTION("""COMPUTED_VALUE"""),"Dresses")</f>
        <v>Dresses</v>
      </c>
      <c r="L12" s="13"/>
    </row>
    <row r="13">
      <c r="A13" s="13">
        <f>IFERROR(__xludf.DUMMYFUNCTION("""COMPUTED_VALUE"""),11.0)</f>
        <v>11</v>
      </c>
      <c r="B13" s="13">
        <f>IFERROR(__xludf.DUMMYFUNCTION("""COMPUTED_VALUE"""),1095.0)</f>
        <v>1095</v>
      </c>
      <c r="C13" s="13">
        <f>IFERROR(__xludf.DUMMYFUNCTION("""COMPUTED_VALUE"""),39.0)</f>
        <v>39</v>
      </c>
      <c r="D13" s="12"/>
      <c r="E13" s="12" t="str">
        <f>IFERROR(__xludf.DUMMYFUNCTION("""COMPUTED_VALUE"""),"This dress is perfection! so pretty and flattering.")</f>
        <v>This dress is perfection! so pretty and flattering.</v>
      </c>
      <c r="F13" s="13">
        <f>IFERROR(__xludf.DUMMYFUNCTION("""COMPUTED_VALUE"""),5.0)</f>
        <v>5</v>
      </c>
      <c r="G13" s="13">
        <f>IFERROR(__xludf.DUMMYFUNCTION("""COMPUTED_VALUE"""),1.0)</f>
        <v>1</v>
      </c>
      <c r="H13" s="13">
        <f>IFERROR(__xludf.DUMMYFUNCTION("""COMPUTED_VALUE"""),2.0)</f>
        <v>2</v>
      </c>
      <c r="I13" s="13" t="str">
        <f>IFERROR(__xludf.DUMMYFUNCTION("""COMPUTED_VALUE"""),"General Petite")</f>
        <v>General Petite</v>
      </c>
      <c r="J13" s="13" t="str">
        <f>IFERROR(__xludf.DUMMYFUNCTION("""COMPUTED_VALUE"""),"Dresses")</f>
        <v>Dresses</v>
      </c>
      <c r="K13" s="13" t="str">
        <f>IFERROR(__xludf.DUMMYFUNCTION("""COMPUTED_VALUE"""),"Dresses")</f>
        <v>Dresses</v>
      </c>
      <c r="L13" s="13"/>
    </row>
    <row r="14">
      <c r="A14" s="13">
        <f>IFERROR(__xludf.DUMMYFUNCTION("""COMPUTED_VALUE"""),12.0)</f>
        <v>12</v>
      </c>
      <c r="B14" s="13">
        <f>IFERROR(__xludf.DUMMYFUNCTION("""COMPUTED_VALUE"""),1095.0)</f>
        <v>1095</v>
      </c>
      <c r="C14" s="13">
        <f>IFERROR(__xludf.DUMMYFUNCTION("""COMPUTED_VALUE"""),53.0)</f>
        <v>53</v>
      </c>
      <c r="D14" s="12" t="str">
        <f>IFERROR(__xludf.DUMMYFUNCTION("""COMPUTED_VALUE"""),"Perfect!!!")</f>
        <v>Perfect!!!</v>
      </c>
      <c r="E14" s="12" t="str">
        <f>IFERROR(__xludf.DUMMYFUNCTION("""COMPUTED_VALUE"""),"More and more i find myself reliant on the reviews written by savvy shoppers before me and for the most past, they are right on in their estimation of the product. in the case of this dress-if it had not been for the reveiws-i doubt i would have even trie"&amp;"d this. the dress is beautifully made, lined and reminiscent of the old retailer quality. it is lined in the solid periwinkle-colored fabric that matches the outer fabric print. tts and very form-fitting. falls just above the knee and does not rid")</f>
        <v>More and more i find myself reliant on the reviews written by savvy shoppers before me and for the most past, they are right on in their estimation of the product. in the case of this dress-if it had not been for the reveiws-i doubt i would have even tried this. the dress is beautifully made, lined and reminiscent of the old retailer quality. it is lined in the solid periwinkle-colored fabric that matches the outer fabric print. tts and very form-fitting. falls just above the knee and does not rid</v>
      </c>
      <c r="F14" s="13">
        <f>IFERROR(__xludf.DUMMYFUNCTION("""COMPUTED_VALUE"""),5.0)</f>
        <v>5</v>
      </c>
      <c r="G14" s="13">
        <f>IFERROR(__xludf.DUMMYFUNCTION("""COMPUTED_VALUE"""),1.0)</f>
        <v>1</v>
      </c>
      <c r="H14" s="13">
        <f>IFERROR(__xludf.DUMMYFUNCTION("""COMPUTED_VALUE"""),2.0)</f>
        <v>2</v>
      </c>
      <c r="I14" s="13" t="str">
        <f>IFERROR(__xludf.DUMMYFUNCTION("""COMPUTED_VALUE"""),"General Petite")</f>
        <v>General Petite</v>
      </c>
      <c r="J14" s="13" t="str">
        <f>IFERROR(__xludf.DUMMYFUNCTION("""COMPUTED_VALUE"""),"Dresses")</f>
        <v>Dresses</v>
      </c>
      <c r="K14" s="13" t="str">
        <f>IFERROR(__xludf.DUMMYFUNCTION("""COMPUTED_VALUE"""),"Dresses")</f>
        <v>Dresses</v>
      </c>
      <c r="L14" s="13"/>
    </row>
    <row r="15">
      <c r="A15" s="13">
        <f>IFERROR(__xludf.DUMMYFUNCTION("""COMPUTED_VALUE"""),13.0)</f>
        <v>13</v>
      </c>
      <c r="B15" s="13">
        <f>IFERROR(__xludf.DUMMYFUNCTION("""COMPUTED_VALUE"""),767.0)</f>
        <v>767</v>
      </c>
      <c r="C15" s="13">
        <f>IFERROR(__xludf.DUMMYFUNCTION("""COMPUTED_VALUE"""),44.0)</f>
        <v>44</v>
      </c>
      <c r="D15" s="12" t="str">
        <f>IFERROR(__xludf.DUMMYFUNCTION("""COMPUTED_VALUE"""),"Runs big")</f>
        <v>Runs big</v>
      </c>
      <c r="E15" s="12" t="str">
        <f>IFERROR(__xludf.DUMMYFUNCTION("""COMPUTED_VALUE"""),"Bought the black xs to go under the larkspur midi dress because they didn't bother lining the skirt portion (grrrrrrrrrrr).
my stats are 34a-28/29-36 and the xs fit very smoothly around the chest and was flowy around my lower half, so i would say it's run"&amp;"ning big.
the straps are very pretty and it could easily be nightwear too.
i'm 5'6"" and it came to just below my knees.")</f>
        <v>Bought the black xs to go under the larkspur midi dress because they didn't bother lining the skirt portion (grrrrrrrrrrr).
my stats are 34a-28/29-36 and the xs fit very smoothly around the chest and was flowy around my lower half, so i would say it's running big.
the straps are very pretty and it could easily be nightwear too.
i'm 5'6" and it came to just below my knees.</v>
      </c>
      <c r="F15" s="13">
        <f>IFERROR(__xludf.DUMMYFUNCTION("""COMPUTED_VALUE"""),5.0)</f>
        <v>5</v>
      </c>
      <c r="G15" s="13">
        <f>IFERROR(__xludf.DUMMYFUNCTION("""COMPUTED_VALUE"""),1.0)</f>
        <v>1</v>
      </c>
      <c r="H15" s="13">
        <f>IFERROR(__xludf.DUMMYFUNCTION("""COMPUTED_VALUE"""),0.0)</f>
        <v>0</v>
      </c>
      <c r="I15" s="13" t="str">
        <f>IFERROR(__xludf.DUMMYFUNCTION("""COMPUTED_VALUE"""),"Initmates")</f>
        <v>Initmates</v>
      </c>
      <c r="J15" s="13" t="str">
        <f>IFERROR(__xludf.DUMMYFUNCTION("""COMPUTED_VALUE"""),"Intimate")</f>
        <v>Intimate</v>
      </c>
      <c r="K15" s="13" t="str">
        <f>IFERROR(__xludf.DUMMYFUNCTION("""COMPUTED_VALUE"""),"Intimates")</f>
        <v>Intimates</v>
      </c>
      <c r="L15" s="13"/>
    </row>
    <row r="16">
      <c r="A16" s="13">
        <f>IFERROR(__xludf.DUMMYFUNCTION("""COMPUTED_VALUE"""),14.0)</f>
        <v>14</v>
      </c>
      <c r="B16" s="13">
        <f>IFERROR(__xludf.DUMMYFUNCTION("""COMPUTED_VALUE"""),1077.0)</f>
        <v>1077</v>
      </c>
      <c r="C16" s="13">
        <f>IFERROR(__xludf.DUMMYFUNCTION("""COMPUTED_VALUE"""),50.0)</f>
        <v>50</v>
      </c>
      <c r="D16" s="12" t="str">
        <f>IFERROR(__xludf.DUMMYFUNCTION("""COMPUTED_VALUE"""),"Pretty party dress with some issues")</f>
        <v>Pretty party dress with some issues</v>
      </c>
      <c r="E16" s="12" t="str">
        <f>IFERROR(__xludf.DUMMYFUNCTION("""COMPUTED_VALUE"""),"This is a nice choice for holiday gatherings. i like that the length grazes the knee so it is conservative enough for office related gatherings. the size small fit me well - i am usually a size 2/4 with a small bust. in my opinion it runs small and those "&amp;"with larger busts will definitely have to size up (but then perhaps the waist will be too big). the problem with this dress is the quality. the fabrics are terrible. the delicate netting type fabric on the top layer of skirt got stuck in the zip")</f>
        <v>This is a nice choice for holiday gatherings. i like that the length grazes the knee so it is conservative enough for office related gatherings. the size small fit me well - i am usually a size 2/4 with a small bust. in my opinion it runs small and those with larger busts will definitely have to size up (but then perhaps the waist will be too big). the problem with this dress is the quality. the fabrics are terrible. the delicate netting type fabric on the top layer of skirt got stuck in the zip</v>
      </c>
      <c r="F16" s="13">
        <f>IFERROR(__xludf.DUMMYFUNCTION("""COMPUTED_VALUE"""),3.0)</f>
        <v>3</v>
      </c>
      <c r="G16" s="13">
        <f>IFERROR(__xludf.DUMMYFUNCTION("""COMPUTED_VALUE"""),1.0)</f>
        <v>1</v>
      </c>
      <c r="H16" s="13">
        <f>IFERROR(__xludf.DUMMYFUNCTION("""COMPUTED_VALUE"""),1.0)</f>
        <v>1</v>
      </c>
      <c r="I16" s="13" t="str">
        <f>IFERROR(__xludf.DUMMYFUNCTION("""COMPUTED_VALUE"""),"General")</f>
        <v>General</v>
      </c>
      <c r="J16" s="13" t="str">
        <f>IFERROR(__xludf.DUMMYFUNCTION("""COMPUTED_VALUE"""),"Dresses")</f>
        <v>Dresses</v>
      </c>
      <c r="K16" s="13" t="str">
        <f>IFERROR(__xludf.DUMMYFUNCTION("""COMPUTED_VALUE"""),"Dresses")</f>
        <v>Dresses</v>
      </c>
      <c r="L16" s="13"/>
    </row>
    <row r="17">
      <c r="A17" s="13">
        <f>IFERROR(__xludf.DUMMYFUNCTION("""COMPUTED_VALUE"""),15.0)</f>
        <v>15</v>
      </c>
      <c r="B17" s="13">
        <f>IFERROR(__xludf.DUMMYFUNCTION("""COMPUTED_VALUE"""),1065.0)</f>
        <v>1065</v>
      </c>
      <c r="C17" s="13">
        <f>IFERROR(__xludf.DUMMYFUNCTION("""COMPUTED_VALUE"""),47.0)</f>
        <v>47</v>
      </c>
      <c r="D17" s="12" t="str">
        <f>IFERROR(__xludf.DUMMYFUNCTION("""COMPUTED_VALUE"""),"Nice, but not for my body")</f>
        <v>Nice, but not for my body</v>
      </c>
      <c r="E17" s="12" t="str">
        <f>IFERROR(__xludf.DUMMYFUNCTION("""COMPUTED_VALUE"""),"I took these out of the package and wanted them to fit so badly, but i could tell before i put them on that they wouldn't. these are for an hour-glass figure. i am more straight up and down. the waist was way too small for my body shape and even if i size"&amp;"d up, i could tell they would still be tight in the waist and too roomy in the hips - for me. that said, they are really nice. sturdy, linen-like fabric, pretty color, well made. i hope they make someone very happy!")</f>
        <v>I took these out of the package and wanted them to fit so badly, but i could tell before i put them on that they wouldn't. these are for an hour-glass figure. i am more straight up and down. the waist was way too small for my body shape and even if i sized up, i could tell they would still be tight in the waist and too roomy in the hips - for me. that said, they are really nice. sturdy, linen-like fabric, pretty color, well made. i hope they make someone very happy!</v>
      </c>
      <c r="F17" s="13">
        <f>IFERROR(__xludf.DUMMYFUNCTION("""COMPUTED_VALUE"""),4.0)</f>
        <v>4</v>
      </c>
      <c r="G17" s="13">
        <f>IFERROR(__xludf.DUMMYFUNCTION("""COMPUTED_VALUE"""),1.0)</f>
        <v>1</v>
      </c>
      <c r="H17" s="13">
        <f>IFERROR(__xludf.DUMMYFUNCTION("""COMPUTED_VALUE"""),3.0)</f>
        <v>3</v>
      </c>
      <c r="I17" s="13" t="str">
        <f>IFERROR(__xludf.DUMMYFUNCTION("""COMPUTED_VALUE"""),"General")</f>
        <v>General</v>
      </c>
      <c r="J17" s="13" t="str">
        <f>IFERROR(__xludf.DUMMYFUNCTION("""COMPUTED_VALUE"""),"Bottoms")</f>
        <v>Bottoms</v>
      </c>
      <c r="K17" s="13" t="str">
        <f>IFERROR(__xludf.DUMMYFUNCTION("""COMPUTED_VALUE"""),"Pants")</f>
        <v>Pants</v>
      </c>
      <c r="L17" s="13"/>
    </row>
    <row r="18">
      <c r="A18" s="13">
        <f>IFERROR(__xludf.DUMMYFUNCTION("""COMPUTED_VALUE"""),16.0)</f>
        <v>16</v>
      </c>
      <c r="B18" s="13">
        <f>IFERROR(__xludf.DUMMYFUNCTION("""COMPUTED_VALUE"""),1065.0)</f>
        <v>1065</v>
      </c>
      <c r="C18" s="13">
        <f>IFERROR(__xludf.DUMMYFUNCTION("""COMPUTED_VALUE"""),34.0)</f>
        <v>34</v>
      </c>
      <c r="D18" s="12" t="str">
        <f>IFERROR(__xludf.DUMMYFUNCTION("""COMPUTED_VALUE"""),"You need to be at least average height, or taller")</f>
        <v>You need to be at least average height, or taller</v>
      </c>
      <c r="E18" s="12" t="str">
        <f>IFERROR(__xludf.DUMMYFUNCTION("""COMPUTED_VALUE"""),"Material and color is nice.  the leg opening is very large.  i am 5'1 (100#) and the length hits me right above my ankle.  with a leg opening the size of my waist and hem line above my ankle, and front pleats to make me fluffy, i think you can imagine tha"&amp;"t it is not a flattering look.  if you are at least average height or taller, this may look good on you.")</f>
        <v>Material and color is nice.  the leg opening is very large.  i am 5'1 (100#) and the length hits me right above my ankle.  with a leg opening the size of my waist and hem line above my ankle, and front pleats to make me fluffy, i think you can imagine that it is not a flattering look.  if you are at least average height or taller, this may look good on you.</v>
      </c>
      <c r="F18" s="13">
        <f>IFERROR(__xludf.DUMMYFUNCTION("""COMPUTED_VALUE"""),3.0)</f>
        <v>3</v>
      </c>
      <c r="G18" s="13">
        <f>IFERROR(__xludf.DUMMYFUNCTION("""COMPUTED_VALUE"""),1.0)</f>
        <v>1</v>
      </c>
      <c r="H18" s="13">
        <f>IFERROR(__xludf.DUMMYFUNCTION("""COMPUTED_VALUE"""),2.0)</f>
        <v>2</v>
      </c>
      <c r="I18" s="13" t="str">
        <f>IFERROR(__xludf.DUMMYFUNCTION("""COMPUTED_VALUE"""),"General")</f>
        <v>General</v>
      </c>
      <c r="J18" s="13" t="str">
        <f>IFERROR(__xludf.DUMMYFUNCTION("""COMPUTED_VALUE"""),"Bottoms")</f>
        <v>Bottoms</v>
      </c>
      <c r="K18" s="13" t="str">
        <f>IFERROR(__xludf.DUMMYFUNCTION("""COMPUTED_VALUE"""),"Pants")</f>
        <v>Pants</v>
      </c>
      <c r="L18" s="13"/>
    </row>
    <row r="19">
      <c r="A19" s="13">
        <f>IFERROR(__xludf.DUMMYFUNCTION("""COMPUTED_VALUE"""),17.0)</f>
        <v>17</v>
      </c>
      <c r="B19" s="13">
        <f>IFERROR(__xludf.DUMMYFUNCTION("""COMPUTED_VALUE"""),853.0)</f>
        <v>853</v>
      </c>
      <c r="C19" s="13">
        <f>IFERROR(__xludf.DUMMYFUNCTION("""COMPUTED_VALUE"""),41.0)</f>
        <v>41</v>
      </c>
      <c r="D19" s="12" t="str">
        <f>IFERROR(__xludf.DUMMYFUNCTION("""COMPUTED_VALUE"""),"Looks great with white pants")</f>
        <v>Looks great with white pants</v>
      </c>
      <c r="E19" s="12" t="str">
        <f>IFERROR(__xludf.DUMMYFUNCTION("""COMPUTED_VALUE"""),"Took a chance on this blouse and so glad i did. i wasn't crazy about how the blouse is photographed on the model. i paired it whit white pants and it worked perfectly. crisp and clean is how i would describe it. launders well. fits great. drape is perfect"&amp;". wear tucked in or out - can't go wrong.")</f>
        <v>Took a chance on this blouse and so glad i did. i wasn't crazy about how the blouse is photographed on the model. i paired it whit white pants and it worked perfectly. crisp and clean is how i would describe it. launders well. fits great. drape is perfect. wear tucked in or out - can't go wrong.</v>
      </c>
      <c r="F19" s="13">
        <f>IFERROR(__xludf.DUMMYFUNCTION("""COMPUTED_VALUE"""),5.0)</f>
        <v>5</v>
      </c>
      <c r="G19" s="13">
        <f>IFERROR(__xludf.DUMMYFUNCTION("""COMPUTED_VALUE"""),1.0)</f>
        <v>1</v>
      </c>
      <c r="H19" s="13">
        <f>IFERROR(__xludf.DUMMYFUNCTION("""COMPUTED_VALUE"""),0.0)</f>
        <v>0</v>
      </c>
      <c r="I19" s="13" t="str">
        <f>IFERROR(__xludf.DUMMYFUNCTION("""COMPUTED_VALUE"""),"General")</f>
        <v>General</v>
      </c>
      <c r="J19" s="13" t="str">
        <f>IFERROR(__xludf.DUMMYFUNCTION("""COMPUTED_VALUE"""),"Tops")</f>
        <v>Tops</v>
      </c>
      <c r="K19" s="13" t="str">
        <f>IFERROR(__xludf.DUMMYFUNCTION("""COMPUTED_VALUE"""),"Blouses")</f>
        <v>Blouses</v>
      </c>
      <c r="L19" s="13"/>
    </row>
    <row r="20">
      <c r="A20" s="13">
        <f>IFERROR(__xludf.DUMMYFUNCTION("""COMPUTED_VALUE"""),18.0)</f>
        <v>18</v>
      </c>
      <c r="B20" s="13">
        <f>IFERROR(__xludf.DUMMYFUNCTION("""COMPUTED_VALUE"""),1120.0)</f>
        <v>1120</v>
      </c>
      <c r="C20" s="13">
        <f>IFERROR(__xludf.DUMMYFUNCTION("""COMPUTED_VALUE"""),32.0)</f>
        <v>32</v>
      </c>
      <c r="D20" s="12" t="str">
        <f>IFERROR(__xludf.DUMMYFUNCTION("""COMPUTED_VALUE"""),"Super cute and cozy")</f>
        <v>Super cute and cozy</v>
      </c>
      <c r="E20" s="12" t="str">
        <f>IFERROR(__xludf.DUMMYFUNCTION("""COMPUTED_VALUE"""),"A flattering, super cozy coat.  will work well for cold, dry days and will look good with jeans or a dressier outfit.  i am 5' 5'', about 135 and the small fits great.")</f>
        <v>A flattering, super cozy coat.  will work well for cold, dry days and will look good with jeans or a dressier outfit.  i am 5' 5'', about 135 and the small fits great.</v>
      </c>
      <c r="F20" s="13">
        <f>IFERROR(__xludf.DUMMYFUNCTION("""COMPUTED_VALUE"""),5.0)</f>
        <v>5</v>
      </c>
      <c r="G20" s="13">
        <f>IFERROR(__xludf.DUMMYFUNCTION("""COMPUTED_VALUE"""),1.0)</f>
        <v>1</v>
      </c>
      <c r="H20" s="13">
        <f>IFERROR(__xludf.DUMMYFUNCTION("""COMPUTED_VALUE"""),0.0)</f>
        <v>0</v>
      </c>
      <c r="I20" s="13" t="str">
        <f>IFERROR(__xludf.DUMMYFUNCTION("""COMPUTED_VALUE"""),"General")</f>
        <v>General</v>
      </c>
      <c r="J20" s="13" t="str">
        <f>IFERROR(__xludf.DUMMYFUNCTION("""COMPUTED_VALUE"""),"Jackets")</f>
        <v>Jackets</v>
      </c>
      <c r="K20" s="13" t="str">
        <f>IFERROR(__xludf.DUMMYFUNCTION("""COMPUTED_VALUE"""),"Outerwear")</f>
        <v>Outerwear</v>
      </c>
      <c r="L20" s="13"/>
    </row>
    <row r="21">
      <c r="A21" s="13">
        <f>IFERROR(__xludf.DUMMYFUNCTION("""COMPUTED_VALUE"""),19.0)</f>
        <v>19</v>
      </c>
      <c r="B21" s="13">
        <f>IFERROR(__xludf.DUMMYFUNCTION("""COMPUTED_VALUE"""),1077.0)</f>
        <v>1077</v>
      </c>
      <c r="C21" s="13">
        <f>IFERROR(__xludf.DUMMYFUNCTION("""COMPUTED_VALUE"""),47.0)</f>
        <v>47</v>
      </c>
      <c r="D21" s="12" t="str">
        <f>IFERROR(__xludf.DUMMYFUNCTION("""COMPUTED_VALUE"""),"Stylish and comfortable")</f>
        <v>Stylish and comfortable</v>
      </c>
      <c r="E21" s="12" t="str">
        <f>IFERROR(__xludf.DUMMYFUNCTION("""COMPUTED_VALUE"""),"I love the look and feel of this tulle dress. i was looking for something different, but not over the top for new year's eve. i'm small chested and the top of this dress is form fitting for a flattering look. once i steamed the tulle, it was perfect! i or"&amp;"dered an xsp. length was perfect too.")</f>
        <v>I love the look and feel of this tulle dress. i was looking for something different, but not over the top for new year's eve. i'm small chested and the top of this dress is form fitting for a flattering look. once i steamed the tulle, it was perfect! i ordered an xsp. length was perfect too.</v>
      </c>
      <c r="F21" s="13">
        <f>IFERROR(__xludf.DUMMYFUNCTION("""COMPUTED_VALUE"""),5.0)</f>
        <v>5</v>
      </c>
      <c r="G21" s="13">
        <f>IFERROR(__xludf.DUMMYFUNCTION("""COMPUTED_VALUE"""),1.0)</f>
        <v>1</v>
      </c>
      <c r="H21" s="13">
        <f>IFERROR(__xludf.DUMMYFUNCTION("""COMPUTED_VALUE"""),0.0)</f>
        <v>0</v>
      </c>
      <c r="I21" s="13" t="str">
        <f>IFERROR(__xludf.DUMMYFUNCTION("""COMPUTED_VALUE"""),"General")</f>
        <v>General</v>
      </c>
      <c r="J21" s="13" t="str">
        <f>IFERROR(__xludf.DUMMYFUNCTION("""COMPUTED_VALUE"""),"Dresses")</f>
        <v>Dresses</v>
      </c>
      <c r="K21" s="13" t="str">
        <f>IFERROR(__xludf.DUMMYFUNCTION("""COMPUTED_VALUE"""),"Dresses")</f>
        <v>Dresses</v>
      </c>
      <c r="L21" s="13"/>
    </row>
    <row r="22">
      <c r="A22" s="13">
        <f>IFERROR(__xludf.DUMMYFUNCTION("""COMPUTED_VALUE"""),20.0)</f>
        <v>20</v>
      </c>
      <c r="B22" s="13">
        <f>IFERROR(__xludf.DUMMYFUNCTION("""COMPUTED_VALUE"""),847.0)</f>
        <v>847</v>
      </c>
      <c r="C22" s="13">
        <f>IFERROR(__xludf.DUMMYFUNCTION("""COMPUTED_VALUE"""),33.0)</f>
        <v>33</v>
      </c>
      <c r="D22" s="12" t="str">
        <f>IFERROR(__xludf.DUMMYFUNCTION("""COMPUTED_VALUE"""),"Cute, crisp shirt")</f>
        <v>Cute, crisp shirt</v>
      </c>
      <c r="E22" s="12" t="str">
        <f>IFERROR(__xludf.DUMMYFUNCTION("""COMPUTED_VALUE"""),"If this product was in petite, i would get the petite. the regular is a little long on me but a tailor can do a simple fix on that. 
fits nicely! i'm 5'4, 130lb and pregnant so i bough t medium to grow into. 
the tie can be front or back so provides for"&amp;" some nice flexibility on form fitting.")</f>
        <v>If this product was in petite, i would get the petite. the regular is a little long on me but a tailor can do a simple fix on that. 
fits nicely! i'm 5'4, 130lb and pregnant so i bough t medium to grow into. 
the tie can be front or back so provides for some nice flexibility on form fitting.</v>
      </c>
      <c r="F22" s="13">
        <f>IFERROR(__xludf.DUMMYFUNCTION("""COMPUTED_VALUE"""),4.0)</f>
        <v>4</v>
      </c>
      <c r="G22" s="13">
        <f>IFERROR(__xludf.DUMMYFUNCTION("""COMPUTED_VALUE"""),1.0)</f>
        <v>1</v>
      </c>
      <c r="H22" s="13">
        <f>IFERROR(__xludf.DUMMYFUNCTION("""COMPUTED_VALUE"""),2.0)</f>
        <v>2</v>
      </c>
      <c r="I22" s="13" t="str">
        <f>IFERROR(__xludf.DUMMYFUNCTION("""COMPUTED_VALUE"""),"General")</f>
        <v>General</v>
      </c>
      <c r="J22" s="13" t="str">
        <f>IFERROR(__xludf.DUMMYFUNCTION("""COMPUTED_VALUE"""),"Tops")</f>
        <v>Tops</v>
      </c>
      <c r="K22" s="13" t="str">
        <f>IFERROR(__xludf.DUMMYFUNCTION("""COMPUTED_VALUE"""),"Blouses")</f>
        <v>Blouses</v>
      </c>
      <c r="L22" s="13"/>
    </row>
    <row r="23">
      <c r="A23" s="13">
        <f>IFERROR(__xludf.DUMMYFUNCTION("""COMPUTED_VALUE"""),21.0)</f>
        <v>21</v>
      </c>
      <c r="B23" s="13">
        <f>IFERROR(__xludf.DUMMYFUNCTION("""COMPUTED_VALUE"""),1080.0)</f>
        <v>1080</v>
      </c>
      <c r="C23" s="13">
        <f>IFERROR(__xludf.DUMMYFUNCTION("""COMPUTED_VALUE"""),55.0)</f>
        <v>55</v>
      </c>
      <c r="D23" s="12" t="str">
        <f>IFERROR(__xludf.DUMMYFUNCTION("""COMPUTED_VALUE"""),"I'm torn!")</f>
        <v>I'm torn!</v>
      </c>
      <c r="E23" s="12" t="str">
        <f>IFERROR(__xludf.DUMMYFUNCTION("""COMPUTED_VALUE"""),"I'm upset because for the price of the dress, i thought it was embroidered! no, that is a print on the fabric. i think i cried a little when i opened the box. it is still ver pretty. i would say it is true to size, it is a tad bit big on me, but i am very"&amp;" tiny, but i can still get away with it. the color is vibrant. the style is unique. skirt portion is pretty poofy. i keep going back and forth on it mainly because of the price, although the quality is definitely there. except i wish it were emb")</f>
        <v>I'm upset because for the price of the dress, i thought it was embroidered! no, that is a print on the fabric. i think i cried a little when i opened the box. it is still ver pretty. i would say it is true to size, it is a tad bit big on me, but i am very tiny, but i can still get away with it. the color is vibrant. the style is unique. skirt portion is pretty poofy. i keep going back and forth on it mainly because of the price, although the quality is definitely there. except i wish it were emb</v>
      </c>
      <c r="F23" s="13">
        <f>IFERROR(__xludf.DUMMYFUNCTION("""COMPUTED_VALUE"""),4.0)</f>
        <v>4</v>
      </c>
      <c r="G23" s="13">
        <f>IFERROR(__xludf.DUMMYFUNCTION("""COMPUTED_VALUE"""),1.0)</f>
        <v>1</v>
      </c>
      <c r="H23" s="13">
        <f>IFERROR(__xludf.DUMMYFUNCTION("""COMPUTED_VALUE"""),14.0)</f>
        <v>14</v>
      </c>
      <c r="I23" s="13" t="str">
        <f>IFERROR(__xludf.DUMMYFUNCTION("""COMPUTED_VALUE"""),"General")</f>
        <v>General</v>
      </c>
      <c r="J23" s="13" t="str">
        <f>IFERROR(__xludf.DUMMYFUNCTION("""COMPUTED_VALUE"""),"Dresses")</f>
        <v>Dresses</v>
      </c>
      <c r="K23" s="13" t="str">
        <f>IFERROR(__xludf.DUMMYFUNCTION("""COMPUTED_VALUE"""),"Dresses")</f>
        <v>Dresses</v>
      </c>
      <c r="L23" s="13"/>
    </row>
    <row r="24">
      <c r="A24" s="13">
        <f>IFERROR(__xludf.DUMMYFUNCTION("""COMPUTED_VALUE"""),22.0)</f>
        <v>22</v>
      </c>
      <c r="B24" s="13">
        <f>IFERROR(__xludf.DUMMYFUNCTION("""COMPUTED_VALUE"""),1077.0)</f>
        <v>1077</v>
      </c>
      <c r="C24" s="13">
        <f>IFERROR(__xludf.DUMMYFUNCTION("""COMPUTED_VALUE"""),31.0)</f>
        <v>31</v>
      </c>
      <c r="D24" s="12" t="str">
        <f>IFERROR(__xludf.DUMMYFUNCTION("""COMPUTED_VALUE"""),"Not what it looks like")</f>
        <v>Not what it looks like</v>
      </c>
      <c r="E24" s="12" t="str">
        <f>IFERROR(__xludf.DUMMYFUNCTION("""COMPUTED_VALUE"""),"First of all, this is not pullover styling. there is a side zipper. i wouldn't have purchased it if i knew there was a side zipper because i have a large bust and side zippers are next to impossible for me.
second of all, the tulle feels and looks cheap "&amp;"and the slip has an awkward tight shape underneath.
not at all what is looks like or is described as. sadly will be returning, but i'm sure i will find something to exchange it for!")</f>
        <v>First of all, this is not pullover styling. there is a side zipper. i wouldn't have purchased it if i knew there was a side zipper because i have a large bust and side zippers are next to impossible for me.
second of all, the tulle feels and looks cheap and the slip has an awkward tight shape underneath.
not at all what is looks like or is described as. sadly will be returning, but i'm sure i will find something to exchange it for!</v>
      </c>
      <c r="F24" s="13">
        <f>IFERROR(__xludf.DUMMYFUNCTION("""COMPUTED_VALUE"""),2.0)</f>
        <v>2</v>
      </c>
      <c r="G24" s="13">
        <f>IFERROR(__xludf.DUMMYFUNCTION("""COMPUTED_VALUE"""),0.0)</f>
        <v>0</v>
      </c>
      <c r="H24" s="13">
        <f>IFERROR(__xludf.DUMMYFUNCTION("""COMPUTED_VALUE"""),7.0)</f>
        <v>7</v>
      </c>
      <c r="I24" s="13" t="str">
        <f>IFERROR(__xludf.DUMMYFUNCTION("""COMPUTED_VALUE"""),"General")</f>
        <v>General</v>
      </c>
      <c r="J24" s="13" t="str">
        <f>IFERROR(__xludf.DUMMYFUNCTION("""COMPUTED_VALUE"""),"Dresses")</f>
        <v>Dresses</v>
      </c>
      <c r="K24" s="13" t="str">
        <f>IFERROR(__xludf.DUMMYFUNCTION("""COMPUTED_VALUE"""),"Dresses")</f>
        <v>Dresses</v>
      </c>
      <c r="L24" s="13"/>
    </row>
    <row r="25">
      <c r="A25" s="13">
        <f>IFERROR(__xludf.DUMMYFUNCTION("""COMPUTED_VALUE"""),23.0)</f>
        <v>23</v>
      </c>
      <c r="B25" s="13">
        <f>IFERROR(__xludf.DUMMYFUNCTION("""COMPUTED_VALUE"""),1077.0)</f>
        <v>1077</v>
      </c>
      <c r="C25" s="13">
        <f>IFERROR(__xludf.DUMMYFUNCTION("""COMPUTED_VALUE"""),34.0)</f>
        <v>34</v>
      </c>
      <c r="D25" s="12" t="str">
        <f>IFERROR(__xludf.DUMMYFUNCTION("""COMPUTED_VALUE"""),"Like it, but don't love it.")</f>
        <v>Like it, but don't love it.</v>
      </c>
      <c r="E25" s="12" t="str">
        <f>IFERROR(__xludf.DUMMYFUNCTION("""COMPUTED_VALUE"""),"Cute little dress fits tts. it is a little high waisted. good length for my 5'9 height. i like the dress, i'm just not in love with it. i dont think it looks or feels cheap. it appears just as pictured.")</f>
        <v>Cute little dress fits tts. it is a little high waisted. good length for my 5'9 height. i like the dress, i'm just not in love with it. i dont think it looks or feels cheap. it appears just as pictured.</v>
      </c>
      <c r="F25" s="13">
        <f>IFERROR(__xludf.DUMMYFUNCTION("""COMPUTED_VALUE"""),3.0)</f>
        <v>3</v>
      </c>
      <c r="G25" s="13">
        <f>IFERROR(__xludf.DUMMYFUNCTION("""COMPUTED_VALUE"""),1.0)</f>
        <v>1</v>
      </c>
      <c r="H25" s="13">
        <f>IFERROR(__xludf.DUMMYFUNCTION("""COMPUTED_VALUE"""),0.0)</f>
        <v>0</v>
      </c>
      <c r="I25" s="13" t="str">
        <f>IFERROR(__xludf.DUMMYFUNCTION("""COMPUTED_VALUE"""),"General")</f>
        <v>General</v>
      </c>
      <c r="J25" s="13" t="str">
        <f>IFERROR(__xludf.DUMMYFUNCTION("""COMPUTED_VALUE"""),"Dresses")</f>
        <v>Dresses</v>
      </c>
      <c r="K25" s="13" t="str">
        <f>IFERROR(__xludf.DUMMYFUNCTION("""COMPUTED_VALUE"""),"Dresses")</f>
        <v>Dresses</v>
      </c>
      <c r="L25" s="13"/>
    </row>
    <row r="26">
      <c r="A26" s="13">
        <f>IFERROR(__xludf.DUMMYFUNCTION("""COMPUTED_VALUE"""),24.0)</f>
        <v>24</v>
      </c>
      <c r="B26" s="13">
        <f>IFERROR(__xludf.DUMMYFUNCTION("""COMPUTED_VALUE"""),847.0)</f>
        <v>847</v>
      </c>
      <c r="C26" s="13">
        <f>IFERROR(__xludf.DUMMYFUNCTION("""COMPUTED_VALUE"""),55.0)</f>
        <v>55</v>
      </c>
      <c r="D26" s="12" t="str">
        <f>IFERROR(__xludf.DUMMYFUNCTION("""COMPUTED_VALUE"""),"Versatile")</f>
        <v>Versatile</v>
      </c>
      <c r="E26" s="12" t="str">
        <f>IFERROR(__xludf.DUMMYFUNCTION("""COMPUTED_VALUE"""),"I love this shirt because when i first saw it, i wasn't sure if it was a shirt or dress. since it is see-through if you wear it like a dress you will need a slip or wear it with leggings. i bought a slip, wore the tie in the back, and rocked it with white"&amp;" wedges. you could also wear it as a vest. be careful with the buttons. i haven't had any fall off yet, but i feel like they will. overall it's great for any occasion and it's fun to wear!")</f>
        <v>I love this shirt because when i first saw it, i wasn't sure if it was a shirt or dress. since it is see-through if you wear it like a dress you will need a slip or wear it with leggings. i bought a slip, wore the tie in the back, and rocked it with white wedges. you could also wear it as a vest. be careful with the buttons. i haven't had any fall off yet, but i feel like they will. overall it's great for any occasion and it's fun to wear!</v>
      </c>
      <c r="F26" s="13">
        <f>IFERROR(__xludf.DUMMYFUNCTION("""COMPUTED_VALUE"""),5.0)</f>
        <v>5</v>
      </c>
      <c r="G26" s="13">
        <f>IFERROR(__xludf.DUMMYFUNCTION("""COMPUTED_VALUE"""),1.0)</f>
        <v>1</v>
      </c>
      <c r="H26" s="13">
        <f>IFERROR(__xludf.DUMMYFUNCTION("""COMPUTED_VALUE"""),0.0)</f>
        <v>0</v>
      </c>
      <c r="I26" s="13" t="str">
        <f>IFERROR(__xludf.DUMMYFUNCTION("""COMPUTED_VALUE"""),"General")</f>
        <v>General</v>
      </c>
      <c r="J26" s="13" t="str">
        <f>IFERROR(__xludf.DUMMYFUNCTION("""COMPUTED_VALUE"""),"Tops")</f>
        <v>Tops</v>
      </c>
      <c r="K26" s="13" t="str">
        <f>IFERROR(__xludf.DUMMYFUNCTION("""COMPUTED_VALUE"""),"Blouses")</f>
        <v>Blouses</v>
      </c>
      <c r="L26" s="13"/>
    </row>
    <row r="27">
      <c r="A27" s="13">
        <f>IFERROR(__xludf.DUMMYFUNCTION("""COMPUTED_VALUE"""),25.0)</f>
        <v>25</v>
      </c>
      <c r="B27" s="13">
        <f>IFERROR(__xludf.DUMMYFUNCTION("""COMPUTED_VALUE"""),697.0)</f>
        <v>697</v>
      </c>
      <c r="C27" s="13">
        <f>IFERROR(__xludf.DUMMYFUNCTION("""COMPUTED_VALUE"""),31.0)</f>
        <v>31</v>
      </c>
      <c r="D27" s="12" t="str">
        <f>IFERROR(__xludf.DUMMYFUNCTION("""COMPUTED_VALUE"""),"Falls flat")</f>
        <v>Falls flat</v>
      </c>
      <c r="E27" s="12" t="str">
        <f>IFERROR(__xludf.DUMMYFUNCTION("""COMPUTED_VALUE"""),"Loved the material, but i didnt really look at how long the dress was before i purchased both a large and a medium. im 5'5"" and there was atleast 5"" of material at my feet. the gaps in the front are much wider than they look. felt like the dress just fe"&amp;"ll flat. both were returned. im usually a large and the med fit better. 36d 30 in jeans")</f>
        <v>Loved the material, but i didnt really look at how long the dress was before i purchased both a large and a medium. im 5'5" and there was atleast 5" of material at my feet. the gaps in the front are much wider than they look. felt like the dress just fell flat. both were returned. im usually a large and the med fit better. 36d 30 in jeans</v>
      </c>
      <c r="F27" s="13">
        <f>IFERROR(__xludf.DUMMYFUNCTION("""COMPUTED_VALUE"""),3.0)</f>
        <v>3</v>
      </c>
      <c r="G27" s="13">
        <f>IFERROR(__xludf.DUMMYFUNCTION("""COMPUTED_VALUE"""),0.0)</f>
        <v>0</v>
      </c>
      <c r="H27" s="13">
        <f>IFERROR(__xludf.DUMMYFUNCTION("""COMPUTED_VALUE"""),0.0)</f>
        <v>0</v>
      </c>
      <c r="I27" s="13" t="str">
        <f>IFERROR(__xludf.DUMMYFUNCTION("""COMPUTED_VALUE"""),"Initmates")</f>
        <v>Initmates</v>
      </c>
      <c r="J27" s="13" t="str">
        <f>IFERROR(__xludf.DUMMYFUNCTION("""COMPUTED_VALUE"""),"Intimate")</f>
        <v>Intimate</v>
      </c>
      <c r="K27" s="13" t="str">
        <f>IFERROR(__xludf.DUMMYFUNCTION("""COMPUTED_VALUE"""),"Lounge")</f>
        <v>Lounge</v>
      </c>
      <c r="L27" s="13"/>
    </row>
    <row r="28">
      <c r="A28" s="13">
        <f>IFERROR(__xludf.DUMMYFUNCTION("""COMPUTED_VALUE"""),26.0)</f>
        <v>26</v>
      </c>
      <c r="B28" s="13">
        <f>IFERROR(__xludf.DUMMYFUNCTION("""COMPUTED_VALUE"""),949.0)</f>
        <v>949</v>
      </c>
      <c r="C28" s="13">
        <f>IFERROR(__xludf.DUMMYFUNCTION("""COMPUTED_VALUE"""),33.0)</f>
        <v>33</v>
      </c>
      <c r="D28" s="12" t="str">
        <f>IFERROR(__xludf.DUMMYFUNCTION("""COMPUTED_VALUE"""),"Huge disappointment")</f>
        <v>Huge disappointment</v>
      </c>
      <c r="E28" s="12" t="str">
        <f>IFERROR(__xludf.DUMMYFUNCTION("""COMPUTED_VALUE"""),"I have been waiting for this sweater coat to ship for weeks and i was so excited for it to arrive. this coat is not true to size and made me look short and squat. the sleeves are very wide (although long). as a light weight fall coat the sleeves don't nee"&amp;"d to be as wide because you wouldn't be layerng too much underneath. the buttons need to be moved at least three inches in for a nicer fit. i thought about redoing the buttons myself but the sleeves looked even more out of proportion with a tigh")</f>
        <v>I have been waiting for this sweater coat to ship for weeks and i was so excited for it to arrive. this coat is not true to size and made me look short and squat. the sleeves are very wide (although long). as a light weight fall coat the sleeves don't need to be as wide because you wouldn't be layerng too much underneath. the buttons need to be moved at least three inches in for a nicer fit. i thought about redoing the buttons myself but the sleeves looked even more out of proportion with a tigh</v>
      </c>
      <c r="F28" s="13">
        <f>IFERROR(__xludf.DUMMYFUNCTION("""COMPUTED_VALUE"""),2.0)</f>
        <v>2</v>
      </c>
      <c r="G28" s="13">
        <f>IFERROR(__xludf.DUMMYFUNCTION("""COMPUTED_VALUE"""),0.0)</f>
        <v>0</v>
      </c>
      <c r="H28" s="13">
        <f>IFERROR(__xludf.DUMMYFUNCTION("""COMPUTED_VALUE"""),0.0)</f>
        <v>0</v>
      </c>
      <c r="I28" s="13" t="str">
        <f>IFERROR(__xludf.DUMMYFUNCTION("""COMPUTED_VALUE"""),"General")</f>
        <v>General</v>
      </c>
      <c r="J28" s="13" t="str">
        <f>IFERROR(__xludf.DUMMYFUNCTION("""COMPUTED_VALUE"""),"Tops")</f>
        <v>Tops</v>
      </c>
      <c r="K28" s="13" t="str">
        <f>IFERROR(__xludf.DUMMYFUNCTION("""COMPUTED_VALUE"""),"Sweaters")</f>
        <v>Sweaters</v>
      </c>
      <c r="L28" s="13"/>
    </row>
    <row r="29">
      <c r="A29" s="13">
        <f>IFERROR(__xludf.DUMMYFUNCTION("""COMPUTED_VALUE"""),27.0)</f>
        <v>27</v>
      </c>
      <c r="B29" s="13">
        <f>IFERROR(__xludf.DUMMYFUNCTION("""COMPUTED_VALUE"""),1003.0)</f>
        <v>1003</v>
      </c>
      <c r="C29" s="13">
        <f>IFERROR(__xludf.DUMMYFUNCTION("""COMPUTED_VALUE"""),31.0)</f>
        <v>31</v>
      </c>
      <c r="D29" s="12" t="str">
        <f>IFERROR(__xludf.DUMMYFUNCTION("""COMPUTED_VALUE"""),"Loved, but returned")</f>
        <v>Loved, but returned</v>
      </c>
      <c r="E29" s="12" t="str">
        <f>IFERROR(__xludf.DUMMYFUNCTION("""COMPUTED_VALUE"""),"The colors weren't what i expected either. the dark blue is much more vibrant and i just couldn't find anything to really go with it. fabric is thick and good quality. has nice weight and movement to it. the skirt just wasn't for me, in the end.")</f>
        <v>The colors weren't what i expected either. the dark blue is much more vibrant and i just couldn't find anything to really go with it. fabric is thick and good quality. has nice weight and movement to it. the skirt just wasn't for me, in the end.</v>
      </c>
      <c r="F29" s="13">
        <f>IFERROR(__xludf.DUMMYFUNCTION("""COMPUTED_VALUE"""),4.0)</f>
        <v>4</v>
      </c>
      <c r="G29" s="13">
        <f>IFERROR(__xludf.DUMMYFUNCTION("""COMPUTED_VALUE"""),1.0)</f>
        <v>1</v>
      </c>
      <c r="H29" s="13">
        <f>IFERROR(__xludf.DUMMYFUNCTION("""COMPUTED_VALUE"""),0.0)</f>
        <v>0</v>
      </c>
      <c r="I29" s="13" t="str">
        <f>IFERROR(__xludf.DUMMYFUNCTION("""COMPUTED_VALUE"""),"General")</f>
        <v>General</v>
      </c>
      <c r="J29" s="13" t="str">
        <f>IFERROR(__xludf.DUMMYFUNCTION("""COMPUTED_VALUE"""),"Bottoms")</f>
        <v>Bottoms</v>
      </c>
      <c r="K29" s="13" t="str">
        <f>IFERROR(__xludf.DUMMYFUNCTION("""COMPUTED_VALUE"""),"Skirts")</f>
        <v>Skirts</v>
      </c>
      <c r="L29" s="13"/>
    </row>
    <row r="30">
      <c r="A30" s="13">
        <f>IFERROR(__xludf.DUMMYFUNCTION("""COMPUTED_VALUE"""),28.0)</f>
        <v>28</v>
      </c>
      <c r="B30" s="13">
        <f>IFERROR(__xludf.DUMMYFUNCTION("""COMPUTED_VALUE"""),684.0)</f>
        <v>684</v>
      </c>
      <c r="C30" s="13">
        <f>IFERROR(__xludf.DUMMYFUNCTION("""COMPUTED_VALUE"""),53.0)</f>
        <v>53</v>
      </c>
      <c r="D30" s="12" t="str">
        <f>IFERROR(__xludf.DUMMYFUNCTION("""COMPUTED_VALUE"""),"Great shirt!!!")</f>
        <v>Great shirt!!!</v>
      </c>
      <c r="E30" s="12" t="str">
        <f>IFERROR(__xludf.DUMMYFUNCTION("""COMPUTED_VALUE"""),"I have several of goodhyouman shirts and i get so many compliments on them. especially the one that says forehead kisses are underrated. don't hesitate. buy this shirt. you won't be sorry.....")</f>
        <v>I have several of goodhyouman shirts and i get so many compliments on them. especially the one that says forehead kisses are underrated. don't hesitate. buy this shirt. you won't be sorry.....</v>
      </c>
      <c r="F30" s="13">
        <f>IFERROR(__xludf.DUMMYFUNCTION("""COMPUTED_VALUE"""),5.0)</f>
        <v>5</v>
      </c>
      <c r="G30" s="13">
        <f>IFERROR(__xludf.DUMMYFUNCTION("""COMPUTED_VALUE"""),1.0)</f>
        <v>1</v>
      </c>
      <c r="H30" s="13">
        <f>IFERROR(__xludf.DUMMYFUNCTION("""COMPUTED_VALUE"""),2.0)</f>
        <v>2</v>
      </c>
      <c r="I30" s="13" t="str">
        <f>IFERROR(__xludf.DUMMYFUNCTION("""COMPUTED_VALUE"""),"Initmates")</f>
        <v>Initmates</v>
      </c>
      <c r="J30" s="13" t="str">
        <f>IFERROR(__xludf.DUMMYFUNCTION("""COMPUTED_VALUE"""),"Intimate")</f>
        <v>Intimate</v>
      </c>
      <c r="K30" s="13" t="str">
        <f>IFERROR(__xludf.DUMMYFUNCTION("""COMPUTED_VALUE"""),"Lounge")</f>
        <v>Lounge</v>
      </c>
      <c r="L30" s="13"/>
    </row>
    <row r="31">
      <c r="A31" s="13">
        <f>IFERROR(__xludf.DUMMYFUNCTION("""COMPUTED_VALUE"""),29.0)</f>
        <v>29</v>
      </c>
      <c r="B31" s="13">
        <f>IFERROR(__xludf.DUMMYFUNCTION("""COMPUTED_VALUE"""),4.0)</f>
        <v>4</v>
      </c>
      <c r="C31" s="13">
        <f>IFERROR(__xludf.DUMMYFUNCTION("""COMPUTED_VALUE"""),28.0)</f>
        <v>28</v>
      </c>
      <c r="D31" s="12" t="str">
        <f>IFERROR(__xludf.DUMMYFUNCTION("""COMPUTED_VALUE"""),"Great layering piece")</f>
        <v>Great layering piece</v>
      </c>
      <c r="E31" s="12" t="str">
        <f>IFERROR(__xludf.DUMMYFUNCTION("""COMPUTED_VALUE"""),"This sweater is so comfy and classic - it balances a quirky hand-knit look with a beautiful color and practical fit. it is a bit cropped and boxy as part of the style, and as others mentioned, there are gaps in the knit that make it see-through. in my opi"&amp;"nion this makes it perfect for layering! i like having a longer camisole showing underneath, or wearing it over a little dress. it's warm but still thin enough to fit under a jacket or coat.")</f>
        <v>This sweater is so comfy and classic - it balances a quirky hand-knit look with a beautiful color and practical fit. it is a bit cropped and boxy as part of the style, and as others mentioned, there are gaps in the knit that make it see-through. in my opinion this makes it perfect for layering! i like having a longer camisole showing underneath, or wearing it over a little dress. it's warm but still thin enough to fit under a jacket or coat.</v>
      </c>
      <c r="F31" s="13">
        <f>IFERROR(__xludf.DUMMYFUNCTION("""COMPUTED_VALUE"""),5.0)</f>
        <v>5</v>
      </c>
      <c r="G31" s="13">
        <f>IFERROR(__xludf.DUMMYFUNCTION("""COMPUTED_VALUE"""),1.0)</f>
        <v>1</v>
      </c>
      <c r="H31" s="13">
        <f>IFERROR(__xludf.DUMMYFUNCTION("""COMPUTED_VALUE"""),0.0)</f>
        <v>0</v>
      </c>
      <c r="I31" s="13" t="str">
        <f>IFERROR(__xludf.DUMMYFUNCTION("""COMPUTED_VALUE"""),"General")</f>
        <v>General</v>
      </c>
      <c r="J31" s="13" t="str">
        <f>IFERROR(__xludf.DUMMYFUNCTION("""COMPUTED_VALUE"""),"Tops")</f>
        <v>Tops</v>
      </c>
      <c r="K31" s="13" t="str">
        <f>IFERROR(__xludf.DUMMYFUNCTION("""COMPUTED_VALUE"""),"Sweaters")</f>
        <v>Sweaters</v>
      </c>
      <c r="L31" s="13"/>
    </row>
    <row r="32">
      <c r="A32" s="13">
        <f>IFERROR(__xludf.DUMMYFUNCTION("""COMPUTED_VALUE"""),30.0)</f>
        <v>30</v>
      </c>
      <c r="B32" s="13">
        <f>IFERROR(__xludf.DUMMYFUNCTION("""COMPUTED_VALUE"""),1060.0)</f>
        <v>1060</v>
      </c>
      <c r="C32" s="13">
        <f>IFERROR(__xludf.DUMMYFUNCTION("""COMPUTED_VALUE"""),33.0)</f>
        <v>33</v>
      </c>
      <c r="D32" s="12"/>
      <c r="E32" s="12" t="str">
        <f>IFERROR(__xludf.DUMMYFUNCTION("""COMPUTED_VALUE"""),"Beautifully made pants and on trend with the flared crop. so much cuter in person. love these!")</f>
        <v>Beautifully made pants and on trend with the flared crop. so much cuter in person. love these!</v>
      </c>
      <c r="F32" s="13">
        <f>IFERROR(__xludf.DUMMYFUNCTION("""COMPUTED_VALUE"""),5.0)</f>
        <v>5</v>
      </c>
      <c r="G32" s="13">
        <f>IFERROR(__xludf.DUMMYFUNCTION("""COMPUTED_VALUE"""),1.0)</f>
        <v>1</v>
      </c>
      <c r="H32" s="13">
        <f>IFERROR(__xludf.DUMMYFUNCTION("""COMPUTED_VALUE"""),0.0)</f>
        <v>0</v>
      </c>
      <c r="I32" s="13" t="str">
        <f>IFERROR(__xludf.DUMMYFUNCTION("""COMPUTED_VALUE"""),"General Petite")</f>
        <v>General Petite</v>
      </c>
      <c r="J32" s="13" t="str">
        <f>IFERROR(__xludf.DUMMYFUNCTION("""COMPUTED_VALUE"""),"Bottoms")</f>
        <v>Bottoms</v>
      </c>
      <c r="K32" s="13" t="str">
        <f>IFERROR(__xludf.DUMMYFUNCTION("""COMPUTED_VALUE"""),"Pants")</f>
        <v>Pants</v>
      </c>
      <c r="L32" s="13"/>
    </row>
    <row r="33">
      <c r="A33" s="13">
        <f>IFERROR(__xludf.DUMMYFUNCTION("""COMPUTED_VALUE"""),31.0)</f>
        <v>31</v>
      </c>
      <c r="B33" s="13">
        <f>IFERROR(__xludf.DUMMYFUNCTION("""COMPUTED_VALUE"""),1060.0)</f>
        <v>1060</v>
      </c>
      <c r="C33" s="13">
        <f>IFERROR(__xludf.DUMMYFUNCTION("""COMPUTED_VALUE"""),46.0)</f>
        <v>46</v>
      </c>
      <c r="D33" s="12" t="str">
        <f>IFERROR(__xludf.DUMMYFUNCTION("""COMPUTED_VALUE"""),"Cuter in oerson!")</f>
        <v>Cuter in oerson!</v>
      </c>
      <c r="E33" s="12" t="str">
        <f>IFERROR(__xludf.DUMMYFUNCTION("""COMPUTED_VALUE"""),"I never would have given these pants a second look online, in person they are much cuter! the stripes are brighter and the fit more flattering. the crop has a cute flare which is right on trend. this brand has always run small for me, i am 5'8 about 140lb"&amp;"s and carry some chubbiness in the belly. i paired it with a collarless loose navy blazer")</f>
        <v>I never would have given these pants a second look online, in person they are much cuter! the stripes are brighter and the fit more flattering. the crop has a cute flare which is right on trend. this brand has always run small for me, i am 5'8 about 140lbs and carry some chubbiness in the belly. i paired it with a collarless loose navy blazer</v>
      </c>
      <c r="F33" s="13">
        <f>IFERROR(__xludf.DUMMYFUNCTION("""COMPUTED_VALUE"""),5.0)</f>
        <v>5</v>
      </c>
      <c r="G33" s="13">
        <f>IFERROR(__xludf.DUMMYFUNCTION("""COMPUTED_VALUE"""),1.0)</f>
        <v>1</v>
      </c>
      <c r="H33" s="13">
        <f>IFERROR(__xludf.DUMMYFUNCTION("""COMPUTED_VALUE"""),7.0)</f>
        <v>7</v>
      </c>
      <c r="I33" s="13" t="str">
        <f>IFERROR(__xludf.DUMMYFUNCTION("""COMPUTED_VALUE"""),"General Petite")</f>
        <v>General Petite</v>
      </c>
      <c r="J33" s="13" t="str">
        <f>IFERROR(__xludf.DUMMYFUNCTION("""COMPUTED_VALUE"""),"Bottoms")</f>
        <v>Bottoms</v>
      </c>
      <c r="K33" s="13" t="str">
        <f>IFERROR(__xludf.DUMMYFUNCTION("""COMPUTED_VALUE"""),"Pants")</f>
        <v>Pants</v>
      </c>
      <c r="L33" s="13"/>
    </row>
    <row r="34">
      <c r="A34" s="13">
        <f>IFERROR(__xludf.DUMMYFUNCTION("""COMPUTED_VALUE"""),32.0)</f>
        <v>32</v>
      </c>
      <c r="B34" s="13">
        <f>IFERROR(__xludf.DUMMYFUNCTION("""COMPUTED_VALUE"""),1060.0)</f>
        <v>1060</v>
      </c>
      <c r="C34" s="13">
        <f>IFERROR(__xludf.DUMMYFUNCTION("""COMPUTED_VALUE"""),21.0)</f>
        <v>21</v>
      </c>
      <c r="D34" s="12" t="str">
        <f>IFERROR(__xludf.DUMMYFUNCTION("""COMPUTED_VALUE"""),"Love these pants")</f>
        <v>Love these pants</v>
      </c>
      <c r="E34" s="12" t="str">
        <f>IFERROR(__xludf.DUMMYFUNCTION("""COMPUTED_VALUE"""),"These pants are even better in person. the only downside is that they need to be dry cleaned.")</f>
        <v>These pants are even better in person. the only downside is that they need to be dry cleaned.</v>
      </c>
      <c r="F34" s="13">
        <f>IFERROR(__xludf.DUMMYFUNCTION("""COMPUTED_VALUE"""),5.0)</f>
        <v>5</v>
      </c>
      <c r="G34" s="13">
        <f>IFERROR(__xludf.DUMMYFUNCTION("""COMPUTED_VALUE"""),1.0)</f>
        <v>1</v>
      </c>
      <c r="H34" s="13">
        <f>IFERROR(__xludf.DUMMYFUNCTION("""COMPUTED_VALUE"""),0.0)</f>
        <v>0</v>
      </c>
      <c r="I34" s="13" t="str">
        <f>IFERROR(__xludf.DUMMYFUNCTION("""COMPUTED_VALUE"""),"General Petite")</f>
        <v>General Petite</v>
      </c>
      <c r="J34" s="13" t="str">
        <f>IFERROR(__xludf.DUMMYFUNCTION("""COMPUTED_VALUE"""),"Bottoms")</f>
        <v>Bottoms</v>
      </c>
      <c r="K34" s="13" t="str">
        <f>IFERROR(__xludf.DUMMYFUNCTION("""COMPUTED_VALUE"""),"Pants")</f>
        <v>Pants</v>
      </c>
      <c r="L34" s="13"/>
    </row>
    <row r="35">
      <c r="A35" s="13">
        <f>IFERROR(__xludf.DUMMYFUNCTION("""COMPUTED_VALUE"""),33.0)</f>
        <v>33</v>
      </c>
      <c r="B35" s="13">
        <f>IFERROR(__xludf.DUMMYFUNCTION("""COMPUTED_VALUE"""),949.0)</f>
        <v>949</v>
      </c>
      <c r="C35" s="13">
        <f>IFERROR(__xludf.DUMMYFUNCTION("""COMPUTED_VALUE"""),36.0)</f>
        <v>36</v>
      </c>
      <c r="D35" s="12" t="str">
        <f>IFERROR(__xludf.DUMMYFUNCTION("""COMPUTED_VALUE"""),"Mehh")</f>
        <v>Mehh</v>
      </c>
      <c r="E35" s="12" t="str">
        <f>IFERROR(__xludf.DUMMYFUNCTION("""COMPUTED_VALUE"""),"I ordered this 3 months ago, and it finally came off back order. a huge disappointment. the fit wasn&amp;#39;t so much the issue for me. the quality of the wool is subpar. someone else mentioned a &amp;quot;felted wool&amp;quot;...i guess, is that what you call it?  "&amp;"it does literally feel like felt! super thin, itchy, doesn&amp;#39;t drape very well, and feels cheap (made in china). i got it on sale, but still not worth what i paid. definitely going back.")</f>
        <v>I ordered this 3 months ago, and it finally came off back order. a huge disappointment. the fit wasn&amp;#39;t so much the issue for me. the quality of the wool is subpar. someone else mentioned a &amp;quot;felted wool&amp;quot;...i guess, is that what you call it?  it does literally feel like felt! super thin, itchy, doesn&amp;#39;t drape very well, and feels cheap (made in china). i got it on sale, but still not worth what i paid. definitely going back.</v>
      </c>
      <c r="F35" s="13">
        <f>IFERROR(__xludf.DUMMYFUNCTION("""COMPUTED_VALUE"""),2.0)</f>
        <v>2</v>
      </c>
      <c r="G35" s="13">
        <f>IFERROR(__xludf.DUMMYFUNCTION("""COMPUTED_VALUE"""),0.0)</f>
        <v>0</v>
      </c>
      <c r="H35" s="13">
        <f>IFERROR(__xludf.DUMMYFUNCTION("""COMPUTED_VALUE"""),0.0)</f>
        <v>0</v>
      </c>
      <c r="I35" s="13" t="str">
        <f>IFERROR(__xludf.DUMMYFUNCTION("""COMPUTED_VALUE"""),"General")</f>
        <v>General</v>
      </c>
      <c r="J35" s="13" t="str">
        <f>IFERROR(__xludf.DUMMYFUNCTION("""COMPUTED_VALUE"""),"Tops")</f>
        <v>Tops</v>
      </c>
      <c r="K35" s="13" t="str">
        <f>IFERROR(__xludf.DUMMYFUNCTION("""COMPUTED_VALUE"""),"Sweaters")</f>
        <v>Sweaters</v>
      </c>
      <c r="L35" s="13"/>
    </row>
    <row r="36">
      <c r="A36" s="13">
        <f>IFERROR(__xludf.DUMMYFUNCTION("""COMPUTED_VALUE"""),34.0)</f>
        <v>34</v>
      </c>
      <c r="B36" s="13">
        <f>IFERROR(__xludf.DUMMYFUNCTION("""COMPUTED_VALUE"""),697.0)</f>
        <v>697</v>
      </c>
      <c r="C36" s="13">
        <f>IFERROR(__xludf.DUMMYFUNCTION("""COMPUTED_VALUE"""),39.0)</f>
        <v>39</v>
      </c>
      <c r="D36" s="12" t="str">
        <f>IFERROR(__xludf.DUMMYFUNCTION("""COMPUTED_VALUE"""),"Love this dress!")</f>
        <v>Love this dress!</v>
      </c>
      <c r="E36" s="12" t="str">
        <f>IFERROR(__xludf.DUMMYFUNCTION("""COMPUTED_VALUE"""),"This is such a neat dress. the color is great and the fabric is super soft. i am tall so the long length was an added bonus. it definitely needs something underneath since the front gaps. i am going to pair it with a funky tank top, necklaces and boots. s"&amp;"uper cute!!")</f>
        <v>This is such a neat dress. the color is great and the fabric is super soft. i am tall so the long length was an added bonus. it definitely needs something underneath since the front gaps. i am going to pair it with a funky tank top, necklaces and boots. super cute!!</v>
      </c>
      <c r="F36" s="13">
        <f>IFERROR(__xludf.DUMMYFUNCTION("""COMPUTED_VALUE"""),5.0)</f>
        <v>5</v>
      </c>
      <c r="G36" s="13">
        <f>IFERROR(__xludf.DUMMYFUNCTION("""COMPUTED_VALUE"""),1.0)</f>
        <v>1</v>
      </c>
      <c r="H36" s="13">
        <f>IFERROR(__xludf.DUMMYFUNCTION("""COMPUTED_VALUE"""),0.0)</f>
        <v>0</v>
      </c>
      <c r="I36" s="13" t="str">
        <f>IFERROR(__xludf.DUMMYFUNCTION("""COMPUTED_VALUE"""),"Initmates")</f>
        <v>Initmates</v>
      </c>
      <c r="J36" s="13" t="str">
        <f>IFERROR(__xludf.DUMMYFUNCTION("""COMPUTED_VALUE"""),"Intimate")</f>
        <v>Intimate</v>
      </c>
      <c r="K36" s="13" t="str">
        <f>IFERROR(__xludf.DUMMYFUNCTION("""COMPUTED_VALUE"""),"Lounge")</f>
        <v>Lounge</v>
      </c>
      <c r="L36" s="13"/>
    </row>
    <row r="37">
      <c r="A37" s="13">
        <f>IFERROR(__xludf.DUMMYFUNCTION("""COMPUTED_VALUE"""),35.0)</f>
        <v>35</v>
      </c>
      <c r="B37" s="13">
        <f>IFERROR(__xludf.DUMMYFUNCTION("""COMPUTED_VALUE"""),1060.0)</f>
        <v>1060</v>
      </c>
      <c r="C37" s="13">
        <f>IFERROR(__xludf.DUMMYFUNCTION("""COMPUTED_VALUE"""),65.0)</f>
        <v>65</v>
      </c>
      <c r="D37" s="12" t="str">
        <f>IFERROR(__xludf.DUMMYFUNCTION("""COMPUTED_VALUE"""),"Lovely!")</f>
        <v>Lovely!</v>
      </c>
      <c r="E37" s="12" t="str">
        <f>IFERROR(__xludf.DUMMYFUNCTION("""COMPUTED_VALUE"""),"Wouldn't have given them a second look but tried them on in store of a whim. love, love!!")</f>
        <v>Wouldn't have given them a second look but tried them on in store of a whim. love, love!!</v>
      </c>
      <c r="F37" s="13">
        <f>IFERROR(__xludf.DUMMYFUNCTION("""COMPUTED_VALUE"""),4.0)</f>
        <v>4</v>
      </c>
      <c r="G37" s="13">
        <f>IFERROR(__xludf.DUMMYFUNCTION("""COMPUTED_VALUE"""),1.0)</f>
        <v>1</v>
      </c>
      <c r="H37" s="13">
        <f>IFERROR(__xludf.DUMMYFUNCTION("""COMPUTED_VALUE"""),3.0)</f>
        <v>3</v>
      </c>
      <c r="I37" s="13" t="str">
        <f>IFERROR(__xludf.DUMMYFUNCTION("""COMPUTED_VALUE"""),"General Petite")</f>
        <v>General Petite</v>
      </c>
      <c r="J37" s="13" t="str">
        <f>IFERROR(__xludf.DUMMYFUNCTION("""COMPUTED_VALUE"""),"Bottoms")</f>
        <v>Bottoms</v>
      </c>
      <c r="K37" s="13" t="str">
        <f>IFERROR(__xludf.DUMMYFUNCTION("""COMPUTED_VALUE"""),"Pants")</f>
        <v>Pants</v>
      </c>
      <c r="L37" s="13"/>
    </row>
    <row r="38">
      <c r="A38" s="13">
        <f>IFERROR(__xludf.DUMMYFUNCTION("""COMPUTED_VALUE"""),36.0)</f>
        <v>36</v>
      </c>
      <c r="B38" s="13">
        <f>IFERROR(__xludf.DUMMYFUNCTION("""COMPUTED_VALUE"""),1002.0)</f>
        <v>1002</v>
      </c>
      <c r="C38" s="13">
        <f>IFERROR(__xludf.DUMMYFUNCTION("""COMPUTED_VALUE"""),29.0)</f>
        <v>29</v>
      </c>
      <c r="D38" s="12"/>
      <c r="E38" s="12" t="str">
        <f>IFERROR(__xludf.DUMMYFUNCTION("""COMPUTED_VALUE"""),"This is a comfortable skirt that can span seasons easily. while not the most exciting design, it is a good work skirt that can be paired with many tops.")</f>
        <v>This is a comfortable skirt that can span seasons easily. while not the most exciting design, it is a good work skirt that can be paired with many tops.</v>
      </c>
      <c r="F38" s="13">
        <f>IFERROR(__xludf.DUMMYFUNCTION("""COMPUTED_VALUE"""),4.0)</f>
        <v>4</v>
      </c>
      <c r="G38" s="13">
        <f>IFERROR(__xludf.DUMMYFUNCTION("""COMPUTED_VALUE"""),1.0)</f>
        <v>1</v>
      </c>
      <c r="H38" s="13">
        <f>IFERROR(__xludf.DUMMYFUNCTION("""COMPUTED_VALUE"""),5.0)</f>
        <v>5</v>
      </c>
      <c r="I38" s="13" t="str">
        <f>IFERROR(__xludf.DUMMYFUNCTION("""COMPUTED_VALUE"""),"General")</f>
        <v>General</v>
      </c>
      <c r="J38" s="13" t="str">
        <f>IFERROR(__xludf.DUMMYFUNCTION("""COMPUTED_VALUE"""),"Bottoms")</f>
        <v>Bottoms</v>
      </c>
      <c r="K38" s="13" t="str">
        <f>IFERROR(__xludf.DUMMYFUNCTION("""COMPUTED_VALUE"""),"Skirts")</f>
        <v>Skirts</v>
      </c>
      <c r="L38" s="13"/>
    </row>
    <row r="39">
      <c r="A39" s="13">
        <f>IFERROR(__xludf.DUMMYFUNCTION("""COMPUTED_VALUE"""),37.0)</f>
        <v>37</v>
      </c>
      <c r="B39" s="13">
        <f>IFERROR(__xludf.DUMMYFUNCTION("""COMPUTED_VALUE"""),949.0)</f>
        <v>949</v>
      </c>
      <c r="C39" s="13">
        <f>IFERROR(__xludf.DUMMYFUNCTION("""COMPUTED_VALUE"""),38.0)</f>
        <v>38</v>
      </c>
      <c r="D39" s="12" t="str">
        <f>IFERROR(__xludf.DUMMYFUNCTION("""COMPUTED_VALUE"""),"Beautifully cut lightweight coat")</f>
        <v>Beautifully cut lightweight coat</v>
      </c>
      <c r="E39" s="12" t="str">
        <f>IFERROR(__xludf.DUMMYFUNCTION("""COMPUTED_VALUE"""),"Just ordered this in a small for me (5'6"", 135, size 4) and medium for my mom (5'3"", 130, size 8) and it is gorgeous - beautifully draped, all the weight/warmth i'll need for houston fall and winter, looks polished snapped or unsnapped. age-appropriate "&amp;"for both my mom (60's) and myself (30's). will look amazing with skinny jeans or leggings. we ordered the gray which is true to the photos.")</f>
        <v>Just ordered this in a small for me (5'6", 135, size 4) and medium for my mom (5'3", 130, size 8) and it is gorgeous - beautifully draped, all the weight/warmth i'll need for houston fall and winter, looks polished snapped or unsnapped. age-appropriate for both my mom (60's) and myself (30's). will look amazing with skinny jeans or leggings. we ordered the gray which is true to the photos.</v>
      </c>
      <c r="F39" s="13">
        <f>IFERROR(__xludf.DUMMYFUNCTION("""COMPUTED_VALUE"""),5.0)</f>
        <v>5</v>
      </c>
      <c r="G39" s="13">
        <f>IFERROR(__xludf.DUMMYFUNCTION("""COMPUTED_VALUE"""),1.0)</f>
        <v>1</v>
      </c>
      <c r="H39" s="13">
        <f>IFERROR(__xludf.DUMMYFUNCTION("""COMPUTED_VALUE"""),1.0)</f>
        <v>1</v>
      </c>
      <c r="I39" s="13" t="str">
        <f>IFERROR(__xludf.DUMMYFUNCTION("""COMPUTED_VALUE"""),"General")</f>
        <v>General</v>
      </c>
      <c r="J39" s="13" t="str">
        <f>IFERROR(__xludf.DUMMYFUNCTION("""COMPUTED_VALUE"""),"Tops")</f>
        <v>Tops</v>
      </c>
      <c r="K39" s="13" t="str">
        <f>IFERROR(__xludf.DUMMYFUNCTION("""COMPUTED_VALUE"""),"Sweaters")</f>
        <v>Sweaters</v>
      </c>
      <c r="L39" s="13"/>
    </row>
    <row r="40">
      <c r="A40" s="13">
        <f>IFERROR(__xludf.DUMMYFUNCTION("""COMPUTED_VALUE"""),38.0)</f>
        <v>38</v>
      </c>
      <c r="B40" s="13">
        <f>IFERROR(__xludf.DUMMYFUNCTION("""COMPUTED_VALUE"""),684.0)</f>
        <v>684</v>
      </c>
      <c r="C40" s="13">
        <f>IFERROR(__xludf.DUMMYFUNCTION("""COMPUTED_VALUE"""),36.0)</f>
        <v>36</v>
      </c>
      <c r="D40" s="12"/>
      <c r="E40" s="12" t="str">
        <f>IFERROR(__xludf.DUMMYFUNCTION("""COMPUTED_VALUE"""),"Super cute and comfy pull over. sizing is accurate. material has a little bit of stretch.")</f>
        <v>Super cute and comfy pull over. sizing is accurate. material has a little bit of stretch.</v>
      </c>
      <c r="F40" s="13">
        <f>IFERROR(__xludf.DUMMYFUNCTION("""COMPUTED_VALUE"""),5.0)</f>
        <v>5</v>
      </c>
      <c r="G40" s="13">
        <f>IFERROR(__xludf.DUMMYFUNCTION("""COMPUTED_VALUE"""),1.0)</f>
        <v>1</v>
      </c>
      <c r="H40" s="13">
        <f>IFERROR(__xludf.DUMMYFUNCTION("""COMPUTED_VALUE"""),2.0)</f>
        <v>2</v>
      </c>
      <c r="I40" s="13" t="str">
        <f>IFERROR(__xludf.DUMMYFUNCTION("""COMPUTED_VALUE"""),"Initmates")</f>
        <v>Initmates</v>
      </c>
      <c r="J40" s="13" t="str">
        <f>IFERROR(__xludf.DUMMYFUNCTION("""COMPUTED_VALUE"""),"Intimate")</f>
        <v>Intimate</v>
      </c>
      <c r="K40" s="13" t="str">
        <f>IFERROR(__xludf.DUMMYFUNCTION("""COMPUTED_VALUE"""),"Lounge")</f>
        <v>Lounge</v>
      </c>
      <c r="L40" s="13"/>
    </row>
    <row r="41">
      <c r="A41" s="13">
        <f>IFERROR(__xludf.DUMMYFUNCTION("""COMPUTED_VALUE"""),39.0)</f>
        <v>39</v>
      </c>
      <c r="B41" s="13">
        <f>IFERROR(__xludf.DUMMYFUNCTION("""COMPUTED_VALUE"""),862.0)</f>
        <v>862</v>
      </c>
      <c r="C41" s="13">
        <f>IFERROR(__xludf.DUMMYFUNCTION("""COMPUTED_VALUE"""),59.0)</f>
        <v>59</v>
      </c>
      <c r="D41" s="12"/>
      <c r="E41" s="12" t="str">
        <f>IFERROR(__xludf.DUMMYFUNCTION("""COMPUTED_VALUE"""),"Great casual top with flare. looks cute with grey pilcro stet jeans. flattering with peplum in back. nice cut for shoulders and neckline.")</f>
        <v>Great casual top with flare. looks cute with grey pilcro stet jeans. flattering with peplum in back. nice cut for shoulders and neckline.</v>
      </c>
      <c r="F41" s="13">
        <f>IFERROR(__xludf.DUMMYFUNCTION("""COMPUTED_VALUE"""),5.0)</f>
        <v>5</v>
      </c>
      <c r="G41" s="13">
        <f>IFERROR(__xludf.DUMMYFUNCTION("""COMPUTED_VALUE"""),1.0)</f>
        <v>1</v>
      </c>
      <c r="H41" s="13">
        <f>IFERROR(__xludf.DUMMYFUNCTION("""COMPUTED_VALUE"""),0.0)</f>
        <v>0</v>
      </c>
      <c r="I41" s="13" t="str">
        <f>IFERROR(__xludf.DUMMYFUNCTION("""COMPUTED_VALUE"""),"General")</f>
        <v>General</v>
      </c>
      <c r="J41" s="13" t="str">
        <f>IFERROR(__xludf.DUMMYFUNCTION("""COMPUTED_VALUE"""),"Tops")</f>
        <v>Tops</v>
      </c>
      <c r="K41" s="13" t="str">
        <f>IFERROR(__xludf.DUMMYFUNCTION("""COMPUTED_VALUE"""),"Knits")</f>
        <v>Knits</v>
      </c>
      <c r="L41" s="13"/>
    </row>
    <row r="42">
      <c r="A42" s="13">
        <f>IFERROR(__xludf.DUMMYFUNCTION("""COMPUTED_VALUE"""),40.0)</f>
        <v>40</v>
      </c>
      <c r="B42" s="13">
        <f>IFERROR(__xludf.DUMMYFUNCTION("""COMPUTED_VALUE"""),862.0)</f>
        <v>862</v>
      </c>
      <c r="C42" s="13">
        <f>IFERROR(__xludf.DUMMYFUNCTION("""COMPUTED_VALUE"""),47.0)</f>
        <v>47</v>
      </c>
      <c r="D42" s="12"/>
      <c r="E42" s="12" t="str">
        <f>IFERROR(__xludf.DUMMYFUNCTION("""COMPUTED_VALUE"""),"Pretty and unique. great with jeans or i have worn it to work with slacks and heels. the colors, print, and embroidery are lovely. reasonably priced!")</f>
        <v>Pretty and unique. great with jeans or i have worn it to work with slacks and heels. the colors, print, and embroidery are lovely. reasonably priced!</v>
      </c>
      <c r="F42" s="13">
        <f>IFERROR(__xludf.DUMMYFUNCTION("""COMPUTED_VALUE"""),4.0)</f>
        <v>4</v>
      </c>
      <c r="G42" s="13">
        <f>IFERROR(__xludf.DUMMYFUNCTION("""COMPUTED_VALUE"""),1.0)</f>
        <v>1</v>
      </c>
      <c r="H42" s="13">
        <f>IFERROR(__xludf.DUMMYFUNCTION("""COMPUTED_VALUE"""),1.0)</f>
        <v>1</v>
      </c>
      <c r="I42" s="13" t="str">
        <f>IFERROR(__xludf.DUMMYFUNCTION("""COMPUTED_VALUE"""),"General")</f>
        <v>General</v>
      </c>
      <c r="J42" s="13" t="str">
        <f>IFERROR(__xludf.DUMMYFUNCTION("""COMPUTED_VALUE"""),"Tops")</f>
        <v>Tops</v>
      </c>
      <c r="K42" s="13" t="str">
        <f>IFERROR(__xludf.DUMMYFUNCTION("""COMPUTED_VALUE"""),"Knits")</f>
        <v>Knits</v>
      </c>
      <c r="L42" s="13"/>
    </row>
    <row r="43">
      <c r="A43" s="13">
        <f>IFERROR(__xludf.DUMMYFUNCTION("""COMPUTED_VALUE"""),41.0)</f>
        <v>41</v>
      </c>
      <c r="B43" s="13">
        <f>IFERROR(__xludf.DUMMYFUNCTION("""COMPUTED_VALUE"""),862.0)</f>
        <v>862</v>
      </c>
      <c r="C43" s="13">
        <f>IFERROR(__xludf.DUMMYFUNCTION("""COMPUTED_VALUE"""),40.0)</f>
        <v>40</v>
      </c>
      <c r="D43" s="12"/>
      <c r="E43" s="12" t="str">
        <f>IFERROR(__xludf.DUMMYFUNCTION("""COMPUTED_VALUE"""),"This is a beautiful top. it's unique and not so ordinary. i bought my usual medium and i found that it fits tight across my chest. although i had a baby this year and i am nursing, so that could be why. if i bought again i would size up.")</f>
        <v>This is a beautiful top. it's unique and not so ordinary. i bought my usual medium and i found that it fits tight across my chest. although i had a baby this year and i am nursing, so that could be why. if i bought again i would size up.</v>
      </c>
      <c r="F43" s="13">
        <f>IFERROR(__xludf.DUMMYFUNCTION("""COMPUTED_VALUE"""),5.0)</f>
        <v>5</v>
      </c>
      <c r="G43" s="13">
        <f>IFERROR(__xludf.DUMMYFUNCTION("""COMPUTED_VALUE"""),1.0)</f>
        <v>1</v>
      </c>
      <c r="H43" s="13">
        <f>IFERROR(__xludf.DUMMYFUNCTION("""COMPUTED_VALUE"""),0.0)</f>
        <v>0</v>
      </c>
      <c r="I43" s="13" t="str">
        <f>IFERROR(__xludf.DUMMYFUNCTION("""COMPUTED_VALUE"""),"General")</f>
        <v>General</v>
      </c>
      <c r="J43" s="13" t="str">
        <f>IFERROR(__xludf.DUMMYFUNCTION("""COMPUTED_VALUE"""),"Tops")</f>
        <v>Tops</v>
      </c>
      <c r="K43" s="13" t="str">
        <f>IFERROR(__xludf.DUMMYFUNCTION("""COMPUTED_VALUE"""),"Knits")</f>
        <v>Knits</v>
      </c>
      <c r="L43" s="13"/>
    </row>
    <row r="44">
      <c r="A44" s="13">
        <f>IFERROR(__xludf.DUMMYFUNCTION("""COMPUTED_VALUE"""),42.0)</f>
        <v>42</v>
      </c>
      <c r="B44" s="13">
        <f>IFERROR(__xludf.DUMMYFUNCTION("""COMPUTED_VALUE"""),910.0)</f>
        <v>910</v>
      </c>
      <c r="C44" s="13">
        <f>IFERROR(__xludf.DUMMYFUNCTION("""COMPUTED_VALUE"""),23.0)</f>
        <v>23</v>
      </c>
      <c r="D44" s="12" t="str">
        <f>IFERROR(__xludf.DUMMYFUNCTION("""COMPUTED_VALUE"""),"Soft &amp; lovely")</f>
        <v>Soft &amp; lovely</v>
      </c>
      <c r="E44" s="12" t="str">
        <f>IFERROR(__xludf.DUMMYFUNCTION("""COMPUTED_VALUE"""),"This poncho is so cute i love the plaid check design, the colors look like sorbet &amp; cream and it will pair well with a turtleneck and jeans or pencil skirt and heels. i love this look for fall and it can roll right into spring. great buy!!")</f>
        <v>This poncho is so cute i love the plaid check design, the colors look like sorbet &amp; cream and it will pair well with a turtleneck and jeans or pencil skirt and heels. i love this look for fall and it can roll right into spring. great buy!!</v>
      </c>
      <c r="F44" s="13">
        <f>IFERROR(__xludf.DUMMYFUNCTION("""COMPUTED_VALUE"""),5.0)</f>
        <v>5</v>
      </c>
      <c r="G44" s="13">
        <f>IFERROR(__xludf.DUMMYFUNCTION("""COMPUTED_VALUE"""),1.0)</f>
        <v>1</v>
      </c>
      <c r="H44" s="13">
        <f>IFERROR(__xludf.DUMMYFUNCTION("""COMPUTED_VALUE"""),0.0)</f>
        <v>0</v>
      </c>
      <c r="I44" s="13" t="str">
        <f>IFERROR(__xludf.DUMMYFUNCTION("""COMPUTED_VALUE"""),"General")</f>
        <v>General</v>
      </c>
      <c r="J44" s="13" t="str">
        <f>IFERROR(__xludf.DUMMYFUNCTION("""COMPUTED_VALUE"""),"Tops")</f>
        <v>Tops</v>
      </c>
      <c r="K44" s="13" t="str">
        <f>IFERROR(__xludf.DUMMYFUNCTION("""COMPUTED_VALUE"""),"Fine gauge")</f>
        <v>Fine gauge</v>
      </c>
      <c r="L44" s="13"/>
    </row>
    <row r="45">
      <c r="A45" s="13">
        <f>IFERROR(__xludf.DUMMYFUNCTION("""COMPUTED_VALUE"""),43.0)</f>
        <v>43</v>
      </c>
      <c r="B45" s="13">
        <f>IFERROR(__xludf.DUMMYFUNCTION("""COMPUTED_VALUE"""),89.0)</f>
        <v>89</v>
      </c>
      <c r="C45" s="13">
        <f>IFERROR(__xludf.DUMMYFUNCTION("""COMPUTED_VALUE"""),67.0)</f>
        <v>67</v>
      </c>
      <c r="D45" s="12" t="str">
        <f>IFERROR(__xludf.DUMMYFUNCTION("""COMPUTED_VALUE"""),"Some things you should know...")</f>
        <v>Some things you should know...</v>
      </c>
      <c r="E45" s="12" t="str">
        <f>IFERROR(__xludf.DUMMYFUNCTION("""COMPUTED_VALUE"""),"First, this is thermal ,so naturally i didn't expect super sheer, but it is. really sheer light fabric. i like it, but be prepared for considering who you might run into if you walk around the house in it. second, it is large. i ordered the size 0 and it'"&amp;"s a nice oversized fit for my 5'3"" 125 pounds. i wouldn't want to go larger. along with being sheer, the fabric is easily stretched, which i don't mind in this case. finally, the color. it looks white on my monitor and shows a colorful blue dot")</f>
        <v>First, this is thermal ,so naturally i didn't expect super sheer, but it is. really sheer light fabric. i like it, but be prepared for considering who you might run into if you walk around the house in it. second, it is large. i ordered the size 0 and it's a nice oversized fit for my 5'3" 125 pounds. i wouldn't want to go larger. along with being sheer, the fabric is easily stretched, which i don't mind in this case. finally, the color. it looks white on my monitor and shows a colorful blue dot</v>
      </c>
      <c r="F45" s="13">
        <f>IFERROR(__xludf.DUMMYFUNCTION("""COMPUTED_VALUE"""),4.0)</f>
        <v>4</v>
      </c>
      <c r="G45" s="13">
        <f>IFERROR(__xludf.DUMMYFUNCTION("""COMPUTED_VALUE"""),1.0)</f>
        <v>1</v>
      </c>
      <c r="H45" s="13">
        <f>IFERROR(__xludf.DUMMYFUNCTION("""COMPUTED_VALUE"""),1.0)</f>
        <v>1</v>
      </c>
      <c r="I45" s="13" t="str">
        <f>IFERROR(__xludf.DUMMYFUNCTION("""COMPUTED_VALUE"""),"Initmates")</f>
        <v>Initmates</v>
      </c>
      <c r="J45" s="13" t="str">
        <f>IFERROR(__xludf.DUMMYFUNCTION("""COMPUTED_VALUE"""),"Intimate")</f>
        <v>Intimate</v>
      </c>
      <c r="K45" s="13" t="str">
        <f>IFERROR(__xludf.DUMMYFUNCTION("""COMPUTED_VALUE"""),"Sleep")</f>
        <v>Sleep</v>
      </c>
      <c r="L45" s="13"/>
    </row>
    <row r="46">
      <c r="A46" s="13">
        <f>IFERROR(__xludf.DUMMYFUNCTION("""COMPUTED_VALUE"""),44.0)</f>
        <v>44</v>
      </c>
      <c r="B46" s="13">
        <f>IFERROR(__xludf.DUMMYFUNCTION("""COMPUTED_VALUE"""),862.0)</f>
        <v>862</v>
      </c>
      <c r="C46" s="13">
        <f>IFERROR(__xludf.DUMMYFUNCTION("""COMPUTED_VALUE"""),48.0)</f>
        <v>48</v>
      </c>
      <c r="D46" s="12" t="str">
        <f>IFERROR(__xludf.DUMMYFUNCTION("""COMPUTED_VALUE"""),"Beautiful!")</f>
        <v>Beautiful!</v>
      </c>
      <c r="E46" s="12" t="str">
        <f>IFERROR(__xludf.DUMMYFUNCTION("""COMPUTED_VALUE"""),"Tried this on today at my local retailer and had to have it. it is so comfortable and flattering. it's too bad the picture online has the model tucking it into the skirt because you can't see the ruching across the front. a little dressier alternative to "&amp;"a plain tee and reasonably priced for retailer. 5'8"""" and i generally wear a 6, the small fit well. will probably be back for the black!")</f>
        <v>Tried this on today at my local retailer and had to have it. it is so comfortable and flattering. it's too bad the picture online has the model tucking it into the skirt because you can't see the ruching across the front. a little dressier alternative to a plain tee and reasonably priced for retailer. 5'8"" and i generally wear a 6, the small fit well. will probably be back for the black!</v>
      </c>
      <c r="F46" s="13">
        <f>IFERROR(__xludf.DUMMYFUNCTION("""COMPUTED_VALUE"""),5.0)</f>
        <v>5</v>
      </c>
      <c r="G46" s="13">
        <f>IFERROR(__xludf.DUMMYFUNCTION("""COMPUTED_VALUE"""),1.0)</f>
        <v>1</v>
      </c>
      <c r="H46" s="13">
        <f>IFERROR(__xludf.DUMMYFUNCTION("""COMPUTED_VALUE"""),9.0)</f>
        <v>9</v>
      </c>
      <c r="I46" s="13" t="str">
        <f>IFERROR(__xludf.DUMMYFUNCTION("""COMPUTED_VALUE"""),"General")</f>
        <v>General</v>
      </c>
      <c r="J46" s="13" t="str">
        <f>IFERROR(__xludf.DUMMYFUNCTION("""COMPUTED_VALUE"""),"Tops")</f>
        <v>Tops</v>
      </c>
      <c r="K46" s="13" t="str">
        <f>IFERROR(__xludf.DUMMYFUNCTION("""COMPUTED_VALUE"""),"Knits")</f>
        <v>Knits</v>
      </c>
      <c r="L46" s="13"/>
    </row>
    <row r="47">
      <c r="A47" s="13">
        <f>IFERROR(__xludf.DUMMYFUNCTION("""COMPUTED_VALUE"""),45.0)</f>
        <v>45</v>
      </c>
      <c r="B47" s="13">
        <f>IFERROR(__xludf.DUMMYFUNCTION("""COMPUTED_VALUE"""),862.0)</f>
        <v>862</v>
      </c>
      <c r="C47" s="13">
        <f>IFERROR(__xludf.DUMMYFUNCTION("""COMPUTED_VALUE"""),43.0)</f>
        <v>43</v>
      </c>
      <c r="D47" s="12" t="str">
        <f>IFERROR(__xludf.DUMMYFUNCTION("""COMPUTED_VALUE"""),"Love the two tone design")</f>
        <v>Love the two tone design</v>
      </c>
      <c r="E47" s="12" t="str">
        <f>IFERROR(__xludf.DUMMYFUNCTION("""COMPUTED_VALUE"""),"I bought this item from online... the fit on the model looked a little loose but when i got mine it seemed a bit tight! so i took it back to the store &amp; ordered a larger size. for the sale price this is a great top.")</f>
        <v>I bought this item from online... the fit on the model looked a little loose but when i got mine it seemed a bit tight! so i took it back to the store &amp; ordered a larger size. for the sale price this is a great top.</v>
      </c>
      <c r="F47" s="13">
        <f>IFERROR(__xludf.DUMMYFUNCTION("""COMPUTED_VALUE"""),4.0)</f>
        <v>4</v>
      </c>
      <c r="G47" s="13">
        <f>IFERROR(__xludf.DUMMYFUNCTION("""COMPUTED_VALUE"""),1.0)</f>
        <v>1</v>
      </c>
      <c r="H47" s="13">
        <f>IFERROR(__xludf.DUMMYFUNCTION("""COMPUTED_VALUE"""),0.0)</f>
        <v>0</v>
      </c>
      <c r="I47" s="13" t="str">
        <f>IFERROR(__xludf.DUMMYFUNCTION("""COMPUTED_VALUE"""),"General")</f>
        <v>General</v>
      </c>
      <c r="J47" s="13" t="str">
        <f>IFERROR(__xludf.DUMMYFUNCTION("""COMPUTED_VALUE"""),"Tops")</f>
        <v>Tops</v>
      </c>
      <c r="K47" s="13" t="str">
        <f>IFERROR(__xludf.DUMMYFUNCTION("""COMPUTED_VALUE"""),"Knits")</f>
        <v>Knits</v>
      </c>
      <c r="L47" s="13"/>
    </row>
    <row r="48">
      <c r="A48" s="13">
        <f>IFERROR(__xludf.DUMMYFUNCTION("""COMPUTED_VALUE"""),46.0)</f>
        <v>46</v>
      </c>
      <c r="B48" s="13">
        <f>IFERROR(__xludf.DUMMYFUNCTION("""COMPUTED_VALUE"""),862.0)</f>
        <v>862</v>
      </c>
      <c r="C48" s="13">
        <f>IFERROR(__xludf.DUMMYFUNCTION("""COMPUTED_VALUE"""),40.0)</f>
        <v>40</v>
      </c>
      <c r="D48" s="12"/>
      <c r="E48" s="12" t="str">
        <f>IFERROR(__xludf.DUMMYFUNCTION("""COMPUTED_VALUE"""),"I love this top. i wear it all the time.  the problem is that you can tell i wear it all the time as the fabric has started to fade.  i'd still recommend it as it is so comfortable.")</f>
        <v>I love this top. i wear it all the time.  the problem is that you can tell i wear it all the time as the fabric has started to fade.  i'd still recommend it as it is so comfortable.</v>
      </c>
      <c r="F48" s="13">
        <f>IFERROR(__xludf.DUMMYFUNCTION("""COMPUTED_VALUE"""),5.0)</f>
        <v>5</v>
      </c>
      <c r="G48" s="13">
        <f>IFERROR(__xludf.DUMMYFUNCTION("""COMPUTED_VALUE"""),1.0)</f>
        <v>1</v>
      </c>
      <c r="H48" s="13">
        <f>IFERROR(__xludf.DUMMYFUNCTION("""COMPUTED_VALUE"""),0.0)</f>
        <v>0</v>
      </c>
      <c r="I48" s="13" t="str">
        <f>IFERROR(__xludf.DUMMYFUNCTION("""COMPUTED_VALUE"""),"General")</f>
        <v>General</v>
      </c>
      <c r="J48" s="13" t="str">
        <f>IFERROR(__xludf.DUMMYFUNCTION("""COMPUTED_VALUE"""),"Tops")</f>
        <v>Tops</v>
      </c>
      <c r="K48" s="13" t="str">
        <f>IFERROR(__xludf.DUMMYFUNCTION("""COMPUTED_VALUE"""),"Knits")</f>
        <v>Knits</v>
      </c>
      <c r="L48" s="13"/>
    </row>
    <row r="49">
      <c r="A49" s="13">
        <f>IFERROR(__xludf.DUMMYFUNCTION("""COMPUTED_VALUE"""),47.0)</f>
        <v>47</v>
      </c>
      <c r="B49" s="13">
        <f>IFERROR(__xludf.DUMMYFUNCTION("""COMPUTED_VALUE"""),823.0)</f>
        <v>823</v>
      </c>
      <c r="C49" s="13">
        <f>IFERROR(__xludf.DUMMYFUNCTION("""COMPUTED_VALUE"""),52.0)</f>
        <v>52</v>
      </c>
      <c r="D49" s="12"/>
      <c r="E49" s="12" t="str">
        <f>IFERROR(__xludf.DUMMYFUNCTION("""COMPUTED_VALUE"""),"Very comfortable, material is good, cut out on sleeves flattering")</f>
        <v>Very comfortable, material is good, cut out on sleeves flattering</v>
      </c>
      <c r="F49" s="13">
        <f>IFERROR(__xludf.DUMMYFUNCTION("""COMPUTED_VALUE"""),5.0)</f>
        <v>5</v>
      </c>
      <c r="G49" s="13">
        <f>IFERROR(__xludf.DUMMYFUNCTION("""COMPUTED_VALUE"""),1.0)</f>
        <v>1</v>
      </c>
      <c r="H49" s="13">
        <f>IFERROR(__xludf.DUMMYFUNCTION("""COMPUTED_VALUE"""),0.0)</f>
        <v>0</v>
      </c>
      <c r="I49" s="13" t="str">
        <f>IFERROR(__xludf.DUMMYFUNCTION("""COMPUTED_VALUE"""),"General")</f>
        <v>General</v>
      </c>
      <c r="J49" s="13" t="str">
        <f>IFERROR(__xludf.DUMMYFUNCTION("""COMPUTED_VALUE"""),"Tops")</f>
        <v>Tops</v>
      </c>
      <c r="K49" s="13" t="str">
        <f>IFERROR(__xludf.DUMMYFUNCTION("""COMPUTED_VALUE"""),"Blouses")</f>
        <v>Blouses</v>
      </c>
      <c r="L49" s="13"/>
    </row>
    <row r="50">
      <c r="A50" s="13">
        <f>IFERROR(__xludf.DUMMYFUNCTION("""COMPUTED_VALUE"""),48.0)</f>
        <v>48</v>
      </c>
      <c r="B50" s="13">
        <f>IFERROR(__xludf.DUMMYFUNCTION("""COMPUTED_VALUE"""),910.0)</f>
        <v>910</v>
      </c>
      <c r="C50" s="13">
        <f>IFERROR(__xludf.DUMMYFUNCTION("""COMPUTED_VALUE"""),56.0)</f>
        <v>56</v>
      </c>
      <c r="D50" s="12" t="str">
        <f>IFERROR(__xludf.DUMMYFUNCTION("""COMPUTED_VALUE"""),"Love the color!")</f>
        <v>Love the color!</v>
      </c>
      <c r="E50" s="12" t="str">
        <f>IFERROR(__xludf.DUMMYFUNCTION("""COMPUTED_VALUE"""),"This sweater is perfect for fall...it's roomy, warm, super comfy and the color really pops.")</f>
        <v>This sweater is perfect for fall...it's roomy, warm, super comfy and the color really pops.</v>
      </c>
      <c r="F50" s="13">
        <f>IFERROR(__xludf.DUMMYFUNCTION("""COMPUTED_VALUE"""),5.0)</f>
        <v>5</v>
      </c>
      <c r="G50" s="13">
        <f>IFERROR(__xludf.DUMMYFUNCTION("""COMPUTED_VALUE"""),1.0)</f>
        <v>1</v>
      </c>
      <c r="H50" s="13">
        <f>IFERROR(__xludf.DUMMYFUNCTION("""COMPUTED_VALUE"""),0.0)</f>
        <v>0</v>
      </c>
      <c r="I50" s="13" t="str">
        <f>IFERROR(__xludf.DUMMYFUNCTION("""COMPUTED_VALUE"""),"General")</f>
        <v>General</v>
      </c>
      <c r="J50" s="13" t="str">
        <f>IFERROR(__xludf.DUMMYFUNCTION("""COMPUTED_VALUE"""),"Tops")</f>
        <v>Tops</v>
      </c>
      <c r="K50" s="13" t="str">
        <f>IFERROR(__xludf.DUMMYFUNCTION("""COMPUTED_VALUE"""),"Fine gauge")</f>
        <v>Fine gauge</v>
      </c>
      <c r="L50" s="13"/>
    </row>
    <row r="51">
      <c r="A51" s="13">
        <f>IFERROR(__xludf.DUMMYFUNCTION("""COMPUTED_VALUE"""),49.0)</f>
        <v>49</v>
      </c>
      <c r="B51" s="13">
        <f>IFERROR(__xludf.DUMMYFUNCTION("""COMPUTED_VALUE"""),862.0)</f>
        <v>862</v>
      </c>
      <c r="C51" s="13">
        <f>IFERROR(__xludf.DUMMYFUNCTION("""COMPUTED_VALUE"""),33.0)</f>
        <v>33</v>
      </c>
      <c r="D51" s="12" t="str">
        <f>IFERROR(__xludf.DUMMYFUNCTION("""COMPUTED_VALUE"""),"Love the embroidery!")</f>
        <v>Love the embroidery!</v>
      </c>
      <c r="E51" s="12" t="str">
        <f>IFERROR(__xludf.DUMMYFUNCTION("""COMPUTED_VALUE"""),"Really cute top! the embroidery on the collar &amp; bib of this top is beautiful and unique, received lots of compliments &amp; questions about where i got it. i'm rather busty up top and the medium fit well, a small probably would've fit better but it's still su"&amp;"per adorable.")</f>
        <v>Really cute top! the embroidery on the collar &amp; bib of this top is beautiful and unique, received lots of compliments &amp; questions about where i got it. i'm rather busty up top and the medium fit well, a small probably would've fit better but it's still super adorable.</v>
      </c>
      <c r="F51" s="13">
        <f>IFERROR(__xludf.DUMMYFUNCTION("""COMPUTED_VALUE"""),5.0)</f>
        <v>5</v>
      </c>
      <c r="G51" s="13">
        <f>IFERROR(__xludf.DUMMYFUNCTION("""COMPUTED_VALUE"""),1.0)</f>
        <v>1</v>
      </c>
      <c r="H51" s="13">
        <f>IFERROR(__xludf.DUMMYFUNCTION("""COMPUTED_VALUE"""),0.0)</f>
        <v>0</v>
      </c>
      <c r="I51" s="13" t="str">
        <f>IFERROR(__xludf.DUMMYFUNCTION("""COMPUTED_VALUE"""),"General")</f>
        <v>General</v>
      </c>
      <c r="J51" s="13" t="str">
        <f>IFERROR(__xludf.DUMMYFUNCTION("""COMPUTED_VALUE"""),"Tops")</f>
        <v>Tops</v>
      </c>
      <c r="K51" s="13" t="str">
        <f>IFERROR(__xludf.DUMMYFUNCTION("""COMPUTED_VALUE"""),"Knits")</f>
        <v>Knits</v>
      </c>
      <c r="L51" s="13"/>
    </row>
    <row r="52">
      <c r="A52" s="13">
        <f>IFERROR(__xludf.DUMMYFUNCTION("""COMPUTED_VALUE"""),50.0)</f>
        <v>50</v>
      </c>
      <c r="B52" s="13">
        <f>IFERROR(__xludf.DUMMYFUNCTION("""COMPUTED_VALUE"""),862.0)</f>
        <v>862</v>
      </c>
      <c r="C52" s="13">
        <f>IFERROR(__xludf.DUMMYFUNCTION("""COMPUTED_VALUE"""),46.0)</f>
        <v>46</v>
      </c>
      <c r="D52" s="12" t="str">
        <f>IFERROR(__xludf.DUMMYFUNCTION("""COMPUTED_VALUE"""),"Cute for fall")</f>
        <v>Cute for fall</v>
      </c>
      <c r="E52" s="12" t="str">
        <f>IFERROR(__xludf.DUMMYFUNCTION("""COMPUTED_VALUE"""),"This is a cute top that can transition easily from summer to fall. it fits well, nice print and it's comfortable. i tried this on in the store, but did not purchase it because the color washed me out. this is not the best color for a blonde. would look mu"&amp;"ch better on a brunette. if this was in a different color i most likely would have purchased it.")</f>
        <v>This is a cute top that can transition easily from summer to fall. it fits well, nice print and it's comfortable. i tried this on in the store, but did not purchase it because the color washed me out. this is not the best color for a blonde. would look much better on a brunette. if this was in a different color i most likely would have purchased it.</v>
      </c>
      <c r="F52" s="13">
        <f>IFERROR(__xludf.DUMMYFUNCTION("""COMPUTED_VALUE"""),4.0)</f>
        <v>4</v>
      </c>
      <c r="G52" s="13">
        <f>IFERROR(__xludf.DUMMYFUNCTION("""COMPUTED_VALUE"""),1.0)</f>
        <v>1</v>
      </c>
      <c r="H52" s="13">
        <f>IFERROR(__xludf.DUMMYFUNCTION("""COMPUTED_VALUE"""),1.0)</f>
        <v>1</v>
      </c>
      <c r="I52" s="13" t="str">
        <f>IFERROR(__xludf.DUMMYFUNCTION("""COMPUTED_VALUE"""),"General")</f>
        <v>General</v>
      </c>
      <c r="J52" s="13" t="str">
        <f>IFERROR(__xludf.DUMMYFUNCTION("""COMPUTED_VALUE"""),"Tops")</f>
        <v>Tops</v>
      </c>
      <c r="K52" s="13" t="str">
        <f>IFERROR(__xludf.DUMMYFUNCTION("""COMPUTED_VALUE"""),"Knits")</f>
        <v>Knits</v>
      </c>
      <c r="L52" s="13"/>
    </row>
    <row r="53">
      <c r="A53" s="13">
        <f>IFERROR(__xludf.DUMMYFUNCTION("""COMPUTED_VALUE"""),51.0)</f>
        <v>51</v>
      </c>
      <c r="B53" s="13">
        <f>IFERROR(__xludf.DUMMYFUNCTION("""COMPUTED_VALUE"""),862.0)</f>
        <v>862</v>
      </c>
      <c r="C53" s="13">
        <f>IFERROR(__xludf.DUMMYFUNCTION("""COMPUTED_VALUE"""),41.0)</f>
        <v>41</v>
      </c>
      <c r="D53" s="12" t="str">
        <f>IFERROR(__xludf.DUMMYFUNCTION("""COMPUTED_VALUE"""),"Love")</f>
        <v>Love</v>
      </c>
      <c r="E53" s="12" t="str">
        <f>IFERROR(__xludf.DUMMYFUNCTION("""COMPUTED_VALUE"""),"I absolutely love this bib tee! it's probably my favorite retailer purchase of all time. i'm 5'7"", 140 pounds and the small was a perfect fit for me. i typically wear either a s or m tops.")</f>
        <v>I absolutely love this bib tee! it's probably my favorite retailer purchase of all time. i'm 5'7", 140 pounds and the small was a perfect fit for me. i typically wear either a s or m tops.</v>
      </c>
      <c r="F53" s="13">
        <f>IFERROR(__xludf.DUMMYFUNCTION("""COMPUTED_VALUE"""),5.0)</f>
        <v>5</v>
      </c>
      <c r="G53" s="13">
        <f>IFERROR(__xludf.DUMMYFUNCTION("""COMPUTED_VALUE"""),1.0)</f>
        <v>1</v>
      </c>
      <c r="H53" s="13">
        <f>IFERROR(__xludf.DUMMYFUNCTION("""COMPUTED_VALUE"""),2.0)</f>
        <v>2</v>
      </c>
      <c r="I53" s="13" t="str">
        <f>IFERROR(__xludf.DUMMYFUNCTION("""COMPUTED_VALUE"""),"General")</f>
        <v>General</v>
      </c>
      <c r="J53" s="13" t="str">
        <f>IFERROR(__xludf.DUMMYFUNCTION("""COMPUTED_VALUE"""),"Tops")</f>
        <v>Tops</v>
      </c>
      <c r="K53" s="13" t="str">
        <f>IFERROR(__xludf.DUMMYFUNCTION("""COMPUTED_VALUE"""),"Knits")</f>
        <v>Knits</v>
      </c>
      <c r="L53" s="13"/>
    </row>
    <row r="54">
      <c r="A54" s="13">
        <f>IFERROR(__xludf.DUMMYFUNCTION("""COMPUTED_VALUE"""),52.0)</f>
        <v>52</v>
      </c>
      <c r="B54" s="13">
        <f>IFERROR(__xludf.DUMMYFUNCTION("""COMPUTED_VALUE"""),1104.0)</f>
        <v>1104</v>
      </c>
      <c r="C54" s="13">
        <f>IFERROR(__xludf.DUMMYFUNCTION("""COMPUTED_VALUE"""),39.0)</f>
        <v>39</v>
      </c>
      <c r="D54" s="12"/>
      <c r="E54" s="12" t="str">
        <f>IFERROR(__xludf.DUMMYFUNCTION("""COMPUTED_VALUE"""),"Love the color and style, but material snags easily")</f>
        <v>Love the color and style, but material snags easily</v>
      </c>
      <c r="F54" s="13">
        <f>IFERROR(__xludf.DUMMYFUNCTION("""COMPUTED_VALUE"""),3.0)</f>
        <v>3</v>
      </c>
      <c r="G54" s="13">
        <f>IFERROR(__xludf.DUMMYFUNCTION("""COMPUTED_VALUE"""),1.0)</f>
        <v>1</v>
      </c>
      <c r="H54" s="13">
        <f>IFERROR(__xludf.DUMMYFUNCTION("""COMPUTED_VALUE"""),3.0)</f>
        <v>3</v>
      </c>
      <c r="I54" s="13" t="str">
        <f>IFERROR(__xludf.DUMMYFUNCTION("""COMPUTED_VALUE"""),"General")</f>
        <v>General</v>
      </c>
      <c r="J54" s="13" t="str">
        <f>IFERROR(__xludf.DUMMYFUNCTION("""COMPUTED_VALUE"""),"Dresses")</f>
        <v>Dresses</v>
      </c>
      <c r="K54" s="13" t="str">
        <f>IFERROR(__xludf.DUMMYFUNCTION("""COMPUTED_VALUE"""),"Dresses")</f>
        <v>Dresses</v>
      </c>
      <c r="L54" s="13"/>
    </row>
    <row r="55">
      <c r="A55" s="13">
        <f>IFERROR(__xludf.DUMMYFUNCTION("""COMPUTED_VALUE"""),53.0)</f>
        <v>53</v>
      </c>
      <c r="B55" s="13">
        <f>IFERROR(__xludf.DUMMYFUNCTION("""COMPUTED_VALUE"""),862.0)</f>
        <v>862</v>
      </c>
      <c r="C55" s="13">
        <f>IFERROR(__xludf.DUMMYFUNCTION("""COMPUTED_VALUE"""),39.0)</f>
        <v>39</v>
      </c>
      <c r="D55" s="12" t="str">
        <f>IFERROR(__xludf.DUMMYFUNCTION("""COMPUTED_VALUE"""),"Flattering and comfortable")</f>
        <v>Flattering and comfortable</v>
      </c>
      <c r="E55" s="12" t="str">
        <f>IFERROR(__xludf.DUMMYFUNCTION("""COMPUTED_VALUE"""),"Very soft and comfortable. the shirt has an unusual, asymmetrical seam that appears along the front, right-hand side of the garment. (the model is positioned so that you can't see this detail from the picture. i attached a picture that includes the front "&amp;"seam.) i actually like the seam - it creates more visual interest, and adds a little bit of ruching that helps hide my belly. the cowl neck is very well done - there are two layers that form the cowl, and i've found that it means wardrobe malfun")</f>
        <v>Very soft and comfortable. the shirt has an unusual, asymmetrical seam that appears along the front, right-hand side of the garment. (the model is positioned so that you can't see this detail from the picture. i attached a picture that includes the front seam.) i actually like the seam - it creates more visual interest, and adds a little bit of ruching that helps hide my belly. the cowl neck is very well done - there are two layers that form the cowl, and i've found that it means wardrobe malfun</v>
      </c>
      <c r="F55" s="13">
        <f>IFERROR(__xludf.DUMMYFUNCTION("""COMPUTED_VALUE"""),5.0)</f>
        <v>5</v>
      </c>
      <c r="G55" s="13">
        <f>IFERROR(__xludf.DUMMYFUNCTION("""COMPUTED_VALUE"""),1.0)</f>
        <v>1</v>
      </c>
      <c r="H55" s="13">
        <f>IFERROR(__xludf.DUMMYFUNCTION("""COMPUTED_VALUE"""),34.0)</f>
        <v>34</v>
      </c>
      <c r="I55" s="13" t="str">
        <f>IFERROR(__xludf.DUMMYFUNCTION("""COMPUTED_VALUE"""),"General")</f>
        <v>General</v>
      </c>
      <c r="J55" s="13" t="str">
        <f>IFERROR(__xludf.DUMMYFUNCTION("""COMPUTED_VALUE"""),"Tops")</f>
        <v>Tops</v>
      </c>
      <c r="K55" s="13" t="str">
        <f>IFERROR(__xludf.DUMMYFUNCTION("""COMPUTED_VALUE"""),"Knits")</f>
        <v>Knits</v>
      </c>
      <c r="L55" s="13"/>
    </row>
    <row r="56">
      <c r="A56" s="13">
        <f>IFERROR(__xludf.DUMMYFUNCTION("""COMPUTED_VALUE"""),54.0)</f>
        <v>54</v>
      </c>
      <c r="B56" s="13">
        <f>IFERROR(__xludf.DUMMYFUNCTION("""COMPUTED_VALUE"""),862.0)</f>
        <v>862</v>
      </c>
      <c r="C56" s="13">
        <f>IFERROR(__xludf.DUMMYFUNCTION("""COMPUTED_VALUE"""),66.0)</f>
        <v>66</v>
      </c>
      <c r="D56" s="12" t="str">
        <f>IFERROR(__xludf.DUMMYFUNCTION("""COMPUTED_VALUE"""),"Cute top")</f>
        <v>Cute top</v>
      </c>
      <c r="E56" s="12" t="str">
        <f>IFERROR(__xludf.DUMMYFUNCTION("""COMPUTED_VALUE"""),"Nice top. armholes are a bit oversized but as an older woman, i'm picky about that. the print is pretty and unusual. it just didn't look great on me. there's a slight peplum in the back that hangs nicely. it's a lightweight tee fabric that's opaque. i tri"&amp;"ed it on with a black bra which was barely visible. great for warmer climates but there are so many gorgeous tops out now, that i decided to return since summer is winding down. i do recommend.")</f>
        <v>Nice top. armholes are a bit oversized but as an older woman, i'm picky about that. the print is pretty and unusual. it just didn't look great on me. there's a slight peplum in the back that hangs nicely. it's a lightweight tee fabric that's opaque. i tried it on with a black bra which was barely visible. great for warmer climates but there are so many gorgeous tops out now, that i decided to return since summer is winding down. i do recommend.</v>
      </c>
      <c r="F56" s="13">
        <f>IFERROR(__xludf.DUMMYFUNCTION("""COMPUTED_VALUE"""),4.0)</f>
        <v>4</v>
      </c>
      <c r="G56" s="13">
        <f>IFERROR(__xludf.DUMMYFUNCTION("""COMPUTED_VALUE"""),1.0)</f>
        <v>1</v>
      </c>
      <c r="H56" s="13">
        <f>IFERROR(__xludf.DUMMYFUNCTION("""COMPUTED_VALUE"""),2.0)</f>
        <v>2</v>
      </c>
      <c r="I56" s="13" t="str">
        <f>IFERROR(__xludf.DUMMYFUNCTION("""COMPUTED_VALUE"""),"General")</f>
        <v>General</v>
      </c>
      <c r="J56" s="13" t="str">
        <f>IFERROR(__xludf.DUMMYFUNCTION("""COMPUTED_VALUE"""),"Tops")</f>
        <v>Tops</v>
      </c>
      <c r="K56" s="13" t="str">
        <f>IFERROR(__xludf.DUMMYFUNCTION("""COMPUTED_VALUE"""),"Knits")</f>
        <v>Knits</v>
      </c>
      <c r="L56" s="13"/>
    </row>
    <row r="57">
      <c r="A57" s="13">
        <f>IFERROR(__xludf.DUMMYFUNCTION("""COMPUTED_VALUE"""),55.0)</f>
        <v>55</v>
      </c>
      <c r="B57" s="13">
        <f>IFERROR(__xludf.DUMMYFUNCTION("""COMPUTED_VALUE"""),862.0)</f>
        <v>862</v>
      </c>
      <c r="C57" s="13">
        <f>IFERROR(__xludf.DUMMYFUNCTION("""COMPUTED_VALUE"""),61.0)</f>
        <v>61</v>
      </c>
      <c r="D57" s="12" t="str">
        <f>IFERROR(__xludf.DUMMYFUNCTION("""COMPUTED_VALUE"""),"Soft and cute as can be!")</f>
        <v>Soft and cute as can be!</v>
      </c>
      <c r="E57" s="12" t="str">
        <f>IFERROR(__xludf.DUMMYFUNCTION("""COMPUTED_VALUE"""),"This is an adorable top that i find to be extremely comfortable. i don't usually buy prints but this one is so feminine and looks great with dark wash jeans. i am a 36d and the medium was a perfect fit.")</f>
        <v>This is an adorable top that i find to be extremely comfortable. i don't usually buy prints but this one is so feminine and looks great with dark wash jeans. i am a 36d and the medium was a perfect fit.</v>
      </c>
      <c r="F57" s="13">
        <f>IFERROR(__xludf.DUMMYFUNCTION("""COMPUTED_VALUE"""),5.0)</f>
        <v>5</v>
      </c>
      <c r="G57" s="13">
        <f>IFERROR(__xludf.DUMMYFUNCTION("""COMPUTED_VALUE"""),1.0)</f>
        <v>1</v>
      </c>
      <c r="H57" s="13">
        <f>IFERROR(__xludf.DUMMYFUNCTION("""COMPUTED_VALUE"""),2.0)</f>
        <v>2</v>
      </c>
      <c r="I57" s="13" t="str">
        <f>IFERROR(__xludf.DUMMYFUNCTION("""COMPUTED_VALUE"""),"General")</f>
        <v>General</v>
      </c>
      <c r="J57" s="13" t="str">
        <f>IFERROR(__xludf.DUMMYFUNCTION("""COMPUTED_VALUE"""),"Tops")</f>
        <v>Tops</v>
      </c>
      <c r="K57" s="13" t="str">
        <f>IFERROR(__xludf.DUMMYFUNCTION("""COMPUTED_VALUE"""),"Knits")</f>
        <v>Knits</v>
      </c>
      <c r="L57" s="13"/>
    </row>
    <row r="58">
      <c r="A58" s="13">
        <f>IFERROR(__xludf.DUMMYFUNCTION("""COMPUTED_VALUE"""),56.0)</f>
        <v>56</v>
      </c>
      <c r="B58" s="13">
        <f>IFERROR(__xludf.DUMMYFUNCTION("""COMPUTED_VALUE"""),368.0)</f>
        <v>368</v>
      </c>
      <c r="C58" s="13">
        <f>IFERROR(__xludf.DUMMYFUNCTION("""COMPUTED_VALUE"""),33.0)</f>
        <v>33</v>
      </c>
      <c r="D58" s="12"/>
      <c r="E58" s="12" t="str">
        <f>IFERROR(__xludf.DUMMYFUNCTION("""COMPUTED_VALUE"""),"I am pregnant and i thought this would be a great sleep bra. it's soft and fits okay, but it has zero support or shape. i would only buy if you are a b cup or smaller and can get away without support. if i would have seen this is the store, i would have p"&amp;"assed over it. however, i was too lazy to return so i am wearing it. it's comfortable so that's a redeeming quality. i would not recommend for larger chested ladies, though!")</f>
        <v>I am pregnant and i thought this would be a great sleep bra. it's soft and fits okay, but it has zero support or shape. i would only buy if you are a b cup or smaller and can get away without support. if i would have seen this is the store, i would have passed over it. however, i was too lazy to return so i am wearing it. it's comfortable so that's a redeeming quality. i would not recommend for larger chested ladies, though!</v>
      </c>
      <c r="F58" s="13">
        <f>IFERROR(__xludf.DUMMYFUNCTION("""COMPUTED_VALUE"""),2.0)</f>
        <v>2</v>
      </c>
      <c r="G58" s="13">
        <f>IFERROR(__xludf.DUMMYFUNCTION("""COMPUTED_VALUE"""),0.0)</f>
        <v>0</v>
      </c>
      <c r="H58" s="13">
        <f>IFERROR(__xludf.DUMMYFUNCTION("""COMPUTED_VALUE"""),3.0)</f>
        <v>3</v>
      </c>
      <c r="I58" s="13" t="str">
        <f>IFERROR(__xludf.DUMMYFUNCTION("""COMPUTED_VALUE"""),"Initmates")</f>
        <v>Initmates</v>
      </c>
      <c r="J58" s="13" t="str">
        <f>IFERROR(__xludf.DUMMYFUNCTION("""COMPUTED_VALUE"""),"Intimate")</f>
        <v>Intimate</v>
      </c>
      <c r="K58" s="13" t="str">
        <f>IFERROR(__xludf.DUMMYFUNCTION("""COMPUTED_VALUE"""),"Intimates")</f>
        <v>Intimates</v>
      </c>
      <c r="L58" s="13"/>
    </row>
    <row r="59">
      <c r="A59" s="13">
        <f>IFERROR(__xludf.DUMMYFUNCTION("""COMPUTED_VALUE"""),57.0)</f>
        <v>57</v>
      </c>
      <c r="B59" s="13">
        <f>IFERROR(__xludf.DUMMYFUNCTION("""COMPUTED_VALUE"""),862.0)</f>
        <v>862</v>
      </c>
      <c r="C59" s="13">
        <f>IFERROR(__xludf.DUMMYFUNCTION("""COMPUTED_VALUE"""),31.0)</f>
        <v>31</v>
      </c>
      <c r="D59" s="12" t="str">
        <f>IFERROR(__xludf.DUMMYFUNCTION("""COMPUTED_VALUE"""),"Boring front, great back")</f>
        <v>Boring front, great back</v>
      </c>
      <c r="E59" s="12" t="str">
        <f>IFERROR(__xludf.DUMMYFUNCTION("""COMPUTED_VALUE"""),"This tank fit well and i loved the ruffle in the back and how it layed. but the front was not a good look and i will be retuning it.")</f>
        <v>This tank fit well and i loved the ruffle in the back and how it layed. but the front was not a good look and i will be retuning it.</v>
      </c>
      <c r="F59" s="13">
        <f>IFERROR(__xludf.DUMMYFUNCTION("""COMPUTED_VALUE"""),3.0)</f>
        <v>3</v>
      </c>
      <c r="G59" s="13">
        <f>IFERROR(__xludf.DUMMYFUNCTION("""COMPUTED_VALUE"""),0.0)</f>
        <v>0</v>
      </c>
      <c r="H59" s="13">
        <f>IFERROR(__xludf.DUMMYFUNCTION("""COMPUTED_VALUE"""),0.0)</f>
        <v>0</v>
      </c>
      <c r="I59" s="13" t="str">
        <f>IFERROR(__xludf.DUMMYFUNCTION("""COMPUTED_VALUE"""),"General")</f>
        <v>General</v>
      </c>
      <c r="J59" s="13" t="str">
        <f>IFERROR(__xludf.DUMMYFUNCTION("""COMPUTED_VALUE"""),"Tops")</f>
        <v>Tops</v>
      </c>
      <c r="K59" s="13" t="str">
        <f>IFERROR(__xludf.DUMMYFUNCTION("""COMPUTED_VALUE"""),"Knits")</f>
        <v>Knits</v>
      </c>
      <c r="L59" s="13"/>
    </row>
    <row r="60">
      <c r="A60" s="13">
        <f>IFERROR(__xludf.DUMMYFUNCTION("""COMPUTED_VALUE"""),58.0)</f>
        <v>58</v>
      </c>
      <c r="B60" s="13">
        <f>IFERROR(__xludf.DUMMYFUNCTION("""COMPUTED_VALUE"""),1095.0)</f>
        <v>1095</v>
      </c>
      <c r="C60" s="13">
        <f>IFERROR(__xludf.DUMMYFUNCTION("""COMPUTED_VALUE"""),36.0)</f>
        <v>36</v>
      </c>
      <c r="D60" s="12"/>
      <c r="E60" s="12" t="str">
        <f>IFERROR(__xludf.DUMMYFUNCTION("""COMPUTED_VALUE"""),"I got this in the petite length, size o, and it fit just right. i like that i didn't have to have it altered in the length; can wear with flats with plenty of clearance to the floor from the bottom hem. my only beef with the design is the height of the wa"&amp;"ist. i personally think that the elastic waistband looks cheap, and really needs to be concealed with a belt, yet because it sits so high, literally right under the bustline, it's a tricky one to pull off. i have a wide belt that sort of does th")</f>
        <v>I got this in the petite length, size o, and it fit just right. i like that i didn't have to have it altered in the length; can wear with flats with plenty of clearance to the floor from the bottom hem. my only beef with the design is the height of the waist. i personally think that the elastic waistband looks cheap, and really needs to be concealed with a belt, yet because it sits so high, literally right under the bustline, it's a tricky one to pull off. i have a wide belt that sort of does th</v>
      </c>
      <c r="F60" s="13">
        <f>IFERROR(__xludf.DUMMYFUNCTION("""COMPUTED_VALUE"""),4.0)</f>
        <v>4</v>
      </c>
      <c r="G60" s="13">
        <f>IFERROR(__xludf.DUMMYFUNCTION("""COMPUTED_VALUE"""),1.0)</f>
        <v>1</v>
      </c>
      <c r="H60" s="13">
        <f>IFERROR(__xludf.DUMMYFUNCTION("""COMPUTED_VALUE"""),0.0)</f>
        <v>0</v>
      </c>
      <c r="I60" s="13" t="str">
        <f>IFERROR(__xludf.DUMMYFUNCTION("""COMPUTED_VALUE"""),"General Petite")</f>
        <v>General Petite</v>
      </c>
      <c r="J60" s="13" t="str">
        <f>IFERROR(__xludf.DUMMYFUNCTION("""COMPUTED_VALUE"""),"Dresses")</f>
        <v>Dresses</v>
      </c>
      <c r="K60" s="13" t="str">
        <f>IFERROR(__xludf.DUMMYFUNCTION("""COMPUTED_VALUE"""),"Dresses")</f>
        <v>Dresses</v>
      </c>
      <c r="L60" s="13"/>
    </row>
    <row r="61">
      <c r="A61" s="13">
        <f>IFERROR(__xludf.DUMMYFUNCTION("""COMPUTED_VALUE"""),59.0)</f>
        <v>59</v>
      </c>
      <c r="B61" s="13">
        <f>IFERROR(__xludf.DUMMYFUNCTION("""COMPUTED_VALUE"""),368.0)</f>
        <v>368</v>
      </c>
      <c r="C61" s="13">
        <f>IFERROR(__xludf.DUMMYFUNCTION("""COMPUTED_VALUE"""),52.0)</f>
        <v>52</v>
      </c>
      <c r="D61" s="12" t="str">
        <f>IFERROR(__xludf.DUMMYFUNCTION("""COMPUTED_VALUE"""),"Soft and comfortable")</f>
        <v>Soft and comfortable</v>
      </c>
      <c r="E61" s="12" t="str">
        <f>IFERROR(__xludf.DUMMYFUNCTION("""COMPUTED_VALUE"""),"I've been looking for bralettes that provide some support but not binding/tight for night time and casual wear. this is a light weight bra, could be a little more supportive. pretty color, with nice lines. only downside is the retailer tag on the back - i"&amp;"tchy (i need to remove it.)")</f>
        <v>I've been looking for bralettes that provide some support but not binding/tight for night time and casual wear. this is a light weight bra, could be a little more supportive. pretty color, with nice lines. only downside is the retailer tag on the back - itchy (i need to remove it.)</v>
      </c>
      <c r="F61" s="13">
        <f>IFERROR(__xludf.DUMMYFUNCTION("""COMPUTED_VALUE"""),4.0)</f>
        <v>4</v>
      </c>
      <c r="G61" s="13">
        <f>IFERROR(__xludf.DUMMYFUNCTION("""COMPUTED_VALUE"""),1.0)</f>
        <v>1</v>
      </c>
      <c r="H61" s="13">
        <f>IFERROR(__xludf.DUMMYFUNCTION("""COMPUTED_VALUE"""),1.0)</f>
        <v>1</v>
      </c>
      <c r="I61" s="13" t="str">
        <f>IFERROR(__xludf.DUMMYFUNCTION("""COMPUTED_VALUE"""),"Initmates")</f>
        <v>Initmates</v>
      </c>
      <c r="J61" s="13" t="str">
        <f>IFERROR(__xludf.DUMMYFUNCTION("""COMPUTED_VALUE"""),"Intimate")</f>
        <v>Intimate</v>
      </c>
      <c r="K61" s="13" t="str">
        <f>IFERROR(__xludf.DUMMYFUNCTION("""COMPUTED_VALUE"""),"Intimates")</f>
        <v>Intimates</v>
      </c>
      <c r="L61" s="13"/>
    </row>
    <row r="62">
      <c r="A62" s="13">
        <f>IFERROR(__xludf.DUMMYFUNCTION("""COMPUTED_VALUE"""),60.0)</f>
        <v>60</v>
      </c>
      <c r="B62" s="13">
        <f>IFERROR(__xludf.DUMMYFUNCTION("""COMPUTED_VALUE"""),1095.0)</f>
        <v>1095</v>
      </c>
      <c r="C62" s="13">
        <f>IFERROR(__xludf.DUMMYFUNCTION("""COMPUTED_VALUE"""),41.0)</f>
        <v>41</v>
      </c>
      <c r="D62" s="12" t="str">
        <f>IFERROR(__xludf.DUMMYFUNCTION("""COMPUTED_VALUE"""),"Gorgeous dress!")</f>
        <v>Gorgeous dress!</v>
      </c>
      <c r="E62" s="12" t="str">
        <f>IFERROR(__xludf.DUMMYFUNCTION("""COMPUTED_VALUE"""),"This dress is simply beautiful and stunning. it is so figure flattering and i can't wait to wear it. size small worked for me, and since i'm tall it fell right to my ankle which is perfect for me. i could not be happier with the purchase and the keyhole i"&amp;"n the back is a beautiful detail.")</f>
        <v>This dress is simply beautiful and stunning. it is so figure flattering and i can't wait to wear it. size small worked for me, and since i'm tall it fell right to my ankle which is perfect for me. i could not be happier with the purchase and the keyhole in the back is a beautiful detail.</v>
      </c>
      <c r="F62" s="13">
        <f>IFERROR(__xludf.DUMMYFUNCTION("""COMPUTED_VALUE"""),5.0)</f>
        <v>5</v>
      </c>
      <c r="G62" s="13">
        <f>IFERROR(__xludf.DUMMYFUNCTION("""COMPUTED_VALUE"""),1.0)</f>
        <v>1</v>
      </c>
      <c r="H62" s="13">
        <f>IFERROR(__xludf.DUMMYFUNCTION("""COMPUTED_VALUE"""),0.0)</f>
        <v>0</v>
      </c>
      <c r="I62" s="13" t="str">
        <f>IFERROR(__xludf.DUMMYFUNCTION("""COMPUTED_VALUE"""),"General Petite")</f>
        <v>General Petite</v>
      </c>
      <c r="J62" s="13" t="str">
        <f>IFERROR(__xludf.DUMMYFUNCTION("""COMPUTED_VALUE"""),"Dresses")</f>
        <v>Dresses</v>
      </c>
      <c r="K62" s="13" t="str">
        <f>IFERROR(__xludf.DUMMYFUNCTION("""COMPUTED_VALUE"""),"Dresses")</f>
        <v>Dresses</v>
      </c>
      <c r="L62" s="13"/>
    </row>
    <row r="63">
      <c r="A63" s="13">
        <f>IFERROR(__xludf.DUMMYFUNCTION("""COMPUTED_VALUE"""),61.0)</f>
        <v>61</v>
      </c>
      <c r="B63" s="13">
        <f>IFERROR(__xludf.DUMMYFUNCTION("""COMPUTED_VALUE"""),368.0)</f>
        <v>368</v>
      </c>
      <c r="C63" s="13">
        <f>IFERROR(__xludf.DUMMYFUNCTION("""COMPUTED_VALUE"""),36.0)</f>
        <v>36</v>
      </c>
      <c r="D63" s="12" t="str">
        <f>IFERROR(__xludf.DUMMYFUNCTION("""COMPUTED_VALUE"""),"Itchy tags")</f>
        <v>Itchy tags</v>
      </c>
      <c r="E63" s="12" t="str">
        <f>IFERROR(__xludf.DUMMYFUNCTION("""COMPUTED_VALUE"""),"3 tags sewn in, 2 small (about 1'' long) and 1 huge (about 2'' x 3''). very itchy so i cut them out. then the thread left behind was plasticy and even more itchy! how can you make an intimates item with such itchy tags? not comfortable at all! also - i lo"&amp;"ve bralettes and wear them all the time including to work. i am a b cup. however, this one is so thin and flimsy that it gives no support even to a b cup - so for me this would only be a lounging bralette - if it wasn't so itchy!")</f>
        <v>3 tags sewn in, 2 small (about 1'' long) and 1 huge (about 2'' x 3''). very itchy so i cut them out. then the thread left behind was plasticy and even more itchy! how can you make an intimates item with such itchy tags? not comfortable at all! also - i love bralettes and wear them all the time including to work. i am a b cup. however, this one is so thin and flimsy that it gives no support even to a b cup - so for me this would only be a lounging bralette - if it wasn't so itchy!</v>
      </c>
      <c r="F63" s="13">
        <f>IFERROR(__xludf.DUMMYFUNCTION("""COMPUTED_VALUE"""),1.0)</f>
        <v>1</v>
      </c>
      <c r="G63" s="13">
        <f>IFERROR(__xludf.DUMMYFUNCTION("""COMPUTED_VALUE"""),0.0)</f>
        <v>0</v>
      </c>
      <c r="H63" s="13">
        <f>IFERROR(__xludf.DUMMYFUNCTION("""COMPUTED_VALUE"""),0.0)</f>
        <v>0</v>
      </c>
      <c r="I63" s="13" t="str">
        <f>IFERROR(__xludf.DUMMYFUNCTION("""COMPUTED_VALUE"""),"Initmates")</f>
        <v>Initmates</v>
      </c>
      <c r="J63" s="13" t="str">
        <f>IFERROR(__xludf.DUMMYFUNCTION("""COMPUTED_VALUE"""),"Intimate")</f>
        <v>Intimate</v>
      </c>
      <c r="K63" s="13" t="str">
        <f>IFERROR(__xludf.DUMMYFUNCTION("""COMPUTED_VALUE"""),"Intimates")</f>
        <v>Intimates</v>
      </c>
      <c r="L63" s="13"/>
    </row>
    <row r="64">
      <c r="A64" s="13">
        <f>IFERROR(__xludf.DUMMYFUNCTION("""COMPUTED_VALUE"""),62.0)</f>
        <v>62</v>
      </c>
      <c r="B64" s="13">
        <f>IFERROR(__xludf.DUMMYFUNCTION("""COMPUTED_VALUE"""),862.0)</f>
        <v>862</v>
      </c>
      <c r="C64" s="13">
        <f>IFERROR(__xludf.DUMMYFUNCTION("""COMPUTED_VALUE"""),28.0)</f>
        <v>28</v>
      </c>
      <c r="D64" s="12" t="str">
        <f>IFERROR(__xludf.DUMMYFUNCTION("""COMPUTED_VALUE"""),"Must have")</f>
        <v>Must have</v>
      </c>
      <c r="E64" s="12" t="str">
        <f>IFERROR(__xludf.DUMMYFUNCTION("""COMPUTED_VALUE"""),"I recently got this on sale after looking at it forever on my wish list. i'm so happy with it. its very comfortable and just long enough for my torso (5'3). the pattern on the front is very flattering.")</f>
        <v>I recently got this on sale after looking at it forever on my wish list. i'm so happy with it. its very comfortable and just long enough for my torso (5'3). the pattern on the front is very flattering.</v>
      </c>
      <c r="F64" s="13">
        <f>IFERROR(__xludf.DUMMYFUNCTION("""COMPUTED_VALUE"""),5.0)</f>
        <v>5</v>
      </c>
      <c r="G64" s="13">
        <f>IFERROR(__xludf.DUMMYFUNCTION("""COMPUTED_VALUE"""),1.0)</f>
        <v>1</v>
      </c>
      <c r="H64" s="13">
        <f>IFERROR(__xludf.DUMMYFUNCTION("""COMPUTED_VALUE"""),0.0)</f>
        <v>0</v>
      </c>
      <c r="I64" s="13" t="str">
        <f>IFERROR(__xludf.DUMMYFUNCTION("""COMPUTED_VALUE"""),"General")</f>
        <v>General</v>
      </c>
      <c r="J64" s="13" t="str">
        <f>IFERROR(__xludf.DUMMYFUNCTION("""COMPUTED_VALUE"""),"Tops")</f>
        <v>Tops</v>
      </c>
      <c r="K64" s="13" t="str">
        <f>IFERROR(__xludf.DUMMYFUNCTION("""COMPUTED_VALUE"""),"Knits")</f>
        <v>Knits</v>
      </c>
      <c r="L64" s="13"/>
    </row>
    <row r="65">
      <c r="A65" s="13">
        <f>IFERROR(__xludf.DUMMYFUNCTION("""COMPUTED_VALUE"""),63.0)</f>
        <v>63</v>
      </c>
      <c r="B65" s="13">
        <f>IFERROR(__xludf.DUMMYFUNCTION("""COMPUTED_VALUE"""),862.0)</f>
        <v>862</v>
      </c>
      <c r="C65" s="13">
        <f>IFERROR(__xludf.DUMMYFUNCTION("""COMPUTED_VALUE"""),57.0)</f>
        <v>57</v>
      </c>
      <c r="D65" s="12" t="str">
        <f>IFERROR(__xludf.DUMMYFUNCTION("""COMPUTED_VALUE"""),"Cute top! love the brand")</f>
        <v>Cute top! love the brand</v>
      </c>
      <c r="E65" s="12" t="str">
        <f>IFERROR(__xludf.DUMMYFUNCTION("""COMPUTED_VALUE"""),"Very comfortable shirt, light weight top with lovely floral colors. great for spring/summer with white jeans. love everything one september makes!")</f>
        <v>Very comfortable shirt, light weight top with lovely floral colors. great for spring/summer with white jeans. love everything one september makes!</v>
      </c>
      <c r="F65" s="13">
        <f>IFERROR(__xludf.DUMMYFUNCTION("""COMPUTED_VALUE"""),5.0)</f>
        <v>5</v>
      </c>
      <c r="G65" s="13">
        <f>IFERROR(__xludf.DUMMYFUNCTION("""COMPUTED_VALUE"""),1.0)</f>
        <v>1</v>
      </c>
      <c r="H65" s="13">
        <f>IFERROR(__xludf.DUMMYFUNCTION("""COMPUTED_VALUE"""),1.0)</f>
        <v>1</v>
      </c>
      <c r="I65" s="13" t="str">
        <f>IFERROR(__xludf.DUMMYFUNCTION("""COMPUTED_VALUE"""),"General")</f>
        <v>General</v>
      </c>
      <c r="J65" s="13" t="str">
        <f>IFERROR(__xludf.DUMMYFUNCTION("""COMPUTED_VALUE"""),"Tops")</f>
        <v>Tops</v>
      </c>
      <c r="K65" s="13" t="str">
        <f>IFERROR(__xludf.DUMMYFUNCTION("""COMPUTED_VALUE"""),"Knits")</f>
        <v>Knits</v>
      </c>
      <c r="L65" s="13"/>
    </row>
    <row r="66">
      <c r="A66" s="13">
        <f>IFERROR(__xludf.DUMMYFUNCTION("""COMPUTED_VALUE"""),64.0)</f>
        <v>64</v>
      </c>
      <c r="B66" s="13">
        <f>IFERROR(__xludf.DUMMYFUNCTION("""COMPUTED_VALUE"""),862.0)</f>
        <v>862</v>
      </c>
      <c r="C66" s="13">
        <f>IFERROR(__xludf.DUMMYFUNCTION("""COMPUTED_VALUE"""),43.0)</f>
        <v>43</v>
      </c>
      <c r="D66" s="12" t="str">
        <f>IFERROR(__xludf.DUMMYFUNCTION("""COMPUTED_VALUE"""),"Love this top")</f>
        <v>Love this top</v>
      </c>
      <c r="E66" s="12" t="str">
        <f>IFERROR(__xludf.DUMMYFUNCTION("""COMPUTED_VALUE"""),"Loved this top and was really happy to find it on sale!")</f>
        <v>Loved this top and was really happy to find it on sale!</v>
      </c>
      <c r="F66" s="13">
        <f>IFERROR(__xludf.DUMMYFUNCTION("""COMPUTED_VALUE"""),5.0)</f>
        <v>5</v>
      </c>
      <c r="G66" s="13">
        <f>IFERROR(__xludf.DUMMYFUNCTION("""COMPUTED_VALUE"""),1.0)</f>
        <v>1</v>
      </c>
      <c r="H66" s="13">
        <f>IFERROR(__xludf.DUMMYFUNCTION("""COMPUTED_VALUE"""),0.0)</f>
        <v>0</v>
      </c>
      <c r="I66" s="13" t="str">
        <f>IFERROR(__xludf.DUMMYFUNCTION("""COMPUTED_VALUE"""),"General")</f>
        <v>General</v>
      </c>
      <c r="J66" s="13" t="str">
        <f>IFERROR(__xludf.DUMMYFUNCTION("""COMPUTED_VALUE"""),"Tops")</f>
        <v>Tops</v>
      </c>
      <c r="K66" s="13" t="str">
        <f>IFERROR(__xludf.DUMMYFUNCTION("""COMPUTED_VALUE"""),"Knits")</f>
        <v>Knits</v>
      </c>
      <c r="L66" s="13"/>
    </row>
    <row r="67">
      <c r="A67" s="13">
        <f>IFERROR(__xludf.DUMMYFUNCTION("""COMPUTED_VALUE"""),65.0)</f>
        <v>65</v>
      </c>
      <c r="B67" s="13">
        <f>IFERROR(__xludf.DUMMYFUNCTION("""COMPUTED_VALUE"""),862.0)</f>
        <v>862</v>
      </c>
      <c r="C67" s="13">
        <f>IFERROR(__xludf.DUMMYFUNCTION("""COMPUTED_VALUE"""),58.0)</f>
        <v>58</v>
      </c>
      <c r="D67" s="12"/>
      <c r="E67" s="12" t="str">
        <f>IFERROR(__xludf.DUMMYFUNCTION("""COMPUTED_VALUE"""),"Beautiful top, but delicate! i wore it to school and the straps on my backpack caused some pilling. other than that it is beautiful and vibrant! just make sure you aren't doing/wearing anything that will rub it continuously since the fabric is delicate")</f>
        <v>Beautiful top, but delicate! i wore it to school and the straps on my backpack caused some pilling. other than that it is beautiful and vibrant! just make sure you aren't doing/wearing anything that will rub it continuously since the fabric is delicate</v>
      </c>
      <c r="F67" s="13">
        <f>IFERROR(__xludf.DUMMYFUNCTION("""COMPUTED_VALUE"""),4.0)</f>
        <v>4</v>
      </c>
      <c r="G67" s="13">
        <f>IFERROR(__xludf.DUMMYFUNCTION("""COMPUTED_VALUE"""),1.0)</f>
        <v>1</v>
      </c>
      <c r="H67" s="13">
        <f>IFERROR(__xludf.DUMMYFUNCTION("""COMPUTED_VALUE"""),2.0)</f>
        <v>2</v>
      </c>
      <c r="I67" s="13" t="str">
        <f>IFERROR(__xludf.DUMMYFUNCTION("""COMPUTED_VALUE"""),"General")</f>
        <v>General</v>
      </c>
      <c r="J67" s="13" t="str">
        <f>IFERROR(__xludf.DUMMYFUNCTION("""COMPUTED_VALUE"""),"Tops")</f>
        <v>Tops</v>
      </c>
      <c r="K67" s="13" t="str">
        <f>IFERROR(__xludf.DUMMYFUNCTION("""COMPUTED_VALUE"""),"Knits")</f>
        <v>Knits</v>
      </c>
      <c r="L67" s="13"/>
    </row>
    <row r="68">
      <c r="A68" s="13">
        <f>IFERROR(__xludf.DUMMYFUNCTION("""COMPUTED_VALUE"""),66.0)</f>
        <v>66</v>
      </c>
      <c r="B68" s="13">
        <f>IFERROR(__xludf.DUMMYFUNCTION("""COMPUTED_VALUE"""),862.0)</f>
        <v>862</v>
      </c>
      <c r="C68" s="13">
        <f>IFERROR(__xludf.DUMMYFUNCTION("""COMPUTED_VALUE"""),60.0)</f>
        <v>60</v>
      </c>
      <c r="D68" s="12" t="str">
        <f>IFERROR(__xludf.DUMMYFUNCTION("""COMPUTED_VALUE"""),"Super cute and unique top")</f>
        <v>Super cute and unique top</v>
      </c>
      <c r="E68" s="12" t="str">
        <f>IFERROR(__xludf.DUMMYFUNCTION("""COMPUTED_VALUE"""),"Just received this in the mail, tried it on and am smitten. i'm usually a l, but sometimes i'm a xl (if no stretch), in retailer tops. i bought this one in l and i'm sure glad i did. very flowy, stretchy and comfortable. i also bought the meda lace top fr"&amp;"om one september and they are very similar expect this is more of a t-shirt and the other is more of a blouse. i almost think i could've gotten a m in this because there is a lot of extra fabric at the chest which is usually never the issue for me")</f>
        <v>Just received this in the mail, tried it on and am smitten. i'm usually a l, but sometimes i'm a xl (if no stretch), in retailer tops. i bought this one in l and i'm sure glad i did. very flowy, stretchy and comfortable. i also bought the meda lace top from one september and they are very similar expect this is more of a t-shirt and the other is more of a blouse. i almost think i could've gotten a m in this because there is a lot of extra fabric at the chest which is usually never the issue for me</v>
      </c>
      <c r="F68" s="13">
        <f>IFERROR(__xludf.DUMMYFUNCTION("""COMPUTED_VALUE"""),4.0)</f>
        <v>4</v>
      </c>
      <c r="G68" s="13">
        <f>IFERROR(__xludf.DUMMYFUNCTION("""COMPUTED_VALUE"""),1.0)</f>
        <v>1</v>
      </c>
      <c r="H68" s="13">
        <f>IFERROR(__xludf.DUMMYFUNCTION("""COMPUTED_VALUE"""),9.0)</f>
        <v>9</v>
      </c>
      <c r="I68" s="13" t="str">
        <f>IFERROR(__xludf.DUMMYFUNCTION("""COMPUTED_VALUE"""),"General")</f>
        <v>General</v>
      </c>
      <c r="J68" s="13" t="str">
        <f>IFERROR(__xludf.DUMMYFUNCTION("""COMPUTED_VALUE"""),"Tops")</f>
        <v>Tops</v>
      </c>
      <c r="K68" s="13" t="str">
        <f>IFERROR(__xludf.DUMMYFUNCTION("""COMPUTED_VALUE"""),"Knits")</f>
        <v>Knits</v>
      </c>
      <c r="L68" s="13"/>
    </row>
    <row r="69">
      <c r="A69" s="13">
        <f>IFERROR(__xludf.DUMMYFUNCTION("""COMPUTED_VALUE"""),67.0)</f>
        <v>67</v>
      </c>
      <c r="B69" s="13">
        <f>IFERROR(__xludf.DUMMYFUNCTION("""COMPUTED_VALUE"""),862.0)</f>
        <v>862</v>
      </c>
      <c r="C69" s="13">
        <f>IFERROR(__xludf.DUMMYFUNCTION("""COMPUTED_VALUE"""),40.0)</f>
        <v>40</v>
      </c>
      <c r="D69" s="12" t="str">
        <f>IFERROR(__xludf.DUMMYFUNCTION("""COMPUTED_VALUE"""),"Beautiful top")</f>
        <v>Beautiful top</v>
      </c>
      <c r="E69" s="12" t="str">
        <f>IFERROR(__xludf.DUMMYFUNCTION("""COMPUTED_VALUE"""),"Love this top! i kept eyeing it online and wavering on size, since my post-baby body is a little wonky. i went with the xsp, and miraculously, it works perfectly! so, i would say it does run just a little large..... i love the length, and usually do not g"&amp;"o with petite sizes at retailer because i like the longer lengths of the regular. but this is perfect on me, and there is give up top, so it looks lovely. and it is very soft and comfortable. this will be a go-to top this season!")</f>
        <v>Love this top! i kept eyeing it online and wavering on size, since my post-baby body is a little wonky. i went with the xsp, and miraculously, it works perfectly! so, i would say it does run just a little large..... i love the length, and usually do not go with petite sizes at retailer because i like the longer lengths of the regular. but this is perfect on me, and there is give up top, so it looks lovely. and it is very soft and comfortable. this will be a go-to top this season!</v>
      </c>
      <c r="F69" s="13">
        <f>IFERROR(__xludf.DUMMYFUNCTION("""COMPUTED_VALUE"""),5.0)</f>
        <v>5</v>
      </c>
      <c r="G69" s="13">
        <f>IFERROR(__xludf.DUMMYFUNCTION("""COMPUTED_VALUE"""),1.0)</f>
        <v>1</v>
      </c>
      <c r="H69" s="13">
        <f>IFERROR(__xludf.DUMMYFUNCTION("""COMPUTED_VALUE"""),1.0)</f>
        <v>1</v>
      </c>
      <c r="I69" s="13" t="str">
        <f>IFERROR(__xludf.DUMMYFUNCTION("""COMPUTED_VALUE"""),"General")</f>
        <v>General</v>
      </c>
      <c r="J69" s="13" t="str">
        <f>IFERROR(__xludf.DUMMYFUNCTION("""COMPUTED_VALUE"""),"Tops")</f>
        <v>Tops</v>
      </c>
      <c r="K69" s="13" t="str">
        <f>IFERROR(__xludf.DUMMYFUNCTION("""COMPUTED_VALUE"""),"Knits")</f>
        <v>Knits</v>
      </c>
      <c r="L69" s="13"/>
    </row>
    <row r="70">
      <c r="A70" s="13">
        <f>IFERROR(__xludf.DUMMYFUNCTION("""COMPUTED_VALUE"""),68.0)</f>
        <v>68</v>
      </c>
      <c r="B70" s="13">
        <f>IFERROR(__xludf.DUMMYFUNCTION("""COMPUTED_VALUE"""),862.0)</f>
        <v>862</v>
      </c>
      <c r="C70" s="13">
        <f>IFERROR(__xludf.DUMMYFUNCTION("""COMPUTED_VALUE"""),37.0)</f>
        <v>37</v>
      </c>
      <c r="D70" s="12" t="str">
        <f>IFERROR(__xludf.DUMMYFUNCTION("""COMPUTED_VALUE"""),"I wanted to love this top...")</f>
        <v>I wanted to love this top...</v>
      </c>
      <c r="E70" s="12" t="str">
        <f>IFERROR(__xludf.DUMMYFUNCTION("""COMPUTED_VALUE"""),"I really loved this top online and wanted to love it in person. it is soft and the patter is okay in person. the neckline is higher than i am used to. also, there are two buttons in the back that must be unbuttoned in order to wear the top. it is difficul"&amp;"t to button them behind your neck with the top on. unfortunately i had to return this item...")</f>
        <v>I really loved this top online and wanted to love it in person. it is soft and the patter is okay in person. the neckline is higher than i am used to. also, there are two buttons in the back that must be unbuttoned in order to wear the top. it is difficult to button them behind your neck with the top on. unfortunately i had to return this item...</v>
      </c>
      <c r="F70" s="13">
        <f>IFERROR(__xludf.DUMMYFUNCTION("""COMPUTED_VALUE"""),2.0)</f>
        <v>2</v>
      </c>
      <c r="G70" s="13">
        <f>IFERROR(__xludf.DUMMYFUNCTION("""COMPUTED_VALUE"""),0.0)</f>
        <v>0</v>
      </c>
      <c r="H70" s="13">
        <f>IFERROR(__xludf.DUMMYFUNCTION("""COMPUTED_VALUE"""),0.0)</f>
        <v>0</v>
      </c>
      <c r="I70" s="13" t="str">
        <f>IFERROR(__xludf.DUMMYFUNCTION("""COMPUTED_VALUE"""),"General")</f>
        <v>General</v>
      </c>
      <c r="J70" s="13" t="str">
        <f>IFERROR(__xludf.DUMMYFUNCTION("""COMPUTED_VALUE"""),"Tops")</f>
        <v>Tops</v>
      </c>
      <c r="K70" s="13" t="str">
        <f>IFERROR(__xludf.DUMMYFUNCTION("""COMPUTED_VALUE"""),"Knits")</f>
        <v>Knits</v>
      </c>
      <c r="L70" s="13"/>
    </row>
    <row r="71">
      <c r="A71" s="13">
        <f>IFERROR(__xludf.DUMMYFUNCTION("""COMPUTED_VALUE"""),69.0)</f>
        <v>69</v>
      </c>
      <c r="B71" s="13">
        <f>IFERROR(__xludf.DUMMYFUNCTION("""COMPUTED_VALUE"""),1078.0)</f>
        <v>1078</v>
      </c>
      <c r="C71" s="13">
        <f>IFERROR(__xludf.DUMMYFUNCTION("""COMPUTED_VALUE"""),56.0)</f>
        <v>56</v>
      </c>
      <c r="D71" s="12" t="str">
        <f>IFERROR(__xludf.DUMMYFUNCTION("""COMPUTED_VALUE"""),"Great summer fabric!")</f>
        <v>Great summer fabric!</v>
      </c>
      <c r="E71" s="12" t="str">
        <f>IFERROR(__xludf.DUMMYFUNCTION("""COMPUTED_VALUE"""),"I really wanted this to work. alas, it had a strange fit for me. the straps would not stay up, and it had a weird fit under the breast. it worked standing up, but the minute i sat down it fell off my shoulders. the fabric was beautiful! and i loved that i"&amp;"t had pockets.")</f>
        <v>I really wanted this to work. alas, it had a strange fit for me. the straps would not stay up, and it had a weird fit under the breast. it worked standing up, but the minute i sat down it fell off my shoulders. the fabric was beautiful! and i loved that it had pockets.</v>
      </c>
      <c r="F71" s="13">
        <f>IFERROR(__xludf.DUMMYFUNCTION("""COMPUTED_VALUE"""),3.0)</f>
        <v>3</v>
      </c>
      <c r="G71" s="13">
        <f>IFERROR(__xludf.DUMMYFUNCTION("""COMPUTED_VALUE"""),0.0)</f>
        <v>0</v>
      </c>
      <c r="H71" s="13">
        <f>IFERROR(__xludf.DUMMYFUNCTION("""COMPUTED_VALUE"""),1.0)</f>
        <v>1</v>
      </c>
      <c r="I71" s="13" t="str">
        <f>IFERROR(__xludf.DUMMYFUNCTION("""COMPUTED_VALUE"""),"General Petite")</f>
        <v>General Petite</v>
      </c>
      <c r="J71" s="13" t="str">
        <f>IFERROR(__xludf.DUMMYFUNCTION("""COMPUTED_VALUE"""),"Dresses")</f>
        <v>Dresses</v>
      </c>
      <c r="K71" s="13" t="str">
        <f>IFERROR(__xludf.DUMMYFUNCTION("""COMPUTED_VALUE"""),"Dresses")</f>
        <v>Dresses</v>
      </c>
      <c r="L71" s="13"/>
    </row>
    <row r="72">
      <c r="A72" s="13">
        <f>IFERROR(__xludf.DUMMYFUNCTION("""COMPUTED_VALUE"""),70.0)</f>
        <v>70</v>
      </c>
      <c r="B72" s="13">
        <f>IFERROR(__xludf.DUMMYFUNCTION("""COMPUTED_VALUE"""),845.0)</f>
        <v>845</v>
      </c>
      <c r="C72" s="13">
        <f>IFERROR(__xludf.DUMMYFUNCTION("""COMPUTED_VALUE"""),38.0)</f>
        <v>38</v>
      </c>
      <c r="D72" s="12" t="str">
        <f>IFERROR(__xludf.DUMMYFUNCTION("""COMPUTED_VALUE"""),"Cute, but massive sweep")</f>
        <v>Cute, but massive sweep</v>
      </c>
      <c r="E72" s="12" t="str">
        <f>IFERROR(__xludf.DUMMYFUNCTION("""COMPUTED_VALUE"""),"This top is so cute, but it is massively babydoll shaped (a- line) which is not apparent from the pictures. i measured the xs i have and the chest is about 42"" and sweep is over 70"". i would definitely keep this top if it hung straighter. the craftsmans"&amp;"hip is lovely and fabric is so natural and handwoven looking. i'm thinking about asking my tailor if she can take the sides in, but that might ruin it as the fabric layout is cut and proportioned to this swing style.")</f>
        <v>This top is so cute, but it is massively babydoll shaped (a- line) which is not apparent from the pictures. i measured the xs i have and the chest is about 42" and sweep is over 70". i would definitely keep this top if it hung straighter. the craftsmanship is lovely and fabric is so natural and handwoven looking. i'm thinking about asking my tailor if she can take the sides in, but that might ruin it as the fabric layout is cut and proportioned to this swing style.</v>
      </c>
      <c r="F72" s="13">
        <f>IFERROR(__xludf.DUMMYFUNCTION("""COMPUTED_VALUE"""),4.0)</f>
        <v>4</v>
      </c>
      <c r="G72" s="13">
        <f>IFERROR(__xludf.DUMMYFUNCTION("""COMPUTED_VALUE"""),1.0)</f>
        <v>1</v>
      </c>
      <c r="H72" s="13">
        <f>IFERROR(__xludf.DUMMYFUNCTION("""COMPUTED_VALUE"""),10.0)</f>
        <v>10</v>
      </c>
      <c r="I72" s="13" t="str">
        <f>IFERROR(__xludf.DUMMYFUNCTION("""COMPUTED_VALUE"""),"General Petite")</f>
        <v>General Petite</v>
      </c>
      <c r="J72" s="13" t="str">
        <f>IFERROR(__xludf.DUMMYFUNCTION("""COMPUTED_VALUE"""),"Tops")</f>
        <v>Tops</v>
      </c>
      <c r="K72" s="13" t="str">
        <f>IFERROR(__xludf.DUMMYFUNCTION("""COMPUTED_VALUE"""),"Blouses")</f>
        <v>Blouses</v>
      </c>
      <c r="L72" s="13"/>
    </row>
    <row r="73">
      <c r="A73" s="13">
        <f>IFERROR(__xludf.DUMMYFUNCTION("""COMPUTED_VALUE"""),71.0)</f>
        <v>71</v>
      </c>
      <c r="B73" s="13">
        <f>IFERROR(__xludf.DUMMYFUNCTION("""COMPUTED_VALUE"""),822.0)</f>
        <v>822</v>
      </c>
      <c r="C73" s="13">
        <f>IFERROR(__xludf.DUMMYFUNCTION("""COMPUTED_VALUE"""),36.0)</f>
        <v>36</v>
      </c>
      <c r="D73" s="12" t="str">
        <f>IFERROR(__xludf.DUMMYFUNCTION("""COMPUTED_VALUE"""),"Short and boxy")</f>
        <v>Short and boxy</v>
      </c>
      <c r="E73" s="12" t="str">
        <f>IFERROR(__xludf.DUMMYFUNCTION("""COMPUTED_VALUE"""),"Why do designers keep making crop tops??!! i can't imagine this would be flattering on anyone, especially someone average height and well endowed on top. i looked like a football player. the pattern and fabric are gorgeous, so if you are like 4' tall and "&amp;"super tiny and can fit xxs this may work? i am between a 6-8 and fit a small and it was huge on me and almost was bigger at the bottom than the top. such a weird cut. there is a cami underneath so if it rides up that will show but that is so 80s")</f>
        <v>Why do designers keep making crop tops??!! i can't imagine this would be flattering on anyone, especially someone average height and well endowed on top. i looked like a football player. the pattern and fabric are gorgeous, so if you are like 4' tall and super tiny and can fit xxs this may work? i am between a 6-8 and fit a small and it was huge on me and almost was bigger at the bottom than the top. such a weird cut. there is a cami underneath so if it rides up that will show but that is so 80s</v>
      </c>
      <c r="F73" s="13">
        <f>IFERROR(__xludf.DUMMYFUNCTION("""COMPUTED_VALUE"""),2.0)</f>
        <v>2</v>
      </c>
      <c r="G73" s="13">
        <f>IFERROR(__xludf.DUMMYFUNCTION("""COMPUTED_VALUE"""),0.0)</f>
        <v>0</v>
      </c>
      <c r="H73" s="13">
        <f>IFERROR(__xludf.DUMMYFUNCTION("""COMPUTED_VALUE"""),0.0)</f>
        <v>0</v>
      </c>
      <c r="I73" s="13" t="str">
        <f>IFERROR(__xludf.DUMMYFUNCTION("""COMPUTED_VALUE"""),"General")</f>
        <v>General</v>
      </c>
      <c r="J73" s="13" t="str">
        <f>IFERROR(__xludf.DUMMYFUNCTION("""COMPUTED_VALUE"""),"Tops")</f>
        <v>Tops</v>
      </c>
      <c r="K73" s="13" t="str">
        <f>IFERROR(__xludf.DUMMYFUNCTION("""COMPUTED_VALUE"""),"Blouses")</f>
        <v>Blouses</v>
      </c>
      <c r="L73" s="13"/>
    </row>
    <row r="74">
      <c r="A74" s="13">
        <f>IFERROR(__xludf.DUMMYFUNCTION("""COMPUTED_VALUE"""),72.0)</f>
        <v>72</v>
      </c>
      <c r="B74" s="13">
        <f>IFERROR(__xludf.DUMMYFUNCTION("""COMPUTED_VALUE"""),850.0)</f>
        <v>850</v>
      </c>
      <c r="C74" s="13">
        <f>IFERROR(__xludf.DUMMYFUNCTION("""COMPUTED_VALUE"""),27.0)</f>
        <v>27</v>
      </c>
      <c r="D74" s="12" t="str">
        <f>IFERROR(__xludf.DUMMYFUNCTION("""COMPUTED_VALUE"""),"Beautiful design")</f>
        <v>Beautiful design</v>
      </c>
      <c r="E74" s="12" t="str">
        <f>IFERROR(__xludf.DUMMYFUNCTION("""COMPUTED_VALUE"""),"I have a short torso and this works well for me. 34c, bought the 0. there's not much stretch to the fabric so it is fitted to my chest, but not in an uncomfortable way. definitely doesn't hang and have extra fabric like on the model. 
zipper goes almost "&amp;"all the way down to the bottom so it's easier to get on and off which makes up for the lack of stretch n the fabric.
unlike another reviewer, i found it went really well with navy pants and i wore it to a business meeting under a blazer. wi")</f>
        <v>I have a short torso and this works well for me. 34c, bought the 0. there's not much stretch to the fabric so it is fitted to my chest, but not in an uncomfortable way. definitely doesn't hang and have extra fabric like on the model. 
zipper goes almost all the way down to the bottom so it's easier to get on and off which makes up for the lack of stretch n the fabric.
unlike another reviewer, i found it went really well with navy pants and i wore it to a business meeting under a blazer. wi</v>
      </c>
      <c r="F74" s="13">
        <f>IFERROR(__xludf.DUMMYFUNCTION("""COMPUTED_VALUE"""),5.0)</f>
        <v>5</v>
      </c>
      <c r="G74" s="13">
        <f>IFERROR(__xludf.DUMMYFUNCTION("""COMPUTED_VALUE"""),1.0)</f>
        <v>1</v>
      </c>
      <c r="H74" s="13">
        <f>IFERROR(__xludf.DUMMYFUNCTION("""COMPUTED_VALUE"""),4.0)</f>
        <v>4</v>
      </c>
      <c r="I74" s="13" t="str">
        <f>IFERROR(__xludf.DUMMYFUNCTION("""COMPUTED_VALUE"""),"General")</f>
        <v>General</v>
      </c>
      <c r="J74" s="13" t="str">
        <f>IFERROR(__xludf.DUMMYFUNCTION("""COMPUTED_VALUE"""),"Tops")</f>
        <v>Tops</v>
      </c>
      <c r="K74" s="13" t="str">
        <f>IFERROR(__xludf.DUMMYFUNCTION("""COMPUTED_VALUE"""),"Blouses")</f>
        <v>Blouses</v>
      </c>
      <c r="L74" s="13"/>
    </row>
    <row r="75">
      <c r="A75" s="13">
        <f>IFERROR(__xludf.DUMMYFUNCTION("""COMPUTED_VALUE"""),73.0)</f>
        <v>73</v>
      </c>
      <c r="B75" s="13">
        <f>IFERROR(__xludf.DUMMYFUNCTION("""COMPUTED_VALUE"""),866.0)</f>
        <v>866</v>
      </c>
      <c r="C75" s="13">
        <f>IFERROR(__xludf.DUMMYFUNCTION("""COMPUTED_VALUE"""),47.0)</f>
        <v>47</v>
      </c>
      <c r="D75" s="12"/>
      <c r="E75" s="12" t="str">
        <f>IFERROR(__xludf.DUMMYFUNCTION("""COMPUTED_VALUE"""),"I love this top. it is loose and comfortable. it is not sheer so you don't need a cami. it runs a little large so size down if you want a more tailored fit. 1 criticism, it catches on sharp jewelry or belts and can pull if you are not careful.")</f>
        <v>I love this top. it is loose and comfortable. it is not sheer so you don't need a cami. it runs a little large so size down if you want a more tailored fit. 1 criticism, it catches on sharp jewelry or belts and can pull if you are not careful.</v>
      </c>
      <c r="F75" s="13">
        <f>IFERROR(__xludf.DUMMYFUNCTION("""COMPUTED_VALUE"""),4.0)</f>
        <v>4</v>
      </c>
      <c r="G75" s="13">
        <f>IFERROR(__xludf.DUMMYFUNCTION("""COMPUTED_VALUE"""),1.0)</f>
        <v>1</v>
      </c>
      <c r="H75" s="13">
        <f>IFERROR(__xludf.DUMMYFUNCTION("""COMPUTED_VALUE"""),0.0)</f>
        <v>0</v>
      </c>
      <c r="I75" s="13" t="str">
        <f>IFERROR(__xludf.DUMMYFUNCTION("""COMPUTED_VALUE"""),"General Petite")</f>
        <v>General Petite</v>
      </c>
      <c r="J75" s="13" t="str">
        <f>IFERROR(__xludf.DUMMYFUNCTION("""COMPUTED_VALUE"""),"Tops")</f>
        <v>Tops</v>
      </c>
      <c r="K75" s="13" t="str">
        <f>IFERROR(__xludf.DUMMYFUNCTION("""COMPUTED_VALUE"""),"Knits")</f>
        <v>Knits</v>
      </c>
      <c r="L75" s="13"/>
    </row>
    <row r="76">
      <c r="A76" s="13">
        <f>IFERROR(__xludf.DUMMYFUNCTION("""COMPUTED_VALUE"""),74.0)</f>
        <v>74</v>
      </c>
      <c r="B76" s="13">
        <f>IFERROR(__xludf.DUMMYFUNCTION("""COMPUTED_VALUE"""),1081.0)</f>
        <v>1081</v>
      </c>
      <c r="C76" s="13">
        <f>IFERROR(__xludf.DUMMYFUNCTION("""COMPUTED_VALUE"""),59.0)</f>
        <v>59</v>
      </c>
      <c r="D76" s="12"/>
      <c r="E76" s="12" t="str">
        <f>IFERROR(__xludf.DUMMYFUNCTION("""COMPUTED_VALUE"""),"I passed up this dress so many times in the store and finally tried it on today because i wanted a casual dress while traveling in the cape. i was surprised how much cuter it is on than on hanger. i sized down to get a more fitting look and really made a "&amp;"difference for me in style. i was not a fan of the way it looked so loose on model. it looks really cute fitted and a bit sexy even. it is lined and very comfy and can be dressed up a but for work with a cardi. i believe i will get a lot of wear")</f>
        <v>I passed up this dress so many times in the store and finally tried it on today because i wanted a casual dress while traveling in the cape. i was surprised how much cuter it is on than on hanger. i sized down to get a more fitting look and really made a difference for me in style. i was not a fan of the way it looked so loose on model. it looks really cute fitted and a bit sexy even. it is lined and very comfy and can be dressed up a but for work with a cardi. i believe i will get a lot of wear</v>
      </c>
      <c r="F76" s="13">
        <f>IFERROR(__xludf.DUMMYFUNCTION("""COMPUTED_VALUE"""),5.0)</f>
        <v>5</v>
      </c>
      <c r="G76" s="13">
        <f>IFERROR(__xludf.DUMMYFUNCTION("""COMPUTED_VALUE"""),1.0)</f>
        <v>1</v>
      </c>
      <c r="H76" s="13">
        <f>IFERROR(__xludf.DUMMYFUNCTION("""COMPUTED_VALUE"""),1.0)</f>
        <v>1</v>
      </c>
      <c r="I76" s="13" t="str">
        <f>IFERROR(__xludf.DUMMYFUNCTION("""COMPUTED_VALUE"""),"General Petite")</f>
        <v>General Petite</v>
      </c>
      <c r="J76" s="13" t="str">
        <f>IFERROR(__xludf.DUMMYFUNCTION("""COMPUTED_VALUE"""),"Dresses")</f>
        <v>Dresses</v>
      </c>
      <c r="K76" s="13" t="str">
        <f>IFERROR(__xludf.DUMMYFUNCTION("""COMPUTED_VALUE"""),"Dresses")</f>
        <v>Dresses</v>
      </c>
      <c r="L76" s="13"/>
    </row>
    <row r="77">
      <c r="A77" s="13">
        <f>IFERROR(__xludf.DUMMYFUNCTION("""COMPUTED_VALUE"""),75.0)</f>
        <v>75</v>
      </c>
      <c r="B77" s="13">
        <f>IFERROR(__xludf.DUMMYFUNCTION("""COMPUTED_VALUE"""),845.0)</f>
        <v>845</v>
      </c>
      <c r="C77" s="13">
        <f>IFERROR(__xludf.DUMMYFUNCTION("""COMPUTED_VALUE"""),48.0)</f>
        <v>48</v>
      </c>
      <c r="D77" s="12" t="str">
        <f>IFERROR(__xludf.DUMMYFUNCTION("""COMPUTED_VALUE"""),"Very very cute but a lot of fabric")</f>
        <v>Very very cute but a lot of fabric</v>
      </c>
      <c r="E77" s="12" t="str">
        <f>IFERROR(__xludf.DUMMYFUNCTION("""COMPUTED_VALUE"""),"I am so drawn to baby doll and boxy shirts so i immediately tried this on in the store. i am petite and only 5'2"", so usually shirts with a lot of fabric swallow me whole but this one was still cute. there is a lot more fabric than the picture lets on, b"&amp;"ut i think it is still super cute and flattering. i would definitely check the size chart and read comments to see if someone with your same size description has recommended a specific size for your body type. i am petite and weigh about 110 lbs")</f>
        <v>I am so drawn to baby doll and boxy shirts so i immediately tried this on in the store. i am petite and only 5'2", so usually shirts with a lot of fabric swallow me whole but this one was still cute. there is a lot more fabric than the picture lets on, but i think it is still super cute and flattering. i would definitely check the size chart and read comments to see if someone with your same size description has recommended a specific size for your body type. i am petite and weigh about 110 lbs</v>
      </c>
      <c r="F77" s="13">
        <f>IFERROR(__xludf.DUMMYFUNCTION("""COMPUTED_VALUE"""),5.0)</f>
        <v>5</v>
      </c>
      <c r="G77" s="13">
        <f>IFERROR(__xludf.DUMMYFUNCTION("""COMPUTED_VALUE"""),1.0)</f>
        <v>1</v>
      </c>
      <c r="H77" s="13">
        <f>IFERROR(__xludf.DUMMYFUNCTION("""COMPUTED_VALUE"""),5.0)</f>
        <v>5</v>
      </c>
      <c r="I77" s="13" t="str">
        <f>IFERROR(__xludf.DUMMYFUNCTION("""COMPUTED_VALUE"""),"General Petite")</f>
        <v>General Petite</v>
      </c>
      <c r="J77" s="13" t="str">
        <f>IFERROR(__xludf.DUMMYFUNCTION("""COMPUTED_VALUE"""),"Tops")</f>
        <v>Tops</v>
      </c>
      <c r="K77" s="13" t="str">
        <f>IFERROR(__xludf.DUMMYFUNCTION("""COMPUTED_VALUE"""),"Blouses")</f>
        <v>Blouses</v>
      </c>
      <c r="L77" s="13"/>
    </row>
    <row r="78">
      <c r="A78" s="13">
        <f>IFERROR(__xludf.DUMMYFUNCTION("""COMPUTED_VALUE"""),76.0)</f>
        <v>76</v>
      </c>
      <c r="B78" s="13">
        <f>IFERROR(__xludf.DUMMYFUNCTION("""COMPUTED_VALUE"""),1082.0)</f>
        <v>1082</v>
      </c>
      <c r="C78" s="13">
        <f>IFERROR(__xludf.DUMMYFUNCTION("""COMPUTED_VALUE"""),31.0)</f>
        <v>31</v>
      </c>
      <c r="D78" s="12" t="str">
        <f>IFERROR(__xludf.DUMMYFUNCTION("""COMPUTED_VALUE"""),"Runs large in top and waist")</f>
        <v>Runs large in top and waist</v>
      </c>
      <c r="E78" s="12" t="str">
        <f>IFERROR(__xludf.DUMMYFUNCTION("""COMPUTED_VALUE"""),"I would have loved this dress if the bust and waist were just a little more fitted. i am 32c and the top was too big. fit perfectly on hips. the lace material means it cannot be easily altered, so i chose to return the dress. i would have definitely kept "&amp;"it if it were a better fit.")</f>
        <v>I would have loved this dress if the bust and waist were just a little more fitted. i am 32c and the top was too big. fit perfectly on hips. the lace material means it cannot be easily altered, so i chose to return the dress. i would have definitely kept it if it were a better fit.</v>
      </c>
      <c r="F78" s="13">
        <f>IFERROR(__xludf.DUMMYFUNCTION("""COMPUTED_VALUE"""),4.0)</f>
        <v>4</v>
      </c>
      <c r="G78" s="13">
        <f>IFERROR(__xludf.DUMMYFUNCTION("""COMPUTED_VALUE"""),1.0)</f>
        <v>1</v>
      </c>
      <c r="H78" s="13">
        <f>IFERROR(__xludf.DUMMYFUNCTION("""COMPUTED_VALUE"""),0.0)</f>
        <v>0</v>
      </c>
      <c r="I78" s="13" t="str">
        <f>IFERROR(__xludf.DUMMYFUNCTION("""COMPUTED_VALUE"""),"General")</f>
        <v>General</v>
      </c>
      <c r="J78" s="13" t="str">
        <f>IFERROR(__xludf.DUMMYFUNCTION("""COMPUTED_VALUE"""),"Dresses")</f>
        <v>Dresses</v>
      </c>
      <c r="K78" s="13" t="str">
        <f>IFERROR(__xludf.DUMMYFUNCTION("""COMPUTED_VALUE"""),"Dresses")</f>
        <v>Dresses</v>
      </c>
      <c r="L78" s="13"/>
    </row>
    <row r="79">
      <c r="A79" s="13">
        <f>IFERROR(__xludf.DUMMYFUNCTION("""COMPUTED_VALUE"""),77.0)</f>
        <v>77</v>
      </c>
      <c r="B79" s="13">
        <f>IFERROR(__xludf.DUMMYFUNCTION("""COMPUTED_VALUE"""),850.0)</f>
        <v>850</v>
      </c>
      <c r="C79" s="13">
        <f>IFERROR(__xludf.DUMMYFUNCTION("""COMPUTED_VALUE"""),28.0)</f>
        <v>28</v>
      </c>
      <c r="D79" s="12" t="str">
        <f>IFERROR(__xludf.DUMMYFUNCTION("""COMPUTED_VALUE"""),"Zipper broke")</f>
        <v>Zipper broke</v>
      </c>
      <c r="E79" s="12" t="str">
        <f>IFERROR(__xludf.DUMMYFUNCTION("""COMPUTED_VALUE"""),"The zipper broke on this piece the first time i wore it. very disappointing since i love the design. i'm actually going to try to replace the zipper myself with something stronger, but annoying that it's come to that.")</f>
        <v>The zipper broke on this piece the first time i wore it. very disappointing since i love the design. i'm actually going to try to replace the zipper myself with something stronger, but annoying that it's come to that.</v>
      </c>
      <c r="F79" s="13">
        <f>IFERROR(__xludf.DUMMYFUNCTION("""COMPUTED_VALUE"""),2.0)</f>
        <v>2</v>
      </c>
      <c r="G79" s="13">
        <f>IFERROR(__xludf.DUMMYFUNCTION("""COMPUTED_VALUE"""),0.0)</f>
        <v>0</v>
      </c>
      <c r="H79" s="13">
        <f>IFERROR(__xludf.DUMMYFUNCTION("""COMPUTED_VALUE"""),0.0)</f>
        <v>0</v>
      </c>
      <c r="I79" s="13" t="str">
        <f>IFERROR(__xludf.DUMMYFUNCTION("""COMPUTED_VALUE"""),"General Petite")</f>
        <v>General Petite</v>
      </c>
      <c r="J79" s="13" t="str">
        <f>IFERROR(__xludf.DUMMYFUNCTION("""COMPUTED_VALUE"""),"Tops")</f>
        <v>Tops</v>
      </c>
      <c r="K79" s="13" t="str">
        <f>IFERROR(__xludf.DUMMYFUNCTION("""COMPUTED_VALUE"""),"Blouses")</f>
        <v>Blouses</v>
      </c>
      <c r="L79" s="13"/>
    </row>
    <row r="80">
      <c r="A80" s="13">
        <f>IFERROR(__xludf.DUMMYFUNCTION("""COMPUTED_VALUE"""),78.0)</f>
        <v>78</v>
      </c>
      <c r="B80" s="13">
        <f>IFERROR(__xludf.DUMMYFUNCTION("""COMPUTED_VALUE"""),836.0)</f>
        <v>836</v>
      </c>
      <c r="C80" s="13">
        <f>IFERROR(__xludf.DUMMYFUNCTION("""COMPUTED_VALUE"""),47.0)</f>
        <v>47</v>
      </c>
      <c r="D80" s="12" t="str">
        <f>IFERROR(__xludf.DUMMYFUNCTION("""COMPUTED_VALUE"""),"Obsessed")</f>
        <v>Obsessed</v>
      </c>
      <c r="E80" s="12" t="str">
        <f>IFERROR(__xludf.DUMMYFUNCTION("""COMPUTED_VALUE"""),"I usually size up with this brand. small was perfect for me at 135lbs. this top has a luxurious but casual feel and beautiful. i am obsessed and want to wear it everyday. it wears a little long and drapey but a little tight where it rolls up in the arms.")</f>
        <v>I usually size up with this brand. small was perfect for me at 135lbs. this top has a luxurious but casual feel and beautiful. i am obsessed and want to wear it everyday. it wears a little long and drapey but a little tight where it rolls up in the arms.</v>
      </c>
      <c r="F80" s="13">
        <f>IFERROR(__xludf.DUMMYFUNCTION("""COMPUTED_VALUE"""),5.0)</f>
        <v>5</v>
      </c>
      <c r="G80" s="13">
        <f>IFERROR(__xludf.DUMMYFUNCTION("""COMPUTED_VALUE"""),1.0)</f>
        <v>1</v>
      </c>
      <c r="H80" s="13">
        <f>IFERROR(__xludf.DUMMYFUNCTION("""COMPUTED_VALUE"""),1.0)</f>
        <v>1</v>
      </c>
      <c r="I80" s="13" t="str">
        <f>IFERROR(__xludf.DUMMYFUNCTION("""COMPUTED_VALUE"""),"General")</f>
        <v>General</v>
      </c>
      <c r="J80" s="13" t="str">
        <f>IFERROR(__xludf.DUMMYFUNCTION("""COMPUTED_VALUE"""),"Tops")</f>
        <v>Tops</v>
      </c>
      <c r="K80" s="13" t="str">
        <f>IFERROR(__xludf.DUMMYFUNCTION("""COMPUTED_VALUE"""),"Blouses")</f>
        <v>Blouses</v>
      </c>
      <c r="L80" s="13"/>
    </row>
    <row r="81">
      <c r="A81" s="13">
        <f>IFERROR(__xludf.DUMMYFUNCTION("""COMPUTED_VALUE"""),79.0)</f>
        <v>79</v>
      </c>
      <c r="B81" s="13">
        <f>IFERROR(__xludf.DUMMYFUNCTION("""COMPUTED_VALUE"""),1081.0)</f>
        <v>1081</v>
      </c>
      <c r="C81" s="13">
        <f>IFERROR(__xludf.DUMMYFUNCTION("""COMPUTED_VALUE"""),62.0)</f>
        <v>62</v>
      </c>
      <c r="D81" s="12" t="str">
        <f>IFERROR(__xludf.DUMMYFUNCTION("""COMPUTED_VALUE"""),"So cute...but dry clean?!")</f>
        <v>So cute...but dry clean?!</v>
      </c>
      <c r="E81" s="12" t="str">
        <f>IFERROR(__xludf.DUMMYFUNCTION("""COMPUTED_VALUE"""),"This dress is adorable - it's a perfect casual look for summer and the quality is nice with the lining (though still overpriced, in my opinion). the tie detail is somewhat adjustable, and i found my normal size s to fit fine (5'7, 128#). where this gets m"&amp;"e is the fact that it's dry clean...totally doesn't make sense for a dress that is essentially a fancy tshirt for summer. i might bring it back for that alone, since i originally planned to wear it a lot. :(")</f>
        <v>This dress is adorable - it's a perfect casual look for summer and the quality is nice with the lining (though still overpriced, in my opinion). the tie detail is somewhat adjustable, and i found my normal size s to fit fine (5'7, 128#). where this gets me is the fact that it's dry clean...totally doesn't make sense for a dress that is essentially a fancy tshirt for summer. i might bring it back for that alone, since i originally planned to wear it a lot. :(</v>
      </c>
      <c r="F81" s="13">
        <f>IFERROR(__xludf.DUMMYFUNCTION("""COMPUTED_VALUE"""),4.0)</f>
        <v>4</v>
      </c>
      <c r="G81" s="13">
        <f>IFERROR(__xludf.DUMMYFUNCTION("""COMPUTED_VALUE"""),1.0)</f>
        <v>1</v>
      </c>
      <c r="H81" s="13">
        <f>IFERROR(__xludf.DUMMYFUNCTION("""COMPUTED_VALUE"""),2.0)</f>
        <v>2</v>
      </c>
      <c r="I81" s="13" t="str">
        <f>IFERROR(__xludf.DUMMYFUNCTION("""COMPUTED_VALUE"""),"General Petite")</f>
        <v>General Petite</v>
      </c>
      <c r="J81" s="13" t="str">
        <f>IFERROR(__xludf.DUMMYFUNCTION("""COMPUTED_VALUE"""),"Dresses")</f>
        <v>Dresses</v>
      </c>
      <c r="K81" s="13" t="str">
        <f>IFERROR(__xludf.DUMMYFUNCTION("""COMPUTED_VALUE"""),"Dresses")</f>
        <v>Dresses</v>
      </c>
      <c r="L81" s="13"/>
    </row>
    <row r="82">
      <c r="A82" s="13">
        <f>IFERROR(__xludf.DUMMYFUNCTION("""COMPUTED_VALUE"""),80.0)</f>
        <v>80</v>
      </c>
      <c r="B82" s="13">
        <f>IFERROR(__xludf.DUMMYFUNCTION("""COMPUTED_VALUE"""),1072.0)</f>
        <v>1072</v>
      </c>
      <c r="C82" s="13">
        <f>IFERROR(__xludf.DUMMYFUNCTION("""COMPUTED_VALUE"""),68.0)</f>
        <v>68</v>
      </c>
      <c r="D82" s="12" t="str">
        <f>IFERROR(__xludf.DUMMYFUNCTION("""COMPUTED_VALUE"""),"Elegant classic dress")</f>
        <v>Elegant classic dress</v>
      </c>
      <c r="E82" s="12" t="str">
        <f>IFERROR(__xludf.DUMMYFUNCTION("""COMPUTED_VALUE"""),"I am usually a petite 6 but since this dress did not come in petites i tried on 4 and it fit. i'm 5'1"" -112lbs so dress hit rt below knee -will have it hemmed up a bit do not so overwhelming.
this dress looks stunning on! great vibrant color ( i have da"&amp;"rk hair) makes this classic elegant dress look contemporary and stylish. when i tried it on in store, salesperson and others who happen to see it on me raved and told me to grab it! i did and am glad.
i plan to wear it this spring for my daughte")</f>
        <v>I am usually a petite 6 but since this dress did not come in petites i tried on 4 and it fit. i'm 5'1" -112lbs so dress hit rt below knee -will have it hemmed up a bit do not so overwhelming.
this dress looks stunning on! great vibrant color ( i have dark hair) makes this classic elegant dress look contemporary and stylish. when i tried it on in store, salesperson and others who happen to see it on me raved and told me to grab it! i did and am glad.
i plan to wear it this spring for my daughte</v>
      </c>
      <c r="F82" s="13">
        <f>IFERROR(__xludf.DUMMYFUNCTION("""COMPUTED_VALUE"""),5.0)</f>
        <v>5</v>
      </c>
      <c r="G82" s="13">
        <f>IFERROR(__xludf.DUMMYFUNCTION("""COMPUTED_VALUE"""),1.0)</f>
        <v>1</v>
      </c>
      <c r="H82" s="13">
        <f>IFERROR(__xludf.DUMMYFUNCTION("""COMPUTED_VALUE"""),1.0)</f>
        <v>1</v>
      </c>
      <c r="I82" s="13" t="str">
        <f>IFERROR(__xludf.DUMMYFUNCTION("""COMPUTED_VALUE"""),"General")</f>
        <v>General</v>
      </c>
      <c r="J82" s="13" t="str">
        <f>IFERROR(__xludf.DUMMYFUNCTION("""COMPUTED_VALUE"""),"Dresses")</f>
        <v>Dresses</v>
      </c>
      <c r="K82" s="13" t="str">
        <f>IFERROR(__xludf.DUMMYFUNCTION("""COMPUTED_VALUE"""),"Dresses")</f>
        <v>Dresses</v>
      </c>
      <c r="L82" s="13"/>
    </row>
    <row r="83">
      <c r="A83" s="13">
        <f>IFERROR(__xludf.DUMMYFUNCTION("""COMPUTED_VALUE"""),81.0)</f>
        <v>81</v>
      </c>
      <c r="B83" s="13">
        <f>IFERROR(__xludf.DUMMYFUNCTION("""COMPUTED_VALUE"""),863.0)</f>
        <v>863</v>
      </c>
      <c r="C83" s="13">
        <f>IFERROR(__xludf.DUMMYFUNCTION("""COMPUTED_VALUE"""),61.0)</f>
        <v>61</v>
      </c>
      <c r="D83" s="12"/>
      <c r="E83" s="12" t="str">
        <f>IFERROR(__xludf.DUMMYFUNCTION("""COMPUTED_VALUE"""),"Loved this top. great design. comfortable and unique. soft material")</f>
        <v>Loved this top. great design. comfortable and unique. soft material</v>
      </c>
      <c r="F83" s="13">
        <f>IFERROR(__xludf.DUMMYFUNCTION("""COMPUTED_VALUE"""),5.0)</f>
        <v>5</v>
      </c>
      <c r="G83" s="13">
        <f>IFERROR(__xludf.DUMMYFUNCTION("""COMPUTED_VALUE"""),1.0)</f>
        <v>1</v>
      </c>
      <c r="H83" s="13">
        <f>IFERROR(__xludf.DUMMYFUNCTION("""COMPUTED_VALUE"""),4.0)</f>
        <v>4</v>
      </c>
      <c r="I83" s="13" t="str">
        <f>IFERROR(__xludf.DUMMYFUNCTION("""COMPUTED_VALUE"""),"General Petite")</f>
        <v>General Petite</v>
      </c>
      <c r="J83" s="13" t="str">
        <f>IFERROR(__xludf.DUMMYFUNCTION("""COMPUTED_VALUE"""),"Tops")</f>
        <v>Tops</v>
      </c>
      <c r="K83" s="13" t="str">
        <f>IFERROR(__xludf.DUMMYFUNCTION("""COMPUTED_VALUE"""),"Knits")</f>
        <v>Knits</v>
      </c>
      <c r="L83" s="13"/>
    </row>
    <row r="84">
      <c r="A84" s="13">
        <f>IFERROR(__xludf.DUMMYFUNCTION("""COMPUTED_VALUE"""),82.0)</f>
        <v>82</v>
      </c>
      <c r="B84" s="13">
        <f>IFERROR(__xludf.DUMMYFUNCTION("""COMPUTED_VALUE"""),1133.0)</f>
        <v>1133</v>
      </c>
      <c r="C84" s="13">
        <f>IFERROR(__xludf.DUMMYFUNCTION("""COMPUTED_VALUE"""),33.0)</f>
        <v>33</v>
      </c>
      <c r="D84" s="12" t="str">
        <f>IFERROR(__xludf.DUMMYFUNCTION("""COMPUTED_VALUE"""),"Cute parka!")</f>
        <v>Cute parka!</v>
      </c>
      <c r="E84" s="12" t="str">
        <f>IFERROR(__xludf.DUMMYFUNCTION("""COMPUTED_VALUE"""),"The rest of the reviewers are right about the color being in accurately pictured. i ordered the dark orange color and i recieved more of a dark cedar brown colored jacket. the print is great, i love it! it's so different than any other jackets ive seen. w"&amp;"hile the jacket is ã¼ber cute, it is a bit bulky (though the waist tie helps with that) and its not heavy winter appropriate ( it's not waterproof or heavily insulated). for your average winter day though, it will be a fun option! the removable v")</f>
        <v>The rest of the reviewers are right about the color being in accurately pictured. i ordered the dark orange color and i recieved more of a dark cedar brown colored jacket. the print is great, i love it! it's so different than any other jackets ive seen. while the jacket is ã¼ber cute, it is a bit bulky (though the waist tie helps with that) and its not heavy winter appropriate ( it's not waterproof or heavily insulated). for your average winter day though, it will be a fun option! the removable v</v>
      </c>
      <c r="F84" s="13">
        <f>IFERROR(__xludf.DUMMYFUNCTION("""COMPUTED_VALUE"""),5.0)</f>
        <v>5</v>
      </c>
      <c r="G84" s="13">
        <f>IFERROR(__xludf.DUMMYFUNCTION("""COMPUTED_VALUE"""),1.0)</f>
        <v>1</v>
      </c>
      <c r="H84" s="13">
        <f>IFERROR(__xludf.DUMMYFUNCTION("""COMPUTED_VALUE"""),0.0)</f>
        <v>0</v>
      </c>
      <c r="I84" s="13" t="str">
        <f>IFERROR(__xludf.DUMMYFUNCTION("""COMPUTED_VALUE"""),"General")</f>
        <v>General</v>
      </c>
      <c r="J84" s="13" t="str">
        <f>IFERROR(__xludf.DUMMYFUNCTION("""COMPUTED_VALUE"""),"Jackets")</f>
        <v>Jackets</v>
      </c>
      <c r="K84" s="13" t="str">
        <f>IFERROR(__xludf.DUMMYFUNCTION("""COMPUTED_VALUE"""),"Outerwear")</f>
        <v>Outerwear</v>
      </c>
      <c r="L84" s="13"/>
    </row>
    <row r="85">
      <c r="A85" s="13">
        <f>IFERROR(__xludf.DUMMYFUNCTION("""COMPUTED_VALUE"""),83.0)</f>
        <v>83</v>
      </c>
      <c r="B85" s="13">
        <f>IFERROR(__xludf.DUMMYFUNCTION("""COMPUTED_VALUE"""),822.0)</f>
        <v>822</v>
      </c>
      <c r="C85" s="13">
        <f>IFERROR(__xludf.DUMMYFUNCTION("""COMPUTED_VALUE"""),68.0)</f>
        <v>68</v>
      </c>
      <c r="D85" s="12" t="str">
        <f>IFERROR(__xludf.DUMMYFUNCTION("""COMPUTED_VALUE"""),"Just lovely")</f>
        <v>Just lovely</v>
      </c>
      <c r="E85" s="12" t="str">
        <f>IFERROR(__xludf.DUMMYFUNCTION("""COMPUTED_VALUE"""),"I purchased this top in an antro store last week. the quality is wonderful and the greenish blue color is very unique. the blouse has a beautiful stretchy camsiole that is attached at the shoulders, but can be removed by snaps. i tooks great when worn two"&amp;" different ways. i wore it with the campole out, and it peeks through the blouse at the bottom. it also looks great when the camisole is worn in. my only wish is that it would come in a petite size as it's a touch big at the shoulders and neckli")</f>
        <v>I purchased this top in an antro store last week. the quality is wonderful and the greenish blue color is very unique. the blouse has a beautiful stretchy camsiole that is attached at the shoulders, but can be removed by snaps. i tooks great when worn two different ways. i wore it with the campole out, and it peeks through the blouse at the bottom. it also looks great when the camisole is worn in. my only wish is that it would come in a petite size as it's a touch big at the shoulders and neckli</v>
      </c>
      <c r="F85" s="13">
        <f>IFERROR(__xludf.DUMMYFUNCTION("""COMPUTED_VALUE"""),5.0)</f>
        <v>5</v>
      </c>
      <c r="G85" s="13">
        <f>IFERROR(__xludf.DUMMYFUNCTION("""COMPUTED_VALUE"""),1.0)</f>
        <v>1</v>
      </c>
      <c r="H85" s="13">
        <f>IFERROR(__xludf.DUMMYFUNCTION("""COMPUTED_VALUE"""),3.0)</f>
        <v>3</v>
      </c>
      <c r="I85" s="13" t="str">
        <f>IFERROR(__xludf.DUMMYFUNCTION("""COMPUTED_VALUE"""),"General")</f>
        <v>General</v>
      </c>
      <c r="J85" s="13" t="str">
        <f>IFERROR(__xludf.DUMMYFUNCTION("""COMPUTED_VALUE"""),"Tops")</f>
        <v>Tops</v>
      </c>
      <c r="K85" s="13" t="str">
        <f>IFERROR(__xludf.DUMMYFUNCTION("""COMPUTED_VALUE"""),"Blouses")</f>
        <v>Blouses</v>
      </c>
      <c r="L85" s="13"/>
    </row>
    <row r="86">
      <c r="A86" s="13">
        <f>IFERROR(__xludf.DUMMYFUNCTION("""COMPUTED_VALUE"""),84.0)</f>
        <v>84</v>
      </c>
      <c r="B86" s="13">
        <f>IFERROR(__xludf.DUMMYFUNCTION("""COMPUTED_VALUE"""),861.0)</f>
        <v>861</v>
      </c>
      <c r="C86" s="13">
        <f>IFERROR(__xludf.DUMMYFUNCTION("""COMPUTED_VALUE"""),37.0)</f>
        <v>37</v>
      </c>
      <c r="D86" s="12" t="str">
        <f>IFERROR(__xludf.DUMMYFUNCTION("""COMPUTED_VALUE"""),"Casual &amp; unique tee")</f>
        <v>Casual &amp; unique tee</v>
      </c>
      <c r="E86" s="12" t="str">
        <f>IFERROR(__xludf.DUMMYFUNCTION("""COMPUTED_VALUE"""),"I received this shirt in my typical xs and it fits perfectly. i?m not crazy in love with it but i also don?t dislike. the shirt is on the thin side. do i need to wear a cami underneath it, no. my concern is holes. it does remind me of a material that coul"&amp;"d develop some holes after some wear and washes. with that being said i?ll wash this shirt in cold water and hang dry and hopefully that will prevent holes from developing. the length is fine and i do like the slits in front?it adds a little dim")</f>
        <v>I received this shirt in my typical xs and it fits perfectly. i?m not crazy in love with it but i also don?t dislike. the shirt is on the thin side. do i need to wear a cami underneath it, no. my concern is holes. it does remind me of a material that could develop some holes after some wear and washes. with that being said i?ll wash this shirt in cold water and hang dry and hopefully that will prevent holes from developing. the length is fine and i do like the slits in front?it adds a little dim</v>
      </c>
      <c r="F86" s="13">
        <f>IFERROR(__xludf.DUMMYFUNCTION("""COMPUTED_VALUE"""),3.0)</f>
        <v>3</v>
      </c>
      <c r="G86" s="13">
        <f>IFERROR(__xludf.DUMMYFUNCTION("""COMPUTED_VALUE"""),1.0)</f>
        <v>1</v>
      </c>
      <c r="H86" s="13">
        <f>IFERROR(__xludf.DUMMYFUNCTION("""COMPUTED_VALUE"""),0.0)</f>
        <v>0</v>
      </c>
      <c r="I86" s="13" t="str">
        <f>IFERROR(__xludf.DUMMYFUNCTION("""COMPUTED_VALUE"""),"General Petite")</f>
        <v>General Petite</v>
      </c>
      <c r="J86" s="13" t="str">
        <f>IFERROR(__xludf.DUMMYFUNCTION("""COMPUTED_VALUE"""),"Tops")</f>
        <v>Tops</v>
      </c>
      <c r="K86" s="13" t="str">
        <f>IFERROR(__xludf.DUMMYFUNCTION("""COMPUTED_VALUE"""),"Knits")</f>
        <v>Knits</v>
      </c>
      <c r="L86" s="13"/>
    </row>
    <row r="87">
      <c r="A87" s="13">
        <f>IFERROR(__xludf.DUMMYFUNCTION("""COMPUTED_VALUE"""),85.0)</f>
        <v>85</v>
      </c>
      <c r="B87" s="13">
        <f>IFERROR(__xludf.DUMMYFUNCTION("""COMPUTED_VALUE"""),866.0)</f>
        <v>866</v>
      </c>
      <c r="C87" s="13">
        <f>IFERROR(__xludf.DUMMYFUNCTION("""COMPUTED_VALUE"""),58.0)</f>
        <v>58</v>
      </c>
      <c r="D87" s="12"/>
      <c r="E87" s="12" t="str">
        <f>IFERROR(__xludf.DUMMYFUNCTION("""COMPUTED_VALUE"""),"I was really hoping to like this, but it did not look the way it does on the model, at least not on me. the sharkbite hem is much more pronounced and looser. the one in the photo looks like it was pinned back. i am 5'8"" and usually wear a medium or large"&amp;". i got a medium and there was a lot more material on the bottom half than the photo shows. it made me look bigger and was not flattering. material has a nice weave but it's thin and delicate. i bought the (holly) deep olive and the blue. colors")</f>
        <v>I was really hoping to like this, but it did not look the way it does on the model, at least not on me. the sharkbite hem is much more pronounced and looser. the one in the photo looks like it was pinned back. i am 5'8" and usually wear a medium or large. i got a medium and there was a lot more material on the bottom half than the photo shows. it made me look bigger and was not flattering. material has a nice weave but it's thin and delicate. i bought the (holly) deep olive and the blue. colors</v>
      </c>
      <c r="F87" s="13">
        <f>IFERROR(__xludf.DUMMYFUNCTION("""COMPUTED_VALUE"""),1.0)</f>
        <v>1</v>
      </c>
      <c r="G87" s="13">
        <f>IFERROR(__xludf.DUMMYFUNCTION("""COMPUTED_VALUE"""),0.0)</f>
        <v>0</v>
      </c>
      <c r="H87" s="13">
        <f>IFERROR(__xludf.DUMMYFUNCTION("""COMPUTED_VALUE"""),2.0)</f>
        <v>2</v>
      </c>
      <c r="I87" s="13" t="str">
        <f>IFERROR(__xludf.DUMMYFUNCTION("""COMPUTED_VALUE"""),"General Petite")</f>
        <v>General Petite</v>
      </c>
      <c r="J87" s="13" t="str">
        <f>IFERROR(__xludf.DUMMYFUNCTION("""COMPUTED_VALUE"""),"Tops")</f>
        <v>Tops</v>
      </c>
      <c r="K87" s="13" t="str">
        <f>IFERROR(__xludf.DUMMYFUNCTION("""COMPUTED_VALUE"""),"Knits")</f>
        <v>Knits</v>
      </c>
      <c r="L87" s="13"/>
    </row>
    <row r="88">
      <c r="A88" s="13">
        <f>IFERROR(__xludf.DUMMYFUNCTION("""COMPUTED_VALUE"""),86.0)</f>
        <v>86</v>
      </c>
      <c r="B88" s="13">
        <f>IFERROR(__xludf.DUMMYFUNCTION("""COMPUTED_VALUE"""),850.0)</f>
        <v>850</v>
      </c>
      <c r="C88" s="13">
        <f>IFERROR(__xludf.DUMMYFUNCTION("""COMPUTED_VALUE"""),39.0)</f>
        <v>39</v>
      </c>
      <c r="D88" s="12" t="str">
        <f>IFERROR(__xludf.DUMMYFUNCTION("""COMPUTED_VALUE"""),"Neutral blue")</f>
        <v>Neutral blue</v>
      </c>
      <c r="E88" s="12" t="str">
        <f>IFERROR(__xludf.DUMMYFUNCTION("""COMPUTED_VALUE"""),"I tried this on from the sale section, and they only had a 2 (i usually do 0), and surprisingly, that size was the right fit. it is fitted, with just enough room to eat :-) 
te blue is a light blue, almost neutral, with the white embroidery, i think it lo"&amp;"oked stylish, and decided to keep it. the peplum part hit just in the right spot, i am short (petite) but my torso is normal size...")</f>
        <v>I tried this on from the sale section, and they only had a 2 (i usually do 0), and surprisingly, that size was the right fit. it is fitted, with just enough room to eat :-) 
te blue is a light blue, almost neutral, with the white embroidery, i think it looked stylish, and decided to keep it. the peplum part hit just in the right spot, i am short (petite) but my torso is normal size...</v>
      </c>
      <c r="F88" s="13">
        <f>IFERROR(__xludf.DUMMYFUNCTION("""COMPUTED_VALUE"""),4.0)</f>
        <v>4</v>
      </c>
      <c r="G88" s="13">
        <f>IFERROR(__xludf.DUMMYFUNCTION("""COMPUTED_VALUE"""),1.0)</f>
        <v>1</v>
      </c>
      <c r="H88" s="13">
        <f>IFERROR(__xludf.DUMMYFUNCTION("""COMPUTED_VALUE"""),0.0)</f>
        <v>0</v>
      </c>
      <c r="I88" s="13" t="str">
        <f>IFERROR(__xludf.DUMMYFUNCTION("""COMPUTED_VALUE"""),"General Petite")</f>
        <v>General Petite</v>
      </c>
      <c r="J88" s="13" t="str">
        <f>IFERROR(__xludf.DUMMYFUNCTION("""COMPUTED_VALUE"""),"Tops")</f>
        <v>Tops</v>
      </c>
      <c r="K88" s="13" t="str">
        <f>IFERROR(__xludf.DUMMYFUNCTION("""COMPUTED_VALUE"""),"Blouses")</f>
        <v>Blouses</v>
      </c>
      <c r="L88" s="13"/>
    </row>
    <row r="89">
      <c r="A89" s="13">
        <f>IFERROR(__xludf.DUMMYFUNCTION("""COMPUTED_VALUE"""),87.0)</f>
        <v>87</v>
      </c>
      <c r="B89" s="13">
        <f>IFERROR(__xludf.DUMMYFUNCTION("""COMPUTED_VALUE"""),1081.0)</f>
        <v>1081</v>
      </c>
      <c r="C89" s="13">
        <f>IFERROR(__xludf.DUMMYFUNCTION("""COMPUTED_VALUE"""),39.0)</f>
        <v>39</v>
      </c>
      <c r="D89" s="12" t="str">
        <f>IFERROR(__xludf.DUMMYFUNCTION("""COMPUTED_VALUE"""),"True to size to large")</f>
        <v>True to size to large</v>
      </c>
      <c r="E89" s="12" t="str">
        <f>IFERROR(__xludf.DUMMYFUNCTION("""COMPUTED_VALUE"""),"I debated n that as i think it looks loose on the model, but if i was to tighten it, it looks a lot more flattering... i tried on the xs in the store (i usually do that to decide if i need petite), and it looked huge, when we pinched the back to see if xx"&amp;"s would work, it was a lot of fabric, and looser didn't look as good on me... but i like the dress overall, so still recommend. and for those who like the looser look, this is great. i would, however, order eptite for 5'1.5"". (115 lbs, 03 dd che")</f>
        <v>I debated n that as i think it looks loose on the model, but if i was to tighten it, it looks a lot more flattering... i tried on the xs in the store (i usually do that to decide if i need petite), and it looked huge, when we pinched the back to see if xxs would work, it was a lot of fabric, and looser didn't look as good on me... but i like the dress overall, so still recommend. and for those who like the looser look, this is great. i would, however, order eptite for 5'1.5". (115 lbs, 03 dd che</v>
      </c>
      <c r="F89" s="13">
        <f>IFERROR(__xludf.DUMMYFUNCTION("""COMPUTED_VALUE"""),4.0)</f>
        <v>4</v>
      </c>
      <c r="G89" s="13">
        <f>IFERROR(__xludf.DUMMYFUNCTION("""COMPUTED_VALUE"""),1.0)</f>
        <v>1</v>
      </c>
      <c r="H89" s="13">
        <f>IFERROR(__xludf.DUMMYFUNCTION("""COMPUTED_VALUE"""),9.0)</f>
        <v>9</v>
      </c>
      <c r="I89" s="13" t="str">
        <f>IFERROR(__xludf.DUMMYFUNCTION("""COMPUTED_VALUE"""),"General Petite")</f>
        <v>General Petite</v>
      </c>
      <c r="J89" s="13" t="str">
        <f>IFERROR(__xludf.DUMMYFUNCTION("""COMPUTED_VALUE"""),"Dresses")</f>
        <v>Dresses</v>
      </c>
      <c r="K89" s="13" t="str">
        <f>IFERROR(__xludf.DUMMYFUNCTION("""COMPUTED_VALUE"""),"Dresses")</f>
        <v>Dresses</v>
      </c>
      <c r="L89" s="13"/>
    </row>
    <row r="90">
      <c r="A90" s="13">
        <f>IFERROR(__xludf.DUMMYFUNCTION("""COMPUTED_VALUE"""),88.0)</f>
        <v>88</v>
      </c>
      <c r="B90" s="13">
        <f>IFERROR(__xludf.DUMMYFUNCTION("""COMPUTED_VALUE"""),845.0)</f>
        <v>845</v>
      </c>
      <c r="C90" s="13">
        <f>IFERROR(__xludf.DUMMYFUNCTION("""COMPUTED_VALUE"""),38.0)</f>
        <v>38</v>
      </c>
      <c r="D90" s="12" t="str">
        <f>IFERROR(__xludf.DUMMYFUNCTION("""COMPUTED_VALUE"""),"Huge")</f>
        <v>Huge</v>
      </c>
      <c r="E90" s="12" t="str">
        <f>IFERROR(__xludf.DUMMYFUNCTION("""COMPUTED_VALUE"""),"Really cute piece, but it's huge. i ordered an xxs petite and it was unfortunately extremely wide and not flattering. returning.")</f>
        <v>Really cute piece, but it's huge. i ordered an xxs petite and it was unfortunately extremely wide and not flattering. returning.</v>
      </c>
      <c r="F90" s="13">
        <f>IFERROR(__xludf.DUMMYFUNCTION("""COMPUTED_VALUE"""),2.0)</f>
        <v>2</v>
      </c>
      <c r="G90" s="13">
        <f>IFERROR(__xludf.DUMMYFUNCTION("""COMPUTED_VALUE"""),0.0)</f>
        <v>0</v>
      </c>
      <c r="H90" s="13">
        <f>IFERROR(__xludf.DUMMYFUNCTION("""COMPUTED_VALUE"""),4.0)</f>
        <v>4</v>
      </c>
      <c r="I90" s="13" t="str">
        <f>IFERROR(__xludf.DUMMYFUNCTION("""COMPUTED_VALUE"""),"General Petite")</f>
        <v>General Petite</v>
      </c>
      <c r="J90" s="13" t="str">
        <f>IFERROR(__xludf.DUMMYFUNCTION("""COMPUTED_VALUE"""),"Tops")</f>
        <v>Tops</v>
      </c>
      <c r="K90" s="13" t="str">
        <f>IFERROR(__xludf.DUMMYFUNCTION("""COMPUTED_VALUE"""),"Blouses")</f>
        <v>Blouses</v>
      </c>
      <c r="L90" s="13"/>
    </row>
    <row r="91">
      <c r="A91" s="13">
        <f>IFERROR(__xludf.DUMMYFUNCTION("""COMPUTED_VALUE"""),89.0)</f>
        <v>89</v>
      </c>
      <c r="B91" s="13">
        <f>IFERROR(__xludf.DUMMYFUNCTION("""COMPUTED_VALUE"""),836.0)</f>
        <v>836</v>
      </c>
      <c r="C91" s="13">
        <f>IFERROR(__xludf.DUMMYFUNCTION("""COMPUTED_VALUE"""),24.0)</f>
        <v>24</v>
      </c>
      <c r="D91" s="12" t="str">
        <f>IFERROR(__xludf.DUMMYFUNCTION("""COMPUTED_VALUE"""),"Pretty, but not for me...")</f>
        <v>Pretty, but not for me...</v>
      </c>
      <c r="E91" s="12" t="str">
        <f>IFERROR(__xludf.DUMMYFUNCTION("""COMPUTED_VALUE"""),"I bought this top online in the burnt orange color and was so excited to get it. when i tried it on, the fit was fine but it just lacked...something. the back was a little bit too long, the front was a little bit too short and it lacked the overall tailor"&amp;"ed look that i was after. gorgeous fabric and top, but not for me. i wanted something more for $150! bought the velvet tunic instead ;)")</f>
        <v>I bought this top online in the burnt orange color and was so excited to get it. when i tried it on, the fit was fine but it just lacked...something. the back was a little bit too long, the front was a little bit too short and it lacked the overall tailored look that i was after. gorgeous fabric and top, but not for me. i wanted something more for $150! bought the velvet tunic instead ;)</v>
      </c>
      <c r="F91" s="13">
        <f>IFERROR(__xludf.DUMMYFUNCTION("""COMPUTED_VALUE"""),4.0)</f>
        <v>4</v>
      </c>
      <c r="G91" s="13">
        <f>IFERROR(__xludf.DUMMYFUNCTION("""COMPUTED_VALUE"""),1.0)</f>
        <v>1</v>
      </c>
      <c r="H91" s="13">
        <f>IFERROR(__xludf.DUMMYFUNCTION("""COMPUTED_VALUE"""),3.0)</f>
        <v>3</v>
      </c>
      <c r="I91" s="13" t="str">
        <f>IFERROR(__xludf.DUMMYFUNCTION("""COMPUTED_VALUE"""),"General")</f>
        <v>General</v>
      </c>
      <c r="J91" s="13" t="str">
        <f>IFERROR(__xludf.DUMMYFUNCTION("""COMPUTED_VALUE"""),"Tops")</f>
        <v>Tops</v>
      </c>
      <c r="K91" s="13" t="str">
        <f>IFERROR(__xludf.DUMMYFUNCTION("""COMPUTED_VALUE"""),"Blouses")</f>
        <v>Blouses</v>
      </c>
      <c r="L91" s="13"/>
    </row>
    <row r="92">
      <c r="A92" s="13">
        <f>IFERROR(__xludf.DUMMYFUNCTION("""COMPUTED_VALUE"""),90.0)</f>
        <v>90</v>
      </c>
      <c r="B92" s="13">
        <f>IFERROR(__xludf.DUMMYFUNCTION("""COMPUTED_VALUE"""),1078.0)</f>
        <v>1078</v>
      </c>
      <c r="C92" s="13">
        <f>IFERROR(__xludf.DUMMYFUNCTION("""COMPUTED_VALUE"""),51.0)</f>
        <v>51</v>
      </c>
      <c r="D92" s="12" t="str">
        <f>IFERROR(__xludf.DUMMYFUNCTION("""COMPUTED_VALUE"""),"Sweet flattering dress")</f>
        <v>Sweet flattering dress</v>
      </c>
      <c r="E92" s="12" t="str">
        <f>IFERROR(__xludf.DUMMYFUNCTION("""COMPUTED_VALUE"""),"I love cute summer dresses and this one, especially because it is made out of linen, is unique. it is very well-made with a design that is quite flattering. i am 5 foot 6 and a little curvy with a 38 c bust and i got a size 10. it fits well although it is"&amp;" difficult to zip up because the material has no give. the perfect dress to wear to italy or france! now i just have to book my tickets!")</f>
        <v>I love cute summer dresses and this one, especially because it is made out of linen, is unique. it is very well-made with a design that is quite flattering. i am 5 foot 6 and a little curvy with a 38 c bust and i got a size 10. it fits well although it is difficult to zip up because the material has no give. the perfect dress to wear to italy or france! now i just have to book my tickets!</v>
      </c>
      <c r="F92" s="13">
        <f>IFERROR(__xludf.DUMMYFUNCTION("""COMPUTED_VALUE"""),4.0)</f>
        <v>4</v>
      </c>
      <c r="G92" s="13">
        <f>IFERROR(__xludf.DUMMYFUNCTION("""COMPUTED_VALUE"""),1.0)</f>
        <v>1</v>
      </c>
      <c r="H92" s="13">
        <f>IFERROR(__xludf.DUMMYFUNCTION("""COMPUTED_VALUE"""),0.0)</f>
        <v>0</v>
      </c>
      <c r="I92" s="13" t="str">
        <f>IFERROR(__xludf.DUMMYFUNCTION("""COMPUTED_VALUE"""),"General Petite")</f>
        <v>General Petite</v>
      </c>
      <c r="J92" s="13" t="str">
        <f>IFERROR(__xludf.DUMMYFUNCTION("""COMPUTED_VALUE"""),"Dresses")</f>
        <v>Dresses</v>
      </c>
      <c r="K92" s="13" t="str">
        <f>IFERROR(__xludf.DUMMYFUNCTION("""COMPUTED_VALUE"""),"Dresses")</f>
        <v>Dresses</v>
      </c>
      <c r="L92" s="13"/>
    </row>
    <row r="93">
      <c r="A93" s="13">
        <f>IFERROR(__xludf.DUMMYFUNCTION("""COMPUTED_VALUE"""),91.0)</f>
        <v>91</v>
      </c>
      <c r="B93" s="13">
        <f>IFERROR(__xludf.DUMMYFUNCTION("""COMPUTED_VALUE"""),850.0)</f>
        <v>850</v>
      </c>
      <c r="C93" s="13">
        <f>IFERROR(__xludf.DUMMYFUNCTION("""COMPUTED_VALUE"""),29.0)</f>
        <v>29</v>
      </c>
      <c r="D93" s="12"/>
      <c r="E93" s="12" t="str">
        <f>IFERROR(__xludf.DUMMYFUNCTION("""COMPUTED_VALUE"""),"This top is so much prettier in real life than it is on the model. the pattern and texture are both lovely, and the peplum is surprisingly flattering. it is definitely on the short side, but i think that gives it a modern look. the fabric does not stretch"&amp;" at all, but i still think it fits tts. if you have a very large chest you may want to go up a size, but otherwise i would order your normal size.")</f>
        <v>This top is so much prettier in real life than it is on the model. the pattern and texture are both lovely, and the peplum is surprisingly flattering. it is definitely on the short side, but i think that gives it a modern look. the fabric does not stretch at all, but i still think it fits tts. if you have a very large chest you may want to go up a size, but otherwise i would order your normal size.</v>
      </c>
      <c r="F93" s="13">
        <f>IFERROR(__xludf.DUMMYFUNCTION("""COMPUTED_VALUE"""),5.0)</f>
        <v>5</v>
      </c>
      <c r="G93" s="13">
        <f>IFERROR(__xludf.DUMMYFUNCTION("""COMPUTED_VALUE"""),1.0)</f>
        <v>1</v>
      </c>
      <c r="H93" s="13">
        <f>IFERROR(__xludf.DUMMYFUNCTION("""COMPUTED_VALUE"""),5.0)</f>
        <v>5</v>
      </c>
      <c r="I93" s="13" t="str">
        <f>IFERROR(__xludf.DUMMYFUNCTION("""COMPUTED_VALUE"""),"General Petite")</f>
        <v>General Petite</v>
      </c>
      <c r="J93" s="13" t="str">
        <f>IFERROR(__xludf.DUMMYFUNCTION("""COMPUTED_VALUE"""),"Tops")</f>
        <v>Tops</v>
      </c>
      <c r="K93" s="13" t="str">
        <f>IFERROR(__xludf.DUMMYFUNCTION("""COMPUTED_VALUE"""),"Blouses")</f>
        <v>Blouses</v>
      </c>
      <c r="L93" s="13"/>
    </row>
    <row r="94">
      <c r="A94" s="13">
        <f>IFERROR(__xludf.DUMMYFUNCTION("""COMPUTED_VALUE"""),92.0)</f>
        <v>92</v>
      </c>
      <c r="B94" s="13">
        <f>IFERROR(__xludf.DUMMYFUNCTION("""COMPUTED_VALUE"""),861.0)</f>
        <v>861</v>
      </c>
      <c r="C94" s="13">
        <f>IFERROR(__xludf.DUMMYFUNCTION("""COMPUTED_VALUE"""),23.0)</f>
        <v>23</v>
      </c>
      <c r="D94" s="12"/>
      <c r="E94" s="12"/>
      <c r="F94" s="13">
        <f>IFERROR(__xludf.DUMMYFUNCTION("""COMPUTED_VALUE"""),5.0)</f>
        <v>5</v>
      </c>
      <c r="G94" s="13">
        <f>IFERROR(__xludf.DUMMYFUNCTION("""COMPUTED_VALUE"""),1.0)</f>
        <v>1</v>
      </c>
      <c r="H94" s="13">
        <f>IFERROR(__xludf.DUMMYFUNCTION("""COMPUTED_VALUE"""),0.0)</f>
        <v>0</v>
      </c>
      <c r="I94" s="13" t="str">
        <f>IFERROR(__xludf.DUMMYFUNCTION("""COMPUTED_VALUE"""),"General Petite")</f>
        <v>General Petite</v>
      </c>
      <c r="J94" s="13" t="str">
        <f>IFERROR(__xludf.DUMMYFUNCTION("""COMPUTED_VALUE"""),"Tops")</f>
        <v>Tops</v>
      </c>
      <c r="K94" s="13" t="str">
        <f>IFERROR(__xludf.DUMMYFUNCTION("""COMPUTED_VALUE"""),"Knits")</f>
        <v>Knits</v>
      </c>
      <c r="L94" s="13"/>
    </row>
    <row r="95">
      <c r="A95" s="13">
        <f>IFERROR(__xludf.DUMMYFUNCTION("""COMPUTED_VALUE"""),93.0)</f>
        <v>93</v>
      </c>
      <c r="B95" s="13">
        <f>IFERROR(__xludf.DUMMYFUNCTION("""COMPUTED_VALUE"""),1081.0)</f>
        <v>1081</v>
      </c>
      <c r="C95" s="13">
        <f>IFERROR(__xludf.DUMMYFUNCTION("""COMPUTED_VALUE"""),31.0)</f>
        <v>31</v>
      </c>
      <c r="D95" s="12"/>
      <c r="E95" s="12"/>
      <c r="F95" s="13">
        <f>IFERROR(__xludf.DUMMYFUNCTION("""COMPUTED_VALUE"""),5.0)</f>
        <v>5</v>
      </c>
      <c r="G95" s="13">
        <f>IFERROR(__xludf.DUMMYFUNCTION("""COMPUTED_VALUE"""),1.0)</f>
        <v>1</v>
      </c>
      <c r="H95" s="13">
        <f>IFERROR(__xludf.DUMMYFUNCTION("""COMPUTED_VALUE"""),0.0)</f>
        <v>0</v>
      </c>
      <c r="I95" s="13" t="str">
        <f>IFERROR(__xludf.DUMMYFUNCTION("""COMPUTED_VALUE"""),"General")</f>
        <v>General</v>
      </c>
      <c r="J95" s="13" t="str">
        <f>IFERROR(__xludf.DUMMYFUNCTION("""COMPUTED_VALUE"""),"Dresses")</f>
        <v>Dresses</v>
      </c>
      <c r="K95" s="13" t="str">
        <f>IFERROR(__xludf.DUMMYFUNCTION("""COMPUTED_VALUE"""),"Dresses")</f>
        <v>Dresses</v>
      </c>
      <c r="L95" s="13"/>
    </row>
    <row r="96">
      <c r="A96" s="13">
        <f>IFERROR(__xludf.DUMMYFUNCTION("""COMPUTED_VALUE"""),94.0)</f>
        <v>94</v>
      </c>
      <c r="B96" s="13">
        <f>IFERROR(__xludf.DUMMYFUNCTION("""COMPUTED_VALUE"""),850.0)</f>
        <v>850</v>
      </c>
      <c r="C96" s="13">
        <f>IFERROR(__xludf.DUMMYFUNCTION("""COMPUTED_VALUE"""),23.0)</f>
        <v>23</v>
      </c>
      <c r="D96" s="12" t="str">
        <f>IFERROR(__xludf.DUMMYFUNCTION("""COMPUTED_VALUE"""),"Beautifully made, but not versatile")</f>
        <v>Beautifully made, but not versatile</v>
      </c>
      <c r="E96" s="12" t="str">
        <f>IFERROR(__xludf.DUMMYFUNCTION("""COMPUTED_VALUE"""),"This shirt caught my eye because of how beautiful it was. i love the shape, design, and and the color. it's perfect for spring and summer with some white pants. unfortunately, i don't see any possibilities for this shirt to be worn any other way. so far, "&amp;"it doesn't work with any of my jeans, skirts, or shorts. i usually prefer items with more versatility for outfits, so i'm still on the fence if i'm going to keep it or not. with that aside, it seriously is a great quality shirt with a beautiful")</f>
        <v>This shirt caught my eye because of how beautiful it was. i love the shape, design, and and the color. it's perfect for spring and summer with some white pants. unfortunately, i don't see any possibilities for this shirt to be worn any other way. so far, it doesn't work with any of my jeans, skirts, or shorts. i usually prefer items with more versatility for outfits, so i'm still on the fence if i'm going to keep it or not. with that aside, it seriously is a great quality shirt with a beautiful</v>
      </c>
      <c r="F96" s="13">
        <f>IFERROR(__xludf.DUMMYFUNCTION("""COMPUTED_VALUE"""),4.0)</f>
        <v>4</v>
      </c>
      <c r="G96" s="13">
        <f>IFERROR(__xludf.DUMMYFUNCTION("""COMPUTED_VALUE"""),1.0)</f>
        <v>1</v>
      </c>
      <c r="H96" s="13">
        <f>IFERROR(__xludf.DUMMYFUNCTION("""COMPUTED_VALUE"""),3.0)</f>
        <v>3</v>
      </c>
      <c r="I96" s="13" t="str">
        <f>IFERROR(__xludf.DUMMYFUNCTION("""COMPUTED_VALUE"""),"General Petite")</f>
        <v>General Petite</v>
      </c>
      <c r="J96" s="13" t="str">
        <f>IFERROR(__xludf.DUMMYFUNCTION("""COMPUTED_VALUE"""),"Tops")</f>
        <v>Tops</v>
      </c>
      <c r="K96" s="13" t="str">
        <f>IFERROR(__xludf.DUMMYFUNCTION("""COMPUTED_VALUE"""),"Blouses")</f>
        <v>Blouses</v>
      </c>
      <c r="L96" s="13"/>
    </row>
    <row r="97">
      <c r="A97" s="13">
        <f>IFERROR(__xludf.DUMMYFUNCTION("""COMPUTED_VALUE"""),95.0)</f>
        <v>95</v>
      </c>
      <c r="B97" s="13">
        <f>IFERROR(__xludf.DUMMYFUNCTION("""COMPUTED_VALUE"""),863.0)</f>
        <v>863</v>
      </c>
      <c r="C97" s="13">
        <f>IFERROR(__xludf.DUMMYFUNCTION("""COMPUTED_VALUE"""),83.0)</f>
        <v>83</v>
      </c>
      <c r="D97" s="12" t="str">
        <f>IFERROR(__xludf.DUMMYFUNCTION("""COMPUTED_VALUE"""),"Casual elegance!")</f>
        <v>Casual elegance!</v>
      </c>
      <c r="E97" s="12" t="str">
        <f>IFERROR(__xludf.DUMMYFUNCTION("""COMPUTED_VALUE"""),"Purchased this top online, and when i received it was very pleased.
it has and elegant cut and yet is a casual fabric.
love that the sleeves run longer......ads to the overall look.
also loved the v neckline.........enhances the feel of the overall style."&amp;"
with various necklaces this top has limitless options!
the color states moss....which i usually think of as greenish brown......i found it to be more of a taupe.
would have liked it to have a green tones, however it is still a fantastic f")</f>
        <v>Purchased this top online, and when i received it was very pleased.
it has and elegant cut and yet is a casual fabric.
love that the sleeves run longer......ads to the overall look.
also loved the v neckline.........enhances the feel of the overall style.
with various necklaces this top has limitless options!
the color states moss....which i usually think of as greenish brown......i found it to be more of a taupe.
would have liked it to have a green tones, however it is still a fantastic f</v>
      </c>
      <c r="F97" s="13">
        <f>IFERROR(__xludf.DUMMYFUNCTION("""COMPUTED_VALUE"""),5.0)</f>
        <v>5</v>
      </c>
      <c r="G97" s="13">
        <f>IFERROR(__xludf.DUMMYFUNCTION("""COMPUTED_VALUE"""),1.0)</f>
        <v>1</v>
      </c>
      <c r="H97" s="13">
        <f>IFERROR(__xludf.DUMMYFUNCTION("""COMPUTED_VALUE"""),14.0)</f>
        <v>14</v>
      </c>
      <c r="I97" s="13" t="str">
        <f>IFERROR(__xludf.DUMMYFUNCTION("""COMPUTED_VALUE"""),"General")</f>
        <v>General</v>
      </c>
      <c r="J97" s="13" t="str">
        <f>IFERROR(__xludf.DUMMYFUNCTION("""COMPUTED_VALUE"""),"Tops")</f>
        <v>Tops</v>
      </c>
      <c r="K97" s="13" t="str">
        <f>IFERROR(__xludf.DUMMYFUNCTION("""COMPUTED_VALUE"""),"Knits")</f>
        <v>Knits</v>
      </c>
      <c r="L97" s="13"/>
    </row>
    <row r="98">
      <c r="A98" s="13">
        <f>IFERROR(__xludf.DUMMYFUNCTION("""COMPUTED_VALUE"""),96.0)</f>
        <v>96</v>
      </c>
      <c r="B98" s="13">
        <f>IFERROR(__xludf.DUMMYFUNCTION("""COMPUTED_VALUE"""),845.0)</f>
        <v>845</v>
      </c>
      <c r="C98" s="13">
        <f>IFERROR(__xludf.DUMMYFUNCTION("""COMPUTED_VALUE"""),44.0)</f>
        <v>44</v>
      </c>
      <c r="D98" s="12"/>
      <c r="E98" s="12" t="str">
        <f>IFERROR(__xludf.DUMMYFUNCTION("""COMPUTED_VALUE"""),"I usually wear a medium and bought a small. it fit ok, but had no shape and was not flattering. i love baby doll dresses and tops, but this was a tent. my daughter saw me try it on and said ""that's a piece of tablecloth."" it's going back.")</f>
        <v>I usually wear a medium and bought a small. it fit ok, but had no shape and was not flattering. i love baby doll dresses and tops, but this was a tent. my daughter saw me try it on and said "that's a piece of tablecloth." it's going back.</v>
      </c>
      <c r="F98" s="13">
        <f>IFERROR(__xludf.DUMMYFUNCTION("""COMPUTED_VALUE"""),1.0)</f>
        <v>1</v>
      </c>
      <c r="G98" s="13">
        <f>IFERROR(__xludf.DUMMYFUNCTION("""COMPUTED_VALUE"""),0.0)</f>
        <v>0</v>
      </c>
      <c r="H98" s="13">
        <f>IFERROR(__xludf.DUMMYFUNCTION("""COMPUTED_VALUE"""),0.0)</f>
        <v>0</v>
      </c>
      <c r="I98" s="13" t="str">
        <f>IFERROR(__xludf.DUMMYFUNCTION("""COMPUTED_VALUE"""),"General Petite")</f>
        <v>General Petite</v>
      </c>
      <c r="J98" s="13" t="str">
        <f>IFERROR(__xludf.DUMMYFUNCTION("""COMPUTED_VALUE"""),"Tops")</f>
        <v>Tops</v>
      </c>
      <c r="K98" s="13" t="str">
        <f>IFERROR(__xludf.DUMMYFUNCTION("""COMPUTED_VALUE"""),"Blouses")</f>
        <v>Blouses</v>
      </c>
      <c r="L98" s="13"/>
    </row>
    <row r="99">
      <c r="A99" s="13">
        <f>IFERROR(__xludf.DUMMYFUNCTION("""COMPUTED_VALUE"""),97.0)</f>
        <v>97</v>
      </c>
      <c r="B99" s="13">
        <f>IFERROR(__xludf.DUMMYFUNCTION("""COMPUTED_VALUE"""),861.0)</f>
        <v>861</v>
      </c>
      <c r="C99" s="13">
        <f>IFERROR(__xludf.DUMMYFUNCTION("""COMPUTED_VALUE"""),44.0)</f>
        <v>44</v>
      </c>
      <c r="D99" s="12" t="str">
        <f>IFERROR(__xludf.DUMMYFUNCTION("""COMPUTED_VALUE"""),"Huge")</f>
        <v>Huge</v>
      </c>
      <c r="E99" s="12" t="str">
        <f>IFERROR(__xludf.DUMMYFUNCTION("""COMPUTED_VALUE"""),"I was very excited to order this top in red xs. so cute, but it was huge, shapeless and support thin! it had to go back. i should've looked at other reviews.")</f>
        <v>I was very excited to order this top in red xs. so cute, but it was huge, shapeless and support thin! it had to go back. i should've looked at other reviews.</v>
      </c>
      <c r="F99" s="13">
        <f>IFERROR(__xludf.DUMMYFUNCTION("""COMPUTED_VALUE"""),1.0)</f>
        <v>1</v>
      </c>
      <c r="G99" s="13">
        <f>IFERROR(__xludf.DUMMYFUNCTION("""COMPUTED_VALUE"""),0.0)</f>
        <v>0</v>
      </c>
      <c r="H99" s="13">
        <f>IFERROR(__xludf.DUMMYFUNCTION("""COMPUTED_VALUE"""),0.0)</f>
        <v>0</v>
      </c>
      <c r="I99" s="13" t="str">
        <f>IFERROR(__xludf.DUMMYFUNCTION("""COMPUTED_VALUE"""),"General Petite")</f>
        <v>General Petite</v>
      </c>
      <c r="J99" s="13" t="str">
        <f>IFERROR(__xludf.DUMMYFUNCTION("""COMPUTED_VALUE"""),"Tops")</f>
        <v>Tops</v>
      </c>
      <c r="K99" s="13" t="str">
        <f>IFERROR(__xludf.DUMMYFUNCTION("""COMPUTED_VALUE"""),"Knits")</f>
        <v>Knits</v>
      </c>
      <c r="L99" s="13"/>
    </row>
    <row r="100">
      <c r="A100" s="13">
        <f>IFERROR(__xludf.DUMMYFUNCTION("""COMPUTED_VALUE"""),98.0)</f>
        <v>98</v>
      </c>
      <c r="B100" s="13">
        <f>IFERROR(__xludf.DUMMYFUNCTION("""COMPUTED_VALUE"""),1133.0)</f>
        <v>1133</v>
      </c>
      <c r="C100" s="13">
        <f>IFERROR(__xludf.DUMMYFUNCTION("""COMPUTED_VALUE"""),50.0)</f>
        <v>50</v>
      </c>
      <c r="D100" s="12"/>
      <c r="E100" s="12"/>
      <c r="F100" s="13">
        <f>IFERROR(__xludf.DUMMYFUNCTION("""COMPUTED_VALUE"""),5.0)</f>
        <v>5</v>
      </c>
      <c r="G100" s="13">
        <f>IFERROR(__xludf.DUMMYFUNCTION("""COMPUTED_VALUE"""),1.0)</f>
        <v>1</v>
      </c>
      <c r="H100" s="13">
        <f>IFERROR(__xludf.DUMMYFUNCTION("""COMPUTED_VALUE"""),0.0)</f>
        <v>0</v>
      </c>
      <c r="I100" s="13" t="str">
        <f>IFERROR(__xludf.DUMMYFUNCTION("""COMPUTED_VALUE"""),"General")</f>
        <v>General</v>
      </c>
      <c r="J100" s="13" t="str">
        <f>IFERROR(__xludf.DUMMYFUNCTION("""COMPUTED_VALUE"""),"Jackets")</f>
        <v>Jackets</v>
      </c>
      <c r="K100" s="13" t="str">
        <f>IFERROR(__xludf.DUMMYFUNCTION("""COMPUTED_VALUE"""),"Outerwear")</f>
        <v>Outerwear</v>
      </c>
      <c r="L100" s="13"/>
    </row>
    <row r="101">
      <c r="A101" s="13">
        <f>IFERROR(__xludf.DUMMYFUNCTION("""COMPUTED_VALUE"""),99.0)</f>
        <v>99</v>
      </c>
      <c r="B101" s="13">
        <f>IFERROR(__xludf.DUMMYFUNCTION("""COMPUTED_VALUE"""),861.0)</f>
        <v>861</v>
      </c>
      <c r="C101" s="13">
        <f>IFERROR(__xludf.DUMMYFUNCTION("""COMPUTED_VALUE"""),33.0)</f>
        <v>33</v>
      </c>
      <c r="D101" s="12" t="str">
        <f>IFERROR(__xludf.DUMMYFUNCTION("""COMPUTED_VALUE"""),"Pernette henley")</f>
        <v>Pernette henley</v>
      </c>
      <c r="E101" s="12" t="str">
        <f>IFERROR(__xludf.DUMMYFUNCTION("""COMPUTED_VALUE"""),"I am in need of easy comfortable tops for everyday wear. i bought this top mostly because of the cute buttons. when i received it, it looked exactly as it does in the picture online, however, the buttons kept slipping out of their homes because the holes "&amp;"were slightly too big. the shirt fit but was just a tad snug near the upper arms, which would stretch and loosen up throughout the day. it's definitely a comfortable shirt, but it felt more like a pajama top. it's going back.")</f>
        <v>I am in need of easy comfortable tops for everyday wear. i bought this top mostly because of the cute buttons. when i received it, it looked exactly as it does in the picture online, however, the buttons kept slipping out of their homes because the holes were slightly too big. the shirt fit but was just a tad snug near the upper arms, which would stretch and loosen up throughout the day. it's definitely a comfortable shirt, but it felt more like a pajama top. it's going back.</v>
      </c>
      <c r="F101" s="13">
        <f>IFERROR(__xludf.DUMMYFUNCTION("""COMPUTED_VALUE"""),3.0)</f>
        <v>3</v>
      </c>
      <c r="G101" s="13">
        <f>IFERROR(__xludf.DUMMYFUNCTION("""COMPUTED_VALUE"""),0.0)</f>
        <v>0</v>
      </c>
      <c r="H101" s="13">
        <f>IFERROR(__xludf.DUMMYFUNCTION("""COMPUTED_VALUE"""),17.0)</f>
        <v>17</v>
      </c>
      <c r="I101" s="13" t="str">
        <f>IFERROR(__xludf.DUMMYFUNCTION("""COMPUTED_VALUE"""),"General Petite")</f>
        <v>General Petite</v>
      </c>
      <c r="J101" s="13" t="str">
        <f>IFERROR(__xludf.DUMMYFUNCTION("""COMPUTED_VALUE"""),"Tops")</f>
        <v>Tops</v>
      </c>
      <c r="K101" s="13" t="str">
        <f>IFERROR(__xludf.DUMMYFUNCTION("""COMPUTED_VALUE"""),"Knits")</f>
        <v>Knits</v>
      </c>
      <c r="L101" s="13"/>
    </row>
    <row r="102">
      <c r="A102" s="13">
        <f>IFERROR(__xludf.DUMMYFUNCTION("""COMPUTED_VALUE"""),100.0)</f>
        <v>100</v>
      </c>
      <c r="B102" s="13">
        <f>IFERROR(__xludf.DUMMYFUNCTION("""COMPUTED_VALUE"""),861.0)</f>
        <v>861</v>
      </c>
      <c r="C102" s="13">
        <f>IFERROR(__xludf.DUMMYFUNCTION("""COMPUTED_VALUE"""),39.0)</f>
        <v>39</v>
      </c>
      <c r="D102" s="12" t="str">
        <f>IFERROR(__xludf.DUMMYFUNCTION("""COMPUTED_VALUE"""),"Comfy")</f>
        <v>Comfy</v>
      </c>
      <c r="E102" s="12" t="str">
        <f>IFERROR(__xludf.DUMMYFUNCTION("""COMPUTED_VALUE"""),"At first i wasn't sure about it. the neckline is much lower and wavy than i thought. but after wearing it, it really is comfortable. it stretches a lot, so i wear a cami underneath so when i lean forward i'm not showing the world my torso.")</f>
        <v>At first i wasn't sure about it. the neckline is much lower and wavy than i thought. but after wearing it, it really is comfortable. it stretches a lot, so i wear a cami underneath so when i lean forward i'm not showing the world my torso.</v>
      </c>
      <c r="F102" s="13">
        <f>IFERROR(__xludf.DUMMYFUNCTION("""COMPUTED_VALUE"""),4.0)</f>
        <v>4</v>
      </c>
      <c r="G102" s="13">
        <f>IFERROR(__xludf.DUMMYFUNCTION("""COMPUTED_VALUE"""),1.0)</f>
        <v>1</v>
      </c>
      <c r="H102" s="13">
        <f>IFERROR(__xludf.DUMMYFUNCTION("""COMPUTED_VALUE"""),0.0)</f>
        <v>0</v>
      </c>
      <c r="I102" s="13" t="str">
        <f>IFERROR(__xludf.DUMMYFUNCTION("""COMPUTED_VALUE"""),"General Petite")</f>
        <v>General Petite</v>
      </c>
      <c r="J102" s="13" t="str">
        <f>IFERROR(__xludf.DUMMYFUNCTION("""COMPUTED_VALUE"""),"Tops")</f>
        <v>Tops</v>
      </c>
      <c r="K102" s="13" t="str">
        <f>IFERROR(__xludf.DUMMYFUNCTION("""COMPUTED_VALUE"""),"Knits")</f>
        <v>Knits</v>
      </c>
      <c r="L102" s="13"/>
    </row>
    <row r="103">
      <c r="A103" s="13">
        <f>IFERROR(__xludf.DUMMYFUNCTION("""COMPUTED_VALUE"""),101.0)</f>
        <v>101</v>
      </c>
      <c r="B103" s="13">
        <f>IFERROR(__xludf.DUMMYFUNCTION("""COMPUTED_VALUE"""),863.0)</f>
        <v>863</v>
      </c>
      <c r="C103" s="13">
        <f>IFERROR(__xludf.DUMMYFUNCTION("""COMPUTED_VALUE"""),40.0)</f>
        <v>40</v>
      </c>
      <c r="D103" s="12" t="str">
        <f>IFERROR(__xludf.DUMMYFUNCTION("""COMPUTED_VALUE"""),"Simple, stylish, lovely-runs a bit big")</f>
        <v>Simple, stylish, lovely-runs a bit big</v>
      </c>
      <c r="E103" s="12" t="str">
        <f>IFERROR(__xludf.DUMMYFUNCTION("""COMPUTED_VALUE"""),"I find that this brand can be a little bit all-over-the-place with sizes. had i tried this on in person i may have bought it in a small instead of a m. despite being a bit big it still looks great and hides my flaws well. i bought a m in another shirt fro"&amp;"m them (the seamed scoop neck) and that shirt was a full 2 inches smaller in the bust than this. just something to keep in mind. still a great shirt, love the neutral color.")</f>
        <v>I find that this brand can be a little bit all-over-the-place with sizes. had i tried this on in person i may have bought it in a small instead of a m. despite being a bit big it still looks great and hides my flaws well. i bought a m in another shirt from them (the seamed scoop neck) and that shirt was a full 2 inches smaller in the bust than this. just something to keep in mind. still a great shirt, love the neutral color.</v>
      </c>
      <c r="F103" s="13">
        <f>IFERROR(__xludf.DUMMYFUNCTION("""COMPUTED_VALUE"""),4.0)</f>
        <v>4</v>
      </c>
      <c r="G103" s="13">
        <f>IFERROR(__xludf.DUMMYFUNCTION("""COMPUTED_VALUE"""),1.0)</f>
        <v>1</v>
      </c>
      <c r="H103" s="13">
        <f>IFERROR(__xludf.DUMMYFUNCTION("""COMPUTED_VALUE"""),5.0)</f>
        <v>5</v>
      </c>
      <c r="I103" s="13" t="str">
        <f>IFERROR(__xludf.DUMMYFUNCTION("""COMPUTED_VALUE"""),"General")</f>
        <v>General</v>
      </c>
      <c r="J103" s="13" t="str">
        <f>IFERROR(__xludf.DUMMYFUNCTION("""COMPUTED_VALUE"""),"Tops")</f>
        <v>Tops</v>
      </c>
      <c r="K103" s="13" t="str">
        <f>IFERROR(__xludf.DUMMYFUNCTION("""COMPUTED_VALUE"""),"Knits")</f>
        <v>Knits</v>
      </c>
      <c r="L103" s="13"/>
    </row>
    <row r="104">
      <c r="A104" s="13">
        <f>IFERROR(__xludf.DUMMYFUNCTION("""COMPUTED_VALUE"""),102.0)</f>
        <v>102</v>
      </c>
      <c r="B104" s="13">
        <f>IFERROR(__xludf.DUMMYFUNCTION("""COMPUTED_VALUE"""),822.0)</f>
        <v>822</v>
      </c>
      <c r="C104" s="13">
        <f>IFERROR(__xludf.DUMMYFUNCTION("""COMPUTED_VALUE"""),69.0)</f>
        <v>69</v>
      </c>
      <c r="D104" s="12" t="str">
        <f>IFERROR(__xludf.DUMMYFUNCTION("""COMPUTED_VALUE"""),"Stunning lace top")</f>
        <v>Stunning lace top</v>
      </c>
      <c r="E104" s="12" t="str">
        <f>IFERROR(__xludf.DUMMYFUNCTION("""COMPUTED_VALUE"""),"This top is absolutely stunning. i purchased the white one. just received and it fits nicely-a little on the big side but i believe it looks better that way. this will look great with everything. it is well constructed and looks very unique. love it!")</f>
        <v>This top is absolutely stunning. i purchased the white one. just received and it fits nicely-a little on the big side but i believe it looks better that way. this will look great with everything. it is well constructed and looks very unique. love it!</v>
      </c>
      <c r="F104" s="13">
        <f>IFERROR(__xludf.DUMMYFUNCTION("""COMPUTED_VALUE"""),5.0)</f>
        <v>5</v>
      </c>
      <c r="G104" s="13">
        <f>IFERROR(__xludf.DUMMYFUNCTION("""COMPUTED_VALUE"""),1.0)</f>
        <v>1</v>
      </c>
      <c r="H104" s="13">
        <f>IFERROR(__xludf.DUMMYFUNCTION("""COMPUTED_VALUE"""),2.0)</f>
        <v>2</v>
      </c>
      <c r="I104" s="13" t="str">
        <f>IFERROR(__xludf.DUMMYFUNCTION("""COMPUTED_VALUE"""),"General")</f>
        <v>General</v>
      </c>
      <c r="J104" s="13" t="str">
        <f>IFERROR(__xludf.DUMMYFUNCTION("""COMPUTED_VALUE"""),"Tops")</f>
        <v>Tops</v>
      </c>
      <c r="K104" s="13" t="str">
        <f>IFERROR(__xludf.DUMMYFUNCTION("""COMPUTED_VALUE"""),"Blouses")</f>
        <v>Blouses</v>
      </c>
      <c r="L104" s="13"/>
    </row>
    <row r="105">
      <c r="A105" s="13">
        <f>IFERROR(__xludf.DUMMYFUNCTION("""COMPUTED_VALUE"""),103.0)</f>
        <v>103</v>
      </c>
      <c r="B105" s="13">
        <f>IFERROR(__xludf.DUMMYFUNCTION("""COMPUTED_VALUE"""),822.0)</f>
        <v>822</v>
      </c>
      <c r="C105" s="13">
        <f>IFERROR(__xludf.DUMMYFUNCTION("""COMPUTED_VALUE"""),23.0)</f>
        <v>23</v>
      </c>
      <c r="D105" s="12" t="str">
        <f>IFERROR(__xludf.DUMMYFUNCTION("""COMPUTED_VALUE"""),"Not a fan")</f>
        <v>Not a fan</v>
      </c>
      <c r="E105" s="12" t="str">
        <f>IFERROR(__xludf.DUMMYFUNCTION("""COMPUTED_VALUE"""),"The fabric felt cheap and i didn't find it to be a flattering top. for reference i am wearing a medium in the photos and my measurements are 38-30-40.")</f>
        <v>The fabric felt cheap and i didn't find it to be a flattering top. for reference i am wearing a medium in the photos and my measurements are 38-30-40.</v>
      </c>
      <c r="F105" s="13">
        <f>IFERROR(__xludf.DUMMYFUNCTION("""COMPUTED_VALUE"""),2.0)</f>
        <v>2</v>
      </c>
      <c r="G105" s="13">
        <f>IFERROR(__xludf.DUMMYFUNCTION("""COMPUTED_VALUE"""),0.0)</f>
        <v>0</v>
      </c>
      <c r="H105" s="13">
        <f>IFERROR(__xludf.DUMMYFUNCTION("""COMPUTED_VALUE"""),9.0)</f>
        <v>9</v>
      </c>
      <c r="I105" s="13" t="str">
        <f>IFERROR(__xludf.DUMMYFUNCTION("""COMPUTED_VALUE"""),"General")</f>
        <v>General</v>
      </c>
      <c r="J105" s="13" t="str">
        <f>IFERROR(__xludf.DUMMYFUNCTION("""COMPUTED_VALUE"""),"Tops")</f>
        <v>Tops</v>
      </c>
      <c r="K105" s="13" t="str">
        <f>IFERROR(__xludf.DUMMYFUNCTION("""COMPUTED_VALUE"""),"Blouses")</f>
        <v>Blouses</v>
      </c>
      <c r="L105" s="13"/>
    </row>
    <row r="106">
      <c r="A106" s="13">
        <f>IFERROR(__xludf.DUMMYFUNCTION("""COMPUTED_VALUE"""),104.0)</f>
        <v>104</v>
      </c>
      <c r="B106" s="13">
        <f>IFERROR(__xludf.DUMMYFUNCTION("""COMPUTED_VALUE"""),863.0)</f>
        <v>863</v>
      </c>
      <c r="C106" s="13">
        <f>IFERROR(__xludf.DUMMYFUNCTION("""COMPUTED_VALUE"""),51.0)</f>
        <v>51</v>
      </c>
      <c r="D106" s="12"/>
      <c r="E106" s="12" t="str">
        <f>IFERROR(__xludf.DUMMYFUNCTION("""COMPUTED_VALUE"""),"Runs big and looked unflattering. i am petite, might work on someone taller.")</f>
        <v>Runs big and looked unflattering. i am petite, might work on someone taller.</v>
      </c>
      <c r="F106" s="13">
        <f>IFERROR(__xludf.DUMMYFUNCTION("""COMPUTED_VALUE"""),2.0)</f>
        <v>2</v>
      </c>
      <c r="G106" s="13">
        <f>IFERROR(__xludf.DUMMYFUNCTION("""COMPUTED_VALUE"""),0.0)</f>
        <v>0</v>
      </c>
      <c r="H106" s="13">
        <f>IFERROR(__xludf.DUMMYFUNCTION("""COMPUTED_VALUE"""),0.0)</f>
        <v>0</v>
      </c>
      <c r="I106" s="13" t="str">
        <f>IFERROR(__xludf.DUMMYFUNCTION("""COMPUTED_VALUE"""),"General")</f>
        <v>General</v>
      </c>
      <c r="J106" s="13" t="str">
        <f>IFERROR(__xludf.DUMMYFUNCTION("""COMPUTED_VALUE"""),"Tops")</f>
        <v>Tops</v>
      </c>
      <c r="K106" s="13" t="str">
        <f>IFERROR(__xludf.DUMMYFUNCTION("""COMPUTED_VALUE"""),"Knits")</f>
        <v>Knits</v>
      </c>
      <c r="L106" s="13"/>
    </row>
    <row r="107">
      <c r="A107" s="13">
        <f>IFERROR(__xludf.DUMMYFUNCTION("""COMPUTED_VALUE"""),105.0)</f>
        <v>105</v>
      </c>
      <c r="B107" s="13">
        <f>IFERROR(__xludf.DUMMYFUNCTION("""COMPUTED_VALUE"""),836.0)</f>
        <v>836</v>
      </c>
      <c r="C107" s="13">
        <f>IFERROR(__xludf.DUMMYFUNCTION("""COMPUTED_VALUE"""),66.0)</f>
        <v>66</v>
      </c>
      <c r="D107" s="12" t="str">
        <f>IFERROR(__xludf.DUMMYFUNCTION("""COMPUTED_VALUE"""),"Excited ... but ...")</f>
        <v>Excited ... but ...</v>
      </c>
      <c r="E107" s="12" t="str">
        <f>IFERROR(__xludf.DUMMYFUNCTION("""COMPUTED_VALUE"""),"I bought this lovely silk/velvet shirt in the &amp;quot;sky&amp;quot; color but it is more on the teal blue side than sky blue, which disappointed me. it is definitely darker than appears in photo. still a luxurious well-made beauty with sassy appeal. it drapes l"&amp;"ike a snake slithering down your body. it comes with attitude.")</f>
        <v>I bought this lovely silk/velvet shirt in the &amp;quot;sky&amp;quot; color but it is more on the teal blue side than sky blue, which disappointed me. it is definitely darker than appears in photo. still a luxurious well-made beauty with sassy appeal. it drapes like a snake slithering down your body. it comes with attitude.</v>
      </c>
      <c r="F107" s="13">
        <f>IFERROR(__xludf.DUMMYFUNCTION("""COMPUTED_VALUE"""),5.0)</f>
        <v>5</v>
      </c>
      <c r="G107" s="13">
        <f>IFERROR(__xludf.DUMMYFUNCTION("""COMPUTED_VALUE"""),1.0)</f>
        <v>1</v>
      </c>
      <c r="H107" s="13">
        <f>IFERROR(__xludf.DUMMYFUNCTION("""COMPUTED_VALUE"""),0.0)</f>
        <v>0</v>
      </c>
      <c r="I107" s="13" t="str">
        <f>IFERROR(__xludf.DUMMYFUNCTION("""COMPUTED_VALUE"""),"General")</f>
        <v>General</v>
      </c>
      <c r="J107" s="13" t="str">
        <f>IFERROR(__xludf.DUMMYFUNCTION("""COMPUTED_VALUE"""),"Tops")</f>
        <v>Tops</v>
      </c>
      <c r="K107" s="13" t="str">
        <f>IFERROR(__xludf.DUMMYFUNCTION("""COMPUTED_VALUE"""),"Blouses")</f>
        <v>Blouses</v>
      </c>
      <c r="L107" s="13"/>
    </row>
    <row r="108">
      <c r="A108" s="13">
        <f>IFERROR(__xludf.DUMMYFUNCTION("""COMPUTED_VALUE"""),106.0)</f>
        <v>106</v>
      </c>
      <c r="B108" s="13">
        <f>IFERROR(__xludf.DUMMYFUNCTION("""COMPUTED_VALUE"""),836.0)</f>
        <v>836</v>
      </c>
      <c r="C108" s="13">
        <f>IFERROR(__xludf.DUMMYFUNCTION("""COMPUTED_VALUE"""),47.0)</f>
        <v>47</v>
      </c>
      <c r="D108" s="12" t="str">
        <f>IFERROR(__xludf.DUMMYFUNCTION("""COMPUTED_VALUE"""),"Beautiful shirt but runs small!")</f>
        <v>Beautiful shirt but runs small!</v>
      </c>
      <c r="E108" s="12" t="str">
        <f>IFERROR(__xludf.DUMMYFUNCTION("""COMPUTED_VALUE"""),"Was so excited to order this beautiful shirt!  and the color sky is gorgeous!  but as another reviewer said--it runs small.  it was also way too short.  so sadly i will be returning this.  i gave it 5 stars because it is beautiful and great quality--it ju"&amp;"st didn't fit me.")</f>
        <v>Was so excited to order this beautiful shirt!  and the color sky is gorgeous!  but as another reviewer said--it runs small.  it was also way too short.  so sadly i will be returning this.  i gave it 5 stars because it is beautiful and great quality--it just didn't fit me.</v>
      </c>
      <c r="F108" s="13">
        <f>IFERROR(__xludf.DUMMYFUNCTION("""COMPUTED_VALUE"""),4.0)</f>
        <v>4</v>
      </c>
      <c r="G108" s="13">
        <f>IFERROR(__xludf.DUMMYFUNCTION("""COMPUTED_VALUE"""),1.0)</f>
        <v>1</v>
      </c>
      <c r="H108" s="13">
        <f>IFERROR(__xludf.DUMMYFUNCTION("""COMPUTED_VALUE"""),11.0)</f>
        <v>11</v>
      </c>
      <c r="I108" s="13" t="str">
        <f>IFERROR(__xludf.DUMMYFUNCTION("""COMPUTED_VALUE"""),"General")</f>
        <v>General</v>
      </c>
      <c r="J108" s="13" t="str">
        <f>IFERROR(__xludf.DUMMYFUNCTION("""COMPUTED_VALUE"""),"Tops")</f>
        <v>Tops</v>
      </c>
      <c r="K108" s="13" t="str">
        <f>IFERROR(__xludf.DUMMYFUNCTION("""COMPUTED_VALUE"""),"Blouses")</f>
        <v>Blouses</v>
      </c>
      <c r="L108" s="13"/>
    </row>
    <row r="109">
      <c r="A109" s="13">
        <f>IFERROR(__xludf.DUMMYFUNCTION("""COMPUTED_VALUE"""),107.0)</f>
        <v>107</v>
      </c>
      <c r="B109" s="13">
        <f>IFERROR(__xludf.DUMMYFUNCTION("""COMPUTED_VALUE"""),836.0)</f>
        <v>836</v>
      </c>
      <c r="C109" s="13">
        <f>IFERROR(__xludf.DUMMYFUNCTION("""COMPUTED_VALUE"""),66.0)</f>
        <v>66</v>
      </c>
      <c r="D109" s="12" t="str">
        <f>IFERROR(__xludf.DUMMYFUNCTION("""COMPUTED_VALUE"""),"Beautiful")</f>
        <v>Beautiful</v>
      </c>
      <c r="E109" s="12" t="str">
        <f>IFERROR(__xludf.DUMMYFUNCTION("""COMPUTED_VALUE"""),"I ordered ivory in xl because this brand tends to run tight if you're well endowed. it's a beautiful color and i love the contrasting plaid lining the inside of the collar and cuffs. haven't decided about keeping it because it looks oversized (but cozy) a"&amp;"nd it's really long. it almost touches the top of my knees in back. sooooo pretty though.")</f>
        <v>I ordered ivory in xl because this brand tends to run tight if you're well endowed. it's a beautiful color and i love the contrasting plaid lining the inside of the collar and cuffs. haven't decided about keeping it because it looks oversized (but cozy) and it's really long. it almost touches the top of my knees in back. sooooo pretty though.</v>
      </c>
      <c r="F109" s="13">
        <f>IFERROR(__xludf.DUMMYFUNCTION("""COMPUTED_VALUE"""),4.0)</f>
        <v>4</v>
      </c>
      <c r="G109" s="13">
        <f>IFERROR(__xludf.DUMMYFUNCTION("""COMPUTED_VALUE"""),1.0)</f>
        <v>1</v>
      </c>
      <c r="H109" s="13">
        <f>IFERROR(__xludf.DUMMYFUNCTION("""COMPUTED_VALUE"""),0.0)</f>
        <v>0</v>
      </c>
      <c r="I109" s="13" t="str">
        <f>IFERROR(__xludf.DUMMYFUNCTION("""COMPUTED_VALUE"""),"General")</f>
        <v>General</v>
      </c>
      <c r="J109" s="13" t="str">
        <f>IFERROR(__xludf.DUMMYFUNCTION("""COMPUTED_VALUE"""),"Tops")</f>
        <v>Tops</v>
      </c>
      <c r="K109" s="13" t="str">
        <f>IFERROR(__xludf.DUMMYFUNCTION("""COMPUTED_VALUE"""),"Blouses")</f>
        <v>Blouses</v>
      </c>
      <c r="L109" s="13"/>
    </row>
    <row r="110">
      <c r="A110" s="13">
        <f>IFERROR(__xludf.DUMMYFUNCTION("""COMPUTED_VALUE"""),108.0)</f>
        <v>108</v>
      </c>
      <c r="B110" s="13">
        <f>IFERROR(__xludf.DUMMYFUNCTION("""COMPUTED_VALUE"""),836.0)</f>
        <v>836</v>
      </c>
      <c r="C110" s="13">
        <f>IFERROR(__xludf.DUMMYFUNCTION("""COMPUTED_VALUE"""),23.0)</f>
        <v>23</v>
      </c>
      <c r="D110" s="12" t="str">
        <f>IFERROR(__xludf.DUMMYFUNCTION("""COMPUTED_VALUE"""),"Perfect fall shirt!")</f>
        <v>Perfect fall shirt!</v>
      </c>
      <c r="E110" s="12" t="str">
        <f>IFERROR(__xludf.DUMMYFUNCTION("""COMPUTED_VALUE"""),"The shirt is exactly as it is pictured, i have the burnt orange color and love it! i received numerous compliments both paired with jeans and tucked into a fun skirt. it fits true to size, as i normally wear a small in all retailer however it is the sligh"&amp;"test bit tight in the shoulders. i would give this top a 5/5.")</f>
        <v>The shirt is exactly as it is pictured, i have the burnt orange color and love it! i received numerous compliments both paired with jeans and tucked into a fun skirt. it fits true to size, as i normally wear a small in all retailer however it is the slightest bit tight in the shoulders. i would give this top a 5/5.</v>
      </c>
      <c r="F110" s="13">
        <f>IFERROR(__xludf.DUMMYFUNCTION("""COMPUTED_VALUE"""),5.0)</f>
        <v>5</v>
      </c>
      <c r="G110" s="13">
        <f>IFERROR(__xludf.DUMMYFUNCTION("""COMPUTED_VALUE"""),1.0)</f>
        <v>1</v>
      </c>
      <c r="H110" s="13">
        <f>IFERROR(__xludf.DUMMYFUNCTION("""COMPUTED_VALUE"""),3.0)</f>
        <v>3</v>
      </c>
      <c r="I110" s="13" t="str">
        <f>IFERROR(__xludf.DUMMYFUNCTION("""COMPUTED_VALUE"""),"General")</f>
        <v>General</v>
      </c>
      <c r="J110" s="13" t="str">
        <f>IFERROR(__xludf.DUMMYFUNCTION("""COMPUTED_VALUE"""),"Tops")</f>
        <v>Tops</v>
      </c>
      <c r="K110" s="13" t="str">
        <f>IFERROR(__xludf.DUMMYFUNCTION("""COMPUTED_VALUE"""),"Blouses")</f>
        <v>Blouses</v>
      </c>
      <c r="L110" s="13"/>
    </row>
    <row r="111">
      <c r="A111" s="13">
        <f>IFERROR(__xludf.DUMMYFUNCTION("""COMPUTED_VALUE"""),109.0)</f>
        <v>109</v>
      </c>
      <c r="B111" s="13">
        <f>IFERROR(__xludf.DUMMYFUNCTION("""COMPUTED_VALUE"""),1081.0)</f>
        <v>1081</v>
      </c>
      <c r="C111" s="13">
        <f>IFERROR(__xludf.DUMMYFUNCTION("""COMPUTED_VALUE"""),47.0)</f>
        <v>47</v>
      </c>
      <c r="D111" s="12"/>
      <c r="E111" s="12" t="str">
        <f>IFERROR(__xludf.DUMMYFUNCTION("""COMPUTED_VALUE"""),"Perfect dress for hot, humid, sticky weather.")</f>
        <v>Perfect dress for hot, humid, sticky weather.</v>
      </c>
      <c r="F111" s="13">
        <f>IFERROR(__xludf.DUMMYFUNCTION("""COMPUTED_VALUE"""),5.0)</f>
        <v>5</v>
      </c>
      <c r="G111" s="13">
        <f>IFERROR(__xludf.DUMMYFUNCTION("""COMPUTED_VALUE"""),1.0)</f>
        <v>1</v>
      </c>
      <c r="H111" s="13">
        <f>IFERROR(__xludf.DUMMYFUNCTION("""COMPUTED_VALUE"""),0.0)</f>
        <v>0</v>
      </c>
      <c r="I111" s="13" t="str">
        <f>IFERROR(__xludf.DUMMYFUNCTION("""COMPUTED_VALUE"""),"General")</f>
        <v>General</v>
      </c>
      <c r="J111" s="13" t="str">
        <f>IFERROR(__xludf.DUMMYFUNCTION("""COMPUTED_VALUE"""),"Dresses")</f>
        <v>Dresses</v>
      </c>
      <c r="K111" s="13" t="str">
        <f>IFERROR(__xludf.DUMMYFUNCTION("""COMPUTED_VALUE"""),"Dresses")</f>
        <v>Dresses</v>
      </c>
      <c r="L111" s="13"/>
    </row>
    <row r="112">
      <c r="A112" s="13">
        <f>IFERROR(__xludf.DUMMYFUNCTION("""COMPUTED_VALUE"""),110.0)</f>
        <v>110</v>
      </c>
      <c r="B112" s="13">
        <f>IFERROR(__xludf.DUMMYFUNCTION("""COMPUTED_VALUE"""),861.0)</f>
        <v>861</v>
      </c>
      <c r="C112" s="13">
        <f>IFERROR(__xludf.DUMMYFUNCTION("""COMPUTED_VALUE"""),44.0)</f>
        <v>44</v>
      </c>
      <c r="D112" s="12" t="str">
        <f>IFERROR(__xludf.DUMMYFUNCTION("""COMPUTED_VALUE"""),"Poor quality")</f>
        <v>Poor quality</v>
      </c>
      <c r="E112" s="12" t="str">
        <f>IFERROR(__xludf.DUMMYFUNCTION("""COMPUTED_VALUE"""),"This is so thin and poor quality. especially for the price. it felt like a thin pajama top. the buttons are terrible little shell buttons. this could not have been returned faster.")</f>
        <v>This is so thin and poor quality. especially for the price. it felt like a thin pajama top. the buttons are terrible little shell buttons. this could not have been returned faster.</v>
      </c>
      <c r="F112" s="13">
        <f>IFERROR(__xludf.DUMMYFUNCTION("""COMPUTED_VALUE"""),1.0)</f>
        <v>1</v>
      </c>
      <c r="G112" s="13">
        <f>IFERROR(__xludf.DUMMYFUNCTION("""COMPUTED_VALUE"""),0.0)</f>
        <v>0</v>
      </c>
      <c r="H112" s="13">
        <f>IFERROR(__xludf.DUMMYFUNCTION("""COMPUTED_VALUE"""),11.0)</f>
        <v>11</v>
      </c>
      <c r="I112" s="13" t="str">
        <f>IFERROR(__xludf.DUMMYFUNCTION("""COMPUTED_VALUE"""),"General Petite")</f>
        <v>General Petite</v>
      </c>
      <c r="J112" s="13" t="str">
        <f>IFERROR(__xludf.DUMMYFUNCTION("""COMPUTED_VALUE"""),"Tops")</f>
        <v>Tops</v>
      </c>
      <c r="K112" s="13" t="str">
        <f>IFERROR(__xludf.DUMMYFUNCTION("""COMPUTED_VALUE"""),"Knits")</f>
        <v>Knits</v>
      </c>
      <c r="L112" s="13"/>
    </row>
    <row r="113">
      <c r="A113" s="13">
        <f>IFERROR(__xludf.DUMMYFUNCTION("""COMPUTED_VALUE"""),111.0)</f>
        <v>111</v>
      </c>
      <c r="B113" s="13">
        <f>IFERROR(__xludf.DUMMYFUNCTION("""COMPUTED_VALUE"""),1081.0)</f>
        <v>1081</v>
      </c>
      <c r="C113" s="13">
        <f>IFERROR(__xludf.DUMMYFUNCTION("""COMPUTED_VALUE"""),44.0)</f>
        <v>44</v>
      </c>
      <c r="D113" s="12" t="str">
        <f>IFERROR(__xludf.DUMMYFUNCTION("""COMPUTED_VALUE"""),"An almost for me...")</f>
        <v>An almost for me...</v>
      </c>
      <c r="E113" s="12" t="str">
        <f>IFERROR(__xludf.DUMMYFUNCTION("""COMPUTED_VALUE"""),"I didn't end up keeping this dress...it just wasn't right for me. it is very cute and fit well but the fabric was very thin (partially lined which is a plus) and the hem line coming up on the sides made it just too short for me. i ordered the petite xs an"&amp;"d liked the length in front and back well but the side slit/vent was just too high for my liking. the tie part hit at the perfect spot for me at only 5'4"" (~118#). i guess i just didn't ""love"" it and would rather save my funds for something i ca")</f>
        <v>I didn't end up keeping this dress...it just wasn't right for me. it is very cute and fit well but the fabric was very thin (partially lined which is a plus) and the hem line coming up on the sides made it just too short for me. i ordered the petite xs and liked the length in front and back well but the side slit/vent was just too high for my liking. the tie part hit at the perfect spot for me at only 5'4" (~118#). i guess i just didn't "love" it and would rather save my funds for something i ca</v>
      </c>
      <c r="F113" s="13">
        <f>IFERROR(__xludf.DUMMYFUNCTION("""COMPUTED_VALUE"""),3.0)</f>
        <v>3</v>
      </c>
      <c r="G113" s="13">
        <f>IFERROR(__xludf.DUMMYFUNCTION("""COMPUTED_VALUE"""),1.0)</f>
        <v>1</v>
      </c>
      <c r="H113" s="13">
        <f>IFERROR(__xludf.DUMMYFUNCTION("""COMPUTED_VALUE"""),4.0)</f>
        <v>4</v>
      </c>
      <c r="I113" s="13" t="str">
        <f>IFERROR(__xludf.DUMMYFUNCTION("""COMPUTED_VALUE"""),"General")</f>
        <v>General</v>
      </c>
      <c r="J113" s="13" t="str">
        <f>IFERROR(__xludf.DUMMYFUNCTION("""COMPUTED_VALUE"""),"Dresses")</f>
        <v>Dresses</v>
      </c>
      <c r="K113" s="13" t="str">
        <f>IFERROR(__xludf.DUMMYFUNCTION("""COMPUTED_VALUE"""),"Dresses")</f>
        <v>Dresses</v>
      </c>
      <c r="L113" s="13"/>
    </row>
    <row r="114">
      <c r="A114" s="13">
        <f>IFERROR(__xludf.DUMMYFUNCTION("""COMPUTED_VALUE"""),112.0)</f>
        <v>112</v>
      </c>
      <c r="B114" s="13">
        <f>IFERROR(__xludf.DUMMYFUNCTION("""COMPUTED_VALUE"""),836.0)</f>
        <v>836</v>
      </c>
      <c r="C114" s="13">
        <f>IFERROR(__xludf.DUMMYFUNCTION("""COMPUTED_VALUE"""),50.0)</f>
        <v>50</v>
      </c>
      <c r="D114" s="12" t="str">
        <f>IFERROR(__xludf.DUMMYFUNCTION("""COMPUTED_VALUE"""),"Beautiful, stunning, cozy top!")</f>
        <v>Beautiful, stunning, cozy top!</v>
      </c>
      <c r="E114" s="12" t="str">
        <f>IFERROR(__xludf.DUMMYFUNCTION("""COMPUTED_VALUE"""),"I read the first review on this and ordered both a small and a medium as i thought this would run small. i have to totally disagree with the reviewer! i find that this top runs true to size or even generous! the sky color is so pretty and this top can be "&amp;"dressed up with some nice heels and a necklace or it can be comfy casual! i usually wear a small in hh brand and this one was true to fit (5""2"", broad shoulders, 120 lb)")</f>
        <v>I read the first review on this and ordered both a small and a medium as i thought this would run small. i have to totally disagree with the reviewer! i find that this top runs true to size or even generous! the sky color is so pretty and this top can be dressed up with some nice heels and a necklace or it can be comfy casual! i usually wear a small in hh brand and this one was true to fit (5"2", broad shoulders, 120 lb)</v>
      </c>
      <c r="F114" s="13">
        <f>IFERROR(__xludf.DUMMYFUNCTION("""COMPUTED_VALUE"""),5.0)</f>
        <v>5</v>
      </c>
      <c r="G114" s="13">
        <f>IFERROR(__xludf.DUMMYFUNCTION("""COMPUTED_VALUE"""),1.0)</f>
        <v>1</v>
      </c>
      <c r="H114" s="13">
        <f>IFERROR(__xludf.DUMMYFUNCTION("""COMPUTED_VALUE"""),24.0)</f>
        <v>24</v>
      </c>
      <c r="I114" s="13" t="str">
        <f>IFERROR(__xludf.DUMMYFUNCTION("""COMPUTED_VALUE"""),"General")</f>
        <v>General</v>
      </c>
      <c r="J114" s="13" t="str">
        <f>IFERROR(__xludf.DUMMYFUNCTION("""COMPUTED_VALUE"""),"Tops")</f>
        <v>Tops</v>
      </c>
      <c r="K114" s="13" t="str">
        <f>IFERROR(__xludf.DUMMYFUNCTION("""COMPUTED_VALUE"""),"Blouses")</f>
        <v>Blouses</v>
      </c>
      <c r="L114" s="13"/>
    </row>
    <row r="115">
      <c r="A115" s="13">
        <f>IFERROR(__xludf.DUMMYFUNCTION("""COMPUTED_VALUE"""),113.0)</f>
        <v>113</v>
      </c>
      <c r="B115" s="13">
        <f>IFERROR(__xludf.DUMMYFUNCTION("""COMPUTED_VALUE"""),1081.0)</f>
        <v>1081</v>
      </c>
      <c r="C115" s="13">
        <f>IFERROR(__xludf.DUMMYFUNCTION("""COMPUTED_VALUE"""),61.0)</f>
        <v>61</v>
      </c>
      <c r="D115" s="12" t="str">
        <f>IFERROR(__xludf.DUMMYFUNCTION("""COMPUTED_VALUE"""),"Cute and comfy")</f>
        <v>Cute and comfy</v>
      </c>
      <c r="E115" s="12" t="str">
        <f>IFERROR(__xludf.DUMMYFUNCTION("""COMPUTED_VALUE"""),"This dress is comfortable and stylish at the same time. it runs true to size. i'm 5'1"" 113 lbs and got the xs petite. wore it once so far for a few hours and got a few compliments on it!")</f>
        <v>This dress is comfortable and stylish at the same time. it runs true to size. i'm 5'1" 113 lbs and got the xs petite. wore it once so far for a few hours and got a few compliments on it!</v>
      </c>
      <c r="F115" s="13">
        <f>IFERROR(__xludf.DUMMYFUNCTION("""COMPUTED_VALUE"""),5.0)</f>
        <v>5</v>
      </c>
      <c r="G115" s="13">
        <f>IFERROR(__xludf.DUMMYFUNCTION("""COMPUTED_VALUE"""),1.0)</f>
        <v>1</v>
      </c>
      <c r="H115" s="13">
        <f>IFERROR(__xludf.DUMMYFUNCTION("""COMPUTED_VALUE"""),3.0)</f>
        <v>3</v>
      </c>
      <c r="I115" s="13" t="str">
        <f>IFERROR(__xludf.DUMMYFUNCTION("""COMPUTED_VALUE"""),"General")</f>
        <v>General</v>
      </c>
      <c r="J115" s="13" t="str">
        <f>IFERROR(__xludf.DUMMYFUNCTION("""COMPUTED_VALUE"""),"Dresses")</f>
        <v>Dresses</v>
      </c>
      <c r="K115" s="13" t="str">
        <f>IFERROR(__xludf.DUMMYFUNCTION("""COMPUTED_VALUE"""),"Dresses")</f>
        <v>Dresses</v>
      </c>
      <c r="L115" s="13"/>
    </row>
    <row r="116">
      <c r="A116" s="13">
        <f>IFERROR(__xludf.DUMMYFUNCTION("""COMPUTED_VALUE"""),114.0)</f>
        <v>114</v>
      </c>
      <c r="B116" s="13">
        <f>IFERROR(__xludf.DUMMYFUNCTION("""COMPUTED_VALUE"""),1082.0)</f>
        <v>1082</v>
      </c>
      <c r="C116" s="13">
        <f>IFERROR(__xludf.DUMMYFUNCTION("""COMPUTED_VALUE"""),32.0)</f>
        <v>32</v>
      </c>
      <c r="D116" s="12" t="str">
        <f>IFERROR(__xludf.DUMMYFUNCTION("""COMPUTED_VALUE"""),"Disappointing quality")</f>
        <v>Disappointing quality</v>
      </c>
      <c r="E116" s="12" t="str">
        <f>IFERROR(__xludf.DUMMYFUNCTION("""COMPUTED_VALUE"""),"The design/shape of the dress are quite flattering, flirty and feminine. but.... there is no way that the dress i received is new. the color is a faded washed out red and there are black stains all over the belt area. there is no tag... the fabric looks d"&amp;"roopy and laundered and is not crisp, stiff or new. i am very disappointed by the quality of the item that i received. undoubtedly this one is going back.
dear retailer - please make sure that you do not send pre-owend clothing articles to")</f>
        <v>The design/shape of the dress are quite flattering, flirty and feminine. but.... there is no way that the dress i received is new. the color is a faded washed out red and there are black stains all over the belt area. there is no tag... the fabric looks droopy and laundered and is not crisp, stiff or new. i am very disappointed by the quality of the item that i received. undoubtedly this one is going back.
dear retailer - please make sure that you do not send pre-owend clothing articles to</v>
      </c>
      <c r="F116" s="13">
        <f>IFERROR(__xludf.DUMMYFUNCTION("""COMPUTED_VALUE"""),2.0)</f>
        <v>2</v>
      </c>
      <c r="G116" s="13">
        <f>IFERROR(__xludf.DUMMYFUNCTION("""COMPUTED_VALUE"""),0.0)</f>
        <v>0</v>
      </c>
      <c r="H116" s="13">
        <f>IFERROR(__xludf.DUMMYFUNCTION("""COMPUTED_VALUE"""),0.0)</f>
        <v>0</v>
      </c>
      <c r="I116" s="13" t="str">
        <f>IFERROR(__xludf.DUMMYFUNCTION("""COMPUTED_VALUE"""),"General")</f>
        <v>General</v>
      </c>
      <c r="J116" s="13" t="str">
        <f>IFERROR(__xludf.DUMMYFUNCTION("""COMPUTED_VALUE"""),"Dresses")</f>
        <v>Dresses</v>
      </c>
      <c r="K116" s="13" t="str">
        <f>IFERROR(__xludf.DUMMYFUNCTION("""COMPUTED_VALUE"""),"Dresses")</f>
        <v>Dresses</v>
      </c>
      <c r="L116" s="13"/>
    </row>
    <row r="117">
      <c r="A117" s="13">
        <f>IFERROR(__xludf.DUMMYFUNCTION("""COMPUTED_VALUE"""),115.0)</f>
        <v>115</v>
      </c>
      <c r="B117" s="13">
        <f>IFERROR(__xludf.DUMMYFUNCTION("""COMPUTED_VALUE"""),863.0)</f>
        <v>863</v>
      </c>
      <c r="C117" s="13">
        <f>IFERROR(__xludf.DUMMYFUNCTION("""COMPUTED_VALUE"""),52.0)</f>
        <v>52</v>
      </c>
      <c r="D117" s="12" t="str">
        <f>IFERROR(__xludf.DUMMYFUNCTION("""COMPUTED_VALUE"""),"Cute tee")</f>
        <v>Cute tee</v>
      </c>
      <c r="E117" s="12" t="str">
        <f>IFERROR(__xludf.DUMMYFUNCTION("""COMPUTED_VALUE"""),"This one totally worked for me. love the color, length, and style.")</f>
        <v>This one totally worked for me. love the color, length, and style.</v>
      </c>
      <c r="F117" s="13">
        <f>IFERROR(__xludf.DUMMYFUNCTION("""COMPUTED_VALUE"""),4.0)</f>
        <v>4</v>
      </c>
      <c r="G117" s="13">
        <f>IFERROR(__xludf.DUMMYFUNCTION("""COMPUTED_VALUE"""),1.0)</f>
        <v>1</v>
      </c>
      <c r="H117" s="13">
        <f>IFERROR(__xludf.DUMMYFUNCTION("""COMPUTED_VALUE"""),0.0)</f>
        <v>0</v>
      </c>
      <c r="I117" s="13" t="str">
        <f>IFERROR(__xludf.DUMMYFUNCTION("""COMPUTED_VALUE"""),"General")</f>
        <v>General</v>
      </c>
      <c r="J117" s="13" t="str">
        <f>IFERROR(__xludf.DUMMYFUNCTION("""COMPUTED_VALUE"""),"Tops")</f>
        <v>Tops</v>
      </c>
      <c r="K117" s="13" t="str">
        <f>IFERROR(__xludf.DUMMYFUNCTION("""COMPUTED_VALUE"""),"Knits")</f>
        <v>Knits</v>
      </c>
      <c r="L117" s="13"/>
    </row>
    <row r="118">
      <c r="A118" s="13">
        <f>IFERROR(__xludf.DUMMYFUNCTION("""COMPUTED_VALUE"""),116.0)</f>
        <v>116</v>
      </c>
      <c r="B118" s="13">
        <f>IFERROR(__xludf.DUMMYFUNCTION("""COMPUTED_VALUE"""),1072.0)</f>
        <v>1072</v>
      </c>
      <c r="C118" s="13">
        <f>IFERROR(__xludf.DUMMYFUNCTION("""COMPUTED_VALUE"""),51.0)</f>
        <v>51</v>
      </c>
      <c r="D118" s="12" t="str">
        <f>IFERROR(__xludf.DUMMYFUNCTION("""COMPUTED_VALUE"""),"Very vintage feel")</f>
        <v>Very vintage feel</v>
      </c>
      <c r="E118" s="12" t="str">
        <f>IFERROR(__xludf.DUMMYFUNCTION("""COMPUTED_VALUE"""),"Prior reviewer nailed it with the summary of this dress. it definitely needs heels. i'm 5'4"", 120#, 34d and this is a size 36. i usually wear a size s or 4 with most retailer stuff.")</f>
        <v>Prior reviewer nailed it with the summary of this dress. it definitely needs heels. i'm 5'4", 120#, 34d and this is a size 36. i usually wear a size s or 4 with most retailer stuff.</v>
      </c>
      <c r="F118" s="13">
        <f>IFERROR(__xludf.DUMMYFUNCTION("""COMPUTED_VALUE"""),4.0)</f>
        <v>4</v>
      </c>
      <c r="G118" s="13">
        <f>IFERROR(__xludf.DUMMYFUNCTION("""COMPUTED_VALUE"""),1.0)</f>
        <v>1</v>
      </c>
      <c r="H118" s="13">
        <f>IFERROR(__xludf.DUMMYFUNCTION("""COMPUTED_VALUE"""),1.0)</f>
        <v>1</v>
      </c>
      <c r="I118" s="13" t="str">
        <f>IFERROR(__xludf.DUMMYFUNCTION("""COMPUTED_VALUE"""),"General")</f>
        <v>General</v>
      </c>
      <c r="J118" s="13" t="str">
        <f>IFERROR(__xludf.DUMMYFUNCTION("""COMPUTED_VALUE"""),"Dresses")</f>
        <v>Dresses</v>
      </c>
      <c r="K118" s="13" t="str">
        <f>IFERROR(__xludf.DUMMYFUNCTION("""COMPUTED_VALUE"""),"Dresses")</f>
        <v>Dresses</v>
      </c>
      <c r="L118" s="13"/>
    </row>
    <row r="119">
      <c r="A119" s="13">
        <f>IFERROR(__xludf.DUMMYFUNCTION("""COMPUTED_VALUE"""),117.0)</f>
        <v>117</v>
      </c>
      <c r="B119" s="13">
        <f>IFERROR(__xludf.DUMMYFUNCTION("""COMPUTED_VALUE"""),1078.0)</f>
        <v>1078</v>
      </c>
      <c r="C119" s="13">
        <f>IFERROR(__xludf.DUMMYFUNCTION("""COMPUTED_VALUE"""),32.0)</f>
        <v>32</v>
      </c>
      <c r="D119" s="12"/>
      <c r="E119" s="12" t="str">
        <f>IFERROR(__xludf.DUMMYFUNCTION("""COMPUTED_VALUE"""),"This is the perfect summer dress. it can be dressed up or down. the quality of the linen fabric is very nice. i'm 5'1"" and it hit right below my knees. i found it to run true to size. those with a smaller bust might want to go down a size, but the tie in"&amp;" the front can be adjusted. it's lovely.")</f>
        <v>This is the perfect summer dress. it can be dressed up or down. the quality of the linen fabric is very nice. i'm 5'1" and it hit right below my knees. i found it to run true to size. those with a smaller bust might want to go down a size, but the tie in the front can be adjusted. it's lovely.</v>
      </c>
      <c r="F119" s="13">
        <f>IFERROR(__xludf.DUMMYFUNCTION("""COMPUTED_VALUE"""),5.0)</f>
        <v>5</v>
      </c>
      <c r="G119" s="13">
        <f>IFERROR(__xludf.DUMMYFUNCTION("""COMPUTED_VALUE"""),1.0)</f>
        <v>1</v>
      </c>
      <c r="H119" s="13">
        <f>IFERROR(__xludf.DUMMYFUNCTION("""COMPUTED_VALUE"""),2.0)</f>
        <v>2</v>
      </c>
      <c r="I119" s="13" t="str">
        <f>IFERROR(__xludf.DUMMYFUNCTION("""COMPUTED_VALUE"""),"General Petite")</f>
        <v>General Petite</v>
      </c>
      <c r="J119" s="13" t="str">
        <f>IFERROR(__xludf.DUMMYFUNCTION("""COMPUTED_VALUE"""),"Dresses")</f>
        <v>Dresses</v>
      </c>
      <c r="K119" s="13" t="str">
        <f>IFERROR(__xludf.DUMMYFUNCTION("""COMPUTED_VALUE"""),"Dresses")</f>
        <v>Dresses</v>
      </c>
      <c r="L119" s="13"/>
    </row>
    <row r="120">
      <c r="A120" s="13">
        <f>IFERROR(__xludf.DUMMYFUNCTION("""COMPUTED_VALUE"""),118.0)</f>
        <v>118</v>
      </c>
      <c r="B120" s="13">
        <f>IFERROR(__xludf.DUMMYFUNCTION("""COMPUTED_VALUE"""),850.0)</f>
        <v>850</v>
      </c>
      <c r="C120" s="13">
        <f>IFERROR(__xludf.DUMMYFUNCTION("""COMPUTED_VALUE"""),37.0)</f>
        <v>37</v>
      </c>
      <c r="D120" s="12" t="str">
        <f>IFERROR(__xludf.DUMMYFUNCTION("""COMPUTED_VALUE"""),"Awkward fitting")</f>
        <v>Awkward fitting</v>
      </c>
      <c r="E120" s="12" t="str">
        <f>IFERROR(__xludf.DUMMYFUNCTION("""COMPUTED_VALUE"""),"First, the fabric is beautiful and lovely for spring and summer. i really wanted to like this top, but the fitting is so awkward for me. i typically where a 0/xs, and sized up in the shirt to a size 2. it was very tight and pulled funny across the chest ("&amp;"size 32/a). i also found the cut at the shoulders very narrow (need a strapless bra) and made it look unflattering overall. had to return this one back to the store.")</f>
        <v>First, the fabric is beautiful and lovely for spring and summer. i really wanted to like this top, but the fitting is so awkward for me. i typically where a 0/xs, and sized up in the shirt to a size 2. it was very tight and pulled funny across the chest (size 32/a). i also found the cut at the shoulders very narrow (need a strapless bra) and made it look unflattering overall. had to return this one back to the store.</v>
      </c>
      <c r="F120" s="13">
        <f>IFERROR(__xludf.DUMMYFUNCTION("""COMPUTED_VALUE"""),2.0)</f>
        <v>2</v>
      </c>
      <c r="G120" s="13">
        <f>IFERROR(__xludf.DUMMYFUNCTION("""COMPUTED_VALUE"""),0.0)</f>
        <v>0</v>
      </c>
      <c r="H120" s="13">
        <f>IFERROR(__xludf.DUMMYFUNCTION("""COMPUTED_VALUE"""),0.0)</f>
        <v>0</v>
      </c>
      <c r="I120" s="13" t="str">
        <f>IFERROR(__xludf.DUMMYFUNCTION("""COMPUTED_VALUE"""),"General")</f>
        <v>General</v>
      </c>
      <c r="J120" s="13" t="str">
        <f>IFERROR(__xludf.DUMMYFUNCTION("""COMPUTED_VALUE"""),"Tops")</f>
        <v>Tops</v>
      </c>
      <c r="K120" s="13" t="str">
        <f>IFERROR(__xludf.DUMMYFUNCTION("""COMPUTED_VALUE"""),"Blouses")</f>
        <v>Blouses</v>
      </c>
      <c r="L120" s="13"/>
    </row>
    <row r="121">
      <c r="A121" s="13">
        <f>IFERROR(__xludf.DUMMYFUNCTION("""COMPUTED_VALUE"""),119.0)</f>
        <v>119</v>
      </c>
      <c r="B121" s="13">
        <f>IFERROR(__xludf.DUMMYFUNCTION("""COMPUTED_VALUE"""),836.0)</f>
        <v>836</v>
      </c>
      <c r="C121" s="13">
        <f>IFERROR(__xludf.DUMMYFUNCTION("""COMPUTED_VALUE"""),54.0)</f>
        <v>54</v>
      </c>
      <c r="D121" s="12" t="str">
        <f>IFERROR(__xludf.DUMMYFUNCTION("""COMPUTED_VALUE"""),"Cozy casual - perfect for fall")</f>
        <v>Cozy casual - perfect for fall</v>
      </c>
      <c r="E121" s="12" t="str">
        <f>IFERROR(__xludf.DUMMYFUNCTION("""COMPUTED_VALUE"""),"The color is perfect for fall and into winter. only the inside collar on the photo shows the subtle plaid lining. the lining was an unexpected bonus, and adds even more dimension to the shirt if the sleeves are turned up.
the fit is true to size and the '"&amp;"stressed' velvet fabric is current for this season.
i'm going to enjoy wearing this shirt.")</f>
        <v>The color is perfect for fall and into winter. only the inside collar on the photo shows the subtle plaid lining. the lining was an unexpected bonus, and adds even more dimension to the shirt if the sleeves are turned up.
the fit is true to size and the 'stressed' velvet fabric is current for this season.
i'm going to enjoy wearing this shirt.</v>
      </c>
      <c r="F121" s="13">
        <f>IFERROR(__xludf.DUMMYFUNCTION("""COMPUTED_VALUE"""),5.0)</f>
        <v>5</v>
      </c>
      <c r="G121" s="13">
        <f>IFERROR(__xludf.DUMMYFUNCTION("""COMPUTED_VALUE"""),1.0)</f>
        <v>1</v>
      </c>
      <c r="H121" s="13">
        <f>IFERROR(__xludf.DUMMYFUNCTION("""COMPUTED_VALUE"""),4.0)</f>
        <v>4</v>
      </c>
      <c r="I121" s="13" t="str">
        <f>IFERROR(__xludf.DUMMYFUNCTION("""COMPUTED_VALUE"""),"General")</f>
        <v>General</v>
      </c>
      <c r="J121" s="13" t="str">
        <f>IFERROR(__xludf.DUMMYFUNCTION("""COMPUTED_VALUE"""),"Tops")</f>
        <v>Tops</v>
      </c>
      <c r="K121" s="13" t="str">
        <f>IFERROR(__xludf.DUMMYFUNCTION("""COMPUTED_VALUE"""),"Blouses")</f>
        <v>Blouses</v>
      </c>
      <c r="L121" s="13"/>
    </row>
    <row r="122">
      <c r="A122" s="13">
        <f>IFERROR(__xludf.DUMMYFUNCTION("""COMPUTED_VALUE"""),120.0)</f>
        <v>120</v>
      </c>
      <c r="B122" s="13">
        <f>IFERROR(__xludf.DUMMYFUNCTION("""COMPUTED_VALUE"""),861.0)</f>
        <v>861</v>
      </c>
      <c r="C122" s="13">
        <f>IFERROR(__xludf.DUMMYFUNCTION("""COMPUTED_VALUE"""),33.0)</f>
        <v>33</v>
      </c>
      <c r="D122" s="12" t="str">
        <f>IFERROR(__xludf.DUMMYFUNCTION("""COMPUTED_VALUE"""),"The perfect striped t")</f>
        <v>The perfect striped t</v>
      </c>
      <c r="E122" s="12" t="str">
        <f>IFERROR(__xludf.DUMMYFUNCTION("""COMPUTED_VALUE"""),"The perfect striped t-shirt, and the cute little buttons down the front are a wonderful accent with each one being different. i love it!")</f>
        <v>The perfect striped t-shirt, and the cute little buttons down the front are a wonderful accent with each one being different. i love it!</v>
      </c>
      <c r="F122" s="13">
        <f>IFERROR(__xludf.DUMMYFUNCTION("""COMPUTED_VALUE"""),5.0)</f>
        <v>5</v>
      </c>
      <c r="G122" s="13">
        <f>IFERROR(__xludf.DUMMYFUNCTION("""COMPUTED_VALUE"""),1.0)</f>
        <v>1</v>
      </c>
      <c r="H122" s="13">
        <f>IFERROR(__xludf.DUMMYFUNCTION("""COMPUTED_VALUE"""),0.0)</f>
        <v>0</v>
      </c>
      <c r="I122" s="13" t="str">
        <f>IFERROR(__xludf.DUMMYFUNCTION("""COMPUTED_VALUE"""),"General Petite")</f>
        <v>General Petite</v>
      </c>
      <c r="J122" s="13" t="str">
        <f>IFERROR(__xludf.DUMMYFUNCTION("""COMPUTED_VALUE"""),"Tops")</f>
        <v>Tops</v>
      </c>
      <c r="K122" s="13" t="str">
        <f>IFERROR(__xludf.DUMMYFUNCTION("""COMPUTED_VALUE"""),"Knits")</f>
        <v>Knits</v>
      </c>
      <c r="L122" s="13"/>
    </row>
    <row r="123">
      <c r="A123" s="13">
        <f>IFERROR(__xludf.DUMMYFUNCTION("""COMPUTED_VALUE"""),121.0)</f>
        <v>121</v>
      </c>
      <c r="B123" s="13">
        <f>IFERROR(__xludf.DUMMYFUNCTION("""COMPUTED_VALUE"""),966.0)</f>
        <v>966</v>
      </c>
      <c r="C123" s="13">
        <f>IFERROR(__xludf.DUMMYFUNCTION("""COMPUTED_VALUE"""),63.0)</f>
        <v>63</v>
      </c>
      <c r="D123" s="12"/>
      <c r="E123" s="12" t="str">
        <f>IFERROR(__xludf.DUMMYFUNCTION("""COMPUTED_VALUE"""),"Great look and you can wear this vest with almost everything . i normally wear a small but they only had mediums and it fit fine( i like it tied). this will stay in my closet all year round . it does look like it will wrinkle easily but that doesn't bothe"&amp;"r me . a must buy !")</f>
        <v>Great look and you can wear this vest with almost everything . i normally wear a small but they only had mediums and it fit fine( i like it tied). this will stay in my closet all year round . it does look like it will wrinkle easily but that doesn't bother me . a must buy !</v>
      </c>
      <c r="F123" s="13">
        <f>IFERROR(__xludf.DUMMYFUNCTION("""COMPUTED_VALUE"""),5.0)</f>
        <v>5</v>
      </c>
      <c r="G123" s="13">
        <f>IFERROR(__xludf.DUMMYFUNCTION("""COMPUTED_VALUE"""),1.0)</f>
        <v>1</v>
      </c>
      <c r="H123" s="13">
        <f>IFERROR(__xludf.DUMMYFUNCTION("""COMPUTED_VALUE"""),0.0)</f>
        <v>0</v>
      </c>
      <c r="I123" s="13" t="str">
        <f>IFERROR(__xludf.DUMMYFUNCTION("""COMPUTED_VALUE"""),"General")</f>
        <v>General</v>
      </c>
      <c r="J123" s="13" t="str">
        <f>IFERROR(__xludf.DUMMYFUNCTION("""COMPUTED_VALUE"""),"Jackets")</f>
        <v>Jackets</v>
      </c>
      <c r="K123" s="13" t="str">
        <f>IFERROR(__xludf.DUMMYFUNCTION("""COMPUTED_VALUE"""),"Jackets")</f>
        <v>Jackets</v>
      </c>
      <c r="L123" s="13"/>
    </row>
    <row r="124">
      <c r="A124" s="13">
        <f>IFERROR(__xludf.DUMMYFUNCTION("""COMPUTED_VALUE"""),122.0)</f>
        <v>122</v>
      </c>
      <c r="B124" s="13">
        <f>IFERROR(__xludf.DUMMYFUNCTION("""COMPUTED_VALUE"""),1196.0)</f>
        <v>1196</v>
      </c>
      <c r="C124" s="13">
        <f>IFERROR(__xludf.DUMMYFUNCTION("""COMPUTED_VALUE"""),29.0)</f>
        <v>29</v>
      </c>
      <c r="D124" s="12"/>
      <c r="E124" s="12" t="str">
        <f>IFERROR(__xludf.DUMMYFUNCTION("""COMPUTED_VALUE"""),"This is a great pull over dress that can easily be dressed to wear to work, to a bbq, or to happy hour. i have a large chest which sometimes makes this fit look like a tent but this fabric drapes nicely. the only thing i would note is the neckline was sli"&amp;"ghtly higher on me than for the model.")</f>
        <v>This is a great pull over dress that can easily be dressed to wear to work, to a bbq, or to happy hour. i have a large chest which sometimes makes this fit look like a tent but this fabric drapes nicely. the only thing i would note is the neckline was slightly higher on me than for the model.</v>
      </c>
      <c r="F124" s="13">
        <f>IFERROR(__xludf.DUMMYFUNCTION("""COMPUTED_VALUE"""),5.0)</f>
        <v>5</v>
      </c>
      <c r="G124" s="13">
        <f>IFERROR(__xludf.DUMMYFUNCTION("""COMPUTED_VALUE"""),1.0)</f>
        <v>1</v>
      </c>
      <c r="H124" s="13">
        <f>IFERROR(__xludf.DUMMYFUNCTION("""COMPUTED_VALUE"""),0.0)</f>
        <v>0</v>
      </c>
      <c r="I124" s="13" t="str">
        <f>IFERROR(__xludf.DUMMYFUNCTION("""COMPUTED_VALUE"""),"General Petite")</f>
        <v>General Petite</v>
      </c>
      <c r="J124" s="13" t="str">
        <f>IFERROR(__xludf.DUMMYFUNCTION("""COMPUTED_VALUE"""),"Dresses")</f>
        <v>Dresses</v>
      </c>
      <c r="K124" s="13" t="str">
        <f>IFERROR(__xludf.DUMMYFUNCTION("""COMPUTED_VALUE"""),"Dresses")</f>
        <v>Dresses</v>
      </c>
      <c r="L124" s="13"/>
    </row>
    <row r="125">
      <c r="A125" s="13">
        <f>IFERROR(__xludf.DUMMYFUNCTION("""COMPUTED_VALUE"""),123.0)</f>
        <v>123</v>
      </c>
      <c r="B125" s="13">
        <f>IFERROR(__xludf.DUMMYFUNCTION("""COMPUTED_VALUE"""),836.0)</f>
        <v>836</v>
      </c>
      <c r="C125" s="13">
        <f>IFERROR(__xludf.DUMMYFUNCTION("""COMPUTED_VALUE"""),24.0)</f>
        <v>24</v>
      </c>
      <c r="D125" s="12" t="str">
        <f>IFERROR(__xludf.DUMMYFUNCTION("""COMPUTED_VALUE"""),"So beautiful! gorgeous orange color!")</f>
        <v>So beautiful! gorgeous orange color!</v>
      </c>
      <c r="E125" s="12" t="str">
        <f>IFERROR(__xludf.DUMMYFUNCTION("""COMPUTED_VALUE"""),"After reading the previous reviews, i ordered a size larger. i am so glad i did it! it fits perfectly! i am 5'4""/115/32dd and went with the s regular. so beautiful! i can't wait to wear it!")</f>
        <v>After reading the previous reviews, i ordered a size larger. i am so glad i did it! it fits perfectly! i am 5'4"/115/32dd and went with the s regular. so beautiful! i can't wait to wear it!</v>
      </c>
      <c r="F125" s="13">
        <f>IFERROR(__xludf.DUMMYFUNCTION("""COMPUTED_VALUE"""),5.0)</f>
        <v>5</v>
      </c>
      <c r="G125" s="13">
        <f>IFERROR(__xludf.DUMMYFUNCTION("""COMPUTED_VALUE"""),1.0)</f>
        <v>1</v>
      </c>
      <c r="H125" s="13">
        <f>IFERROR(__xludf.DUMMYFUNCTION("""COMPUTED_VALUE"""),0.0)</f>
        <v>0</v>
      </c>
      <c r="I125" s="13" t="str">
        <f>IFERROR(__xludf.DUMMYFUNCTION("""COMPUTED_VALUE"""),"General")</f>
        <v>General</v>
      </c>
      <c r="J125" s="13" t="str">
        <f>IFERROR(__xludf.DUMMYFUNCTION("""COMPUTED_VALUE"""),"Tops")</f>
        <v>Tops</v>
      </c>
      <c r="K125" s="13" t="str">
        <f>IFERROR(__xludf.DUMMYFUNCTION("""COMPUTED_VALUE"""),"Blouses")</f>
        <v>Blouses</v>
      </c>
      <c r="L125" s="13"/>
    </row>
    <row r="126">
      <c r="A126" s="13">
        <f>IFERROR(__xludf.DUMMYFUNCTION("""COMPUTED_VALUE"""),124.0)</f>
        <v>124</v>
      </c>
      <c r="B126" s="13">
        <f>IFERROR(__xludf.DUMMYFUNCTION("""COMPUTED_VALUE"""),923.0)</f>
        <v>923</v>
      </c>
      <c r="C126" s="13">
        <f>IFERROR(__xludf.DUMMYFUNCTION("""COMPUTED_VALUE"""),50.0)</f>
        <v>50</v>
      </c>
      <c r="D126" s="12" t="str">
        <f>IFERROR(__xludf.DUMMYFUNCTION("""COMPUTED_VALUE"""),"Lovely top, not lovely shape")</f>
        <v>Lovely top, not lovely shape</v>
      </c>
      <c r="E126" s="12" t="str">
        <f>IFERROR(__xludf.DUMMYFUNCTION("""COMPUTED_VALUE"""),"I was so excited to try out this top since it was such a bargain and neutral. unfortunately, the shape is ""a"" line and accentuates the hip area a bit more than i find flattering. so, it will be returned.")</f>
        <v>I was so excited to try out this top since it was such a bargain and neutral. unfortunately, the shape is "a" line and accentuates the hip area a bit more than i find flattering. so, it will be returned.</v>
      </c>
      <c r="F126" s="13">
        <f>IFERROR(__xludf.DUMMYFUNCTION("""COMPUTED_VALUE"""),3.0)</f>
        <v>3</v>
      </c>
      <c r="G126" s="13">
        <f>IFERROR(__xludf.DUMMYFUNCTION("""COMPUTED_VALUE"""),0.0)</f>
        <v>0</v>
      </c>
      <c r="H126" s="13">
        <f>IFERROR(__xludf.DUMMYFUNCTION("""COMPUTED_VALUE"""),2.0)</f>
        <v>2</v>
      </c>
      <c r="I126" s="13" t="str">
        <f>IFERROR(__xludf.DUMMYFUNCTION("""COMPUTED_VALUE"""),"General")</f>
        <v>General</v>
      </c>
      <c r="J126" s="13" t="str">
        <f>IFERROR(__xludf.DUMMYFUNCTION("""COMPUTED_VALUE"""),"Tops")</f>
        <v>Tops</v>
      </c>
      <c r="K126" s="13" t="str">
        <f>IFERROR(__xludf.DUMMYFUNCTION("""COMPUTED_VALUE"""),"Sweaters")</f>
        <v>Sweaters</v>
      </c>
      <c r="L126" s="13"/>
    </row>
    <row r="127">
      <c r="A127" s="13">
        <f>IFERROR(__xludf.DUMMYFUNCTION("""COMPUTED_VALUE"""),125.0)</f>
        <v>125</v>
      </c>
      <c r="B127" s="13">
        <f>IFERROR(__xludf.DUMMYFUNCTION("""COMPUTED_VALUE"""),1072.0)</f>
        <v>1072</v>
      </c>
      <c r="C127" s="13">
        <f>IFERROR(__xludf.DUMMYFUNCTION("""COMPUTED_VALUE"""),34.0)</f>
        <v>34</v>
      </c>
      <c r="D127" s="12" t="str">
        <f>IFERROR(__xludf.DUMMYFUNCTION("""COMPUTED_VALUE"""),"Wonderfully made, poorly designed for busty gals")</f>
        <v>Wonderfully made, poorly designed for busty gals</v>
      </c>
      <c r="E127" s="12" t="str">
        <f>IFERROR(__xludf.DUMMYFUNCTION("""COMPUTED_VALUE"""),"Like others reviewers mentioned on here, this dress is extremely well made. but there were too many cons for me, as well. this would most certainly work on a petite/shorter frame, but for tall, busty, and curvier girls, it just sits wrong on all places un"&amp;"fortunately. the color is lovely along with the nice collar that ties in the back really made this dress stand out.
however, i'm a 36c and found that the arm/shoulder part so large and bulky that is made me look bigger on top. there was entirel")</f>
        <v>Like others reviewers mentioned on here, this dress is extremely well made. but there were too many cons for me, as well. this would most certainly work on a petite/shorter frame, but for tall, busty, and curvier girls, it just sits wrong on all places unfortunately. the color is lovely along with the nice collar that ties in the back really made this dress stand out.
however, i'm a 36c and found that the arm/shoulder part so large and bulky that is made me look bigger on top. there was entirel</v>
      </c>
      <c r="F127" s="13">
        <f>IFERROR(__xludf.DUMMYFUNCTION("""COMPUTED_VALUE"""),3.0)</f>
        <v>3</v>
      </c>
      <c r="G127" s="13">
        <f>IFERROR(__xludf.DUMMYFUNCTION("""COMPUTED_VALUE"""),1.0)</f>
        <v>1</v>
      </c>
      <c r="H127" s="13">
        <f>IFERROR(__xludf.DUMMYFUNCTION("""COMPUTED_VALUE"""),1.0)</f>
        <v>1</v>
      </c>
      <c r="I127" s="13" t="str">
        <f>IFERROR(__xludf.DUMMYFUNCTION("""COMPUTED_VALUE"""),"General")</f>
        <v>General</v>
      </c>
      <c r="J127" s="13" t="str">
        <f>IFERROR(__xludf.DUMMYFUNCTION("""COMPUTED_VALUE"""),"Dresses")</f>
        <v>Dresses</v>
      </c>
      <c r="K127" s="13" t="str">
        <f>IFERROR(__xludf.DUMMYFUNCTION("""COMPUTED_VALUE"""),"Dresses")</f>
        <v>Dresses</v>
      </c>
      <c r="L127" s="13"/>
    </row>
    <row r="128">
      <c r="A128" s="13">
        <f>IFERROR(__xludf.DUMMYFUNCTION("""COMPUTED_VALUE"""),126.0)</f>
        <v>126</v>
      </c>
      <c r="B128" s="13">
        <f>IFERROR(__xludf.DUMMYFUNCTION("""COMPUTED_VALUE"""),1133.0)</f>
        <v>1133</v>
      </c>
      <c r="C128" s="13">
        <f>IFERROR(__xludf.DUMMYFUNCTION("""COMPUTED_VALUE"""),71.0)</f>
        <v>71</v>
      </c>
      <c r="D128" s="12"/>
      <c r="E128" s="12" t="str">
        <f>IFERROR(__xludf.DUMMYFUNCTION("""COMPUTED_VALUE"""),"I read the previous reviews and had hoped that the exclamations about the color being inaccurate were exaggerated- however they are sadly very true. let me be clear that this is a beautiful, comfortable piece of clothing- when you put it on it feels thick"&amp;" and of very good quality. and while the pattern is interesting and pretty, the ""dark orange"" color i was expecting is actually a mud brown. i think it's unfortunate that retailer misrepresented such a key element of the jacket, but i digress. the")</f>
        <v>I read the previous reviews and had hoped that the exclamations about the color being inaccurate were exaggerated- however they are sadly very true. let me be clear that this is a beautiful, comfortable piece of clothing- when you put it on it feels thick and of very good quality. and while the pattern is interesting and pretty, the "dark orange" color i was expecting is actually a mud brown. i think it's unfortunate that retailer misrepresented such a key element of the jacket, but i digress. the</v>
      </c>
      <c r="F128" s="13">
        <f>IFERROR(__xludf.DUMMYFUNCTION("""COMPUTED_VALUE"""),4.0)</f>
        <v>4</v>
      </c>
      <c r="G128" s="13">
        <f>IFERROR(__xludf.DUMMYFUNCTION("""COMPUTED_VALUE"""),1.0)</f>
        <v>1</v>
      </c>
      <c r="H128" s="13">
        <f>IFERROR(__xludf.DUMMYFUNCTION("""COMPUTED_VALUE"""),0.0)</f>
        <v>0</v>
      </c>
      <c r="I128" s="13" t="str">
        <f>IFERROR(__xludf.DUMMYFUNCTION("""COMPUTED_VALUE"""),"General")</f>
        <v>General</v>
      </c>
      <c r="J128" s="13" t="str">
        <f>IFERROR(__xludf.DUMMYFUNCTION("""COMPUTED_VALUE"""),"Jackets")</f>
        <v>Jackets</v>
      </c>
      <c r="K128" s="13" t="str">
        <f>IFERROR(__xludf.DUMMYFUNCTION("""COMPUTED_VALUE"""),"Outerwear")</f>
        <v>Outerwear</v>
      </c>
      <c r="L128" s="13"/>
    </row>
    <row r="129">
      <c r="A129" s="13">
        <f>IFERROR(__xludf.DUMMYFUNCTION("""COMPUTED_VALUE"""),127.0)</f>
        <v>127</v>
      </c>
      <c r="B129" s="13">
        <f>IFERROR(__xludf.DUMMYFUNCTION("""COMPUTED_VALUE"""),1133.0)</f>
        <v>1133</v>
      </c>
      <c r="C129" s="13">
        <f>IFERROR(__xludf.DUMMYFUNCTION("""COMPUTED_VALUE"""),30.0)</f>
        <v>30</v>
      </c>
      <c r="D129" s="12"/>
      <c r="E129" s="12" t="str">
        <f>IFERROR(__xludf.DUMMYFUNCTION("""COMPUTED_VALUE"""),"This coat is beautiful! i love the color and the design. it definitely runs a little large. i usually wear a small or a zero and i can wear a small wth a large sweater underneath no problem. i might have wanted an extra small but i just stuck with the sma"&amp;"ll because i needed the coat already. the vest keeps it warm, but the sleeves aren't lined so it's cold unless you have a nice sweater underneath it if you're going to be in cold weather.")</f>
        <v>This coat is beautiful! i love the color and the design. it definitely runs a little large. i usually wear a small or a zero and i can wear a small wth a large sweater underneath no problem. i might have wanted an extra small but i just stuck with the small because i needed the coat already. the vest keeps it warm, but the sleeves aren't lined so it's cold unless you have a nice sweater underneath it if you're going to be in cold weather.</v>
      </c>
      <c r="F129" s="13">
        <f>IFERROR(__xludf.DUMMYFUNCTION("""COMPUTED_VALUE"""),5.0)</f>
        <v>5</v>
      </c>
      <c r="G129" s="13">
        <f>IFERROR(__xludf.DUMMYFUNCTION("""COMPUTED_VALUE"""),1.0)</f>
        <v>1</v>
      </c>
      <c r="H129" s="13">
        <f>IFERROR(__xludf.DUMMYFUNCTION("""COMPUTED_VALUE"""),0.0)</f>
        <v>0</v>
      </c>
      <c r="I129" s="13" t="str">
        <f>IFERROR(__xludf.DUMMYFUNCTION("""COMPUTED_VALUE"""),"General")</f>
        <v>General</v>
      </c>
      <c r="J129" s="13" t="str">
        <f>IFERROR(__xludf.DUMMYFUNCTION("""COMPUTED_VALUE"""),"Jackets")</f>
        <v>Jackets</v>
      </c>
      <c r="K129" s="13" t="str">
        <f>IFERROR(__xludf.DUMMYFUNCTION("""COMPUTED_VALUE"""),"Outerwear")</f>
        <v>Outerwear</v>
      </c>
      <c r="L129" s="13"/>
    </row>
    <row r="130">
      <c r="A130" s="13">
        <f>IFERROR(__xludf.DUMMYFUNCTION("""COMPUTED_VALUE"""),128.0)</f>
        <v>128</v>
      </c>
      <c r="B130" s="13">
        <f>IFERROR(__xludf.DUMMYFUNCTION("""COMPUTED_VALUE"""),966.0)</f>
        <v>966</v>
      </c>
      <c r="C130" s="13">
        <f>IFERROR(__xludf.DUMMYFUNCTION("""COMPUTED_VALUE"""),52.0)</f>
        <v>52</v>
      </c>
      <c r="D130" s="12" t="str">
        <f>IFERROR(__xludf.DUMMYFUNCTION("""COMPUTED_VALUE"""),"Cute vest but...")</f>
        <v>Cute vest but...</v>
      </c>
      <c r="E130" s="12" t="str">
        <f>IFERROR(__xludf.DUMMYFUNCTION("""COMPUTED_VALUE"""),"Nice vest, pretty olive color, hangs nice but...its just kinda funny. just hangs and really looks odd when tied. i like the laying piece just wished it had more ""umph"".")</f>
        <v>Nice vest, pretty olive color, hangs nice but...its just kinda funny. just hangs and really looks odd when tied. i like the laying piece just wished it had more "umph".</v>
      </c>
      <c r="F130" s="13">
        <f>IFERROR(__xludf.DUMMYFUNCTION("""COMPUTED_VALUE"""),4.0)</f>
        <v>4</v>
      </c>
      <c r="G130" s="13">
        <f>IFERROR(__xludf.DUMMYFUNCTION("""COMPUTED_VALUE"""),1.0)</f>
        <v>1</v>
      </c>
      <c r="H130" s="13">
        <f>IFERROR(__xludf.DUMMYFUNCTION("""COMPUTED_VALUE"""),0.0)</f>
        <v>0</v>
      </c>
      <c r="I130" s="13" t="str">
        <f>IFERROR(__xludf.DUMMYFUNCTION("""COMPUTED_VALUE"""),"General")</f>
        <v>General</v>
      </c>
      <c r="J130" s="13" t="str">
        <f>IFERROR(__xludf.DUMMYFUNCTION("""COMPUTED_VALUE"""),"Jackets")</f>
        <v>Jackets</v>
      </c>
      <c r="K130" s="13" t="str">
        <f>IFERROR(__xludf.DUMMYFUNCTION("""COMPUTED_VALUE"""),"Jackets")</f>
        <v>Jackets</v>
      </c>
      <c r="L130" s="13"/>
    </row>
    <row r="131">
      <c r="A131" s="13">
        <f>IFERROR(__xludf.DUMMYFUNCTION("""COMPUTED_VALUE"""),129.0)</f>
        <v>129</v>
      </c>
      <c r="B131" s="13">
        <f>IFERROR(__xludf.DUMMYFUNCTION("""COMPUTED_VALUE"""),863.0)</f>
        <v>863</v>
      </c>
      <c r="C131" s="13">
        <f>IFERROR(__xludf.DUMMYFUNCTION("""COMPUTED_VALUE"""),28.0)</f>
        <v>28</v>
      </c>
      <c r="D131" s="12" t="str">
        <f>IFERROR(__xludf.DUMMYFUNCTION("""COMPUTED_VALUE"""),"Great top")</f>
        <v>Great top</v>
      </c>
      <c r="E131" s="12" t="str">
        <f>IFERROR(__xludf.DUMMYFUNCTION("""COMPUTED_VALUE"""),"This top is super comfy and casual. the slit/design in the front gives it more of a stylish look than your average white long sleeve tee. would definitely recommend.")</f>
        <v>This top is super comfy and casual. the slit/design in the front gives it more of a stylish look than your average white long sleeve tee. would definitely recommend.</v>
      </c>
      <c r="F131" s="13">
        <f>IFERROR(__xludf.DUMMYFUNCTION("""COMPUTED_VALUE"""),5.0)</f>
        <v>5</v>
      </c>
      <c r="G131" s="13">
        <f>IFERROR(__xludf.DUMMYFUNCTION("""COMPUTED_VALUE"""),1.0)</f>
        <v>1</v>
      </c>
      <c r="H131" s="13">
        <f>IFERROR(__xludf.DUMMYFUNCTION("""COMPUTED_VALUE"""),0.0)</f>
        <v>0</v>
      </c>
      <c r="I131" s="13" t="str">
        <f>IFERROR(__xludf.DUMMYFUNCTION("""COMPUTED_VALUE"""),"General")</f>
        <v>General</v>
      </c>
      <c r="J131" s="13" t="str">
        <f>IFERROR(__xludf.DUMMYFUNCTION("""COMPUTED_VALUE"""),"Tops")</f>
        <v>Tops</v>
      </c>
      <c r="K131" s="13" t="str">
        <f>IFERROR(__xludf.DUMMYFUNCTION("""COMPUTED_VALUE"""),"Knits")</f>
        <v>Knits</v>
      </c>
      <c r="L131" s="13"/>
    </row>
    <row r="132">
      <c r="A132" s="13">
        <f>IFERROR(__xludf.DUMMYFUNCTION("""COMPUTED_VALUE"""),130.0)</f>
        <v>130</v>
      </c>
      <c r="B132" s="13">
        <f>IFERROR(__xludf.DUMMYFUNCTION("""COMPUTED_VALUE"""),845.0)</f>
        <v>845</v>
      </c>
      <c r="C132" s="13">
        <f>IFERROR(__xludf.DUMMYFUNCTION("""COMPUTED_VALUE"""),62.0)</f>
        <v>62</v>
      </c>
      <c r="D132" s="12"/>
      <c r="E132" s="12" t="str">
        <f>IFERROR(__xludf.DUMMYFUNCTION("""COMPUTED_VALUE"""),"Intrepid soul that i am, i washed it in the machine in cold water on a 25 minute cycle, then put it in the dryer for 8 minutes, shook it out, hung it up, and it is just the same as when it went in. doesn't need to be ironed and didn't shrink. yes, the swi"&amp;"ng is vast, but that is part of its charm. pair it with a fitted piece on the bottom and no one will think that you are actually needing that much material to cover anything! i think it is fun, something i will use for years, wonderfully comfort")</f>
        <v>Intrepid soul that i am, i washed it in the machine in cold water on a 25 minute cycle, then put it in the dryer for 8 minutes, shook it out, hung it up, and it is just the same as when it went in. doesn't need to be ironed and didn't shrink. yes, the swing is vast, but that is part of its charm. pair it with a fitted piece on the bottom and no one will think that you are actually needing that much material to cover anything! i think it is fun, something i will use for years, wonderfully comfort</v>
      </c>
      <c r="F132" s="13">
        <f>IFERROR(__xludf.DUMMYFUNCTION("""COMPUTED_VALUE"""),4.0)</f>
        <v>4</v>
      </c>
      <c r="G132" s="13">
        <f>IFERROR(__xludf.DUMMYFUNCTION("""COMPUTED_VALUE"""),1.0)</f>
        <v>1</v>
      </c>
      <c r="H132" s="13">
        <f>IFERROR(__xludf.DUMMYFUNCTION("""COMPUTED_VALUE"""),3.0)</f>
        <v>3</v>
      </c>
      <c r="I132" s="13" t="str">
        <f>IFERROR(__xludf.DUMMYFUNCTION("""COMPUTED_VALUE"""),"General Petite")</f>
        <v>General Petite</v>
      </c>
      <c r="J132" s="13" t="str">
        <f>IFERROR(__xludf.DUMMYFUNCTION("""COMPUTED_VALUE"""),"Tops")</f>
        <v>Tops</v>
      </c>
      <c r="K132" s="13" t="str">
        <f>IFERROR(__xludf.DUMMYFUNCTION("""COMPUTED_VALUE"""),"Blouses")</f>
        <v>Blouses</v>
      </c>
      <c r="L132" s="13"/>
    </row>
    <row r="133">
      <c r="A133" s="13">
        <f>IFERROR(__xludf.DUMMYFUNCTION("""COMPUTED_VALUE"""),131.0)</f>
        <v>131</v>
      </c>
      <c r="B133" s="13">
        <f>IFERROR(__xludf.DUMMYFUNCTION("""COMPUTED_VALUE"""),1081.0)</f>
        <v>1081</v>
      </c>
      <c r="C133" s="13">
        <f>IFERROR(__xludf.DUMMYFUNCTION("""COMPUTED_VALUE"""),39.0)</f>
        <v>39</v>
      </c>
      <c r="D133" s="12" t="str">
        <f>IFERROR(__xludf.DUMMYFUNCTION("""COMPUTED_VALUE"""),"Just ok")</f>
        <v>Just ok</v>
      </c>
      <c r="E133" s="12" t="str">
        <f>IFERROR(__xludf.DUMMYFUNCTION("""COMPUTED_VALUE"""),"It's ok, fit doesn't wow me because of my body. chest is too wide, hips look too narrow. drapes across my back fat in an especially non-flattering way. basically made my square-apple body look more square-apple. great part about this dress is that it's co"&amp;"mfy and hides the tummy pooch. construction is poorly done...contrasting liner at v-neck is rolling out on one side only and then doing the same at the hem contralaterally. another negative point is dry clean only. boo. i'm 5'3"" 140# 39-28-35 an")</f>
        <v>It's ok, fit doesn't wow me because of my body. chest is too wide, hips look too narrow. drapes across my back fat in an especially non-flattering way. basically made my square-apple body look more square-apple. great part about this dress is that it's comfy and hides the tummy pooch. construction is poorly done...contrasting liner at v-neck is rolling out on one side only and then doing the same at the hem contralaterally. another negative point is dry clean only. boo. i'm 5'3" 140# 39-28-35 an</v>
      </c>
      <c r="F133" s="13">
        <f>IFERROR(__xludf.DUMMYFUNCTION("""COMPUTED_VALUE"""),3.0)</f>
        <v>3</v>
      </c>
      <c r="G133" s="13">
        <f>IFERROR(__xludf.DUMMYFUNCTION("""COMPUTED_VALUE"""),1.0)</f>
        <v>1</v>
      </c>
      <c r="H133" s="13">
        <f>IFERROR(__xludf.DUMMYFUNCTION("""COMPUTED_VALUE"""),0.0)</f>
        <v>0</v>
      </c>
      <c r="I133" s="13" t="str">
        <f>IFERROR(__xludf.DUMMYFUNCTION("""COMPUTED_VALUE"""),"General")</f>
        <v>General</v>
      </c>
      <c r="J133" s="13" t="str">
        <f>IFERROR(__xludf.DUMMYFUNCTION("""COMPUTED_VALUE"""),"Dresses")</f>
        <v>Dresses</v>
      </c>
      <c r="K133" s="13" t="str">
        <f>IFERROR(__xludf.DUMMYFUNCTION("""COMPUTED_VALUE"""),"Dresses")</f>
        <v>Dresses</v>
      </c>
      <c r="L133" s="13"/>
    </row>
    <row r="134">
      <c r="A134" s="13">
        <f>IFERROR(__xludf.DUMMYFUNCTION("""COMPUTED_VALUE"""),132.0)</f>
        <v>132</v>
      </c>
      <c r="B134" s="13">
        <f>IFERROR(__xludf.DUMMYFUNCTION("""COMPUTED_VALUE"""),861.0)</f>
        <v>861</v>
      </c>
      <c r="C134" s="13">
        <f>IFERROR(__xludf.DUMMYFUNCTION("""COMPUTED_VALUE"""),46.0)</f>
        <v>46</v>
      </c>
      <c r="D134" s="12" t="str">
        <f>IFERROR(__xludf.DUMMYFUNCTION("""COMPUTED_VALUE"""),"Pernette henley")</f>
        <v>Pernette henley</v>
      </c>
      <c r="E134" s="12" t="str">
        <f>IFERROR(__xludf.DUMMYFUNCTION("""COMPUTED_VALUE"""),"In my retailer this was hung over in the pj section, and it really has more of a jammie top feel... soft, thin and stretchy. it's super cozy and comfortable and it drapes really nice. mine seems to have stretched out a little, especially the neckline (and"&amp;" the little buttons have a hard time staying closed). i'm happy with it though for what it is - a great, casual day t.")</f>
        <v>In my retailer this was hung over in the pj section, and it really has more of a jammie top feel... soft, thin and stretchy. it's super cozy and comfortable and it drapes really nice. mine seems to have stretched out a little, especially the neckline (and the little buttons have a hard time staying closed). i'm happy with it though for what it is - a great, casual day t.</v>
      </c>
      <c r="F134" s="13">
        <f>IFERROR(__xludf.DUMMYFUNCTION("""COMPUTED_VALUE"""),4.0)</f>
        <v>4</v>
      </c>
      <c r="G134" s="13">
        <f>IFERROR(__xludf.DUMMYFUNCTION("""COMPUTED_VALUE"""),1.0)</f>
        <v>1</v>
      </c>
      <c r="H134" s="13">
        <f>IFERROR(__xludf.DUMMYFUNCTION("""COMPUTED_VALUE"""),1.0)</f>
        <v>1</v>
      </c>
      <c r="I134" s="13" t="str">
        <f>IFERROR(__xludf.DUMMYFUNCTION("""COMPUTED_VALUE"""),"General Petite")</f>
        <v>General Petite</v>
      </c>
      <c r="J134" s="13" t="str">
        <f>IFERROR(__xludf.DUMMYFUNCTION("""COMPUTED_VALUE"""),"Tops")</f>
        <v>Tops</v>
      </c>
      <c r="K134" s="13" t="str">
        <f>IFERROR(__xludf.DUMMYFUNCTION("""COMPUTED_VALUE"""),"Knits")</f>
        <v>Knits</v>
      </c>
      <c r="L134" s="13"/>
    </row>
    <row r="135">
      <c r="A135" s="13">
        <f>IFERROR(__xludf.DUMMYFUNCTION("""COMPUTED_VALUE"""),133.0)</f>
        <v>133</v>
      </c>
      <c r="B135" s="13">
        <f>IFERROR(__xludf.DUMMYFUNCTION("""COMPUTED_VALUE"""),966.0)</f>
        <v>966</v>
      </c>
      <c r="C135" s="13">
        <f>IFERROR(__xludf.DUMMYFUNCTION("""COMPUTED_VALUE"""),36.0)</f>
        <v>36</v>
      </c>
      <c r="D135" s="12" t="str">
        <f>IFERROR(__xludf.DUMMYFUNCTION("""COMPUTED_VALUE"""),"Stylish and versatile!")</f>
        <v>Stylish and versatile!</v>
      </c>
      <c r="E135" s="12" t="str">
        <f>IFERROR(__xludf.DUMMYFUNCTION("""COMPUTED_VALUE"""),"I love this vest! there are so many ways to style it...open or tied closed, over a dress or with a tshirt and jeans. i get compliments every time i wear it. it's soft and light enough to add interest to an outfit without being too heavy/hot to wear all da"&amp;"y.")</f>
        <v>I love this vest! there are so many ways to style it...open or tied closed, over a dress or with a tshirt and jeans. i get compliments every time i wear it. it's soft and light enough to add interest to an outfit without being too heavy/hot to wear all day.</v>
      </c>
      <c r="F135" s="13">
        <f>IFERROR(__xludf.DUMMYFUNCTION("""COMPUTED_VALUE"""),5.0)</f>
        <v>5</v>
      </c>
      <c r="G135" s="13">
        <f>IFERROR(__xludf.DUMMYFUNCTION("""COMPUTED_VALUE"""),1.0)</f>
        <v>1</v>
      </c>
      <c r="H135" s="13">
        <f>IFERROR(__xludf.DUMMYFUNCTION("""COMPUTED_VALUE"""),0.0)</f>
        <v>0</v>
      </c>
      <c r="I135" s="13" t="str">
        <f>IFERROR(__xludf.DUMMYFUNCTION("""COMPUTED_VALUE"""),"General")</f>
        <v>General</v>
      </c>
      <c r="J135" s="13" t="str">
        <f>IFERROR(__xludf.DUMMYFUNCTION("""COMPUTED_VALUE"""),"Jackets")</f>
        <v>Jackets</v>
      </c>
      <c r="K135" s="13" t="str">
        <f>IFERROR(__xludf.DUMMYFUNCTION("""COMPUTED_VALUE"""),"Jackets")</f>
        <v>Jackets</v>
      </c>
      <c r="L135" s="13"/>
    </row>
    <row r="136">
      <c r="A136" s="13">
        <f>IFERROR(__xludf.DUMMYFUNCTION("""COMPUTED_VALUE"""),134.0)</f>
        <v>134</v>
      </c>
      <c r="B136" s="13">
        <f>IFERROR(__xludf.DUMMYFUNCTION("""COMPUTED_VALUE"""),845.0)</f>
        <v>845</v>
      </c>
      <c r="C136" s="13">
        <f>IFERROR(__xludf.DUMMYFUNCTION("""COMPUTED_VALUE"""),65.0)</f>
        <v>65</v>
      </c>
      <c r="D136" s="12" t="str">
        <f>IFERROR(__xludf.DUMMYFUNCTION("""COMPUTED_VALUE"""),"You'll smile on a humid summer's day")</f>
        <v>You'll smile on a humid summer's day</v>
      </c>
      <c r="E136" s="12" t="str">
        <f>IFERROR(__xludf.DUMMYFUNCTION("""COMPUTED_VALUE"""),"This blouse is a perfect creation: perfect-weight cotton, many, many details, and color, all perfectly executed. there's fullness to the body, so this will definitely be easy to wear in hot, humid locations this summer, and it would be easy to pair with m"&amp;"any things you have already for a casual yet collected look. there's no mistaking quality when you look at this piece! i bought the medium for my 130#, 34f, size 8 blouse/tee frame. this is the blouse you will have for years, and you will enjoy")</f>
        <v>This blouse is a perfect creation: perfect-weight cotton, many, many details, and color, all perfectly executed. there's fullness to the body, so this will definitely be easy to wear in hot, humid locations this summer, and it would be easy to pair with many things you have already for a casual yet collected look. there's no mistaking quality when you look at this piece! i bought the medium for my 130#, 34f, size 8 blouse/tee frame. this is the blouse you will have for years, and you will enjoy</v>
      </c>
      <c r="F136" s="13">
        <f>IFERROR(__xludf.DUMMYFUNCTION("""COMPUTED_VALUE"""),5.0)</f>
        <v>5</v>
      </c>
      <c r="G136" s="13">
        <f>IFERROR(__xludf.DUMMYFUNCTION("""COMPUTED_VALUE"""),1.0)</f>
        <v>1</v>
      </c>
      <c r="H136" s="13">
        <f>IFERROR(__xludf.DUMMYFUNCTION("""COMPUTED_VALUE"""),12.0)</f>
        <v>12</v>
      </c>
      <c r="I136" s="13" t="str">
        <f>IFERROR(__xludf.DUMMYFUNCTION("""COMPUTED_VALUE"""),"General Petite")</f>
        <v>General Petite</v>
      </c>
      <c r="J136" s="13" t="str">
        <f>IFERROR(__xludf.DUMMYFUNCTION("""COMPUTED_VALUE"""),"Tops")</f>
        <v>Tops</v>
      </c>
      <c r="K136" s="13" t="str">
        <f>IFERROR(__xludf.DUMMYFUNCTION("""COMPUTED_VALUE"""),"Blouses")</f>
        <v>Blouses</v>
      </c>
      <c r="L136" s="13"/>
    </row>
    <row r="137">
      <c r="A137" s="13">
        <f>IFERROR(__xludf.DUMMYFUNCTION("""COMPUTED_VALUE"""),135.0)</f>
        <v>135</v>
      </c>
      <c r="B137" s="13">
        <f>IFERROR(__xludf.DUMMYFUNCTION("""COMPUTED_VALUE"""),861.0)</f>
        <v>861</v>
      </c>
      <c r="C137" s="13">
        <f>IFERROR(__xludf.DUMMYFUNCTION("""COMPUTED_VALUE"""),35.0)</f>
        <v>35</v>
      </c>
      <c r="D137" s="12"/>
      <c r="E137" s="12"/>
      <c r="F137" s="13">
        <f>IFERROR(__xludf.DUMMYFUNCTION("""COMPUTED_VALUE"""),4.0)</f>
        <v>4</v>
      </c>
      <c r="G137" s="13">
        <f>IFERROR(__xludf.DUMMYFUNCTION("""COMPUTED_VALUE"""),1.0)</f>
        <v>1</v>
      </c>
      <c r="H137" s="13">
        <f>IFERROR(__xludf.DUMMYFUNCTION("""COMPUTED_VALUE"""),0.0)</f>
        <v>0</v>
      </c>
      <c r="I137" s="13" t="str">
        <f>IFERROR(__xludf.DUMMYFUNCTION("""COMPUTED_VALUE"""),"General Petite")</f>
        <v>General Petite</v>
      </c>
      <c r="J137" s="13" t="str">
        <f>IFERROR(__xludf.DUMMYFUNCTION("""COMPUTED_VALUE"""),"Tops")</f>
        <v>Tops</v>
      </c>
      <c r="K137" s="13" t="str">
        <f>IFERROR(__xludf.DUMMYFUNCTION("""COMPUTED_VALUE"""),"Knits")</f>
        <v>Knits</v>
      </c>
      <c r="L137" s="13"/>
    </row>
    <row r="138">
      <c r="A138" s="13">
        <f>IFERROR(__xludf.DUMMYFUNCTION("""COMPUTED_VALUE"""),136.0)</f>
        <v>136</v>
      </c>
      <c r="B138" s="13">
        <f>IFERROR(__xludf.DUMMYFUNCTION("""COMPUTED_VALUE"""),966.0)</f>
        <v>966</v>
      </c>
      <c r="C138" s="13">
        <f>IFERROR(__xludf.DUMMYFUNCTION("""COMPUTED_VALUE"""),31.0)</f>
        <v>31</v>
      </c>
      <c r="D138" s="12" t="str">
        <f>IFERROR(__xludf.DUMMYFUNCTION("""COMPUTED_VALUE"""),"A new staple for my wardrobe")</f>
        <v>A new staple for my wardrobe</v>
      </c>
      <c r="E138" s="12" t="str">
        <f>IFERROR(__xludf.DUMMYFUNCTION("""COMPUTED_VALUE"""),"Love this vest! the color looks a little more brown in the picture than it really is--it's a deep forest green that goes great with jeans or black pants. a great piece for polished but casual style, and the fabric has a nice, soft suede-like finish.
if o"&amp;"nly the was *slightly* higher to hit my true natural waist, it would get that fifth star (but sometimes i wear petite sizes, so that might be the issue here--still looks good tied).")</f>
        <v>Love this vest! the color looks a little more brown in the picture than it really is--it's a deep forest green that goes great with jeans or black pants. a great piece for polished but casual style, and the fabric has a nice, soft suede-like finish.
if only the was *slightly* higher to hit my true natural waist, it would get that fifth star (but sometimes i wear petite sizes, so that might be the issue here--still looks good tied).</v>
      </c>
      <c r="F138" s="13">
        <f>IFERROR(__xludf.DUMMYFUNCTION("""COMPUTED_VALUE"""),4.0)</f>
        <v>4</v>
      </c>
      <c r="G138" s="13">
        <f>IFERROR(__xludf.DUMMYFUNCTION("""COMPUTED_VALUE"""),1.0)</f>
        <v>1</v>
      </c>
      <c r="H138" s="13">
        <f>IFERROR(__xludf.DUMMYFUNCTION("""COMPUTED_VALUE"""),0.0)</f>
        <v>0</v>
      </c>
      <c r="I138" s="13" t="str">
        <f>IFERROR(__xludf.DUMMYFUNCTION("""COMPUTED_VALUE"""),"General")</f>
        <v>General</v>
      </c>
      <c r="J138" s="13" t="str">
        <f>IFERROR(__xludf.DUMMYFUNCTION("""COMPUTED_VALUE"""),"Jackets")</f>
        <v>Jackets</v>
      </c>
      <c r="K138" s="13" t="str">
        <f>IFERROR(__xludf.DUMMYFUNCTION("""COMPUTED_VALUE"""),"Jackets")</f>
        <v>Jackets</v>
      </c>
      <c r="L138" s="13"/>
    </row>
    <row r="139">
      <c r="A139" s="13">
        <f>IFERROR(__xludf.DUMMYFUNCTION("""COMPUTED_VALUE"""),137.0)</f>
        <v>137</v>
      </c>
      <c r="B139" s="13">
        <f>IFERROR(__xludf.DUMMYFUNCTION("""COMPUTED_VALUE"""),836.0)</f>
        <v>836</v>
      </c>
      <c r="C139" s="13">
        <f>IFERROR(__xludf.DUMMYFUNCTION("""COMPUTED_VALUE"""),52.0)</f>
        <v>52</v>
      </c>
      <c r="D139" s="12" t="str">
        <f>IFERROR(__xludf.DUMMYFUNCTION("""COMPUTED_VALUE"""),"Runs short")</f>
        <v>Runs short</v>
      </c>
      <c r="E139" s="12" t="str">
        <f>IFERROR(__xludf.DUMMYFUNCTION("""COMPUTED_VALUE"""),"I received the sky color in m online.  am definetly keeping it as it is beautiful.  however i wish they had made it a little less wide and more long.  i am 5 3 and could totally size down to a s but even at my height it would be too short.  i like crop to"&amp;"ps and waist hitting tops a lot.  but the shortness on this one just looks like it shrunk in the dryer")</f>
        <v>I received the sky color in m online.  am definetly keeping it as it is beautiful.  however i wish they had made it a little less wide and more long.  i am 5 3 and could totally size down to a s but even at my height it would be too short.  i like crop tops and waist hitting tops a lot.  but the shortness on this one just looks like it shrunk in the dryer</v>
      </c>
      <c r="F139" s="13">
        <f>IFERROR(__xludf.DUMMYFUNCTION("""COMPUTED_VALUE"""),4.0)</f>
        <v>4</v>
      </c>
      <c r="G139" s="13">
        <f>IFERROR(__xludf.DUMMYFUNCTION("""COMPUTED_VALUE"""),1.0)</f>
        <v>1</v>
      </c>
      <c r="H139" s="13">
        <f>IFERROR(__xludf.DUMMYFUNCTION("""COMPUTED_VALUE"""),0.0)</f>
        <v>0</v>
      </c>
      <c r="I139" s="13" t="str">
        <f>IFERROR(__xludf.DUMMYFUNCTION("""COMPUTED_VALUE"""),"General")</f>
        <v>General</v>
      </c>
      <c r="J139" s="13" t="str">
        <f>IFERROR(__xludf.DUMMYFUNCTION("""COMPUTED_VALUE"""),"Tops")</f>
        <v>Tops</v>
      </c>
      <c r="K139" s="13" t="str">
        <f>IFERROR(__xludf.DUMMYFUNCTION("""COMPUTED_VALUE"""),"Blouses")</f>
        <v>Blouses</v>
      </c>
      <c r="L139" s="13"/>
    </row>
    <row r="140">
      <c r="A140" s="13">
        <f>IFERROR(__xludf.DUMMYFUNCTION("""COMPUTED_VALUE"""),138.0)</f>
        <v>138</v>
      </c>
      <c r="B140" s="13">
        <f>IFERROR(__xludf.DUMMYFUNCTION("""COMPUTED_VALUE"""),126.0)</f>
        <v>126</v>
      </c>
      <c r="C140" s="13">
        <f>IFERROR(__xludf.DUMMYFUNCTION("""COMPUTED_VALUE"""),34.0)</f>
        <v>34</v>
      </c>
      <c r="D140" s="12" t="str">
        <f>IFERROR(__xludf.DUMMYFUNCTION("""COMPUTED_VALUE"""),"Feminine alternative to your shapeless puffer")</f>
        <v>Feminine alternative to your shapeless puffer</v>
      </c>
      <c r="E140" s="12" t="str">
        <f>IFERROR(__xludf.DUMMYFUNCTION("""COMPUTED_VALUE"""),"I am obsessed with peplum down coats because the ones you usually see have no shape and are extremely unflattering. i was excited for this to arrive. this is quite nice and it looks more feminine than the other down coats out there. the coat itself runs j"&amp;"ust true to my shirt size but not what i want for a coat. i will be returning this for a size up because i will want to wear a sweater or at least maybe a thicker shirt under this especially for winter or fall. the fabric is decent and the weigh")</f>
        <v>I am obsessed with peplum down coats because the ones you usually see have no shape and are extremely unflattering. i was excited for this to arrive. this is quite nice and it looks more feminine than the other down coats out there. the coat itself runs just true to my shirt size but not what i want for a coat. i will be returning this for a size up because i will want to wear a sweater or at least maybe a thicker shirt under this especially for winter or fall. the fabric is decent and the weigh</v>
      </c>
      <c r="F140" s="13">
        <f>IFERROR(__xludf.DUMMYFUNCTION("""COMPUTED_VALUE"""),4.0)</f>
        <v>4</v>
      </c>
      <c r="G140" s="13">
        <f>IFERROR(__xludf.DUMMYFUNCTION("""COMPUTED_VALUE"""),1.0)</f>
        <v>1</v>
      </c>
      <c r="H140" s="13">
        <f>IFERROR(__xludf.DUMMYFUNCTION("""COMPUTED_VALUE"""),1.0)</f>
        <v>1</v>
      </c>
      <c r="I140" s="13" t="str">
        <f>IFERROR(__xludf.DUMMYFUNCTION("""COMPUTED_VALUE"""),"Initmates")</f>
        <v>Initmates</v>
      </c>
      <c r="J140" s="13" t="str">
        <f>IFERROR(__xludf.DUMMYFUNCTION("""COMPUTED_VALUE"""),"Intimate")</f>
        <v>Intimate</v>
      </c>
      <c r="K140" s="13" t="str">
        <f>IFERROR(__xludf.DUMMYFUNCTION("""COMPUTED_VALUE"""),"Lounge")</f>
        <v>Lounge</v>
      </c>
      <c r="L140" s="13"/>
    </row>
    <row r="141">
      <c r="A141" s="13">
        <f>IFERROR(__xludf.DUMMYFUNCTION("""COMPUTED_VALUE"""),139.0)</f>
        <v>139</v>
      </c>
      <c r="B141" s="13">
        <f>IFERROR(__xludf.DUMMYFUNCTION("""COMPUTED_VALUE"""),1008.0)</f>
        <v>1008</v>
      </c>
      <c r="C141" s="13">
        <f>IFERROR(__xludf.DUMMYFUNCTION("""COMPUTED_VALUE"""),31.0)</f>
        <v>31</v>
      </c>
      <c r="D141" s="12" t="str">
        <f>IFERROR(__xludf.DUMMYFUNCTION("""COMPUTED_VALUE"""),"Love. love. love this skirt!!")</f>
        <v>Love. love. love this skirt!!</v>
      </c>
      <c r="E141" s="12" t="str">
        <f>IFERROR(__xludf.DUMMYFUNCTION("""COMPUTED_VALUE"""),"The silhouette and length of this skirt and length are flattering, classic and comfortable! the colors and weight of this skirt make it versatile - could be worn year-round (so long as it's not 100 degrees out - there is a bit of weight to it). it's one o"&amp;"f my favorite pieces in my closet. can be styled 20 different ways. pair with a higher-end tee, tank, denim jacket or body-hugging sweater. i sized down.")</f>
        <v>The silhouette and length of this skirt and length are flattering, classic and comfortable! the colors and weight of this skirt make it versatile - could be worn year-round (so long as it's not 100 degrees out - there is a bit of weight to it). it's one of my favorite pieces in my closet. can be styled 20 different ways. pair with a higher-end tee, tank, denim jacket or body-hugging sweater. i sized down.</v>
      </c>
      <c r="F141" s="13">
        <f>IFERROR(__xludf.DUMMYFUNCTION("""COMPUTED_VALUE"""),5.0)</f>
        <v>5</v>
      </c>
      <c r="G141" s="13">
        <f>IFERROR(__xludf.DUMMYFUNCTION("""COMPUTED_VALUE"""),1.0)</f>
        <v>1</v>
      </c>
      <c r="H141" s="13">
        <f>IFERROR(__xludf.DUMMYFUNCTION("""COMPUTED_VALUE"""),1.0)</f>
        <v>1</v>
      </c>
      <c r="I141" s="13" t="str">
        <f>IFERROR(__xludf.DUMMYFUNCTION("""COMPUTED_VALUE"""),"General")</f>
        <v>General</v>
      </c>
      <c r="J141" s="13" t="str">
        <f>IFERROR(__xludf.DUMMYFUNCTION("""COMPUTED_VALUE"""),"Bottoms")</f>
        <v>Bottoms</v>
      </c>
      <c r="K141" s="13" t="str">
        <f>IFERROR(__xludf.DUMMYFUNCTION("""COMPUTED_VALUE"""),"Skirts")</f>
        <v>Skirts</v>
      </c>
      <c r="L141" s="13"/>
    </row>
    <row r="142">
      <c r="A142" s="13">
        <f>IFERROR(__xludf.DUMMYFUNCTION("""COMPUTED_VALUE"""),140.0)</f>
        <v>140</v>
      </c>
      <c r="B142" s="13">
        <f>IFERROR(__xludf.DUMMYFUNCTION("""COMPUTED_VALUE"""),829.0)</f>
        <v>829</v>
      </c>
      <c r="C142" s="13">
        <f>IFERROR(__xludf.DUMMYFUNCTION("""COMPUTED_VALUE"""),36.0)</f>
        <v>36</v>
      </c>
      <c r="D142" s="12" t="str">
        <f>IFERROR(__xludf.DUMMYFUNCTION("""COMPUTED_VALUE"""),"Pretry top")</f>
        <v>Pretry top</v>
      </c>
      <c r="E142" s="12" t="str">
        <f>IFERROR(__xludf.DUMMYFUNCTION("""COMPUTED_VALUE"""),"Perfect for work or going out. i layered this with the reversible tank in medium pink so it would be work appropriate. it did not feel scratchy to me, maybe because i layered it. great buy especially with the discounts. feel like i lucked out.")</f>
        <v>Perfect for work or going out. i layered this with the reversible tank in medium pink so it would be work appropriate. it did not feel scratchy to me, maybe because i layered it. great buy especially with the discounts. feel like i lucked out.</v>
      </c>
      <c r="F142" s="13">
        <f>IFERROR(__xludf.DUMMYFUNCTION("""COMPUTED_VALUE"""),5.0)</f>
        <v>5</v>
      </c>
      <c r="G142" s="13">
        <f>IFERROR(__xludf.DUMMYFUNCTION("""COMPUTED_VALUE"""),1.0)</f>
        <v>1</v>
      </c>
      <c r="H142" s="13">
        <f>IFERROR(__xludf.DUMMYFUNCTION("""COMPUTED_VALUE"""),0.0)</f>
        <v>0</v>
      </c>
      <c r="I142" s="13" t="str">
        <f>IFERROR(__xludf.DUMMYFUNCTION("""COMPUTED_VALUE"""),"General")</f>
        <v>General</v>
      </c>
      <c r="J142" s="13" t="str">
        <f>IFERROR(__xludf.DUMMYFUNCTION("""COMPUTED_VALUE"""),"Tops")</f>
        <v>Tops</v>
      </c>
      <c r="K142" s="13" t="str">
        <f>IFERROR(__xludf.DUMMYFUNCTION("""COMPUTED_VALUE"""),"Blouses")</f>
        <v>Blouses</v>
      </c>
      <c r="L142" s="13"/>
    </row>
    <row r="143">
      <c r="A143" s="13">
        <f>IFERROR(__xludf.DUMMYFUNCTION("""COMPUTED_VALUE"""),141.0)</f>
        <v>141</v>
      </c>
      <c r="B143" s="13">
        <f>IFERROR(__xludf.DUMMYFUNCTION("""COMPUTED_VALUE"""),828.0)</f>
        <v>828</v>
      </c>
      <c r="C143" s="13">
        <f>IFERROR(__xludf.DUMMYFUNCTION("""COMPUTED_VALUE"""),39.0)</f>
        <v>39</v>
      </c>
      <c r="D143" s="12"/>
      <c r="E143" s="12" t="str">
        <f>IFERROR(__xludf.DUMMYFUNCTION("""COMPUTED_VALUE"""),"It's a pretty top, but it runs very short. the back is also pretty see through so i'm not sure i will keep it. it's called off the shoulder but it is so tight when you try and actually wear it off the shoulder. great design, just not sure i will keep it d"&amp;"ue to length")</f>
        <v>It's a pretty top, but it runs very short. the back is also pretty see through so i'm not sure i will keep it. it's called off the shoulder but it is so tight when you try and actually wear it off the shoulder. great design, just not sure i will keep it due to length</v>
      </c>
      <c r="F143" s="13">
        <f>IFERROR(__xludf.DUMMYFUNCTION("""COMPUTED_VALUE"""),4.0)</f>
        <v>4</v>
      </c>
      <c r="G143" s="13">
        <f>IFERROR(__xludf.DUMMYFUNCTION("""COMPUTED_VALUE"""),1.0)</f>
        <v>1</v>
      </c>
      <c r="H143" s="13">
        <f>IFERROR(__xludf.DUMMYFUNCTION("""COMPUTED_VALUE"""),2.0)</f>
        <v>2</v>
      </c>
      <c r="I143" s="13" t="str">
        <f>IFERROR(__xludf.DUMMYFUNCTION("""COMPUTED_VALUE"""),"General")</f>
        <v>General</v>
      </c>
      <c r="J143" s="13" t="str">
        <f>IFERROR(__xludf.DUMMYFUNCTION("""COMPUTED_VALUE"""),"Tops")</f>
        <v>Tops</v>
      </c>
      <c r="K143" s="13" t="str">
        <f>IFERROR(__xludf.DUMMYFUNCTION("""COMPUTED_VALUE"""),"Blouses")</f>
        <v>Blouses</v>
      </c>
      <c r="L143" s="13"/>
    </row>
    <row r="144">
      <c r="A144" s="13">
        <f>IFERROR(__xludf.DUMMYFUNCTION("""COMPUTED_VALUE"""),142.0)</f>
        <v>142</v>
      </c>
      <c r="B144" s="13">
        <f>IFERROR(__xludf.DUMMYFUNCTION("""COMPUTED_VALUE"""),1126.0)</f>
        <v>1126</v>
      </c>
      <c r="C144" s="13">
        <f>IFERROR(__xludf.DUMMYFUNCTION("""COMPUTED_VALUE"""),35.0)</f>
        <v>35</v>
      </c>
      <c r="D144" s="12"/>
      <c r="E144" s="12"/>
      <c r="F144" s="13">
        <f>IFERROR(__xludf.DUMMYFUNCTION("""COMPUTED_VALUE"""),5.0)</f>
        <v>5</v>
      </c>
      <c r="G144" s="13">
        <f>IFERROR(__xludf.DUMMYFUNCTION("""COMPUTED_VALUE"""),1.0)</f>
        <v>1</v>
      </c>
      <c r="H144" s="13">
        <f>IFERROR(__xludf.DUMMYFUNCTION("""COMPUTED_VALUE"""),0.0)</f>
        <v>0</v>
      </c>
      <c r="I144" s="13" t="str">
        <f>IFERROR(__xludf.DUMMYFUNCTION("""COMPUTED_VALUE"""),"General")</f>
        <v>General</v>
      </c>
      <c r="J144" s="13" t="str">
        <f>IFERROR(__xludf.DUMMYFUNCTION("""COMPUTED_VALUE"""),"Jackets")</f>
        <v>Jackets</v>
      </c>
      <c r="K144" s="13" t="str">
        <f>IFERROR(__xludf.DUMMYFUNCTION("""COMPUTED_VALUE"""),"Outerwear")</f>
        <v>Outerwear</v>
      </c>
      <c r="L144" s="13"/>
    </row>
    <row r="145">
      <c r="A145" s="13">
        <f>IFERROR(__xludf.DUMMYFUNCTION("""COMPUTED_VALUE"""),143.0)</f>
        <v>143</v>
      </c>
      <c r="B145" s="13">
        <f>IFERROR(__xludf.DUMMYFUNCTION("""COMPUTED_VALUE"""),1008.0)</f>
        <v>1008</v>
      </c>
      <c r="C145" s="13">
        <f>IFERROR(__xludf.DUMMYFUNCTION("""COMPUTED_VALUE"""),51.0)</f>
        <v>51</v>
      </c>
      <c r="D145" s="12" t="str">
        <f>IFERROR(__xludf.DUMMYFUNCTION("""COMPUTED_VALUE"""),"Great classic")</f>
        <v>Great classic</v>
      </c>
      <c r="E145" s="12" t="str">
        <f>IFERROR(__xludf.DUMMYFUNCTION("""COMPUTED_VALUE"""),"Ii'm not usually big on lace but this is so unique and versatile that i went for it. looks good dressed up w/a nice top or casual w/a tee. can be worn practically all year. love it!")</f>
        <v>Ii'm not usually big on lace but this is so unique and versatile that i went for it. looks good dressed up w/a nice top or casual w/a tee. can be worn practically all year. love it!</v>
      </c>
      <c r="F145" s="13">
        <f>IFERROR(__xludf.DUMMYFUNCTION("""COMPUTED_VALUE"""),5.0)</f>
        <v>5</v>
      </c>
      <c r="G145" s="13">
        <f>IFERROR(__xludf.DUMMYFUNCTION("""COMPUTED_VALUE"""),1.0)</f>
        <v>1</v>
      </c>
      <c r="H145" s="13">
        <f>IFERROR(__xludf.DUMMYFUNCTION("""COMPUTED_VALUE"""),0.0)</f>
        <v>0</v>
      </c>
      <c r="I145" s="13" t="str">
        <f>IFERROR(__xludf.DUMMYFUNCTION("""COMPUTED_VALUE"""),"General")</f>
        <v>General</v>
      </c>
      <c r="J145" s="13" t="str">
        <f>IFERROR(__xludf.DUMMYFUNCTION("""COMPUTED_VALUE"""),"Bottoms")</f>
        <v>Bottoms</v>
      </c>
      <c r="K145" s="13" t="str">
        <f>IFERROR(__xludf.DUMMYFUNCTION("""COMPUTED_VALUE"""),"Skirts")</f>
        <v>Skirts</v>
      </c>
      <c r="L145" s="13"/>
    </row>
    <row r="146">
      <c r="A146" s="13">
        <f>IFERROR(__xludf.DUMMYFUNCTION("""COMPUTED_VALUE"""),144.0)</f>
        <v>144</v>
      </c>
      <c r="B146" s="13">
        <f>IFERROR(__xludf.DUMMYFUNCTION("""COMPUTED_VALUE"""),829.0)</f>
        <v>829</v>
      </c>
      <c r="C146" s="13">
        <f>IFERROR(__xludf.DUMMYFUNCTION("""COMPUTED_VALUE"""),39.0)</f>
        <v>39</v>
      </c>
      <c r="D146" s="12" t="str">
        <f>IFERROR(__xludf.DUMMYFUNCTION("""COMPUTED_VALUE"""),"Beautiful, but scratchy")</f>
        <v>Beautiful, but scratchy</v>
      </c>
      <c r="E146" s="12" t="str">
        <f>IFERROR(__xludf.DUMMYFUNCTION("""COMPUTED_VALUE"""),"My firned tried this on and her first comment was ""take it off, it is scratchy"", so i didn't bother trying it on. it is, however, beautiful, if you are not sensitive to scratchy material.
fit was true to size.")</f>
        <v>My firned tried this on and her first comment was "take it off, it is scratchy", so i didn't bother trying it on. it is, however, beautiful, if you are not sensitive to scratchy material.
fit was true to size.</v>
      </c>
      <c r="F146" s="13">
        <f>IFERROR(__xludf.DUMMYFUNCTION("""COMPUTED_VALUE"""),3.0)</f>
        <v>3</v>
      </c>
      <c r="G146" s="13">
        <f>IFERROR(__xludf.DUMMYFUNCTION("""COMPUTED_VALUE"""),0.0)</f>
        <v>0</v>
      </c>
      <c r="H146" s="13">
        <f>IFERROR(__xludf.DUMMYFUNCTION("""COMPUTED_VALUE"""),9.0)</f>
        <v>9</v>
      </c>
      <c r="I146" s="13" t="str">
        <f>IFERROR(__xludf.DUMMYFUNCTION("""COMPUTED_VALUE"""),"General")</f>
        <v>General</v>
      </c>
      <c r="J146" s="13" t="str">
        <f>IFERROR(__xludf.DUMMYFUNCTION("""COMPUTED_VALUE"""),"Tops")</f>
        <v>Tops</v>
      </c>
      <c r="K146" s="13" t="str">
        <f>IFERROR(__xludf.DUMMYFUNCTION("""COMPUTED_VALUE"""),"Blouses")</f>
        <v>Blouses</v>
      </c>
      <c r="L146" s="13"/>
    </row>
    <row r="147">
      <c r="A147" s="13">
        <f>IFERROR(__xludf.DUMMYFUNCTION("""COMPUTED_VALUE"""),145.0)</f>
        <v>145</v>
      </c>
      <c r="B147" s="13">
        <f>IFERROR(__xludf.DUMMYFUNCTION("""COMPUTED_VALUE"""),828.0)</f>
        <v>828</v>
      </c>
      <c r="C147" s="13">
        <f>IFERROR(__xludf.DUMMYFUNCTION("""COMPUTED_VALUE"""),39.0)</f>
        <v>39</v>
      </c>
      <c r="D147" s="12" t="str">
        <f>IFERROR(__xludf.DUMMYFUNCTION("""COMPUTED_VALUE"""),"On the fence")</f>
        <v>On the fence</v>
      </c>
      <c r="E147" s="12" t="str">
        <f>IFERROR(__xludf.DUMMYFUNCTION("""COMPUTED_VALUE"""),"The stylist had me try this top on off the shoulders, but that was kind of snug, perhaps why it didn't fit right, it is not off the shoulders on this picture. the cut is loose, so it looked big on me, but going smaller would not have worked the way i had "&amp;"it on... may give it another try on. xs was big, so would need to try the xxs next time. but off the shoulders looked nice on the lady who was smaller built next to me!
colors are nice, light, but appropriate for fall (or summer!) light fabri")</f>
        <v>The stylist had me try this top on off the shoulders, but that was kind of snug, perhaps why it didn't fit right, it is not off the shoulders on this picture. the cut is loose, so it looked big on me, but going smaller would not have worked the way i had it on... may give it another try on. xs was big, so would need to try the xxs next time. but off the shoulders looked nice on the lady who was smaller built next to me!
colors are nice, light, but appropriate for fall (or summer!) light fabri</v>
      </c>
      <c r="F147" s="13">
        <f>IFERROR(__xludf.DUMMYFUNCTION("""COMPUTED_VALUE"""),3.0)</f>
        <v>3</v>
      </c>
      <c r="G147" s="13">
        <f>IFERROR(__xludf.DUMMYFUNCTION("""COMPUTED_VALUE"""),1.0)</f>
        <v>1</v>
      </c>
      <c r="H147" s="13">
        <f>IFERROR(__xludf.DUMMYFUNCTION("""COMPUTED_VALUE"""),2.0)</f>
        <v>2</v>
      </c>
      <c r="I147" s="13" t="str">
        <f>IFERROR(__xludf.DUMMYFUNCTION("""COMPUTED_VALUE"""),"General")</f>
        <v>General</v>
      </c>
      <c r="J147" s="13" t="str">
        <f>IFERROR(__xludf.DUMMYFUNCTION("""COMPUTED_VALUE"""),"Tops")</f>
        <v>Tops</v>
      </c>
      <c r="K147" s="13" t="str">
        <f>IFERROR(__xludf.DUMMYFUNCTION("""COMPUTED_VALUE"""),"Blouses")</f>
        <v>Blouses</v>
      </c>
      <c r="L147" s="13"/>
    </row>
    <row r="148">
      <c r="A148" s="13">
        <f>IFERROR(__xludf.DUMMYFUNCTION("""COMPUTED_VALUE"""),146.0)</f>
        <v>146</v>
      </c>
      <c r="B148" s="13">
        <f>IFERROR(__xludf.DUMMYFUNCTION("""COMPUTED_VALUE"""),1008.0)</f>
        <v>1008</v>
      </c>
      <c r="C148" s="13">
        <f>IFERROR(__xludf.DUMMYFUNCTION("""COMPUTED_VALUE"""),39.0)</f>
        <v>39</v>
      </c>
      <c r="D148" s="12" t="str">
        <f>IFERROR(__xludf.DUMMYFUNCTION("""COMPUTED_VALUE"""),"So pretty, a bit long and bigger than what i read")</f>
        <v>So pretty, a bit long and bigger than what i read</v>
      </c>
      <c r="E148" s="12" t="str">
        <f>IFERROR(__xludf.DUMMYFUNCTION("""COMPUTED_VALUE"""),"Some reviewers found this skirt to be on the smaller side, but for me, it was big,,, too bad the smaller size is sold out (well, all peittes are sold out). the length is also pretty long, below the knee, but in the narrow part still...so able to keep it. "&amp;"the colors are great. i brought it in the store to try on in front fo the stylists, adn they all loved it and told me to keep it... winner for sure!")</f>
        <v>Some reviewers found this skirt to be on the smaller side, but for me, it was big,,, too bad the smaller size is sold out (well, all peittes are sold out). the length is also pretty long, below the knee, but in the narrow part still...so able to keep it. the colors are great. i brought it in the store to try on in front fo the stylists, adn they all loved it and told me to keep it... winner for sure!</v>
      </c>
      <c r="F148" s="13">
        <f>IFERROR(__xludf.DUMMYFUNCTION("""COMPUTED_VALUE"""),5.0)</f>
        <v>5</v>
      </c>
      <c r="G148" s="13">
        <f>IFERROR(__xludf.DUMMYFUNCTION("""COMPUTED_VALUE"""),1.0)</f>
        <v>1</v>
      </c>
      <c r="H148" s="13">
        <f>IFERROR(__xludf.DUMMYFUNCTION("""COMPUTED_VALUE"""),0.0)</f>
        <v>0</v>
      </c>
      <c r="I148" s="13" t="str">
        <f>IFERROR(__xludf.DUMMYFUNCTION("""COMPUTED_VALUE"""),"General")</f>
        <v>General</v>
      </c>
      <c r="J148" s="13" t="str">
        <f>IFERROR(__xludf.DUMMYFUNCTION("""COMPUTED_VALUE"""),"Bottoms")</f>
        <v>Bottoms</v>
      </c>
      <c r="K148" s="13" t="str">
        <f>IFERROR(__xludf.DUMMYFUNCTION("""COMPUTED_VALUE"""),"Skirts")</f>
        <v>Skirts</v>
      </c>
      <c r="L148" s="13"/>
    </row>
    <row r="149">
      <c r="A149" s="13">
        <f>IFERROR(__xludf.DUMMYFUNCTION("""COMPUTED_VALUE"""),147.0)</f>
        <v>147</v>
      </c>
      <c r="B149" s="13">
        <f>IFERROR(__xludf.DUMMYFUNCTION("""COMPUTED_VALUE"""),1011.0)</f>
        <v>1011</v>
      </c>
      <c r="C149" s="13">
        <f>IFERROR(__xludf.DUMMYFUNCTION("""COMPUTED_VALUE"""),47.0)</f>
        <v>47</v>
      </c>
      <c r="D149" s="12" t="str">
        <f>IFERROR(__xludf.DUMMYFUNCTION("""COMPUTED_VALUE"""),"Cute skirt!")</f>
        <v>Cute skirt!</v>
      </c>
      <c r="E149" s="12" t="str">
        <f>IFERROR(__xludf.DUMMYFUNCTION("""COMPUTED_VALUE"""),"I purchased this skirt at retailer store in texas. i fell in love since i saw it. the fabric is nice and the colors are pretty and cheerful for this spring/summer !! and it has pockets on the sides! don't we love pockets? very practical and lightweight")</f>
        <v>I purchased this skirt at retailer store in texas. i fell in love since i saw it. the fabric is nice and the colors are pretty and cheerful for this spring/summer !! and it has pockets on the sides! don't we love pockets? very practical and lightweight</v>
      </c>
      <c r="F149" s="13">
        <f>IFERROR(__xludf.DUMMYFUNCTION("""COMPUTED_VALUE"""),5.0)</f>
        <v>5</v>
      </c>
      <c r="G149" s="13">
        <f>IFERROR(__xludf.DUMMYFUNCTION("""COMPUTED_VALUE"""),1.0)</f>
        <v>1</v>
      </c>
      <c r="H149" s="13">
        <f>IFERROR(__xludf.DUMMYFUNCTION("""COMPUTED_VALUE"""),1.0)</f>
        <v>1</v>
      </c>
      <c r="I149" s="13" t="str">
        <f>IFERROR(__xludf.DUMMYFUNCTION("""COMPUTED_VALUE"""),"General")</f>
        <v>General</v>
      </c>
      <c r="J149" s="13" t="str">
        <f>IFERROR(__xludf.DUMMYFUNCTION("""COMPUTED_VALUE"""),"Bottoms")</f>
        <v>Bottoms</v>
      </c>
      <c r="K149" s="13" t="str">
        <f>IFERROR(__xludf.DUMMYFUNCTION("""COMPUTED_VALUE"""),"Skirts")</f>
        <v>Skirts</v>
      </c>
      <c r="L149" s="13"/>
    </row>
    <row r="150">
      <c r="A150" s="13">
        <f>IFERROR(__xludf.DUMMYFUNCTION("""COMPUTED_VALUE"""),148.0)</f>
        <v>148</v>
      </c>
      <c r="B150" s="13">
        <f>IFERROR(__xludf.DUMMYFUNCTION("""COMPUTED_VALUE"""),1008.0)</f>
        <v>1008</v>
      </c>
      <c r="C150" s="13">
        <f>IFERROR(__xludf.DUMMYFUNCTION("""COMPUTED_VALUE"""),64.0)</f>
        <v>64</v>
      </c>
      <c r="D150" s="12" t="str">
        <f>IFERROR(__xludf.DUMMYFUNCTION("""COMPUTED_VALUE"""),"Very pretty")</f>
        <v>Very pretty</v>
      </c>
      <c r="E150" s="12" t="str">
        <f>IFERROR(__xludf.DUMMYFUNCTION("""COMPUTED_VALUE"""),"This is a very pretty skirt and the colors are better in real life. sizing was mostly true to size for me, slightly tight in the waist but i have a thicker waist compared to my hips. i'm 5'7 and 138# and ordered a size 4 (i usually size up to a 6 with ret"&amp;"ailer pencil skirts.) a 6 probably would have fit as well, especially in the waist but didn't want it too big in the hips. length was perfect, to my knees.")</f>
        <v>This is a very pretty skirt and the colors are better in real life. sizing was mostly true to size for me, slightly tight in the waist but i have a thicker waist compared to my hips. i'm 5'7 and 138# and ordered a size 4 (i usually size up to a 6 with retailer pencil skirts.) a 6 probably would have fit as well, especially in the waist but didn't want it too big in the hips. length was perfect, to my knees.</v>
      </c>
      <c r="F150" s="13">
        <f>IFERROR(__xludf.DUMMYFUNCTION("""COMPUTED_VALUE"""),5.0)</f>
        <v>5</v>
      </c>
      <c r="G150" s="13">
        <f>IFERROR(__xludf.DUMMYFUNCTION("""COMPUTED_VALUE"""),1.0)</f>
        <v>1</v>
      </c>
      <c r="H150" s="13">
        <f>IFERROR(__xludf.DUMMYFUNCTION("""COMPUTED_VALUE"""),0.0)</f>
        <v>0</v>
      </c>
      <c r="I150" s="13" t="str">
        <f>IFERROR(__xludf.DUMMYFUNCTION("""COMPUTED_VALUE"""),"General")</f>
        <v>General</v>
      </c>
      <c r="J150" s="13" t="str">
        <f>IFERROR(__xludf.DUMMYFUNCTION("""COMPUTED_VALUE"""),"Bottoms")</f>
        <v>Bottoms</v>
      </c>
      <c r="K150" s="13" t="str">
        <f>IFERROR(__xludf.DUMMYFUNCTION("""COMPUTED_VALUE"""),"Skirts")</f>
        <v>Skirts</v>
      </c>
      <c r="L150" s="13"/>
    </row>
    <row r="151">
      <c r="A151" s="13">
        <f>IFERROR(__xludf.DUMMYFUNCTION("""COMPUTED_VALUE"""),149.0)</f>
        <v>149</v>
      </c>
      <c r="B151" s="13">
        <f>IFERROR(__xludf.DUMMYFUNCTION("""COMPUTED_VALUE"""),1008.0)</f>
        <v>1008</v>
      </c>
      <c r="C151" s="13">
        <f>IFERROR(__xludf.DUMMYFUNCTION("""COMPUTED_VALUE"""),38.0)</f>
        <v>38</v>
      </c>
      <c r="D151" s="12" t="str">
        <f>IFERROR(__xludf.DUMMYFUNCTION("""COMPUTED_VALUE"""),"A beautiful skirt!")</f>
        <v>A beautiful skirt!</v>
      </c>
      <c r="E151" s="12" t="str">
        <f>IFERROR(__xludf.DUMMYFUNCTION("""COMPUTED_VALUE"""),"This skirt is wonderful! the price point seems a bit high for the average office gal, but the quality is impeccable. i really enjoy looking at myself in the mirror when wearing this skirt. it can be dressed up, dressed down, worn during all seasons. the d"&amp;"esign/pattern is artsy and whimsical without being too ""out-there"" (unless you want it to be, of course!). the fit is true to size, and the delicate details are just lovely.")</f>
        <v>This skirt is wonderful! the price point seems a bit high for the average office gal, but the quality is impeccable. i really enjoy looking at myself in the mirror when wearing this skirt. it can be dressed up, dressed down, worn during all seasons. the design/pattern is artsy and whimsical without being too "out-there" (unless you want it to be, of course!). the fit is true to size, and the delicate details are just lovely.</v>
      </c>
      <c r="F151" s="13">
        <f>IFERROR(__xludf.DUMMYFUNCTION("""COMPUTED_VALUE"""),5.0)</f>
        <v>5</v>
      </c>
      <c r="G151" s="13">
        <f>IFERROR(__xludf.DUMMYFUNCTION("""COMPUTED_VALUE"""),1.0)</f>
        <v>1</v>
      </c>
      <c r="H151" s="13">
        <f>IFERROR(__xludf.DUMMYFUNCTION("""COMPUTED_VALUE"""),2.0)</f>
        <v>2</v>
      </c>
      <c r="I151" s="13" t="str">
        <f>IFERROR(__xludf.DUMMYFUNCTION("""COMPUTED_VALUE"""),"General")</f>
        <v>General</v>
      </c>
      <c r="J151" s="13" t="str">
        <f>IFERROR(__xludf.DUMMYFUNCTION("""COMPUTED_VALUE"""),"Bottoms")</f>
        <v>Bottoms</v>
      </c>
      <c r="K151" s="13" t="str">
        <f>IFERROR(__xludf.DUMMYFUNCTION("""COMPUTED_VALUE"""),"Skirts")</f>
        <v>Skirts</v>
      </c>
      <c r="L151" s="13"/>
    </row>
    <row r="152">
      <c r="A152" s="13">
        <f>IFERROR(__xludf.DUMMYFUNCTION("""COMPUTED_VALUE"""),150.0)</f>
        <v>150</v>
      </c>
      <c r="B152" s="13">
        <f>IFERROR(__xludf.DUMMYFUNCTION("""COMPUTED_VALUE"""),1008.0)</f>
        <v>1008</v>
      </c>
      <c r="C152" s="13">
        <f>IFERROR(__xludf.DUMMYFUNCTION("""COMPUTED_VALUE"""),36.0)</f>
        <v>36</v>
      </c>
      <c r="D152" s="12" t="str">
        <f>IFERROR(__xludf.DUMMYFUNCTION("""COMPUTED_VALUE"""),"Gorgeous skirt!")</f>
        <v>Gorgeous skirt!</v>
      </c>
      <c r="E152" s="12" t="str">
        <f>IFERROR(__xludf.DUMMYFUNCTION("""COMPUTED_VALUE"""),"Like other reviewers noted, the pics don't do this skirt justice. it is truly beautiful with an intricate lace pattern and rich colors. can't wait to wear this to work!")</f>
        <v>Like other reviewers noted, the pics don't do this skirt justice. it is truly beautiful with an intricate lace pattern and rich colors. can't wait to wear this to work!</v>
      </c>
      <c r="F152" s="13">
        <f>IFERROR(__xludf.DUMMYFUNCTION("""COMPUTED_VALUE"""),5.0)</f>
        <v>5</v>
      </c>
      <c r="G152" s="13">
        <f>IFERROR(__xludf.DUMMYFUNCTION("""COMPUTED_VALUE"""),1.0)</f>
        <v>1</v>
      </c>
      <c r="H152" s="13">
        <f>IFERROR(__xludf.DUMMYFUNCTION("""COMPUTED_VALUE"""),1.0)</f>
        <v>1</v>
      </c>
      <c r="I152" s="13" t="str">
        <f>IFERROR(__xludf.DUMMYFUNCTION("""COMPUTED_VALUE"""),"General")</f>
        <v>General</v>
      </c>
      <c r="J152" s="13" t="str">
        <f>IFERROR(__xludf.DUMMYFUNCTION("""COMPUTED_VALUE"""),"Bottoms")</f>
        <v>Bottoms</v>
      </c>
      <c r="K152" s="13" t="str">
        <f>IFERROR(__xludf.DUMMYFUNCTION("""COMPUTED_VALUE"""),"Skirts")</f>
        <v>Skirts</v>
      </c>
      <c r="L152" s="13"/>
    </row>
    <row r="153">
      <c r="A153" s="13">
        <f>IFERROR(__xludf.DUMMYFUNCTION("""COMPUTED_VALUE"""),151.0)</f>
        <v>151</v>
      </c>
      <c r="B153" s="13">
        <f>IFERROR(__xludf.DUMMYFUNCTION("""COMPUTED_VALUE"""),1008.0)</f>
        <v>1008</v>
      </c>
      <c r="C153" s="13">
        <f>IFERROR(__xludf.DUMMYFUNCTION("""COMPUTED_VALUE"""),39.0)</f>
        <v>39</v>
      </c>
      <c r="D153" s="12" t="str">
        <f>IFERROR(__xludf.DUMMYFUNCTION("""COMPUTED_VALUE"""),"Beautiful")</f>
        <v>Beautiful</v>
      </c>
      <c r="E153" s="12" t="str">
        <f>IFERROR(__xludf.DUMMYFUNCTION("""COMPUTED_VALUE"""),"Love this skirt. the detail is amazing. runs small i ordered a 12 i'm usually a 10, but still a little snug.")</f>
        <v>Love this skirt. the detail is amazing. runs small i ordered a 12 i'm usually a 10, but still a little snug.</v>
      </c>
      <c r="F153" s="13">
        <f>IFERROR(__xludf.DUMMYFUNCTION("""COMPUTED_VALUE"""),4.0)</f>
        <v>4</v>
      </c>
      <c r="G153" s="13">
        <f>IFERROR(__xludf.DUMMYFUNCTION("""COMPUTED_VALUE"""),1.0)</f>
        <v>1</v>
      </c>
      <c r="H153" s="13">
        <f>IFERROR(__xludf.DUMMYFUNCTION("""COMPUTED_VALUE"""),0.0)</f>
        <v>0</v>
      </c>
      <c r="I153" s="13" t="str">
        <f>IFERROR(__xludf.DUMMYFUNCTION("""COMPUTED_VALUE"""),"General")</f>
        <v>General</v>
      </c>
      <c r="J153" s="13" t="str">
        <f>IFERROR(__xludf.DUMMYFUNCTION("""COMPUTED_VALUE"""),"Bottoms")</f>
        <v>Bottoms</v>
      </c>
      <c r="K153" s="13" t="str">
        <f>IFERROR(__xludf.DUMMYFUNCTION("""COMPUTED_VALUE"""),"Skirts")</f>
        <v>Skirts</v>
      </c>
      <c r="L153" s="13"/>
    </row>
    <row r="154">
      <c r="A154" s="13">
        <f>IFERROR(__xludf.DUMMYFUNCTION("""COMPUTED_VALUE"""),152.0)</f>
        <v>152</v>
      </c>
      <c r="B154" s="13">
        <f>IFERROR(__xludf.DUMMYFUNCTION("""COMPUTED_VALUE"""),829.0)</f>
        <v>829</v>
      </c>
      <c r="C154" s="13">
        <f>IFERROR(__xludf.DUMMYFUNCTION("""COMPUTED_VALUE"""),53.0)</f>
        <v>53</v>
      </c>
      <c r="D154" s="12" t="str">
        <f>IFERROR(__xludf.DUMMYFUNCTION("""COMPUTED_VALUE"""),"Not impressed...")</f>
        <v>Not impressed...</v>
      </c>
      <c r="E154" s="12" t="str">
        <f>IFERROR(__xludf.DUMMYFUNCTION("""COMPUTED_VALUE"""),"Not keeping this one. the fabric is a bit tacky-looking in person, the cut is odd and it's just not me. fit is fine and there are snaps to keep the neckline flat and shaped, the colors are as shown and it is a good length (falls to top of hip). i simply d"&amp;"id not like it. too metallic looking maybe...")</f>
        <v>Not keeping this one. the fabric is a bit tacky-looking in person, the cut is odd and it's just not me. fit is fine and there are snaps to keep the neckline flat and shaped, the colors are as shown and it is a good length (falls to top of hip). i simply did not like it. too metallic looking maybe...</v>
      </c>
      <c r="F154" s="13">
        <f>IFERROR(__xludf.DUMMYFUNCTION("""COMPUTED_VALUE"""),3.0)</f>
        <v>3</v>
      </c>
      <c r="G154" s="13">
        <f>IFERROR(__xludf.DUMMYFUNCTION("""COMPUTED_VALUE"""),0.0)</f>
        <v>0</v>
      </c>
      <c r="H154" s="13">
        <f>IFERROR(__xludf.DUMMYFUNCTION("""COMPUTED_VALUE"""),0.0)</f>
        <v>0</v>
      </c>
      <c r="I154" s="13" t="str">
        <f>IFERROR(__xludf.DUMMYFUNCTION("""COMPUTED_VALUE"""),"General")</f>
        <v>General</v>
      </c>
      <c r="J154" s="13" t="str">
        <f>IFERROR(__xludf.DUMMYFUNCTION("""COMPUTED_VALUE"""),"Tops")</f>
        <v>Tops</v>
      </c>
      <c r="K154" s="13" t="str">
        <f>IFERROR(__xludf.DUMMYFUNCTION("""COMPUTED_VALUE"""),"Blouses")</f>
        <v>Blouses</v>
      </c>
      <c r="L154" s="13"/>
    </row>
    <row r="155">
      <c r="A155" s="13">
        <f>IFERROR(__xludf.DUMMYFUNCTION("""COMPUTED_VALUE"""),153.0)</f>
        <v>153</v>
      </c>
      <c r="B155" s="13">
        <f>IFERROR(__xludf.DUMMYFUNCTION("""COMPUTED_VALUE"""),829.0)</f>
        <v>829</v>
      </c>
      <c r="C155" s="13">
        <f>IFERROR(__xludf.DUMMYFUNCTION("""COMPUTED_VALUE"""),36.0)</f>
        <v>36</v>
      </c>
      <c r="D155" s="12" t="str">
        <f>IFERROR(__xludf.DUMMYFUNCTION("""COMPUTED_VALUE"""),"Fair")</f>
        <v>Fair</v>
      </c>
      <c r="E155" s="12" t="str">
        <f>IFERROR(__xludf.DUMMYFUNCTION("""COMPUTED_VALUE"""),"The top as with most of ap's tops is well stitched. material is very uncomfortable. if you have large bust it is a little divulging. this may prompt you to wear something underneath to look modest and change the shape of the top!")</f>
        <v>The top as with most of ap's tops is well stitched. material is very uncomfortable. if you have large bust it is a little divulging. this may prompt you to wear something underneath to look modest and change the shape of the top!</v>
      </c>
      <c r="F155" s="13">
        <f>IFERROR(__xludf.DUMMYFUNCTION("""COMPUTED_VALUE"""),3.0)</f>
        <v>3</v>
      </c>
      <c r="G155" s="13">
        <f>IFERROR(__xludf.DUMMYFUNCTION("""COMPUTED_VALUE"""),1.0)</f>
        <v>1</v>
      </c>
      <c r="H155" s="13">
        <f>IFERROR(__xludf.DUMMYFUNCTION("""COMPUTED_VALUE"""),1.0)</f>
        <v>1</v>
      </c>
      <c r="I155" s="13" t="str">
        <f>IFERROR(__xludf.DUMMYFUNCTION("""COMPUTED_VALUE"""),"General")</f>
        <v>General</v>
      </c>
      <c r="J155" s="13" t="str">
        <f>IFERROR(__xludf.DUMMYFUNCTION("""COMPUTED_VALUE"""),"Tops")</f>
        <v>Tops</v>
      </c>
      <c r="K155" s="13" t="str">
        <f>IFERROR(__xludf.DUMMYFUNCTION("""COMPUTED_VALUE"""),"Blouses")</f>
        <v>Blouses</v>
      </c>
      <c r="L155" s="13"/>
    </row>
    <row r="156">
      <c r="A156" s="13">
        <f>IFERROR(__xludf.DUMMYFUNCTION("""COMPUTED_VALUE"""),154.0)</f>
        <v>154</v>
      </c>
      <c r="B156" s="13">
        <f>IFERROR(__xludf.DUMMYFUNCTION("""COMPUTED_VALUE"""),829.0)</f>
        <v>829</v>
      </c>
      <c r="C156" s="13">
        <f>IFERROR(__xludf.DUMMYFUNCTION("""COMPUTED_VALUE"""),44.0)</f>
        <v>44</v>
      </c>
      <c r="D156" s="12" t="str">
        <f>IFERROR(__xludf.DUMMYFUNCTION("""COMPUTED_VALUE"""),"Great colors but....")</f>
        <v>Great colors but....</v>
      </c>
      <c r="E156" s="12" t="str">
        <f>IFERROR(__xludf.DUMMYFUNCTION("""COMPUTED_VALUE"""),"I love the metallic colors of this top and figured i could wear it under a ruched jacket and circle skirt for work. welp, that's out the window. this design is poor. for one, this is not a piece for a petite woman with no torso and i don't know how anyone"&amp;" with a longer torso wears t his. this hits above my belly botton on and i got apetite 2. i have no torso. so, without a jacket, i would never wear this. it's very low cut..the back is very low..it's a little loose but i run between a 2 and a 4.")</f>
        <v>I love the metallic colors of this top and figured i could wear it under a ruched jacket and circle skirt for work. welp, that's out the window. this design is poor. for one, this is not a piece for a petite woman with no torso and i don't know how anyone with a longer torso wears t his. this hits above my belly botton on and i got apetite 2. i have no torso. so, without a jacket, i would never wear this. it's very low cut..the back is very low..it's a little loose but i run between a 2 and a 4.</v>
      </c>
      <c r="F156" s="13">
        <f>IFERROR(__xludf.DUMMYFUNCTION("""COMPUTED_VALUE"""),3.0)</f>
        <v>3</v>
      </c>
      <c r="G156" s="13">
        <f>IFERROR(__xludf.DUMMYFUNCTION("""COMPUTED_VALUE"""),1.0)</f>
        <v>1</v>
      </c>
      <c r="H156" s="13">
        <f>IFERROR(__xludf.DUMMYFUNCTION("""COMPUTED_VALUE"""),0.0)</f>
        <v>0</v>
      </c>
      <c r="I156" s="13" t="str">
        <f>IFERROR(__xludf.DUMMYFUNCTION("""COMPUTED_VALUE"""),"General Petite")</f>
        <v>General Petite</v>
      </c>
      <c r="J156" s="13" t="str">
        <f>IFERROR(__xludf.DUMMYFUNCTION("""COMPUTED_VALUE"""),"Tops")</f>
        <v>Tops</v>
      </c>
      <c r="K156" s="13" t="str">
        <f>IFERROR(__xludf.DUMMYFUNCTION("""COMPUTED_VALUE"""),"Blouses")</f>
        <v>Blouses</v>
      </c>
      <c r="L156" s="13"/>
    </row>
    <row r="157">
      <c r="A157" s="13">
        <f>IFERROR(__xludf.DUMMYFUNCTION("""COMPUTED_VALUE"""),155.0)</f>
        <v>155</v>
      </c>
      <c r="B157" s="13">
        <f>IFERROR(__xludf.DUMMYFUNCTION("""COMPUTED_VALUE"""),829.0)</f>
        <v>829</v>
      </c>
      <c r="C157" s="13">
        <f>IFERROR(__xludf.DUMMYFUNCTION("""COMPUTED_VALUE"""),48.0)</f>
        <v>48</v>
      </c>
      <c r="D157" s="12" t="str">
        <f>IFERROR(__xludf.DUMMYFUNCTION("""COMPUTED_VALUE"""),"Beautiful colors")</f>
        <v>Beautiful colors</v>
      </c>
      <c r="E157" s="12" t="str">
        <f>IFERROR(__xludf.DUMMYFUNCTION("""COMPUTED_VALUE"""),"This top is so much better in person. i do not agree with some of the other reviews about the fabric being scratchy. it is not and i have sensitive skin. i love this top and have got lots of compliments.")</f>
        <v>This top is so much better in person. i do not agree with some of the other reviews about the fabric being scratchy. it is not and i have sensitive skin. i love this top and have got lots of compliments.</v>
      </c>
      <c r="F157" s="13">
        <f>IFERROR(__xludf.DUMMYFUNCTION("""COMPUTED_VALUE"""),5.0)</f>
        <v>5</v>
      </c>
      <c r="G157" s="13">
        <f>IFERROR(__xludf.DUMMYFUNCTION("""COMPUTED_VALUE"""),1.0)</f>
        <v>1</v>
      </c>
      <c r="H157" s="13">
        <f>IFERROR(__xludf.DUMMYFUNCTION("""COMPUTED_VALUE"""),0.0)</f>
        <v>0</v>
      </c>
      <c r="I157" s="13" t="str">
        <f>IFERROR(__xludf.DUMMYFUNCTION("""COMPUTED_VALUE"""),"General Petite")</f>
        <v>General Petite</v>
      </c>
      <c r="J157" s="13" t="str">
        <f>IFERROR(__xludf.DUMMYFUNCTION("""COMPUTED_VALUE"""),"Tops")</f>
        <v>Tops</v>
      </c>
      <c r="K157" s="13" t="str">
        <f>IFERROR(__xludf.DUMMYFUNCTION("""COMPUTED_VALUE"""),"Blouses")</f>
        <v>Blouses</v>
      </c>
      <c r="L157" s="13"/>
    </row>
    <row r="158">
      <c r="A158" s="13">
        <f>IFERROR(__xludf.DUMMYFUNCTION("""COMPUTED_VALUE"""),156.0)</f>
        <v>156</v>
      </c>
      <c r="B158" s="13">
        <f>IFERROR(__xludf.DUMMYFUNCTION("""COMPUTED_VALUE"""),1008.0)</f>
        <v>1008</v>
      </c>
      <c r="C158" s="13">
        <f>IFERROR(__xludf.DUMMYFUNCTION("""COMPUTED_VALUE"""),37.0)</f>
        <v>37</v>
      </c>
      <c r="D158" s="12"/>
      <c r="E158" s="12" t="str">
        <f>IFERROR(__xludf.DUMMYFUNCTION("""COMPUTED_VALUE"""),"This is a lovely pencil skirt that is well-made and really brightens a work day. like a lot skirts with multiple colors, a lot of tops feel like they should match but you have to try a few that really work with the skirt and your look to get the right imp"&amp;"act.")</f>
        <v>This is a lovely pencil skirt that is well-made and really brightens a work day. like a lot skirts with multiple colors, a lot of tops feel like they should match but you have to try a few that really work with the skirt and your look to get the right impact.</v>
      </c>
      <c r="F158" s="13">
        <f>IFERROR(__xludf.DUMMYFUNCTION("""COMPUTED_VALUE"""),5.0)</f>
        <v>5</v>
      </c>
      <c r="G158" s="13">
        <f>IFERROR(__xludf.DUMMYFUNCTION("""COMPUTED_VALUE"""),1.0)</f>
        <v>1</v>
      </c>
      <c r="H158" s="13">
        <f>IFERROR(__xludf.DUMMYFUNCTION("""COMPUTED_VALUE"""),1.0)</f>
        <v>1</v>
      </c>
      <c r="I158" s="13" t="str">
        <f>IFERROR(__xludf.DUMMYFUNCTION("""COMPUTED_VALUE"""),"General")</f>
        <v>General</v>
      </c>
      <c r="J158" s="13" t="str">
        <f>IFERROR(__xludf.DUMMYFUNCTION("""COMPUTED_VALUE"""),"Bottoms")</f>
        <v>Bottoms</v>
      </c>
      <c r="K158" s="13" t="str">
        <f>IFERROR(__xludf.DUMMYFUNCTION("""COMPUTED_VALUE"""),"Skirts")</f>
        <v>Skirts</v>
      </c>
      <c r="L158" s="13"/>
    </row>
    <row r="159">
      <c r="A159" s="13">
        <f>IFERROR(__xludf.DUMMYFUNCTION("""COMPUTED_VALUE"""),157.0)</f>
        <v>157</v>
      </c>
      <c r="B159" s="13">
        <f>IFERROR(__xludf.DUMMYFUNCTION("""COMPUTED_VALUE"""),523.0)</f>
        <v>523</v>
      </c>
      <c r="C159" s="13">
        <f>IFERROR(__xludf.DUMMYFUNCTION("""COMPUTED_VALUE"""),43.0)</f>
        <v>43</v>
      </c>
      <c r="D159" s="12" t="str">
        <f>IFERROR(__xludf.DUMMYFUNCTION("""COMPUTED_VALUE"""),"Australian sizing!!")</f>
        <v>Australian sizing!!</v>
      </c>
      <c r="E159" s="12" t="str">
        <f>IFERROR(__xludf.DUMMYFUNCTION("""COMPUTED_VALUE"""),"So  disappointed that no where in the limiting did it mention this suit is australian in size!! i ordered the 10 (i'm usually an 8 but that was sold out) and the suit arrives and doesn't even fir over my hips. -- the label clearly says 10 australian us 6!"&amp;"  gutted that i have to return this suit because of this sizing issue.  the suit looks to be well made and the design is adorable of it only for.")</f>
        <v>So  disappointed that no where in the limiting did it mention this suit is australian in size!! i ordered the 10 (i'm usually an 8 but that was sold out) and the suit arrives and doesn't even fir over my hips. -- the label clearly says 10 australian us 6!  gutted that i have to return this suit because of this sizing issue.  the suit looks to be well made and the design is adorable of it only for.</v>
      </c>
      <c r="F159" s="13">
        <f>IFERROR(__xludf.DUMMYFUNCTION("""COMPUTED_VALUE"""),3.0)</f>
        <v>3</v>
      </c>
      <c r="G159" s="13">
        <f>IFERROR(__xludf.DUMMYFUNCTION("""COMPUTED_VALUE"""),0.0)</f>
        <v>0</v>
      </c>
      <c r="H159" s="13">
        <f>IFERROR(__xludf.DUMMYFUNCTION("""COMPUTED_VALUE"""),2.0)</f>
        <v>2</v>
      </c>
      <c r="I159" s="13" t="str">
        <f>IFERROR(__xludf.DUMMYFUNCTION("""COMPUTED_VALUE"""),"Initmates")</f>
        <v>Initmates</v>
      </c>
      <c r="J159" s="13" t="str">
        <f>IFERROR(__xludf.DUMMYFUNCTION("""COMPUTED_VALUE"""),"Intimate")</f>
        <v>Intimate</v>
      </c>
      <c r="K159" s="13" t="str">
        <f>IFERROR(__xludf.DUMMYFUNCTION("""COMPUTED_VALUE"""),"Swim")</f>
        <v>Swim</v>
      </c>
      <c r="L159" s="13"/>
    </row>
    <row r="160">
      <c r="A160" s="13">
        <f>IFERROR(__xludf.DUMMYFUNCTION("""COMPUTED_VALUE"""),158.0)</f>
        <v>158</v>
      </c>
      <c r="B160" s="13">
        <f>IFERROR(__xludf.DUMMYFUNCTION("""COMPUTED_VALUE"""),829.0)</f>
        <v>829</v>
      </c>
      <c r="C160" s="13">
        <f>IFERROR(__xludf.DUMMYFUNCTION("""COMPUTED_VALUE"""),53.0)</f>
        <v>53</v>
      </c>
      <c r="D160" s="12"/>
      <c r="E160" s="12" t="str">
        <f>IFERROR(__xludf.DUMMYFUNCTION("""COMPUTED_VALUE"""),"I saw this top online and read the reviews so i passed when i went into the store. when i went in again i thought i would give it a try. so glad i did ! it fits great and is way way prettier in person ! i ended up buying it and so glad i did !")</f>
        <v>I saw this top online and read the reviews so i passed when i went into the store. when i went in again i thought i would give it a try. so glad i did ! it fits great and is way way prettier in person ! i ended up buying it and so glad i did !</v>
      </c>
      <c r="F160" s="13">
        <f>IFERROR(__xludf.DUMMYFUNCTION("""COMPUTED_VALUE"""),4.0)</f>
        <v>4</v>
      </c>
      <c r="G160" s="13">
        <f>IFERROR(__xludf.DUMMYFUNCTION("""COMPUTED_VALUE"""),1.0)</f>
        <v>1</v>
      </c>
      <c r="H160" s="13">
        <f>IFERROR(__xludf.DUMMYFUNCTION("""COMPUTED_VALUE"""),7.0)</f>
        <v>7</v>
      </c>
      <c r="I160" s="13" t="str">
        <f>IFERROR(__xludf.DUMMYFUNCTION("""COMPUTED_VALUE"""),"General Petite")</f>
        <v>General Petite</v>
      </c>
      <c r="J160" s="13" t="str">
        <f>IFERROR(__xludf.DUMMYFUNCTION("""COMPUTED_VALUE"""),"Tops")</f>
        <v>Tops</v>
      </c>
      <c r="K160" s="13" t="str">
        <f>IFERROR(__xludf.DUMMYFUNCTION("""COMPUTED_VALUE"""),"Blouses")</f>
        <v>Blouses</v>
      </c>
      <c r="L160" s="13"/>
    </row>
    <row r="161">
      <c r="A161" s="13">
        <f>IFERROR(__xludf.DUMMYFUNCTION("""COMPUTED_VALUE"""),159.0)</f>
        <v>159</v>
      </c>
      <c r="B161" s="13">
        <f>IFERROR(__xludf.DUMMYFUNCTION("""COMPUTED_VALUE"""),829.0)</f>
        <v>829</v>
      </c>
      <c r="C161" s="13">
        <f>IFERROR(__xludf.DUMMYFUNCTION("""COMPUTED_VALUE"""),33.0)</f>
        <v>33</v>
      </c>
      <c r="D161" s="12" t="str">
        <f>IFERROR(__xludf.DUMMYFUNCTION("""COMPUTED_VALUE"""),"Vibrant metallic")</f>
        <v>Vibrant metallic</v>
      </c>
      <c r="E161" s="12" t="str">
        <f>IFERROR(__xludf.DUMMYFUNCTION("""COMPUTED_VALUE"""),"This is a very pretty top with vibrant metallic colors. i would be perfect for a holiday party or going out to dinner. it wasn't as scratchy as i thought it would be based on the reviews, however, it ran a little big. i'm 5.3 and about 130 pounds and i al"&amp;"most always wear a size 6, but the six was too big. i'd recommend sizing down. it was also lower cut than i thought it would be....showed a lot of cleavage (i'm a 34d) so it's not work appropriate. .")</f>
        <v>This is a very pretty top with vibrant metallic colors. i would be perfect for a holiday party or going out to dinner. it wasn't as scratchy as i thought it would be based on the reviews, however, it ran a little big. i'm 5.3 and about 130 pounds and i almost always wear a size 6, but the six was too big. i'd recommend sizing down. it was also lower cut than i thought it would be....showed a lot of cleavage (i'm a 34d) so it's not work appropriate. .</v>
      </c>
      <c r="F161" s="13">
        <f>IFERROR(__xludf.DUMMYFUNCTION("""COMPUTED_VALUE"""),4.0)</f>
        <v>4</v>
      </c>
      <c r="G161" s="13">
        <f>IFERROR(__xludf.DUMMYFUNCTION("""COMPUTED_VALUE"""),1.0)</f>
        <v>1</v>
      </c>
      <c r="H161" s="13">
        <f>IFERROR(__xludf.DUMMYFUNCTION("""COMPUTED_VALUE"""),0.0)</f>
        <v>0</v>
      </c>
      <c r="I161" s="13" t="str">
        <f>IFERROR(__xludf.DUMMYFUNCTION("""COMPUTED_VALUE"""),"General Petite")</f>
        <v>General Petite</v>
      </c>
      <c r="J161" s="13" t="str">
        <f>IFERROR(__xludf.DUMMYFUNCTION("""COMPUTED_VALUE"""),"Tops")</f>
        <v>Tops</v>
      </c>
      <c r="K161" s="13" t="str">
        <f>IFERROR(__xludf.DUMMYFUNCTION("""COMPUTED_VALUE"""),"Blouses")</f>
        <v>Blouses</v>
      </c>
      <c r="L161" s="13"/>
    </row>
    <row r="162">
      <c r="A162" s="13">
        <f>IFERROR(__xludf.DUMMYFUNCTION("""COMPUTED_VALUE"""),160.0)</f>
        <v>160</v>
      </c>
      <c r="B162" s="13">
        <f>IFERROR(__xludf.DUMMYFUNCTION("""COMPUTED_VALUE"""),1126.0)</f>
        <v>1126</v>
      </c>
      <c r="C162" s="13">
        <f>IFERROR(__xludf.DUMMYFUNCTION("""COMPUTED_VALUE"""),39.0)</f>
        <v>39</v>
      </c>
      <c r="D162" s="12" t="str">
        <f>IFERROR(__xludf.DUMMYFUNCTION("""COMPUTED_VALUE"""),"So sad not mine")</f>
        <v>So sad not mine</v>
      </c>
      <c r="E162" s="12" t="str">
        <f>IFERROR(__xludf.DUMMYFUNCTION("""COMPUTED_VALUE"""),"Love everything about this beautiful coat except the way it fits on me.  it is just perfect in the shoulders but once it flares out at the bottom, i look like a clown costume.  if i size down it will not fit in my shoulders.  perhaps a tailor can install "&amp;"buckles that match the neckline buckle to the sides of the coat to fold in the flare.  on another note the buckle at the neckline feels very hard and fake, not sure if it's real leather.")</f>
        <v>Love everything about this beautiful coat except the way it fits on me.  it is just perfect in the shoulders but once it flares out at the bottom, i look like a clown costume.  if i size down it will not fit in my shoulders.  perhaps a tailor can install buckles that match the neckline buckle to the sides of the coat to fold in the flare.  on another note the buckle at the neckline feels very hard and fake, not sure if it's real leather.</v>
      </c>
      <c r="F162" s="13">
        <f>IFERROR(__xludf.DUMMYFUNCTION("""COMPUTED_VALUE"""),4.0)</f>
        <v>4</v>
      </c>
      <c r="G162" s="13">
        <f>IFERROR(__xludf.DUMMYFUNCTION("""COMPUTED_VALUE"""),1.0)</f>
        <v>1</v>
      </c>
      <c r="H162" s="13">
        <f>IFERROR(__xludf.DUMMYFUNCTION("""COMPUTED_VALUE"""),0.0)</f>
        <v>0</v>
      </c>
      <c r="I162" s="13" t="str">
        <f>IFERROR(__xludf.DUMMYFUNCTION("""COMPUTED_VALUE"""),"General")</f>
        <v>General</v>
      </c>
      <c r="J162" s="13" t="str">
        <f>IFERROR(__xludf.DUMMYFUNCTION("""COMPUTED_VALUE"""),"Jackets")</f>
        <v>Jackets</v>
      </c>
      <c r="K162" s="13" t="str">
        <f>IFERROR(__xludf.DUMMYFUNCTION("""COMPUTED_VALUE"""),"Outerwear")</f>
        <v>Outerwear</v>
      </c>
      <c r="L162" s="13"/>
    </row>
    <row r="163">
      <c r="A163" s="13">
        <f>IFERROR(__xludf.DUMMYFUNCTION("""COMPUTED_VALUE"""),161.0)</f>
        <v>161</v>
      </c>
      <c r="B163" s="13">
        <f>IFERROR(__xludf.DUMMYFUNCTION("""COMPUTED_VALUE"""),829.0)</f>
        <v>829</v>
      </c>
      <c r="C163" s="13">
        <f>IFERROR(__xludf.DUMMYFUNCTION("""COMPUTED_VALUE"""),52.0)</f>
        <v>52</v>
      </c>
      <c r="D163" s="12" t="str">
        <f>IFERROR(__xludf.DUMMYFUNCTION("""COMPUTED_VALUE"""),"Scratchy, uncomfortable top")</f>
        <v>Scratchy, uncomfortable top</v>
      </c>
      <c r="E163" s="12" t="str">
        <f>IFERROR(__xludf.DUMMYFUNCTION("""COMPUTED_VALUE"""),"The title says it all....this fabric of this top is both the best and worst part of the design. the colors are vibrant and the combination of materials (shoulder is a knit, sweater-like navy fabric) is interesting. however, that is where the positive comm"&amp;"ents end on this one. the top is so scratchy,, stiff, and, frankly, uncomfortable. i cannot imagine wanting to wear it. it could benefit from a lining, and that might have solved the problem of scratchy, itchy fabric.
the stiff fabric of the bo")</f>
        <v>The title says it all....this fabric of this top is both the best and worst part of the design. the colors are vibrant and the combination of materials (shoulder is a knit, sweater-like navy fabric) is interesting. however, that is where the positive comments end on this one. the top is so scratchy,, stiff, and, frankly, uncomfortable. i cannot imagine wanting to wear it. it could benefit from a lining, and that might have solved the problem of scratchy, itchy fabric.
the stiff fabric of the bo</v>
      </c>
      <c r="F163" s="13">
        <f>IFERROR(__xludf.DUMMYFUNCTION("""COMPUTED_VALUE"""),1.0)</f>
        <v>1</v>
      </c>
      <c r="G163" s="13">
        <f>IFERROR(__xludf.DUMMYFUNCTION("""COMPUTED_VALUE"""),0.0)</f>
        <v>0</v>
      </c>
      <c r="H163" s="13">
        <f>IFERROR(__xludf.DUMMYFUNCTION("""COMPUTED_VALUE"""),8.0)</f>
        <v>8</v>
      </c>
      <c r="I163" s="13" t="str">
        <f>IFERROR(__xludf.DUMMYFUNCTION("""COMPUTED_VALUE"""),"General Petite")</f>
        <v>General Petite</v>
      </c>
      <c r="J163" s="13" t="str">
        <f>IFERROR(__xludf.DUMMYFUNCTION("""COMPUTED_VALUE"""),"Tops")</f>
        <v>Tops</v>
      </c>
      <c r="K163" s="13" t="str">
        <f>IFERROR(__xludf.DUMMYFUNCTION("""COMPUTED_VALUE"""),"Blouses")</f>
        <v>Blouses</v>
      </c>
      <c r="L163" s="13"/>
    </row>
    <row r="164">
      <c r="A164" s="13">
        <f>IFERROR(__xludf.DUMMYFUNCTION("""COMPUTED_VALUE"""),162.0)</f>
        <v>162</v>
      </c>
      <c r="B164" s="13">
        <f>IFERROR(__xludf.DUMMYFUNCTION("""COMPUTED_VALUE"""),829.0)</f>
        <v>829</v>
      </c>
      <c r="C164" s="13">
        <f>IFERROR(__xludf.DUMMYFUNCTION("""COMPUTED_VALUE"""),64.0)</f>
        <v>64</v>
      </c>
      <c r="D164" s="12" t="str">
        <f>IFERROR(__xludf.DUMMYFUNCTION("""COMPUTED_VALUE"""),"Yes it's scratchy but it can work out!")</f>
        <v>Yes it's scratchy but it can work out!</v>
      </c>
      <c r="E164" s="12" t="str">
        <f>IFERROR(__xludf.DUMMYFUNCTION("""COMPUTED_VALUE"""),"My usual size 6 fits perfectly... yes the metallic fibers on the inside are scratchy. a cami solves that problem. when ordering, i realized i cld not go strapless &amp; wld have to wear a one of my wider strap cami's in navy or black to cover the bra strap ar"&amp;"ea. it was obvious some sort of cover-up swtr or jacket w/b needed &amp; wld cover the strap area anyway. so, i also ordered the 'faux-fur cardi' in the ivory to wear over this top. it's a shrug-like cardi w/ 3/4 slvs. comes in the plum also if you")</f>
        <v>My usual size 6 fits perfectly... yes the metallic fibers on the inside are scratchy. a cami solves that problem. when ordering, i realized i cld not go strapless &amp; wld have to wear a one of my wider strap cami's in navy or black to cover the bra strap area. it was obvious some sort of cover-up swtr or jacket w/b needed &amp; wld cover the strap area anyway. so, i also ordered the 'faux-fur cardi' in the ivory to wear over this top. it's a shrug-like cardi w/ 3/4 slvs. comes in the plum also if you</v>
      </c>
      <c r="F164" s="13">
        <f>IFERROR(__xludf.DUMMYFUNCTION("""COMPUTED_VALUE"""),4.0)</f>
        <v>4</v>
      </c>
      <c r="G164" s="13">
        <f>IFERROR(__xludf.DUMMYFUNCTION("""COMPUTED_VALUE"""),1.0)</f>
        <v>1</v>
      </c>
      <c r="H164" s="13">
        <f>IFERROR(__xludf.DUMMYFUNCTION("""COMPUTED_VALUE"""),2.0)</f>
        <v>2</v>
      </c>
      <c r="I164" s="13" t="str">
        <f>IFERROR(__xludf.DUMMYFUNCTION("""COMPUTED_VALUE"""),"General Petite")</f>
        <v>General Petite</v>
      </c>
      <c r="J164" s="13" t="str">
        <f>IFERROR(__xludf.DUMMYFUNCTION("""COMPUTED_VALUE"""),"Tops")</f>
        <v>Tops</v>
      </c>
      <c r="K164" s="13" t="str">
        <f>IFERROR(__xludf.DUMMYFUNCTION("""COMPUTED_VALUE"""),"Blouses")</f>
        <v>Blouses</v>
      </c>
      <c r="L164" s="13"/>
    </row>
    <row r="165">
      <c r="A165" s="13">
        <f>IFERROR(__xludf.DUMMYFUNCTION("""COMPUTED_VALUE"""),163.0)</f>
        <v>163</v>
      </c>
      <c r="B165" s="13">
        <f>IFERROR(__xludf.DUMMYFUNCTION("""COMPUTED_VALUE"""),1008.0)</f>
        <v>1008</v>
      </c>
      <c r="C165" s="13">
        <f>IFERROR(__xludf.DUMMYFUNCTION("""COMPUTED_VALUE"""),52.0)</f>
        <v>52</v>
      </c>
      <c r="D165" s="12" t="str">
        <f>IFERROR(__xludf.DUMMYFUNCTION("""COMPUTED_VALUE"""),"Classy and cute")</f>
        <v>Classy and cute</v>
      </c>
      <c r="E165" s="12" t="str">
        <f>IFERROR(__xludf.DUMMYFUNCTION("""COMPUTED_VALUE"""),"The online picture does not do this skirt justice. it's very pretty and unique in design. i think it should be worn with a tighter shirt that is tucked in unlike the picture. this is truly a pretty pencil skirt.")</f>
        <v>The online picture does not do this skirt justice. it's very pretty and unique in design. i think it should be worn with a tighter shirt that is tucked in unlike the picture. this is truly a pretty pencil skirt.</v>
      </c>
      <c r="F165" s="13">
        <f>IFERROR(__xludf.DUMMYFUNCTION("""COMPUTED_VALUE"""),5.0)</f>
        <v>5</v>
      </c>
      <c r="G165" s="13">
        <f>IFERROR(__xludf.DUMMYFUNCTION("""COMPUTED_VALUE"""),1.0)</f>
        <v>1</v>
      </c>
      <c r="H165" s="13">
        <f>IFERROR(__xludf.DUMMYFUNCTION("""COMPUTED_VALUE"""),7.0)</f>
        <v>7</v>
      </c>
      <c r="I165" s="13" t="str">
        <f>IFERROR(__xludf.DUMMYFUNCTION("""COMPUTED_VALUE"""),"General")</f>
        <v>General</v>
      </c>
      <c r="J165" s="13" t="str">
        <f>IFERROR(__xludf.DUMMYFUNCTION("""COMPUTED_VALUE"""),"Bottoms")</f>
        <v>Bottoms</v>
      </c>
      <c r="K165" s="13" t="str">
        <f>IFERROR(__xludf.DUMMYFUNCTION("""COMPUTED_VALUE"""),"Skirts")</f>
        <v>Skirts</v>
      </c>
      <c r="L165" s="13"/>
    </row>
    <row r="166">
      <c r="A166" s="13">
        <f>IFERROR(__xludf.DUMMYFUNCTION("""COMPUTED_VALUE"""),164.0)</f>
        <v>164</v>
      </c>
      <c r="B166" s="13">
        <f>IFERROR(__xludf.DUMMYFUNCTION("""COMPUTED_VALUE"""),1126.0)</f>
        <v>1126</v>
      </c>
      <c r="C166" s="13">
        <f>IFERROR(__xludf.DUMMYFUNCTION("""COMPUTED_VALUE"""),42.0)</f>
        <v>42</v>
      </c>
      <c r="D166" s="12" t="str">
        <f>IFERROR(__xludf.DUMMYFUNCTION("""COMPUTED_VALUE"""),"So pretty!")</f>
        <v>So pretty!</v>
      </c>
      <c r="E166" s="12" t="str">
        <f>IFERROR(__xludf.DUMMYFUNCTION("""COMPUTED_VALUE"""),"I bought this and like other reviews, agree that the quality probably could be better, but i still love it enough to keep. the buckle fell apart, but i was able to fix it and the zipper seems a little weak. it has pilled, but the fabric is textured, so i "&amp;"didn't even notice until i read the other reviews and then looked back at my jacket.  it is a perfect medium coat for 40's &amp; 50's before i am ready to bust out my ugly down north face for winter.  i get compliments every time i wear it!  love!!")</f>
        <v>I bought this and like other reviews, agree that the quality probably could be better, but i still love it enough to keep. the buckle fell apart, but i was able to fix it and the zipper seems a little weak. it has pilled, but the fabric is textured, so i didn't even notice until i read the other reviews and then looked back at my jacket.  it is a perfect medium coat for 40's &amp; 50's before i am ready to bust out my ugly down north face for winter.  i get compliments every time i wear it!  love!!</v>
      </c>
      <c r="F166" s="13">
        <f>IFERROR(__xludf.DUMMYFUNCTION("""COMPUTED_VALUE"""),4.0)</f>
        <v>4</v>
      </c>
      <c r="G166" s="13">
        <f>IFERROR(__xludf.DUMMYFUNCTION("""COMPUTED_VALUE"""),1.0)</f>
        <v>1</v>
      </c>
      <c r="H166" s="13">
        <f>IFERROR(__xludf.DUMMYFUNCTION("""COMPUTED_VALUE"""),0.0)</f>
        <v>0</v>
      </c>
      <c r="I166" s="13" t="str">
        <f>IFERROR(__xludf.DUMMYFUNCTION("""COMPUTED_VALUE"""),"General")</f>
        <v>General</v>
      </c>
      <c r="J166" s="13" t="str">
        <f>IFERROR(__xludf.DUMMYFUNCTION("""COMPUTED_VALUE"""),"Jackets")</f>
        <v>Jackets</v>
      </c>
      <c r="K166" s="13" t="str">
        <f>IFERROR(__xludf.DUMMYFUNCTION("""COMPUTED_VALUE"""),"Outerwear")</f>
        <v>Outerwear</v>
      </c>
      <c r="L166" s="13"/>
    </row>
    <row r="167">
      <c r="A167" s="13">
        <f>IFERROR(__xludf.DUMMYFUNCTION("""COMPUTED_VALUE"""),165.0)</f>
        <v>165</v>
      </c>
      <c r="B167" s="13">
        <f>IFERROR(__xludf.DUMMYFUNCTION("""COMPUTED_VALUE"""),829.0)</f>
        <v>829</v>
      </c>
      <c r="C167" s="13">
        <f>IFERROR(__xludf.DUMMYFUNCTION("""COMPUTED_VALUE"""),35.0)</f>
        <v>35</v>
      </c>
      <c r="D167" s="12"/>
      <c r="E167" s="12"/>
      <c r="F167" s="13">
        <f>IFERROR(__xludf.DUMMYFUNCTION("""COMPUTED_VALUE"""),3.0)</f>
        <v>3</v>
      </c>
      <c r="G167" s="13">
        <f>IFERROR(__xludf.DUMMYFUNCTION("""COMPUTED_VALUE"""),0.0)</f>
        <v>0</v>
      </c>
      <c r="H167" s="13">
        <f>IFERROR(__xludf.DUMMYFUNCTION("""COMPUTED_VALUE"""),0.0)</f>
        <v>0</v>
      </c>
      <c r="I167" s="13" t="str">
        <f>IFERROR(__xludf.DUMMYFUNCTION("""COMPUTED_VALUE"""),"General Petite")</f>
        <v>General Petite</v>
      </c>
      <c r="J167" s="13" t="str">
        <f>IFERROR(__xludf.DUMMYFUNCTION("""COMPUTED_VALUE"""),"Tops")</f>
        <v>Tops</v>
      </c>
      <c r="K167" s="13" t="str">
        <f>IFERROR(__xludf.DUMMYFUNCTION("""COMPUTED_VALUE"""),"Blouses")</f>
        <v>Blouses</v>
      </c>
      <c r="L167" s="13"/>
    </row>
    <row r="168">
      <c r="A168" s="13">
        <f>IFERROR(__xludf.DUMMYFUNCTION("""COMPUTED_VALUE"""),166.0)</f>
        <v>166</v>
      </c>
      <c r="B168" s="13">
        <f>IFERROR(__xludf.DUMMYFUNCTION("""COMPUTED_VALUE"""),1020.0)</f>
        <v>1020</v>
      </c>
      <c r="C168" s="13">
        <f>IFERROR(__xludf.DUMMYFUNCTION("""COMPUTED_VALUE"""),56.0)</f>
        <v>56</v>
      </c>
      <c r="D168" s="12" t="str">
        <f>IFERROR(__xludf.DUMMYFUNCTION("""COMPUTED_VALUE"""),"Just as pictured")</f>
        <v>Just as pictured</v>
      </c>
      <c r="E168" s="12" t="str">
        <f>IFERROR(__xludf.DUMMYFUNCTION("""COMPUTED_VALUE"""),"I bought a petite, size 2. i am 5'3"", 111 lb - it fit perfect with a tiny bit of room. looks just like the one pictured. length on me was about 1 inch lower than the model. very bright with multiple colors. has a nice stretch. very cute.")</f>
        <v>I bought a petite, size 2. i am 5'3", 111 lb - it fit perfect with a tiny bit of room. looks just like the one pictured. length on me was about 1 inch lower than the model. very bright with multiple colors. has a nice stretch. very cute.</v>
      </c>
      <c r="F168" s="13">
        <f>IFERROR(__xludf.DUMMYFUNCTION("""COMPUTED_VALUE"""),5.0)</f>
        <v>5</v>
      </c>
      <c r="G168" s="13">
        <f>IFERROR(__xludf.DUMMYFUNCTION("""COMPUTED_VALUE"""),1.0)</f>
        <v>1</v>
      </c>
      <c r="H168" s="13">
        <f>IFERROR(__xludf.DUMMYFUNCTION("""COMPUTED_VALUE"""),6.0)</f>
        <v>6</v>
      </c>
      <c r="I168" s="13" t="str">
        <f>IFERROR(__xludf.DUMMYFUNCTION("""COMPUTED_VALUE"""),"General Petite")</f>
        <v>General Petite</v>
      </c>
      <c r="J168" s="13" t="str">
        <f>IFERROR(__xludf.DUMMYFUNCTION("""COMPUTED_VALUE"""),"Bottoms")</f>
        <v>Bottoms</v>
      </c>
      <c r="K168" s="13" t="str">
        <f>IFERROR(__xludf.DUMMYFUNCTION("""COMPUTED_VALUE"""),"Skirts")</f>
        <v>Skirts</v>
      </c>
      <c r="L168" s="13"/>
    </row>
    <row r="169">
      <c r="A169" s="13">
        <f>IFERROR(__xludf.DUMMYFUNCTION("""COMPUTED_VALUE"""),167.0)</f>
        <v>167</v>
      </c>
      <c r="B169" s="13">
        <f>IFERROR(__xludf.DUMMYFUNCTION("""COMPUTED_VALUE"""),895.0)</f>
        <v>895</v>
      </c>
      <c r="C169" s="13">
        <f>IFERROR(__xludf.DUMMYFUNCTION("""COMPUTED_VALUE"""),55.0)</f>
        <v>55</v>
      </c>
      <c r="D169" s="12" t="str">
        <f>IFERROR(__xludf.DUMMYFUNCTION("""COMPUTED_VALUE"""),"Great purchase")</f>
        <v>Great purchase</v>
      </c>
      <c r="E169" s="12" t="str">
        <f>IFERROR(__xludf.DUMMYFUNCTION("""COMPUTED_VALUE"""),"This will be perfect for the mild fall weather in texas. it's light weight and i love that the top is a little more fitted and the bottom swings out.")</f>
        <v>This will be perfect for the mild fall weather in texas. it's light weight and i love that the top is a little more fitted and the bottom swings out.</v>
      </c>
      <c r="F169" s="13">
        <f>IFERROR(__xludf.DUMMYFUNCTION("""COMPUTED_VALUE"""),5.0)</f>
        <v>5</v>
      </c>
      <c r="G169" s="13">
        <f>IFERROR(__xludf.DUMMYFUNCTION("""COMPUTED_VALUE"""),1.0)</f>
        <v>1</v>
      </c>
      <c r="H169" s="13">
        <f>IFERROR(__xludf.DUMMYFUNCTION("""COMPUTED_VALUE"""),0.0)</f>
        <v>0</v>
      </c>
      <c r="I169" s="13" t="str">
        <f>IFERROR(__xludf.DUMMYFUNCTION("""COMPUTED_VALUE"""),"General")</f>
        <v>General</v>
      </c>
      <c r="J169" s="13" t="str">
        <f>IFERROR(__xludf.DUMMYFUNCTION("""COMPUTED_VALUE"""),"Tops")</f>
        <v>Tops</v>
      </c>
      <c r="K169" s="13" t="str">
        <f>IFERROR(__xludf.DUMMYFUNCTION("""COMPUTED_VALUE"""),"Fine gauge")</f>
        <v>Fine gauge</v>
      </c>
      <c r="L169" s="13"/>
    </row>
    <row r="170">
      <c r="A170" s="13">
        <f>IFERROR(__xludf.DUMMYFUNCTION("""COMPUTED_VALUE"""),168.0)</f>
        <v>168</v>
      </c>
      <c r="B170" s="13">
        <f>IFERROR(__xludf.DUMMYFUNCTION("""COMPUTED_VALUE"""),862.0)</f>
        <v>862</v>
      </c>
      <c r="C170" s="13">
        <f>IFERROR(__xludf.DUMMYFUNCTION("""COMPUTED_VALUE"""),40.0)</f>
        <v>40</v>
      </c>
      <c r="D170" s="12"/>
      <c r="E170" s="12"/>
      <c r="F170" s="13">
        <f>IFERROR(__xludf.DUMMYFUNCTION("""COMPUTED_VALUE"""),5.0)</f>
        <v>5</v>
      </c>
      <c r="G170" s="13">
        <f>IFERROR(__xludf.DUMMYFUNCTION("""COMPUTED_VALUE"""),1.0)</f>
        <v>1</v>
      </c>
      <c r="H170" s="13">
        <f>IFERROR(__xludf.DUMMYFUNCTION("""COMPUTED_VALUE"""),0.0)</f>
        <v>0</v>
      </c>
      <c r="I170" s="13" t="str">
        <f>IFERROR(__xludf.DUMMYFUNCTION("""COMPUTED_VALUE"""),"General")</f>
        <v>General</v>
      </c>
      <c r="J170" s="13" t="str">
        <f>IFERROR(__xludf.DUMMYFUNCTION("""COMPUTED_VALUE"""),"Tops")</f>
        <v>Tops</v>
      </c>
      <c r="K170" s="13" t="str">
        <f>IFERROR(__xludf.DUMMYFUNCTION("""COMPUTED_VALUE"""),"Knits")</f>
        <v>Knits</v>
      </c>
      <c r="L170" s="13"/>
    </row>
    <row r="171">
      <c r="A171" s="13">
        <f>IFERROR(__xludf.DUMMYFUNCTION("""COMPUTED_VALUE"""),169.0)</f>
        <v>169</v>
      </c>
      <c r="B171" s="13">
        <f>IFERROR(__xludf.DUMMYFUNCTION("""COMPUTED_VALUE"""),1104.0)</f>
        <v>1104</v>
      </c>
      <c r="C171" s="13">
        <f>IFERROR(__xludf.DUMMYFUNCTION("""COMPUTED_VALUE"""),47.0)</f>
        <v>47</v>
      </c>
      <c r="D171" s="12" t="str">
        <f>IFERROR(__xludf.DUMMYFUNCTION("""COMPUTED_VALUE"""),"Antoher beautiful maeve dress!")</f>
        <v>Antoher beautiful maeve dress!</v>
      </c>
      <c r="E171" s="12" t="str">
        <f>IFERROR(__xludf.DUMMYFUNCTION("""COMPUTED_VALUE"""),"I love the dresses by maeve and this one is no exception. i was pleasantly surprised upon receiving this dress because i wasn't sure about the print size and colors when i saw it online, but the print is beautiful. it's a very simple but elegant style and"&amp;" the ruffle on the back adds an extra touch of interest. i like that it has enough coverage at the top (front and back), the underarms do not fall very low, and it is lined. the a-line skirt will flatter most body types. the fabric and overall q")</f>
        <v>I love the dresses by maeve and this one is no exception. i was pleasantly surprised upon receiving this dress because i wasn't sure about the print size and colors when i saw it online, but the print is beautiful. it's a very simple but elegant style and the ruffle on the back adds an extra touch of interest. i like that it has enough coverage at the top (front and back), the underarms do not fall very low, and it is lined. the a-line skirt will flatter most body types. the fabric and overall q</v>
      </c>
      <c r="F171" s="13">
        <f>IFERROR(__xludf.DUMMYFUNCTION("""COMPUTED_VALUE"""),5.0)</f>
        <v>5</v>
      </c>
      <c r="G171" s="13">
        <f>IFERROR(__xludf.DUMMYFUNCTION("""COMPUTED_VALUE"""),1.0)</f>
        <v>1</v>
      </c>
      <c r="H171" s="13">
        <f>IFERROR(__xludf.DUMMYFUNCTION("""COMPUTED_VALUE"""),3.0)</f>
        <v>3</v>
      </c>
      <c r="I171" s="13" t="str">
        <f>IFERROR(__xludf.DUMMYFUNCTION("""COMPUTED_VALUE"""),"General")</f>
        <v>General</v>
      </c>
      <c r="J171" s="13" t="str">
        <f>IFERROR(__xludf.DUMMYFUNCTION("""COMPUTED_VALUE"""),"Dresses")</f>
        <v>Dresses</v>
      </c>
      <c r="K171" s="13" t="str">
        <f>IFERROR(__xludf.DUMMYFUNCTION("""COMPUTED_VALUE"""),"Dresses")</f>
        <v>Dresses</v>
      </c>
      <c r="L171" s="13"/>
    </row>
    <row r="172">
      <c r="A172" s="13">
        <f>IFERROR(__xludf.DUMMYFUNCTION("""COMPUTED_VALUE"""),170.0)</f>
        <v>170</v>
      </c>
      <c r="B172" s="13">
        <f>IFERROR(__xludf.DUMMYFUNCTION("""COMPUTED_VALUE"""),670.0)</f>
        <v>670</v>
      </c>
      <c r="C172" s="13">
        <f>IFERROR(__xludf.DUMMYFUNCTION("""COMPUTED_VALUE"""),36.0)</f>
        <v>36</v>
      </c>
      <c r="D172" s="12" t="str">
        <f>IFERROR(__xludf.DUMMYFUNCTION("""COMPUTED_VALUE"""),"Fun")</f>
        <v>Fun</v>
      </c>
      <c r="E172" s="12" t="str">
        <f>IFERROR(__xludf.DUMMYFUNCTION("""COMPUTED_VALUE"""),"These pants are fun! i use them as sleep pants. i had to size up because the waist band was a little tight for comfort.")</f>
        <v>These pants are fun! i use them as sleep pants. i had to size up because the waist band was a little tight for comfort.</v>
      </c>
      <c r="F172" s="13">
        <f>IFERROR(__xludf.DUMMYFUNCTION("""COMPUTED_VALUE"""),5.0)</f>
        <v>5</v>
      </c>
      <c r="G172" s="13">
        <f>IFERROR(__xludf.DUMMYFUNCTION("""COMPUTED_VALUE"""),1.0)</f>
        <v>1</v>
      </c>
      <c r="H172" s="13">
        <f>IFERROR(__xludf.DUMMYFUNCTION("""COMPUTED_VALUE"""),0.0)</f>
        <v>0</v>
      </c>
      <c r="I172" s="13" t="str">
        <f>IFERROR(__xludf.DUMMYFUNCTION("""COMPUTED_VALUE"""),"Initmates")</f>
        <v>Initmates</v>
      </c>
      <c r="J172" s="13" t="str">
        <f>IFERROR(__xludf.DUMMYFUNCTION("""COMPUTED_VALUE"""),"Intimate")</f>
        <v>Intimate</v>
      </c>
      <c r="K172" s="13" t="str">
        <f>IFERROR(__xludf.DUMMYFUNCTION("""COMPUTED_VALUE"""),"Sleep")</f>
        <v>Sleep</v>
      </c>
      <c r="L172" s="13"/>
    </row>
    <row r="173">
      <c r="A173" s="13">
        <f>IFERROR(__xludf.DUMMYFUNCTION("""COMPUTED_VALUE"""),171.0)</f>
        <v>171</v>
      </c>
      <c r="B173" s="13">
        <f>IFERROR(__xludf.DUMMYFUNCTION("""COMPUTED_VALUE"""),329.0)</f>
        <v>329</v>
      </c>
      <c r="C173" s="13">
        <f>IFERROR(__xludf.DUMMYFUNCTION("""COMPUTED_VALUE"""),46.0)</f>
        <v>46</v>
      </c>
      <c r="D173" s="12" t="str">
        <f>IFERROR(__xludf.DUMMYFUNCTION("""COMPUTED_VALUE"""),"Comfy and adorable!")</f>
        <v>Comfy and adorable!</v>
      </c>
      <c r="E173" s="12" t="str">
        <f>IFERROR(__xludf.DUMMYFUNCTION("""COMPUTED_VALUE"""),"I ordered this in xs, i'm 5'4"", around 115lbs, and it fits perfectly. the material is very soft, but not see-through, and the romper is well-made. i wish it came in other colours, i'd buy more!")</f>
        <v>I ordered this in xs, i'm 5'4", around 115lbs, and it fits perfectly. the material is very soft, but not see-through, and the romper is well-made. i wish it came in other colours, i'd buy more!</v>
      </c>
      <c r="F173" s="13">
        <f>IFERROR(__xludf.DUMMYFUNCTION("""COMPUTED_VALUE"""),5.0)</f>
        <v>5</v>
      </c>
      <c r="G173" s="13">
        <f>IFERROR(__xludf.DUMMYFUNCTION("""COMPUTED_VALUE"""),1.0)</f>
        <v>1</v>
      </c>
      <c r="H173" s="13">
        <f>IFERROR(__xludf.DUMMYFUNCTION("""COMPUTED_VALUE"""),0.0)</f>
        <v>0</v>
      </c>
      <c r="I173" s="13" t="str">
        <f>IFERROR(__xludf.DUMMYFUNCTION("""COMPUTED_VALUE"""),"Initmates")</f>
        <v>Initmates</v>
      </c>
      <c r="J173" s="13" t="str">
        <f>IFERROR(__xludf.DUMMYFUNCTION("""COMPUTED_VALUE"""),"Intimate")</f>
        <v>Intimate</v>
      </c>
      <c r="K173" s="13" t="str">
        <f>IFERROR(__xludf.DUMMYFUNCTION("""COMPUTED_VALUE"""),"Sleep")</f>
        <v>Sleep</v>
      </c>
      <c r="L173" s="13"/>
    </row>
    <row r="174">
      <c r="A174" s="13">
        <f>IFERROR(__xludf.DUMMYFUNCTION("""COMPUTED_VALUE"""),172.0)</f>
        <v>172</v>
      </c>
      <c r="B174" s="13">
        <f>IFERROR(__xludf.DUMMYFUNCTION("""COMPUTED_VALUE"""),670.0)</f>
        <v>670</v>
      </c>
      <c r="C174" s="13">
        <f>IFERROR(__xludf.DUMMYFUNCTION("""COMPUTED_VALUE"""),66.0)</f>
        <v>66</v>
      </c>
      <c r="D174" s="12" t="str">
        <f>IFERROR(__xludf.DUMMYFUNCTION("""COMPUTED_VALUE"""),"Beautiful fabric and style")</f>
        <v>Beautiful fabric and style</v>
      </c>
      <c r="E174" s="12" t="str">
        <f>IFERROR(__xludf.DUMMYFUNCTION("""COMPUTED_VALUE"""),"I purchased these for something other than sweats to wear for a girls get away weekend. they were so comfortable and flattering, friends told me i could wear them out for dinner.
the fabric is beautiful, and i loved the way they draped. the angled cut on"&amp;" the legs is very cute, and something a bit different. these could be perfect for a hot summer evening dinner, because the fabric is very light and breezy. dress it up with a tank top and ballet flats and you're good to go.")</f>
        <v>I purchased these for something other than sweats to wear for a girls get away weekend. they were so comfortable and flattering, friends told me i could wear them out for dinner.
the fabric is beautiful, and i loved the way they draped. the angled cut on the legs is very cute, and something a bit different. these could be perfect for a hot summer evening dinner, because the fabric is very light and breezy. dress it up with a tank top and ballet flats and you're good to go.</v>
      </c>
      <c r="F174" s="13">
        <f>IFERROR(__xludf.DUMMYFUNCTION("""COMPUTED_VALUE"""),4.0)</f>
        <v>4</v>
      </c>
      <c r="G174" s="13">
        <f>IFERROR(__xludf.DUMMYFUNCTION("""COMPUTED_VALUE"""),1.0)</f>
        <v>1</v>
      </c>
      <c r="H174" s="13">
        <f>IFERROR(__xludf.DUMMYFUNCTION("""COMPUTED_VALUE"""),0.0)</f>
        <v>0</v>
      </c>
      <c r="I174" s="13" t="str">
        <f>IFERROR(__xludf.DUMMYFUNCTION("""COMPUTED_VALUE"""),"Initmates")</f>
        <v>Initmates</v>
      </c>
      <c r="J174" s="13" t="str">
        <f>IFERROR(__xludf.DUMMYFUNCTION("""COMPUTED_VALUE"""),"Intimate")</f>
        <v>Intimate</v>
      </c>
      <c r="K174" s="13" t="str">
        <f>IFERROR(__xludf.DUMMYFUNCTION("""COMPUTED_VALUE"""),"Sleep")</f>
        <v>Sleep</v>
      </c>
      <c r="L174" s="13"/>
    </row>
    <row r="175">
      <c r="A175" s="13">
        <f>IFERROR(__xludf.DUMMYFUNCTION("""COMPUTED_VALUE"""),173.0)</f>
        <v>173</v>
      </c>
      <c r="B175" s="13">
        <f>IFERROR(__xludf.DUMMYFUNCTION("""COMPUTED_VALUE"""),868.0)</f>
        <v>868</v>
      </c>
      <c r="C175" s="13">
        <f>IFERROR(__xludf.DUMMYFUNCTION("""COMPUTED_VALUE"""),51.0)</f>
        <v>51</v>
      </c>
      <c r="D175" s="12" t="str">
        <f>IFERROR(__xludf.DUMMYFUNCTION("""COMPUTED_VALUE"""),"Great for summer")</f>
        <v>Great for summer</v>
      </c>
      <c r="E175" s="12" t="str">
        <f>IFERROR(__xludf.DUMMYFUNCTION("""COMPUTED_VALUE"""),"Love this cream sleeveless top....it goes with everything and you can dress it up or down! this will be a go to top all summer long and probably wear thru the fall as well with a layered sweater, if needed. i typically wear small or medium size and got th"&amp;"e medium hoping for a little longer length. i am 5'7, 34c, and overall wt. of approx. 128 lbs...it fits very nicely . thank you retailer!")</f>
        <v>Love this cream sleeveless top....it goes with everything and you can dress it up or down! this will be a go to top all summer long and probably wear thru the fall as well with a layered sweater, if needed. i typically wear small or medium size and got the medium hoping for a little longer length. i am 5'7, 34c, and overall wt. of approx. 128 lbs...it fits very nicely . thank you retailer!</v>
      </c>
      <c r="F175" s="13">
        <f>IFERROR(__xludf.DUMMYFUNCTION("""COMPUTED_VALUE"""),4.0)</f>
        <v>4</v>
      </c>
      <c r="G175" s="13">
        <f>IFERROR(__xludf.DUMMYFUNCTION("""COMPUTED_VALUE"""),1.0)</f>
        <v>1</v>
      </c>
      <c r="H175" s="13">
        <f>IFERROR(__xludf.DUMMYFUNCTION("""COMPUTED_VALUE"""),0.0)</f>
        <v>0</v>
      </c>
      <c r="I175" s="13" t="str">
        <f>IFERROR(__xludf.DUMMYFUNCTION("""COMPUTED_VALUE"""),"General Petite")</f>
        <v>General Petite</v>
      </c>
      <c r="J175" s="13" t="str">
        <f>IFERROR(__xludf.DUMMYFUNCTION("""COMPUTED_VALUE"""),"Tops")</f>
        <v>Tops</v>
      </c>
      <c r="K175" s="13" t="str">
        <f>IFERROR(__xludf.DUMMYFUNCTION("""COMPUTED_VALUE"""),"Knits")</f>
        <v>Knits</v>
      </c>
      <c r="L175" s="13"/>
    </row>
    <row r="176">
      <c r="A176" s="13">
        <f>IFERROR(__xludf.DUMMYFUNCTION("""COMPUTED_VALUE"""),174.0)</f>
        <v>174</v>
      </c>
      <c r="B176" s="13">
        <f>IFERROR(__xludf.DUMMYFUNCTION("""COMPUTED_VALUE"""),1020.0)</f>
        <v>1020</v>
      </c>
      <c r="C176" s="13">
        <f>IFERROR(__xludf.DUMMYFUNCTION("""COMPUTED_VALUE"""),34.0)</f>
        <v>34</v>
      </c>
      <c r="D176" s="12" t="str">
        <f>IFERROR(__xludf.DUMMYFUNCTION("""COMPUTED_VALUE"""),"Wonderful but going back")</f>
        <v>Wonderful but going back</v>
      </c>
      <c r="E176" s="12" t="str">
        <f>IFERROR(__xludf.DUMMYFUNCTION("""COMPUTED_VALUE"""),"This skirt is beautiful (especially the color) and looks well made. however, i am very pear shaped and this skirt is just too straight to be flattering on me. i agree that it runs small but even when i sized up it still wasn't flattering. i imagine that t"&amp;"hose who were not bestowed with massive hips will look lovely in this.")</f>
        <v>This skirt is beautiful (especially the color) and looks well made. however, i am very pear shaped and this skirt is just too straight to be flattering on me. i agree that it runs small but even when i sized up it still wasn't flattering. i imagine that those who were not bestowed with massive hips will look lovely in this.</v>
      </c>
      <c r="F176" s="13">
        <f>IFERROR(__xludf.DUMMYFUNCTION("""COMPUTED_VALUE"""),5.0)</f>
        <v>5</v>
      </c>
      <c r="G176" s="13">
        <f>IFERROR(__xludf.DUMMYFUNCTION("""COMPUTED_VALUE"""),1.0)</f>
        <v>1</v>
      </c>
      <c r="H176" s="13">
        <f>IFERROR(__xludf.DUMMYFUNCTION("""COMPUTED_VALUE"""),5.0)</f>
        <v>5</v>
      </c>
      <c r="I176" s="13" t="str">
        <f>IFERROR(__xludf.DUMMYFUNCTION("""COMPUTED_VALUE"""),"General Petite")</f>
        <v>General Petite</v>
      </c>
      <c r="J176" s="13" t="str">
        <f>IFERROR(__xludf.DUMMYFUNCTION("""COMPUTED_VALUE"""),"Bottoms")</f>
        <v>Bottoms</v>
      </c>
      <c r="K176" s="13" t="str">
        <f>IFERROR(__xludf.DUMMYFUNCTION("""COMPUTED_VALUE"""),"Skirts")</f>
        <v>Skirts</v>
      </c>
      <c r="L176" s="13"/>
    </row>
    <row r="177">
      <c r="A177" s="13">
        <f>IFERROR(__xludf.DUMMYFUNCTION("""COMPUTED_VALUE"""),175.0)</f>
        <v>175</v>
      </c>
      <c r="B177" s="13">
        <f>IFERROR(__xludf.DUMMYFUNCTION("""COMPUTED_VALUE"""),862.0)</f>
        <v>862</v>
      </c>
      <c r="C177" s="13">
        <f>IFERROR(__xludf.DUMMYFUNCTION("""COMPUTED_VALUE"""),30.0)</f>
        <v>30</v>
      </c>
      <c r="D177" s="12" t="str">
        <f>IFERROR(__xludf.DUMMYFUNCTION("""COMPUTED_VALUE"""),"Comfy, casual shirt")</f>
        <v>Comfy, casual shirt</v>
      </c>
      <c r="E177" s="12" t="str">
        <f>IFERROR(__xludf.DUMMYFUNCTION("""COMPUTED_VALUE"""),"Happy with this top- slightly thinner material than i was expecting but that'll be fine with our hot summers. got the navy striped one- very pretty and extremely soft. washes well. i do wear an tank underneath though bc the armholes are slightly large and"&amp;" you can see part of my bra.")</f>
        <v>Happy with this top- slightly thinner material than i was expecting but that'll be fine with our hot summers. got the navy striped one- very pretty and extremely soft. washes well. i do wear an tank underneath though bc the armholes are slightly large and you can see part of my bra.</v>
      </c>
      <c r="F177" s="13">
        <f>IFERROR(__xludf.DUMMYFUNCTION("""COMPUTED_VALUE"""),4.0)</f>
        <v>4</v>
      </c>
      <c r="G177" s="13">
        <f>IFERROR(__xludf.DUMMYFUNCTION("""COMPUTED_VALUE"""),1.0)</f>
        <v>1</v>
      </c>
      <c r="H177" s="13">
        <f>IFERROR(__xludf.DUMMYFUNCTION("""COMPUTED_VALUE"""),4.0)</f>
        <v>4</v>
      </c>
      <c r="I177" s="13" t="str">
        <f>IFERROR(__xludf.DUMMYFUNCTION("""COMPUTED_VALUE"""),"General")</f>
        <v>General</v>
      </c>
      <c r="J177" s="13" t="str">
        <f>IFERROR(__xludf.DUMMYFUNCTION("""COMPUTED_VALUE"""),"Tops")</f>
        <v>Tops</v>
      </c>
      <c r="K177" s="13" t="str">
        <f>IFERROR(__xludf.DUMMYFUNCTION("""COMPUTED_VALUE"""),"Knits")</f>
        <v>Knits</v>
      </c>
      <c r="L177" s="13"/>
    </row>
    <row r="178">
      <c r="A178" s="13">
        <f>IFERROR(__xludf.DUMMYFUNCTION("""COMPUTED_VALUE"""),176.0)</f>
        <v>176</v>
      </c>
      <c r="B178" s="13">
        <f>IFERROR(__xludf.DUMMYFUNCTION("""COMPUTED_VALUE"""),895.0)</f>
        <v>895</v>
      </c>
      <c r="C178" s="13">
        <f>IFERROR(__xludf.DUMMYFUNCTION("""COMPUTED_VALUE"""),43.0)</f>
        <v>43</v>
      </c>
      <c r="D178" s="12" t="str">
        <f>IFERROR(__xludf.DUMMYFUNCTION("""COMPUTED_VALUE"""),"Perfect casual sweater")</f>
        <v>Perfect casual sweater</v>
      </c>
      <c r="E178" s="12" t="str">
        <f>IFERROR(__xludf.DUMMYFUNCTION("""COMPUTED_VALUE"""),"Love the fit of this sweater! it almost fits like a sweatshirt and definitely not as long as on the model. it hits me just below the hips( for ref. im 5-3""). im considering getting all the other colors because its so cute and comfortable. could be dresse"&amp;"d up or down. runs true to size-im always a small and this fits perfectly roomy.")</f>
        <v>Love the fit of this sweater! it almost fits like a sweatshirt and definitely not as long as on the model. it hits me just below the hips( for ref. im 5-3"). im considering getting all the other colors because its so cute and comfortable. could be dressed up or down. runs true to size-im always a small and this fits perfectly roomy.</v>
      </c>
      <c r="F178" s="13">
        <f>IFERROR(__xludf.DUMMYFUNCTION("""COMPUTED_VALUE"""),5.0)</f>
        <v>5</v>
      </c>
      <c r="G178" s="13">
        <f>IFERROR(__xludf.DUMMYFUNCTION("""COMPUTED_VALUE"""),1.0)</f>
        <v>1</v>
      </c>
      <c r="H178" s="13">
        <f>IFERROR(__xludf.DUMMYFUNCTION("""COMPUTED_VALUE"""),9.0)</f>
        <v>9</v>
      </c>
      <c r="I178" s="13" t="str">
        <f>IFERROR(__xludf.DUMMYFUNCTION("""COMPUTED_VALUE"""),"General")</f>
        <v>General</v>
      </c>
      <c r="J178" s="13" t="str">
        <f>IFERROR(__xludf.DUMMYFUNCTION("""COMPUTED_VALUE"""),"Tops")</f>
        <v>Tops</v>
      </c>
      <c r="K178" s="13" t="str">
        <f>IFERROR(__xludf.DUMMYFUNCTION("""COMPUTED_VALUE"""),"Fine gauge")</f>
        <v>Fine gauge</v>
      </c>
      <c r="L178" s="13"/>
    </row>
    <row r="179">
      <c r="A179" s="13">
        <f>IFERROR(__xludf.DUMMYFUNCTION("""COMPUTED_VALUE"""),177.0)</f>
        <v>177</v>
      </c>
      <c r="B179" s="13">
        <f>IFERROR(__xludf.DUMMYFUNCTION("""COMPUTED_VALUE"""),895.0)</f>
        <v>895</v>
      </c>
      <c r="C179" s="13">
        <f>IFERROR(__xludf.DUMMYFUNCTION("""COMPUTED_VALUE"""),52.0)</f>
        <v>52</v>
      </c>
      <c r="D179" s="12"/>
      <c r="E179" s="12" t="str">
        <f>IFERROR(__xludf.DUMMYFUNCTION("""COMPUTED_VALUE"""),"I love this sweater!! i like sweaters that are narrow on top and taper out so it doesn't look like a sack on me. plus, it is the perfect weight. i wish i would have bought one in a different color because it is so comfortable.")</f>
        <v>I love this sweater!! i like sweaters that are narrow on top and taper out so it doesn't look like a sack on me. plus, it is the perfect weight. i wish i would have bought one in a different color because it is so comfortable.</v>
      </c>
      <c r="F179" s="13">
        <f>IFERROR(__xludf.DUMMYFUNCTION("""COMPUTED_VALUE"""),5.0)</f>
        <v>5</v>
      </c>
      <c r="G179" s="13">
        <f>IFERROR(__xludf.DUMMYFUNCTION("""COMPUTED_VALUE"""),1.0)</f>
        <v>1</v>
      </c>
      <c r="H179" s="13">
        <f>IFERROR(__xludf.DUMMYFUNCTION("""COMPUTED_VALUE"""),0.0)</f>
        <v>0</v>
      </c>
      <c r="I179" s="13" t="str">
        <f>IFERROR(__xludf.DUMMYFUNCTION("""COMPUTED_VALUE"""),"General")</f>
        <v>General</v>
      </c>
      <c r="J179" s="13" t="str">
        <f>IFERROR(__xludf.DUMMYFUNCTION("""COMPUTED_VALUE"""),"Tops")</f>
        <v>Tops</v>
      </c>
      <c r="K179" s="13" t="str">
        <f>IFERROR(__xludf.DUMMYFUNCTION("""COMPUTED_VALUE"""),"Fine gauge")</f>
        <v>Fine gauge</v>
      </c>
      <c r="L179" s="13"/>
    </row>
    <row r="180">
      <c r="A180" s="13">
        <f>IFERROR(__xludf.DUMMYFUNCTION("""COMPUTED_VALUE"""),178.0)</f>
        <v>178</v>
      </c>
      <c r="B180" s="13">
        <f>IFERROR(__xludf.DUMMYFUNCTION("""COMPUTED_VALUE"""),1094.0)</f>
        <v>1094</v>
      </c>
      <c r="C180" s="13">
        <f>IFERROR(__xludf.DUMMYFUNCTION("""COMPUTED_VALUE"""),35.0)</f>
        <v>35</v>
      </c>
      <c r="D180" s="12" t="str">
        <f>IFERROR(__xludf.DUMMYFUNCTION("""COMPUTED_VALUE"""),"Not for me")</f>
        <v>Not for me</v>
      </c>
      <c r="E180" s="12" t="str">
        <f>IFERROR(__xludf.DUMMYFUNCTION("""COMPUTED_VALUE"""),"The colors are vivid and perfectly autumnal but the fit is a mess. it was overall too large, the waistline curves up in the front and then falls into small pleats which was maternityish, the waistband was thicker than the dress and sat away from my body a"&amp;"nd the material was a cheapish poly. had the outer dress been made from the same material as the lining, i would have liked it better. the modesty closure was a plus but the dress was already unraveling when i took it out. #returned")</f>
        <v>The colors are vivid and perfectly autumnal but the fit is a mess. it was overall too large, the waistline curves up in the front and then falls into small pleats which was maternityish, the waistband was thicker than the dress and sat away from my body and the material was a cheapish poly. had the outer dress been made from the same material as the lining, i would have liked it better. the modesty closure was a plus but the dress was already unraveling when i took it out. #returned</v>
      </c>
      <c r="F180" s="13">
        <f>IFERROR(__xludf.DUMMYFUNCTION("""COMPUTED_VALUE"""),2.0)</f>
        <v>2</v>
      </c>
      <c r="G180" s="13">
        <f>IFERROR(__xludf.DUMMYFUNCTION("""COMPUTED_VALUE"""),0.0)</f>
        <v>0</v>
      </c>
      <c r="H180" s="13">
        <f>IFERROR(__xludf.DUMMYFUNCTION("""COMPUTED_VALUE"""),0.0)</f>
        <v>0</v>
      </c>
      <c r="I180" s="13" t="str">
        <f>IFERROR(__xludf.DUMMYFUNCTION("""COMPUTED_VALUE"""),"General Petite")</f>
        <v>General Petite</v>
      </c>
      <c r="J180" s="13" t="str">
        <f>IFERROR(__xludf.DUMMYFUNCTION("""COMPUTED_VALUE"""),"Dresses")</f>
        <v>Dresses</v>
      </c>
      <c r="K180" s="13" t="str">
        <f>IFERROR(__xludf.DUMMYFUNCTION("""COMPUTED_VALUE"""),"Dresses")</f>
        <v>Dresses</v>
      </c>
      <c r="L180" s="13"/>
    </row>
    <row r="181">
      <c r="A181" s="13">
        <f>IFERROR(__xludf.DUMMYFUNCTION("""COMPUTED_VALUE"""),179.0)</f>
        <v>179</v>
      </c>
      <c r="B181" s="13">
        <f>IFERROR(__xludf.DUMMYFUNCTION("""COMPUTED_VALUE"""),895.0)</f>
        <v>895</v>
      </c>
      <c r="C181" s="13">
        <f>IFERROR(__xludf.DUMMYFUNCTION("""COMPUTED_VALUE"""),41.0)</f>
        <v>41</v>
      </c>
      <c r="D181" s="12" t="str">
        <f>IFERROR(__xludf.DUMMYFUNCTION("""COMPUTED_VALUE"""),"Perfect for warmer climates")</f>
        <v>Perfect for warmer climates</v>
      </c>
      <c r="E181" s="12" t="str">
        <f>IFERROR(__xludf.DUMMYFUNCTION("""COMPUTED_VALUE"""),"Love this tunic! i am a curvy gal (with a few extra 'curves' in the middle) and this is a perfect top for accentuating the good and masking the negative. i purchased the pink color and it is a gorgeous peachy- pink, a much deeper color than what is portra"&amp;"yed in the picture. i found it true to size. typically i wear a medium or large, depending on the structure and the medium fit well. a little more fitted on top and looser around the waist. i came back to buy another in the ivory but alas, it is")</f>
        <v>Love this tunic! i am a curvy gal (with a few extra 'curves' in the middle) and this is a perfect top for accentuating the good and masking the negative. i purchased the pink color and it is a gorgeous peachy- pink, a much deeper color than what is portrayed in the picture. i found it true to size. typically i wear a medium or large, depending on the structure and the medium fit well. a little more fitted on top and looser around the waist. i came back to buy another in the ivory but alas, it is</v>
      </c>
      <c r="F181" s="13">
        <f>IFERROR(__xludf.DUMMYFUNCTION("""COMPUTED_VALUE"""),5.0)</f>
        <v>5</v>
      </c>
      <c r="G181" s="13">
        <f>IFERROR(__xludf.DUMMYFUNCTION("""COMPUTED_VALUE"""),1.0)</f>
        <v>1</v>
      </c>
      <c r="H181" s="13">
        <f>IFERROR(__xludf.DUMMYFUNCTION("""COMPUTED_VALUE"""),3.0)</f>
        <v>3</v>
      </c>
      <c r="I181" s="13" t="str">
        <f>IFERROR(__xludf.DUMMYFUNCTION("""COMPUTED_VALUE"""),"General")</f>
        <v>General</v>
      </c>
      <c r="J181" s="13" t="str">
        <f>IFERROR(__xludf.DUMMYFUNCTION("""COMPUTED_VALUE"""),"Tops")</f>
        <v>Tops</v>
      </c>
      <c r="K181" s="13" t="str">
        <f>IFERROR(__xludf.DUMMYFUNCTION("""COMPUTED_VALUE"""),"Fine gauge")</f>
        <v>Fine gauge</v>
      </c>
      <c r="L181" s="13"/>
    </row>
    <row r="182">
      <c r="A182" s="13">
        <f>IFERROR(__xludf.DUMMYFUNCTION("""COMPUTED_VALUE"""),180.0)</f>
        <v>180</v>
      </c>
      <c r="B182" s="13">
        <f>IFERROR(__xludf.DUMMYFUNCTION("""COMPUTED_VALUE"""),895.0)</f>
        <v>895</v>
      </c>
      <c r="C182" s="13">
        <f>IFERROR(__xludf.DUMMYFUNCTION("""COMPUTED_VALUE"""),39.0)</f>
        <v>39</v>
      </c>
      <c r="D182" s="12" t="str">
        <f>IFERROR(__xludf.DUMMYFUNCTION("""COMPUTED_VALUE"""),"Need petite")</f>
        <v>Need petite</v>
      </c>
      <c r="E182" s="12" t="str">
        <f>IFERROR(__xludf.DUMMYFUNCTION("""COMPUTED_VALUE"""),"Loved the green color, the cut is super flattering, but alas, i do need hte petite, ti was a bit long and i looked a little lost. unfrotuantely, the color is sold out in petite :-(")</f>
        <v>Loved the green color, the cut is super flattering, but alas, i do need hte petite, ti was a bit long and i looked a little lost. unfrotuantely, the color is sold out in petite :-(</v>
      </c>
      <c r="F182" s="13">
        <f>IFERROR(__xludf.DUMMYFUNCTION("""COMPUTED_VALUE"""),5.0)</f>
        <v>5</v>
      </c>
      <c r="G182" s="13">
        <f>IFERROR(__xludf.DUMMYFUNCTION("""COMPUTED_VALUE"""),1.0)</f>
        <v>1</v>
      </c>
      <c r="H182" s="13">
        <f>IFERROR(__xludf.DUMMYFUNCTION("""COMPUTED_VALUE"""),1.0)</f>
        <v>1</v>
      </c>
      <c r="I182" s="13" t="str">
        <f>IFERROR(__xludf.DUMMYFUNCTION("""COMPUTED_VALUE"""),"General")</f>
        <v>General</v>
      </c>
      <c r="J182" s="13" t="str">
        <f>IFERROR(__xludf.DUMMYFUNCTION("""COMPUTED_VALUE"""),"Tops")</f>
        <v>Tops</v>
      </c>
      <c r="K182" s="13" t="str">
        <f>IFERROR(__xludf.DUMMYFUNCTION("""COMPUTED_VALUE"""),"Fine gauge")</f>
        <v>Fine gauge</v>
      </c>
      <c r="L182" s="13"/>
    </row>
    <row r="183">
      <c r="A183" s="13">
        <f>IFERROR(__xludf.DUMMYFUNCTION("""COMPUTED_VALUE"""),181.0)</f>
        <v>181</v>
      </c>
      <c r="B183" s="13">
        <f>IFERROR(__xludf.DUMMYFUNCTION("""COMPUTED_VALUE"""),1020.0)</f>
        <v>1020</v>
      </c>
      <c r="C183" s="13">
        <f>IFERROR(__xludf.DUMMYFUNCTION("""COMPUTED_VALUE"""),39.0)</f>
        <v>39</v>
      </c>
      <c r="D183" s="12" t="str">
        <f>IFERROR(__xludf.DUMMYFUNCTION("""COMPUTED_VALUE"""),"Fun")</f>
        <v>Fun</v>
      </c>
      <c r="E183" s="12" t="str">
        <f>IFERROR(__xludf.DUMMYFUNCTION("""COMPUTED_VALUE"""),"But i thought this was lace or with texture, it is more a pattern on regular fabric.
colors are nice, there are subtle flowers with bright colors in the pattern, the fit is nice, the 0p fit snugly enough, i don't think there was much give but that was co"&amp;"mfortable enough. petite length did end below the knee as shown. i think it would have been nicer shorter but don't want to have to pay extra to ehm so i left that one behind...maybe on sale :-)")</f>
        <v>But i thought this was lace or with texture, it is more a pattern on regular fabric.
colors are nice, there are subtle flowers with bright colors in the pattern, the fit is nice, the 0p fit snugly enough, i don't think there was much give but that was comfortable enough. petite length did end below the knee as shown. i think it would have been nicer shorter but don't want to have to pay extra to ehm so i left that one behind...maybe on sale :-)</v>
      </c>
      <c r="F183" s="13">
        <f>IFERROR(__xludf.DUMMYFUNCTION("""COMPUTED_VALUE"""),4.0)</f>
        <v>4</v>
      </c>
      <c r="G183" s="13">
        <f>IFERROR(__xludf.DUMMYFUNCTION("""COMPUTED_VALUE"""),1.0)</f>
        <v>1</v>
      </c>
      <c r="H183" s="13">
        <f>IFERROR(__xludf.DUMMYFUNCTION("""COMPUTED_VALUE"""),1.0)</f>
        <v>1</v>
      </c>
      <c r="I183" s="13" t="str">
        <f>IFERROR(__xludf.DUMMYFUNCTION("""COMPUTED_VALUE"""),"General Petite")</f>
        <v>General Petite</v>
      </c>
      <c r="J183" s="13" t="str">
        <f>IFERROR(__xludf.DUMMYFUNCTION("""COMPUTED_VALUE"""),"Bottoms")</f>
        <v>Bottoms</v>
      </c>
      <c r="K183" s="13" t="str">
        <f>IFERROR(__xludf.DUMMYFUNCTION("""COMPUTED_VALUE"""),"Skirts")</f>
        <v>Skirts</v>
      </c>
      <c r="L183" s="13"/>
    </row>
    <row r="184">
      <c r="A184" s="13">
        <f>IFERROR(__xludf.DUMMYFUNCTION("""COMPUTED_VALUE"""),182.0)</f>
        <v>182</v>
      </c>
      <c r="B184" s="13">
        <f>IFERROR(__xludf.DUMMYFUNCTION("""COMPUTED_VALUE"""),895.0)</f>
        <v>895</v>
      </c>
      <c r="C184" s="13">
        <f>IFERROR(__xludf.DUMMYFUNCTION("""COMPUTED_VALUE"""),50.0)</f>
        <v>50</v>
      </c>
      <c r="D184" s="12" t="str">
        <f>IFERROR(__xludf.DUMMYFUNCTION("""COMPUTED_VALUE"""),"Completes so many outfits!")</f>
        <v>Completes so many outfits!</v>
      </c>
      <c r="E184" s="12" t="str">
        <f>IFERROR(__xludf.DUMMYFUNCTION("""COMPUTED_VALUE"""),"I like this sweater so much i just bought it in a second color! the pleats make the sweater conform to my shape just enough to be flattering. i wore it over three different dresses this week that might have felt too bare for work or cooler weather. i live"&amp;" in a hot climate so this is the right weight for our cooler months. the metallic threads give it a little bit of flair and the grey color goes with everything. i'm 5'7"" size 10-12 and the large fit just right.")</f>
        <v>I like this sweater so much i just bought it in a second color! the pleats make the sweater conform to my shape just enough to be flattering. i wore it over three different dresses this week that might have felt too bare for work or cooler weather. i live in a hot climate so this is the right weight for our cooler months. the metallic threads give it a little bit of flair and the grey color goes with everything. i'm 5'7" size 10-12 and the large fit just right.</v>
      </c>
      <c r="F184" s="13">
        <f>IFERROR(__xludf.DUMMYFUNCTION("""COMPUTED_VALUE"""),5.0)</f>
        <v>5</v>
      </c>
      <c r="G184" s="13">
        <f>IFERROR(__xludf.DUMMYFUNCTION("""COMPUTED_VALUE"""),1.0)</f>
        <v>1</v>
      </c>
      <c r="H184" s="13">
        <f>IFERROR(__xludf.DUMMYFUNCTION("""COMPUTED_VALUE"""),5.0)</f>
        <v>5</v>
      </c>
      <c r="I184" s="13" t="str">
        <f>IFERROR(__xludf.DUMMYFUNCTION("""COMPUTED_VALUE"""),"General")</f>
        <v>General</v>
      </c>
      <c r="J184" s="13" t="str">
        <f>IFERROR(__xludf.DUMMYFUNCTION("""COMPUTED_VALUE"""),"Tops")</f>
        <v>Tops</v>
      </c>
      <c r="K184" s="13" t="str">
        <f>IFERROR(__xludf.DUMMYFUNCTION("""COMPUTED_VALUE"""),"Fine gauge")</f>
        <v>Fine gauge</v>
      </c>
      <c r="L184" s="13"/>
    </row>
    <row r="185">
      <c r="A185" s="13">
        <f>IFERROR(__xludf.DUMMYFUNCTION("""COMPUTED_VALUE"""),183.0)</f>
        <v>183</v>
      </c>
      <c r="B185" s="13">
        <f>IFERROR(__xludf.DUMMYFUNCTION("""COMPUTED_VALUE"""),1020.0)</f>
        <v>1020</v>
      </c>
      <c r="C185" s="13">
        <f>IFERROR(__xludf.DUMMYFUNCTION("""COMPUTED_VALUE"""),27.0)</f>
        <v>27</v>
      </c>
      <c r="D185" s="12" t="str">
        <f>IFERROR(__xludf.DUMMYFUNCTION("""COMPUTED_VALUE"""),"Size up!")</f>
        <v>Size up!</v>
      </c>
      <c r="E185" s="12" t="str">
        <f>IFERROR(__xludf.DUMMYFUNCTION("""COMPUTED_VALUE"""),"Beautiful color,, great quality, and great fit if you size up! i learned my lesson with previous purchases and sized up when i read it runs small. i usually wear a 0/2 and i took a risk and went for the 4. it fits perfectly. i have a 25 in waist.")</f>
        <v>Beautiful color,, great quality, and great fit if you size up! i learned my lesson with previous purchases and sized up when i read it runs small. i usually wear a 0/2 and i took a risk and went for the 4. it fits perfectly. i have a 25 in waist.</v>
      </c>
      <c r="F185" s="13">
        <f>IFERROR(__xludf.DUMMYFUNCTION("""COMPUTED_VALUE"""),4.0)</f>
        <v>4</v>
      </c>
      <c r="G185" s="13">
        <f>IFERROR(__xludf.DUMMYFUNCTION("""COMPUTED_VALUE"""),1.0)</f>
        <v>1</v>
      </c>
      <c r="H185" s="13">
        <f>IFERROR(__xludf.DUMMYFUNCTION("""COMPUTED_VALUE"""),1.0)</f>
        <v>1</v>
      </c>
      <c r="I185" s="13" t="str">
        <f>IFERROR(__xludf.DUMMYFUNCTION("""COMPUTED_VALUE"""),"General Petite")</f>
        <v>General Petite</v>
      </c>
      <c r="J185" s="13" t="str">
        <f>IFERROR(__xludf.DUMMYFUNCTION("""COMPUTED_VALUE"""),"Bottoms")</f>
        <v>Bottoms</v>
      </c>
      <c r="K185" s="13" t="str">
        <f>IFERROR(__xludf.DUMMYFUNCTION("""COMPUTED_VALUE"""),"Skirts")</f>
        <v>Skirts</v>
      </c>
      <c r="L185" s="13"/>
    </row>
    <row r="186">
      <c r="A186" s="13">
        <f>IFERROR(__xludf.DUMMYFUNCTION("""COMPUTED_VALUE"""),184.0)</f>
        <v>184</v>
      </c>
      <c r="B186" s="13">
        <f>IFERROR(__xludf.DUMMYFUNCTION("""COMPUTED_VALUE"""),895.0)</f>
        <v>895</v>
      </c>
      <c r="C186" s="13">
        <f>IFERROR(__xludf.DUMMYFUNCTION("""COMPUTED_VALUE"""),33.0)</f>
        <v>33</v>
      </c>
      <c r="D186" s="12" t="str">
        <f>IFERROR(__xludf.DUMMYFUNCTION("""COMPUTED_VALUE"""),"Not as pictured.")</f>
        <v>Not as pictured.</v>
      </c>
      <c r="E186" s="12" t="str">
        <f>IFERROR(__xludf.DUMMYFUNCTION("""COMPUTED_VALUE"""),"Online, this looks like a great sweater. i ordered an xxsp and found that this sweater is much wider in the middle than pictured. in fact, i'm pretty sure they pinned the shirt in the back for the picture to make it appear slimmer. unfortunately, this swe"&amp;"ater will not work for me, as i am an hourglass shape and this shirt makes me look 20 pounds heavier.")</f>
        <v>Online, this looks like a great sweater. i ordered an xxsp and found that this sweater is much wider in the middle than pictured. in fact, i'm pretty sure they pinned the shirt in the back for the picture to make it appear slimmer. unfortunately, this sweater will not work for me, as i am an hourglass shape and this shirt makes me look 20 pounds heavier.</v>
      </c>
      <c r="F186" s="13">
        <f>IFERROR(__xludf.DUMMYFUNCTION("""COMPUTED_VALUE"""),2.0)</f>
        <v>2</v>
      </c>
      <c r="G186" s="13">
        <f>IFERROR(__xludf.DUMMYFUNCTION("""COMPUTED_VALUE"""),0.0)</f>
        <v>0</v>
      </c>
      <c r="H186" s="13">
        <f>IFERROR(__xludf.DUMMYFUNCTION("""COMPUTED_VALUE"""),8.0)</f>
        <v>8</v>
      </c>
      <c r="I186" s="13" t="str">
        <f>IFERROR(__xludf.DUMMYFUNCTION("""COMPUTED_VALUE"""),"General")</f>
        <v>General</v>
      </c>
      <c r="J186" s="13" t="str">
        <f>IFERROR(__xludf.DUMMYFUNCTION("""COMPUTED_VALUE"""),"Tops")</f>
        <v>Tops</v>
      </c>
      <c r="K186" s="13" t="str">
        <f>IFERROR(__xludf.DUMMYFUNCTION("""COMPUTED_VALUE"""),"Fine gauge")</f>
        <v>Fine gauge</v>
      </c>
      <c r="L186" s="13"/>
    </row>
    <row r="187">
      <c r="A187" s="13">
        <f>IFERROR(__xludf.DUMMYFUNCTION("""COMPUTED_VALUE"""),185.0)</f>
        <v>185</v>
      </c>
      <c r="B187" s="13">
        <f>IFERROR(__xludf.DUMMYFUNCTION("""COMPUTED_VALUE"""),895.0)</f>
        <v>895</v>
      </c>
      <c r="C187" s="13">
        <f>IFERROR(__xludf.DUMMYFUNCTION("""COMPUTED_VALUE"""),35.0)</f>
        <v>35</v>
      </c>
      <c r="D187" s="12" t="str">
        <f>IFERROR(__xludf.DUMMYFUNCTION("""COMPUTED_VALUE"""),"Fits strange, flimsy material")</f>
        <v>Fits strange, flimsy material</v>
      </c>
      <c r="E187" s="12" t="str">
        <f>IFERROR(__xludf.DUMMYFUNCTION("""COMPUTED_VALUE"""),"I was worried about this item when i ordered it because of how it looks in the picture, but i had wishful thinking. i should have gone with my gut! this shirt does not have the same quality as all my other retailer purchases. it is see-through and flimsy."&amp;" the bottom is just like the picture, it hangs in an odd rumpled way. the top is very flattering though, so it's a shame! if the bottom fit nicer like their other products i could have gotten away with wearing a cami under it to make up for the qu")</f>
        <v>I was worried about this item when i ordered it because of how it looks in the picture, but i had wishful thinking. i should have gone with my gut! this shirt does not have the same quality as all my other retailer purchases. it is see-through and flimsy. the bottom is just like the picture, it hangs in an odd rumpled way. the top is very flattering though, so it's a shame! if the bottom fit nicer like their other products i could have gotten away with wearing a cami under it to make up for the qu</v>
      </c>
      <c r="F187" s="13">
        <f>IFERROR(__xludf.DUMMYFUNCTION("""COMPUTED_VALUE"""),2.0)</f>
        <v>2</v>
      </c>
      <c r="G187" s="13">
        <f>IFERROR(__xludf.DUMMYFUNCTION("""COMPUTED_VALUE"""),0.0)</f>
        <v>0</v>
      </c>
      <c r="H187" s="13">
        <f>IFERROR(__xludf.DUMMYFUNCTION("""COMPUTED_VALUE"""),0.0)</f>
        <v>0</v>
      </c>
      <c r="I187" s="13" t="str">
        <f>IFERROR(__xludf.DUMMYFUNCTION("""COMPUTED_VALUE"""),"General")</f>
        <v>General</v>
      </c>
      <c r="J187" s="13" t="str">
        <f>IFERROR(__xludf.DUMMYFUNCTION("""COMPUTED_VALUE"""),"Tops")</f>
        <v>Tops</v>
      </c>
      <c r="K187" s="13" t="str">
        <f>IFERROR(__xludf.DUMMYFUNCTION("""COMPUTED_VALUE"""),"Fine gauge")</f>
        <v>Fine gauge</v>
      </c>
      <c r="L187" s="13"/>
    </row>
    <row r="188">
      <c r="A188" s="13">
        <f>IFERROR(__xludf.DUMMYFUNCTION("""COMPUTED_VALUE"""),186.0)</f>
        <v>186</v>
      </c>
      <c r="B188" s="13">
        <f>IFERROR(__xludf.DUMMYFUNCTION("""COMPUTED_VALUE"""),1020.0)</f>
        <v>1020</v>
      </c>
      <c r="C188" s="13">
        <f>IFERROR(__xludf.DUMMYFUNCTION("""COMPUTED_VALUE"""),34.0)</f>
        <v>34</v>
      </c>
      <c r="D188" s="12" t="str">
        <f>IFERROR(__xludf.DUMMYFUNCTION("""COMPUTED_VALUE"""),"Nice color, love the snap buttons")</f>
        <v>Nice color, love the snap buttons</v>
      </c>
      <c r="E188" s="12" t="str">
        <f>IFERROR(__xludf.DUMMYFUNCTION("""COMPUTED_VALUE"""),"This skirt is a great length and nice piece for fall/winter. i love the color. it fits like a high waisted skirt would which is why i purchased the next size up.")</f>
        <v>This skirt is a great length and nice piece for fall/winter. i love the color. it fits like a high waisted skirt would which is why i purchased the next size up.</v>
      </c>
      <c r="F188" s="13">
        <f>IFERROR(__xludf.DUMMYFUNCTION("""COMPUTED_VALUE"""),4.0)</f>
        <v>4</v>
      </c>
      <c r="G188" s="13">
        <f>IFERROR(__xludf.DUMMYFUNCTION("""COMPUTED_VALUE"""),1.0)</f>
        <v>1</v>
      </c>
      <c r="H188" s="13">
        <f>IFERROR(__xludf.DUMMYFUNCTION("""COMPUTED_VALUE"""),0.0)</f>
        <v>0</v>
      </c>
      <c r="I188" s="13" t="str">
        <f>IFERROR(__xludf.DUMMYFUNCTION("""COMPUTED_VALUE"""),"General Petite")</f>
        <v>General Petite</v>
      </c>
      <c r="J188" s="13" t="str">
        <f>IFERROR(__xludf.DUMMYFUNCTION("""COMPUTED_VALUE"""),"Bottoms")</f>
        <v>Bottoms</v>
      </c>
      <c r="K188" s="13" t="str">
        <f>IFERROR(__xludf.DUMMYFUNCTION("""COMPUTED_VALUE"""),"Skirts")</f>
        <v>Skirts</v>
      </c>
      <c r="L188" s="13"/>
    </row>
    <row r="189">
      <c r="A189" s="13">
        <f>IFERROR(__xludf.DUMMYFUNCTION("""COMPUTED_VALUE"""),187.0)</f>
        <v>187</v>
      </c>
      <c r="B189" s="13">
        <f>IFERROR(__xludf.DUMMYFUNCTION("""COMPUTED_VALUE"""),596.0)</f>
        <v>596</v>
      </c>
      <c r="C189" s="13">
        <f>IFERROR(__xludf.DUMMYFUNCTION("""COMPUTED_VALUE"""),41.0)</f>
        <v>41</v>
      </c>
      <c r="D189" s="12" t="str">
        <f>IFERROR(__xludf.DUMMYFUNCTION("""COMPUTED_VALUE"""),"Modern comfort")</f>
        <v>Modern comfort</v>
      </c>
      <c r="E189" s="12" t="str">
        <f>IFERROR(__xludf.DUMMYFUNCTION("""COMPUTED_VALUE"""),"This easel caftan is simply amazing! the silhouette fits all sizes and shapes while providing a unique dress.")</f>
        <v>This easel caftan is simply amazing! the silhouette fits all sizes and shapes while providing a unique dress.</v>
      </c>
      <c r="F189" s="13">
        <f>IFERROR(__xludf.DUMMYFUNCTION("""COMPUTED_VALUE"""),5.0)</f>
        <v>5</v>
      </c>
      <c r="G189" s="13">
        <f>IFERROR(__xludf.DUMMYFUNCTION("""COMPUTED_VALUE"""),1.0)</f>
        <v>1</v>
      </c>
      <c r="H189" s="13">
        <f>IFERROR(__xludf.DUMMYFUNCTION("""COMPUTED_VALUE"""),2.0)</f>
        <v>2</v>
      </c>
      <c r="I189" s="13" t="str">
        <f>IFERROR(__xludf.DUMMYFUNCTION("""COMPUTED_VALUE"""),"General")</f>
        <v>General</v>
      </c>
      <c r="J189" s="13" t="str">
        <f>IFERROR(__xludf.DUMMYFUNCTION("""COMPUTED_VALUE"""),"Trend")</f>
        <v>Trend</v>
      </c>
      <c r="K189" s="13" t="str">
        <f>IFERROR(__xludf.DUMMYFUNCTION("""COMPUTED_VALUE"""),"Trend")</f>
        <v>Trend</v>
      </c>
      <c r="L189" s="13"/>
    </row>
    <row r="190">
      <c r="A190" s="13">
        <f>IFERROR(__xludf.DUMMYFUNCTION("""COMPUTED_VALUE"""),188.0)</f>
        <v>188</v>
      </c>
      <c r="B190" s="13">
        <f>IFERROR(__xludf.DUMMYFUNCTION("""COMPUTED_VALUE"""),1094.0)</f>
        <v>1094</v>
      </c>
      <c r="C190" s="13">
        <f>IFERROR(__xludf.DUMMYFUNCTION("""COMPUTED_VALUE"""),54.0)</f>
        <v>54</v>
      </c>
      <c r="D190" s="12" t="str">
        <f>IFERROR(__xludf.DUMMYFUNCTION("""COMPUTED_VALUE"""),"It's gorgeous, but...")</f>
        <v>It's gorgeous, but...</v>
      </c>
      <c r="E190" s="12" t="str">
        <f>IFERROR(__xludf.DUMMYFUNCTION("""COMPUTED_VALUE"""),"Just came today: the print is gorgeous.  very bohemian. it's a dressier dress with the chiffon.  on the con side, the chiffon is very delicate, snagged easily while trying on. there's raw edges on the waistband, needed trimming fresh out of the package.  "&amp;"sz 10 fit in the waist, too small for 36d bust; sz 12 fits bust but is big in the waist.  sz 10 ankle length for 5'7"", 12 hits the floor.  haven't decided if i'll keep the 12 and try to alter.")</f>
        <v>Just came today: the print is gorgeous.  very bohemian. it's a dressier dress with the chiffon.  on the con side, the chiffon is very delicate, snagged easily while trying on. there's raw edges on the waistband, needed trimming fresh out of the package.  sz 10 fit in the waist, too small for 36d bust; sz 12 fits bust but is big in the waist.  sz 10 ankle length for 5'7", 12 hits the floor.  haven't decided if i'll keep the 12 and try to alter.</v>
      </c>
      <c r="F190" s="13">
        <f>IFERROR(__xludf.DUMMYFUNCTION("""COMPUTED_VALUE"""),4.0)</f>
        <v>4</v>
      </c>
      <c r="G190" s="13">
        <f>IFERROR(__xludf.DUMMYFUNCTION("""COMPUTED_VALUE"""),1.0)</f>
        <v>1</v>
      </c>
      <c r="H190" s="13">
        <f>IFERROR(__xludf.DUMMYFUNCTION("""COMPUTED_VALUE"""),0.0)</f>
        <v>0</v>
      </c>
      <c r="I190" s="13" t="str">
        <f>IFERROR(__xludf.DUMMYFUNCTION("""COMPUTED_VALUE"""),"General Petite")</f>
        <v>General Petite</v>
      </c>
      <c r="J190" s="13" t="str">
        <f>IFERROR(__xludf.DUMMYFUNCTION("""COMPUTED_VALUE"""),"Dresses")</f>
        <v>Dresses</v>
      </c>
      <c r="K190" s="13" t="str">
        <f>IFERROR(__xludf.DUMMYFUNCTION("""COMPUTED_VALUE"""),"Dresses")</f>
        <v>Dresses</v>
      </c>
      <c r="L190" s="13"/>
    </row>
    <row r="191">
      <c r="A191" s="13">
        <f>IFERROR(__xludf.DUMMYFUNCTION("""COMPUTED_VALUE"""),189.0)</f>
        <v>189</v>
      </c>
      <c r="B191" s="13">
        <f>IFERROR(__xludf.DUMMYFUNCTION("""COMPUTED_VALUE"""),1020.0)</f>
        <v>1020</v>
      </c>
      <c r="C191" s="13">
        <f>IFERROR(__xludf.DUMMYFUNCTION("""COMPUTED_VALUE"""),41.0)</f>
        <v>41</v>
      </c>
      <c r="D191" s="12" t="str">
        <f>IFERROR(__xludf.DUMMYFUNCTION("""COMPUTED_VALUE"""),"Runs very small")</f>
        <v>Runs very small</v>
      </c>
      <c r="E191" s="12" t="str">
        <f>IFERROR(__xludf.DUMMYFUNCTION("""COMPUTED_VALUE"""),"My waist measures 28"" and the size 4 is a snug fit. i normally buy size 2 in retailer skirts, but the 2 was unbearably tight. cute skirt though! i like that it's machine washable, and the quality looks good.")</f>
        <v>My waist measures 28" and the size 4 is a snug fit. i normally buy size 2 in retailer skirts, but the 2 was unbearably tight. cute skirt though! i like that it's machine washable, and the quality looks good.</v>
      </c>
      <c r="F191" s="13">
        <f>IFERROR(__xludf.DUMMYFUNCTION("""COMPUTED_VALUE"""),4.0)</f>
        <v>4</v>
      </c>
      <c r="G191" s="13">
        <f>IFERROR(__xludf.DUMMYFUNCTION("""COMPUTED_VALUE"""),1.0)</f>
        <v>1</v>
      </c>
      <c r="H191" s="13">
        <f>IFERROR(__xludf.DUMMYFUNCTION("""COMPUTED_VALUE"""),4.0)</f>
        <v>4</v>
      </c>
      <c r="I191" s="13" t="str">
        <f>IFERROR(__xludf.DUMMYFUNCTION("""COMPUTED_VALUE"""),"General Petite")</f>
        <v>General Petite</v>
      </c>
      <c r="J191" s="13" t="str">
        <f>IFERROR(__xludf.DUMMYFUNCTION("""COMPUTED_VALUE"""),"Bottoms")</f>
        <v>Bottoms</v>
      </c>
      <c r="K191" s="13" t="str">
        <f>IFERROR(__xludf.DUMMYFUNCTION("""COMPUTED_VALUE"""),"Skirts")</f>
        <v>Skirts</v>
      </c>
      <c r="L191" s="13"/>
    </row>
    <row r="192">
      <c r="A192" s="13">
        <f>IFERROR(__xludf.DUMMYFUNCTION("""COMPUTED_VALUE"""),190.0)</f>
        <v>190</v>
      </c>
      <c r="B192" s="13">
        <f>IFERROR(__xludf.DUMMYFUNCTION("""COMPUTED_VALUE"""),895.0)</f>
        <v>895</v>
      </c>
      <c r="C192" s="13">
        <f>IFERROR(__xludf.DUMMYFUNCTION("""COMPUTED_VALUE"""),47.0)</f>
        <v>47</v>
      </c>
      <c r="D192" s="12" t="str">
        <f>IFERROR(__xludf.DUMMYFUNCTION("""COMPUTED_VALUE"""),"Pretty")</f>
        <v>Pretty</v>
      </c>
      <c r="E192" s="12" t="str">
        <f>IFERROR(__xludf.DUMMYFUNCTION("""COMPUTED_VALUE"""),"I love the fabric and color (i bought the green one). my only complaint is that the base is wider than the picture shows. it looks more fitted on the model. it is more of an a shape (significantly wider at the hips.)")</f>
        <v>I love the fabric and color (i bought the green one). my only complaint is that the base is wider than the picture shows. it looks more fitted on the model. it is more of an a shape (significantly wider at the hips.)</v>
      </c>
      <c r="F192" s="13">
        <f>IFERROR(__xludf.DUMMYFUNCTION("""COMPUTED_VALUE"""),4.0)</f>
        <v>4</v>
      </c>
      <c r="G192" s="13">
        <f>IFERROR(__xludf.DUMMYFUNCTION("""COMPUTED_VALUE"""),1.0)</f>
        <v>1</v>
      </c>
      <c r="H192" s="13">
        <f>IFERROR(__xludf.DUMMYFUNCTION("""COMPUTED_VALUE"""),0.0)</f>
        <v>0</v>
      </c>
      <c r="I192" s="13" t="str">
        <f>IFERROR(__xludf.DUMMYFUNCTION("""COMPUTED_VALUE"""),"General Petite")</f>
        <v>General Petite</v>
      </c>
      <c r="J192" s="13" t="str">
        <f>IFERROR(__xludf.DUMMYFUNCTION("""COMPUTED_VALUE"""),"Tops")</f>
        <v>Tops</v>
      </c>
      <c r="K192" s="13" t="str">
        <f>IFERROR(__xludf.DUMMYFUNCTION("""COMPUTED_VALUE"""),"Fine gauge")</f>
        <v>Fine gauge</v>
      </c>
      <c r="L192" s="13"/>
    </row>
    <row r="193">
      <c r="A193" s="13">
        <f>IFERROR(__xludf.DUMMYFUNCTION("""COMPUTED_VALUE"""),191.0)</f>
        <v>191</v>
      </c>
      <c r="B193" s="13">
        <f>IFERROR(__xludf.DUMMYFUNCTION("""COMPUTED_VALUE"""),895.0)</f>
        <v>895</v>
      </c>
      <c r="C193" s="13">
        <f>IFERROR(__xludf.DUMMYFUNCTION("""COMPUTED_VALUE"""),52.0)</f>
        <v>52</v>
      </c>
      <c r="D193" s="12" t="str">
        <f>IFERROR(__xludf.DUMMYFUNCTION("""COMPUTED_VALUE"""),"Nice but too thin")</f>
        <v>Nice but too thin</v>
      </c>
      <c r="E193" s="12" t="str">
        <f>IFERROR(__xludf.DUMMYFUNCTION("""COMPUTED_VALUE"""),"I was minimally torn over whether to return this but ultimately it's going back because the knit is just too thin. i thought it would be cozy and be of normal sweater weight but it's not. and because it's so light, the swing effect doesn't really come off"&amp;". nothing special.")</f>
        <v>I was minimally torn over whether to return this but ultimately it's going back because the knit is just too thin. i thought it would be cozy and be of normal sweater weight but it's not. and because it's so light, the swing effect doesn't really come off. nothing special.</v>
      </c>
      <c r="F193" s="13">
        <f>IFERROR(__xludf.DUMMYFUNCTION("""COMPUTED_VALUE"""),2.0)</f>
        <v>2</v>
      </c>
      <c r="G193" s="13">
        <f>IFERROR(__xludf.DUMMYFUNCTION("""COMPUTED_VALUE"""),0.0)</f>
        <v>0</v>
      </c>
      <c r="H193" s="13">
        <f>IFERROR(__xludf.DUMMYFUNCTION("""COMPUTED_VALUE"""),3.0)</f>
        <v>3</v>
      </c>
      <c r="I193" s="13" t="str">
        <f>IFERROR(__xludf.DUMMYFUNCTION("""COMPUTED_VALUE"""),"General Petite")</f>
        <v>General Petite</v>
      </c>
      <c r="J193" s="13" t="str">
        <f>IFERROR(__xludf.DUMMYFUNCTION("""COMPUTED_VALUE"""),"Tops")</f>
        <v>Tops</v>
      </c>
      <c r="K193" s="13" t="str">
        <f>IFERROR(__xludf.DUMMYFUNCTION("""COMPUTED_VALUE"""),"Fine gauge")</f>
        <v>Fine gauge</v>
      </c>
      <c r="L193" s="13"/>
    </row>
    <row r="194">
      <c r="A194" s="13">
        <f>IFERROR(__xludf.DUMMYFUNCTION("""COMPUTED_VALUE"""),192.0)</f>
        <v>192</v>
      </c>
      <c r="B194" s="13">
        <f>IFERROR(__xludf.DUMMYFUNCTION("""COMPUTED_VALUE"""),895.0)</f>
        <v>895</v>
      </c>
      <c r="C194" s="13">
        <f>IFERROR(__xludf.DUMMYFUNCTION("""COMPUTED_VALUE"""),46.0)</f>
        <v>46</v>
      </c>
      <c r="D194" s="12"/>
      <c r="E194" s="12"/>
      <c r="F194" s="13">
        <f>IFERROR(__xludf.DUMMYFUNCTION("""COMPUTED_VALUE"""),5.0)</f>
        <v>5</v>
      </c>
      <c r="G194" s="13">
        <f>IFERROR(__xludf.DUMMYFUNCTION("""COMPUTED_VALUE"""),1.0)</f>
        <v>1</v>
      </c>
      <c r="H194" s="13">
        <f>IFERROR(__xludf.DUMMYFUNCTION("""COMPUTED_VALUE"""),0.0)</f>
        <v>0</v>
      </c>
      <c r="I194" s="13" t="str">
        <f>IFERROR(__xludf.DUMMYFUNCTION("""COMPUTED_VALUE"""),"General Petite")</f>
        <v>General Petite</v>
      </c>
      <c r="J194" s="13" t="str">
        <f>IFERROR(__xludf.DUMMYFUNCTION("""COMPUTED_VALUE"""),"Tops")</f>
        <v>Tops</v>
      </c>
      <c r="K194" s="13" t="str">
        <f>IFERROR(__xludf.DUMMYFUNCTION("""COMPUTED_VALUE"""),"Fine gauge")</f>
        <v>Fine gauge</v>
      </c>
      <c r="L194" s="13"/>
    </row>
    <row r="195">
      <c r="A195" s="13">
        <f>IFERROR(__xludf.DUMMYFUNCTION("""COMPUTED_VALUE"""),193.0)</f>
        <v>193</v>
      </c>
      <c r="B195" s="13">
        <f>IFERROR(__xludf.DUMMYFUNCTION("""COMPUTED_VALUE"""),1020.0)</f>
        <v>1020</v>
      </c>
      <c r="C195" s="13">
        <f>IFERROR(__xludf.DUMMYFUNCTION("""COMPUTED_VALUE"""),22.0)</f>
        <v>22</v>
      </c>
      <c r="D195" s="12"/>
      <c r="E195" s="12" t="str">
        <f>IFERROR(__xludf.DUMMYFUNCTION("""COMPUTED_VALUE"""),"I love the color of this skirt, and the fabric is wonderful. it was a bit longer than anticipated, but fit well.")</f>
        <v>I love the color of this skirt, and the fabric is wonderful. it was a bit longer than anticipated, but fit well.</v>
      </c>
      <c r="F195" s="13">
        <f>IFERROR(__xludf.DUMMYFUNCTION("""COMPUTED_VALUE"""),5.0)</f>
        <v>5</v>
      </c>
      <c r="G195" s="13">
        <f>IFERROR(__xludf.DUMMYFUNCTION("""COMPUTED_VALUE"""),1.0)</f>
        <v>1</v>
      </c>
      <c r="H195" s="13">
        <f>IFERROR(__xludf.DUMMYFUNCTION("""COMPUTED_VALUE"""),1.0)</f>
        <v>1</v>
      </c>
      <c r="I195" s="13" t="str">
        <f>IFERROR(__xludf.DUMMYFUNCTION("""COMPUTED_VALUE"""),"General Petite")</f>
        <v>General Petite</v>
      </c>
      <c r="J195" s="13" t="str">
        <f>IFERROR(__xludf.DUMMYFUNCTION("""COMPUTED_VALUE"""),"Bottoms")</f>
        <v>Bottoms</v>
      </c>
      <c r="K195" s="13" t="str">
        <f>IFERROR(__xludf.DUMMYFUNCTION("""COMPUTED_VALUE"""),"Skirts")</f>
        <v>Skirts</v>
      </c>
      <c r="L195" s="13"/>
    </row>
    <row r="196">
      <c r="A196" s="13">
        <f>IFERROR(__xludf.DUMMYFUNCTION("""COMPUTED_VALUE"""),194.0)</f>
        <v>194</v>
      </c>
      <c r="B196" s="13">
        <f>IFERROR(__xludf.DUMMYFUNCTION("""COMPUTED_VALUE"""),1098.0)</f>
        <v>1098</v>
      </c>
      <c r="C196" s="13">
        <f>IFERROR(__xludf.DUMMYFUNCTION("""COMPUTED_VALUE"""),40.0)</f>
        <v>40</v>
      </c>
      <c r="D196" s="12"/>
      <c r="E196" s="12" t="str">
        <f>IFERROR(__xludf.DUMMYFUNCTION("""COMPUTED_VALUE"""),"Dress ran very large in every way. beautiful design, lining and quality material. i should have sized down 2 sizes. item is now sold out.")</f>
        <v>Dress ran very large in every way. beautiful design, lining and quality material. i should have sized down 2 sizes. item is now sold out.</v>
      </c>
      <c r="F196" s="13">
        <f>IFERROR(__xludf.DUMMYFUNCTION("""COMPUTED_VALUE"""),3.0)</f>
        <v>3</v>
      </c>
      <c r="G196" s="13">
        <f>IFERROR(__xludf.DUMMYFUNCTION("""COMPUTED_VALUE"""),1.0)</f>
        <v>1</v>
      </c>
      <c r="H196" s="13">
        <f>IFERROR(__xludf.DUMMYFUNCTION("""COMPUTED_VALUE"""),0.0)</f>
        <v>0</v>
      </c>
      <c r="I196" s="13" t="str">
        <f>IFERROR(__xludf.DUMMYFUNCTION("""COMPUTED_VALUE"""),"General")</f>
        <v>General</v>
      </c>
      <c r="J196" s="13" t="str">
        <f>IFERROR(__xludf.DUMMYFUNCTION("""COMPUTED_VALUE"""),"Dresses")</f>
        <v>Dresses</v>
      </c>
      <c r="K196" s="13" t="str">
        <f>IFERROR(__xludf.DUMMYFUNCTION("""COMPUTED_VALUE"""),"Dresses")</f>
        <v>Dresses</v>
      </c>
      <c r="L196" s="13"/>
    </row>
    <row r="197">
      <c r="A197" s="13">
        <f>IFERROR(__xludf.DUMMYFUNCTION("""COMPUTED_VALUE"""),195.0)</f>
        <v>195</v>
      </c>
      <c r="B197" s="13">
        <f>IFERROR(__xludf.DUMMYFUNCTION("""COMPUTED_VALUE"""),895.0)</f>
        <v>895</v>
      </c>
      <c r="C197" s="13">
        <f>IFERROR(__xludf.DUMMYFUNCTION("""COMPUTED_VALUE"""),62.0)</f>
        <v>62</v>
      </c>
      <c r="D197" s="12" t="str">
        <f>IFERROR(__xludf.DUMMYFUNCTION("""COMPUTED_VALUE"""),"Lovely and feminine")</f>
        <v>Lovely and feminine</v>
      </c>
      <c r="E197" s="12" t="str">
        <f>IFERROR(__xludf.DUMMYFUNCTION("""COMPUTED_VALUE"""),"Finally a ""swing top"" that doesn't look like a sack on me! i've been wanting to partake of this current style, but everything i've tried so far just looks ""dumpy"" on me. not this top -- it is very feminine and flattering. i am 5'7"" 118 lbs and have a"&amp;" small waist -- and although this is a ""swing"" style, it still shows my waist and doesn't overpower me. it is also a lovely fabric -- especially in the soft pink which i got. i'm thinking of going back for more colors!")</f>
        <v>Finally a "swing top" that doesn't look like a sack on me! i've been wanting to partake of this current style, but everything i've tried so far just looks "dumpy" on me. not this top -- it is very feminine and flattering. i am 5'7" 118 lbs and have a small waist -- and although this is a "swing" style, it still shows my waist and doesn't overpower me. it is also a lovely fabric -- especially in the soft pink which i got. i'm thinking of going back for more colors!</v>
      </c>
      <c r="F197" s="13">
        <f>IFERROR(__xludf.DUMMYFUNCTION("""COMPUTED_VALUE"""),5.0)</f>
        <v>5</v>
      </c>
      <c r="G197" s="13">
        <f>IFERROR(__xludf.DUMMYFUNCTION("""COMPUTED_VALUE"""),1.0)</f>
        <v>1</v>
      </c>
      <c r="H197" s="13">
        <f>IFERROR(__xludf.DUMMYFUNCTION("""COMPUTED_VALUE"""),9.0)</f>
        <v>9</v>
      </c>
      <c r="I197" s="13" t="str">
        <f>IFERROR(__xludf.DUMMYFUNCTION("""COMPUTED_VALUE"""),"General Petite")</f>
        <v>General Petite</v>
      </c>
      <c r="J197" s="13" t="str">
        <f>IFERROR(__xludf.DUMMYFUNCTION("""COMPUTED_VALUE"""),"Tops")</f>
        <v>Tops</v>
      </c>
      <c r="K197" s="13" t="str">
        <f>IFERROR(__xludf.DUMMYFUNCTION("""COMPUTED_VALUE"""),"Fine gauge")</f>
        <v>Fine gauge</v>
      </c>
      <c r="L197" s="13"/>
    </row>
    <row r="198">
      <c r="A198" s="13">
        <f>IFERROR(__xludf.DUMMYFUNCTION("""COMPUTED_VALUE"""),196.0)</f>
        <v>196</v>
      </c>
      <c r="B198" s="13">
        <f>IFERROR(__xludf.DUMMYFUNCTION("""COMPUTED_VALUE"""),862.0)</f>
        <v>862</v>
      </c>
      <c r="C198" s="13">
        <f>IFERROR(__xludf.DUMMYFUNCTION("""COMPUTED_VALUE"""),26.0)</f>
        <v>26</v>
      </c>
      <c r="D198" s="12" t="str">
        <f>IFERROR(__xludf.DUMMYFUNCTION("""COMPUTED_VALUE"""),"A great piece")</f>
        <v>A great piece</v>
      </c>
      <c r="E198" s="12" t="str">
        <f>IFERROR(__xludf.DUMMYFUNCTION("""COMPUTED_VALUE"""),"I bought this shirt in the neutral and white and love it. so many people compliment it. i usually pair it with white pants and cute wedges to dress it up (obviously with a statement necklace too). but the greatest thing about this shirt is the fact that y"&amp;"ou can also dress it down. the material is fabulous but i have not washed it yet so i am not sure if it is going to shrink (which i hope it doesn't because it is one of my favorite pieces). 
unlike the other reviewer i did not think that the")</f>
        <v>I bought this shirt in the neutral and white and love it. so many people compliment it. i usually pair it with white pants and cute wedges to dress it up (obviously with a statement necklace too). but the greatest thing about this shirt is the fact that you can also dress it down. the material is fabulous but i have not washed it yet so i am not sure if it is going to shrink (which i hope it doesn't because it is one of my favorite pieces). 
unlike the other reviewer i did not think that the</v>
      </c>
      <c r="F198" s="13">
        <f>IFERROR(__xludf.DUMMYFUNCTION("""COMPUTED_VALUE"""),5.0)</f>
        <v>5</v>
      </c>
      <c r="G198" s="13">
        <f>IFERROR(__xludf.DUMMYFUNCTION("""COMPUTED_VALUE"""),1.0)</f>
        <v>1</v>
      </c>
      <c r="H198" s="13">
        <f>IFERROR(__xludf.DUMMYFUNCTION("""COMPUTED_VALUE"""),2.0)</f>
        <v>2</v>
      </c>
      <c r="I198" s="13" t="str">
        <f>IFERROR(__xludf.DUMMYFUNCTION("""COMPUTED_VALUE"""),"General Petite")</f>
        <v>General Petite</v>
      </c>
      <c r="J198" s="13" t="str">
        <f>IFERROR(__xludf.DUMMYFUNCTION("""COMPUTED_VALUE"""),"Tops")</f>
        <v>Tops</v>
      </c>
      <c r="K198" s="13" t="str">
        <f>IFERROR(__xludf.DUMMYFUNCTION("""COMPUTED_VALUE"""),"Knits")</f>
        <v>Knits</v>
      </c>
      <c r="L198" s="13"/>
    </row>
    <row r="199">
      <c r="A199" s="13">
        <f>IFERROR(__xludf.DUMMYFUNCTION("""COMPUTED_VALUE"""),197.0)</f>
        <v>197</v>
      </c>
      <c r="B199" s="13">
        <f>IFERROR(__xludf.DUMMYFUNCTION("""COMPUTED_VALUE"""),1020.0)</f>
        <v>1020</v>
      </c>
      <c r="C199" s="13">
        <f>IFERROR(__xludf.DUMMYFUNCTION("""COMPUTED_VALUE"""),38.0)</f>
        <v>38</v>
      </c>
      <c r="D199" s="12" t="str">
        <f>IFERROR(__xludf.DUMMYFUNCTION("""COMPUTED_VALUE"""),"Love everything about this skirt")</f>
        <v>Love everything about this skirt</v>
      </c>
      <c r="E199" s="12" t="str">
        <f>IFERROR(__xludf.DUMMYFUNCTION("""COMPUTED_VALUE"""),"Unlike the other reviewers, i did not have any problem with the sizing, fit or length of this skirt. it is a midi skirt so i think it's suppose to be a little bit longer?? for me it fit true to size. for reference i am 5'8"", 135 pounds and the size 6 fit"&amp;" perfectly. i think the color is beautiful and the quality is good.")</f>
        <v>Unlike the other reviewers, i did not have any problem with the sizing, fit or length of this skirt. it is a midi skirt so i think it's suppose to be a little bit longer?? for me it fit true to size. for reference i am 5'8", 135 pounds and the size 6 fit perfectly. i think the color is beautiful and the quality is good.</v>
      </c>
      <c r="F199" s="13">
        <f>IFERROR(__xludf.DUMMYFUNCTION("""COMPUTED_VALUE"""),5.0)</f>
        <v>5</v>
      </c>
      <c r="G199" s="13">
        <f>IFERROR(__xludf.DUMMYFUNCTION("""COMPUTED_VALUE"""),1.0)</f>
        <v>1</v>
      </c>
      <c r="H199" s="13">
        <f>IFERROR(__xludf.DUMMYFUNCTION("""COMPUTED_VALUE"""),3.0)</f>
        <v>3</v>
      </c>
      <c r="I199" s="13" t="str">
        <f>IFERROR(__xludf.DUMMYFUNCTION("""COMPUTED_VALUE"""),"General Petite")</f>
        <v>General Petite</v>
      </c>
      <c r="J199" s="13" t="str">
        <f>IFERROR(__xludf.DUMMYFUNCTION("""COMPUTED_VALUE"""),"Bottoms")</f>
        <v>Bottoms</v>
      </c>
      <c r="K199" s="13" t="str">
        <f>IFERROR(__xludf.DUMMYFUNCTION("""COMPUTED_VALUE"""),"Skirts")</f>
        <v>Skirts</v>
      </c>
      <c r="L199" s="13"/>
    </row>
    <row r="200">
      <c r="A200" s="13">
        <f>IFERROR(__xludf.DUMMYFUNCTION("""COMPUTED_VALUE"""),198.0)</f>
        <v>198</v>
      </c>
      <c r="B200" s="13">
        <f>IFERROR(__xludf.DUMMYFUNCTION("""COMPUTED_VALUE"""),895.0)</f>
        <v>895</v>
      </c>
      <c r="C200" s="13">
        <f>IFERROR(__xludf.DUMMYFUNCTION("""COMPUTED_VALUE"""),53.0)</f>
        <v>53</v>
      </c>
      <c r="D200" s="12" t="str">
        <f>IFERROR(__xludf.DUMMYFUNCTION("""COMPUTED_VALUE"""),"Perfect comfy now top!")</f>
        <v>Perfect comfy now top!</v>
      </c>
      <c r="E200" s="12" t="str">
        <f>IFERROR(__xludf.DUMMYFUNCTION("""COMPUTED_VALUE"""),"For a now feel, that comfy and well made, this was a great choice!")</f>
        <v>For a now feel, that comfy and well made, this was a great choice!</v>
      </c>
      <c r="F200" s="13">
        <f>IFERROR(__xludf.DUMMYFUNCTION("""COMPUTED_VALUE"""),5.0)</f>
        <v>5</v>
      </c>
      <c r="G200" s="13">
        <f>IFERROR(__xludf.DUMMYFUNCTION("""COMPUTED_VALUE"""),1.0)</f>
        <v>1</v>
      </c>
      <c r="H200" s="13">
        <f>IFERROR(__xludf.DUMMYFUNCTION("""COMPUTED_VALUE"""),0.0)</f>
        <v>0</v>
      </c>
      <c r="I200" s="13" t="str">
        <f>IFERROR(__xludf.DUMMYFUNCTION("""COMPUTED_VALUE"""),"General")</f>
        <v>General</v>
      </c>
      <c r="J200" s="13" t="str">
        <f>IFERROR(__xludf.DUMMYFUNCTION("""COMPUTED_VALUE"""),"Tops")</f>
        <v>Tops</v>
      </c>
      <c r="K200" s="13" t="str">
        <f>IFERROR(__xludf.DUMMYFUNCTION("""COMPUTED_VALUE"""),"Fine gauge")</f>
        <v>Fine gauge</v>
      </c>
      <c r="L200" s="13"/>
    </row>
    <row r="201">
      <c r="A201" s="13">
        <f>IFERROR(__xludf.DUMMYFUNCTION("""COMPUTED_VALUE"""),199.0)</f>
        <v>199</v>
      </c>
      <c r="B201" s="13">
        <f>IFERROR(__xludf.DUMMYFUNCTION("""COMPUTED_VALUE"""),1020.0)</f>
        <v>1020</v>
      </c>
      <c r="C201" s="13">
        <f>IFERROR(__xludf.DUMMYFUNCTION("""COMPUTED_VALUE"""),49.0)</f>
        <v>49</v>
      </c>
      <c r="D201" s="12" t="str">
        <f>IFERROR(__xludf.DUMMYFUNCTION("""COMPUTED_VALUE"""),"Poor quality")</f>
        <v>Poor quality</v>
      </c>
      <c r="E201" s="12" t="str">
        <f>IFERROR(__xludf.DUMMYFUNCTION("""COMPUTED_VALUE"""),"This skirt looks exactly as pictured and fits great. i purchased it a few weeks ago and got lots of compliments on it. however, on the third wear, the side zipper split wide open. needless to say, it was returned.")</f>
        <v>This skirt looks exactly as pictured and fits great. i purchased it a few weeks ago and got lots of compliments on it. however, on the third wear, the side zipper split wide open. needless to say, it was returned.</v>
      </c>
      <c r="F201" s="13">
        <f>IFERROR(__xludf.DUMMYFUNCTION("""COMPUTED_VALUE"""),3.0)</f>
        <v>3</v>
      </c>
      <c r="G201" s="13">
        <f>IFERROR(__xludf.DUMMYFUNCTION("""COMPUTED_VALUE"""),0.0)</f>
        <v>0</v>
      </c>
      <c r="H201" s="13">
        <f>IFERROR(__xludf.DUMMYFUNCTION("""COMPUTED_VALUE"""),0.0)</f>
        <v>0</v>
      </c>
      <c r="I201" s="13" t="str">
        <f>IFERROR(__xludf.DUMMYFUNCTION("""COMPUTED_VALUE"""),"General Petite")</f>
        <v>General Petite</v>
      </c>
      <c r="J201" s="13" t="str">
        <f>IFERROR(__xludf.DUMMYFUNCTION("""COMPUTED_VALUE"""),"Bottoms")</f>
        <v>Bottoms</v>
      </c>
      <c r="K201" s="13" t="str">
        <f>IFERROR(__xludf.DUMMYFUNCTION("""COMPUTED_VALUE"""),"Skirts")</f>
        <v>Skirts</v>
      </c>
      <c r="L201" s="13"/>
    </row>
    <row r="202">
      <c r="A202" s="13">
        <f>IFERROR(__xludf.DUMMYFUNCTION("""COMPUTED_VALUE"""),200.0)</f>
        <v>200</v>
      </c>
      <c r="B202" s="13">
        <f>IFERROR(__xludf.DUMMYFUNCTION("""COMPUTED_VALUE"""),895.0)</f>
        <v>895</v>
      </c>
      <c r="C202" s="13">
        <f>IFERROR(__xludf.DUMMYFUNCTION("""COMPUTED_VALUE"""),43.0)</f>
        <v>43</v>
      </c>
      <c r="D202" s="12" t="str">
        <f>IFERROR(__xludf.DUMMYFUNCTION("""COMPUTED_VALUE"""),"Huuuuge")</f>
        <v>Huuuuge</v>
      </c>
      <c r="E202" s="12" t="str">
        <f>IFERROR(__xludf.DUMMYFUNCTION("""COMPUTED_VALUE"""),"Dang, i got a small and was still swimming in it. it's made of the fabric that increasingly seems to be the fabric of choice for all things t-shirty- soft and thin-ish, a bit translucent. i'd rather wait for something more formfitting and flattering- back"&amp;" it went.")</f>
        <v>Dang, i got a small and was still swimming in it. it's made of the fabric that increasingly seems to be the fabric of choice for all things t-shirty- soft and thin-ish, a bit translucent. i'd rather wait for something more formfitting and flattering- back it went.</v>
      </c>
      <c r="F202" s="13">
        <f>IFERROR(__xludf.DUMMYFUNCTION("""COMPUTED_VALUE"""),3.0)</f>
        <v>3</v>
      </c>
      <c r="G202" s="13">
        <f>IFERROR(__xludf.DUMMYFUNCTION("""COMPUTED_VALUE"""),0.0)</f>
        <v>0</v>
      </c>
      <c r="H202" s="13">
        <f>IFERROR(__xludf.DUMMYFUNCTION("""COMPUTED_VALUE"""),0.0)</f>
        <v>0</v>
      </c>
      <c r="I202" s="13" t="str">
        <f>IFERROR(__xludf.DUMMYFUNCTION("""COMPUTED_VALUE"""),"General")</f>
        <v>General</v>
      </c>
      <c r="J202" s="13" t="str">
        <f>IFERROR(__xludf.DUMMYFUNCTION("""COMPUTED_VALUE"""),"Tops")</f>
        <v>Tops</v>
      </c>
      <c r="K202" s="13" t="str">
        <f>IFERROR(__xludf.DUMMYFUNCTION("""COMPUTED_VALUE"""),"Fine gauge")</f>
        <v>Fine gauge</v>
      </c>
      <c r="L202" s="13"/>
    </row>
    <row r="203">
      <c r="A203" s="13">
        <f>IFERROR(__xludf.DUMMYFUNCTION("""COMPUTED_VALUE"""),201.0)</f>
        <v>201</v>
      </c>
      <c r="B203" s="13">
        <f>IFERROR(__xludf.DUMMYFUNCTION("""COMPUTED_VALUE"""),895.0)</f>
        <v>895</v>
      </c>
      <c r="C203" s="13">
        <f>IFERROR(__xludf.DUMMYFUNCTION("""COMPUTED_VALUE"""),36.0)</f>
        <v>36</v>
      </c>
      <c r="D203" s="12"/>
      <c r="E203" s="12"/>
      <c r="F203" s="13">
        <f>IFERROR(__xludf.DUMMYFUNCTION("""COMPUTED_VALUE"""),5.0)</f>
        <v>5</v>
      </c>
      <c r="G203" s="13">
        <f>IFERROR(__xludf.DUMMYFUNCTION("""COMPUTED_VALUE"""),1.0)</f>
        <v>1</v>
      </c>
      <c r="H203" s="13">
        <f>IFERROR(__xludf.DUMMYFUNCTION("""COMPUTED_VALUE"""),0.0)</f>
        <v>0</v>
      </c>
      <c r="I203" s="13" t="str">
        <f>IFERROR(__xludf.DUMMYFUNCTION("""COMPUTED_VALUE"""),"General")</f>
        <v>General</v>
      </c>
      <c r="J203" s="13" t="str">
        <f>IFERROR(__xludf.DUMMYFUNCTION("""COMPUTED_VALUE"""),"Tops")</f>
        <v>Tops</v>
      </c>
      <c r="K203" s="13" t="str">
        <f>IFERROR(__xludf.DUMMYFUNCTION("""COMPUTED_VALUE"""),"Fine gauge")</f>
        <v>Fine gauge</v>
      </c>
      <c r="L203" s="13"/>
    </row>
    <row r="204">
      <c r="A204" s="13">
        <f>IFERROR(__xludf.DUMMYFUNCTION("""COMPUTED_VALUE"""),202.0)</f>
        <v>202</v>
      </c>
      <c r="B204" s="13">
        <f>IFERROR(__xludf.DUMMYFUNCTION("""COMPUTED_VALUE"""),895.0)</f>
        <v>895</v>
      </c>
      <c r="C204" s="13">
        <f>IFERROR(__xludf.DUMMYFUNCTION("""COMPUTED_VALUE"""),36.0)</f>
        <v>36</v>
      </c>
      <c r="D204" s="12" t="str">
        <f>IFERROR(__xludf.DUMMYFUNCTION("""COMPUTED_VALUE"""),"Not worth cost")</f>
        <v>Not worth cost</v>
      </c>
      <c r="E204" s="12" t="str">
        <f>IFERROR(__xludf.DUMMYFUNCTION("""COMPUTED_VALUE"""),"Bought this item on sale and was very disappointed in the quality for the cost. fabric feels cheap, like it will snag easily and will stretch out quickly. did not flatter the female form- felt like a burlap sack. gorgeous blue color but not worth the pric"&amp;"e tag. returned it.")</f>
        <v>Bought this item on sale and was very disappointed in the quality for the cost. fabric feels cheap, like it will snag easily and will stretch out quickly. did not flatter the female form- felt like a burlap sack. gorgeous blue color but not worth the price tag. returned it.</v>
      </c>
      <c r="F204" s="13">
        <f>IFERROR(__xludf.DUMMYFUNCTION("""COMPUTED_VALUE"""),3.0)</f>
        <v>3</v>
      </c>
      <c r="G204" s="13">
        <f>IFERROR(__xludf.DUMMYFUNCTION("""COMPUTED_VALUE"""),0.0)</f>
        <v>0</v>
      </c>
      <c r="H204" s="13">
        <f>IFERROR(__xludf.DUMMYFUNCTION("""COMPUTED_VALUE"""),0.0)</f>
        <v>0</v>
      </c>
      <c r="I204" s="13" t="str">
        <f>IFERROR(__xludf.DUMMYFUNCTION("""COMPUTED_VALUE"""),"General")</f>
        <v>General</v>
      </c>
      <c r="J204" s="13" t="str">
        <f>IFERROR(__xludf.DUMMYFUNCTION("""COMPUTED_VALUE"""),"Tops")</f>
        <v>Tops</v>
      </c>
      <c r="K204" s="13" t="str">
        <f>IFERROR(__xludf.DUMMYFUNCTION("""COMPUTED_VALUE"""),"Fine gauge")</f>
        <v>Fine gauge</v>
      </c>
      <c r="L204" s="13"/>
    </row>
    <row r="205">
      <c r="A205" s="13">
        <f>IFERROR(__xludf.DUMMYFUNCTION("""COMPUTED_VALUE"""),203.0)</f>
        <v>203</v>
      </c>
      <c r="B205" s="13">
        <f>IFERROR(__xludf.DUMMYFUNCTION("""COMPUTED_VALUE"""),895.0)</f>
        <v>895</v>
      </c>
      <c r="C205" s="13">
        <f>IFERROR(__xludf.DUMMYFUNCTION("""COMPUTED_VALUE"""),63.0)</f>
        <v>63</v>
      </c>
      <c r="D205" s="12" t="str">
        <f>IFERROR(__xludf.DUMMYFUNCTION("""COMPUTED_VALUE"""),"Tunic doesn't look like i am covering up")</f>
        <v>Tunic doesn't look like i am covering up</v>
      </c>
      <c r="E205" s="12" t="str">
        <f>IFERROR(__xludf.DUMMYFUNCTION("""COMPUTED_VALUE"""),"Nice weight sweater that allows one to wear leggings or ultra skinny jeans without looking like i'm pregnant (not that there's anything wrong with that) very feminine and light weight enough to wear with a cami underneath and a pretty scarf.")</f>
        <v>Nice weight sweater that allows one to wear leggings or ultra skinny jeans without looking like i'm pregnant (not that there's anything wrong with that) very feminine and light weight enough to wear with a cami underneath and a pretty scarf.</v>
      </c>
      <c r="F205" s="13">
        <f>IFERROR(__xludf.DUMMYFUNCTION("""COMPUTED_VALUE"""),5.0)</f>
        <v>5</v>
      </c>
      <c r="G205" s="13">
        <f>IFERROR(__xludf.DUMMYFUNCTION("""COMPUTED_VALUE"""),1.0)</f>
        <v>1</v>
      </c>
      <c r="H205" s="13">
        <f>IFERROR(__xludf.DUMMYFUNCTION("""COMPUTED_VALUE"""),1.0)</f>
        <v>1</v>
      </c>
      <c r="I205" s="13" t="str">
        <f>IFERROR(__xludf.DUMMYFUNCTION("""COMPUTED_VALUE"""),"General")</f>
        <v>General</v>
      </c>
      <c r="J205" s="13" t="str">
        <f>IFERROR(__xludf.DUMMYFUNCTION("""COMPUTED_VALUE"""),"Tops")</f>
        <v>Tops</v>
      </c>
      <c r="K205" s="13" t="str">
        <f>IFERROR(__xludf.DUMMYFUNCTION("""COMPUTED_VALUE"""),"Fine gauge")</f>
        <v>Fine gauge</v>
      </c>
      <c r="L205" s="13"/>
    </row>
    <row r="206">
      <c r="A206" s="13">
        <f>IFERROR(__xludf.DUMMYFUNCTION("""COMPUTED_VALUE"""),204.0)</f>
        <v>204</v>
      </c>
      <c r="B206" s="13">
        <f>IFERROR(__xludf.DUMMYFUNCTION("""COMPUTED_VALUE"""),828.0)</f>
        <v>828</v>
      </c>
      <c r="C206" s="13">
        <f>IFERROR(__xludf.DUMMYFUNCTION("""COMPUTED_VALUE"""),56.0)</f>
        <v>56</v>
      </c>
      <c r="D206" s="12" t="str">
        <f>IFERROR(__xludf.DUMMYFUNCTION("""COMPUTED_VALUE"""),"Too big")</f>
        <v>Too big</v>
      </c>
      <c r="E206" s="12" t="str">
        <f>IFERROR(__xludf.DUMMYFUNCTION("""COMPUTED_VALUE"""),"I loved this top; it reminded me of one i have from retailer from circa 2008 in black and white; however, on this one, the chest area is too big, in both the 14 and 16, and i even found myself tugging downward on the fabric to keep it in place because the"&amp;" waist is elastic and also too big. i probably need a size 12, but then i fear it would be too short-waisted on me, for i am 5'10"". unfortunately, it is not for me. also, the sleeves are much bigger and flouncier than they appear in the photo on t")</f>
        <v>I loved this top; it reminded me of one i have from retailer from circa 2008 in black and white; however, on this one, the chest area is too big, in both the 14 and 16, and i even found myself tugging downward on the fabric to keep it in place because the waist is elastic and also too big. i probably need a size 12, but then i fear it would be too short-waisted on me, for i am 5'10". unfortunately, it is not for me. also, the sleeves are much bigger and flouncier than they appear in the photo on t</v>
      </c>
      <c r="F206" s="13">
        <f>IFERROR(__xludf.DUMMYFUNCTION("""COMPUTED_VALUE"""),4.0)</f>
        <v>4</v>
      </c>
      <c r="G206" s="13">
        <f>IFERROR(__xludf.DUMMYFUNCTION("""COMPUTED_VALUE"""),0.0)</f>
        <v>0</v>
      </c>
      <c r="H206" s="13">
        <f>IFERROR(__xludf.DUMMYFUNCTION("""COMPUTED_VALUE"""),4.0)</f>
        <v>4</v>
      </c>
      <c r="I206" s="13" t="str">
        <f>IFERROR(__xludf.DUMMYFUNCTION("""COMPUTED_VALUE"""),"General")</f>
        <v>General</v>
      </c>
      <c r="J206" s="13" t="str">
        <f>IFERROR(__xludf.DUMMYFUNCTION("""COMPUTED_VALUE"""),"Tops")</f>
        <v>Tops</v>
      </c>
      <c r="K206" s="13" t="str">
        <f>IFERROR(__xludf.DUMMYFUNCTION("""COMPUTED_VALUE"""),"Blouses")</f>
        <v>Blouses</v>
      </c>
      <c r="L206" s="13"/>
    </row>
    <row r="207">
      <c r="A207" s="13">
        <f>IFERROR(__xludf.DUMMYFUNCTION("""COMPUTED_VALUE"""),205.0)</f>
        <v>205</v>
      </c>
      <c r="B207" s="13">
        <f>IFERROR(__xludf.DUMMYFUNCTION("""COMPUTED_VALUE"""),1020.0)</f>
        <v>1020</v>
      </c>
      <c r="C207" s="13">
        <f>IFERROR(__xludf.DUMMYFUNCTION("""COMPUTED_VALUE"""),48.0)</f>
        <v>48</v>
      </c>
      <c r="D207" s="12" t="str">
        <f>IFERROR(__xludf.DUMMYFUNCTION("""COMPUTED_VALUE"""),"Runs small too bad....")</f>
        <v>Runs small too bad....</v>
      </c>
      <c r="E207" s="12" t="str">
        <f>IFERROR(__xludf.DUMMYFUNCTION("""COMPUTED_VALUE"""),"I love the rich deep color and the style but once again this brand runs really small in the waist. i am normally a 8/10 in retailer skirts and the size 10 was tight at the waist enough so i could not button it and feel comfortable. the quality is ok, some"&amp;"thing i feel i would see at another type of discount store. for me this skirt did not work but the color and softness of the fabric was a plus.")</f>
        <v>I love the rich deep color and the style but once again this brand runs really small in the waist. i am normally a 8/10 in retailer skirts and the size 10 was tight at the waist enough so i could not button it and feel comfortable. the quality is ok, something i feel i would see at another type of discount store. for me this skirt did not work but the color and softness of the fabric was a plus.</v>
      </c>
      <c r="F207" s="13">
        <f>IFERROR(__xludf.DUMMYFUNCTION("""COMPUTED_VALUE"""),3.0)</f>
        <v>3</v>
      </c>
      <c r="G207" s="13">
        <f>IFERROR(__xludf.DUMMYFUNCTION("""COMPUTED_VALUE"""),0.0)</f>
        <v>0</v>
      </c>
      <c r="H207" s="13">
        <f>IFERROR(__xludf.DUMMYFUNCTION("""COMPUTED_VALUE"""),9.0)</f>
        <v>9</v>
      </c>
      <c r="I207" s="13" t="str">
        <f>IFERROR(__xludf.DUMMYFUNCTION("""COMPUTED_VALUE"""),"General Petite")</f>
        <v>General Petite</v>
      </c>
      <c r="J207" s="13" t="str">
        <f>IFERROR(__xludf.DUMMYFUNCTION("""COMPUTED_VALUE"""),"Bottoms")</f>
        <v>Bottoms</v>
      </c>
      <c r="K207" s="13" t="str">
        <f>IFERROR(__xludf.DUMMYFUNCTION("""COMPUTED_VALUE"""),"Skirts")</f>
        <v>Skirts</v>
      </c>
      <c r="L207" s="13"/>
    </row>
    <row r="208">
      <c r="A208" s="13">
        <f>IFERROR(__xludf.DUMMYFUNCTION("""COMPUTED_VALUE"""),206.0)</f>
        <v>206</v>
      </c>
      <c r="B208" s="13">
        <f>IFERROR(__xludf.DUMMYFUNCTION("""COMPUTED_VALUE"""),862.0)</f>
        <v>862</v>
      </c>
      <c r="C208" s="13">
        <f>IFERROR(__xludf.DUMMYFUNCTION("""COMPUTED_VALUE"""),43.0)</f>
        <v>43</v>
      </c>
      <c r="D208" s="12"/>
      <c r="E208" s="12" t="str">
        <f>IFERROR(__xludf.DUMMYFUNCTION("""COMPUTED_VALUE"""),"Great shirt to wear with white pants and wedges. i'm a teacher and this is perfect for warmer months for school or for casual evening out. it runs big but falls in such a way that it doesn't make the wearer look big; it falls elegantly and in a flattering"&amp;" way.
great, versatile shirt.")</f>
        <v>Great shirt to wear with white pants and wedges. i'm a teacher and this is perfect for warmer months for school or for casual evening out. it runs big but falls in such a way that it doesn't make the wearer look big; it falls elegantly and in a flattering way.
great, versatile shirt.</v>
      </c>
      <c r="F208" s="13">
        <f>IFERROR(__xludf.DUMMYFUNCTION("""COMPUTED_VALUE"""),5.0)</f>
        <v>5</v>
      </c>
      <c r="G208" s="13">
        <f>IFERROR(__xludf.DUMMYFUNCTION("""COMPUTED_VALUE"""),1.0)</f>
        <v>1</v>
      </c>
      <c r="H208" s="13">
        <f>IFERROR(__xludf.DUMMYFUNCTION("""COMPUTED_VALUE"""),1.0)</f>
        <v>1</v>
      </c>
      <c r="I208" s="13" t="str">
        <f>IFERROR(__xludf.DUMMYFUNCTION("""COMPUTED_VALUE"""),"General")</f>
        <v>General</v>
      </c>
      <c r="J208" s="13" t="str">
        <f>IFERROR(__xludf.DUMMYFUNCTION("""COMPUTED_VALUE"""),"Tops")</f>
        <v>Tops</v>
      </c>
      <c r="K208" s="13" t="str">
        <f>IFERROR(__xludf.DUMMYFUNCTION("""COMPUTED_VALUE"""),"Knits")</f>
        <v>Knits</v>
      </c>
      <c r="L208" s="13"/>
    </row>
    <row r="209">
      <c r="A209" s="13">
        <f>IFERROR(__xludf.DUMMYFUNCTION("""COMPUTED_VALUE"""),207.0)</f>
        <v>207</v>
      </c>
      <c r="B209" s="13">
        <f>IFERROR(__xludf.DUMMYFUNCTION("""COMPUTED_VALUE"""),1020.0)</f>
        <v>1020</v>
      </c>
      <c r="C209" s="13">
        <f>IFERROR(__xludf.DUMMYFUNCTION("""COMPUTED_VALUE"""),44.0)</f>
        <v>44</v>
      </c>
      <c r="D209" s="12" t="str">
        <f>IFERROR(__xludf.DUMMYFUNCTION("""COMPUTED_VALUE"""),"Skirt dimensions are off")</f>
        <v>Skirt dimensions are off</v>
      </c>
      <c r="E209" s="12" t="str">
        <f>IFERROR(__xludf.DUMMYFUNCTION("""COMPUTED_VALUE"""),"I loved this skirt on but just the other reviewers, it runs small in the waist throwing off the dimension of the skirt. i ended up getting the 0 despite the fact that it was tighter in the waist because the 2 at this length (with my height) and amount of "&amp;"material became overwhelming on me. it would have looked better in a slightly shorter cut as another reviewer stated as well.")</f>
        <v>I loved this skirt on but just the other reviewers, it runs small in the waist throwing off the dimension of the skirt. i ended up getting the 0 despite the fact that it was tighter in the waist because the 2 at this length (with my height) and amount of material became overwhelming on me. it would have looked better in a slightly shorter cut as another reviewer stated as well.</v>
      </c>
      <c r="F209" s="13">
        <f>IFERROR(__xludf.DUMMYFUNCTION("""COMPUTED_VALUE"""),4.0)</f>
        <v>4</v>
      </c>
      <c r="G209" s="13">
        <f>IFERROR(__xludf.DUMMYFUNCTION("""COMPUTED_VALUE"""),1.0)</f>
        <v>1</v>
      </c>
      <c r="H209" s="13">
        <f>IFERROR(__xludf.DUMMYFUNCTION("""COMPUTED_VALUE"""),1.0)</f>
        <v>1</v>
      </c>
      <c r="I209" s="13" t="str">
        <f>IFERROR(__xludf.DUMMYFUNCTION("""COMPUTED_VALUE"""),"General Petite")</f>
        <v>General Petite</v>
      </c>
      <c r="J209" s="13" t="str">
        <f>IFERROR(__xludf.DUMMYFUNCTION("""COMPUTED_VALUE"""),"Bottoms")</f>
        <v>Bottoms</v>
      </c>
      <c r="K209" s="13" t="str">
        <f>IFERROR(__xludf.DUMMYFUNCTION("""COMPUTED_VALUE"""),"Skirts")</f>
        <v>Skirts</v>
      </c>
      <c r="L209" s="13"/>
    </row>
    <row r="210">
      <c r="A210" s="13">
        <f>IFERROR(__xludf.DUMMYFUNCTION("""COMPUTED_VALUE"""),208.0)</f>
        <v>208</v>
      </c>
      <c r="B210" s="13">
        <f>IFERROR(__xludf.DUMMYFUNCTION("""COMPUTED_VALUE"""),895.0)</f>
        <v>895</v>
      </c>
      <c r="C210" s="13">
        <f>IFERROR(__xludf.DUMMYFUNCTION("""COMPUTED_VALUE"""),40.0)</f>
        <v>40</v>
      </c>
      <c r="D210" s="12"/>
      <c r="E210" s="12" t="str">
        <f>IFERROR(__xludf.DUMMYFUNCTION("""COMPUTED_VALUE"""),"Gorgeous top, very nice. detail work, soft and flattering. i don't think its too full on the bottom at all - mine has a loose but pretty straight silhouette. word of warning: soft pink is not pink it is peach with some pink - and definitely not my color. "&amp;"if peach isn't flattering on you, heed this and other reviewers comments they are weighing correctly! i will have to either return for the white or dye the fabric myself to a more flattering shade, bummer that i thought the other reviewers might")</f>
        <v>Gorgeous top, very nice. detail work, soft and flattering. i don't think its too full on the bottom at all - mine has a loose but pretty straight silhouette. word of warning: soft pink is not pink it is peach with some pink - and definitely not my color. if peach isn't flattering on you, heed this and other reviewers comments they are weighing correctly! i will have to either return for the white or dye the fabric myself to a more flattering shade, bummer that i thought the other reviewers might</v>
      </c>
      <c r="F210" s="13">
        <f>IFERROR(__xludf.DUMMYFUNCTION("""COMPUTED_VALUE"""),5.0)</f>
        <v>5</v>
      </c>
      <c r="G210" s="13">
        <f>IFERROR(__xludf.DUMMYFUNCTION("""COMPUTED_VALUE"""),1.0)</f>
        <v>1</v>
      </c>
      <c r="H210" s="13">
        <f>IFERROR(__xludf.DUMMYFUNCTION("""COMPUTED_VALUE"""),0.0)</f>
        <v>0</v>
      </c>
      <c r="I210" s="13" t="str">
        <f>IFERROR(__xludf.DUMMYFUNCTION("""COMPUTED_VALUE"""),"General")</f>
        <v>General</v>
      </c>
      <c r="J210" s="13" t="str">
        <f>IFERROR(__xludf.DUMMYFUNCTION("""COMPUTED_VALUE"""),"Tops")</f>
        <v>Tops</v>
      </c>
      <c r="K210" s="13" t="str">
        <f>IFERROR(__xludf.DUMMYFUNCTION("""COMPUTED_VALUE"""),"Fine gauge")</f>
        <v>Fine gauge</v>
      </c>
      <c r="L210" s="13"/>
    </row>
    <row r="211">
      <c r="A211" s="13">
        <f>IFERROR(__xludf.DUMMYFUNCTION("""COMPUTED_VALUE"""),209.0)</f>
        <v>209</v>
      </c>
      <c r="B211" s="13">
        <f>IFERROR(__xludf.DUMMYFUNCTION("""COMPUTED_VALUE"""),862.0)</f>
        <v>862</v>
      </c>
      <c r="C211" s="13">
        <f>IFERROR(__xludf.DUMMYFUNCTION("""COMPUTED_VALUE"""),44.0)</f>
        <v>44</v>
      </c>
      <c r="D211" s="12"/>
      <c r="E211" s="12" t="str">
        <f>IFERROR(__xludf.DUMMYFUNCTION("""COMPUTED_VALUE"""),"Love the fabric of this shirt even though it was thinner than i expected. it is soft to the skin and flattering. however i returned it because it is made for women with long torso and shorter shoulders.")</f>
        <v>Love the fabric of this shirt even though it was thinner than i expected. it is soft to the skin and flattering. however i returned it because it is made for women with long torso and shorter shoulders.</v>
      </c>
      <c r="F211" s="13">
        <f>IFERROR(__xludf.DUMMYFUNCTION("""COMPUTED_VALUE"""),1.0)</f>
        <v>1</v>
      </c>
      <c r="G211" s="13">
        <f>IFERROR(__xludf.DUMMYFUNCTION("""COMPUTED_VALUE"""),0.0)</f>
        <v>0</v>
      </c>
      <c r="H211" s="13">
        <f>IFERROR(__xludf.DUMMYFUNCTION("""COMPUTED_VALUE"""),1.0)</f>
        <v>1</v>
      </c>
      <c r="I211" s="13" t="str">
        <f>IFERROR(__xludf.DUMMYFUNCTION("""COMPUTED_VALUE"""),"General")</f>
        <v>General</v>
      </c>
      <c r="J211" s="13" t="str">
        <f>IFERROR(__xludf.DUMMYFUNCTION("""COMPUTED_VALUE"""),"Tops")</f>
        <v>Tops</v>
      </c>
      <c r="K211" s="13" t="str">
        <f>IFERROR(__xludf.DUMMYFUNCTION("""COMPUTED_VALUE"""),"Knits")</f>
        <v>Knits</v>
      </c>
      <c r="L211" s="13"/>
    </row>
    <row r="212">
      <c r="A212" s="13">
        <f>IFERROR(__xludf.DUMMYFUNCTION("""COMPUTED_VALUE"""),210.0)</f>
        <v>210</v>
      </c>
      <c r="B212" s="13">
        <f>IFERROR(__xludf.DUMMYFUNCTION("""COMPUTED_VALUE"""),895.0)</f>
        <v>895</v>
      </c>
      <c r="C212" s="13">
        <f>IFERROR(__xludf.DUMMYFUNCTION("""COMPUTED_VALUE"""),54.0)</f>
        <v>54</v>
      </c>
      <c r="D212" s="12" t="str">
        <f>IFERROR(__xludf.DUMMYFUNCTION("""COMPUTED_VALUE"""),"Comfort &amp; style")</f>
        <v>Comfort &amp; style</v>
      </c>
      <c r="E212" s="12" t="str">
        <f>IFERROR(__xludf.DUMMYFUNCTION("""COMPUTED_VALUE"""),"I have already worn this several times. it is very flattering, lightweight, and easy to wear. dressy but also very soft and comfortable.")</f>
        <v>I have already worn this several times. it is very flattering, lightweight, and easy to wear. dressy but also very soft and comfortable.</v>
      </c>
      <c r="F212" s="13">
        <f>IFERROR(__xludf.DUMMYFUNCTION("""COMPUTED_VALUE"""),5.0)</f>
        <v>5</v>
      </c>
      <c r="G212" s="13">
        <f>IFERROR(__xludf.DUMMYFUNCTION("""COMPUTED_VALUE"""),1.0)</f>
        <v>1</v>
      </c>
      <c r="H212" s="13">
        <f>IFERROR(__xludf.DUMMYFUNCTION("""COMPUTED_VALUE"""),0.0)</f>
        <v>0</v>
      </c>
      <c r="I212" s="13" t="str">
        <f>IFERROR(__xludf.DUMMYFUNCTION("""COMPUTED_VALUE"""),"General")</f>
        <v>General</v>
      </c>
      <c r="J212" s="13" t="str">
        <f>IFERROR(__xludf.DUMMYFUNCTION("""COMPUTED_VALUE"""),"Tops")</f>
        <v>Tops</v>
      </c>
      <c r="K212" s="13" t="str">
        <f>IFERROR(__xludf.DUMMYFUNCTION("""COMPUTED_VALUE"""),"Fine gauge")</f>
        <v>Fine gauge</v>
      </c>
      <c r="L212" s="13"/>
    </row>
    <row r="213">
      <c r="A213" s="13">
        <f>IFERROR(__xludf.DUMMYFUNCTION("""COMPUTED_VALUE"""),211.0)</f>
        <v>211</v>
      </c>
      <c r="B213" s="13">
        <f>IFERROR(__xludf.DUMMYFUNCTION("""COMPUTED_VALUE"""),1020.0)</f>
        <v>1020</v>
      </c>
      <c r="C213" s="13">
        <f>IFERROR(__xludf.DUMMYFUNCTION("""COMPUTED_VALUE"""),72.0)</f>
        <v>72</v>
      </c>
      <c r="D213" s="12"/>
      <c r="E213" s="12" t="str">
        <f>IFERROR(__xludf.DUMMYFUNCTION("""COMPUTED_VALUE"""),"Very pretty fabric and beautiful color, but i agree with the other reviewer here, the fit is a bit strange. the waist is very small - need to size up at least one size for that to fit - while the rest fits nicely. it's also a little longer than i had expe"&amp;"cted...sort of looks like it should be a couple inches shorter (and i'm 5'11""!).")</f>
        <v>Very pretty fabric and beautiful color, but i agree with the other reviewer here, the fit is a bit strange. the waist is very small - need to size up at least one size for that to fit - while the rest fits nicely. it's also a little longer than i had expected...sort of looks like it should be a couple inches shorter (and i'm 5'11"!).</v>
      </c>
      <c r="F213" s="13">
        <f>IFERROR(__xludf.DUMMYFUNCTION("""COMPUTED_VALUE"""),4.0)</f>
        <v>4</v>
      </c>
      <c r="G213" s="13">
        <f>IFERROR(__xludf.DUMMYFUNCTION("""COMPUTED_VALUE"""),1.0)</f>
        <v>1</v>
      </c>
      <c r="H213" s="13">
        <f>IFERROR(__xludf.DUMMYFUNCTION("""COMPUTED_VALUE"""),5.0)</f>
        <v>5</v>
      </c>
      <c r="I213" s="13" t="str">
        <f>IFERROR(__xludf.DUMMYFUNCTION("""COMPUTED_VALUE"""),"General Petite")</f>
        <v>General Petite</v>
      </c>
      <c r="J213" s="13" t="str">
        <f>IFERROR(__xludf.DUMMYFUNCTION("""COMPUTED_VALUE"""),"Bottoms")</f>
        <v>Bottoms</v>
      </c>
      <c r="K213" s="13" t="str">
        <f>IFERROR(__xludf.DUMMYFUNCTION("""COMPUTED_VALUE"""),"Skirts")</f>
        <v>Skirts</v>
      </c>
      <c r="L213" s="13"/>
    </row>
    <row r="214">
      <c r="A214" s="13">
        <f>IFERROR(__xludf.DUMMYFUNCTION("""COMPUTED_VALUE"""),212.0)</f>
        <v>212</v>
      </c>
      <c r="B214" s="13">
        <f>IFERROR(__xludf.DUMMYFUNCTION("""COMPUTED_VALUE"""),1075.0)</f>
        <v>1075</v>
      </c>
      <c r="C214" s="13">
        <f>IFERROR(__xludf.DUMMYFUNCTION("""COMPUTED_VALUE"""),52.0)</f>
        <v>52</v>
      </c>
      <c r="D214" s="12" t="str">
        <f>IFERROR(__xludf.DUMMYFUNCTION("""COMPUTED_VALUE"""),"Classic")</f>
        <v>Classic</v>
      </c>
      <c r="E214" s="12" t="str">
        <f>IFERROR(__xludf.DUMMYFUNCTION("""COMPUTED_VALUE"""),"I was so excited about the arrival of my maza dress. much to my surprise the material was not has structured as i thought it would be from the photos. the fit was very tight and did not fall as nicely as i anticipated. because i loved the classic design i"&amp;" decided to give it another chance so i returned it for the next size up and fell in love, the open sleeve was a nice surprise with a touch if elegance. the front buttons added a bit of old charm and feminine
appeal. while the material was not v")</f>
        <v>I was so excited about the arrival of my maza dress. much to my surprise the material was not has structured as i thought it would be from the photos. the fit was very tight and did not fall as nicely as i anticipated. because i loved the classic design i decided to give it another chance so i returned it for the next size up and fell in love, the open sleeve was a nice surprise with a touch if elegance. the front buttons added a bit of old charm and feminine
appeal. while the material was not v</v>
      </c>
      <c r="F214" s="13">
        <f>IFERROR(__xludf.DUMMYFUNCTION("""COMPUTED_VALUE"""),4.0)</f>
        <v>4</v>
      </c>
      <c r="G214" s="13">
        <f>IFERROR(__xludf.DUMMYFUNCTION("""COMPUTED_VALUE"""),1.0)</f>
        <v>1</v>
      </c>
      <c r="H214" s="13">
        <f>IFERROR(__xludf.DUMMYFUNCTION("""COMPUTED_VALUE"""),3.0)</f>
        <v>3</v>
      </c>
      <c r="I214" s="13" t="str">
        <f>IFERROR(__xludf.DUMMYFUNCTION("""COMPUTED_VALUE"""),"General")</f>
        <v>General</v>
      </c>
      <c r="J214" s="13" t="str">
        <f>IFERROR(__xludf.DUMMYFUNCTION("""COMPUTED_VALUE"""),"Dresses")</f>
        <v>Dresses</v>
      </c>
      <c r="K214" s="13" t="str">
        <f>IFERROR(__xludf.DUMMYFUNCTION("""COMPUTED_VALUE"""),"Dresses")</f>
        <v>Dresses</v>
      </c>
      <c r="L214" s="13"/>
    </row>
    <row r="215">
      <c r="A215" s="13">
        <f>IFERROR(__xludf.DUMMYFUNCTION("""COMPUTED_VALUE"""),213.0)</f>
        <v>213</v>
      </c>
      <c r="B215" s="13">
        <f>IFERROR(__xludf.DUMMYFUNCTION("""COMPUTED_VALUE"""),1104.0)</f>
        <v>1104</v>
      </c>
      <c r="C215" s="13">
        <f>IFERROR(__xludf.DUMMYFUNCTION("""COMPUTED_VALUE"""),47.0)</f>
        <v>47</v>
      </c>
      <c r="D215" s="12" t="str">
        <f>IFERROR(__xludf.DUMMYFUNCTION("""COMPUTED_VALUE"""),"My new favorite dress")</f>
        <v>My new favorite dress</v>
      </c>
      <c r="E215" s="12" t="str">
        <f>IFERROR(__xludf.DUMMYFUNCTION("""COMPUTED_VALUE"""),"I'm 5'4"", 130 lbs. 34 d. i bought the medium. i think i could have gotten the small but i didn't have time to re-order. it fit fine but could have been a little more snug around my top half. i love the length and the fabric.!")</f>
        <v>I'm 5'4", 130 lbs. 34 d. i bought the medium. i think i could have gotten the small but i didn't have time to re-order. it fit fine but could have been a little more snug around my top half. i love the length and the fabric.!</v>
      </c>
      <c r="F215" s="13">
        <f>IFERROR(__xludf.DUMMYFUNCTION("""COMPUTED_VALUE"""),5.0)</f>
        <v>5</v>
      </c>
      <c r="G215" s="13">
        <f>IFERROR(__xludf.DUMMYFUNCTION("""COMPUTED_VALUE"""),1.0)</f>
        <v>1</v>
      </c>
      <c r="H215" s="13">
        <f>IFERROR(__xludf.DUMMYFUNCTION("""COMPUTED_VALUE"""),0.0)</f>
        <v>0</v>
      </c>
      <c r="I215" s="13" t="str">
        <f>IFERROR(__xludf.DUMMYFUNCTION("""COMPUTED_VALUE"""),"General")</f>
        <v>General</v>
      </c>
      <c r="J215" s="13" t="str">
        <f>IFERROR(__xludf.DUMMYFUNCTION("""COMPUTED_VALUE"""),"Dresses")</f>
        <v>Dresses</v>
      </c>
      <c r="K215" s="13" t="str">
        <f>IFERROR(__xludf.DUMMYFUNCTION("""COMPUTED_VALUE"""),"Dresses")</f>
        <v>Dresses</v>
      </c>
      <c r="L215" s="13"/>
    </row>
    <row r="216">
      <c r="A216" s="13">
        <f>IFERROR(__xludf.DUMMYFUNCTION("""COMPUTED_VALUE"""),214.0)</f>
        <v>214</v>
      </c>
      <c r="B216" s="13">
        <f>IFERROR(__xludf.DUMMYFUNCTION("""COMPUTED_VALUE"""),1020.0)</f>
        <v>1020</v>
      </c>
      <c r="C216" s="13">
        <f>IFERROR(__xludf.DUMMYFUNCTION("""COMPUTED_VALUE"""),67.0)</f>
        <v>67</v>
      </c>
      <c r="D216" s="12" t="str">
        <f>IFERROR(__xludf.DUMMYFUNCTION("""COMPUTED_VALUE"""),"Not as pictured!")</f>
        <v>Not as pictured!</v>
      </c>
      <c r="E216" s="12" t="str">
        <f>IFERROR(__xludf.DUMMYFUNCTION("""COMPUTED_VALUE"""),"The skirt that i received had very little blue or green in it, and was mostly white, yellow and some red. the fit was fine but the quality for the price was not there for me. the lack of quality and the disappointment in the quality equals a return.")</f>
        <v>The skirt that i received had very little blue or green in it, and was mostly white, yellow and some red. the fit was fine but the quality for the price was not there for me. the lack of quality and the disappointment in the quality equals a return.</v>
      </c>
      <c r="F216" s="13">
        <f>IFERROR(__xludf.DUMMYFUNCTION("""COMPUTED_VALUE"""),1.0)</f>
        <v>1</v>
      </c>
      <c r="G216" s="13">
        <f>IFERROR(__xludf.DUMMYFUNCTION("""COMPUTED_VALUE"""),0.0)</f>
        <v>0</v>
      </c>
      <c r="H216" s="13">
        <f>IFERROR(__xludf.DUMMYFUNCTION("""COMPUTED_VALUE"""),17.0)</f>
        <v>17</v>
      </c>
      <c r="I216" s="13" t="str">
        <f>IFERROR(__xludf.DUMMYFUNCTION("""COMPUTED_VALUE"""),"General Petite")</f>
        <v>General Petite</v>
      </c>
      <c r="J216" s="13" t="str">
        <f>IFERROR(__xludf.DUMMYFUNCTION("""COMPUTED_VALUE"""),"Bottoms")</f>
        <v>Bottoms</v>
      </c>
      <c r="K216" s="13" t="str">
        <f>IFERROR(__xludf.DUMMYFUNCTION("""COMPUTED_VALUE"""),"Skirts")</f>
        <v>Skirts</v>
      </c>
      <c r="L216" s="13"/>
    </row>
    <row r="217">
      <c r="A217" s="13">
        <f>IFERROR(__xludf.DUMMYFUNCTION("""COMPUTED_VALUE"""),215.0)</f>
        <v>215</v>
      </c>
      <c r="B217" s="13">
        <f>IFERROR(__xludf.DUMMYFUNCTION("""COMPUTED_VALUE"""),1094.0)</f>
        <v>1094</v>
      </c>
      <c r="C217" s="13">
        <f>IFERROR(__xludf.DUMMYFUNCTION("""COMPUTED_VALUE"""),39.0)</f>
        <v>39</v>
      </c>
      <c r="D217" s="12" t="str">
        <f>IFERROR(__xludf.DUMMYFUNCTION("""COMPUTED_VALUE"""),"Autumn fever")</f>
        <v>Autumn fever</v>
      </c>
      <c r="E217" s="12" t="str">
        <f>IFERROR(__xludf.DUMMYFUNCTION("""COMPUTED_VALUE"""),"Ranna designs richly detailed dresses and this is no exception.  looks just like the pictures (colors/cut/drape) with the exception of a modesty hook at the deep v-neck.  sleeves are sheer with an elastic cuff.  this dress does not stretch--the bodice fel"&amp;"t very fitted and tight, especially at the waist band.  runs tts or small; if you're busty/broad shouldered, size up.  it has a dreadful side zip, is fully lined and all synthetic fabric (boo!)  i purchased size 10p, my stats 36c/38-27-35/135#.")</f>
        <v>Ranna designs richly detailed dresses and this is no exception.  looks just like the pictures (colors/cut/drape) with the exception of a modesty hook at the deep v-neck.  sleeves are sheer with an elastic cuff.  this dress does not stretch--the bodice felt very fitted and tight, especially at the waist band.  runs tts or small; if you're busty/broad shouldered, size up.  it has a dreadful side zip, is fully lined and all synthetic fabric (boo!)  i purchased size 10p, my stats 36c/38-27-35/135#.</v>
      </c>
      <c r="F217" s="13">
        <f>IFERROR(__xludf.DUMMYFUNCTION("""COMPUTED_VALUE"""),5.0)</f>
        <v>5</v>
      </c>
      <c r="G217" s="13">
        <f>IFERROR(__xludf.DUMMYFUNCTION("""COMPUTED_VALUE"""),1.0)</f>
        <v>1</v>
      </c>
      <c r="H217" s="13">
        <f>IFERROR(__xludf.DUMMYFUNCTION("""COMPUTED_VALUE"""),0.0)</f>
        <v>0</v>
      </c>
      <c r="I217" s="13" t="str">
        <f>IFERROR(__xludf.DUMMYFUNCTION("""COMPUTED_VALUE"""),"General Petite")</f>
        <v>General Petite</v>
      </c>
      <c r="J217" s="13" t="str">
        <f>IFERROR(__xludf.DUMMYFUNCTION("""COMPUTED_VALUE"""),"Dresses")</f>
        <v>Dresses</v>
      </c>
      <c r="K217" s="13" t="str">
        <f>IFERROR(__xludf.DUMMYFUNCTION("""COMPUTED_VALUE"""),"Dresses")</f>
        <v>Dresses</v>
      </c>
      <c r="L217" s="13"/>
    </row>
    <row r="218">
      <c r="A218" s="13">
        <f>IFERROR(__xludf.DUMMYFUNCTION("""COMPUTED_VALUE"""),216.0)</f>
        <v>216</v>
      </c>
      <c r="B218" s="13">
        <f>IFERROR(__xludf.DUMMYFUNCTION("""COMPUTED_VALUE"""),305.0)</f>
        <v>305</v>
      </c>
      <c r="C218" s="13">
        <f>IFERROR(__xludf.DUMMYFUNCTION("""COMPUTED_VALUE"""),46.0)</f>
        <v>46</v>
      </c>
      <c r="D218" s="12" t="str">
        <f>IFERROR(__xludf.DUMMYFUNCTION("""COMPUTED_VALUE"""),"Very small")</f>
        <v>Very small</v>
      </c>
      <c r="E218" s="12" t="str">
        <f>IFERROR(__xludf.DUMMYFUNCTION("""COMPUTED_VALUE"""),"Bought a large, could barely pull up over my butt. runs extremely small. it's cute but if your not a stick figure, this is not the suit for you.")</f>
        <v>Bought a large, could barely pull up over my butt. runs extremely small. it's cute but if your not a stick figure, this is not the suit for you.</v>
      </c>
      <c r="F218" s="13">
        <f>IFERROR(__xludf.DUMMYFUNCTION("""COMPUTED_VALUE"""),2.0)</f>
        <v>2</v>
      </c>
      <c r="G218" s="13">
        <f>IFERROR(__xludf.DUMMYFUNCTION("""COMPUTED_VALUE"""),0.0)</f>
        <v>0</v>
      </c>
      <c r="H218" s="13">
        <f>IFERROR(__xludf.DUMMYFUNCTION("""COMPUTED_VALUE"""),0.0)</f>
        <v>0</v>
      </c>
      <c r="I218" s="13" t="str">
        <f>IFERROR(__xludf.DUMMYFUNCTION("""COMPUTED_VALUE"""),"Initmates")</f>
        <v>Initmates</v>
      </c>
      <c r="J218" s="13" t="str">
        <f>IFERROR(__xludf.DUMMYFUNCTION("""COMPUTED_VALUE"""),"Intimate")</f>
        <v>Intimate</v>
      </c>
      <c r="K218" s="13" t="str">
        <f>IFERROR(__xludf.DUMMYFUNCTION("""COMPUTED_VALUE"""),"Swim")</f>
        <v>Swim</v>
      </c>
      <c r="L218" s="13"/>
    </row>
    <row r="219">
      <c r="A219" s="13">
        <f>IFERROR(__xludf.DUMMYFUNCTION("""COMPUTED_VALUE"""),217.0)</f>
        <v>217</v>
      </c>
      <c r="B219" s="13">
        <f>IFERROR(__xludf.DUMMYFUNCTION("""COMPUTED_VALUE"""),828.0)</f>
        <v>828</v>
      </c>
      <c r="C219" s="13">
        <f>IFERROR(__xludf.DUMMYFUNCTION("""COMPUTED_VALUE"""),64.0)</f>
        <v>64</v>
      </c>
      <c r="D219" s="12" t="str">
        <f>IFERROR(__xludf.DUMMYFUNCTION("""COMPUTED_VALUE"""),"Too cute to pass up!")</f>
        <v>Too cute to pass up!</v>
      </c>
      <c r="E219" s="12" t="str">
        <f>IFERROR(__xludf.DUMMYFUNCTION("""COMPUTED_VALUE"""),"Adorable... too chilly now to wear alone &amp; too cute to cover it up! my navy parka or jean jacket will prob be ok w/ it though. size 6 fits me perfectly &amp; looks pretty much on me as in the pic. love plaid &amp; cotton blend tops anyways. ruffles - adorable, &amp; "&amp;"i'm not too big on that but do love this look. when i first removed this top from the packaging it had an odd 'smoky'-like odor, but it's the dye i think. after hanging it for a few days the smell disappeared. i have in mind to wear w/ the pilcr")</f>
        <v>Adorable... too chilly now to wear alone &amp; too cute to cover it up! my navy parka or jean jacket will prob be ok w/ it though. size 6 fits me perfectly &amp; looks pretty much on me as in the pic. love plaid &amp; cotton blend tops anyways. ruffles - adorable, &amp; i'm not too big on that but do love this look. when i first removed this top from the packaging it had an odd 'smoky'-like odor, but it's the dye i think. after hanging it for a few days the smell disappeared. i have in mind to wear w/ the pilcr</v>
      </c>
      <c r="F219" s="13">
        <f>IFERROR(__xludf.DUMMYFUNCTION("""COMPUTED_VALUE"""),5.0)</f>
        <v>5</v>
      </c>
      <c r="G219" s="13">
        <f>IFERROR(__xludf.DUMMYFUNCTION("""COMPUTED_VALUE"""),1.0)</f>
        <v>1</v>
      </c>
      <c r="H219" s="13">
        <f>IFERROR(__xludf.DUMMYFUNCTION("""COMPUTED_VALUE"""),3.0)</f>
        <v>3</v>
      </c>
      <c r="I219" s="13" t="str">
        <f>IFERROR(__xludf.DUMMYFUNCTION("""COMPUTED_VALUE"""),"General")</f>
        <v>General</v>
      </c>
      <c r="J219" s="13" t="str">
        <f>IFERROR(__xludf.DUMMYFUNCTION("""COMPUTED_VALUE"""),"Tops")</f>
        <v>Tops</v>
      </c>
      <c r="K219" s="13" t="str">
        <f>IFERROR(__xludf.DUMMYFUNCTION("""COMPUTED_VALUE"""),"Blouses")</f>
        <v>Blouses</v>
      </c>
      <c r="L219" s="13"/>
    </row>
    <row r="220">
      <c r="A220" s="13">
        <f>IFERROR(__xludf.DUMMYFUNCTION("""COMPUTED_VALUE"""),218.0)</f>
        <v>218</v>
      </c>
      <c r="B220" s="13">
        <f>IFERROR(__xludf.DUMMYFUNCTION("""COMPUTED_VALUE"""),1094.0)</f>
        <v>1094</v>
      </c>
      <c r="C220" s="13">
        <f>IFERROR(__xludf.DUMMYFUNCTION("""COMPUTED_VALUE"""),30.0)</f>
        <v>30</v>
      </c>
      <c r="D220" s="12" t="str">
        <f>IFERROR(__xludf.DUMMYFUNCTION("""COMPUTED_VALUE"""),"Falling goddess")</f>
        <v>Falling goddess</v>
      </c>
      <c r="E220" s="12" t="str">
        <f>IFERROR(__xludf.DUMMYFUNCTION("""COMPUTED_VALUE"""),"This dress makes you feel like a bohemian goddess.  falls in the right area and absolutely adorable.  the dress is very fragile, handle with care.")</f>
        <v>This dress makes you feel like a bohemian goddess.  falls in the right area and absolutely adorable.  the dress is very fragile, handle with care.</v>
      </c>
      <c r="F220" s="13">
        <f>IFERROR(__xludf.DUMMYFUNCTION("""COMPUTED_VALUE"""),5.0)</f>
        <v>5</v>
      </c>
      <c r="G220" s="13">
        <f>IFERROR(__xludf.DUMMYFUNCTION("""COMPUTED_VALUE"""),1.0)</f>
        <v>1</v>
      </c>
      <c r="H220" s="13">
        <f>IFERROR(__xludf.DUMMYFUNCTION("""COMPUTED_VALUE"""),0.0)</f>
        <v>0</v>
      </c>
      <c r="I220" s="13" t="str">
        <f>IFERROR(__xludf.DUMMYFUNCTION("""COMPUTED_VALUE"""),"General Petite")</f>
        <v>General Petite</v>
      </c>
      <c r="J220" s="13" t="str">
        <f>IFERROR(__xludf.DUMMYFUNCTION("""COMPUTED_VALUE"""),"Dresses")</f>
        <v>Dresses</v>
      </c>
      <c r="K220" s="13" t="str">
        <f>IFERROR(__xludf.DUMMYFUNCTION("""COMPUTED_VALUE"""),"Dresses")</f>
        <v>Dresses</v>
      </c>
      <c r="L220" s="13"/>
    </row>
    <row r="221">
      <c r="A221" s="13">
        <f>IFERROR(__xludf.DUMMYFUNCTION("""COMPUTED_VALUE"""),219.0)</f>
        <v>219</v>
      </c>
      <c r="B221" s="13">
        <f>IFERROR(__xludf.DUMMYFUNCTION("""COMPUTED_VALUE"""),828.0)</f>
        <v>828</v>
      </c>
      <c r="C221" s="13">
        <f>IFERROR(__xludf.DUMMYFUNCTION("""COMPUTED_VALUE"""),38.0)</f>
        <v>38</v>
      </c>
      <c r="D221" s="12"/>
      <c r="E221" s="12" t="str">
        <f>IFERROR(__xludf.DUMMYFUNCTION("""COMPUTED_VALUE"""),"This is my new favorite top! looks and fits as described.")</f>
        <v>This is my new favorite top! looks and fits as described.</v>
      </c>
      <c r="F221" s="13">
        <f>IFERROR(__xludf.DUMMYFUNCTION("""COMPUTED_VALUE"""),5.0)</f>
        <v>5</v>
      </c>
      <c r="G221" s="13">
        <f>IFERROR(__xludf.DUMMYFUNCTION("""COMPUTED_VALUE"""),1.0)</f>
        <v>1</v>
      </c>
      <c r="H221" s="13">
        <f>IFERROR(__xludf.DUMMYFUNCTION("""COMPUTED_VALUE"""),1.0)</f>
        <v>1</v>
      </c>
      <c r="I221" s="13" t="str">
        <f>IFERROR(__xludf.DUMMYFUNCTION("""COMPUTED_VALUE"""),"General")</f>
        <v>General</v>
      </c>
      <c r="J221" s="13" t="str">
        <f>IFERROR(__xludf.DUMMYFUNCTION("""COMPUTED_VALUE"""),"Tops")</f>
        <v>Tops</v>
      </c>
      <c r="K221" s="13" t="str">
        <f>IFERROR(__xludf.DUMMYFUNCTION("""COMPUTED_VALUE"""),"Blouses")</f>
        <v>Blouses</v>
      </c>
      <c r="L221" s="13"/>
    </row>
    <row r="222">
      <c r="A222" s="13">
        <f>IFERROR(__xludf.DUMMYFUNCTION("""COMPUTED_VALUE"""),220.0)</f>
        <v>220</v>
      </c>
      <c r="B222" s="13">
        <f>IFERROR(__xludf.DUMMYFUNCTION("""COMPUTED_VALUE"""),895.0)</f>
        <v>895</v>
      </c>
      <c r="C222" s="13">
        <f>IFERROR(__xludf.DUMMYFUNCTION("""COMPUTED_VALUE"""),36.0)</f>
        <v>36</v>
      </c>
      <c r="D222" s="12" t="str">
        <f>IFERROR(__xludf.DUMMYFUNCTION("""COMPUTED_VALUE"""),"Pretty and comfy")</f>
        <v>Pretty and comfy</v>
      </c>
      <c r="E222" s="12" t="str">
        <f>IFERROR(__xludf.DUMMYFUNCTION("""COMPUTED_VALUE"""),"Last minute i needed a family-friendly top for a chilly night, so i tried on a couple of flowy sweaters at retailer and this was the keeper. while i found other styles a bit too boxy or bulky for my short torso, this has a nice a-line shape that gave me a"&amp;" slim profile while still being forgiving, plus the detail up top is feminine and i liked not having fabric piled up around my neck. i am usually a small but wanted this to fit like the model so i sized up to a medium and voila, i am a model. just")</f>
        <v>Last minute i needed a family-friendly top for a chilly night, so i tried on a couple of flowy sweaters at retailer and this was the keeper. while i found other styles a bit too boxy or bulky for my short torso, this has a nice a-line shape that gave me a slim profile while still being forgiving, plus the detail up top is feminine and i liked not having fabric piled up around my neck. i am usually a small but wanted this to fit like the model so i sized up to a medium and voila, i am a model. just</v>
      </c>
      <c r="F222" s="13">
        <f>IFERROR(__xludf.DUMMYFUNCTION("""COMPUTED_VALUE"""),4.0)</f>
        <v>4</v>
      </c>
      <c r="G222" s="13">
        <f>IFERROR(__xludf.DUMMYFUNCTION("""COMPUTED_VALUE"""),1.0)</f>
        <v>1</v>
      </c>
      <c r="H222" s="13">
        <f>IFERROR(__xludf.DUMMYFUNCTION("""COMPUTED_VALUE"""),5.0)</f>
        <v>5</v>
      </c>
      <c r="I222" s="13" t="str">
        <f>IFERROR(__xludf.DUMMYFUNCTION("""COMPUTED_VALUE"""),"General Petite")</f>
        <v>General Petite</v>
      </c>
      <c r="J222" s="13" t="str">
        <f>IFERROR(__xludf.DUMMYFUNCTION("""COMPUTED_VALUE"""),"Tops")</f>
        <v>Tops</v>
      </c>
      <c r="K222" s="13" t="str">
        <f>IFERROR(__xludf.DUMMYFUNCTION("""COMPUTED_VALUE"""),"Fine gauge")</f>
        <v>Fine gauge</v>
      </c>
      <c r="L222" s="13"/>
    </row>
    <row r="223">
      <c r="A223" s="13">
        <f>IFERROR(__xludf.DUMMYFUNCTION("""COMPUTED_VALUE"""),221.0)</f>
        <v>221</v>
      </c>
      <c r="B223" s="13">
        <f>IFERROR(__xludf.DUMMYFUNCTION("""COMPUTED_VALUE"""),1020.0)</f>
        <v>1020</v>
      </c>
      <c r="C223" s="13">
        <f>IFERROR(__xludf.DUMMYFUNCTION("""COMPUTED_VALUE"""),52.0)</f>
        <v>52</v>
      </c>
      <c r="D223" s="12" t="str">
        <f>IFERROR(__xludf.DUMMYFUNCTION("""COMPUTED_VALUE"""),"Perfect skirt")</f>
        <v>Perfect skirt</v>
      </c>
      <c r="E223" s="12" t="str">
        <f>IFERROR(__xludf.DUMMYFUNCTION("""COMPUTED_VALUE"""),"Love all the colors in this skirt and that i can wear it with a tee and flat sandals or a black jacket and heels. easy piece to wear many ways. great quality too.")</f>
        <v>Love all the colors in this skirt and that i can wear it with a tee and flat sandals or a black jacket and heels. easy piece to wear many ways. great quality too.</v>
      </c>
      <c r="F223" s="13">
        <f>IFERROR(__xludf.DUMMYFUNCTION("""COMPUTED_VALUE"""),5.0)</f>
        <v>5</v>
      </c>
      <c r="G223" s="13">
        <f>IFERROR(__xludf.DUMMYFUNCTION("""COMPUTED_VALUE"""),1.0)</f>
        <v>1</v>
      </c>
      <c r="H223" s="13">
        <f>IFERROR(__xludf.DUMMYFUNCTION("""COMPUTED_VALUE"""),1.0)</f>
        <v>1</v>
      </c>
      <c r="I223" s="13" t="str">
        <f>IFERROR(__xludf.DUMMYFUNCTION("""COMPUTED_VALUE"""),"General Petite")</f>
        <v>General Petite</v>
      </c>
      <c r="J223" s="13" t="str">
        <f>IFERROR(__xludf.DUMMYFUNCTION("""COMPUTED_VALUE"""),"Bottoms")</f>
        <v>Bottoms</v>
      </c>
      <c r="K223" s="13" t="str">
        <f>IFERROR(__xludf.DUMMYFUNCTION("""COMPUTED_VALUE"""),"Skirts")</f>
        <v>Skirts</v>
      </c>
      <c r="L223" s="13"/>
    </row>
    <row r="224">
      <c r="A224" s="13">
        <f>IFERROR(__xludf.DUMMYFUNCTION("""COMPUTED_VALUE"""),222.0)</f>
        <v>222</v>
      </c>
      <c r="B224" s="13">
        <f>IFERROR(__xludf.DUMMYFUNCTION("""COMPUTED_VALUE"""),895.0)</f>
        <v>895</v>
      </c>
      <c r="C224" s="13">
        <f>IFERROR(__xludf.DUMMYFUNCTION("""COMPUTED_VALUE"""),61.0)</f>
        <v>61</v>
      </c>
      <c r="D224" s="12"/>
      <c r="E224" s="12" t="str">
        <f>IFERROR(__xludf.DUMMYFUNCTION("""COMPUTED_VALUE"""),"This tunic trumped any other i have seen this season. the style, with the delicate open stitchwork around the upper chest gave it quite a feminine appeal. i especially love the weight of the fabric being on the light side. won't have to worry about hot fl"&amp;"ashes like when wearing a thicker fabric! it's warm without being bulky. and to top it off, it was on sale and i was able to grab two colors. this tunic is also age appropriate and flattering for most anyone. extraordinary to say the least.")</f>
        <v>This tunic trumped any other i have seen this season. the style, with the delicate open stitchwork around the upper chest gave it quite a feminine appeal. i especially love the weight of the fabric being on the light side. won't have to worry about hot flashes like when wearing a thicker fabric! it's warm without being bulky. and to top it off, it was on sale and i was able to grab two colors. this tunic is also age appropriate and flattering for most anyone. extraordinary to say the least.</v>
      </c>
      <c r="F224" s="13">
        <f>IFERROR(__xludf.DUMMYFUNCTION("""COMPUTED_VALUE"""),5.0)</f>
        <v>5</v>
      </c>
      <c r="G224" s="13">
        <f>IFERROR(__xludf.DUMMYFUNCTION("""COMPUTED_VALUE"""),1.0)</f>
        <v>1</v>
      </c>
      <c r="H224" s="13">
        <f>IFERROR(__xludf.DUMMYFUNCTION("""COMPUTED_VALUE"""),0.0)</f>
        <v>0</v>
      </c>
      <c r="I224" s="13" t="str">
        <f>IFERROR(__xludf.DUMMYFUNCTION("""COMPUTED_VALUE"""),"General Petite")</f>
        <v>General Petite</v>
      </c>
      <c r="J224" s="13" t="str">
        <f>IFERROR(__xludf.DUMMYFUNCTION("""COMPUTED_VALUE"""),"Tops")</f>
        <v>Tops</v>
      </c>
      <c r="K224" s="13" t="str">
        <f>IFERROR(__xludf.DUMMYFUNCTION("""COMPUTED_VALUE"""),"Fine gauge")</f>
        <v>Fine gauge</v>
      </c>
      <c r="L224" s="13"/>
    </row>
    <row r="225">
      <c r="A225" s="13">
        <f>IFERROR(__xludf.DUMMYFUNCTION("""COMPUTED_VALUE"""),223.0)</f>
        <v>223</v>
      </c>
      <c r="B225" s="13">
        <f>IFERROR(__xludf.DUMMYFUNCTION("""COMPUTED_VALUE"""),647.0)</f>
        <v>647</v>
      </c>
      <c r="C225" s="13">
        <f>IFERROR(__xludf.DUMMYFUNCTION("""COMPUTED_VALUE"""),29.0)</f>
        <v>29</v>
      </c>
      <c r="D225" s="12" t="str">
        <f>IFERROR(__xludf.DUMMYFUNCTION("""COMPUTED_VALUE"""),"Easy, comfy &amp; cute")</f>
        <v>Easy, comfy &amp; cute</v>
      </c>
      <c r="E225" s="12" t="str">
        <f>IFERROR(__xludf.DUMMYFUNCTION("""COMPUTED_VALUE"""),"I needed a dress that was easy to throw on for summer days and this dress is perfect for that. it's flattering, light weight and unique. i've received a handful of compliments while wearing this dress. i am 5' 6"" 150 lbs, hourglass figure and typically p"&amp;"urchase a small or medium (8-10) and chose a small for this dress. i'd say it's still loose on me- which is what i prefer. the scoop neck and cut out allows you wear a normal bra. however, i've noticed i'm more comfortable wearing a camisole or s")</f>
        <v>I needed a dress that was easy to throw on for summer days and this dress is perfect for that. it's flattering, light weight and unique. i've received a handful of compliments while wearing this dress. i am 5' 6" 150 lbs, hourglass figure and typically purchase a small or medium (8-10) and chose a small for this dress. i'd say it's still loose on me- which is what i prefer. the scoop neck and cut out allows you wear a normal bra. however, i've noticed i'm more comfortable wearing a camisole or s</v>
      </c>
      <c r="F225" s="13">
        <f>IFERROR(__xludf.DUMMYFUNCTION("""COMPUTED_VALUE"""),5.0)</f>
        <v>5</v>
      </c>
      <c r="G225" s="13">
        <f>IFERROR(__xludf.DUMMYFUNCTION("""COMPUTED_VALUE"""),1.0)</f>
        <v>1</v>
      </c>
      <c r="H225" s="13">
        <f>IFERROR(__xludf.DUMMYFUNCTION("""COMPUTED_VALUE"""),1.0)</f>
        <v>1</v>
      </c>
      <c r="I225" s="13" t="str">
        <f>IFERROR(__xludf.DUMMYFUNCTION("""COMPUTED_VALUE"""),"General Petite")</f>
        <v>General Petite</v>
      </c>
      <c r="J225" s="13" t="str">
        <f>IFERROR(__xludf.DUMMYFUNCTION("""COMPUTED_VALUE"""),"Intimate")</f>
        <v>Intimate</v>
      </c>
      <c r="K225" s="13" t="str">
        <f>IFERROR(__xludf.DUMMYFUNCTION("""COMPUTED_VALUE"""),"Lounge")</f>
        <v>Lounge</v>
      </c>
      <c r="L225" s="13"/>
    </row>
    <row r="226">
      <c r="A226" s="13">
        <f>IFERROR(__xludf.DUMMYFUNCTION("""COMPUTED_VALUE"""),224.0)</f>
        <v>224</v>
      </c>
      <c r="B226" s="13">
        <f>IFERROR(__xludf.DUMMYFUNCTION("""COMPUTED_VALUE"""),1025.0)</f>
        <v>1025</v>
      </c>
      <c r="C226" s="13">
        <f>IFERROR(__xludf.DUMMYFUNCTION("""COMPUTED_VALUE"""),38.0)</f>
        <v>38</v>
      </c>
      <c r="D226" s="12"/>
      <c r="E226" s="12" t="str">
        <f>IFERROR(__xludf.DUMMYFUNCTION("""COMPUTED_VALUE"""),"The inseam is advertised as 28"", but they are more like 38"". i was hoping they were for short people, but they are for someone with very long legs, event in my tallest heels, i'd have to get them hemmed! just a warning to my short friends out there. the"&amp;" quality, fit, look was great, but way way way too long.")</f>
        <v>The inseam is advertised as 28", but they are more like 38". i was hoping they were for short people, but they are for someone with very long legs, event in my tallest heels, i'd have to get them hemmed! just a warning to my short friends out there. the quality, fit, look was great, but way way way too long.</v>
      </c>
      <c r="F226" s="13">
        <f>IFERROR(__xludf.DUMMYFUNCTION("""COMPUTED_VALUE"""),4.0)</f>
        <v>4</v>
      </c>
      <c r="G226" s="13">
        <f>IFERROR(__xludf.DUMMYFUNCTION("""COMPUTED_VALUE"""),1.0)</f>
        <v>1</v>
      </c>
      <c r="H226" s="13">
        <f>IFERROR(__xludf.DUMMYFUNCTION("""COMPUTED_VALUE"""),10.0)</f>
        <v>10</v>
      </c>
      <c r="I226" s="13" t="str">
        <f>IFERROR(__xludf.DUMMYFUNCTION("""COMPUTED_VALUE"""),"General")</f>
        <v>General</v>
      </c>
      <c r="J226" s="13" t="str">
        <f>IFERROR(__xludf.DUMMYFUNCTION("""COMPUTED_VALUE"""),"Bottoms")</f>
        <v>Bottoms</v>
      </c>
      <c r="K226" s="13" t="str">
        <f>IFERROR(__xludf.DUMMYFUNCTION("""COMPUTED_VALUE"""),"Jeans")</f>
        <v>Jeans</v>
      </c>
      <c r="L226" s="13"/>
    </row>
    <row r="227">
      <c r="A227" s="13">
        <f>IFERROR(__xludf.DUMMYFUNCTION("""COMPUTED_VALUE"""),225.0)</f>
        <v>225</v>
      </c>
      <c r="B227" s="13">
        <f>IFERROR(__xludf.DUMMYFUNCTION("""COMPUTED_VALUE"""),1025.0)</f>
        <v>1025</v>
      </c>
      <c r="C227" s="13">
        <f>IFERROR(__xludf.DUMMYFUNCTION("""COMPUTED_VALUE"""),35.0)</f>
        <v>35</v>
      </c>
      <c r="D227" s="12" t="str">
        <f>IFERROR(__xludf.DUMMYFUNCTION("""COMPUTED_VALUE"""),"Gorgeous")</f>
        <v>Gorgeous</v>
      </c>
      <c r="E227" s="12" t="str">
        <f>IFERROR(__xludf.DUMMYFUNCTION("""COMPUTED_VALUE"""),"I love paige brand pants-they are soft, comfortable, and forgiving. i love these, and want them badly. the are still tight all the way to the knee and then go out into a flattering flare-it is difficult to find the perfect fit on something like this-and p"&amp;"aige has done a wonderful job for my body.
my store does not carry petite so i tried these on in regular length. they were significantly too long for me (5'3"") probably 3-4 inches to long. i am hoping for a sale so i can buy them in petite for")</f>
        <v>I love paige brand pants-they are soft, comfortable, and forgiving. i love these, and want them badly. the are still tight all the way to the knee and then go out into a flattering flare-it is difficult to find the perfect fit on something like this-and paige has done a wonderful job for my body.
my store does not carry petite so i tried these on in regular length. they were significantly too long for me (5'3") probably 3-4 inches to long. i am hoping for a sale so i can buy them in petite for</v>
      </c>
      <c r="F227" s="13">
        <f>IFERROR(__xludf.DUMMYFUNCTION("""COMPUTED_VALUE"""),5.0)</f>
        <v>5</v>
      </c>
      <c r="G227" s="13">
        <f>IFERROR(__xludf.DUMMYFUNCTION("""COMPUTED_VALUE"""),1.0)</f>
        <v>1</v>
      </c>
      <c r="H227" s="13">
        <f>IFERROR(__xludf.DUMMYFUNCTION("""COMPUTED_VALUE"""),14.0)</f>
        <v>14</v>
      </c>
      <c r="I227" s="13" t="str">
        <f>IFERROR(__xludf.DUMMYFUNCTION("""COMPUTED_VALUE"""),"General")</f>
        <v>General</v>
      </c>
      <c r="J227" s="13" t="str">
        <f>IFERROR(__xludf.DUMMYFUNCTION("""COMPUTED_VALUE"""),"Bottoms")</f>
        <v>Bottoms</v>
      </c>
      <c r="K227" s="13" t="str">
        <f>IFERROR(__xludf.DUMMYFUNCTION("""COMPUTED_VALUE"""),"Jeans")</f>
        <v>Jeans</v>
      </c>
      <c r="L227" s="13"/>
    </row>
    <row r="228">
      <c r="A228" s="13">
        <f>IFERROR(__xludf.DUMMYFUNCTION("""COMPUTED_VALUE"""),226.0)</f>
        <v>226</v>
      </c>
      <c r="B228" s="13">
        <f>IFERROR(__xludf.DUMMYFUNCTION("""COMPUTED_VALUE"""),815.0)</f>
        <v>815</v>
      </c>
      <c r="C228" s="13">
        <f>IFERROR(__xludf.DUMMYFUNCTION("""COMPUTED_VALUE"""),55.0)</f>
        <v>55</v>
      </c>
      <c r="D228" s="12" t="str">
        <f>IFERROR(__xludf.DUMMYFUNCTION("""COMPUTED_VALUE"""),"Pretty")</f>
        <v>Pretty</v>
      </c>
      <c r="E228" s="12" t="str">
        <f>IFERROR(__xludf.DUMMYFUNCTION("""COMPUTED_VALUE"""),"This top is really pretty and nice quality. runs big - i went down a size, and its perfect. coloring is more subtle in person than in the photo.")</f>
        <v>This top is really pretty and nice quality. runs big - i went down a size, and its perfect. coloring is more subtle in person than in the photo.</v>
      </c>
      <c r="F228" s="13">
        <f>IFERROR(__xludf.DUMMYFUNCTION("""COMPUTED_VALUE"""),5.0)</f>
        <v>5</v>
      </c>
      <c r="G228" s="13">
        <f>IFERROR(__xludf.DUMMYFUNCTION("""COMPUTED_VALUE"""),1.0)</f>
        <v>1</v>
      </c>
      <c r="H228" s="13">
        <f>IFERROR(__xludf.DUMMYFUNCTION("""COMPUTED_VALUE"""),1.0)</f>
        <v>1</v>
      </c>
      <c r="I228" s="13" t="str">
        <f>IFERROR(__xludf.DUMMYFUNCTION("""COMPUTED_VALUE"""),"General Petite")</f>
        <v>General Petite</v>
      </c>
      <c r="J228" s="13" t="str">
        <f>IFERROR(__xludf.DUMMYFUNCTION("""COMPUTED_VALUE"""),"Tops")</f>
        <v>Tops</v>
      </c>
      <c r="K228" s="13" t="str">
        <f>IFERROR(__xludf.DUMMYFUNCTION("""COMPUTED_VALUE"""),"Blouses")</f>
        <v>Blouses</v>
      </c>
      <c r="L228" s="13"/>
    </row>
    <row r="229">
      <c r="A229" s="13">
        <f>IFERROR(__xludf.DUMMYFUNCTION("""COMPUTED_VALUE"""),227.0)</f>
        <v>227</v>
      </c>
      <c r="B229" s="13">
        <f>IFERROR(__xludf.DUMMYFUNCTION("""COMPUTED_VALUE"""),1066.0)</f>
        <v>1066</v>
      </c>
      <c r="C229" s="13">
        <f>IFERROR(__xludf.DUMMYFUNCTION("""COMPUTED_VALUE"""),57.0)</f>
        <v>57</v>
      </c>
      <c r="D229" s="12" t="str">
        <f>IFERROR(__xludf.DUMMYFUNCTION("""COMPUTED_VALUE"""),"Great crop pant")</f>
        <v>Great crop pant</v>
      </c>
      <c r="E229" s="12" t="str">
        <f>IFERROR(__xludf.DUMMYFUNCTION("""COMPUTED_VALUE"""),"So i love pilcro, i wear them all the time and usually size down because they ""grow"" after wearing them. i tried on my usual size in these and felt like they are too tight, not sure if they will get any looser. the material feels really good, lightweigh"&amp;"t and the stripes are subtle but cute. not sure if i'll keep them or maybe size up,")</f>
        <v>So i love pilcro, i wear them all the time and usually size down because they "grow" after wearing them. i tried on my usual size in these and felt like they are too tight, not sure if they will get any looser. the material feels really good, lightweight and the stripes are subtle but cute. not sure if i'll keep them or maybe size up,</v>
      </c>
      <c r="F229" s="13">
        <f>IFERROR(__xludf.DUMMYFUNCTION("""COMPUTED_VALUE"""),4.0)</f>
        <v>4</v>
      </c>
      <c r="G229" s="13">
        <f>IFERROR(__xludf.DUMMYFUNCTION("""COMPUTED_VALUE"""),1.0)</f>
        <v>1</v>
      </c>
      <c r="H229" s="13">
        <f>IFERROR(__xludf.DUMMYFUNCTION("""COMPUTED_VALUE"""),3.0)</f>
        <v>3</v>
      </c>
      <c r="I229" s="13" t="str">
        <f>IFERROR(__xludf.DUMMYFUNCTION("""COMPUTED_VALUE"""),"General")</f>
        <v>General</v>
      </c>
      <c r="J229" s="13" t="str">
        <f>IFERROR(__xludf.DUMMYFUNCTION("""COMPUTED_VALUE"""),"Bottoms")</f>
        <v>Bottoms</v>
      </c>
      <c r="K229" s="13" t="str">
        <f>IFERROR(__xludf.DUMMYFUNCTION("""COMPUTED_VALUE"""),"Pants")</f>
        <v>Pants</v>
      </c>
      <c r="L229" s="13"/>
    </row>
    <row r="230">
      <c r="A230" s="13">
        <f>IFERROR(__xludf.DUMMYFUNCTION("""COMPUTED_VALUE"""),228.0)</f>
        <v>228</v>
      </c>
      <c r="B230" s="13">
        <f>IFERROR(__xludf.DUMMYFUNCTION("""COMPUTED_VALUE"""),840.0)</f>
        <v>840</v>
      </c>
      <c r="C230" s="13">
        <f>IFERROR(__xludf.DUMMYFUNCTION("""COMPUTED_VALUE"""),55.0)</f>
        <v>55</v>
      </c>
      <c r="D230" s="12" t="str">
        <f>IFERROR(__xludf.DUMMYFUNCTION("""COMPUTED_VALUE"""),"Cute")</f>
        <v>Cute</v>
      </c>
      <c r="E230" s="12" t="str">
        <f>IFERROR(__xludf.DUMMYFUNCTION("""COMPUTED_VALUE"""),"This is a cute top with jeans for spring and summer, or warmer climates - very fresh and airy. the fabric hangs nicely and although it is lightweight, it is not too thin or see through. ii does not get overly wrinkled either. the style is flattering for m"&amp;"ost body types and it can be dressed up or down. the v neck is just right: not too deep that you feel like you are showing too much cleavage, but deep enough to be feminine and slimming. i normally wear a size s in retailer tops and blouses")</f>
        <v>This is a cute top with jeans for spring and summer, or warmer climates - very fresh and airy. the fabric hangs nicely and although it is lightweight, it is not too thin or see through. ii does not get overly wrinkled either. the style is flattering for most body types and it can be dressed up or down. the v neck is just right: not too deep that you feel like you are showing too much cleavage, but deep enough to be feminine and slimming. i normally wear a size s in retailer tops and blouses</v>
      </c>
      <c r="F230" s="13">
        <f>IFERROR(__xludf.DUMMYFUNCTION("""COMPUTED_VALUE"""),4.0)</f>
        <v>4</v>
      </c>
      <c r="G230" s="13">
        <f>IFERROR(__xludf.DUMMYFUNCTION("""COMPUTED_VALUE"""),1.0)</f>
        <v>1</v>
      </c>
      <c r="H230" s="13">
        <f>IFERROR(__xludf.DUMMYFUNCTION("""COMPUTED_VALUE"""),5.0)</f>
        <v>5</v>
      </c>
      <c r="I230" s="13" t="str">
        <f>IFERROR(__xludf.DUMMYFUNCTION("""COMPUTED_VALUE"""),"General")</f>
        <v>General</v>
      </c>
      <c r="J230" s="13" t="str">
        <f>IFERROR(__xludf.DUMMYFUNCTION("""COMPUTED_VALUE"""),"Tops")</f>
        <v>Tops</v>
      </c>
      <c r="K230" s="13" t="str">
        <f>IFERROR(__xludf.DUMMYFUNCTION("""COMPUTED_VALUE"""),"Blouses")</f>
        <v>Blouses</v>
      </c>
      <c r="L230" s="13"/>
    </row>
    <row r="231">
      <c r="A231" s="13">
        <f>IFERROR(__xludf.DUMMYFUNCTION("""COMPUTED_VALUE"""),229.0)</f>
        <v>229</v>
      </c>
      <c r="B231" s="13">
        <f>IFERROR(__xludf.DUMMYFUNCTION("""COMPUTED_VALUE"""),1026.0)</f>
        <v>1026</v>
      </c>
      <c r="C231" s="13">
        <f>IFERROR(__xludf.DUMMYFUNCTION("""COMPUTED_VALUE"""),39.0)</f>
        <v>39</v>
      </c>
      <c r="D231" s="12" t="str">
        <f>IFERROR(__xludf.DUMMYFUNCTION("""COMPUTED_VALUE"""),"Why so long?")</f>
        <v>Why so long?</v>
      </c>
      <c r="E231" s="12" t="str">
        <f>IFERROR(__xludf.DUMMYFUNCTION("""COMPUTED_VALUE"""),"Petite pants hsould be able to fit short peple, but a 32 inch inseam on pants with buttons at the nottom, can't even gegt them hemmed, what a bummer. my inseam is 27 inchess, so i would need a 5 inch heel. otherwise, gorgeous, and waiat fits true to size."&amp;" thighs a bit snug for musclea, but stretchy enough to fit. thinking about keeping them, but have to find big plaform heeks...")</f>
        <v>Petite pants hsould be able to fit short peple, but a 32 inch inseam on pants with buttons at the nottom, can't even gegt them hemmed, what a bummer. my inseam is 27 inchess, so i would need a 5 inch heel. otherwise, gorgeous, and waiat fits true to size. thighs a bit snug for musclea, but stretchy enough to fit. thinking about keeping them, but have to find big plaform heeks...</v>
      </c>
      <c r="F231" s="13">
        <f>IFERROR(__xludf.DUMMYFUNCTION("""COMPUTED_VALUE"""),4.0)</f>
        <v>4</v>
      </c>
      <c r="G231" s="13">
        <f>IFERROR(__xludf.DUMMYFUNCTION("""COMPUTED_VALUE"""),1.0)</f>
        <v>1</v>
      </c>
      <c r="H231" s="13">
        <f>IFERROR(__xludf.DUMMYFUNCTION("""COMPUTED_VALUE"""),0.0)</f>
        <v>0</v>
      </c>
      <c r="I231" s="13" t="str">
        <f>IFERROR(__xludf.DUMMYFUNCTION("""COMPUTED_VALUE"""),"General")</f>
        <v>General</v>
      </c>
      <c r="J231" s="13" t="str">
        <f>IFERROR(__xludf.DUMMYFUNCTION("""COMPUTED_VALUE"""),"Bottoms")</f>
        <v>Bottoms</v>
      </c>
      <c r="K231" s="13" t="str">
        <f>IFERROR(__xludf.DUMMYFUNCTION("""COMPUTED_VALUE"""),"Jeans")</f>
        <v>Jeans</v>
      </c>
      <c r="L231" s="13"/>
    </row>
    <row r="232">
      <c r="A232" s="13">
        <f>IFERROR(__xludf.DUMMYFUNCTION("""COMPUTED_VALUE"""),230.0)</f>
        <v>230</v>
      </c>
      <c r="B232" s="13">
        <f>IFERROR(__xludf.DUMMYFUNCTION("""COMPUTED_VALUE"""),840.0)</f>
        <v>840</v>
      </c>
      <c r="C232" s="13">
        <f>IFERROR(__xludf.DUMMYFUNCTION("""COMPUTED_VALUE"""),39.0)</f>
        <v>39</v>
      </c>
      <c r="D232" s="12" t="str">
        <f>IFERROR(__xludf.DUMMYFUNCTION("""COMPUTED_VALUE"""),"Runs large, bohemian")</f>
        <v>Runs large, bohemian</v>
      </c>
      <c r="E232" s="12" t="str">
        <f>IFERROR(__xludf.DUMMYFUNCTION("""COMPUTED_VALUE"""),"I tried on the petite size in my usual xs, adn i actually have to go down to xxs, i looked overtaken by the shirt. i'm 5'2"" and 115lbs)
cut is flowy and not close to the body, sleeves are narrower, but still ok with athletic built.
color: light one is "&amp;"great for gals with darker complexion and hair, but for my pale self, the darker one was better... but can't go wrong, i ordered both colors and liked both of them.
ruffle is a great addition too...")</f>
        <v>I tried on the petite size in my usual xs, adn i actually have to go down to xxs, i looked overtaken by the shirt. i'm 5'2" and 115lbs)
cut is flowy and not close to the body, sleeves are narrower, but still ok with athletic built.
color: light one is great for gals with darker complexion and hair, but for my pale self, the darker one was better... but can't go wrong, i ordered both colors and liked both of them.
ruffle is a great addition too...</v>
      </c>
      <c r="F232" s="13">
        <f>IFERROR(__xludf.DUMMYFUNCTION("""COMPUTED_VALUE"""),5.0)</f>
        <v>5</v>
      </c>
      <c r="G232" s="13">
        <f>IFERROR(__xludf.DUMMYFUNCTION("""COMPUTED_VALUE"""),1.0)</f>
        <v>1</v>
      </c>
      <c r="H232" s="13">
        <f>IFERROR(__xludf.DUMMYFUNCTION("""COMPUTED_VALUE"""),13.0)</f>
        <v>13</v>
      </c>
      <c r="I232" s="13" t="str">
        <f>IFERROR(__xludf.DUMMYFUNCTION("""COMPUTED_VALUE"""),"General")</f>
        <v>General</v>
      </c>
      <c r="J232" s="13" t="str">
        <f>IFERROR(__xludf.DUMMYFUNCTION("""COMPUTED_VALUE"""),"Tops")</f>
        <v>Tops</v>
      </c>
      <c r="K232" s="13" t="str">
        <f>IFERROR(__xludf.DUMMYFUNCTION("""COMPUTED_VALUE"""),"Blouses")</f>
        <v>Blouses</v>
      </c>
      <c r="L232" s="13"/>
    </row>
    <row r="233">
      <c r="A233" s="13">
        <f>IFERROR(__xludf.DUMMYFUNCTION("""COMPUTED_VALUE"""),231.0)</f>
        <v>231</v>
      </c>
      <c r="B233" s="13">
        <f>IFERROR(__xludf.DUMMYFUNCTION("""COMPUTED_VALUE"""),1066.0)</f>
        <v>1066</v>
      </c>
      <c r="C233" s="13">
        <f>IFERROR(__xludf.DUMMYFUNCTION("""COMPUTED_VALUE"""),46.0)</f>
        <v>46</v>
      </c>
      <c r="D233" s="12" t="str">
        <f>IFERROR(__xludf.DUMMYFUNCTION("""COMPUTED_VALUE"""),"Wonderful weight for summer, flattering")</f>
        <v>Wonderful weight for summer, flattering</v>
      </c>
      <c r="E233" s="12" t="str">
        <f>IFERROR(__xludf.DUMMYFUNCTION("""COMPUTED_VALUE"""),"I tried these on on a whim because i liked the shirt that they were displayed with in the store and was surprised how much i liked them! they are a great lighter weight alternative to the pilcro hyphen chino. great for hot days of summer.
the subtle verti"&amp;"cal stripes go with everything and help elongate the leg. overall a really flattering cut. the waist is not too low and does not create muffin top.")</f>
        <v>I tried these on on a whim because i liked the shirt that they were displayed with in the store and was surprised how much i liked them! they are a great lighter weight alternative to the pilcro hyphen chino. great for hot days of summer.
the subtle vertical stripes go with everything and help elongate the leg. overall a really flattering cut. the waist is not too low and does not create muffin top.</v>
      </c>
      <c r="F233" s="13">
        <f>IFERROR(__xludf.DUMMYFUNCTION("""COMPUTED_VALUE"""),5.0)</f>
        <v>5</v>
      </c>
      <c r="G233" s="13">
        <f>IFERROR(__xludf.DUMMYFUNCTION("""COMPUTED_VALUE"""),1.0)</f>
        <v>1</v>
      </c>
      <c r="H233" s="13">
        <f>IFERROR(__xludf.DUMMYFUNCTION("""COMPUTED_VALUE"""),8.0)</f>
        <v>8</v>
      </c>
      <c r="I233" s="13" t="str">
        <f>IFERROR(__xludf.DUMMYFUNCTION("""COMPUTED_VALUE"""),"General")</f>
        <v>General</v>
      </c>
      <c r="J233" s="13" t="str">
        <f>IFERROR(__xludf.DUMMYFUNCTION("""COMPUTED_VALUE"""),"Bottoms")</f>
        <v>Bottoms</v>
      </c>
      <c r="K233" s="13" t="str">
        <f>IFERROR(__xludf.DUMMYFUNCTION("""COMPUTED_VALUE"""),"Pants")</f>
        <v>Pants</v>
      </c>
      <c r="L233" s="13"/>
    </row>
    <row r="234">
      <c r="A234" s="13">
        <f>IFERROR(__xludf.DUMMYFUNCTION("""COMPUTED_VALUE"""),232.0)</f>
        <v>232</v>
      </c>
      <c r="B234" s="13">
        <f>IFERROR(__xludf.DUMMYFUNCTION("""COMPUTED_VALUE"""),840.0)</f>
        <v>840</v>
      </c>
      <c r="C234" s="13">
        <f>IFERROR(__xludf.DUMMYFUNCTION("""COMPUTED_VALUE"""),37.0)</f>
        <v>37</v>
      </c>
      <c r="D234" s="12" t="str">
        <f>IFERROR(__xludf.DUMMYFUNCTION("""COMPUTED_VALUE"""),"Light &amp; large")</f>
        <v>Light &amp; large</v>
      </c>
      <c r="E234" s="12" t="str">
        <f>IFERROR(__xludf.DUMMYFUNCTION("""COMPUTED_VALUE"""),"The shirt is absolutely cute looking. but that's just that....looks. i'm 5'2"" size 6 &amp; wears m to l top. i tried on the medium in the store, it was rather flowing. i liked it. but i didn't like how it fit on the underarm area. it hung very low. so i orde"&amp;"red a petite m. still the same. plus the store the lighting was dark so i didn't realize how see through the shirt was too. had to return it.")</f>
        <v>The shirt is absolutely cute looking. but that's just that....looks. i'm 5'2" size 6 &amp; wears m to l top. i tried on the medium in the store, it was rather flowing. i liked it. but i didn't like how it fit on the underarm area. it hung very low. so i ordered a petite m. still the same. plus the store the lighting was dark so i didn't realize how see through the shirt was too. had to return it.</v>
      </c>
      <c r="F234" s="13">
        <f>IFERROR(__xludf.DUMMYFUNCTION("""COMPUTED_VALUE"""),2.0)</f>
        <v>2</v>
      </c>
      <c r="G234" s="13">
        <f>IFERROR(__xludf.DUMMYFUNCTION("""COMPUTED_VALUE"""),0.0)</f>
        <v>0</v>
      </c>
      <c r="H234" s="13">
        <f>IFERROR(__xludf.DUMMYFUNCTION("""COMPUTED_VALUE"""),1.0)</f>
        <v>1</v>
      </c>
      <c r="I234" s="13" t="str">
        <f>IFERROR(__xludf.DUMMYFUNCTION("""COMPUTED_VALUE"""),"General")</f>
        <v>General</v>
      </c>
      <c r="J234" s="13" t="str">
        <f>IFERROR(__xludf.DUMMYFUNCTION("""COMPUTED_VALUE"""),"Tops")</f>
        <v>Tops</v>
      </c>
      <c r="K234" s="13" t="str">
        <f>IFERROR(__xludf.DUMMYFUNCTION("""COMPUTED_VALUE"""),"Blouses")</f>
        <v>Blouses</v>
      </c>
      <c r="L234" s="13"/>
    </row>
    <row r="235">
      <c r="A235" s="13">
        <f>IFERROR(__xludf.DUMMYFUNCTION("""COMPUTED_VALUE"""),233.0)</f>
        <v>233</v>
      </c>
      <c r="B235" s="13">
        <f>IFERROR(__xludf.DUMMYFUNCTION("""COMPUTED_VALUE"""),1030.0)</f>
        <v>1030</v>
      </c>
      <c r="C235" s="13">
        <f>IFERROR(__xludf.DUMMYFUNCTION("""COMPUTED_VALUE"""),29.0)</f>
        <v>29</v>
      </c>
      <c r="D235" s="12" t="str">
        <f>IFERROR(__xludf.DUMMYFUNCTION("""COMPUTED_VALUE"""),"Must have, right on trend, but still classic")</f>
        <v>Must have, right on trend, but still classic</v>
      </c>
      <c r="E235" s="12" t="str">
        <f>IFERROR(__xludf.DUMMYFUNCTION("""COMPUTED_VALUE"""),"These jeans! i tried these on, in addition to the high rise paige denim, and these won out hands down. classic flattering fit from mother, with an element of edginess with the frayed hem. these are long enough on me (i'm 5'5') to cuff at the ankle if i do"&amp;"n't want a distressed look on a particular day. they are slightly stretchy like other mother denim but not so much that i would size down. i have muscular calves and thighs, but someone who does not could likely size down and be happy with the a")</f>
        <v>These jeans! i tried these on, in addition to the high rise paige denim, and these won out hands down. classic flattering fit from mother, with an element of edginess with the frayed hem. these are long enough on me (i'm 5'5') to cuff at the ankle if i don't want a distressed look on a particular day. they are slightly stretchy like other mother denim but not so much that i would size down. i have muscular calves and thighs, but someone who does not could likely size down and be happy with the a</v>
      </c>
      <c r="F235" s="13">
        <f>IFERROR(__xludf.DUMMYFUNCTION("""COMPUTED_VALUE"""),5.0)</f>
        <v>5</v>
      </c>
      <c r="G235" s="13">
        <f>IFERROR(__xludf.DUMMYFUNCTION("""COMPUTED_VALUE"""),1.0)</f>
        <v>1</v>
      </c>
      <c r="H235" s="13">
        <f>IFERROR(__xludf.DUMMYFUNCTION("""COMPUTED_VALUE"""),1.0)</f>
        <v>1</v>
      </c>
      <c r="I235" s="13" t="str">
        <f>IFERROR(__xludf.DUMMYFUNCTION("""COMPUTED_VALUE"""),"General")</f>
        <v>General</v>
      </c>
      <c r="J235" s="13" t="str">
        <f>IFERROR(__xludf.DUMMYFUNCTION("""COMPUTED_VALUE"""),"Bottoms")</f>
        <v>Bottoms</v>
      </c>
      <c r="K235" s="13" t="str">
        <f>IFERROR(__xludf.DUMMYFUNCTION("""COMPUTED_VALUE"""),"Jeans")</f>
        <v>Jeans</v>
      </c>
      <c r="L235" s="13"/>
    </row>
    <row r="236">
      <c r="A236" s="13">
        <f>IFERROR(__xludf.DUMMYFUNCTION("""COMPUTED_VALUE"""),234.0)</f>
        <v>234</v>
      </c>
      <c r="B236" s="13">
        <f>IFERROR(__xludf.DUMMYFUNCTION("""COMPUTED_VALUE"""),840.0)</f>
        <v>840</v>
      </c>
      <c r="C236" s="13">
        <f>IFERROR(__xludf.DUMMYFUNCTION("""COMPUTED_VALUE"""),83.0)</f>
        <v>83</v>
      </c>
      <c r="D236" s="12" t="str">
        <f>IFERROR(__xludf.DUMMYFUNCTION("""COMPUTED_VALUE"""),"Pretty but runs large!")</f>
        <v>Pretty but runs large!</v>
      </c>
      <c r="E236" s="12" t="str">
        <f>IFERROR(__xludf.DUMMYFUNCTION("""COMPUTED_VALUE"""),"I ordered this top in my usual size and am exchanging it for one size smaller.
it runs very generous, and so the sizing is a little off.
the style and quality are beautiful, so i am anxious to receive the smaller size.")</f>
        <v>I ordered this top in my usual size and am exchanging it for one size smaller.
it runs very generous, and so the sizing is a little off.
the style and quality are beautiful, so i am anxious to receive the smaller size.</v>
      </c>
      <c r="F236" s="13">
        <f>IFERROR(__xludf.DUMMYFUNCTION("""COMPUTED_VALUE"""),5.0)</f>
        <v>5</v>
      </c>
      <c r="G236" s="13">
        <f>IFERROR(__xludf.DUMMYFUNCTION("""COMPUTED_VALUE"""),1.0)</f>
        <v>1</v>
      </c>
      <c r="H236" s="13">
        <f>IFERROR(__xludf.DUMMYFUNCTION("""COMPUTED_VALUE"""),0.0)</f>
        <v>0</v>
      </c>
      <c r="I236" s="13" t="str">
        <f>IFERROR(__xludf.DUMMYFUNCTION("""COMPUTED_VALUE"""),"General")</f>
        <v>General</v>
      </c>
      <c r="J236" s="13" t="str">
        <f>IFERROR(__xludf.DUMMYFUNCTION("""COMPUTED_VALUE"""),"Tops")</f>
        <v>Tops</v>
      </c>
      <c r="K236" s="13" t="str">
        <f>IFERROR(__xludf.DUMMYFUNCTION("""COMPUTED_VALUE"""),"Blouses")</f>
        <v>Blouses</v>
      </c>
      <c r="L236" s="13"/>
    </row>
    <row r="237">
      <c r="A237" s="13">
        <f>IFERROR(__xludf.DUMMYFUNCTION("""COMPUTED_VALUE"""),235.0)</f>
        <v>235</v>
      </c>
      <c r="B237" s="13">
        <f>IFERROR(__xludf.DUMMYFUNCTION("""COMPUTED_VALUE"""),1066.0)</f>
        <v>1066</v>
      </c>
      <c r="C237" s="13">
        <f>IFERROR(__xludf.DUMMYFUNCTION("""COMPUTED_VALUE"""),29.0)</f>
        <v>29</v>
      </c>
      <c r="D237" s="12" t="str">
        <f>IFERROR(__xludf.DUMMYFUNCTION("""COMPUTED_VALUE"""),"Comfortable &amp; stylish crop pants")</f>
        <v>Comfortable &amp; stylish crop pants</v>
      </c>
      <c r="E237" s="12" t="str">
        <f>IFERROR(__xludf.DUMMYFUNCTION("""COMPUTED_VALUE"""),"The blush stripes are subtle but they definitely give elongating effect to your legs.
very comfortable pair of crop pants but my calves are definitely feeling tight in there!")</f>
        <v>The blush stripes are subtle but they definitely give elongating effect to your legs.
very comfortable pair of crop pants but my calves are definitely feeling tight in there!</v>
      </c>
      <c r="F237" s="13">
        <f>IFERROR(__xludf.DUMMYFUNCTION("""COMPUTED_VALUE"""),5.0)</f>
        <v>5</v>
      </c>
      <c r="G237" s="13">
        <f>IFERROR(__xludf.DUMMYFUNCTION("""COMPUTED_VALUE"""),1.0)</f>
        <v>1</v>
      </c>
      <c r="H237" s="13">
        <f>IFERROR(__xludf.DUMMYFUNCTION("""COMPUTED_VALUE"""),1.0)</f>
        <v>1</v>
      </c>
      <c r="I237" s="13" t="str">
        <f>IFERROR(__xludf.DUMMYFUNCTION("""COMPUTED_VALUE"""),"General")</f>
        <v>General</v>
      </c>
      <c r="J237" s="13" t="str">
        <f>IFERROR(__xludf.DUMMYFUNCTION("""COMPUTED_VALUE"""),"Bottoms")</f>
        <v>Bottoms</v>
      </c>
      <c r="K237" s="13" t="str">
        <f>IFERROR(__xludf.DUMMYFUNCTION("""COMPUTED_VALUE"""),"Pants")</f>
        <v>Pants</v>
      </c>
      <c r="L237" s="13"/>
    </row>
    <row r="238">
      <c r="A238" s="13">
        <f>IFERROR(__xludf.DUMMYFUNCTION("""COMPUTED_VALUE"""),236.0)</f>
        <v>236</v>
      </c>
      <c r="B238" s="13">
        <f>IFERROR(__xludf.DUMMYFUNCTION("""COMPUTED_VALUE"""),647.0)</f>
        <v>647</v>
      </c>
      <c r="C238" s="13">
        <f>IFERROR(__xludf.DUMMYFUNCTION("""COMPUTED_VALUE"""),49.0)</f>
        <v>49</v>
      </c>
      <c r="D238" s="12" t="str">
        <f>IFERROR(__xludf.DUMMYFUNCTION("""COMPUTED_VALUE"""),"Cozy sunday!")</f>
        <v>Cozy sunday!</v>
      </c>
      <c r="E238" s="12" t="str">
        <f>IFERROR(__xludf.DUMMYFUNCTION("""COMPUTED_VALUE"""),"I got a small mauve. the fit is great and the length is perfect for me, just few inches above my knees.
cute and cozy! what more can i aske for!?")</f>
        <v>I got a small mauve. the fit is great and the length is perfect for me, just few inches above my knees.
cute and cozy! what more can i aske for!?</v>
      </c>
      <c r="F238" s="13">
        <f>IFERROR(__xludf.DUMMYFUNCTION("""COMPUTED_VALUE"""),5.0)</f>
        <v>5</v>
      </c>
      <c r="G238" s="13">
        <f>IFERROR(__xludf.DUMMYFUNCTION("""COMPUTED_VALUE"""),1.0)</f>
        <v>1</v>
      </c>
      <c r="H238" s="13">
        <f>IFERROR(__xludf.DUMMYFUNCTION("""COMPUTED_VALUE"""),0.0)</f>
        <v>0</v>
      </c>
      <c r="I238" s="13" t="str">
        <f>IFERROR(__xludf.DUMMYFUNCTION("""COMPUTED_VALUE"""),"General Petite")</f>
        <v>General Petite</v>
      </c>
      <c r="J238" s="13" t="str">
        <f>IFERROR(__xludf.DUMMYFUNCTION("""COMPUTED_VALUE"""),"Intimate")</f>
        <v>Intimate</v>
      </c>
      <c r="K238" s="13" t="str">
        <f>IFERROR(__xludf.DUMMYFUNCTION("""COMPUTED_VALUE"""),"Lounge")</f>
        <v>Lounge</v>
      </c>
      <c r="L238" s="13"/>
    </row>
    <row r="239">
      <c r="A239" s="13">
        <f>IFERROR(__xludf.DUMMYFUNCTION("""COMPUTED_VALUE"""),237.0)</f>
        <v>237</v>
      </c>
      <c r="B239" s="13">
        <f>IFERROR(__xludf.DUMMYFUNCTION("""COMPUTED_VALUE"""),1066.0)</f>
        <v>1066</v>
      </c>
      <c r="C239" s="13">
        <f>IFERROR(__xludf.DUMMYFUNCTION("""COMPUTED_VALUE"""),42.0)</f>
        <v>42</v>
      </c>
      <c r="D239" s="12" t="str">
        <f>IFERROR(__xludf.DUMMYFUNCTION("""COMPUTED_VALUE"""),"Not what i expected")</f>
        <v>Not what i expected</v>
      </c>
      <c r="E239" s="12" t="str">
        <f>IFERROR(__xludf.DUMMYFUNCTION("""COMPUTED_VALUE"""),"I have a similar pair of capris from retailer and when i ordered these i thought they were the same in a different color. these are less flattering and i may not keep them.")</f>
        <v>I have a similar pair of capris from retailer and when i ordered these i thought they were the same in a different color. these are less flattering and i may not keep them.</v>
      </c>
      <c r="F239" s="13">
        <f>IFERROR(__xludf.DUMMYFUNCTION("""COMPUTED_VALUE"""),2.0)</f>
        <v>2</v>
      </c>
      <c r="G239" s="13">
        <f>IFERROR(__xludf.DUMMYFUNCTION("""COMPUTED_VALUE"""),0.0)</f>
        <v>0</v>
      </c>
      <c r="H239" s="13">
        <f>IFERROR(__xludf.DUMMYFUNCTION("""COMPUTED_VALUE"""),0.0)</f>
        <v>0</v>
      </c>
      <c r="I239" s="13" t="str">
        <f>IFERROR(__xludf.DUMMYFUNCTION("""COMPUTED_VALUE"""),"General")</f>
        <v>General</v>
      </c>
      <c r="J239" s="13" t="str">
        <f>IFERROR(__xludf.DUMMYFUNCTION("""COMPUTED_VALUE"""),"Bottoms")</f>
        <v>Bottoms</v>
      </c>
      <c r="K239" s="13" t="str">
        <f>IFERROR(__xludf.DUMMYFUNCTION("""COMPUTED_VALUE"""),"Pants")</f>
        <v>Pants</v>
      </c>
      <c r="L239" s="13"/>
    </row>
    <row r="240">
      <c r="A240" s="13">
        <f>IFERROR(__xludf.DUMMYFUNCTION("""COMPUTED_VALUE"""),238.0)</f>
        <v>238</v>
      </c>
      <c r="B240" s="13">
        <f>IFERROR(__xludf.DUMMYFUNCTION("""COMPUTED_VALUE"""),872.0)</f>
        <v>872</v>
      </c>
      <c r="C240" s="13">
        <f>IFERROR(__xludf.DUMMYFUNCTION("""COMPUTED_VALUE"""),63.0)</f>
        <v>63</v>
      </c>
      <c r="D240" s="12" t="str">
        <f>IFERROR(__xludf.DUMMYFUNCTION("""COMPUTED_VALUE"""),"Fun change from the norm")</f>
        <v>Fun change from the norm</v>
      </c>
      <c r="E240" s="12" t="str">
        <f>IFERROR(__xludf.DUMMYFUNCTION("""COMPUTED_VALUE"""),"Fun detail with the beading and lace! arms are a little longer while the body of the sweatshirt is a little shorter than expected, but that's the style of the piece. the fit was tts with those proportions mind.  the ladies at the store said that if i orde"&amp;"red the size up, it might be a little longer in the body, but that the arms and shoulders would have been the biggest change. the material isn't too thick, so it's a nice lighter layer for fall/spring. really love it!")</f>
        <v>Fun detail with the beading and lace! arms are a little longer while the body of the sweatshirt is a little shorter than expected, but that's the style of the piece. the fit was tts with those proportions mind.  the ladies at the store said that if i ordered the size up, it might be a little longer in the body, but that the arms and shoulders would have been the biggest change. the material isn't too thick, so it's a nice lighter layer for fall/spring. really love it!</v>
      </c>
      <c r="F240" s="13">
        <f>IFERROR(__xludf.DUMMYFUNCTION("""COMPUTED_VALUE"""),5.0)</f>
        <v>5</v>
      </c>
      <c r="G240" s="13">
        <f>IFERROR(__xludf.DUMMYFUNCTION("""COMPUTED_VALUE"""),1.0)</f>
        <v>1</v>
      </c>
      <c r="H240" s="13">
        <f>IFERROR(__xludf.DUMMYFUNCTION("""COMPUTED_VALUE"""),0.0)</f>
        <v>0</v>
      </c>
      <c r="I240" s="13" t="str">
        <f>IFERROR(__xludf.DUMMYFUNCTION("""COMPUTED_VALUE"""),"General")</f>
        <v>General</v>
      </c>
      <c r="J240" s="13" t="str">
        <f>IFERROR(__xludf.DUMMYFUNCTION("""COMPUTED_VALUE"""),"Tops")</f>
        <v>Tops</v>
      </c>
      <c r="K240" s="13" t="str">
        <f>IFERROR(__xludf.DUMMYFUNCTION("""COMPUTED_VALUE"""),"Knits")</f>
        <v>Knits</v>
      </c>
      <c r="L240" s="13"/>
    </row>
    <row r="241">
      <c r="A241" s="13">
        <f>IFERROR(__xludf.DUMMYFUNCTION("""COMPUTED_VALUE"""),239.0)</f>
        <v>239</v>
      </c>
      <c r="B241" s="13">
        <f>IFERROR(__xludf.DUMMYFUNCTION("""COMPUTED_VALUE"""),840.0)</f>
        <v>840</v>
      </c>
      <c r="C241" s="13">
        <f>IFERROR(__xludf.DUMMYFUNCTION("""COMPUTED_VALUE"""),56.0)</f>
        <v>56</v>
      </c>
      <c r="D241" s="12"/>
      <c r="E241" s="12" t="str">
        <f>IFERROR(__xludf.DUMMYFUNCTION("""COMPUTED_VALUE"""),"I love the style of this top, and the longer length would be great with leggings and fitted shorts. it's somewhat fitted on the top yet it's a-line shape gives a full swing at the bottom. the ruffled v-neckline is pretty, and i like the longer length of t"&amp;"he short sleeves. but with all these attributes, unfortunately they cut the armholes really big, so when you put your arms forward, the sleeves pull against your arms. i was trying to decide if i should keep it anyway, but for $98 dollars i thin")</f>
        <v>I love the style of this top, and the longer length would be great with leggings and fitted shorts. it's somewhat fitted on the top yet it's a-line shape gives a full swing at the bottom. the ruffled v-neckline is pretty, and i like the longer length of the short sleeves. but with all these attributes, unfortunately they cut the armholes really big, so when you put your arms forward, the sleeves pull against your arms. i was trying to decide if i should keep it anyway, but for $98 dollars i thin</v>
      </c>
      <c r="F241" s="13">
        <f>IFERROR(__xludf.DUMMYFUNCTION("""COMPUTED_VALUE"""),3.0)</f>
        <v>3</v>
      </c>
      <c r="G241" s="13">
        <f>IFERROR(__xludf.DUMMYFUNCTION("""COMPUTED_VALUE"""),0.0)</f>
        <v>0</v>
      </c>
      <c r="H241" s="13">
        <f>IFERROR(__xludf.DUMMYFUNCTION("""COMPUTED_VALUE"""),20.0)</f>
        <v>20</v>
      </c>
      <c r="I241" s="13" t="str">
        <f>IFERROR(__xludf.DUMMYFUNCTION("""COMPUTED_VALUE"""),"General")</f>
        <v>General</v>
      </c>
      <c r="J241" s="13" t="str">
        <f>IFERROR(__xludf.DUMMYFUNCTION("""COMPUTED_VALUE"""),"Tops")</f>
        <v>Tops</v>
      </c>
      <c r="K241" s="13" t="str">
        <f>IFERROR(__xludf.DUMMYFUNCTION("""COMPUTED_VALUE"""),"Blouses")</f>
        <v>Blouses</v>
      </c>
      <c r="L241" s="13"/>
    </row>
    <row r="242">
      <c r="A242" s="13">
        <f>IFERROR(__xludf.DUMMYFUNCTION("""COMPUTED_VALUE"""),240.0)</f>
        <v>240</v>
      </c>
      <c r="B242" s="13">
        <f>IFERROR(__xludf.DUMMYFUNCTION("""COMPUTED_VALUE"""),1066.0)</f>
        <v>1066</v>
      </c>
      <c r="C242" s="13">
        <f>IFERROR(__xludf.DUMMYFUNCTION("""COMPUTED_VALUE"""),55.0)</f>
        <v>55</v>
      </c>
      <c r="D242" s="12" t="str">
        <f>IFERROR(__xludf.DUMMYFUNCTION("""COMPUTED_VALUE"""),"Perfect for mediterenian summer")</f>
        <v>Perfect for mediterenian summer</v>
      </c>
      <c r="E242" s="12" t="str">
        <f>IFERROR(__xludf.DUMMYFUNCTION("""COMPUTED_VALUE"""),"Ordered these online and they fit perfectly. i was looking for lightweight pants for hot and humid summer days and this pair is exactly what i needed. the striped pattern is cute and adds some color.")</f>
        <v>Ordered these online and they fit perfectly. i was looking for lightweight pants for hot and humid summer days and this pair is exactly what i needed. the striped pattern is cute and adds some color.</v>
      </c>
      <c r="F242" s="13">
        <f>IFERROR(__xludf.DUMMYFUNCTION("""COMPUTED_VALUE"""),4.0)</f>
        <v>4</v>
      </c>
      <c r="G242" s="13">
        <f>IFERROR(__xludf.DUMMYFUNCTION("""COMPUTED_VALUE"""),1.0)</f>
        <v>1</v>
      </c>
      <c r="H242" s="13">
        <f>IFERROR(__xludf.DUMMYFUNCTION("""COMPUTED_VALUE"""),0.0)</f>
        <v>0</v>
      </c>
      <c r="I242" s="13" t="str">
        <f>IFERROR(__xludf.DUMMYFUNCTION("""COMPUTED_VALUE"""),"General")</f>
        <v>General</v>
      </c>
      <c r="J242" s="13" t="str">
        <f>IFERROR(__xludf.DUMMYFUNCTION("""COMPUTED_VALUE"""),"Bottoms")</f>
        <v>Bottoms</v>
      </c>
      <c r="K242" s="13" t="str">
        <f>IFERROR(__xludf.DUMMYFUNCTION("""COMPUTED_VALUE"""),"Pants")</f>
        <v>Pants</v>
      </c>
      <c r="L242" s="13"/>
    </row>
    <row r="243">
      <c r="A243" s="13">
        <f>IFERROR(__xludf.DUMMYFUNCTION("""COMPUTED_VALUE"""),241.0)</f>
        <v>241</v>
      </c>
      <c r="B243" s="13">
        <f>IFERROR(__xludf.DUMMYFUNCTION("""COMPUTED_VALUE"""),647.0)</f>
        <v>647</v>
      </c>
      <c r="C243" s="13">
        <f>IFERROR(__xludf.DUMMYFUNCTION("""COMPUTED_VALUE"""),32.0)</f>
        <v>32</v>
      </c>
      <c r="D243" s="12" t="str">
        <f>IFERROR(__xludf.DUMMYFUNCTION("""COMPUTED_VALUE"""),"Loved this, then washed it twice and it fell apart")</f>
        <v>Loved this, then washed it twice and it fell apart</v>
      </c>
      <c r="E243" s="12" t="str">
        <f>IFERROR(__xludf.DUMMYFUNCTION("""COMPUTED_VALUE"""),"I loved this dress from the moment i tried it on. so flattering to my postpartum body without being a huge tent. soft fabric, and for a white/lightly striped dress, not sheer. i'm bummed because after washing only twice (followed the instructions to wash)"&amp;" on gentle cycle and low tumble dry, holes started appearing everywhere, both on the cream ribbed hem in the front bottom and all across the chest, in the white part of the fabric only (it looks like the black stripes are holding the holes toget")</f>
        <v>I loved this dress from the moment i tried it on. so flattering to my postpartum body without being a huge tent. soft fabric, and for a white/lightly striped dress, not sheer. i'm bummed because after washing only twice (followed the instructions to wash) on gentle cycle and low tumble dry, holes started appearing everywhere, both on the cream ribbed hem in the front bottom and all across the chest, in the white part of the fabric only (it looks like the black stripes are holding the holes toget</v>
      </c>
      <c r="F243" s="13">
        <f>IFERROR(__xludf.DUMMYFUNCTION("""COMPUTED_VALUE"""),1.0)</f>
        <v>1</v>
      </c>
      <c r="G243" s="13">
        <f>IFERROR(__xludf.DUMMYFUNCTION("""COMPUTED_VALUE"""),0.0)</f>
        <v>0</v>
      </c>
      <c r="H243" s="13">
        <f>IFERROR(__xludf.DUMMYFUNCTION("""COMPUTED_VALUE"""),3.0)</f>
        <v>3</v>
      </c>
      <c r="I243" s="13" t="str">
        <f>IFERROR(__xludf.DUMMYFUNCTION("""COMPUTED_VALUE"""),"General Petite")</f>
        <v>General Petite</v>
      </c>
      <c r="J243" s="13" t="str">
        <f>IFERROR(__xludf.DUMMYFUNCTION("""COMPUTED_VALUE"""),"Intimate")</f>
        <v>Intimate</v>
      </c>
      <c r="K243" s="13" t="str">
        <f>IFERROR(__xludf.DUMMYFUNCTION("""COMPUTED_VALUE"""),"Lounge")</f>
        <v>Lounge</v>
      </c>
      <c r="L243" s="13"/>
    </row>
    <row r="244">
      <c r="A244" s="13">
        <f>IFERROR(__xludf.DUMMYFUNCTION("""COMPUTED_VALUE"""),242.0)</f>
        <v>242</v>
      </c>
      <c r="B244" s="13">
        <f>IFERROR(__xludf.DUMMYFUNCTION("""COMPUTED_VALUE"""),1066.0)</f>
        <v>1066</v>
      </c>
      <c r="C244" s="13">
        <f>IFERROR(__xludf.DUMMYFUNCTION("""COMPUTED_VALUE"""),26.0)</f>
        <v>26</v>
      </c>
      <c r="D244" s="12" t="str">
        <f>IFERROR(__xludf.DUMMYFUNCTION("""COMPUTED_VALUE"""),"Super flattering")</f>
        <v>Super flattering</v>
      </c>
      <c r="E244" s="12" t="str">
        <f>IFERROR(__xludf.DUMMYFUNCTION("""COMPUTED_VALUE"""),"I went ahead and ordered a size up based on previous reviews, but i should have ordered my own size, as they're a bit loose around the waist. the pants are adorable and the pinstripes very flattering, so i definitely recommend them!")</f>
        <v>I went ahead and ordered a size up based on previous reviews, but i should have ordered my own size, as they're a bit loose around the waist. the pants are adorable and the pinstripes very flattering, so i definitely recommend them!</v>
      </c>
      <c r="F244" s="13">
        <f>IFERROR(__xludf.DUMMYFUNCTION("""COMPUTED_VALUE"""),5.0)</f>
        <v>5</v>
      </c>
      <c r="G244" s="13">
        <f>IFERROR(__xludf.DUMMYFUNCTION("""COMPUTED_VALUE"""),1.0)</f>
        <v>1</v>
      </c>
      <c r="H244" s="13">
        <f>IFERROR(__xludf.DUMMYFUNCTION("""COMPUTED_VALUE"""),0.0)</f>
        <v>0</v>
      </c>
      <c r="I244" s="13" t="str">
        <f>IFERROR(__xludf.DUMMYFUNCTION("""COMPUTED_VALUE"""),"General")</f>
        <v>General</v>
      </c>
      <c r="J244" s="13" t="str">
        <f>IFERROR(__xludf.DUMMYFUNCTION("""COMPUTED_VALUE"""),"Bottoms")</f>
        <v>Bottoms</v>
      </c>
      <c r="K244" s="13" t="str">
        <f>IFERROR(__xludf.DUMMYFUNCTION("""COMPUTED_VALUE"""),"Pants")</f>
        <v>Pants</v>
      </c>
      <c r="L244" s="13"/>
    </row>
    <row r="245">
      <c r="A245" s="13">
        <f>IFERROR(__xludf.DUMMYFUNCTION("""COMPUTED_VALUE"""),243.0)</f>
        <v>243</v>
      </c>
      <c r="B245" s="13">
        <f>IFERROR(__xludf.DUMMYFUNCTION("""COMPUTED_VALUE"""),840.0)</f>
        <v>840</v>
      </c>
      <c r="C245" s="13">
        <f>IFERROR(__xludf.DUMMYFUNCTION("""COMPUTED_VALUE"""),60.0)</f>
        <v>60</v>
      </c>
      <c r="D245" s="12"/>
      <c r="E245" s="12" t="str">
        <f>IFERROR(__xludf.DUMMYFUNCTION("""COMPUTED_VALUE"""),"I really want to love this shirt, but the small is just way too big on me. for reference, i'm a 32d (which is why i didn't want to size down much more than a small), 5'6' and 125 and i'm drowning in this. i'm going to try it with different bottoms and ult"&amp;"imately will keep it because i do love the quality. just size down a couple of sizes!!")</f>
        <v>I really want to love this shirt, but the small is just way too big on me. for reference, i'm a 32d (which is why i didn't want to size down much more than a small), 5'6' and 125 and i'm drowning in this. i'm going to try it with different bottoms and ultimately will keep it because i do love the quality. just size down a couple of sizes!!</v>
      </c>
      <c r="F245" s="13">
        <f>IFERROR(__xludf.DUMMYFUNCTION("""COMPUTED_VALUE"""),4.0)</f>
        <v>4</v>
      </c>
      <c r="G245" s="13">
        <f>IFERROR(__xludf.DUMMYFUNCTION("""COMPUTED_VALUE"""),1.0)</f>
        <v>1</v>
      </c>
      <c r="H245" s="13">
        <f>IFERROR(__xludf.DUMMYFUNCTION("""COMPUTED_VALUE"""),0.0)</f>
        <v>0</v>
      </c>
      <c r="I245" s="13" t="str">
        <f>IFERROR(__xludf.DUMMYFUNCTION("""COMPUTED_VALUE"""),"General")</f>
        <v>General</v>
      </c>
      <c r="J245" s="13" t="str">
        <f>IFERROR(__xludf.DUMMYFUNCTION("""COMPUTED_VALUE"""),"Tops")</f>
        <v>Tops</v>
      </c>
      <c r="K245" s="13" t="str">
        <f>IFERROR(__xludf.DUMMYFUNCTION("""COMPUTED_VALUE"""),"Blouses")</f>
        <v>Blouses</v>
      </c>
      <c r="L245" s="13"/>
    </row>
    <row r="246">
      <c r="A246" s="13">
        <f>IFERROR(__xludf.DUMMYFUNCTION("""COMPUTED_VALUE"""),244.0)</f>
        <v>244</v>
      </c>
      <c r="B246" s="13">
        <f>IFERROR(__xludf.DUMMYFUNCTION("""COMPUTED_VALUE"""),1066.0)</f>
        <v>1066</v>
      </c>
      <c r="C246" s="13">
        <f>IFERROR(__xludf.DUMMYFUNCTION("""COMPUTED_VALUE"""),48.0)</f>
        <v>48</v>
      </c>
      <c r="D246" s="12" t="str">
        <f>IFERROR(__xludf.DUMMYFUNCTION("""COMPUTED_VALUE"""),"Recommend but not for me")</f>
        <v>Recommend but not for me</v>
      </c>
      <c r="E246" s="12" t="str">
        <f>IFERROR(__xludf.DUMMYFUNCTION("""COMPUTED_VALUE"""),"Love pilcro, love the stripes and the length - but this particular pair of capris/crops are super tight fitting. i went up a size from my usual and still felt tight. i guess its just the cut/fabric combo. i wanted it to be a slightly less form fitting fee"&amp;"l ...... may work for you, however!")</f>
        <v>Love pilcro, love the stripes and the length - but this particular pair of capris/crops are super tight fitting. i went up a size from my usual and still felt tight. i guess its just the cut/fabric combo. i wanted it to be a slightly less form fitting feel ...... may work for you, however!</v>
      </c>
      <c r="F246" s="13">
        <f>IFERROR(__xludf.DUMMYFUNCTION("""COMPUTED_VALUE"""),3.0)</f>
        <v>3</v>
      </c>
      <c r="G246" s="13">
        <f>IFERROR(__xludf.DUMMYFUNCTION("""COMPUTED_VALUE"""),1.0)</f>
        <v>1</v>
      </c>
      <c r="H246" s="13">
        <f>IFERROR(__xludf.DUMMYFUNCTION("""COMPUTED_VALUE"""),0.0)</f>
        <v>0</v>
      </c>
      <c r="I246" s="13" t="str">
        <f>IFERROR(__xludf.DUMMYFUNCTION("""COMPUTED_VALUE"""),"General")</f>
        <v>General</v>
      </c>
      <c r="J246" s="13" t="str">
        <f>IFERROR(__xludf.DUMMYFUNCTION("""COMPUTED_VALUE"""),"Bottoms")</f>
        <v>Bottoms</v>
      </c>
      <c r="K246" s="13" t="str">
        <f>IFERROR(__xludf.DUMMYFUNCTION("""COMPUTED_VALUE"""),"Pants")</f>
        <v>Pants</v>
      </c>
      <c r="L246" s="13"/>
    </row>
    <row r="247">
      <c r="A247" s="13">
        <f>IFERROR(__xludf.DUMMYFUNCTION("""COMPUTED_VALUE"""),245.0)</f>
        <v>245</v>
      </c>
      <c r="B247" s="13">
        <f>IFERROR(__xludf.DUMMYFUNCTION("""COMPUTED_VALUE"""),872.0)</f>
        <v>872</v>
      </c>
      <c r="C247" s="13">
        <f>IFERROR(__xludf.DUMMYFUNCTION("""COMPUTED_VALUE"""),38.0)</f>
        <v>38</v>
      </c>
      <c r="D247" s="12" t="str">
        <f>IFERROR(__xludf.DUMMYFUNCTION("""COMPUTED_VALUE"""),"Love this!")</f>
        <v>Love this!</v>
      </c>
      <c r="E247" s="12" t="str">
        <f>IFERROR(__xludf.DUMMYFUNCTION("""COMPUTED_VALUE"""),"This is exactly what i was expecting. cute, comfortable and casual. there are some gold sequins in the scroll work that i didn't see online. they are super pretty in person.")</f>
        <v>This is exactly what i was expecting. cute, comfortable and casual. there are some gold sequins in the scroll work that i didn't see online. they are super pretty in person.</v>
      </c>
      <c r="F247" s="13">
        <f>IFERROR(__xludf.DUMMYFUNCTION("""COMPUTED_VALUE"""),5.0)</f>
        <v>5</v>
      </c>
      <c r="G247" s="13">
        <f>IFERROR(__xludf.DUMMYFUNCTION("""COMPUTED_VALUE"""),1.0)</f>
        <v>1</v>
      </c>
      <c r="H247" s="13">
        <f>IFERROR(__xludf.DUMMYFUNCTION("""COMPUTED_VALUE"""),0.0)</f>
        <v>0</v>
      </c>
      <c r="I247" s="13" t="str">
        <f>IFERROR(__xludf.DUMMYFUNCTION("""COMPUTED_VALUE"""),"General")</f>
        <v>General</v>
      </c>
      <c r="J247" s="13" t="str">
        <f>IFERROR(__xludf.DUMMYFUNCTION("""COMPUTED_VALUE"""),"Tops")</f>
        <v>Tops</v>
      </c>
      <c r="K247" s="13" t="str">
        <f>IFERROR(__xludf.DUMMYFUNCTION("""COMPUTED_VALUE"""),"Knits")</f>
        <v>Knits</v>
      </c>
      <c r="L247" s="13"/>
    </row>
    <row r="248">
      <c r="A248" s="13">
        <f>IFERROR(__xludf.DUMMYFUNCTION("""COMPUTED_VALUE"""),246.0)</f>
        <v>246</v>
      </c>
      <c r="B248" s="13">
        <f>IFERROR(__xludf.DUMMYFUNCTION("""COMPUTED_VALUE"""),1066.0)</f>
        <v>1066</v>
      </c>
      <c r="C248" s="13">
        <f>IFERROR(__xludf.DUMMYFUNCTION("""COMPUTED_VALUE"""),49.0)</f>
        <v>49</v>
      </c>
      <c r="D248" s="12" t="str">
        <f>IFERROR(__xludf.DUMMYFUNCTION("""COMPUTED_VALUE"""),"Cute but small")</f>
        <v>Cute but small</v>
      </c>
      <c r="E248" s="12" t="str">
        <f>IFERROR(__xludf.DUMMYFUNCTION("""COMPUTED_VALUE"""),"I tried these on in the store, and they are super cute but run small. i typically wear a size 25 (i'm 5' 5"" and 108 lbs.) and they were too tight for me. i like the fabric and the cut; i think they'd be great one size up. (my store didn't have them.)")</f>
        <v>I tried these on in the store, and they are super cute but run small. i typically wear a size 25 (i'm 5' 5" and 108 lbs.) and they were too tight for me. i like the fabric and the cut; i think they'd be great one size up. (my store didn't have them.)</v>
      </c>
      <c r="F248" s="13">
        <f>IFERROR(__xludf.DUMMYFUNCTION("""COMPUTED_VALUE"""),3.0)</f>
        <v>3</v>
      </c>
      <c r="G248" s="13">
        <f>IFERROR(__xludf.DUMMYFUNCTION("""COMPUTED_VALUE"""),1.0)</f>
        <v>1</v>
      </c>
      <c r="H248" s="13">
        <f>IFERROR(__xludf.DUMMYFUNCTION("""COMPUTED_VALUE"""),1.0)</f>
        <v>1</v>
      </c>
      <c r="I248" s="13" t="str">
        <f>IFERROR(__xludf.DUMMYFUNCTION("""COMPUTED_VALUE"""),"General")</f>
        <v>General</v>
      </c>
      <c r="J248" s="13" t="str">
        <f>IFERROR(__xludf.DUMMYFUNCTION("""COMPUTED_VALUE"""),"Bottoms")</f>
        <v>Bottoms</v>
      </c>
      <c r="K248" s="13" t="str">
        <f>IFERROR(__xludf.DUMMYFUNCTION("""COMPUTED_VALUE"""),"Pants")</f>
        <v>Pants</v>
      </c>
      <c r="L248" s="13"/>
    </row>
    <row r="249">
      <c r="A249" s="13">
        <f>IFERROR(__xludf.DUMMYFUNCTION("""COMPUTED_VALUE"""),247.0)</f>
        <v>247</v>
      </c>
      <c r="B249" s="13">
        <f>IFERROR(__xludf.DUMMYFUNCTION("""COMPUTED_VALUE"""),1115.0)</f>
        <v>1115</v>
      </c>
      <c r="C249" s="13">
        <f>IFERROR(__xludf.DUMMYFUNCTION("""COMPUTED_VALUE"""),41.0)</f>
        <v>41</v>
      </c>
      <c r="D249" s="12" t="str">
        <f>IFERROR(__xludf.DUMMYFUNCTION("""COMPUTED_VALUE"""),"Really nice sweater coat")</f>
        <v>Really nice sweater coat</v>
      </c>
      <c r="E249" s="12" t="str">
        <f>IFERROR(__xludf.DUMMYFUNCTION("""COMPUTED_VALUE"""),"Really nice, substantial, fully lined sweater coat. i love the structured look and the faux-leather piping around the zipper and the pockets. quality seems to be very good. it runs true to size, maybe slightly on the small side (especially for larger hips"&amp;"/busts) so if you are in between sizes, go up. i chose small and it's just right; i wouldn't be able to zip around my hips with xsmall. besides the price, which is why i dropped one star, i cannot really find any fault in this sweater coat.")</f>
        <v>Really nice, substantial, fully lined sweater coat. i love the structured look and the faux-leather piping around the zipper and the pockets. quality seems to be very good. it runs true to size, maybe slightly on the small side (especially for larger hips/busts) so if you are in between sizes, go up. i chose small and it's just right; i wouldn't be able to zip around my hips with xsmall. besides the price, which is why i dropped one star, i cannot really find any fault in this sweater coat.</v>
      </c>
      <c r="F249" s="13">
        <f>IFERROR(__xludf.DUMMYFUNCTION("""COMPUTED_VALUE"""),4.0)</f>
        <v>4</v>
      </c>
      <c r="G249" s="13">
        <f>IFERROR(__xludf.DUMMYFUNCTION("""COMPUTED_VALUE"""),1.0)</f>
        <v>1</v>
      </c>
      <c r="H249" s="13">
        <f>IFERROR(__xludf.DUMMYFUNCTION("""COMPUTED_VALUE"""),1.0)</f>
        <v>1</v>
      </c>
      <c r="I249" s="13" t="str">
        <f>IFERROR(__xludf.DUMMYFUNCTION("""COMPUTED_VALUE"""),"General")</f>
        <v>General</v>
      </c>
      <c r="J249" s="13" t="str">
        <f>IFERROR(__xludf.DUMMYFUNCTION("""COMPUTED_VALUE"""),"Jackets")</f>
        <v>Jackets</v>
      </c>
      <c r="K249" s="13" t="str">
        <f>IFERROR(__xludf.DUMMYFUNCTION("""COMPUTED_VALUE"""),"Outerwear")</f>
        <v>Outerwear</v>
      </c>
      <c r="L249" s="13"/>
    </row>
    <row r="250">
      <c r="A250" s="13">
        <f>IFERROR(__xludf.DUMMYFUNCTION("""COMPUTED_VALUE"""),248.0)</f>
        <v>248</v>
      </c>
      <c r="B250" s="13">
        <f>IFERROR(__xludf.DUMMYFUNCTION("""COMPUTED_VALUE"""),1030.0)</f>
        <v>1030</v>
      </c>
      <c r="C250" s="13">
        <f>IFERROR(__xludf.DUMMYFUNCTION("""COMPUTED_VALUE"""),28.0)</f>
        <v>28</v>
      </c>
      <c r="D250" s="12"/>
      <c r="E250" s="12"/>
      <c r="F250" s="13">
        <f>IFERROR(__xludf.DUMMYFUNCTION("""COMPUTED_VALUE"""),5.0)</f>
        <v>5</v>
      </c>
      <c r="G250" s="13">
        <f>IFERROR(__xludf.DUMMYFUNCTION("""COMPUTED_VALUE"""),1.0)</f>
        <v>1</v>
      </c>
      <c r="H250" s="13">
        <f>IFERROR(__xludf.DUMMYFUNCTION("""COMPUTED_VALUE"""),0.0)</f>
        <v>0</v>
      </c>
      <c r="I250" s="13" t="str">
        <f>IFERROR(__xludf.DUMMYFUNCTION("""COMPUTED_VALUE"""),"General")</f>
        <v>General</v>
      </c>
      <c r="J250" s="13" t="str">
        <f>IFERROR(__xludf.DUMMYFUNCTION("""COMPUTED_VALUE"""),"Bottoms")</f>
        <v>Bottoms</v>
      </c>
      <c r="K250" s="13" t="str">
        <f>IFERROR(__xludf.DUMMYFUNCTION("""COMPUTED_VALUE"""),"Jeans")</f>
        <v>Jeans</v>
      </c>
      <c r="L250" s="13"/>
    </row>
    <row r="251">
      <c r="A251" s="13">
        <f>IFERROR(__xludf.DUMMYFUNCTION("""COMPUTED_VALUE"""),249.0)</f>
        <v>249</v>
      </c>
      <c r="B251" s="13">
        <f>IFERROR(__xludf.DUMMYFUNCTION("""COMPUTED_VALUE"""),1018.0)</f>
        <v>1018</v>
      </c>
      <c r="C251" s="13">
        <f>IFERROR(__xludf.DUMMYFUNCTION("""COMPUTED_VALUE"""),28.0)</f>
        <v>28</v>
      </c>
      <c r="D251" s="12"/>
      <c r="E251" s="12" t="str">
        <f>IFERROR(__xludf.DUMMYFUNCTION("""COMPUTED_VALUE"""),"Really pretty, but runs at least a full size small.")</f>
        <v>Really pretty, but runs at least a full size small.</v>
      </c>
      <c r="F251" s="13">
        <f>IFERROR(__xludf.DUMMYFUNCTION("""COMPUTED_VALUE"""),4.0)</f>
        <v>4</v>
      </c>
      <c r="G251" s="13">
        <f>IFERROR(__xludf.DUMMYFUNCTION("""COMPUTED_VALUE"""),1.0)</f>
        <v>1</v>
      </c>
      <c r="H251" s="13">
        <f>IFERROR(__xludf.DUMMYFUNCTION("""COMPUTED_VALUE"""),0.0)</f>
        <v>0</v>
      </c>
      <c r="I251" s="13" t="str">
        <f>IFERROR(__xludf.DUMMYFUNCTION("""COMPUTED_VALUE"""),"General")</f>
        <v>General</v>
      </c>
      <c r="J251" s="13" t="str">
        <f>IFERROR(__xludf.DUMMYFUNCTION("""COMPUTED_VALUE"""),"Bottoms")</f>
        <v>Bottoms</v>
      </c>
      <c r="K251" s="13" t="str">
        <f>IFERROR(__xludf.DUMMYFUNCTION("""COMPUTED_VALUE"""),"Skirts")</f>
        <v>Skirts</v>
      </c>
      <c r="L251" s="13"/>
    </row>
    <row r="252">
      <c r="A252" s="13">
        <f>IFERROR(__xludf.DUMMYFUNCTION("""COMPUTED_VALUE"""),250.0)</f>
        <v>250</v>
      </c>
      <c r="B252" s="13">
        <f>IFERROR(__xludf.DUMMYFUNCTION("""COMPUTED_VALUE"""),1026.0)</f>
        <v>1026</v>
      </c>
      <c r="C252" s="13">
        <f>IFERROR(__xludf.DUMMYFUNCTION("""COMPUTED_VALUE"""),48.0)</f>
        <v>48</v>
      </c>
      <c r="D252" s="12" t="str">
        <f>IFERROR(__xludf.DUMMYFUNCTION("""COMPUTED_VALUE"""),"Perfect")</f>
        <v>Perfect</v>
      </c>
      <c r="E252" s="12" t="str">
        <f>IFERROR(__xludf.DUMMYFUNCTION("""COMPUTED_VALUE"""),"I love these pants. i have worn them a number of times already this season. i am 5' so i did have to have them hemmed. i lost the bottom button in the process but there are still 3 or 4 on the pants so i don't think they look odd. i also wear very high bo"&amp;"ots with these pants so that helps. a crisp white blouse and black leather jacket and i felt like a million bucks!")</f>
        <v>I love these pants. i have worn them a number of times already this season. i am 5' so i did have to have them hemmed. i lost the bottom button in the process but there are still 3 or 4 on the pants so i don't think they look odd. i also wear very high boots with these pants so that helps. a crisp white blouse and black leather jacket and i felt like a million bucks!</v>
      </c>
      <c r="F252" s="13">
        <f>IFERROR(__xludf.DUMMYFUNCTION("""COMPUTED_VALUE"""),5.0)</f>
        <v>5</v>
      </c>
      <c r="G252" s="13">
        <f>IFERROR(__xludf.DUMMYFUNCTION("""COMPUTED_VALUE"""),1.0)</f>
        <v>1</v>
      </c>
      <c r="H252" s="13">
        <f>IFERROR(__xludf.DUMMYFUNCTION("""COMPUTED_VALUE"""),1.0)</f>
        <v>1</v>
      </c>
      <c r="I252" s="13" t="str">
        <f>IFERROR(__xludf.DUMMYFUNCTION("""COMPUTED_VALUE"""),"General")</f>
        <v>General</v>
      </c>
      <c r="J252" s="13" t="str">
        <f>IFERROR(__xludf.DUMMYFUNCTION("""COMPUTED_VALUE"""),"Bottoms")</f>
        <v>Bottoms</v>
      </c>
      <c r="K252" s="13" t="str">
        <f>IFERROR(__xludf.DUMMYFUNCTION("""COMPUTED_VALUE"""),"Jeans")</f>
        <v>Jeans</v>
      </c>
      <c r="L252" s="13"/>
    </row>
    <row r="253">
      <c r="A253" s="13">
        <f>IFERROR(__xludf.DUMMYFUNCTION("""COMPUTED_VALUE"""),251.0)</f>
        <v>251</v>
      </c>
      <c r="B253" s="13">
        <f>IFERROR(__xludf.DUMMYFUNCTION("""COMPUTED_VALUE"""),840.0)</f>
        <v>840</v>
      </c>
      <c r="C253" s="13">
        <f>IFERROR(__xludf.DUMMYFUNCTION("""COMPUTED_VALUE"""),32.0)</f>
        <v>32</v>
      </c>
      <c r="D253" s="12" t="str">
        <f>IFERROR(__xludf.DUMMYFUNCTION("""COMPUTED_VALUE"""),"Very cute top")</f>
        <v>Very cute top</v>
      </c>
      <c r="E253" s="12" t="str">
        <f>IFERROR(__xludf.DUMMYFUNCTION("""COMPUTED_VALUE"""),"I love this tunic the natural color is just that, this is a tunic so the fit is a little large. i kept it and had it altered because i really do love this top")</f>
        <v>I love this tunic the natural color is just that, this is a tunic so the fit is a little large. i kept it and had it altered because i really do love this top</v>
      </c>
      <c r="F253" s="13">
        <f>IFERROR(__xludf.DUMMYFUNCTION("""COMPUTED_VALUE"""),5.0)</f>
        <v>5</v>
      </c>
      <c r="G253" s="13">
        <f>IFERROR(__xludf.DUMMYFUNCTION("""COMPUTED_VALUE"""),1.0)</f>
        <v>1</v>
      </c>
      <c r="H253" s="13">
        <f>IFERROR(__xludf.DUMMYFUNCTION("""COMPUTED_VALUE"""),0.0)</f>
        <v>0</v>
      </c>
      <c r="I253" s="13" t="str">
        <f>IFERROR(__xludf.DUMMYFUNCTION("""COMPUTED_VALUE"""),"General")</f>
        <v>General</v>
      </c>
      <c r="J253" s="13" t="str">
        <f>IFERROR(__xludf.DUMMYFUNCTION("""COMPUTED_VALUE"""),"Tops")</f>
        <v>Tops</v>
      </c>
      <c r="K253" s="13" t="str">
        <f>IFERROR(__xludf.DUMMYFUNCTION("""COMPUTED_VALUE"""),"Blouses")</f>
        <v>Blouses</v>
      </c>
      <c r="L253" s="13"/>
    </row>
    <row r="254">
      <c r="A254" s="13">
        <f>IFERROR(__xludf.DUMMYFUNCTION("""COMPUTED_VALUE"""),252.0)</f>
        <v>252</v>
      </c>
      <c r="B254" s="13">
        <f>IFERROR(__xludf.DUMMYFUNCTION("""COMPUTED_VALUE"""),1066.0)</f>
        <v>1066</v>
      </c>
      <c r="C254" s="13">
        <f>IFERROR(__xludf.DUMMYFUNCTION("""COMPUTED_VALUE"""),29.0)</f>
        <v>29</v>
      </c>
      <c r="D254" s="12" t="str">
        <f>IFERROR(__xludf.DUMMYFUNCTION("""COMPUTED_VALUE"""),"Super cute pants")</f>
        <v>Super cute pants</v>
      </c>
      <c r="E254" s="12" t="str">
        <f>IFERROR(__xludf.DUMMYFUNCTION("""COMPUTED_VALUE"""),"These cropped pants are very light weight and super cute. they seem to run just a bit small (i sized up one size from my usual) and don't seem to stretch so a size larger than you generally take may be necessary. the thin pin stripe design is very light i"&amp;"n color so they are quite versatile.")</f>
        <v>These cropped pants are very light weight and super cute. they seem to run just a bit small (i sized up one size from my usual) and don't seem to stretch so a size larger than you generally take may be necessary. the thin pin stripe design is very light in color so they are quite versatile.</v>
      </c>
      <c r="F254" s="13">
        <f>IFERROR(__xludf.DUMMYFUNCTION("""COMPUTED_VALUE"""),5.0)</f>
        <v>5</v>
      </c>
      <c r="G254" s="13">
        <f>IFERROR(__xludf.DUMMYFUNCTION("""COMPUTED_VALUE"""),1.0)</f>
        <v>1</v>
      </c>
      <c r="H254" s="13">
        <f>IFERROR(__xludf.DUMMYFUNCTION("""COMPUTED_VALUE"""),1.0)</f>
        <v>1</v>
      </c>
      <c r="I254" s="13" t="str">
        <f>IFERROR(__xludf.DUMMYFUNCTION("""COMPUTED_VALUE"""),"General")</f>
        <v>General</v>
      </c>
      <c r="J254" s="13" t="str">
        <f>IFERROR(__xludf.DUMMYFUNCTION("""COMPUTED_VALUE"""),"Bottoms")</f>
        <v>Bottoms</v>
      </c>
      <c r="K254" s="13" t="str">
        <f>IFERROR(__xludf.DUMMYFUNCTION("""COMPUTED_VALUE"""),"Pants")</f>
        <v>Pants</v>
      </c>
      <c r="L254" s="13"/>
    </row>
    <row r="255">
      <c r="A255" s="13">
        <f>IFERROR(__xludf.DUMMYFUNCTION("""COMPUTED_VALUE"""),253.0)</f>
        <v>253</v>
      </c>
      <c r="B255" s="13">
        <f>IFERROR(__xludf.DUMMYFUNCTION("""COMPUTED_VALUE"""),647.0)</f>
        <v>647</v>
      </c>
      <c r="C255" s="13">
        <f>IFERROR(__xludf.DUMMYFUNCTION("""COMPUTED_VALUE"""),32.0)</f>
        <v>32</v>
      </c>
      <c r="D255" s="12" t="str">
        <f>IFERROR(__xludf.DUMMYFUNCTION("""COMPUTED_VALUE"""),"Cute, casual dress")</f>
        <v>Cute, casual dress</v>
      </c>
      <c r="E255" s="12" t="str">
        <f>IFERROR(__xludf.DUMMYFUNCTION("""COMPUTED_VALUE"""),"I have this dress on today in white and i am coming back to buy the second color even though pink is not my favorite. great comfy, casual dress that pairs well with a variety of shoes and jewelry to dress it up. highly recommend for summer!")</f>
        <v>I have this dress on today in white and i am coming back to buy the second color even though pink is not my favorite. great comfy, casual dress that pairs well with a variety of shoes and jewelry to dress it up. highly recommend for summer!</v>
      </c>
      <c r="F255" s="13">
        <f>IFERROR(__xludf.DUMMYFUNCTION("""COMPUTED_VALUE"""),5.0)</f>
        <v>5</v>
      </c>
      <c r="G255" s="13">
        <f>IFERROR(__xludf.DUMMYFUNCTION("""COMPUTED_VALUE"""),1.0)</f>
        <v>1</v>
      </c>
      <c r="H255" s="13">
        <f>IFERROR(__xludf.DUMMYFUNCTION("""COMPUTED_VALUE"""),6.0)</f>
        <v>6</v>
      </c>
      <c r="I255" s="13" t="str">
        <f>IFERROR(__xludf.DUMMYFUNCTION("""COMPUTED_VALUE"""),"General Petite")</f>
        <v>General Petite</v>
      </c>
      <c r="J255" s="13" t="str">
        <f>IFERROR(__xludf.DUMMYFUNCTION("""COMPUTED_VALUE"""),"Intimate")</f>
        <v>Intimate</v>
      </c>
      <c r="K255" s="13" t="str">
        <f>IFERROR(__xludf.DUMMYFUNCTION("""COMPUTED_VALUE"""),"Lounge")</f>
        <v>Lounge</v>
      </c>
      <c r="L255" s="13"/>
    </row>
    <row r="256">
      <c r="A256" s="13">
        <f>IFERROR(__xludf.DUMMYFUNCTION("""COMPUTED_VALUE"""),254.0)</f>
        <v>254</v>
      </c>
      <c r="B256" s="13">
        <f>IFERROR(__xludf.DUMMYFUNCTION("""COMPUTED_VALUE"""),840.0)</f>
        <v>840</v>
      </c>
      <c r="C256" s="13">
        <f>IFERROR(__xludf.DUMMYFUNCTION("""COMPUTED_VALUE"""),28.0)</f>
        <v>28</v>
      </c>
      <c r="D256" s="12"/>
      <c r="E256" s="12" t="str">
        <f>IFERROR(__xludf.DUMMYFUNCTION("""COMPUTED_VALUE"""),"Size down! i love this item. it goes perfect with leggings but if you are typically a small you would need to order an extra small and so forth. hopefully once i wash this it will shrink some.")</f>
        <v>Size down! i love this item. it goes perfect with leggings but if you are typically a small you would need to order an extra small and so forth. hopefully once i wash this it will shrink some.</v>
      </c>
      <c r="F256" s="13">
        <f>IFERROR(__xludf.DUMMYFUNCTION("""COMPUTED_VALUE"""),5.0)</f>
        <v>5</v>
      </c>
      <c r="G256" s="13">
        <f>IFERROR(__xludf.DUMMYFUNCTION("""COMPUTED_VALUE"""),1.0)</f>
        <v>1</v>
      </c>
      <c r="H256" s="13">
        <f>IFERROR(__xludf.DUMMYFUNCTION("""COMPUTED_VALUE"""),0.0)</f>
        <v>0</v>
      </c>
      <c r="I256" s="13" t="str">
        <f>IFERROR(__xludf.DUMMYFUNCTION("""COMPUTED_VALUE"""),"General")</f>
        <v>General</v>
      </c>
      <c r="J256" s="13" t="str">
        <f>IFERROR(__xludf.DUMMYFUNCTION("""COMPUTED_VALUE"""),"Tops")</f>
        <v>Tops</v>
      </c>
      <c r="K256" s="13" t="str">
        <f>IFERROR(__xludf.DUMMYFUNCTION("""COMPUTED_VALUE"""),"Blouses")</f>
        <v>Blouses</v>
      </c>
      <c r="L256" s="13"/>
    </row>
    <row r="257">
      <c r="A257" s="13">
        <f>IFERROR(__xludf.DUMMYFUNCTION("""COMPUTED_VALUE"""),255.0)</f>
        <v>255</v>
      </c>
      <c r="B257" s="13">
        <f>IFERROR(__xludf.DUMMYFUNCTION("""COMPUTED_VALUE"""),840.0)</f>
        <v>840</v>
      </c>
      <c r="C257" s="13">
        <f>IFERROR(__xludf.DUMMYFUNCTION("""COMPUTED_VALUE"""),51.0)</f>
        <v>51</v>
      </c>
      <c r="D257" s="12" t="str">
        <f>IFERROR(__xludf.DUMMYFUNCTION("""COMPUTED_VALUE"""),"Runs big!")</f>
        <v>Runs big!</v>
      </c>
      <c r="E257" s="12" t="str">
        <f>IFERROR(__xludf.DUMMYFUNCTION("""COMPUTED_VALUE"""),"Cute, swing top that would be flattering on most. i love the print on the white color and it's so soft. doesn't wrinkle easy. but it does run big! i'm usually a s in retailer but i was drowning in it. so, size down!")</f>
        <v>Cute, swing top that would be flattering on most. i love the print on the white color and it's so soft. doesn't wrinkle easy. but it does run big! i'm usually a s in retailer but i was drowning in it. so, size down!</v>
      </c>
      <c r="F257" s="13">
        <f>IFERROR(__xludf.DUMMYFUNCTION("""COMPUTED_VALUE"""),4.0)</f>
        <v>4</v>
      </c>
      <c r="G257" s="13">
        <f>IFERROR(__xludf.DUMMYFUNCTION("""COMPUTED_VALUE"""),1.0)</f>
        <v>1</v>
      </c>
      <c r="H257" s="13">
        <f>IFERROR(__xludf.DUMMYFUNCTION("""COMPUTED_VALUE"""),1.0)</f>
        <v>1</v>
      </c>
      <c r="I257" s="13" t="str">
        <f>IFERROR(__xludf.DUMMYFUNCTION("""COMPUTED_VALUE"""),"General")</f>
        <v>General</v>
      </c>
      <c r="J257" s="13" t="str">
        <f>IFERROR(__xludf.DUMMYFUNCTION("""COMPUTED_VALUE"""),"Tops")</f>
        <v>Tops</v>
      </c>
      <c r="K257" s="13" t="str">
        <f>IFERROR(__xludf.DUMMYFUNCTION("""COMPUTED_VALUE"""),"Blouses")</f>
        <v>Blouses</v>
      </c>
      <c r="L257" s="13"/>
    </row>
    <row r="258">
      <c r="A258" s="13">
        <f>IFERROR(__xludf.DUMMYFUNCTION("""COMPUTED_VALUE"""),256.0)</f>
        <v>256</v>
      </c>
      <c r="B258" s="13">
        <f>IFERROR(__xludf.DUMMYFUNCTION("""COMPUTED_VALUE"""),840.0)</f>
        <v>840</v>
      </c>
      <c r="C258" s="13">
        <f>IFERROR(__xludf.DUMMYFUNCTION("""COMPUTED_VALUE"""),44.0)</f>
        <v>44</v>
      </c>
      <c r="D258" s="12" t="str">
        <f>IFERROR(__xludf.DUMMYFUNCTION("""COMPUTED_VALUE"""),"Stylish and understated elegant")</f>
        <v>Stylish and understated elegant</v>
      </c>
      <c r="E258" s="12" t="str">
        <f>IFERROR(__xludf.DUMMYFUNCTION("""COMPUTED_VALUE"""),"I purchased this top in a regular small and surprisingly, it fits me very well (i'm 5'2"", 34b, 26 waist, 36 hips). the hem falls about two inches longer than shown on the model. i like the v-neck the most because the ruffles are not too much, and it's no"&amp;"t too low cut. i purchased the white color because i think the pattern is unique and it's brighter for spring/summer. i think skinny jeans and ankle boots or wedges would make the look very stylish. by the way, the fabric is super soft (but not w")</f>
        <v>I purchased this top in a regular small and surprisingly, it fits me very well (i'm 5'2", 34b, 26 waist, 36 hips). the hem falls about two inches longer than shown on the model. i like the v-neck the most because the ruffles are not too much, and it's not too low cut. i purchased the white color because i think the pattern is unique and it's brighter for spring/summer. i think skinny jeans and ankle boots or wedges would make the look very stylish. by the way, the fabric is super soft (but not w</v>
      </c>
      <c r="F258" s="13">
        <f>IFERROR(__xludf.DUMMYFUNCTION("""COMPUTED_VALUE"""),5.0)</f>
        <v>5</v>
      </c>
      <c r="G258" s="13">
        <f>IFERROR(__xludf.DUMMYFUNCTION("""COMPUTED_VALUE"""),1.0)</f>
        <v>1</v>
      </c>
      <c r="H258" s="13">
        <f>IFERROR(__xludf.DUMMYFUNCTION("""COMPUTED_VALUE"""),1.0)</f>
        <v>1</v>
      </c>
      <c r="I258" s="13" t="str">
        <f>IFERROR(__xludf.DUMMYFUNCTION("""COMPUTED_VALUE"""),"General")</f>
        <v>General</v>
      </c>
      <c r="J258" s="13" t="str">
        <f>IFERROR(__xludf.DUMMYFUNCTION("""COMPUTED_VALUE"""),"Tops")</f>
        <v>Tops</v>
      </c>
      <c r="K258" s="13" t="str">
        <f>IFERROR(__xludf.DUMMYFUNCTION("""COMPUTED_VALUE"""),"Blouses")</f>
        <v>Blouses</v>
      </c>
      <c r="L258" s="13"/>
    </row>
    <row r="259">
      <c r="A259" s="13">
        <f>IFERROR(__xludf.DUMMYFUNCTION("""COMPUTED_VALUE"""),257.0)</f>
        <v>257</v>
      </c>
      <c r="B259" s="13">
        <f>IFERROR(__xludf.DUMMYFUNCTION("""COMPUTED_VALUE"""),1018.0)</f>
        <v>1018</v>
      </c>
      <c r="C259" s="13">
        <f>IFERROR(__xludf.DUMMYFUNCTION("""COMPUTED_VALUE"""),43.0)</f>
        <v>43</v>
      </c>
      <c r="D259" s="12" t="str">
        <f>IFERROR(__xludf.DUMMYFUNCTION("""COMPUTED_VALUE"""),"Pockets!")</f>
        <v>Pockets!</v>
      </c>
      <c r="E259" s="12" t="str">
        <f>IFERROR(__xludf.DUMMYFUNCTION("""COMPUTED_VALUE"""),"This skirt is really beautiful but i agree with the other reviewers; it runs very small. i'm typically an 8 or 10. if i get a 10, there is usually a bit of room in the item. i decided to get a 10 in this skirt, just in case. i got it zipped but would have"&amp;" trouble breathing as the evening wore on. the pockets are wonderful and the fabric is weighty and really lovely.")</f>
        <v>This skirt is really beautiful but i agree with the other reviewers; it runs very small. i'm typically an 8 or 10. if i get a 10, there is usually a bit of room in the item. i decided to get a 10 in this skirt, just in case. i got it zipped but would have trouble breathing as the evening wore on. the pockets are wonderful and the fabric is weighty and really lovely.</v>
      </c>
      <c r="F259" s="13">
        <f>IFERROR(__xludf.DUMMYFUNCTION("""COMPUTED_VALUE"""),4.0)</f>
        <v>4</v>
      </c>
      <c r="G259" s="13">
        <f>IFERROR(__xludf.DUMMYFUNCTION("""COMPUTED_VALUE"""),1.0)</f>
        <v>1</v>
      </c>
      <c r="H259" s="13">
        <f>IFERROR(__xludf.DUMMYFUNCTION("""COMPUTED_VALUE"""),0.0)</f>
        <v>0</v>
      </c>
      <c r="I259" s="13" t="str">
        <f>IFERROR(__xludf.DUMMYFUNCTION("""COMPUTED_VALUE"""),"General")</f>
        <v>General</v>
      </c>
      <c r="J259" s="13" t="str">
        <f>IFERROR(__xludf.DUMMYFUNCTION("""COMPUTED_VALUE"""),"Bottoms")</f>
        <v>Bottoms</v>
      </c>
      <c r="K259" s="13" t="str">
        <f>IFERROR(__xludf.DUMMYFUNCTION("""COMPUTED_VALUE"""),"Skirts")</f>
        <v>Skirts</v>
      </c>
      <c r="L259" s="13"/>
    </row>
    <row r="260">
      <c r="A260" s="13">
        <f>IFERROR(__xludf.DUMMYFUNCTION("""COMPUTED_VALUE"""),258.0)</f>
        <v>258</v>
      </c>
      <c r="B260" s="13">
        <f>IFERROR(__xludf.DUMMYFUNCTION("""COMPUTED_VALUE"""),840.0)</f>
        <v>840</v>
      </c>
      <c r="C260" s="13">
        <f>IFERROR(__xludf.DUMMYFUNCTION("""COMPUTED_VALUE"""),48.0)</f>
        <v>48</v>
      </c>
      <c r="D260" s="12" t="str">
        <f>IFERROR(__xludf.DUMMYFUNCTION("""COMPUTED_VALUE"""),"Fits like a maternity top")</f>
        <v>Fits like a maternity top</v>
      </c>
      <c r="E260" s="12" t="str">
        <f>IFERROR(__xludf.DUMMYFUNCTION("""COMPUTED_VALUE"""),"Fits well through the shoulders and arms, but there is zero waist, and it just looks like a bunch of extra fabric hanging from the top. super cute, but have to return because of that.")</f>
        <v>Fits well through the shoulders and arms, but there is zero waist, and it just looks like a bunch of extra fabric hanging from the top. super cute, but have to return because of that.</v>
      </c>
      <c r="F260" s="13">
        <f>IFERROR(__xludf.DUMMYFUNCTION("""COMPUTED_VALUE"""),3.0)</f>
        <v>3</v>
      </c>
      <c r="G260" s="13">
        <f>IFERROR(__xludf.DUMMYFUNCTION("""COMPUTED_VALUE"""),0.0)</f>
        <v>0</v>
      </c>
      <c r="H260" s="13">
        <f>IFERROR(__xludf.DUMMYFUNCTION("""COMPUTED_VALUE"""),1.0)</f>
        <v>1</v>
      </c>
      <c r="I260" s="13" t="str">
        <f>IFERROR(__xludf.DUMMYFUNCTION("""COMPUTED_VALUE"""),"General")</f>
        <v>General</v>
      </c>
      <c r="J260" s="13" t="str">
        <f>IFERROR(__xludf.DUMMYFUNCTION("""COMPUTED_VALUE"""),"Tops")</f>
        <v>Tops</v>
      </c>
      <c r="K260" s="13" t="str">
        <f>IFERROR(__xludf.DUMMYFUNCTION("""COMPUTED_VALUE"""),"Blouses")</f>
        <v>Blouses</v>
      </c>
      <c r="L260" s="13"/>
    </row>
    <row r="261">
      <c r="A261" s="13">
        <f>IFERROR(__xludf.DUMMYFUNCTION("""COMPUTED_VALUE"""),259.0)</f>
        <v>259</v>
      </c>
      <c r="B261" s="13">
        <f>IFERROR(__xludf.DUMMYFUNCTION("""COMPUTED_VALUE"""),824.0)</f>
        <v>824</v>
      </c>
      <c r="C261" s="13">
        <f>IFERROR(__xludf.DUMMYFUNCTION("""COMPUTED_VALUE"""),37.0)</f>
        <v>37</v>
      </c>
      <c r="D261" s="12" t="str">
        <f>IFERROR(__xludf.DUMMYFUNCTION("""COMPUTED_VALUE"""),"Love this top")</f>
        <v>Love this top</v>
      </c>
      <c r="E261" s="12" t="str">
        <f>IFERROR(__xludf.DUMMYFUNCTION("""COMPUTED_VALUE"""),"From the picture i wasn't sure how it would fit. got in the mail and i love it. fits snug when you first put it on and get looser as you wear it. definitely should of gotten a large.")</f>
        <v>From the picture i wasn't sure how it would fit. got in the mail and i love it. fits snug when you first put it on and get looser as you wear it. definitely should of gotten a large.</v>
      </c>
      <c r="F261" s="13">
        <f>IFERROR(__xludf.DUMMYFUNCTION("""COMPUTED_VALUE"""),5.0)</f>
        <v>5</v>
      </c>
      <c r="G261" s="13">
        <f>IFERROR(__xludf.DUMMYFUNCTION("""COMPUTED_VALUE"""),1.0)</f>
        <v>1</v>
      </c>
      <c r="H261" s="13">
        <f>IFERROR(__xludf.DUMMYFUNCTION("""COMPUTED_VALUE"""),1.0)</f>
        <v>1</v>
      </c>
      <c r="I261" s="13" t="str">
        <f>IFERROR(__xludf.DUMMYFUNCTION("""COMPUTED_VALUE"""),"General")</f>
        <v>General</v>
      </c>
      <c r="J261" s="13" t="str">
        <f>IFERROR(__xludf.DUMMYFUNCTION("""COMPUTED_VALUE"""),"Tops")</f>
        <v>Tops</v>
      </c>
      <c r="K261" s="13" t="str">
        <f>IFERROR(__xludf.DUMMYFUNCTION("""COMPUTED_VALUE"""),"Blouses")</f>
        <v>Blouses</v>
      </c>
      <c r="L261" s="13"/>
    </row>
    <row r="262">
      <c r="A262" s="13">
        <f>IFERROR(__xludf.DUMMYFUNCTION("""COMPUTED_VALUE"""),260.0)</f>
        <v>260</v>
      </c>
      <c r="B262" s="13">
        <f>IFERROR(__xludf.DUMMYFUNCTION("""COMPUTED_VALUE"""),1115.0)</f>
        <v>1115</v>
      </c>
      <c r="C262" s="13">
        <f>IFERROR(__xludf.DUMMYFUNCTION("""COMPUTED_VALUE"""),31.0)</f>
        <v>31</v>
      </c>
      <c r="D262" s="12" t="str">
        <f>IFERROR(__xludf.DUMMYFUNCTION("""COMPUTED_VALUE"""),"Love this coat!")</f>
        <v>Love this coat!</v>
      </c>
      <c r="E262" s="12" t="str">
        <f>IFERROR(__xludf.DUMMYFUNCTION("""COMPUTED_VALUE"""),"I was hesitant to purchase this coat because of the price, and when i received it i have to admit i was a little disappointed with the quality of the coat. the sleeves are made out of a soft felted material but i can see this pilling easily. other than th"&amp;"at, the silhouette of the coat is perfect...not too boxy! it's also not too heavy so that you can wear it through fall and into the first months of winter. i love it!")</f>
        <v>I was hesitant to purchase this coat because of the price, and when i received it i have to admit i was a little disappointed with the quality of the coat. the sleeves are made out of a soft felted material but i can see this pilling easily. other than that, the silhouette of the coat is perfect...not too boxy! it's also not too heavy so that you can wear it through fall and into the first months of winter. i love it!</v>
      </c>
      <c r="F262" s="13">
        <f>IFERROR(__xludf.DUMMYFUNCTION("""COMPUTED_VALUE"""),5.0)</f>
        <v>5</v>
      </c>
      <c r="G262" s="13">
        <f>IFERROR(__xludf.DUMMYFUNCTION("""COMPUTED_VALUE"""),1.0)</f>
        <v>1</v>
      </c>
      <c r="H262" s="13">
        <f>IFERROR(__xludf.DUMMYFUNCTION("""COMPUTED_VALUE"""),2.0)</f>
        <v>2</v>
      </c>
      <c r="I262" s="13" t="str">
        <f>IFERROR(__xludf.DUMMYFUNCTION("""COMPUTED_VALUE"""),"General")</f>
        <v>General</v>
      </c>
      <c r="J262" s="13" t="str">
        <f>IFERROR(__xludf.DUMMYFUNCTION("""COMPUTED_VALUE"""),"Jackets")</f>
        <v>Jackets</v>
      </c>
      <c r="K262" s="13" t="str">
        <f>IFERROR(__xludf.DUMMYFUNCTION("""COMPUTED_VALUE"""),"Outerwear")</f>
        <v>Outerwear</v>
      </c>
      <c r="L262" s="13"/>
    </row>
    <row r="263">
      <c r="A263" s="13">
        <f>IFERROR(__xludf.DUMMYFUNCTION("""COMPUTED_VALUE"""),261.0)</f>
        <v>261</v>
      </c>
      <c r="B263" s="13">
        <f>IFERROR(__xludf.DUMMYFUNCTION("""COMPUTED_VALUE"""),840.0)</f>
        <v>840</v>
      </c>
      <c r="C263" s="13">
        <f>IFERROR(__xludf.DUMMYFUNCTION("""COMPUTED_VALUE"""),50.0)</f>
        <v>50</v>
      </c>
      <c r="D263" s="12" t="str">
        <f>IFERROR(__xludf.DUMMYFUNCTION("""COMPUTED_VALUE"""),"Adorable and flattering")</f>
        <v>Adorable and flattering</v>
      </c>
      <c r="E263" s="12" t="str">
        <f>IFERROR(__xludf.DUMMYFUNCTION("""COMPUTED_VALUE"""),"This top is very cute. got it in the lighter color. the fit is great and it will go with many things. if size medium were not out of stock in the blue color i would have purchased that one also.")</f>
        <v>This top is very cute. got it in the lighter color. the fit is great and it will go with many things. if size medium were not out of stock in the blue color i would have purchased that one also.</v>
      </c>
      <c r="F263" s="13">
        <f>IFERROR(__xludf.DUMMYFUNCTION("""COMPUTED_VALUE"""),5.0)</f>
        <v>5</v>
      </c>
      <c r="G263" s="13">
        <f>IFERROR(__xludf.DUMMYFUNCTION("""COMPUTED_VALUE"""),1.0)</f>
        <v>1</v>
      </c>
      <c r="H263" s="13">
        <f>IFERROR(__xludf.DUMMYFUNCTION("""COMPUTED_VALUE"""),0.0)</f>
        <v>0</v>
      </c>
      <c r="I263" s="13" t="str">
        <f>IFERROR(__xludf.DUMMYFUNCTION("""COMPUTED_VALUE"""),"General")</f>
        <v>General</v>
      </c>
      <c r="J263" s="13" t="str">
        <f>IFERROR(__xludf.DUMMYFUNCTION("""COMPUTED_VALUE"""),"Tops")</f>
        <v>Tops</v>
      </c>
      <c r="K263" s="13" t="str">
        <f>IFERROR(__xludf.DUMMYFUNCTION("""COMPUTED_VALUE"""),"Blouses")</f>
        <v>Blouses</v>
      </c>
      <c r="L263" s="13"/>
    </row>
    <row r="264">
      <c r="A264" s="13">
        <f>IFERROR(__xludf.DUMMYFUNCTION("""COMPUTED_VALUE"""),262.0)</f>
        <v>262</v>
      </c>
      <c r="B264" s="13">
        <f>IFERROR(__xludf.DUMMYFUNCTION("""COMPUTED_VALUE"""),878.0)</f>
        <v>878</v>
      </c>
      <c r="C264" s="13">
        <f>IFERROR(__xludf.DUMMYFUNCTION("""COMPUTED_VALUE"""),47.0)</f>
        <v>47</v>
      </c>
      <c r="D264" s="12" t="str">
        <f>IFERROR(__xludf.DUMMYFUNCTION("""COMPUTED_VALUE"""),"Cute, but no go!")</f>
        <v>Cute, but no go!</v>
      </c>
      <c r="E264" s="12" t="str">
        <f>IFERROR(__xludf.DUMMYFUNCTION("""COMPUTED_VALUE"""),"I really wanted to love this t and was excited to receive it in the mail. i thought i was being realistic in assuming that is would be somewhat sheer given that there doesn't seem to be a woman's white t on the planet that isn't these days, however it was"&amp;" really sheer. the fit was also short and boxy (this coming from a 5'3 woman who is short-waisted) on the plus size the material is extremely soft and the design is cute. maybe if you are younger and don't mind the sheerness it's worth the gambl")</f>
        <v>I really wanted to love this t and was excited to receive it in the mail. i thought i was being realistic in assuming that is would be somewhat sheer given that there doesn't seem to be a woman's white t on the planet that isn't these days, however it was really sheer. the fit was also short and boxy (this coming from a 5'3 woman who is short-waisted) on the plus size the material is extremely soft and the design is cute. maybe if you are younger and don't mind the sheerness it's worth the gambl</v>
      </c>
      <c r="F264" s="13">
        <f>IFERROR(__xludf.DUMMYFUNCTION("""COMPUTED_VALUE"""),3.0)</f>
        <v>3</v>
      </c>
      <c r="G264" s="13">
        <f>IFERROR(__xludf.DUMMYFUNCTION("""COMPUTED_VALUE"""),0.0)</f>
        <v>0</v>
      </c>
      <c r="H264" s="13">
        <f>IFERROR(__xludf.DUMMYFUNCTION("""COMPUTED_VALUE"""),1.0)</f>
        <v>1</v>
      </c>
      <c r="I264" s="13" t="str">
        <f>IFERROR(__xludf.DUMMYFUNCTION("""COMPUTED_VALUE"""),"General")</f>
        <v>General</v>
      </c>
      <c r="J264" s="13" t="str">
        <f>IFERROR(__xludf.DUMMYFUNCTION("""COMPUTED_VALUE"""),"Tops")</f>
        <v>Tops</v>
      </c>
      <c r="K264" s="13" t="str">
        <f>IFERROR(__xludf.DUMMYFUNCTION("""COMPUTED_VALUE"""),"Knits")</f>
        <v>Knits</v>
      </c>
      <c r="L264" s="13"/>
    </row>
    <row r="265">
      <c r="A265" s="13">
        <f>IFERROR(__xludf.DUMMYFUNCTION("""COMPUTED_VALUE"""),263.0)</f>
        <v>263</v>
      </c>
      <c r="B265" s="13">
        <f>IFERROR(__xludf.DUMMYFUNCTION("""COMPUTED_VALUE"""),984.0)</f>
        <v>984</v>
      </c>
      <c r="C265" s="13">
        <f>IFERROR(__xludf.DUMMYFUNCTION("""COMPUTED_VALUE"""),56.0)</f>
        <v>56</v>
      </c>
      <c r="D265" s="12" t="str">
        <f>IFERROR(__xludf.DUMMYFUNCTION("""COMPUTED_VALUE"""),"Pretty denim jacket")</f>
        <v>Pretty denim jacket</v>
      </c>
      <c r="E265" s="12" t="str">
        <f>IFERROR(__xludf.DUMMYFUNCTION("""COMPUTED_VALUE"""),"This is a perfect jacket over any shirt, tee, or dress. jacket is well made and goes with anything!")</f>
        <v>This is a perfect jacket over any shirt, tee, or dress. jacket is well made and goes with anything!</v>
      </c>
      <c r="F265" s="13">
        <f>IFERROR(__xludf.DUMMYFUNCTION("""COMPUTED_VALUE"""),5.0)</f>
        <v>5</v>
      </c>
      <c r="G265" s="13">
        <f>IFERROR(__xludf.DUMMYFUNCTION("""COMPUTED_VALUE"""),1.0)</f>
        <v>1</v>
      </c>
      <c r="H265" s="13">
        <f>IFERROR(__xludf.DUMMYFUNCTION("""COMPUTED_VALUE"""),2.0)</f>
        <v>2</v>
      </c>
      <c r="I265" s="13" t="str">
        <f>IFERROR(__xludf.DUMMYFUNCTION("""COMPUTED_VALUE"""),"General Petite")</f>
        <v>General Petite</v>
      </c>
      <c r="J265" s="13" t="str">
        <f>IFERROR(__xludf.DUMMYFUNCTION("""COMPUTED_VALUE"""),"Jackets")</f>
        <v>Jackets</v>
      </c>
      <c r="K265" s="13" t="str">
        <f>IFERROR(__xludf.DUMMYFUNCTION("""COMPUTED_VALUE"""),"Jackets")</f>
        <v>Jackets</v>
      </c>
      <c r="L265" s="13"/>
    </row>
    <row r="266">
      <c r="A266" s="13">
        <f>IFERROR(__xludf.DUMMYFUNCTION("""COMPUTED_VALUE"""),264.0)</f>
        <v>264</v>
      </c>
      <c r="B266" s="13">
        <f>IFERROR(__xludf.DUMMYFUNCTION("""COMPUTED_VALUE"""),1104.0)</f>
        <v>1104</v>
      </c>
      <c r="C266" s="13">
        <f>IFERROR(__xludf.DUMMYFUNCTION("""COMPUTED_VALUE"""),25.0)</f>
        <v>25</v>
      </c>
      <c r="D266" s="12" t="str">
        <f>IFERROR(__xludf.DUMMYFUNCTION("""COMPUTED_VALUE"""),"Amazing peach color!")</f>
        <v>Amazing peach color!</v>
      </c>
      <c r="E266" s="12" t="str">
        <f>IFERROR(__xludf.DUMMYFUNCTION("""COMPUTED_VALUE"""),"I ordered this dress in both colors. the peach color is so beautiful in person. i'm planning to wear this dress for our rehearsal dinner at the end of the summer, if i can hold off until then! definitely worth the price.")</f>
        <v>I ordered this dress in both colors. the peach color is so beautiful in person. i'm planning to wear this dress for our rehearsal dinner at the end of the summer, if i can hold off until then! definitely worth the price.</v>
      </c>
      <c r="F266" s="13">
        <f>IFERROR(__xludf.DUMMYFUNCTION("""COMPUTED_VALUE"""),5.0)</f>
        <v>5</v>
      </c>
      <c r="G266" s="13">
        <f>IFERROR(__xludf.DUMMYFUNCTION("""COMPUTED_VALUE"""),1.0)</f>
        <v>1</v>
      </c>
      <c r="H266" s="13">
        <f>IFERROR(__xludf.DUMMYFUNCTION("""COMPUTED_VALUE"""),6.0)</f>
        <v>6</v>
      </c>
      <c r="I266" s="13" t="str">
        <f>IFERROR(__xludf.DUMMYFUNCTION("""COMPUTED_VALUE"""),"General")</f>
        <v>General</v>
      </c>
      <c r="J266" s="13" t="str">
        <f>IFERROR(__xludf.DUMMYFUNCTION("""COMPUTED_VALUE"""),"Dresses")</f>
        <v>Dresses</v>
      </c>
      <c r="K266" s="13" t="str">
        <f>IFERROR(__xludf.DUMMYFUNCTION("""COMPUTED_VALUE"""),"Dresses")</f>
        <v>Dresses</v>
      </c>
      <c r="L266" s="13"/>
    </row>
    <row r="267">
      <c r="A267" s="13">
        <f>IFERROR(__xludf.DUMMYFUNCTION("""COMPUTED_VALUE"""),265.0)</f>
        <v>265</v>
      </c>
      <c r="B267" s="13">
        <f>IFERROR(__xludf.DUMMYFUNCTION("""COMPUTED_VALUE"""),878.0)</f>
        <v>878</v>
      </c>
      <c r="C267" s="13">
        <f>IFERROR(__xludf.DUMMYFUNCTION("""COMPUTED_VALUE"""),63.0)</f>
        <v>63</v>
      </c>
      <c r="D267" s="12"/>
      <c r="E267" s="12"/>
      <c r="F267" s="13">
        <f>IFERROR(__xludf.DUMMYFUNCTION("""COMPUTED_VALUE"""),4.0)</f>
        <v>4</v>
      </c>
      <c r="G267" s="13">
        <f>IFERROR(__xludf.DUMMYFUNCTION("""COMPUTED_VALUE"""),1.0)</f>
        <v>1</v>
      </c>
      <c r="H267" s="13">
        <f>IFERROR(__xludf.DUMMYFUNCTION("""COMPUTED_VALUE"""),0.0)</f>
        <v>0</v>
      </c>
      <c r="I267" s="13" t="str">
        <f>IFERROR(__xludf.DUMMYFUNCTION("""COMPUTED_VALUE"""),"General")</f>
        <v>General</v>
      </c>
      <c r="J267" s="13" t="str">
        <f>IFERROR(__xludf.DUMMYFUNCTION("""COMPUTED_VALUE"""),"Tops")</f>
        <v>Tops</v>
      </c>
      <c r="K267" s="13" t="str">
        <f>IFERROR(__xludf.DUMMYFUNCTION("""COMPUTED_VALUE"""),"Knits")</f>
        <v>Knits</v>
      </c>
      <c r="L267" s="13"/>
    </row>
    <row r="268">
      <c r="A268" s="13">
        <f>IFERROR(__xludf.DUMMYFUNCTION("""COMPUTED_VALUE"""),266.0)</f>
        <v>266</v>
      </c>
      <c r="B268" s="13">
        <f>IFERROR(__xludf.DUMMYFUNCTION("""COMPUTED_VALUE"""),1104.0)</f>
        <v>1104</v>
      </c>
      <c r="C268" s="13">
        <f>IFERROR(__xludf.DUMMYFUNCTION("""COMPUTED_VALUE"""),54.0)</f>
        <v>54</v>
      </c>
      <c r="D268" s="12" t="str">
        <f>IFERROR(__xludf.DUMMYFUNCTION("""COMPUTED_VALUE"""),"Perfection.")</f>
        <v>Perfection.</v>
      </c>
      <c r="E268" s="12" t="str">
        <f>IFERROR(__xludf.DUMMYFUNCTION("""COMPUTED_VALUE"""),"This dress is incredible. i saw a sales girl wearing it in my local retailer and loved it! i bought it in the navy color, it's gorgeous in person, very bright, vibrant colors. i am 5'9 34 c bra 27 inch waist and the s was quite big on my waist. i kept it "&amp;"anyway because the xs has been sold out, and got it taken in a bit. i wore it while vacationing in mexico and it definitely turned heads, if you're thinking about buying this dress, do it, you won't regret it!")</f>
        <v>This dress is incredible. i saw a sales girl wearing it in my local retailer and loved it! i bought it in the navy color, it's gorgeous in person, very bright, vibrant colors. i am 5'9 34 c bra 27 inch waist and the s was quite big on my waist. i kept it anyway because the xs has been sold out, and got it taken in a bit. i wore it while vacationing in mexico and it definitely turned heads, if you're thinking about buying this dress, do it, you won't regret it!</v>
      </c>
      <c r="F268" s="13">
        <f>IFERROR(__xludf.DUMMYFUNCTION("""COMPUTED_VALUE"""),5.0)</f>
        <v>5</v>
      </c>
      <c r="G268" s="13">
        <f>IFERROR(__xludf.DUMMYFUNCTION("""COMPUTED_VALUE"""),1.0)</f>
        <v>1</v>
      </c>
      <c r="H268" s="13">
        <f>IFERROR(__xludf.DUMMYFUNCTION("""COMPUTED_VALUE"""),0.0)</f>
        <v>0</v>
      </c>
      <c r="I268" s="13" t="str">
        <f>IFERROR(__xludf.DUMMYFUNCTION("""COMPUTED_VALUE"""),"General")</f>
        <v>General</v>
      </c>
      <c r="J268" s="13" t="str">
        <f>IFERROR(__xludf.DUMMYFUNCTION("""COMPUTED_VALUE"""),"Dresses")</f>
        <v>Dresses</v>
      </c>
      <c r="K268" s="13" t="str">
        <f>IFERROR(__xludf.DUMMYFUNCTION("""COMPUTED_VALUE"""),"Dresses")</f>
        <v>Dresses</v>
      </c>
      <c r="L268" s="13"/>
    </row>
    <row r="269">
      <c r="A269" s="13">
        <f>IFERROR(__xludf.DUMMYFUNCTION("""COMPUTED_VALUE"""),267.0)</f>
        <v>267</v>
      </c>
      <c r="B269" s="13">
        <f>IFERROR(__xludf.DUMMYFUNCTION("""COMPUTED_VALUE"""),984.0)</f>
        <v>984</v>
      </c>
      <c r="C269" s="13">
        <f>IFERROR(__xludf.DUMMYFUNCTION("""COMPUTED_VALUE"""),28.0)</f>
        <v>28</v>
      </c>
      <c r="D269" s="12" t="str">
        <f>IFERROR(__xludf.DUMMYFUNCTION("""COMPUTED_VALUE"""),"Nice quality but too short for my tall frame")</f>
        <v>Nice quality but too short for my tall frame</v>
      </c>
      <c r="E269" s="12" t="str">
        <f>IFERROR(__xludf.DUMMYFUNCTION("""COMPUTED_VALUE"""),"Love the look and quality of this jacket. i&amp;amp;#39;d say it fits true to size but it is way too short for me (i&amp;amp;#39;m just under 6&amp;amp;#39; tall). wish these came in tall sizes!")</f>
        <v>Love the look and quality of this jacket. i&amp;amp;#39;d say it fits true to size but it is way too short for me (i&amp;amp;#39;m just under 6&amp;amp;#39; tall). wish these came in tall sizes!</v>
      </c>
      <c r="F269" s="13">
        <f>IFERROR(__xludf.DUMMYFUNCTION("""COMPUTED_VALUE"""),4.0)</f>
        <v>4</v>
      </c>
      <c r="G269" s="13">
        <f>IFERROR(__xludf.DUMMYFUNCTION("""COMPUTED_VALUE"""),1.0)</f>
        <v>1</v>
      </c>
      <c r="H269" s="13">
        <f>IFERROR(__xludf.DUMMYFUNCTION("""COMPUTED_VALUE"""),0.0)</f>
        <v>0</v>
      </c>
      <c r="I269" s="13" t="str">
        <f>IFERROR(__xludf.DUMMYFUNCTION("""COMPUTED_VALUE"""),"General Petite")</f>
        <v>General Petite</v>
      </c>
      <c r="J269" s="13" t="str">
        <f>IFERROR(__xludf.DUMMYFUNCTION("""COMPUTED_VALUE"""),"Jackets")</f>
        <v>Jackets</v>
      </c>
      <c r="K269" s="13" t="str">
        <f>IFERROR(__xludf.DUMMYFUNCTION("""COMPUTED_VALUE"""),"Jackets")</f>
        <v>Jackets</v>
      </c>
      <c r="L269" s="13"/>
    </row>
    <row r="270">
      <c r="A270" s="13">
        <f>IFERROR(__xludf.DUMMYFUNCTION("""COMPUTED_VALUE"""),268.0)</f>
        <v>268</v>
      </c>
      <c r="B270" s="13">
        <f>IFERROR(__xludf.DUMMYFUNCTION("""COMPUTED_VALUE"""),866.0)</f>
        <v>866</v>
      </c>
      <c r="C270" s="13">
        <f>IFERROR(__xludf.DUMMYFUNCTION("""COMPUTED_VALUE"""),26.0)</f>
        <v>26</v>
      </c>
      <c r="D270" s="12" t="str">
        <f>IFERROR(__xludf.DUMMYFUNCTION("""COMPUTED_VALUE"""),"Cute top, but back is more of a jersey material")</f>
        <v>Cute top, but back is more of a jersey material</v>
      </c>
      <c r="E270" s="12" t="str">
        <f>IFERROR(__xludf.DUMMYFUNCTION("""COMPUTED_VALUE"""),"I really love the front of this shirt. however, the back of the shirt is more of a jersey material so it doesn't seem to match the front of the shirt. i still wear it and it looks cute, but it threw me off a bit at first.")</f>
        <v>I really love the front of this shirt. however, the back of the shirt is more of a jersey material so it doesn't seem to match the front of the shirt. i still wear it and it looks cute, but it threw me off a bit at first.</v>
      </c>
      <c r="F270" s="13">
        <f>IFERROR(__xludf.DUMMYFUNCTION("""COMPUTED_VALUE"""),4.0)</f>
        <v>4</v>
      </c>
      <c r="G270" s="13">
        <f>IFERROR(__xludf.DUMMYFUNCTION("""COMPUTED_VALUE"""),1.0)</f>
        <v>1</v>
      </c>
      <c r="H270" s="13">
        <f>IFERROR(__xludf.DUMMYFUNCTION("""COMPUTED_VALUE"""),0.0)</f>
        <v>0</v>
      </c>
      <c r="I270" s="13" t="str">
        <f>IFERROR(__xludf.DUMMYFUNCTION("""COMPUTED_VALUE"""),"General")</f>
        <v>General</v>
      </c>
      <c r="J270" s="13" t="str">
        <f>IFERROR(__xludf.DUMMYFUNCTION("""COMPUTED_VALUE"""),"Tops")</f>
        <v>Tops</v>
      </c>
      <c r="K270" s="13" t="str">
        <f>IFERROR(__xludf.DUMMYFUNCTION("""COMPUTED_VALUE"""),"Knits")</f>
        <v>Knits</v>
      </c>
      <c r="L270" s="13"/>
    </row>
    <row r="271">
      <c r="A271" s="13">
        <f>IFERROR(__xludf.DUMMYFUNCTION("""COMPUTED_VALUE"""),269.0)</f>
        <v>269</v>
      </c>
      <c r="B271" s="13">
        <f>IFERROR(__xludf.DUMMYFUNCTION("""COMPUTED_VALUE"""),1104.0)</f>
        <v>1104</v>
      </c>
      <c r="C271" s="13">
        <f>IFERROR(__xludf.DUMMYFUNCTION("""COMPUTED_VALUE"""),29.0)</f>
        <v>29</v>
      </c>
      <c r="D271" s="12"/>
      <c r="E271" s="12" t="str">
        <f>IFERROR(__xludf.DUMMYFUNCTION("""COMPUTED_VALUE"""),"Absolutely love this dress! fits true to size and makes anyone look fabulous")</f>
        <v>Absolutely love this dress! fits true to size and makes anyone look fabulous</v>
      </c>
      <c r="F271" s="13">
        <f>IFERROR(__xludf.DUMMYFUNCTION("""COMPUTED_VALUE"""),5.0)</f>
        <v>5</v>
      </c>
      <c r="G271" s="13">
        <f>IFERROR(__xludf.DUMMYFUNCTION("""COMPUTED_VALUE"""),1.0)</f>
        <v>1</v>
      </c>
      <c r="H271" s="13">
        <f>IFERROR(__xludf.DUMMYFUNCTION("""COMPUTED_VALUE"""),0.0)</f>
        <v>0</v>
      </c>
      <c r="I271" s="13" t="str">
        <f>IFERROR(__xludf.DUMMYFUNCTION("""COMPUTED_VALUE"""),"General")</f>
        <v>General</v>
      </c>
      <c r="J271" s="13" t="str">
        <f>IFERROR(__xludf.DUMMYFUNCTION("""COMPUTED_VALUE"""),"Dresses")</f>
        <v>Dresses</v>
      </c>
      <c r="K271" s="13" t="str">
        <f>IFERROR(__xludf.DUMMYFUNCTION("""COMPUTED_VALUE"""),"Dresses")</f>
        <v>Dresses</v>
      </c>
      <c r="L271" s="13"/>
    </row>
    <row r="272">
      <c r="A272" s="13">
        <f>IFERROR(__xludf.DUMMYFUNCTION("""COMPUTED_VALUE"""),270.0)</f>
        <v>270</v>
      </c>
      <c r="B272" s="13">
        <f>IFERROR(__xludf.DUMMYFUNCTION("""COMPUTED_VALUE"""),868.0)</f>
        <v>868</v>
      </c>
      <c r="C272" s="13">
        <f>IFERROR(__xludf.DUMMYFUNCTION("""COMPUTED_VALUE"""),61.0)</f>
        <v>61</v>
      </c>
      <c r="D272" s="12" t="str">
        <f>IFERROR(__xludf.DUMMYFUNCTION("""COMPUTED_VALUE"""),"Nice color")</f>
        <v>Nice color</v>
      </c>
      <c r="E272" s="12" t="str">
        <f>IFERROR(__xludf.DUMMYFUNCTION("""COMPUTED_VALUE"""),"I liked the color of this top but i didn't really like the ruffled stitching around the middle. it looks like someone just tacked on the bottom half. i bought this for my daughter and she likes it. i think it is comfortable and a good top to knock around "&amp;"in.")</f>
        <v>I liked the color of this top but i didn't really like the ruffled stitching around the middle. it looks like someone just tacked on the bottom half. i bought this for my daughter and she likes it. i think it is comfortable and a good top to knock around in.</v>
      </c>
      <c r="F272" s="13">
        <f>IFERROR(__xludf.DUMMYFUNCTION("""COMPUTED_VALUE"""),3.0)</f>
        <v>3</v>
      </c>
      <c r="G272" s="13">
        <f>IFERROR(__xludf.DUMMYFUNCTION("""COMPUTED_VALUE"""),1.0)</f>
        <v>1</v>
      </c>
      <c r="H272" s="13">
        <f>IFERROR(__xludf.DUMMYFUNCTION("""COMPUTED_VALUE"""),0.0)</f>
        <v>0</v>
      </c>
      <c r="I272" s="13" t="str">
        <f>IFERROR(__xludf.DUMMYFUNCTION("""COMPUTED_VALUE"""),"General")</f>
        <v>General</v>
      </c>
      <c r="J272" s="13" t="str">
        <f>IFERROR(__xludf.DUMMYFUNCTION("""COMPUTED_VALUE"""),"Tops")</f>
        <v>Tops</v>
      </c>
      <c r="K272" s="13" t="str">
        <f>IFERROR(__xludf.DUMMYFUNCTION("""COMPUTED_VALUE"""),"Knits")</f>
        <v>Knits</v>
      </c>
      <c r="L272" s="13"/>
    </row>
    <row r="273">
      <c r="A273" s="13">
        <f>IFERROR(__xludf.DUMMYFUNCTION("""COMPUTED_VALUE"""),271.0)</f>
        <v>271</v>
      </c>
      <c r="B273" s="13">
        <f>IFERROR(__xludf.DUMMYFUNCTION("""COMPUTED_VALUE"""),984.0)</f>
        <v>984</v>
      </c>
      <c r="C273" s="13">
        <f>IFERROR(__xludf.DUMMYFUNCTION("""COMPUTED_VALUE"""),45.0)</f>
        <v>45</v>
      </c>
      <c r="D273" s="12" t="str">
        <f>IFERROR(__xludf.DUMMYFUNCTION("""COMPUTED_VALUE"""),"Perfect jean jacket")</f>
        <v>Perfect jean jacket</v>
      </c>
      <c r="E273" s="12" t="str">
        <f>IFERROR(__xludf.DUMMYFUNCTION("""COMPUTED_VALUE"""),"Per other reviewers, i sized up from a small to a medium and the jacket fits me just right with room for layers. it is short (cropped), but i like where it hits me and is versatile for jeans and dresses.")</f>
        <v>Per other reviewers, i sized up from a small to a medium and the jacket fits me just right with room for layers. it is short (cropped), but i like where it hits me and is versatile for jeans and dresses.</v>
      </c>
      <c r="F273" s="13">
        <f>IFERROR(__xludf.DUMMYFUNCTION("""COMPUTED_VALUE"""),5.0)</f>
        <v>5</v>
      </c>
      <c r="G273" s="13">
        <f>IFERROR(__xludf.DUMMYFUNCTION("""COMPUTED_VALUE"""),1.0)</f>
        <v>1</v>
      </c>
      <c r="H273" s="13">
        <f>IFERROR(__xludf.DUMMYFUNCTION("""COMPUTED_VALUE"""),1.0)</f>
        <v>1</v>
      </c>
      <c r="I273" s="13" t="str">
        <f>IFERROR(__xludf.DUMMYFUNCTION("""COMPUTED_VALUE"""),"General Petite")</f>
        <v>General Petite</v>
      </c>
      <c r="J273" s="13" t="str">
        <f>IFERROR(__xludf.DUMMYFUNCTION("""COMPUTED_VALUE"""),"Jackets")</f>
        <v>Jackets</v>
      </c>
      <c r="K273" s="13" t="str">
        <f>IFERROR(__xludf.DUMMYFUNCTION("""COMPUTED_VALUE"""),"Jackets")</f>
        <v>Jackets</v>
      </c>
      <c r="L273" s="13"/>
    </row>
    <row r="274">
      <c r="A274" s="13">
        <f>IFERROR(__xludf.DUMMYFUNCTION("""COMPUTED_VALUE"""),272.0)</f>
        <v>272</v>
      </c>
      <c r="B274" s="13">
        <f>IFERROR(__xludf.DUMMYFUNCTION("""COMPUTED_VALUE"""),984.0)</f>
        <v>984</v>
      </c>
      <c r="C274" s="13">
        <f>IFERROR(__xludf.DUMMYFUNCTION("""COMPUTED_VALUE"""),39.0)</f>
        <v>39</v>
      </c>
      <c r="D274" s="12" t="str">
        <f>IFERROR(__xludf.DUMMYFUNCTION("""COMPUTED_VALUE"""),"Great asset")</f>
        <v>Great asset</v>
      </c>
      <c r="E274" s="12" t="str">
        <f>IFERROR(__xludf.DUMMYFUNCTION("""COMPUTED_VALUE"""),"I have alst year's version,a dn they are essentially the smae, minus some leather parts removed... this jacket is great, the back si a little shorter, so it goes so well with peplum tops an ddresses with higher waists (without looking bigger from the back"&amp;" when the hem is longer and hits where the skirt aprts bulge out). i love hte darker color, i wish it came is super dark rinse...
i usually buy petites, but i never tired on the eptite in this jacket... i am holding myself back to order this on")</f>
        <v>I have alst year's version,a dn they are essentially the smae, minus some leather parts removed... this jacket is great, the back si a little shorter, so it goes so well with peplum tops an ddresses with higher waists (without looking bigger from the back when the hem is longer and hits where the skirt aprts bulge out). i love hte darker color, i wish it came is super dark rinse...
i usually buy petites, but i never tired on the eptite in this jacket... i am holding myself back to order this on</v>
      </c>
      <c r="F274" s="13">
        <f>IFERROR(__xludf.DUMMYFUNCTION("""COMPUTED_VALUE"""),5.0)</f>
        <v>5</v>
      </c>
      <c r="G274" s="13">
        <f>IFERROR(__xludf.DUMMYFUNCTION("""COMPUTED_VALUE"""),1.0)</f>
        <v>1</v>
      </c>
      <c r="H274" s="13">
        <f>IFERROR(__xludf.DUMMYFUNCTION("""COMPUTED_VALUE"""),7.0)</f>
        <v>7</v>
      </c>
      <c r="I274" s="13" t="str">
        <f>IFERROR(__xludf.DUMMYFUNCTION("""COMPUTED_VALUE"""),"General Petite")</f>
        <v>General Petite</v>
      </c>
      <c r="J274" s="13" t="str">
        <f>IFERROR(__xludf.DUMMYFUNCTION("""COMPUTED_VALUE"""),"Jackets")</f>
        <v>Jackets</v>
      </c>
      <c r="K274" s="13" t="str">
        <f>IFERROR(__xludf.DUMMYFUNCTION("""COMPUTED_VALUE"""),"Jackets")</f>
        <v>Jackets</v>
      </c>
      <c r="L274" s="13"/>
    </row>
    <row r="275">
      <c r="A275" s="13">
        <f>IFERROR(__xludf.DUMMYFUNCTION("""COMPUTED_VALUE"""),273.0)</f>
        <v>273</v>
      </c>
      <c r="B275" s="13">
        <f>IFERROR(__xludf.DUMMYFUNCTION("""COMPUTED_VALUE"""),1104.0)</f>
        <v>1104</v>
      </c>
      <c r="C275" s="13">
        <f>IFERROR(__xludf.DUMMYFUNCTION("""COMPUTED_VALUE"""),36.0)</f>
        <v>36</v>
      </c>
      <c r="D275" s="12" t="str">
        <f>IFERROR(__xludf.DUMMYFUNCTION("""COMPUTED_VALUE"""),"Gorgeous")</f>
        <v>Gorgeous</v>
      </c>
      <c r="E275" s="12" t="str">
        <f>IFERROR(__xludf.DUMMYFUNCTION("""COMPUTED_VALUE"""),"Bought both colors in xs and soooooo glad i did. this dress is absolutely gorgeous in either color... will have (do to the nice quality) and wear (very stylish) for a loooooong time.
a must have for the summer!!!!!!")</f>
        <v>Bought both colors in xs and soooooo glad i did. this dress is absolutely gorgeous in either color... will have (do to the nice quality) and wear (very stylish) for a loooooong time.
a must have for the summer!!!!!!</v>
      </c>
      <c r="F275" s="13">
        <f>IFERROR(__xludf.DUMMYFUNCTION("""COMPUTED_VALUE"""),5.0)</f>
        <v>5</v>
      </c>
      <c r="G275" s="13">
        <f>IFERROR(__xludf.DUMMYFUNCTION("""COMPUTED_VALUE"""),1.0)</f>
        <v>1</v>
      </c>
      <c r="H275" s="13">
        <f>IFERROR(__xludf.DUMMYFUNCTION("""COMPUTED_VALUE"""),0.0)</f>
        <v>0</v>
      </c>
      <c r="I275" s="13" t="str">
        <f>IFERROR(__xludf.DUMMYFUNCTION("""COMPUTED_VALUE"""),"General")</f>
        <v>General</v>
      </c>
      <c r="J275" s="13" t="str">
        <f>IFERROR(__xludf.DUMMYFUNCTION("""COMPUTED_VALUE"""),"Dresses")</f>
        <v>Dresses</v>
      </c>
      <c r="K275" s="13" t="str">
        <f>IFERROR(__xludf.DUMMYFUNCTION("""COMPUTED_VALUE"""),"Dresses")</f>
        <v>Dresses</v>
      </c>
      <c r="L275" s="13"/>
    </row>
    <row r="276">
      <c r="A276" s="13">
        <f>IFERROR(__xludf.DUMMYFUNCTION("""COMPUTED_VALUE"""),274.0)</f>
        <v>274</v>
      </c>
      <c r="B276" s="13">
        <f>IFERROR(__xludf.DUMMYFUNCTION("""COMPUTED_VALUE"""),878.0)</f>
        <v>878</v>
      </c>
      <c r="C276" s="13">
        <f>IFERROR(__xludf.DUMMYFUNCTION("""COMPUTED_VALUE"""),41.0)</f>
        <v>41</v>
      </c>
      <c r="D276" s="12" t="str">
        <f>IFERROR(__xludf.DUMMYFUNCTION("""COMPUTED_VALUE"""),"Comfy and fun!")</f>
        <v>Comfy and fun!</v>
      </c>
      <c r="E276" s="12" t="str">
        <f>IFERROR(__xludf.DUMMYFUNCTION("""COMPUTED_VALUE"""),"Comfy sweatshirt with fun polka dot details. soft and not baggy. a little on the shorter side so i think i will layer a lace cami underneath and it will look even prettier. i'm 5'7"", 140 pounds with an athletic, hourglass shape, 32dd. i bought the ""2"" "&amp;"which equates to a medium since i wanted it a little looser being a sweatshirt (i'm normally an retailer small but i don't think that would have worked in this case as it would have been too fitted). great comfy weekend piece!")</f>
        <v>Comfy sweatshirt with fun polka dot details. soft and not baggy. a little on the shorter side so i think i will layer a lace cami underneath and it will look even prettier. i'm 5'7", 140 pounds with an athletic, hourglass shape, 32dd. i bought the "2" which equates to a medium since i wanted it a little looser being a sweatshirt (i'm normally an retailer small but i don't think that would have worked in this case as it would have been too fitted). great comfy weekend piece!</v>
      </c>
      <c r="F276" s="13">
        <f>IFERROR(__xludf.DUMMYFUNCTION("""COMPUTED_VALUE"""),5.0)</f>
        <v>5</v>
      </c>
      <c r="G276" s="13">
        <f>IFERROR(__xludf.DUMMYFUNCTION("""COMPUTED_VALUE"""),1.0)</f>
        <v>1</v>
      </c>
      <c r="H276" s="13">
        <f>IFERROR(__xludf.DUMMYFUNCTION("""COMPUTED_VALUE"""),11.0)</f>
        <v>11</v>
      </c>
      <c r="I276" s="13" t="str">
        <f>IFERROR(__xludf.DUMMYFUNCTION("""COMPUTED_VALUE"""),"General")</f>
        <v>General</v>
      </c>
      <c r="J276" s="13" t="str">
        <f>IFERROR(__xludf.DUMMYFUNCTION("""COMPUTED_VALUE"""),"Tops")</f>
        <v>Tops</v>
      </c>
      <c r="K276" s="13" t="str">
        <f>IFERROR(__xludf.DUMMYFUNCTION("""COMPUTED_VALUE"""),"Knits")</f>
        <v>Knits</v>
      </c>
      <c r="L276" s="13"/>
    </row>
    <row r="277">
      <c r="A277" s="13">
        <f>IFERROR(__xludf.DUMMYFUNCTION("""COMPUTED_VALUE"""),275.0)</f>
        <v>275</v>
      </c>
      <c r="B277" s="13">
        <f>IFERROR(__xludf.DUMMYFUNCTION("""COMPUTED_VALUE"""),1182.0)</f>
        <v>1182</v>
      </c>
      <c r="C277" s="13">
        <f>IFERROR(__xludf.DUMMYFUNCTION("""COMPUTED_VALUE"""),37.0)</f>
        <v>37</v>
      </c>
      <c r="D277" s="12" t="str">
        <f>IFERROR(__xludf.DUMMYFUNCTION("""COMPUTED_VALUE"""),"Great tee")</f>
        <v>Great tee</v>
      </c>
      <c r="E277" s="12" t="str">
        <f>IFERROR(__xludf.DUMMYFUNCTION("""COMPUTED_VALUE"""),"I could wear this every day, it is stylish and comfortable")</f>
        <v>I could wear this every day, it is stylish and comfortable</v>
      </c>
      <c r="F277" s="13">
        <f>IFERROR(__xludf.DUMMYFUNCTION("""COMPUTED_VALUE"""),5.0)</f>
        <v>5</v>
      </c>
      <c r="G277" s="13">
        <f>IFERROR(__xludf.DUMMYFUNCTION("""COMPUTED_VALUE"""),1.0)</f>
        <v>1</v>
      </c>
      <c r="H277" s="13">
        <f>IFERROR(__xludf.DUMMYFUNCTION("""COMPUTED_VALUE"""),0.0)</f>
        <v>0</v>
      </c>
      <c r="I277" s="13" t="str">
        <f>IFERROR(__xludf.DUMMYFUNCTION("""COMPUTED_VALUE"""),"General Petite")</f>
        <v>General Petite</v>
      </c>
      <c r="J277" s="13" t="str">
        <f>IFERROR(__xludf.DUMMYFUNCTION("""COMPUTED_VALUE"""),"Tops")</f>
        <v>Tops</v>
      </c>
      <c r="K277" s="13" t="str">
        <f>IFERROR(__xludf.DUMMYFUNCTION("""COMPUTED_VALUE"""),"Knits")</f>
        <v>Knits</v>
      </c>
      <c r="L277" s="13"/>
    </row>
    <row r="278">
      <c r="A278" s="13">
        <f>IFERROR(__xludf.DUMMYFUNCTION("""COMPUTED_VALUE"""),276.0)</f>
        <v>276</v>
      </c>
      <c r="B278" s="13">
        <f>IFERROR(__xludf.DUMMYFUNCTION("""COMPUTED_VALUE"""),868.0)</f>
        <v>868</v>
      </c>
      <c r="C278" s="13">
        <f>IFERROR(__xludf.DUMMYFUNCTION("""COMPUTED_VALUE"""),55.0)</f>
        <v>55</v>
      </c>
      <c r="D278" s="12" t="str">
        <f>IFERROR(__xludf.DUMMYFUNCTION("""COMPUTED_VALUE"""),"Pretty and feminine")</f>
        <v>Pretty and feminine</v>
      </c>
      <c r="E278" s="12" t="str">
        <f>IFERROR(__xludf.DUMMYFUNCTION("""COMPUTED_VALUE"""),"Pretty top. love the color and the large ruffle. makes it great for layering or with a pretty necklace.")</f>
        <v>Pretty top. love the color and the large ruffle. makes it great for layering or with a pretty necklace.</v>
      </c>
      <c r="F278" s="13">
        <f>IFERROR(__xludf.DUMMYFUNCTION("""COMPUTED_VALUE"""),5.0)</f>
        <v>5</v>
      </c>
      <c r="G278" s="13">
        <f>IFERROR(__xludf.DUMMYFUNCTION("""COMPUTED_VALUE"""),1.0)</f>
        <v>1</v>
      </c>
      <c r="H278" s="13">
        <f>IFERROR(__xludf.DUMMYFUNCTION("""COMPUTED_VALUE"""),0.0)</f>
        <v>0</v>
      </c>
      <c r="I278" s="13" t="str">
        <f>IFERROR(__xludf.DUMMYFUNCTION("""COMPUTED_VALUE"""),"General")</f>
        <v>General</v>
      </c>
      <c r="J278" s="13" t="str">
        <f>IFERROR(__xludf.DUMMYFUNCTION("""COMPUTED_VALUE"""),"Tops")</f>
        <v>Tops</v>
      </c>
      <c r="K278" s="13" t="str">
        <f>IFERROR(__xludf.DUMMYFUNCTION("""COMPUTED_VALUE"""),"Knits")</f>
        <v>Knits</v>
      </c>
      <c r="L278" s="13"/>
    </row>
    <row r="279">
      <c r="A279" s="13">
        <f>IFERROR(__xludf.DUMMYFUNCTION("""COMPUTED_VALUE"""),277.0)</f>
        <v>277</v>
      </c>
      <c r="B279" s="13">
        <f>IFERROR(__xludf.DUMMYFUNCTION("""COMPUTED_VALUE"""),868.0)</f>
        <v>868</v>
      </c>
      <c r="C279" s="13">
        <f>IFERROR(__xludf.DUMMYFUNCTION("""COMPUTED_VALUE"""),83.0)</f>
        <v>83</v>
      </c>
      <c r="D279" s="12" t="str">
        <f>IFERROR(__xludf.DUMMYFUNCTION("""COMPUTED_VALUE"""),"Sooooooooo cute!")</f>
        <v>Sooooooooo cute!</v>
      </c>
      <c r="E279" s="12" t="str">
        <f>IFERROR(__xludf.DUMMYFUNCTION("""COMPUTED_VALUE"""),"Love this top!
it is a full/ swing top, but the slightly shorter length balances out the fullness perfectly.
i have been wearing it with a contrasting fitted cami and get tons of compliments.
love both colors, and having fun wearing them.
and after one wa"&amp;"shing the fullness is softer and looks like the pic.
runs true to size and in the arms slightly tight, so i went with my usual med and fits perfect.
if you have issues with sleeve size would recommend going up a size, otherwise very true to size")</f>
        <v>Love this top!
it is a full/ swing top, but the slightly shorter length balances out the fullness perfectly.
i have been wearing it with a contrasting fitted cami and get tons of compliments.
love both colors, and having fun wearing them.
and after one washing the fullness is softer and looks like the pic.
runs true to size and in the arms slightly tight, so i went with my usual med and fits perfect.
if you have issues with sleeve size would recommend going up a size, otherwise very true to size</v>
      </c>
      <c r="F279" s="13">
        <f>IFERROR(__xludf.DUMMYFUNCTION("""COMPUTED_VALUE"""),5.0)</f>
        <v>5</v>
      </c>
      <c r="G279" s="13">
        <f>IFERROR(__xludf.DUMMYFUNCTION("""COMPUTED_VALUE"""),1.0)</f>
        <v>1</v>
      </c>
      <c r="H279" s="13">
        <f>IFERROR(__xludf.DUMMYFUNCTION("""COMPUTED_VALUE"""),1.0)</f>
        <v>1</v>
      </c>
      <c r="I279" s="13" t="str">
        <f>IFERROR(__xludf.DUMMYFUNCTION("""COMPUTED_VALUE"""),"General")</f>
        <v>General</v>
      </c>
      <c r="J279" s="13" t="str">
        <f>IFERROR(__xludf.DUMMYFUNCTION("""COMPUTED_VALUE"""),"Tops")</f>
        <v>Tops</v>
      </c>
      <c r="K279" s="13" t="str">
        <f>IFERROR(__xludf.DUMMYFUNCTION("""COMPUTED_VALUE"""),"Knits")</f>
        <v>Knits</v>
      </c>
      <c r="L279" s="13"/>
    </row>
    <row r="280">
      <c r="A280" s="13">
        <f>IFERROR(__xludf.DUMMYFUNCTION("""COMPUTED_VALUE"""),278.0)</f>
        <v>278</v>
      </c>
      <c r="B280" s="13">
        <f>IFERROR(__xludf.DUMMYFUNCTION("""COMPUTED_VALUE"""),868.0)</f>
        <v>868</v>
      </c>
      <c r="C280" s="13">
        <f>IFERROR(__xludf.DUMMYFUNCTION("""COMPUTED_VALUE"""),35.0)</f>
        <v>35</v>
      </c>
      <c r="D280" s="12" t="str">
        <f>IFERROR(__xludf.DUMMYFUNCTION("""COMPUTED_VALUE"""),"Peplum hem tee")</f>
        <v>Peplum hem tee</v>
      </c>
      <c r="E280" s="12" t="str">
        <f>IFERROR(__xludf.DUMMYFUNCTION("""COMPUTED_VALUE"""),"The styling of this top is really cute. it fits perfectly on the shoulders and gets bigger at the hem for the baby doll look. my biggest complaint is the quality! it's really cheap and feels like the quality i would expect to see at a cheap retailer. it c"&amp;"atches lint like crazy and because the hem is just a pearl edge, it curls really badly. i buy quite a bit from here and this is the worst quality item i have seen in a long time. not worth the $$ if paying full price.")</f>
        <v>The styling of this top is really cute. it fits perfectly on the shoulders and gets bigger at the hem for the baby doll look. my biggest complaint is the quality! it's really cheap and feels like the quality i would expect to see at a cheap retailer. it catches lint like crazy and because the hem is just a pearl edge, it curls really badly. i buy quite a bit from here and this is the worst quality item i have seen in a long time. not worth the $$ if paying full price.</v>
      </c>
      <c r="F280" s="13">
        <f>IFERROR(__xludf.DUMMYFUNCTION("""COMPUTED_VALUE"""),3.0)</f>
        <v>3</v>
      </c>
      <c r="G280" s="13">
        <f>IFERROR(__xludf.DUMMYFUNCTION("""COMPUTED_VALUE"""),1.0)</f>
        <v>1</v>
      </c>
      <c r="H280" s="13">
        <f>IFERROR(__xludf.DUMMYFUNCTION("""COMPUTED_VALUE"""),2.0)</f>
        <v>2</v>
      </c>
      <c r="I280" s="13" t="str">
        <f>IFERROR(__xludf.DUMMYFUNCTION("""COMPUTED_VALUE"""),"General")</f>
        <v>General</v>
      </c>
      <c r="J280" s="13" t="str">
        <f>IFERROR(__xludf.DUMMYFUNCTION("""COMPUTED_VALUE"""),"Tops")</f>
        <v>Tops</v>
      </c>
      <c r="K280" s="13" t="str">
        <f>IFERROR(__xludf.DUMMYFUNCTION("""COMPUTED_VALUE"""),"Knits")</f>
        <v>Knits</v>
      </c>
      <c r="L280" s="13"/>
    </row>
    <row r="281">
      <c r="A281" s="13">
        <f>IFERROR(__xludf.DUMMYFUNCTION("""COMPUTED_VALUE"""),279.0)</f>
        <v>279</v>
      </c>
      <c r="B281" s="13">
        <f>IFERROR(__xludf.DUMMYFUNCTION("""COMPUTED_VALUE"""),565.0)</f>
        <v>565</v>
      </c>
      <c r="C281" s="13">
        <f>IFERROR(__xludf.DUMMYFUNCTION("""COMPUTED_VALUE"""),38.0)</f>
        <v>38</v>
      </c>
      <c r="D281" s="12"/>
      <c r="E281" s="12" t="str">
        <f>IFERROR(__xludf.DUMMYFUNCTION("""COMPUTED_VALUE"""),"Love, love, love this dress. it is very slimming. it hugs you without really touching you. leaving the tie and a few buttons open gives it more of a casual feel.")</f>
        <v>Love, love, love this dress. it is very slimming. it hugs you without really touching you. leaving the tie and a few buttons open gives it more of a casual feel.</v>
      </c>
      <c r="F281" s="13">
        <f>IFERROR(__xludf.DUMMYFUNCTION("""COMPUTED_VALUE"""),5.0)</f>
        <v>5</v>
      </c>
      <c r="G281" s="13">
        <f>IFERROR(__xludf.DUMMYFUNCTION("""COMPUTED_VALUE"""),1.0)</f>
        <v>1</v>
      </c>
      <c r="H281" s="13">
        <f>IFERROR(__xludf.DUMMYFUNCTION("""COMPUTED_VALUE"""),3.0)</f>
        <v>3</v>
      </c>
      <c r="I281" s="13" t="str">
        <f>IFERROR(__xludf.DUMMYFUNCTION("""COMPUTED_VALUE"""),"General Petite")</f>
        <v>General Petite</v>
      </c>
      <c r="J281" s="13" t="str">
        <f>IFERROR(__xludf.DUMMYFUNCTION("""COMPUTED_VALUE"""),"Trend")</f>
        <v>Trend</v>
      </c>
      <c r="K281" s="13" t="str">
        <f>IFERROR(__xludf.DUMMYFUNCTION("""COMPUTED_VALUE"""),"Trend")</f>
        <v>Trend</v>
      </c>
      <c r="L281" s="13"/>
    </row>
    <row r="282">
      <c r="A282" s="13">
        <f>IFERROR(__xludf.DUMMYFUNCTION("""COMPUTED_VALUE"""),280.0)</f>
        <v>280</v>
      </c>
      <c r="B282" s="13">
        <f>IFERROR(__xludf.DUMMYFUNCTION("""COMPUTED_VALUE"""),984.0)</f>
        <v>984</v>
      </c>
      <c r="C282" s="13">
        <f>IFERROR(__xludf.DUMMYFUNCTION("""COMPUTED_VALUE"""),35.0)</f>
        <v>35</v>
      </c>
      <c r="D282" s="12" t="str">
        <f>IFERROR(__xludf.DUMMYFUNCTION("""COMPUTED_VALUE"""),"So comfortable and chic")</f>
        <v>So comfortable and chic</v>
      </c>
      <c r="E282" s="12" t="str">
        <f>IFERROR(__xludf.DUMMYFUNCTION("""COMPUTED_VALUE"""),"I'm 5'3 130# with a 32dd bust. i usually wear small in retailer/ cloth and stone/ running horses. the small fit me fine, but with no room for layers underneath. the small was very snug. would be perfect for california evenings. but, i live in the north ea"&amp;"st! the medium still has a great shape on me, still fitted at the waist (27inches), but enough room to wear a light sweater or flannel under. the medium still also looks great over my maxi dress.")</f>
        <v>I'm 5'3 130# with a 32dd bust. i usually wear small in retailer/ cloth and stone/ running horses. the small fit me fine, but with no room for layers underneath. the small was very snug. would be perfect for california evenings. but, i live in the north east! the medium still has a great shape on me, still fitted at the waist (27inches), but enough room to wear a light sweater or flannel under. the medium still also looks great over my maxi dress.</v>
      </c>
      <c r="F282" s="13">
        <f>IFERROR(__xludf.DUMMYFUNCTION("""COMPUTED_VALUE"""),5.0)</f>
        <v>5</v>
      </c>
      <c r="G282" s="13">
        <f>IFERROR(__xludf.DUMMYFUNCTION("""COMPUTED_VALUE"""),1.0)</f>
        <v>1</v>
      </c>
      <c r="H282" s="13">
        <f>IFERROR(__xludf.DUMMYFUNCTION("""COMPUTED_VALUE"""),0.0)</f>
        <v>0</v>
      </c>
      <c r="I282" s="13" t="str">
        <f>IFERROR(__xludf.DUMMYFUNCTION("""COMPUTED_VALUE"""),"General Petite")</f>
        <v>General Petite</v>
      </c>
      <c r="J282" s="13" t="str">
        <f>IFERROR(__xludf.DUMMYFUNCTION("""COMPUTED_VALUE"""),"Jackets")</f>
        <v>Jackets</v>
      </c>
      <c r="K282" s="13" t="str">
        <f>IFERROR(__xludf.DUMMYFUNCTION("""COMPUTED_VALUE"""),"Jackets")</f>
        <v>Jackets</v>
      </c>
      <c r="L282" s="13"/>
    </row>
    <row r="283">
      <c r="A283" s="13">
        <f>IFERROR(__xludf.DUMMYFUNCTION("""COMPUTED_VALUE"""),281.0)</f>
        <v>281</v>
      </c>
      <c r="B283" s="13">
        <f>IFERROR(__xludf.DUMMYFUNCTION("""COMPUTED_VALUE"""),1104.0)</f>
        <v>1104</v>
      </c>
      <c r="C283" s="13">
        <f>IFERROR(__xludf.DUMMYFUNCTION("""COMPUTED_VALUE"""),45.0)</f>
        <v>45</v>
      </c>
      <c r="D283" s="12"/>
      <c r="E283" s="12" t="str">
        <f>IFERROR(__xludf.DUMMYFUNCTION("""COMPUTED_VALUE"""),"This dress is gorgeous!!! i love it! i bought it to wear to a july wedding. i got the navy and it is so fresh and crisp in color. the sizing is on spot! i slipped it on and it was comfortable, easy and stylish. i am 5'7"" and typically xs. it falls exactl"&amp;"y as portrayed in the online photos. it is lined in the skirt and the top is stretch jersey in the best weight! i am in love!")</f>
        <v>This dress is gorgeous!!! i love it! i bought it to wear to a july wedding. i got the navy and it is so fresh and crisp in color. the sizing is on spot! i slipped it on and it was comfortable, easy and stylish. i am 5'7" and typically xs. it falls exactly as portrayed in the online photos. it is lined in the skirt and the top is stretch jersey in the best weight! i am in love!</v>
      </c>
      <c r="F283" s="13">
        <f>IFERROR(__xludf.DUMMYFUNCTION("""COMPUTED_VALUE"""),5.0)</f>
        <v>5</v>
      </c>
      <c r="G283" s="13">
        <f>IFERROR(__xludf.DUMMYFUNCTION("""COMPUTED_VALUE"""),1.0)</f>
        <v>1</v>
      </c>
      <c r="H283" s="13">
        <f>IFERROR(__xludf.DUMMYFUNCTION("""COMPUTED_VALUE"""),7.0)</f>
        <v>7</v>
      </c>
      <c r="I283" s="13" t="str">
        <f>IFERROR(__xludf.DUMMYFUNCTION("""COMPUTED_VALUE"""),"General")</f>
        <v>General</v>
      </c>
      <c r="J283" s="13" t="str">
        <f>IFERROR(__xludf.DUMMYFUNCTION("""COMPUTED_VALUE"""),"Dresses")</f>
        <v>Dresses</v>
      </c>
      <c r="K283" s="13" t="str">
        <f>IFERROR(__xludf.DUMMYFUNCTION("""COMPUTED_VALUE"""),"Dresses")</f>
        <v>Dresses</v>
      </c>
      <c r="L283" s="13"/>
    </row>
    <row r="284">
      <c r="A284" s="13">
        <f>IFERROR(__xludf.DUMMYFUNCTION("""COMPUTED_VALUE"""),282.0)</f>
        <v>282</v>
      </c>
      <c r="B284" s="13">
        <f>IFERROR(__xludf.DUMMYFUNCTION("""COMPUTED_VALUE"""),868.0)</f>
        <v>868</v>
      </c>
      <c r="C284" s="13">
        <f>IFERROR(__xludf.DUMMYFUNCTION("""COMPUTED_VALUE"""),65.0)</f>
        <v>65</v>
      </c>
      <c r="D284" s="12"/>
      <c r="E284" s="12" t="str">
        <f>IFERROR(__xludf.DUMMYFUNCTION("""COMPUTED_VALUE"""),"This shirt is one of my favorite retailer purchases ever! it is well made and is perfect for work or the weekend. the first time i wore it, i received so many compliments!")</f>
        <v>This shirt is one of my favorite retailer purchases ever! it is well made and is perfect for work or the weekend. the first time i wore it, i received so many compliments!</v>
      </c>
      <c r="F284" s="13">
        <f>IFERROR(__xludf.DUMMYFUNCTION("""COMPUTED_VALUE"""),5.0)</f>
        <v>5</v>
      </c>
      <c r="G284" s="13">
        <f>IFERROR(__xludf.DUMMYFUNCTION("""COMPUTED_VALUE"""),1.0)</f>
        <v>1</v>
      </c>
      <c r="H284" s="13">
        <f>IFERROR(__xludf.DUMMYFUNCTION("""COMPUTED_VALUE"""),4.0)</f>
        <v>4</v>
      </c>
      <c r="I284" s="13" t="str">
        <f>IFERROR(__xludf.DUMMYFUNCTION("""COMPUTED_VALUE"""),"General")</f>
        <v>General</v>
      </c>
      <c r="J284" s="13" t="str">
        <f>IFERROR(__xludf.DUMMYFUNCTION("""COMPUTED_VALUE"""),"Tops")</f>
        <v>Tops</v>
      </c>
      <c r="K284" s="13" t="str">
        <f>IFERROR(__xludf.DUMMYFUNCTION("""COMPUTED_VALUE"""),"Knits")</f>
        <v>Knits</v>
      </c>
      <c r="L284" s="13"/>
    </row>
    <row r="285">
      <c r="A285" s="13">
        <f>IFERROR(__xludf.DUMMYFUNCTION("""COMPUTED_VALUE"""),283.0)</f>
        <v>283</v>
      </c>
      <c r="B285" s="13">
        <f>IFERROR(__xludf.DUMMYFUNCTION("""COMPUTED_VALUE"""),878.0)</f>
        <v>878</v>
      </c>
      <c r="C285" s="13">
        <f>IFERROR(__xludf.DUMMYFUNCTION("""COMPUTED_VALUE"""),41.0)</f>
        <v>41</v>
      </c>
      <c r="D285" s="12" t="str">
        <f>IFERROR(__xludf.DUMMYFUNCTION("""COMPUTED_VALUE"""),"Perfect sweatshirt")</f>
        <v>Perfect sweatshirt</v>
      </c>
      <c r="E285" s="12" t="str">
        <f>IFERROR(__xludf.DUMMYFUNCTION("""COMPUTED_VALUE"""),"I want to live in this sweatshirt. it's so comfy, but also well-cut and lays nicely, not boxy at all. i'm typically a 10-12 or l in tops and the 3 is roomy without looking sloppy.")</f>
        <v>I want to live in this sweatshirt. it's so comfy, but also well-cut and lays nicely, not boxy at all. i'm typically a 10-12 or l in tops and the 3 is roomy without looking sloppy.</v>
      </c>
      <c r="F285" s="13">
        <f>IFERROR(__xludf.DUMMYFUNCTION("""COMPUTED_VALUE"""),5.0)</f>
        <v>5</v>
      </c>
      <c r="G285" s="13">
        <f>IFERROR(__xludf.DUMMYFUNCTION("""COMPUTED_VALUE"""),1.0)</f>
        <v>1</v>
      </c>
      <c r="H285" s="13">
        <f>IFERROR(__xludf.DUMMYFUNCTION("""COMPUTED_VALUE"""),1.0)</f>
        <v>1</v>
      </c>
      <c r="I285" s="13" t="str">
        <f>IFERROR(__xludf.DUMMYFUNCTION("""COMPUTED_VALUE"""),"General")</f>
        <v>General</v>
      </c>
      <c r="J285" s="13" t="str">
        <f>IFERROR(__xludf.DUMMYFUNCTION("""COMPUTED_VALUE"""),"Tops")</f>
        <v>Tops</v>
      </c>
      <c r="K285" s="13" t="str">
        <f>IFERROR(__xludf.DUMMYFUNCTION("""COMPUTED_VALUE"""),"Knits")</f>
        <v>Knits</v>
      </c>
      <c r="L285" s="13"/>
    </row>
    <row r="286">
      <c r="A286" s="13">
        <f>IFERROR(__xludf.DUMMYFUNCTION("""COMPUTED_VALUE"""),284.0)</f>
        <v>284</v>
      </c>
      <c r="B286" s="13">
        <f>IFERROR(__xludf.DUMMYFUNCTION("""COMPUTED_VALUE"""),868.0)</f>
        <v>868</v>
      </c>
      <c r="C286" s="13">
        <f>IFERROR(__xludf.DUMMYFUNCTION("""COMPUTED_VALUE"""),69.0)</f>
        <v>69</v>
      </c>
      <c r="D286" s="12" t="str">
        <f>IFERROR(__xludf.DUMMYFUNCTION("""COMPUTED_VALUE"""),"Clever white edges")</f>
        <v>Clever white edges</v>
      </c>
      <c r="E286" s="12" t="str">
        <f>IFERROR(__xludf.DUMMYFUNCTION("""COMPUTED_VALUE"""),"I liked this top even though it was a definite 'swing' style. i ended up altering it to remove some of the fullness.
looks great with jeans as well as black pants for a dressier look. very soft and comfortable fabric. wish it was just a little bit longer.")</f>
        <v>I liked this top even though it was a definite 'swing' style. i ended up altering it to remove some of the fullness.
looks great with jeans as well as black pants for a dressier look. very soft and comfortable fabric. wish it was just a little bit longer.</v>
      </c>
      <c r="F286" s="13">
        <f>IFERROR(__xludf.DUMMYFUNCTION("""COMPUTED_VALUE"""),4.0)</f>
        <v>4</v>
      </c>
      <c r="G286" s="13">
        <f>IFERROR(__xludf.DUMMYFUNCTION("""COMPUTED_VALUE"""),1.0)</f>
        <v>1</v>
      </c>
      <c r="H286" s="13">
        <f>IFERROR(__xludf.DUMMYFUNCTION("""COMPUTED_VALUE"""),0.0)</f>
        <v>0</v>
      </c>
      <c r="I286" s="13" t="str">
        <f>IFERROR(__xludf.DUMMYFUNCTION("""COMPUTED_VALUE"""),"General")</f>
        <v>General</v>
      </c>
      <c r="J286" s="13" t="str">
        <f>IFERROR(__xludf.DUMMYFUNCTION("""COMPUTED_VALUE"""),"Tops")</f>
        <v>Tops</v>
      </c>
      <c r="K286" s="13" t="str">
        <f>IFERROR(__xludf.DUMMYFUNCTION("""COMPUTED_VALUE"""),"Knits")</f>
        <v>Knits</v>
      </c>
      <c r="L286" s="13"/>
    </row>
    <row r="287">
      <c r="A287" s="13">
        <f>IFERROR(__xludf.DUMMYFUNCTION("""COMPUTED_VALUE"""),285.0)</f>
        <v>285</v>
      </c>
      <c r="B287" s="13">
        <f>IFERROR(__xludf.DUMMYFUNCTION("""COMPUTED_VALUE"""),1104.0)</f>
        <v>1104</v>
      </c>
      <c r="C287" s="13">
        <f>IFERROR(__xludf.DUMMYFUNCTION("""COMPUTED_VALUE"""),36.0)</f>
        <v>36</v>
      </c>
      <c r="D287" s="12" t="str">
        <f>IFERROR(__xludf.DUMMYFUNCTION("""COMPUTED_VALUE"""),"Love this dress!")</f>
        <v>Love this dress!</v>
      </c>
      <c r="E287" s="12" t="str">
        <f>IFERROR(__xludf.DUMMYFUNCTION("""COMPUTED_VALUE"""),"After missing out on last year's similar dress, i am so glad i finally purchased this one! it is beautiful in person. i bought to wear to a wedding, but i am curious if others think it might be too white? i bought the peach color. i will keep this dress n"&amp;"o matter what. hope they come out with more next season!")</f>
        <v>After missing out on last year's similar dress, i am so glad i finally purchased this one! it is beautiful in person. i bought to wear to a wedding, but i am curious if others think it might be too white? i bought the peach color. i will keep this dress no matter what. hope they come out with more next season!</v>
      </c>
      <c r="F287" s="13">
        <f>IFERROR(__xludf.DUMMYFUNCTION("""COMPUTED_VALUE"""),5.0)</f>
        <v>5</v>
      </c>
      <c r="G287" s="13">
        <f>IFERROR(__xludf.DUMMYFUNCTION("""COMPUTED_VALUE"""),1.0)</f>
        <v>1</v>
      </c>
      <c r="H287" s="13">
        <f>IFERROR(__xludf.DUMMYFUNCTION("""COMPUTED_VALUE"""),0.0)</f>
        <v>0</v>
      </c>
      <c r="I287" s="13" t="str">
        <f>IFERROR(__xludf.DUMMYFUNCTION("""COMPUTED_VALUE"""),"General")</f>
        <v>General</v>
      </c>
      <c r="J287" s="13" t="str">
        <f>IFERROR(__xludf.DUMMYFUNCTION("""COMPUTED_VALUE"""),"Dresses")</f>
        <v>Dresses</v>
      </c>
      <c r="K287" s="13" t="str">
        <f>IFERROR(__xludf.DUMMYFUNCTION("""COMPUTED_VALUE"""),"Dresses")</f>
        <v>Dresses</v>
      </c>
      <c r="L287" s="13"/>
    </row>
    <row r="288">
      <c r="A288" s="13">
        <f>IFERROR(__xludf.DUMMYFUNCTION("""COMPUTED_VALUE"""),286.0)</f>
        <v>286</v>
      </c>
      <c r="B288" s="13">
        <f>IFERROR(__xludf.DUMMYFUNCTION("""COMPUTED_VALUE"""),868.0)</f>
        <v>868</v>
      </c>
      <c r="C288" s="13">
        <f>IFERROR(__xludf.DUMMYFUNCTION("""COMPUTED_VALUE"""),42.0)</f>
        <v>42</v>
      </c>
      <c r="D288" s="12"/>
      <c r="E288" s="12" t="str">
        <f>IFERROR(__xludf.DUMMYFUNCTION("""COMPUTED_VALUE"""),"Like the other reviewer said this top is extremely wide and boxy. it must be pinned in the picture online. it's very frustrating when they do that. thank goodness i didn't pay for shipping! for reference, i'm 5'2 and 135 pounds and bought the xxs, it's go"&amp;"ing back for sure. i'm trying to lose baby weight, not trying to look pregnant!")</f>
        <v>Like the other reviewer said this top is extremely wide and boxy. it must be pinned in the picture online. it's very frustrating when they do that. thank goodness i didn't pay for shipping! for reference, i'm 5'2 and 135 pounds and bought the xxs, it's going back for sure. i'm trying to lose baby weight, not trying to look pregnant!</v>
      </c>
      <c r="F288" s="13">
        <f>IFERROR(__xludf.DUMMYFUNCTION("""COMPUTED_VALUE"""),2.0)</f>
        <v>2</v>
      </c>
      <c r="G288" s="13">
        <f>IFERROR(__xludf.DUMMYFUNCTION("""COMPUTED_VALUE"""),0.0)</f>
        <v>0</v>
      </c>
      <c r="H288" s="13">
        <f>IFERROR(__xludf.DUMMYFUNCTION("""COMPUTED_VALUE"""),1.0)</f>
        <v>1</v>
      </c>
      <c r="I288" s="13" t="str">
        <f>IFERROR(__xludf.DUMMYFUNCTION("""COMPUTED_VALUE"""),"General")</f>
        <v>General</v>
      </c>
      <c r="J288" s="13" t="str">
        <f>IFERROR(__xludf.DUMMYFUNCTION("""COMPUTED_VALUE"""),"Tops")</f>
        <v>Tops</v>
      </c>
      <c r="K288" s="13" t="str">
        <f>IFERROR(__xludf.DUMMYFUNCTION("""COMPUTED_VALUE"""),"Knits")</f>
        <v>Knits</v>
      </c>
      <c r="L288" s="13"/>
    </row>
    <row r="289">
      <c r="A289" s="13">
        <f>IFERROR(__xludf.DUMMYFUNCTION("""COMPUTED_VALUE"""),287.0)</f>
        <v>287</v>
      </c>
      <c r="B289" s="13">
        <f>IFERROR(__xludf.DUMMYFUNCTION("""COMPUTED_VALUE"""),984.0)</f>
        <v>984</v>
      </c>
      <c r="C289" s="13">
        <f>IFERROR(__xludf.DUMMYFUNCTION("""COMPUTED_VALUE"""),69.0)</f>
        <v>69</v>
      </c>
      <c r="D289" s="12"/>
      <c r="E289" s="12" t="str">
        <f>IFERROR(__xludf.DUMMYFUNCTION("""COMPUTED_VALUE"""),"I read the reviews and because this jacket is pilcro i took a chance. i was thrilled when i rceived this jacket. darker color of denim with weathered edges. i absolutely love it. don't let it get away. great jean jackets are hard to come by.")</f>
        <v>I read the reviews and because this jacket is pilcro i took a chance. i was thrilled when i rceived this jacket. darker color of denim with weathered edges. i absolutely love it. don't let it get away. great jean jackets are hard to come by.</v>
      </c>
      <c r="F289" s="13">
        <f>IFERROR(__xludf.DUMMYFUNCTION("""COMPUTED_VALUE"""),5.0)</f>
        <v>5</v>
      </c>
      <c r="G289" s="13">
        <f>IFERROR(__xludf.DUMMYFUNCTION("""COMPUTED_VALUE"""),1.0)</f>
        <v>1</v>
      </c>
      <c r="H289" s="13">
        <f>IFERROR(__xludf.DUMMYFUNCTION("""COMPUTED_VALUE"""),0.0)</f>
        <v>0</v>
      </c>
      <c r="I289" s="13" t="str">
        <f>IFERROR(__xludf.DUMMYFUNCTION("""COMPUTED_VALUE"""),"General Petite")</f>
        <v>General Petite</v>
      </c>
      <c r="J289" s="13" t="str">
        <f>IFERROR(__xludf.DUMMYFUNCTION("""COMPUTED_VALUE"""),"Jackets")</f>
        <v>Jackets</v>
      </c>
      <c r="K289" s="13" t="str">
        <f>IFERROR(__xludf.DUMMYFUNCTION("""COMPUTED_VALUE"""),"Jackets")</f>
        <v>Jackets</v>
      </c>
      <c r="L289" s="13"/>
    </row>
    <row r="290">
      <c r="A290" s="13">
        <f>IFERROR(__xludf.DUMMYFUNCTION("""COMPUTED_VALUE"""),288.0)</f>
        <v>288</v>
      </c>
      <c r="B290" s="13">
        <f>IFERROR(__xludf.DUMMYFUNCTION("""COMPUTED_VALUE"""),878.0)</f>
        <v>878</v>
      </c>
      <c r="C290" s="13">
        <f>IFERROR(__xludf.DUMMYFUNCTION("""COMPUTED_VALUE"""),46.0)</f>
        <v>46</v>
      </c>
      <c r="D290" s="12" t="str">
        <f>IFERROR(__xludf.DUMMYFUNCTION("""COMPUTED_VALUE"""),"Not much structure, boxy...")</f>
        <v>Not much structure, boxy...</v>
      </c>
      <c r="E290" s="12" t="str">
        <f>IFERROR(__xludf.DUMMYFUNCTION("""COMPUTED_VALUE"""),"I wanted to love this sweatshirt, but alas, it is going back. upon opening and unfolding, the first thing i noticed: the dots and not solid. they are sort of distressed looking, with parts of them missing. secondly, it doesn't have a lot of structure. it'"&amp;"s soft and kind of floppy but in a weird way. it's just not flattering on me. it looks more like a pajama top than something i would wear out of the house. for reference, i ordered the 3, and i'm usually a 10/12 in tops.")</f>
        <v>I wanted to love this sweatshirt, but alas, it is going back. upon opening and unfolding, the first thing i noticed: the dots and not solid. they are sort of distressed looking, with parts of them missing. secondly, it doesn't have a lot of structure. it's soft and kind of floppy but in a weird way. it's just not flattering on me. it looks more like a pajama top than something i would wear out of the house. for reference, i ordered the 3, and i'm usually a 10/12 in tops.</v>
      </c>
      <c r="F290" s="13">
        <f>IFERROR(__xludf.DUMMYFUNCTION("""COMPUTED_VALUE"""),2.0)</f>
        <v>2</v>
      </c>
      <c r="G290" s="13">
        <f>IFERROR(__xludf.DUMMYFUNCTION("""COMPUTED_VALUE"""),0.0)</f>
        <v>0</v>
      </c>
      <c r="H290" s="13">
        <f>IFERROR(__xludf.DUMMYFUNCTION("""COMPUTED_VALUE"""),0.0)</f>
        <v>0</v>
      </c>
      <c r="I290" s="13" t="str">
        <f>IFERROR(__xludf.DUMMYFUNCTION("""COMPUTED_VALUE"""),"General")</f>
        <v>General</v>
      </c>
      <c r="J290" s="13" t="str">
        <f>IFERROR(__xludf.DUMMYFUNCTION("""COMPUTED_VALUE"""),"Tops")</f>
        <v>Tops</v>
      </c>
      <c r="K290" s="13" t="str">
        <f>IFERROR(__xludf.DUMMYFUNCTION("""COMPUTED_VALUE"""),"Knits")</f>
        <v>Knits</v>
      </c>
      <c r="L290" s="13"/>
    </row>
    <row r="291">
      <c r="A291" s="13">
        <f>IFERROR(__xludf.DUMMYFUNCTION("""COMPUTED_VALUE"""),289.0)</f>
        <v>289</v>
      </c>
      <c r="B291" s="13">
        <f>IFERROR(__xludf.DUMMYFUNCTION("""COMPUTED_VALUE"""),984.0)</f>
        <v>984</v>
      </c>
      <c r="C291" s="13">
        <f>IFERROR(__xludf.DUMMYFUNCTION("""COMPUTED_VALUE"""),55.0)</f>
        <v>55</v>
      </c>
      <c r="D291" s="12" t="str">
        <f>IFERROR(__xludf.DUMMYFUNCTION("""COMPUTED_VALUE"""),"Almost perfect denim jacket")</f>
        <v>Almost perfect denim jacket</v>
      </c>
      <c r="E291" s="12" t="str">
        <f>IFERROR(__xludf.DUMMYFUNCTION("""COMPUTED_VALUE"""),"Love this denim jacket (also have it in white) the reason i didn't give it 5 stars all around is the distressing is just a bit too much (none on the back which is kind of strange). i'd love it even more if it wasn't distressed at all, then it could be dre"&amp;"ssed up much more for work. but overall it's my favorite, great fit and a bit of stretch so very comfy. please make this in some other denim colors!")</f>
        <v>Love this denim jacket (also have it in white) the reason i didn't give it 5 stars all around is the distressing is just a bit too much (none on the back which is kind of strange). i'd love it even more if it wasn't distressed at all, then it could be dressed up much more for work. but overall it's my favorite, great fit and a bit of stretch so very comfy. please make this in some other denim colors!</v>
      </c>
      <c r="F291" s="13">
        <f>IFERROR(__xludf.DUMMYFUNCTION("""COMPUTED_VALUE"""),5.0)</f>
        <v>5</v>
      </c>
      <c r="G291" s="13">
        <f>IFERROR(__xludf.DUMMYFUNCTION("""COMPUTED_VALUE"""),1.0)</f>
        <v>1</v>
      </c>
      <c r="H291" s="13">
        <f>IFERROR(__xludf.DUMMYFUNCTION("""COMPUTED_VALUE"""),0.0)</f>
        <v>0</v>
      </c>
      <c r="I291" s="13" t="str">
        <f>IFERROR(__xludf.DUMMYFUNCTION("""COMPUTED_VALUE"""),"General Petite")</f>
        <v>General Petite</v>
      </c>
      <c r="J291" s="13" t="str">
        <f>IFERROR(__xludf.DUMMYFUNCTION("""COMPUTED_VALUE"""),"Jackets")</f>
        <v>Jackets</v>
      </c>
      <c r="K291" s="13" t="str">
        <f>IFERROR(__xludf.DUMMYFUNCTION("""COMPUTED_VALUE"""),"Jackets")</f>
        <v>Jackets</v>
      </c>
      <c r="L291" s="13"/>
    </row>
    <row r="292">
      <c r="A292" s="13">
        <f>IFERROR(__xludf.DUMMYFUNCTION("""COMPUTED_VALUE"""),290.0)</f>
        <v>290</v>
      </c>
      <c r="B292" s="13">
        <f>IFERROR(__xludf.DUMMYFUNCTION("""COMPUTED_VALUE"""),984.0)</f>
        <v>984</v>
      </c>
      <c r="C292" s="13">
        <f>IFERROR(__xludf.DUMMYFUNCTION("""COMPUTED_VALUE"""),36.0)</f>
        <v>36</v>
      </c>
      <c r="D292" s="12" t="str">
        <f>IFERROR(__xludf.DUMMYFUNCTION("""COMPUTED_VALUE"""),"Perfect")</f>
        <v>Perfect</v>
      </c>
      <c r="E292" s="12" t="str">
        <f>IFERROR(__xludf.DUMMYFUNCTION("""COMPUTED_VALUE"""),"The cut is brilliant-the wash is subtle-the weight of the denim is sturdy but not stuff-and the stretch is just right. love it. the perfect staple. a scarf in the fall and rolled sleeves in the spring.")</f>
        <v>The cut is brilliant-the wash is subtle-the weight of the denim is sturdy but not stuff-and the stretch is just right. love it. the perfect staple. a scarf in the fall and rolled sleeves in the spring.</v>
      </c>
      <c r="F292" s="13">
        <f>IFERROR(__xludf.DUMMYFUNCTION("""COMPUTED_VALUE"""),5.0)</f>
        <v>5</v>
      </c>
      <c r="G292" s="13">
        <f>IFERROR(__xludf.DUMMYFUNCTION("""COMPUTED_VALUE"""),1.0)</f>
        <v>1</v>
      </c>
      <c r="H292" s="13">
        <f>IFERROR(__xludf.DUMMYFUNCTION("""COMPUTED_VALUE"""),2.0)</f>
        <v>2</v>
      </c>
      <c r="I292" s="13" t="str">
        <f>IFERROR(__xludf.DUMMYFUNCTION("""COMPUTED_VALUE"""),"General Petite")</f>
        <v>General Petite</v>
      </c>
      <c r="J292" s="13" t="str">
        <f>IFERROR(__xludf.DUMMYFUNCTION("""COMPUTED_VALUE"""),"Jackets")</f>
        <v>Jackets</v>
      </c>
      <c r="K292" s="13" t="str">
        <f>IFERROR(__xludf.DUMMYFUNCTION("""COMPUTED_VALUE"""),"Jackets")</f>
        <v>Jackets</v>
      </c>
      <c r="L292" s="13"/>
    </row>
    <row r="293">
      <c r="A293" s="13">
        <f>IFERROR(__xludf.DUMMYFUNCTION("""COMPUTED_VALUE"""),291.0)</f>
        <v>291</v>
      </c>
      <c r="B293" s="13">
        <f>IFERROR(__xludf.DUMMYFUNCTION("""COMPUTED_VALUE"""),984.0)</f>
        <v>984</v>
      </c>
      <c r="C293" s="13">
        <f>IFERROR(__xludf.DUMMYFUNCTION("""COMPUTED_VALUE"""),71.0)</f>
        <v>71</v>
      </c>
      <c r="D293" s="12"/>
      <c r="E293" s="12" t="str">
        <f>IFERROR(__xludf.DUMMYFUNCTION("""COMPUTED_VALUE"""),"Love it; the bit of stretch in the denim makes it less stiff than traditional denim.")</f>
        <v>Love it; the bit of stretch in the denim makes it less stiff than traditional denim.</v>
      </c>
      <c r="F293" s="13">
        <f>IFERROR(__xludf.DUMMYFUNCTION("""COMPUTED_VALUE"""),5.0)</f>
        <v>5</v>
      </c>
      <c r="G293" s="13">
        <f>IFERROR(__xludf.DUMMYFUNCTION("""COMPUTED_VALUE"""),1.0)</f>
        <v>1</v>
      </c>
      <c r="H293" s="13">
        <f>IFERROR(__xludf.DUMMYFUNCTION("""COMPUTED_VALUE"""),0.0)</f>
        <v>0</v>
      </c>
      <c r="I293" s="13" t="str">
        <f>IFERROR(__xludf.DUMMYFUNCTION("""COMPUTED_VALUE"""),"General Petite")</f>
        <v>General Petite</v>
      </c>
      <c r="J293" s="13" t="str">
        <f>IFERROR(__xludf.DUMMYFUNCTION("""COMPUTED_VALUE"""),"Jackets")</f>
        <v>Jackets</v>
      </c>
      <c r="K293" s="13" t="str">
        <f>IFERROR(__xludf.DUMMYFUNCTION("""COMPUTED_VALUE"""),"Jackets")</f>
        <v>Jackets</v>
      </c>
      <c r="L293" s="13"/>
    </row>
    <row r="294">
      <c r="A294" s="13">
        <f>IFERROR(__xludf.DUMMYFUNCTION("""COMPUTED_VALUE"""),292.0)</f>
        <v>292</v>
      </c>
      <c r="B294" s="13">
        <f>IFERROR(__xludf.DUMMYFUNCTION("""COMPUTED_VALUE"""),1024.0)</f>
        <v>1024</v>
      </c>
      <c r="C294" s="13">
        <f>IFERROR(__xludf.DUMMYFUNCTION("""COMPUTED_VALUE"""),65.0)</f>
        <v>65</v>
      </c>
      <c r="D294" s="12" t="str">
        <f>IFERROR(__xludf.DUMMYFUNCTION("""COMPUTED_VALUE"""),"Super nice")</f>
        <v>Super nice</v>
      </c>
      <c r="E294" s="12" t="str">
        <f>IFERROR(__xludf.DUMMYFUNCTION("""COMPUTED_VALUE"""),"I love these. i'm between a 29 and 30 and as the 30s were sold out i had to go with the 29s. they fit well. as expected. very nice fabric. good design. have to wear a short shirt or one tucked in. fabric has a bit of stretch which is also nice.")</f>
        <v>I love these. i'm between a 29 and 30 and as the 30s were sold out i had to go with the 29s. they fit well. as expected. very nice fabric. good design. have to wear a short shirt or one tucked in. fabric has a bit of stretch which is also nice.</v>
      </c>
      <c r="F294" s="13">
        <f>IFERROR(__xludf.DUMMYFUNCTION("""COMPUTED_VALUE"""),5.0)</f>
        <v>5</v>
      </c>
      <c r="G294" s="13">
        <f>IFERROR(__xludf.DUMMYFUNCTION("""COMPUTED_VALUE"""),1.0)</f>
        <v>1</v>
      </c>
      <c r="H294" s="13">
        <f>IFERROR(__xludf.DUMMYFUNCTION("""COMPUTED_VALUE"""),0.0)</f>
        <v>0</v>
      </c>
      <c r="I294" s="13" t="str">
        <f>IFERROR(__xludf.DUMMYFUNCTION("""COMPUTED_VALUE"""),"General")</f>
        <v>General</v>
      </c>
      <c r="J294" s="13" t="str">
        <f>IFERROR(__xludf.DUMMYFUNCTION("""COMPUTED_VALUE"""),"Bottoms")</f>
        <v>Bottoms</v>
      </c>
      <c r="K294" s="13" t="str">
        <f>IFERROR(__xludf.DUMMYFUNCTION("""COMPUTED_VALUE"""),"Jeans")</f>
        <v>Jeans</v>
      </c>
      <c r="L294" s="13"/>
    </row>
    <row r="295">
      <c r="A295" s="13">
        <f>IFERROR(__xludf.DUMMYFUNCTION("""COMPUTED_VALUE"""),293.0)</f>
        <v>293</v>
      </c>
      <c r="B295" s="13">
        <f>IFERROR(__xludf.DUMMYFUNCTION("""COMPUTED_VALUE"""),984.0)</f>
        <v>984</v>
      </c>
      <c r="C295" s="13">
        <f>IFERROR(__xludf.DUMMYFUNCTION("""COMPUTED_VALUE"""),68.0)</f>
        <v>68</v>
      </c>
      <c r="D295" s="12" t="str">
        <f>IFERROR(__xludf.DUMMYFUNCTION("""COMPUTED_VALUE"""),"I wish it were alless stiff denim. runs small")</f>
        <v>I wish it were alless stiff denim. runs small</v>
      </c>
      <c r="E295" s="12" t="str">
        <f>IFERROR(__xludf.DUMMYFUNCTION("""COMPUTED_VALUE"""),"I've been looking at this jacket on line and finally went to the store to try it on. i really liked the styling but the denim was quite stiff. i'd prefer a softer kind of fabric. i wonder if it would soften if it was washed. also, it ran surprisingly smal"&amp;"l. i usually take an xsmall or small but the small didn't leave me enough room to comfortably bend my arms. the medium worked better. i wonder how others feel about the fabric and and the sizing. i think i'll wait and see if this one goes on sal")</f>
        <v>I've been looking at this jacket on line and finally went to the store to try it on. i really liked the styling but the denim was quite stiff. i'd prefer a softer kind of fabric. i wonder if it would soften if it was washed. also, it ran surprisingly small. i usually take an xsmall or small but the small didn't leave me enough room to comfortably bend my arms. the medium worked better. i wonder how others feel about the fabric and and the sizing. i think i'll wait and see if this one goes on sal</v>
      </c>
      <c r="F295" s="13">
        <f>IFERROR(__xludf.DUMMYFUNCTION("""COMPUTED_VALUE"""),3.0)</f>
        <v>3</v>
      </c>
      <c r="G295" s="13">
        <f>IFERROR(__xludf.DUMMYFUNCTION("""COMPUTED_VALUE"""),1.0)</f>
        <v>1</v>
      </c>
      <c r="H295" s="13">
        <f>IFERROR(__xludf.DUMMYFUNCTION("""COMPUTED_VALUE"""),16.0)</f>
        <v>16</v>
      </c>
      <c r="I295" s="13" t="str">
        <f>IFERROR(__xludf.DUMMYFUNCTION("""COMPUTED_VALUE"""),"General Petite")</f>
        <v>General Petite</v>
      </c>
      <c r="J295" s="13" t="str">
        <f>IFERROR(__xludf.DUMMYFUNCTION("""COMPUTED_VALUE"""),"Jackets")</f>
        <v>Jackets</v>
      </c>
      <c r="K295" s="13" t="str">
        <f>IFERROR(__xludf.DUMMYFUNCTION("""COMPUTED_VALUE"""),"Jackets")</f>
        <v>Jackets</v>
      </c>
      <c r="L295" s="13"/>
    </row>
    <row r="296">
      <c r="A296" s="13">
        <f>IFERROR(__xludf.DUMMYFUNCTION("""COMPUTED_VALUE"""),294.0)</f>
        <v>294</v>
      </c>
      <c r="B296" s="13">
        <f>IFERROR(__xludf.DUMMYFUNCTION("""COMPUTED_VALUE"""),984.0)</f>
        <v>984</v>
      </c>
      <c r="C296" s="13">
        <f>IFERROR(__xludf.DUMMYFUNCTION("""COMPUTED_VALUE"""),43.0)</f>
        <v>43</v>
      </c>
      <c r="D296" s="12" t="str">
        <f>IFERROR(__xludf.DUMMYFUNCTION("""COMPUTED_VALUE"""),"Terrific denim jacket")</f>
        <v>Terrific denim jacket</v>
      </c>
      <c r="E296" s="12" t="str">
        <f>IFERROR(__xludf.DUMMYFUNCTION("""COMPUTED_VALUE"""),"I lost my favorite denim jacket on a trip a few years ago and haven't found one i really liked again...until now. great quality - just heavy enough but not too heavy, just stretchy enough but not too stretchy, great color/design. no complaints. i read the"&amp;" other reviews and was happy to have ordered one size larger than my normal. i typically take a small but the medium in this is perfect. it is possible i actually like this jacket better than the one i lost several years ago, which is a big endo")</f>
        <v>I lost my favorite denim jacket on a trip a few years ago and haven't found one i really liked again...until now. great quality - just heavy enough but not too heavy, just stretchy enough but not too stretchy, great color/design. no complaints. i read the other reviews and was happy to have ordered one size larger than my normal. i typically take a small but the medium in this is perfect. it is possible i actually like this jacket better than the one i lost several years ago, which is a big endo</v>
      </c>
      <c r="F296" s="13">
        <f>IFERROR(__xludf.DUMMYFUNCTION("""COMPUTED_VALUE"""),5.0)</f>
        <v>5</v>
      </c>
      <c r="G296" s="13">
        <f>IFERROR(__xludf.DUMMYFUNCTION("""COMPUTED_VALUE"""),1.0)</f>
        <v>1</v>
      </c>
      <c r="H296" s="13">
        <f>IFERROR(__xludf.DUMMYFUNCTION("""COMPUTED_VALUE"""),3.0)</f>
        <v>3</v>
      </c>
      <c r="I296" s="13" t="str">
        <f>IFERROR(__xludf.DUMMYFUNCTION("""COMPUTED_VALUE"""),"General Petite")</f>
        <v>General Petite</v>
      </c>
      <c r="J296" s="13" t="str">
        <f>IFERROR(__xludf.DUMMYFUNCTION("""COMPUTED_VALUE"""),"Jackets")</f>
        <v>Jackets</v>
      </c>
      <c r="K296" s="13" t="str">
        <f>IFERROR(__xludf.DUMMYFUNCTION("""COMPUTED_VALUE"""),"Jackets")</f>
        <v>Jackets</v>
      </c>
      <c r="L296" s="13"/>
    </row>
    <row r="297">
      <c r="A297" s="13">
        <f>IFERROR(__xludf.DUMMYFUNCTION("""COMPUTED_VALUE"""),295.0)</f>
        <v>295</v>
      </c>
      <c r="B297" s="13">
        <f>IFERROR(__xludf.DUMMYFUNCTION("""COMPUTED_VALUE"""),1104.0)</f>
        <v>1104</v>
      </c>
      <c r="C297" s="13">
        <f>IFERROR(__xludf.DUMMYFUNCTION("""COMPUTED_VALUE"""),30.0)</f>
        <v>30</v>
      </c>
      <c r="D297" s="12"/>
      <c r="E297" s="12" t="str">
        <f>IFERROR(__xludf.DUMMYFUNCTION("""COMPUTED_VALUE"""),"Beautiful colors and silhouette (i got the navy). the skirt is lined and flows wonderfully when you walk. i've gotten a ton of compliments on it. i'm 5'9"" and the high hem falls a few inches below my knee, and the low hem falls to my ankles.")</f>
        <v>Beautiful colors and silhouette (i got the navy). the skirt is lined and flows wonderfully when you walk. i've gotten a ton of compliments on it. i'm 5'9" and the high hem falls a few inches below my knee, and the low hem falls to my ankles.</v>
      </c>
      <c r="F297" s="13">
        <f>IFERROR(__xludf.DUMMYFUNCTION("""COMPUTED_VALUE"""),5.0)</f>
        <v>5</v>
      </c>
      <c r="G297" s="13">
        <f>IFERROR(__xludf.DUMMYFUNCTION("""COMPUTED_VALUE"""),1.0)</f>
        <v>1</v>
      </c>
      <c r="H297" s="13">
        <f>IFERROR(__xludf.DUMMYFUNCTION("""COMPUTED_VALUE"""),7.0)</f>
        <v>7</v>
      </c>
      <c r="I297" s="13" t="str">
        <f>IFERROR(__xludf.DUMMYFUNCTION("""COMPUTED_VALUE"""),"General")</f>
        <v>General</v>
      </c>
      <c r="J297" s="13" t="str">
        <f>IFERROR(__xludf.DUMMYFUNCTION("""COMPUTED_VALUE"""),"Dresses")</f>
        <v>Dresses</v>
      </c>
      <c r="K297" s="13" t="str">
        <f>IFERROR(__xludf.DUMMYFUNCTION("""COMPUTED_VALUE"""),"Dresses")</f>
        <v>Dresses</v>
      </c>
      <c r="L297" s="13"/>
    </row>
    <row r="298">
      <c r="A298" s="13">
        <f>IFERROR(__xludf.DUMMYFUNCTION("""COMPUTED_VALUE"""),296.0)</f>
        <v>296</v>
      </c>
      <c r="B298" s="13">
        <f>IFERROR(__xludf.DUMMYFUNCTION("""COMPUTED_VALUE"""),1024.0)</f>
        <v>1024</v>
      </c>
      <c r="C298" s="13">
        <f>IFERROR(__xludf.DUMMYFUNCTION("""COMPUTED_VALUE"""),40.0)</f>
        <v>40</v>
      </c>
      <c r="D298" s="12" t="str">
        <f>IFERROR(__xludf.DUMMYFUNCTION("""COMPUTED_VALUE"""),"Cute versatile culottes")</f>
        <v>Cute versatile culottes</v>
      </c>
      <c r="E298" s="12" t="str">
        <f>IFERROR(__xludf.DUMMYFUNCTION("""COMPUTED_VALUE"""),"I love these culottes and i think they will be everywhere this coming spring / summer. the high waist is perfect and looks great with shorter shirts or tucked-in. the denim is high quality and a nice medium dark color.")</f>
        <v>I love these culottes and i think they will be everywhere this coming spring / summer. the high waist is perfect and looks great with shorter shirts or tucked-in. the denim is high quality and a nice medium dark color.</v>
      </c>
      <c r="F298" s="13">
        <f>IFERROR(__xludf.DUMMYFUNCTION("""COMPUTED_VALUE"""),5.0)</f>
        <v>5</v>
      </c>
      <c r="G298" s="13">
        <f>IFERROR(__xludf.DUMMYFUNCTION("""COMPUTED_VALUE"""),1.0)</f>
        <v>1</v>
      </c>
      <c r="H298" s="13">
        <f>IFERROR(__xludf.DUMMYFUNCTION("""COMPUTED_VALUE"""),0.0)</f>
        <v>0</v>
      </c>
      <c r="I298" s="13" t="str">
        <f>IFERROR(__xludf.DUMMYFUNCTION("""COMPUTED_VALUE"""),"General")</f>
        <v>General</v>
      </c>
      <c r="J298" s="13" t="str">
        <f>IFERROR(__xludf.DUMMYFUNCTION("""COMPUTED_VALUE"""),"Bottoms")</f>
        <v>Bottoms</v>
      </c>
      <c r="K298" s="13" t="str">
        <f>IFERROR(__xludf.DUMMYFUNCTION("""COMPUTED_VALUE"""),"Jeans")</f>
        <v>Jeans</v>
      </c>
      <c r="L298" s="13"/>
    </row>
    <row r="299">
      <c r="A299" s="13">
        <f>IFERROR(__xludf.DUMMYFUNCTION("""COMPUTED_VALUE"""),297.0)</f>
        <v>297</v>
      </c>
      <c r="B299" s="13">
        <f>IFERROR(__xludf.DUMMYFUNCTION("""COMPUTED_VALUE"""),984.0)</f>
        <v>984</v>
      </c>
      <c r="C299" s="13">
        <f>IFERROR(__xludf.DUMMYFUNCTION("""COMPUTED_VALUE"""),47.0)</f>
        <v>47</v>
      </c>
      <c r="D299" s="12" t="str">
        <f>IFERROR(__xludf.DUMMYFUNCTION("""COMPUTED_VALUE"""),"My new favorite denim jacket")</f>
        <v>My new favorite denim jacket</v>
      </c>
      <c r="E299" s="12" t="str">
        <f>IFERROR(__xludf.DUMMYFUNCTION("""COMPUTED_VALUE"""),"I'm glad i listened to the other reviewers...i ordered a large instead of my usual medium. it's roomy enough for a sweater underneath. i love the denim! it's very soft and has some stretch. my other denim jackets are stiff even after years of washing. i a"&amp;"lso love the darker denim.")</f>
        <v>I'm glad i listened to the other reviewers...i ordered a large instead of my usual medium. it's roomy enough for a sweater underneath. i love the denim! it's very soft and has some stretch. my other denim jackets are stiff even after years of washing. i also love the darker denim.</v>
      </c>
      <c r="F299" s="13">
        <f>IFERROR(__xludf.DUMMYFUNCTION("""COMPUTED_VALUE"""),5.0)</f>
        <v>5</v>
      </c>
      <c r="G299" s="13">
        <f>IFERROR(__xludf.DUMMYFUNCTION("""COMPUTED_VALUE"""),1.0)</f>
        <v>1</v>
      </c>
      <c r="H299" s="13">
        <f>IFERROR(__xludf.DUMMYFUNCTION("""COMPUTED_VALUE"""),0.0)</f>
        <v>0</v>
      </c>
      <c r="I299" s="13" t="str">
        <f>IFERROR(__xludf.DUMMYFUNCTION("""COMPUTED_VALUE"""),"General Petite")</f>
        <v>General Petite</v>
      </c>
      <c r="J299" s="13" t="str">
        <f>IFERROR(__xludf.DUMMYFUNCTION("""COMPUTED_VALUE"""),"Jackets")</f>
        <v>Jackets</v>
      </c>
      <c r="K299" s="13" t="str">
        <f>IFERROR(__xludf.DUMMYFUNCTION("""COMPUTED_VALUE"""),"Jackets")</f>
        <v>Jackets</v>
      </c>
      <c r="L299" s="13"/>
    </row>
    <row r="300">
      <c r="A300" s="13">
        <f>IFERROR(__xludf.DUMMYFUNCTION("""COMPUTED_VALUE"""),298.0)</f>
        <v>298</v>
      </c>
      <c r="B300" s="13">
        <f>IFERROR(__xludf.DUMMYFUNCTION("""COMPUTED_VALUE"""),1104.0)</f>
        <v>1104</v>
      </c>
      <c r="C300" s="13">
        <f>IFERROR(__xludf.DUMMYFUNCTION("""COMPUTED_VALUE"""),39.0)</f>
        <v>39</v>
      </c>
      <c r="D300" s="12"/>
      <c r="E300" s="12"/>
      <c r="F300" s="13">
        <f>IFERROR(__xludf.DUMMYFUNCTION("""COMPUTED_VALUE"""),5.0)</f>
        <v>5</v>
      </c>
      <c r="G300" s="13">
        <f>IFERROR(__xludf.DUMMYFUNCTION("""COMPUTED_VALUE"""),1.0)</f>
        <v>1</v>
      </c>
      <c r="H300" s="13">
        <f>IFERROR(__xludf.DUMMYFUNCTION("""COMPUTED_VALUE"""),0.0)</f>
        <v>0</v>
      </c>
      <c r="I300" s="13" t="str">
        <f>IFERROR(__xludf.DUMMYFUNCTION("""COMPUTED_VALUE"""),"General")</f>
        <v>General</v>
      </c>
      <c r="J300" s="13" t="str">
        <f>IFERROR(__xludf.DUMMYFUNCTION("""COMPUTED_VALUE"""),"Dresses")</f>
        <v>Dresses</v>
      </c>
      <c r="K300" s="13" t="str">
        <f>IFERROR(__xludf.DUMMYFUNCTION("""COMPUTED_VALUE"""),"Dresses")</f>
        <v>Dresses</v>
      </c>
      <c r="L300" s="13"/>
    </row>
    <row r="301">
      <c r="A301" s="13">
        <f>IFERROR(__xludf.DUMMYFUNCTION("""COMPUTED_VALUE"""),299.0)</f>
        <v>299</v>
      </c>
      <c r="B301" s="13">
        <f>IFERROR(__xludf.DUMMYFUNCTION("""COMPUTED_VALUE"""),984.0)</f>
        <v>984</v>
      </c>
      <c r="C301" s="13">
        <f>IFERROR(__xludf.DUMMYFUNCTION("""COMPUTED_VALUE"""),34.0)</f>
        <v>34</v>
      </c>
      <c r="D301" s="12" t="str">
        <f>IFERROR(__xludf.DUMMYFUNCTION("""COMPUTED_VALUE"""),"Favorite jean jacket")</f>
        <v>Favorite jean jacket</v>
      </c>
      <c r="E301" s="12" t="str">
        <f>IFERROR(__xludf.DUMMYFUNCTION("""COMPUTED_VALUE"""),"I'm 5'4"" 125 lbs ordered small. fits perfect. super soft denim. love the color love the worn in feel")</f>
        <v>I'm 5'4" 125 lbs ordered small. fits perfect. super soft denim. love the color love the worn in feel</v>
      </c>
      <c r="F301" s="13">
        <f>IFERROR(__xludf.DUMMYFUNCTION("""COMPUTED_VALUE"""),5.0)</f>
        <v>5</v>
      </c>
      <c r="G301" s="13">
        <f>IFERROR(__xludf.DUMMYFUNCTION("""COMPUTED_VALUE"""),1.0)</f>
        <v>1</v>
      </c>
      <c r="H301" s="13">
        <f>IFERROR(__xludf.DUMMYFUNCTION("""COMPUTED_VALUE"""),0.0)</f>
        <v>0</v>
      </c>
      <c r="I301" s="13" t="str">
        <f>IFERROR(__xludf.DUMMYFUNCTION("""COMPUTED_VALUE"""),"General Petite")</f>
        <v>General Petite</v>
      </c>
      <c r="J301" s="13" t="str">
        <f>IFERROR(__xludf.DUMMYFUNCTION("""COMPUTED_VALUE"""),"Jackets")</f>
        <v>Jackets</v>
      </c>
      <c r="K301" s="13" t="str">
        <f>IFERROR(__xludf.DUMMYFUNCTION("""COMPUTED_VALUE"""),"Jackets")</f>
        <v>Jackets</v>
      </c>
      <c r="L301" s="13"/>
    </row>
    <row r="302">
      <c r="A302" s="13">
        <f>IFERROR(__xludf.DUMMYFUNCTION("""COMPUTED_VALUE"""),300.0)</f>
        <v>300</v>
      </c>
      <c r="B302" s="13">
        <f>IFERROR(__xludf.DUMMYFUNCTION("""COMPUTED_VALUE"""),1104.0)</f>
        <v>1104</v>
      </c>
      <c r="C302" s="13">
        <f>IFERROR(__xludf.DUMMYFUNCTION("""COMPUTED_VALUE"""),38.0)</f>
        <v>38</v>
      </c>
      <c r="D302" s="12"/>
      <c r="E302" s="12" t="str">
        <f>IFERROR(__xludf.DUMMYFUNCTION("""COMPUTED_VALUE"""),"This dress is stunning- vibrant colors and flirty feel to it. i got the small and i am a 34b/27 pants, 132 lbs- great fit. i only question two things- am i tall enough to pull off the extra fabric in the back and what the heck do you where for a bra? thos"&amp;"e two considerations are why i didn't give it 5 stars.")</f>
        <v>This dress is stunning- vibrant colors and flirty feel to it. i got the small and i am a 34b/27 pants, 132 lbs- great fit. i only question two things- am i tall enough to pull off the extra fabric in the back and what the heck do you where for a bra? those two considerations are why i didn't give it 5 stars.</v>
      </c>
      <c r="F302" s="13">
        <f>IFERROR(__xludf.DUMMYFUNCTION("""COMPUTED_VALUE"""),4.0)</f>
        <v>4</v>
      </c>
      <c r="G302" s="13">
        <f>IFERROR(__xludf.DUMMYFUNCTION("""COMPUTED_VALUE"""),1.0)</f>
        <v>1</v>
      </c>
      <c r="H302" s="13">
        <f>IFERROR(__xludf.DUMMYFUNCTION("""COMPUTED_VALUE"""),1.0)</f>
        <v>1</v>
      </c>
      <c r="I302" s="13" t="str">
        <f>IFERROR(__xludf.DUMMYFUNCTION("""COMPUTED_VALUE"""),"General")</f>
        <v>General</v>
      </c>
      <c r="J302" s="13" t="str">
        <f>IFERROR(__xludf.DUMMYFUNCTION("""COMPUTED_VALUE"""),"Dresses")</f>
        <v>Dresses</v>
      </c>
      <c r="K302" s="13" t="str">
        <f>IFERROR(__xludf.DUMMYFUNCTION("""COMPUTED_VALUE"""),"Dresses")</f>
        <v>Dresses</v>
      </c>
      <c r="L302" s="13"/>
    </row>
    <row r="303">
      <c r="A303" s="13">
        <f>IFERROR(__xludf.DUMMYFUNCTION("""COMPUTED_VALUE"""),301.0)</f>
        <v>301</v>
      </c>
      <c r="B303" s="13">
        <f>IFERROR(__xludf.DUMMYFUNCTION("""COMPUTED_VALUE"""),984.0)</f>
        <v>984</v>
      </c>
      <c r="C303" s="13">
        <f>IFERROR(__xludf.DUMMYFUNCTION("""COMPUTED_VALUE"""),38.0)</f>
        <v>38</v>
      </c>
      <c r="D303" s="12" t="str">
        <f>IFERROR(__xludf.DUMMYFUNCTION("""COMPUTED_VALUE"""),"Perfect denim jacket")</f>
        <v>Perfect denim jacket</v>
      </c>
      <c r="E303" s="12" t="str">
        <f>IFERROR(__xludf.DUMMYFUNCTION("""COMPUTED_VALUE"""),"I have been searching for the perfect denim jacket and this it! i love the darker color, more modern day less 80s. it runs a little small. i am always either a s or xs at retailer. lately, their clothes seem to be running a little bigger, so i have been a"&amp;"n xs in most tops. when i order online, i never know which size to get. i ordered an xs, however it was very tight in the arms and across the shoulders. i wanted to be able to roll the sleeves up, so i returned it for a s and it fits great. i was")</f>
        <v>I have been searching for the perfect denim jacket and this it! i love the darker color, more modern day less 80s. it runs a little small. i am always either a s or xs at retailer. lately, their clothes seem to be running a little bigger, so i have been an xs in most tops. when i order online, i never know which size to get. i ordered an xs, however it was very tight in the arms and across the shoulders. i wanted to be able to roll the sleeves up, so i returned it for a s and it fits great. i was</v>
      </c>
      <c r="F303" s="13">
        <f>IFERROR(__xludf.DUMMYFUNCTION("""COMPUTED_VALUE"""),5.0)</f>
        <v>5</v>
      </c>
      <c r="G303" s="13">
        <f>IFERROR(__xludf.DUMMYFUNCTION("""COMPUTED_VALUE"""),1.0)</f>
        <v>1</v>
      </c>
      <c r="H303" s="13">
        <f>IFERROR(__xludf.DUMMYFUNCTION("""COMPUTED_VALUE"""),0.0)</f>
        <v>0</v>
      </c>
      <c r="I303" s="13" t="str">
        <f>IFERROR(__xludf.DUMMYFUNCTION("""COMPUTED_VALUE"""),"General Petite")</f>
        <v>General Petite</v>
      </c>
      <c r="J303" s="13" t="str">
        <f>IFERROR(__xludf.DUMMYFUNCTION("""COMPUTED_VALUE"""),"Jackets")</f>
        <v>Jackets</v>
      </c>
      <c r="K303" s="13" t="str">
        <f>IFERROR(__xludf.DUMMYFUNCTION("""COMPUTED_VALUE"""),"Jackets")</f>
        <v>Jackets</v>
      </c>
      <c r="L303" s="13"/>
    </row>
    <row r="304">
      <c r="A304" s="13">
        <f>IFERROR(__xludf.DUMMYFUNCTION("""COMPUTED_VALUE"""),302.0)</f>
        <v>302</v>
      </c>
      <c r="B304" s="13">
        <f>IFERROR(__xludf.DUMMYFUNCTION("""COMPUTED_VALUE"""),895.0)</f>
        <v>895</v>
      </c>
      <c r="C304" s="13">
        <f>IFERROR(__xludf.DUMMYFUNCTION("""COMPUTED_VALUE"""),36.0)</f>
        <v>36</v>
      </c>
      <c r="D304" s="12"/>
      <c r="E304" s="12" t="str">
        <f>IFERROR(__xludf.DUMMYFUNCTION("""COMPUTED_VALUE"""),"I have received so many compliments. it's my favorite")</f>
        <v>I have received so many compliments. it's my favorite</v>
      </c>
      <c r="F304" s="13">
        <f>IFERROR(__xludf.DUMMYFUNCTION("""COMPUTED_VALUE"""),5.0)</f>
        <v>5</v>
      </c>
      <c r="G304" s="13">
        <f>IFERROR(__xludf.DUMMYFUNCTION("""COMPUTED_VALUE"""),1.0)</f>
        <v>1</v>
      </c>
      <c r="H304" s="13">
        <f>IFERROR(__xludf.DUMMYFUNCTION("""COMPUTED_VALUE"""),0.0)</f>
        <v>0</v>
      </c>
      <c r="I304" s="13" t="str">
        <f>IFERROR(__xludf.DUMMYFUNCTION("""COMPUTED_VALUE"""),"General")</f>
        <v>General</v>
      </c>
      <c r="J304" s="13" t="str">
        <f>IFERROR(__xludf.DUMMYFUNCTION("""COMPUTED_VALUE"""),"Tops")</f>
        <v>Tops</v>
      </c>
      <c r="K304" s="13" t="str">
        <f>IFERROR(__xludf.DUMMYFUNCTION("""COMPUTED_VALUE"""),"Fine gauge")</f>
        <v>Fine gauge</v>
      </c>
      <c r="L304" s="13"/>
    </row>
    <row r="305">
      <c r="A305" s="13">
        <f>IFERROR(__xludf.DUMMYFUNCTION("""COMPUTED_VALUE"""),303.0)</f>
        <v>303</v>
      </c>
      <c r="B305" s="13">
        <f>IFERROR(__xludf.DUMMYFUNCTION("""COMPUTED_VALUE"""),1104.0)</f>
        <v>1104</v>
      </c>
      <c r="C305" s="13">
        <f>IFERROR(__xludf.DUMMYFUNCTION("""COMPUTED_VALUE"""),41.0)</f>
        <v>41</v>
      </c>
      <c r="D305" s="12" t="str">
        <f>IFERROR(__xludf.DUMMYFUNCTION("""COMPUTED_VALUE"""),"Best dress ever!")</f>
        <v>Best dress ever!</v>
      </c>
      <c r="E305" s="12" t="str">
        <f>IFERROR(__xludf.DUMMYFUNCTION("""COMPUTED_VALUE"""),"I wore this dress for the first time yesterday... i have never received so many compliments on a dress before! several people even stopped me in the streets of nyc to tell me how beautiful this dress was!
it is an absolute must-have!")</f>
        <v>I wore this dress for the first time yesterday... i have never received so many compliments on a dress before! several people even stopped me in the streets of nyc to tell me how beautiful this dress was!
it is an absolute must-have!</v>
      </c>
      <c r="F305" s="13">
        <f>IFERROR(__xludf.DUMMYFUNCTION("""COMPUTED_VALUE"""),5.0)</f>
        <v>5</v>
      </c>
      <c r="G305" s="13">
        <f>IFERROR(__xludf.DUMMYFUNCTION("""COMPUTED_VALUE"""),1.0)</f>
        <v>1</v>
      </c>
      <c r="H305" s="13">
        <f>IFERROR(__xludf.DUMMYFUNCTION("""COMPUTED_VALUE"""),0.0)</f>
        <v>0</v>
      </c>
      <c r="I305" s="13" t="str">
        <f>IFERROR(__xludf.DUMMYFUNCTION("""COMPUTED_VALUE"""),"General")</f>
        <v>General</v>
      </c>
      <c r="J305" s="13" t="str">
        <f>IFERROR(__xludf.DUMMYFUNCTION("""COMPUTED_VALUE"""),"Dresses")</f>
        <v>Dresses</v>
      </c>
      <c r="K305" s="13" t="str">
        <f>IFERROR(__xludf.DUMMYFUNCTION("""COMPUTED_VALUE"""),"Dresses")</f>
        <v>Dresses</v>
      </c>
      <c r="L305" s="13"/>
    </row>
    <row r="306">
      <c r="A306" s="13">
        <f>IFERROR(__xludf.DUMMYFUNCTION("""COMPUTED_VALUE"""),304.0)</f>
        <v>304</v>
      </c>
      <c r="B306" s="13">
        <f>IFERROR(__xludf.DUMMYFUNCTION("""COMPUTED_VALUE"""),1131.0)</f>
        <v>1131</v>
      </c>
      <c r="C306" s="13">
        <f>IFERROR(__xludf.DUMMYFUNCTION("""COMPUTED_VALUE"""),36.0)</f>
        <v>36</v>
      </c>
      <c r="D306" s="12" t="str">
        <f>IFERROR(__xludf.DUMMYFUNCTION("""COMPUTED_VALUE"""),"Stylish jacket")</f>
        <v>Stylish jacket</v>
      </c>
      <c r="E306" s="12" t="str">
        <f>IFERROR(__xludf.DUMMYFUNCTION("""COMPUTED_VALUE"""),"I love the pattern on this jacket and enjoy the bell shape. a fun jacket to through on and add quick style to a skinny pants.")</f>
        <v>I love the pattern on this jacket and enjoy the bell shape. a fun jacket to through on and add quick style to a skinny pants.</v>
      </c>
      <c r="F306" s="13">
        <f>IFERROR(__xludf.DUMMYFUNCTION("""COMPUTED_VALUE"""),3.0)</f>
        <v>3</v>
      </c>
      <c r="G306" s="13">
        <f>IFERROR(__xludf.DUMMYFUNCTION("""COMPUTED_VALUE"""),1.0)</f>
        <v>1</v>
      </c>
      <c r="H306" s="13">
        <f>IFERROR(__xludf.DUMMYFUNCTION("""COMPUTED_VALUE"""),2.0)</f>
        <v>2</v>
      </c>
      <c r="I306" s="13" t="str">
        <f>IFERROR(__xludf.DUMMYFUNCTION("""COMPUTED_VALUE"""),"General")</f>
        <v>General</v>
      </c>
      <c r="J306" s="13" t="str">
        <f>IFERROR(__xludf.DUMMYFUNCTION("""COMPUTED_VALUE"""),"Jackets")</f>
        <v>Jackets</v>
      </c>
      <c r="K306" s="13" t="str">
        <f>IFERROR(__xludf.DUMMYFUNCTION("""COMPUTED_VALUE"""),"Outerwear")</f>
        <v>Outerwear</v>
      </c>
      <c r="L306" s="13"/>
    </row>
    <row r="307">
      <c r="A307" s="13">
        <f>IFERROR(__xludf.DUMMYFUNCTION("""COMPUTED_VALUE"""),305.0)</f>
        <v>305</v>
      </c>
      <c r="B307" s="13">
        <f>IFERROR(__xludf.DUMMYFUNCTION("""COMPUTED_VALUE"""),984.0)</f>
        <v>984</v>
      </c>
      <c r="C307" s="13">
        <f>IFERROR(__xludf.DUMMYFUNCTION("""COMPUTED_VALUE"""),47.0)</f>
        <v>47</v>
      </c>
      <c r="D307" s="12" t="str">
        <f>IFERROR(__xludf.DUMMYFUNCTION("""COMPUTED_VALUE"""),"Adorable!")</f>
        <v>Adorable!</v>
      </c>
      <c r="E307" s="12" t="str">
        <f>IFERROR(__xludf.DUMMYFUNCTION("""COMPUTED_VALUE"""),"I love this little jean jacket! i am petite and usually get a xxsp , but went for a size up. i'm glad i did. it fits a little snug. the color is true to the photo and the material is a medium to heavy denim. the arm length in the petite size is perfect fo"&amp;"r me. i love this - over maxi dresses, tanks, etc... adorable jacket - great buy!!")</f>
        <v>I love this little jean jacket! i am petite and usually get a xxsp , but went for a size up. i'm glad i did. it fits a little snug. the color is true to the photo and the material is a medium to heavy denim. the arm length in the petite size is perfect for me. i love this - over maxi dresses, tanks, etc... adorable jacket - great buy!!</v>
      </c>
      <c r="F307" s="13">
        <f>IFERROR(__xludf.DUMMYFUNCTION("""COMPUTED_VALUE"""),5.0)</f>
        <v>5</v>
      </c>
      <c r="G307" s="13">
        <f>IFERROR(__xludf.DUMMYFUNCTION("""COMPUTED_VALUE"""),1.0)</f>
        <v>1</v>
      </c>
      <c r="H307" s="13">
        <f>IFERROR(__xludf.DUMMYFUNCTION("""COMPUTED_VALUE"""),0.0)</f>
        <v>0</v>
      </c>
      <c r="I307" s="13" t="str">
        <f>IFERROR(__xludf.DUMMYFUNCTION("""COMPUTED_VALUE"""),"General Petite")</f>
        <v>General Petite</v>
      </c>
      <c r="J307" s="13" t="str">
        <f>IFERROR(__xludf.DUMMYFUNCTION("""COMPUTED_VALUE"""),"Jackets")</f>
        <v>Jackets</v>
      </c>
      <c r="K307" s="13" t="str">
        <f>IFERROR(__xludf.DUMMYFUNCTION("""COMPUTED_VALUE"""),"Jackets")</f>
        <v>Jackets</v>
      </c>
      <c r="L307" s="13"/>
    </row>
    <row r="308">
      <c r="A308" s="13">
        <f>IFERROR(__xludf.DUMMYFUNCTION("""COMPUTED_VALUE"""),306.0)</f>
        <v>306</v>
      </c>
      <c r="B308" s="13">
        <f>IFERROR(__xludf.DUMMYFUNCTION("""COMPUTED_VALUE"""),1104.0)</f>
        <v>1104</v>
      </c>
      <c r="C308" s="13">
        <f>IFERROR(__xludf.DUMMYFUNCTION("""COMPUTED_VALUE"""),63.0)</f>
        <v>63</v>
      </c>
      <c r="D308" s="12" t="str">
        <f>IFERROR(__xludf.DUMMYFUNCTION("""COMPUTED_VALUE"""),"Stunning, flattering, and versatile.")</f>
        <v>Stunning, flattering, and versatile.</v>
      </c>
      <c r="E308" s="12" t="str">
        <f>IFERROR(__xludf.DUMMYFUNCTION("""COMPUTED_VALUE"""),"This dress first caught my eye online. due to the price i resisted. then i saw in store and tried on...i decided to hold off for a sale, but my will was getting thin. once i saw it start to sell out online, i had to take the plunge. i knew this dress was "&amp;"a must have. it is super flattering and comfy! the best of both worlds. i'm small-chested so both the s and m fit, but the seam on the s fit a bit higher, which was more flattering on me, so s is what i got. it can be dressed up or slightly down")</f>
        <v>This dress first caught my eye online. due to the price i resisted. then i saw in store and tried on...i decided to hold off for a sale, but my will was getting thin. once i saw it start to sell out online, i had to take the plunge. i knew this dress was a must have. it is super flattering and comfy! the best of both worlds. i'm small-chested so both the s and m fit, but the seam on the s fit a bit higher, which was more flattering on me, so s is what i got. it can be dressed up or slightly down</v>
      </c>
      <c r="F308" s="13">
        <f>IFERROR(__xludf.DUMMYFUNCTION("""COMPUTED_VALUE"""),5.0)</f>
        <v>5</v>
      </c>
      <c r="G308" s="13">
        <f>IFERROR(__xludf.DUMMYFUNCTION("""COMPUTED_VALUE"""),1.0)</f>
        <v>1</v>
      </c>
      <c r="H308" s="13">
        <f>IFERROR(__xludf.DUMMYFUNCTION("""COMPUTED_VALUE"""),0.0)</f>
        <v>0</v>
      </c>
      <c r="I308" s="13" t="str">
        <f>IFERROR(__xludf.DUMMYFUNCTION("""COMPUTED_VALUE"""),"General")</f>
        <v>General</v>
      </c>
      <c r="J308" s="13" t="str">
        <f>IFERROR(__xludf.DUMMYFUNCTION("""COMPUTED_VALUE"""),"Dresses")</f>
        <v>Dresses</v>
      </c>
      <c r="K308" s="13" t="str">
        <f>IFERROR(__xludf.DUMMYFUNCTION("""COMPUTED_VALUE"""),"Dresses")</f>
        <v>Dresses</v>
      </c>
      <c r="L308" s="13"/>
    </row>
    <row r="309">
      <c r="A309" s="13">
        <f>IFERROR(__xludf.DUMMYFUNCTION("""COMPUTED_VALUE"""),307.0)</f>
        <v>307</v>
      </c>
      <c r="B309" s="13">
        <f>IFERROR(__xludf.DUMMYFUNCTION("""COMPUTED_VALUE"""),831.0)</f>
        <v>831</v>
      </c>
      <c r="C309" s="13">
        <f>IFERROR(__xludf.DUMMYFUNCTION("""COMPUTED_VALUE"""),35.0)</f>
        <v>35</v>
      </c>
      <c r="D309" s="12" t="str">
        <f>IFERROR(__xludf.DUMMYFUNCTION("""COMPUTED_VALUE"""),"Pretty blouse!")</f>
        <v>Pretty blouse!</v>
      </c>
      <c r="E309" s="12" t="str">
        <f>IFERROR(__xludf.DUMMYFUNCTION("""COMPUTED_VALUE"""),"I love this blouse! i just bought it recently and have yet to wear it out other than trying it on. this blouse looked very nice on me which can be challenging. i don't live near an retailer so i have to order online exclusively. i have larger hips (135lbs"&amp;", 5'6) and finding flattering tops can be tough. sometimes they look amazing online and then once i try them on, they just don't look right. some shirts have a tendency to accentuate my hips too much making me look shorter. this top looked great a")</f>
        <v>I love this blouse! i just bought it recently and have yet to wear it out other than trying it on. this blouse looked very nice on me which can be challenging. i don't live near an retailer so i have to order online exclusively. i have larger hips (135lbs, 5'6) and finding flattering tops can be tough. sometimes they look amazing online and then once i try them on, they just don't look right. some shirts have a tendency to accentuate my hips too much making me look shorter. this top looked great a</v>
      </c>
      <c r="F309" s="13">
        <f>IFERROR(__xludf.DUMMYFUNCTION("""COMPUTED_VALUE"""),5.0)</f>
        <v>5</v>
      </c>
      <c r="G309" s="13">
        <f>IFERROR(__xludf.DUMMYFUNCTION("""COMPUTED_VALUE"""),1.0)</f>
        <v>1</v>
      </c>
      <c r="H309" s="13">
        <f>IFERROR(__xludf.DUMMYFUNCTION("""COMPUTED_VALUE"""),0.0)</f>
        <v>0</v>
      </c>
      <c r="I309" s="13" t="str">
        <f>IFERROR(__xludf.DUMMYFUNCTION("""COMPUTED_VALUE"""),"General")</f>
        <v>General</v>
      </c>
      <c r="J309" s="13" t="str">
        <f>IFERROR(__xludf.DUMMYFUNCTION("""COMPUTED_VALUE"""),"Tops")</f>
        <v>Tops</v>
      </c>
      <c r="K309" s="13" t="str">
        <f>IFERROR(__xludf.DUMMYFUNCTION("""COMPUTED_VALUE"""),"Blouses")</f>
        <v>Blouses</v>
      </c>
      <c r="L309" s="13"/>
    </row>
    <row r="310">
      <c r="A310" s="13">
        <f>IFERROR(__xludf.DUMMYFUNCTION("""COMPUTED_VALUE"""),308.0)</f>
        <v>308</v>
      </c>
      <c r="B310" s="13">
        <f>IFERROR(__xludf.DUMMYFUNCTION("""COMPUTED_VALUE"""),984.0)</f>
        <v>984</v>
      </c>
      <c r="C310" s="13">
        <f>IFERROR(__xludf.DUMMYFUNCTION("""COMPUTED_VALUE"""),35.0)</f>
        <v>35</v>
      </c>
      <c r="D310" s="12" t="str">
        <f>IFERROR(__xludf.DUMMYFUNCTION("""COMPUTED_VALUE"""),"Too distressed")</f>
        <v>Too distressed</v>
      </c>
      <c r="E310" s="12" t="str">
        <f>IFERROR(__xludf.DUMMYFUNCTION("""COMPUTED_VALUE"""),"First i ordered a m. i'm normally a 8-10. the m was too small so i returned and ordered a lg. the lg fits great but there is a huge area of distressing on the shoulder that will turn into a hole. i love this jacket but cannot keep it in its condition. hop"&amp;"efully i will make it to the store soon (there are none w/in an hour of me) and look before i buy.")</f>
        <v>First i ordered a m. i'm normally a 8-10. the m was too small so i returned and ordered a lg. the lg fits great but there is a huge area of distressing on the shoulder that will turn into a hole. i love this jacket but cannot keep it in its condition. hopefully i will make it to the store soon (there are none w/in an hour of me) and look before i buy.</v>
      </c>
      <c r="F310" s="13">
        <f>IFERROR(__xludf.DUMMYFUNCTION("""COMPUTED_VALUE"""),4.0)</f>
        <v>4</v>
      </c>
      <c r="G310" s="13">
        <f>IFERROR(__xludf.DUMMYFUNCTION("""COMPUTED_VALUE"""),1.0)</f>
        <v>1</v>
      </c>
      <c r="H310" s="13">
        <f>IFERROR(__xludf.DUMMYFUNCTION("""COMPUTED_VALUE"""),2.0)</f>
        <v>2</v>
      </c>
      <c r="I310" s="13" t="str">
        <f>IFERROR(__xludf.DUMMYFUNCTION("""COMPUTED_VALUE"""),"General Petite")</f>
        <v>General Petite</v>
      </c>
      <c r="J310" s="13" t="str">
        <f>IFERROR(__xludf.DUMMYFUNCTION("""COMPUTED_VALUE"""),"Jackets")</f>
        <v>Jackets</v>
      </c>
      <c r="K310" s="13" t="str">
        <f>IFERROR(__xludf.DUMMYFUNCTION("""COMPUTED_VALUE"""),"Jackets")</f>
        <v>Jackets</v>
      </c>
      <c r="L310" s="13"/>
    </row>
    <row r="311">
      <c r="A311" s="13">
        <f>IFERROR(__xludf.DUMMYFUNCTION("""COMPUTED_VALUE"""),309.0)</f>
        <v>309</v>
      </c>
      <c r="B311" s="13">
        <f>IFERROR(__xludf.DUMMYFUNCTION("""COMPUTED_VALUE"""),1104.0)</f>
        <v>1104</v>
      </c>
      <c r="C311" s="13">
        <f>IFERROR(__xludf.DUMMYFUNCTION("""COMPUTED_VALUE"""),56.0)</f>
        <v>56</v>
      </c>
      <c r="D311" s="12" t="str">
        <f>IFERROR(__xludf.DUMMYFUNCTION("""COMPUTED_VALUE"""),"Stunning...")</f>
        <v>Stunning...</v>
      </c>
      <c r="E311" s="12" t="str">
        <f>IFERROR(__xludf.DUMMYFUNCTION("""COMPUTED_VALUE"""),"I purchased the navy color of this dress. not only did it look good, but felt good as well. since it is for a wedding, i also purchased a white crochet cropped ""sweater"" to wear over as well, making the perfect dress for the mother of the groom. could n"&amp;"ot have been happier.")</f>
        <v>I purchased the navy color of this dress. not only did it look good, but felt good as well. since it is for a wedding, i also purchased a white crochet cropped "sweater" to wear over as well, making the perfect dress for the mother of the groom. could not have been happier.</v>
      </c>
      <c r="F311" s="13">
        <f>IFERROR(__xludf.DUMMYFUNCTION("""COMPUTED_VALUE"""),5.0)</f>
        <v>5</v>
      </c>
      <c r="G311" s="13">
        <f>IFERROR(__xludf.DUMMYFUNCTION("""COMPUTED_VALUE"""),1.0)</f>
        <v>1</v>
      </c>
      <c r="H311" s="13">
        <f>IFERROR(__xludf.DUMMYFUNCTION("""COMPUTED_VALUE"""),0.0)</f>
        <v>0</v>
      </c>
      <c r="I311" s="13" t="str">
        <f>IFERROR(__xludf.DUMMYFUNCTION("""COMPUTED_VALUE"""),"General")</f>
        <v>General</v>
      </c>
      <c r="J311" s="13" t="str">
        <f>IFERROR(__xludf.DUMMYFUNCTION("""COMPUTED_VALUE"""),"Dresses")</f>
        <v>Dresses</v>
      </c>
      <c r="K311" s="13" t="str">
        <f>IFERROR(__xludf.DUMMYFUNCTION("""COMPUTED_VALUE"""),"Dresses")</f>
        <v>Dresses</v>
      </c>
      <c r="L311" s="13"/>
    </row>
    <row r="312">
      <c r="A312" s="13">
        <f>IFERROR(__xludf.DUMMYFUNCTION("""COMPUTED_VALUE"""),310.0)</f>
        <v>310</v>
      </c>
      <c r="B312" s="13">
        <f>IFERROR(__xludf.DUMMYFUNCTION("""COMPUTED_VALUE"""),836.0)</f>
        <v>836</v>
      </c>
      <c r="C312" s="13">
        <f>IFERROR(__xludf.DUMMYFUNCTION("""COMPUTED_VALUE"""),41.0)</f>
        <v>41</v>
      </c>
      <c r="D312" s="12" t="str">
        <f>IFERROR(__xludf.DUMMYFUNCTION("""COMPUTED_VALUE"""),"Cute top")</f>
        <v>Cute top</v>
      </c>
      <c r="E312" s="12" t="str">
        <f>IFERROR(__xludf.DUMMYFUNCTION("""COMPUTED_VALUE"""),"This top looks pretty much like it does not the model. the sleeves are a nice length and are not too tight. the fabric is light weight, but not see-through. it does not wrinkle a lot. i've gotten several compliments on it and it goes with lots of differen"&amp;"t bottoms and will work under jackets too. the v-neck is pretty deep, but doesn't show so much cleavage that you couldn't wear it to work.")</f>
        <v>This top looks pretty much like it does not the model. the sleeves are a nice length and are not too tight. the fabric is light weight, but not see-through. it does not wrinkle a lot. i've gotten several compliments on it and it goes with lots of different bottoms and will work under jackets too. the v-neck is pretty deep, but doesn't show so much cleavage that you couldn't wear it to work.</v>
      </c>
      <c r="F312" s="13">
        <f>IFERROR(__xludf.DUMMYFUNCTION("""COMPUTED_VALUE"""),5.0)</f>
        <v>5</v>
      </c>
      <c r="G312" s="13">
        <f>IFERROR(__xludf.DUMMYFUNCTION("""COMPUTED_VALUE"""),1.0)</f>
        <v>1</v>
      </c>
      <c r="H312" s="13">
        <f>IFERROR(__xludf.DUMMYFUNCTION("""COMPUTED_VALUE"""),0.0)</f>
        <v>0</v>
      </c>
      <c r="I312" s="13" t="str">
        <f>IFERROR(__xludf.DUMMYFUNCTION("""COMPUTED_VALUE"""),"General")</f>
        <v>General</v>
      </c>
      <c r="J312" s="13" t="str">
        <f>IFERROR(__xludf.DUMMYFUNCTION("""COMPUTED_VALUE"""),"Tops")</f>
        <v>Tops</v>
      </c>
      <c r="K312" s="13" t="str">
        <f>IFERROR(__xludf.DUMMYFUNCTION("""COMPUTED_VALUE"""),"Blouses")</f>
        <v>Blouses</v>
      </c>
      <c r="L312" s="13"/>
    </row>
    <row r="313">
      <c r="A313" s="13">
        <f>IFERROR(__xludf.DUMMYFUNCTION("""COMPUTED_VALUE"""),311.0)</f>
        <v>311</v>
      </c>
      <c r="B313" s="13">
        <f>IFERROR(__xludf.DUMMYFUNCTION("""COMPUTED_VALUE"""),1089.0)</f>
        <v>1089</v>
      </c>
      <c r="C313" s="13">
        <f>IFERROR(__xludf.DUMMYFUNCTION("""COMPUTED_VALUE"""),37.0)</f>
        <v>37</v>
      </c>
      <c r="D313" s="12" t="str">
        <f>IFERROR(__xludf.DUMMYFUNCTION("""COMPUTED_VALUE"""),"Runs large and zipper sticks")</f>
        <v>Runs large and zipper sticks</v>
      </c>
      <c r="E313" s="12" t="str">
        <f>IFERROR(__xludf.DUMMYFUNCTION("""COMPUTED_VALUE"""),"Looks beautiful online but has too much material and the zipper catches on the lace. also runs very large, i am normally a small but would need and xs in this dress")</f>
        <v>Looks beautiful online but has too much material and the zipper catches on the lace. also runs very large, i am normally a small but would need and xs in this dress</v>
      </c>
      <c r="F313" s="13">
        <f>IFERROR(__xludf.DUMMYFUNCTION("""COMPUTED_VALUE"""),3.0)</f>
        <v>3</v>
      </c>
      <c r="G313" s="13">
        <f>IFERROR(__xludf.DUMMYFUNCTION("""COMPUTED_VALUE"""),0.0)</f>
        <v>0</v>
      </c>
      <c r="H313" s="13">
        <f>IFERROR(__xludf.DUMMYFUNCTION("""COMPUTED_VALUE"""),6.0)</f>
        <v>6</v>
      </c>
      <c r="I313" s="13" t="str">
        <f>IFERROR(__xludf.DUMMYFUNCTION("""COMPUTED_VALUE"""),"General Petite")</f>
        <v>General Petite</v>
      </c>
      <c r="J313" s="13" t="str">
        <f>IFERROR(__xludf.DUMMYFUNCTION("""COMPUTED_VALUE"""),"Dresses")</f>
        <v>Dresses</v>
      </c>
      <c r="K313" s="13" t="str">
        <f>IFERROR(__xludf.DUMMYFUNCTION("""COMPUTED_VALUE"""),"Dresses")</f>
        <v>Dresses</v>
      </c>
      <c r="L313" s="13"/>
    </row>
    <row r="314">
      <c r="A314" s="13">
        <f>IFERROR(__xludf.DUMMYFUNCTION("""COMPUTED_VALUE"""),312.0)</f>
        <v>312</v>
      </c>
      <c r="B314" s="13">
        <f>IFERROR(__xludf.DUMMYFUNCTION("""COMPUTED_VALUE"""),844.0)</f>
        <v>844</v>
      </c>
      <c r="C314" s="13">
        <f>IFERROR(__xludf.DUMMYFUNCTION("""COMPUTED_VALUE"""),34.0)</f>
        <v>34</v>
      </c>
      <c r="D314" s="12" t="str">
        <f>IFERROR(__xludf.DUMMYFUNCTION("""COMPUTED_VALUE"""),"Very unflattering")</f>
        <v>Very unflattering</v>
      </c>
      <c r="E314" s="12" t="str">
        <f>IFERROR(__xludf.DUMMYFUNCTION("""COMPUTED_VALUE"""),"True to size on the neckline and arms but extremely large and puffy in the torso. very unflattering cut!")</f>
        <v>True to size on the neckline and arms but extremely large and puffy in the torso. very unflattering cut!</v>
      </c>
      <c r="F314" s="13">
        <f>IFERROR(__xludf.DUMMYFUNCTION("""COMPUTED_VALUE"""),3.0)</f>
        <v>3</v>
      </c>
      <c r="G314" s="13">
        <f>IFERROR(__xludf.DUMMYFUNCTION("""COMPUTED_VALUE"""),0.0)</f>
        <v>0</v>
      </c>
      <c r="H314" s="13">
        <f>IFERROR(__xludf.DUMMYFUNCTION("""COMPUTED_VALUE"""),0.0)</f>
        <v>0</v>
      </c>
      <c r="I314" s="13" t="str">
        <f>IFERROR(__xludf.DUMMYFUNCTION("""COMPUTED_VALUE"""),"General Petite")</f>
        <v>General Petite</v>
      </c>
      <c r="J314" s="13" t="str">
        <f>IFERROR(__xludf.DUMMYFUNCTION("""COMPUTED_VALUE"""),"Tops")</f>
        <v>Tops</v>
      </c>
      <c r="K314" s="13" t="str">
        <f>IFERROR(__xludf.DUMMYFUNCTION("""COMPUTED_VALUE"""),"Blouses")</f>
        <v>Blouses</v>
      </c>
      <c r="L314" s="13"/>
    </row>
    <row r="315">
      <c r="A315" s="13">
        <f>IFERROR(__xludf.DUMMYFUNCTION("""COMPUTED_VALUE"""),313.0)</f>
        <v>313</v>
      </c>
      <c r="B315" s="13">
        <f>IFERROR(__xludf.DUMMYFUNCTION("""COMPUTED_VALUE"""),836.0)</f>
        <v>836</v>
      </c>
      <c r="C315" s="13">
        <f>IFERROR(__xludf.DUMMYFUNCTION("""COMPUTED_VALUE"""),32.0)</f>
        <v>32</v>
      </c>
      <c r="D315" s="12" t="str">
        <f>IFERROR(__xludf.DUMMYFUNCTION("""COMPUTED_VALUE"""),"Adorable")</f>
        <v>Adorable</v>
      </c>
      <c r="E315" s="12" t="str">
        <f>IFERROR(__xludf.DUMMYFUNCTION("""COMPUTED_VALUE"""),"I purchased the floral patterned version and get complimented every time i wear it. i found it to be pretty true to size, even after washing. it's a little sheer, so you'd definitely want to wear a camisole underneath for work. it's a great top for spring"&amp;"/summer!")</f>
        <v>I purchased the floral patterned version and get complimented every time i wear it. i found it to be pretty true to size, even after washing. it's a little sheer, so you'd definitely want to wear a camisole underneath for work. it's a great top for spring/summer!</v>
      </c>
      <c r="F315" s="13">
        <f>IFERROR(__xludf.DUMMYFUNCTION("""COMPUTED_VALUE"""),4.0)</f>
        <v>4</v>
      </c>
      <c r="G315" s="13">
        <f>IFERROR(__xludf.DUMMYFUNCTION("""COMPUTED_VALUE"""),1.0)</f>
        <v>1</v>
      </c>
      <c r="H315" s="13">
        <f>IFERROR(__xludf.DUMMYFUNCTION("""COMPUTED_VALUE"""),4.0)</f>
        <v>4</v>
      </c>
      <c r="I315" s="13" t="str">
        <f>IFERROR(__xludf.DUMMYFUNCTION("""COMPUTED_VALUE"""),"General")</f>
        <v>General</v>
      </c>
      <c r="J315" s="13" t="str">
        <f>IFERROR(__xludf.DUMMYFUNCTION("""COMPUTED_VALUE"""),"Tops")</f>
        <v>Tops</v>
      </c>
      <c r="K315" s="13" t="str">
        <f>IFERROR(__xludf.DUMMYFUNCTION("""COMPUTED_VALUE"""),"Blouses")</f>
        <v>Blouses</v>
      </c>
      <c r="L315" s="13"/>
    </row>
    <row r="316">
      <c r="A316" s="13">
        <f>IFERROR(__xludf.DUMMYFUNCTION("""COMPUTED_VALUE"""),314.0)</f>
        <v>314</v>
      </c>
      <c r="B316" s="13">
        <f>IFERROR(__xludf.DUMMYFUNCTION("""COMPUTED_VALUE"""),836.0)</f>
        <v>836</v>
      </c>
      <c r="C316" s="13">
        <f>IFERROR(__xludf.DUMMYFUNCTION("""COMPUTED_VALUE"""),60.0)</f>
        <v>60</v>
      </c>
      <c r="D316" s="12" t="str">
        <f>IFERROR(__xludf.DUMMYFUNCTION("""COMPUTED_VALUE"""),"Didn't work for me")</f>
        <v>Didn't work for me</v>
      </c>
      <c r="E316" s="12" t="str">
        <f>IFERROR(__xludf.DUMMYFUNCTION("""COMPUTED_VALUE"""),"I thought this top was adorable in the store and online. it just didn't work for me. although it fit, it flares out too much in the front and just wasn't flattering on me. i am 5' 5"" and 128 lbs. and ordered the small.")</f>
        <v>I thought this top was adorable in the store and online. it just didn't work for me. although it fit, it flares out too much in the front and just wasn't flattering on me. i am 5' 5" and 128 lbs. and ordered the small.</v>
      </c>
      <c r="F316" s="13">
        <f>IFERROR(__xludf.DUMMYFUNCTION("""COMPUTED_VALUE"""),3.0)</f>
        <v>3</v>
      </c>
      <c r="G316" s="13">
        <f>IFERROR(__xludf.DUMMYFUNCTION("""COMPUTED_VALUE"""),0.0)</f>
        <v>0</v>
      </c>
      <c r="H316" s="13">
        <f>IFERROR(__xludf.DUMMYFUNCTION("""COMPUTED_VALUE"""),3.0)</f>
        <v>3</v>
      </c>
      <c r="I316" s="13" t="str">
        <f>IFERROR(__xludf.DUMMYFUNCTION("""COMPUTED_VALUE"""),"General")</f>
        <v>General</v>
      </c>
      <c r="J316" s="13" t="str">
        <f>IFERROR(__xludf.DUMMYFUNCTION("""COMPUTED_VALUE"""),"Tops")</f>
        <v>Tops</v>
      </c>
      <c r="K316" s="13" t="str">
        <f>IFERROR(__xludf.DUMMYFUNCTION("""COMPUTED_VALUE"""),"Blouses")</f>
        <v>Blouses</v>
      </c>
      <c r="L316" s="13"/>
    </row>
    <row r="317">
      <c r="A317" s="13">
        <f>IFERROR(__xludf.DUMMYFUNCTION("""COMPUTED_VALUE"""),315.0)</f>
        <v>315</v>
      </c>
      <c r="B317" s="13">
        <f>IFERROR(__xludf.DUMMYFUNCTION("""COMPUTED_VALUE"""),836.0)</f>
        <v>836</v>
      </c>
      <c r="C317" s="13">
        <f>IFERROR(__xludf.DUMMYFUNCTION("""COMPUTED_VALUE"""),21.0)</f>
        <v>21</v>
      </c>
      <c r="D317" s="12" t="str">
        <f>IFERROR(__xludf.DUMMYFUNCTION("""COMPUTED_VALUE"""),"Beautiful top!")</f>
        <v>Beautiful top!</v>
      </c>
      <c r="E317" s="12" t="str">
        <f>IFERROR(__xludf.DUMMYFUNCTION("""COMPUTED_VALUE"""),"Love this top! made with 100% cotton, a vintage look, and flattering details this top is a winner for me. i think it fits true to size (got my regular size 0) and i did not need the petite and i am fairly short (5'3""). it is somewhat see through, but wit"&amp;"h wearing a nude bra and not wearing it to work, i think it can be worn without a cami. the perfect lightweight, comfortable, standout piece for the summer time :)")</f>
        <v>Love this top! made with 100% cotton, a vintage look, and flattering details this top is a winner for me. i think it fits true to size (got my regular size 0) and i did not need the petite and i am fairly short (5'3"). it is somewhat see through, but with wearing a nude bra and not wearing it to work, i think it can be worn without a cami. the perfect lightweight, comfortable, standout piece for the summer time :)</v>
      </c>
      <c r="F317" s="13">
        <f>IFERROR(__xludf.DUMMYFUNCTION("""COMPUTED_VALUE"""),5.0)</f>
        <v>5</v>
      </c>
      <c r="G317" s="13">
        <f>IFERROR(__xludf.DUMMYFUNCTION("""COMPUTED_VALUE"""),1.0)</f>
        <v>1</v>
      </c>
      <c r="H317" s="13">
        <f>IFERROR(__xludf.DUMMYFUNCTION("""COMPUTED_VALUE"""),8.0)</f>
        <v>8</v>
      </c>
      <c r="I317" s="13" t="str">
        <f>IFERROR(__xludf.DUMMYFUNCTION("""COMPUTED_VALUE"""),"General")</f>
        <v>General</v>
      </c>
      <c r="J317" s="13" t="str">
        <f>IFERROR(__xludf.DUMMYFUNCTION("""COMPUTED_VALUE"""),"Tops")</f>
        <v>Tops</v>
      </c>
      <c r="K317" s="13" t="str">
        <f>IFERROR(__xludf.DUMMYFUNCTION("""COMPUTED_VALUE"""),"Blouses")</f>
        <v>Blouses</v>
      </c>
      <c r="L317" s="13"/>
    </row>
    <row r="318">
      <c r="A318" s="13">
        <f>IFERROR(__xludf.DUMMYFUNCTION("""COMPUTED_VALUE"""),316.0)</f>
        <v>316</v>
      </c>
      <c r="B318" s="13">
        <f>IFERROR(__xludf.DUMMYFUNCTION("""COMPUTED_VALUE"""),836.0)</f>
        <v>836</v>
      </c>
      <c r="C318" s="13">
        <f>IFERROR(__xludf.DUMMYFUNCTION("""COMPUTED_VALUE"""),59.0)</f>
        <v>59</v>
      </c>
      <c r="D318" s="12" t="str">
        <f>IFERROR(__xludf.DUMMYFUNCTION("""COMPUTED_VALUE"""),"Love this blouse")</f>
        <v>Love this blouse</v>
      </c>
      <c r="E318" s="12" t="str">
        <f>IFERROR(__xludf.DUMMYFUNCTION("""COMPUTED_VALUE"""),"I really like this blouse a lot. very very easy to wear!! i wore with pencil skirt to work and with skort as shown similar on model with sandals on weekend. very flattering and great blue color!!! very happy with this purchase. highly recommend. i am 5'6"&amp;""" short torso and my usual 6 worked.")</f>
        <v>I really like this blouse a lot. very very easy to wear!! i wore with pencil skirt to work and with skort as shown similar on model with sandals on weekend. very flattering and great blue color!!! very happy with this purchase. highly recommend. i am 5'6" short torso and my usual 6 worked.</v>
      </c>
      <c r="F318" s="13">
        <f>IFERROR(__xludf.DUMMYFUNCTION("""COMPUTED_VALUE"""),5.0)</f>
        <v>5</v>
      </c>
      <c r="G318" s="13">
        <f>IFERROR(__xludf.DUMMYFUNCTION("""COMPUTED_VALUE"""),1.0)</f>
        <v>1</v>
      </c>
      <c r="H318" s="13">
        <f>IFERROR(__xludf.DUMMYFUNCTION("""COMPUTED_VALUE"""),0.0)</f>
        <v>0</v>
      </c>
      <c r="I318" s="13" t="str">
        <f>IFERROR(__xludf.DUMMYFUNCTION("""COMPUTED_VALUE"""),"General")</f>
        <v>General</v>
      </c>
      <c r="J318" s="13" t="str">
        <f>IFERROR(__xludf.DUMMYFUNCTION("""COMPUTED_VALUE"""),"Tops")</f>
        <v>Tops</v>
      </c>
      <c r="K318" s="13" t="str">
        <f>IFERROR(__xludf.DUMMYFUNCTION("""COMPUTED_VALUE"""),"Blouses")</f>
        <v>Blouses</v>
      </c>
      <c r="L318" s="13"/>
    </row>
    <row r="319">
      <c r="A319" s="13">
        <f>IFERROR(__xludf.DUMMYFUNCTION("""COMPUTED_VALUE"""),317.0)</f>
        <v>317</v>
      </c>
      <c r="B319" s="13">
        <f>IFERROR(__xludf.DUMMYFUNCTION("""COMPUTED_VALUE"""),844.0)</f>
        <v>844</v>
      </c>
      <c r="C319" s="13">
        <f>IFERROR(__xludf.DUMMYFUNCTION("""COMPUTED_VALUE"""),53.0)</f>
        <v>53</v>
      </c>
      <c r="D319" s="12" t="str">
        <f>IFERROR(__xludf.DUMMYFUNCTION("""COMPUTED_VALUE"""),"Lovely printed blouse")</f>
        <v>Lovely printed blouse</v>
      </c>
      <c r="E319" s="12" t="str">
        <f>IFERROR(__xludf.DUMMYFUNCTION("""COMPUTED_VALUE"""),"I just purchased this beautiful printed blouse in the pink color and love it! i almost always wear a size small at retailer (34d-27-35) and the fit and length are both perfect on me. if you are smaller chested you can easily go down a size. i absolutely h"&amp;"ad to have this whe i first saw it at the store and noticed how popular it was as i had to order it due to it selling out like hot cakes there. what i like about it is the texture and the ruffles at the front plus the length of the sleeves stop ri")</f>
        <v>I just purchased this beautiful printed blouse in the pink color and love it! i almost always wear a size small at retailer (34d-27-35) and the fit and length are both perfect on me. if you are smaller chested you can easily go down a size. i absolutely had to have this whe i first saw it at the store and noticed how popular it was as i had to order it due to it selling out like hot cakes there. what i like about it is the texture and the ruffles at the front plus the length of the sleeves stop ri</v>
      </c>
      <c r="F319" s="13">
        <f>IFERROR(__xludf.DUMMYFUNCTION("""COMPUTED_VALUE"""),5.0)</f>
        <v>5</v>
      </c>
      <c r="G319" s="13">
        <f>IFERROR(__xludf.DUMMYFUNCTION("""COMPUTED_VALUE"""),1.0)</f>
        <v>1</v>
      </c>
      <c r="H319" s="13">
        <f>IFERROR(__xludf.DUMMYFUNCTION("""COMPUTED_VALUE"""),4.0)</f>
        <v>4</v>
      </c>
      <c r="I319" s="13" t="str">
        <f>IFERROR(__xludf.DUMMYFUNCTION("""COMPUTED_VALUE"""),"General Petite")</f>
        <v>General Petite</v>
      </c>
      <c r="J319" s="13" t="str">
        <f>IFERROR(__xludf.DUMMYFUNCTION("""COMPUTED_VALUE"""),"Tops")</f>
        <v>Tops</v>
      </c>
      <c r="K319" s="13" t="str">
        <f>IFERROR(__xludf.DUMMYFUNCTION("""COMPUTED_VALUE"""),"Blouses")</f>
        <v>Blouses</v>
      </c>
      <c r="L319" s="13"/>
    </row>
    <row r="320">
      <c r="A320" s="13">
        <f>IFERROR(__xludf.DUMMYFUNCTION("""COMPUTED_VALUE"""),318.0)</f>
        <v>318</v>
      </c>
      <c r="B320" s="13">
        <f>IFERROR(__xludf.DUMMYFUNCTION("""COMPUTED_VALUE"""),936.0)</f>
        <v>936</v>
      </c>
      <c r="C320" s="13">
        <f>IFERROR(__xludf.DUMMYFUNCTION("""COMPUTED_VALUE"""),27.0)</f>
        <v>27</v>
      </c>
      <c r="D320" s="12" t="str">
        <f>IFERROR(__xludf.DUMMYFUNCTION("""COMPUTED_VALUE"""),"Love, love, love!")</f>
        <v>Love, love, love!</v>
      </c>
      <c r="E320" s="12" t="str">
        <f>IFERROR(__xludf.DUMMYFUNCTION("""COMPUTED_VALUE"""),"Bought this on a whim and it exceeded my expectations. i didn't know what to expect with the quality of the fabric but this is incredibly soft and warm. haven't worn it outside yet but i can see this already as one of my favorite items. i'm usually an ext"&amp;"ra-small but the xxs also fits. it's a great buy especially since it's on sale now.")</f>
        <v>Bought this on a whim and it exceeded my expectations. i didn't know what to expect with the quality of the fabric but this is incredibly soft and warm. haven't worn it outside yet but i can see this already as one of my favorite items. i'm usually an extra-small but the xxs also fits. it's a great buy especially since it's on sale now.</v>
      </c>
      <c r="F320" s="13">
        <f>IFERROR(__xludf.DUMMYFUNCTION("""COMPUTED_VALUE"""),5.0)</f>
        <v>5</v>
      </c>
      <c r="G320" s="13">
        <f>IFERROR(__xludf.DUMMYFUNCTION("""COMPUTED_VALUE"""),1.0)</f>
        <v>1</v>
      </c>
      <c r="H320" s="13">
        <f>IFERROR(__xludf.DUMMYFUNCTION("""COMPUTED_VALUE"""),2.0)</f>
        <v>2</v>
      </c>
      <c r="I320" s="13" t="str">
        <f>IFERROR(__xludf.DUMMYFUNCTION("""COMPUTED_VALUE"""),"General Petite")</f>
        <v>General Petite</v>
      </c>
      <c r="J320" s="13" t="str">
        <f>IFERROR(__xludf.DUMMYFUNCTION("""COMPUTED_VALUE"""),"Tops")</f>
        <v>Tops</v>
      </c>
      <c r="K320" s="13" t="str">
        <f>IFERROR(__xludf.DUMMYFUNCTION("""COMPUTED_VALUE"""),"Sweaters")</f>
        <v>Sweaters</v>
      </c>
      <c r="L320" s="13"/>
    </row>
    <row r="321">
      <c r="A321" s="13">
        <f>IFERROR(__xludf.DUMMYFUNCTION("""COMPUTED_VALUE"""),319.0)</f>
        <v>319</v>
      </c>
      <c r="B321" s="13">
        <f>IFERROR(__xludf.DUMMYFUNCTION("""COMPUTED_VALUE"""),895.0)</f>
        <v>895</v>
      </c>
      <c r="C321" s="13">
        <f>IFERROR(__xludf.DUMMYFUNCTION("""COMPUTED_VALUE"""),62.0)</f>
        <v>62</v>
      </c>
      <c r="D321" s="12" t="str">
        <f>IFERROR(__xludf.DUMMYFUNCTION("""COMPUTED_VALUE"""),"Loveee")</f>
        <v>Loveee</v>
      </c>
      <c r="E321" s="12" t="str">
        <f>IFERROR(__xludf.DUMMYFUNCTION("""COMPUTED_VALUE"""),"This is an awesome vest - so soft, cozy, and i cannot wait to wear it through fall and winter. for sake of not repeating all the positive aspects that the previous reviewers did, i'll mention the one flaw...no pockets :( still totally worth full price in "&amp;"my mind though.")</f>
        <v>This is an awesome vest - so soft, cozy, and i cannot wait to wear it through fall and winter. for sake of not repeating all the positive aspects that the previous reviewers did, i'll mention the one flaw...no pockets :( still totally worth full price in my mind though.</v>
      </c>
      <c r="F321" s="13">
        <f>IFERROR(__xludf.DUMMYFUNCTION("""COMPUTED_VALUE"""),5.0)</f>
        <v>5</v>
      </c>
      <c r="G321" s="13">
        <f>IFERROR(__xludf.DUMMYFUNCTION("""COMPUTED_VALUE"""),1.0)</f>
        <v>1</v>
      </c>
      <c r="H321" s="13">
        <f>IFERROR(__xludf.DUMMYFUNCTION("""COMPUTED_VALUE"""),7.0)</f>
        <v>7</v>
      </c>
      <c r="I321" s="13" t="str">
        <f>IFERROR(__xludf.DUMMYFUNCTION("""COMPUTED_VALUE"""),"General")</f>
        <v>General</v>
      </c>
      <c r="J321" s="13" t="str">
        <f>IFERROR(__xludf.DUMMYFUNCTION("""COMPUTED_VALUE"""),"Tops")</f>
        <v>Tops</v>
      </c>
      <c r="K321" s="13" t="str">
        <f>IFERROR(__xludf.DUMMYFUNCTION("""COMPUTED_VALUE"""),"Fine gauge")</f>
        <v>Fine gauge</v>
      </c>
      <c r="L321" s="13"/>
    </row>
    <row r="322">
      <c r="A322" s="13">
        <f>IFERROR(__xludf.DUMMYFUNCTION("""COMPUTED_VALUE"""),320.0)</f>
        <v>320</v>
      </c>
      <c r="B322" s="13">
        <f>IFERROR(__xludf.DUMMYFUNCTION("""COMPUTED_VALUE"""),836.0)</f>
        <v>836</v>
      </c>
      <c r="C322" s="13">
        <f>IFERROR(__xludf.DUMMYFUNCTION("""COMPUTED_VALUE"""),41.0)</f>
        <v>41</v>
      </c>
      <c r="D322" s="12"/>
      <c r="E322" s="12" t="str">
        <f>IFERROR(__xludf.DUMMYFUNCTION("""COMPUTED_VALUE"""),"I find that maeve shirts tend to run a little small. i'm usually an 8 but needed this in a 10. this shirt is reallly just perfect. great sleeve length. just the right amount of v neck. beautiful pattern with a vintage feel. i love the combo of stripes, po"&amp;"lka dots and sweet flowers.")</f>
        <v>I find that maeve shirts tend to run a little small. i'm usually an 8 but needed this in a 10. this shirt is reallly just perfect. great sleeve length. just the right amount of v neck. beautiful pattern with a vintage feel. i love the combo of stripes, polka dots and sweet flowers.</v>
      </c>
      <c r="F322" s="13">
        <f>IFERROR(__xludf.DUMMYFUNCTION("""COMPUTED_VALUE"""),5.0)</f>
        <v>5</v>
      </c>
      <c r="G322" s="13">
        <f>IFERROR(__xludf.DUMMYFUNCTION("""COMPUTED_VALUE"""),1.0)</f>
        <v>1</v>
      </c>
      <c r="H322" s="13">
        <f>IFERROR(__xludf.DUMMYFUNCTION("""COMPUTED_VALUE"""),23.0)</f>
        <v>23</v>
      </c>
      <c r="I322" s="13" t="str">
        <f>IFERROR(__xludf.DUMMYFUNCTION("""COMPUTED_VALUE"""),"General")</f>
        <v>General</v>
      </c>
      <c r="J322" s="13" t="str">
        <f>IFERROR(__xludf.DUMMYFUNCTION("""COMPUTED_VALUE"""),"Tops")</f>
        <v>Tops</v>
      </c>
      <c r="K322" s="13" t="str">
        <f>IFERROR(__xludf.DUMMYFUNCTION("""COMPUTED_VALUE"""),"Blouses")</f>
        <v>Blouses</v>
      </c>
      <c r="L322" s="13"/>
    </row>
    <row r="323">
      <c r="A323" s="13">
        <f>IFERROR(__xludf.DUMMYFUNCTION("""COMPUTED_VALUE"""),321.0)</f>
        <v>321</v>
      </c>
      <c r="B323" s="13">
        <f>IFERROR(__xludf.DUMMYFUNCTION("""COMPUTED_VALUE"""),831.0)</f>
        <v>831</v>
      </c>
      <c r="C323" s="13">
        <f>IFERROR(__xludf.DUMMYFUNCTION("""COMPUTED_VALUE"""),50.0)</f>
        <v>50</v>
      </c>
      <c r="D323" s="12" t="str">
        <f>IFERROR(__xludf.DUMMYFUNCTION("""COMPUTED_VALUE"""),"My favorite new blouse")</f>
        <v>My favorite new blouse</v>
      </c>
      <c r="E323" s="12" t="str">
        <f>IFERROR(__xludf.DUMMYFUNCTION("""COMPUTED_VALUE"""),"This blouse is so pretty. i love the long tie. the pattern is very unique. it is a thin, light weight fabric so you can easily wear it underneath a leather jacket.")</f>
        <v>This blouse is so pretty. i love the long tie. the pattern is very unique. it is a thin, light weight fabric so you can easily wear it underneath a leather jacket.</v>
      </c>
      <c r="F323" s="13">
        <f>IFERROR(__xludf.DUMMYFUNCTION("""COMPUTED_VALUE"""),5.0)</f>
        <v>5</v>
      </c>
      <c r="G323" s="13">
        <f>IFERROR(__xludf.DUMMYFUNCTION("""COMPUTED_VALUE"""),1.0)</f>
        <v>1</v>
      </c>
      <c r="H323" s="13">
        <f>IFERROR(__xludf.DUMMYFUNCTION("""COMPUTED_VALUE"""),3.0)</f>
        <v>3</v>
      </c>
      <c r="I323" s="13" t="str">
        <f>IFERROR(__xludf.DUMMYFUNCTION("""COMPUTED_VALUE"""),"General")</f>
        <v>General</v>
      </c>
      <c r="J323" s="13" t="str">
        <f>IFERROR(__xludf.DUMMYFUNCTION("""COMPUTED_VALUE"""),"Tops")</f>
        <v>Tops</v>
      </c>
      <c r="K323" s="13" t="str">
        <f>IFERROR(__xludf.DUMMYFUNCTION("""COMPUTED_VALUE"""),"Blouses")</f>
        <v>Blouses</v>
      </c>
      <c r="L323" s="13"/>
    </row>
    <row r="324">
      <c r="A324" s="13">
        <f>IFERROR(__xludf.DUMMYFUNCTION("""COMPUTED_VALUE"""),322.0)</f>
        <v>322</v>
      </c>
      <c r="B324" s="13">
        <f>IFERROR(__xludf.DUMMYFUNCTION("""COMPUTED_VALUE"""),844.0)</f>
        <v>844</v>
      </c>
      <c r="C324" s="13">
        <f>IFERROR(__xludf.DUMMYFUNCTION("""COMPUTED_VALUE"""),54.0)</f>
        <v>54</v>
      </c>
      <c r="D324" s="12" t="str">
        <f>IFERROR(__xludf.DUMMYFUNCTION("""COMPUTED_VALUE"""),"A standout")</f>
        <v>A standout</v>
      </c>
      <c r="E324" s="12" t="str">
        <f>IFERROR(__xludf.DUMMYFUNCTION("""COMPUTED_VALUE"""),"This is a beautiful blouse...sheer and feminine. i am small busted and slender so i need a size smaller than usual. it is a full top...can't tell exactly how full in the photos but with a small chest there is just too much under the arms. so if your chest"&amp;" is more ample you could prob order your regular size. this is supposed to be a full, shorter fit...i would say the style is going to look better on someone who is a little taller with a medium sized bust rather than someone who is shorter and b")</f>
        <v>This is a beautiful blouse...sheer and feminine. i am small busted and slender so i need a size smaller than usual. it is a full top...can't tell exactly how full in the photos but with a small chest there is just too much under the arms. so if your chest is more ample you could prob order your regular size. this is supposed to be a full, shorter fit...i would say the style is going to look better on someone who is a little taller with a medium sized bust rather than someone who is shorter and b</v>
      </c>
      <c r="F324" s="13">
        <f>IFERROR(__xludf.DUMMYFUNCTION("""COMPUTED_VALUE"""),5.0)</f>
        <v>5</v>
      </c>
      <c r="G324" s="13">
        <f>IFERROR(__xludf.DUMMYFUNCTION("""COMPUTED_VALUE"""),1.0)</f>
        <v>1</v>
      </c>
      <c r="H324" s="13">
        <f>IFERROR(__xludf.DUMMYFUNCTION("""COMPUTED_VALUE"""),13.0)</f>
        <v>13</v>
      </c>
      <c r="I324" s="13" t="str">
        <f>IFERROR(__xludf.DUMMYFUNCTION("""COMPUTED_VALUE"""),"General Petite")</f>
        <v>General Petite</v>
      </c>
      <c r="J324" s="13" t="str">
        <f>IFERROR(__xludf.DUMMYFUNCTION("""COMPUTED_VALUE"""),"Tops")</f>
        <v>Tops</v>
      </c>
      <c r="K324" s="13" t="str">
        <f>IFERROR(__xludf.DUMMYFUNCTION("""COMPUTED_VALUE"""),"Blouses")</f>
        <v>Blouses</v>
      </c>
      <c r="L324" s="13"/>
    </row>
    <row r="325">
      <c r="A325" s="13">
        <f>IFERROR(__xludf.DUMMYFUNCTION("""COMPUTED_VALUE"""),323.0)</f>
        <v>323</v>
      </c>
      <c r="B325" s="13">
        <f>IFERROR(__xludf.DUMMYFUNCTION("""COMPUTED_VALUE"""),895.0)</f>
        <v>895</v>
      </c>
      <c r="C325" s="13">
        <f>IFERROR(__xludf.DUMMYFUNCTION("""COMPUTED_VALUE"""),47.0)</f>
        <v>47</v>
      </c>
      <c r="D325" s="12"/>
      <c r="E325" s="12"/>
      <c r="F325" s="13">
        <f>IFERROR(__xludf.DUMMYFUNCTION("""COMPUTED_VALUE"""),5.0)</f>
        <v>5</v>
      </c>
      <c r="G325" s="13">
        <f>IFERROR(__xludf.DUMMYFUNCTION("""COMPUTED_VALUE"""),1.0)</f>
        <v>1</v>
      </c>
      <c r="H325" s="13">
        <f>IFERROR(__xludf.DUMMYFUNCTION("""COMPUTED_VALUE"""),0.0)</f>
        <v>0</v>
      </c>
      <c r="I325" s="13" t="str">
        <f>IFERROR(__xludf.DUMMYFUNCTION("""COMPUTED_VALUE"""),"General")</f>
        <v>General</v>
      </c>
      <c r="J325" s="13" t="str">
        <f>IFERROR(__xludf.DUMMYFUNCTION("""COMPUTED_VALUE"""),"Tops")</f>
        <v>Tops</v>
      </c>
      <c r="K325" s="13" t="str">
        <f>IFERROR(__xludf.DUMMYFUNCTION("""COMPUTED_VALUE"""),"Fine gauge")</f>
        <v>Fine gauge</v>
      </c>
      <c r="L325" s="13"/>
    </row>
    <row r="326">
      <c r="A326" s="13">
        <f>IFERROR(__xludf.DUMMYFUNCTION("""COMPUTED_VALUE"""),324.0)</f>
        <v>324</v>
      </c>
      <c r="B326" s="13">
        <f>IFERROR(__xludf.DUMMYFUNCTION("""COMPUTED_VALUE"""),1066.0)</f>
        <v>1066</v>
      </c>
      <c r="C326" s="13">
        <f>IFERROR(__xludf.DUMMYFUNCTION("""COMPUTED_VALUE"""),41.0)</f>
        <v>41</v>
      </c>
      <c r="D326" s="12" t="str">
        <f>IFERROR(__xludf.DUMMYFUNCTION("""COMPUTED_VALUE"""),"Lovely!")</f>
        <v>Lovely!</v>
      </c>
      <c r="E326" s="12" t="str">
        <f>IFERROR(__xludf.DUMMYFUNCTION("""COMPUTED_VALUE"""),"The photo of these is truly misleading - they are a beautiful vibrant print - see the close-up photo. they are much longer on a regular person - they come a few inches above my ankle and i am 5'5""there is a neat slit off to the side on the front of each "&amp;"(like a pleat) that really allows a nice flow. these look great with boots, flats and do sit lower on the waste as i think they run slightly large. not lined, but drape beautifully. there are pockets (sewn closed upon purchase) and pack pockets.")</f>
        <v>The photo of these is truly misleading - they are a beautiful vibrant print - see the close-up photo. they are much longer on a regular person - they come a few inches above my ankle and i am 5'5"there is a neat slit off to the side on the front of each (like a pleat) that really allows a nice flow. these look great with boots, flats and do sit lower on the waste as i think they run slightly large. not lined, but drape beautifully. there are pockets (sewn closed upon purchase) and pack pockets.</v>
      </c>
      <c r="F326" s="13">
        <f>IFERROR(__xludf.DUMMYFUNCTION("""COMPUTED_VALUE"""),5.0)</f>
        <v>5</v>
      </c>
      <c r="G326" s="13">
        <f>IFERROR(__xludf.DUMMYFUNCTION("""COMPUTED_VALUE"""),1.0)</f>
        <v>1</v>
      </c>
      <c r="H326" s="13">
        <f>IFERROR(__xludf.DUMMYFUNCTION("""COMPUTED_VALUE"""),0.0)</f>
        <v>0</v>
      </c>
      <c r="I326" s="13" t="str">
        <f>IFERROR(__xludf.DUMMYFUNCTION("""COMPUTED_VALUE"""),"General")</f>
        <v>General</v>
      </c>
      <c r="J326" s="13" t="str">
        <f>IFERROR(__xludf.DUMMYFUNCTION("""COMPUTED_VALUE"""),"Bottoms")</f>
        <v>Bottoms</v>
      </c>
      <c r="K326" s="13" t="str">
        <f>IFERROR(__xludf.DUMMYFUNCTION("""COMPUTED_VALUE"""),"Pants")</f>
        <v>Pants</v>
      </c>
      <c r="L326" s="13"/>
    </row>
    <row r="327">
      <c r="A327" s="13">
        <f>IFERROR(__xludf.DUMMYFUNCTION("""COMPUTED_VALUE"""),325.0)</f>
        <v>325</v>
      </c>
      <c r="B327" s="13">
        <f>IFERROR(__xludf.DUMMYFUNCTION("""COMPUTED_VALUE"""),844.0)</f>
        <v>844</v>
      </c>
      <c r="C327" s="13">
        <f>IFERROR(__xludf.DUMMYFUNCTION("""COMPUTED_VALUE"""),43.0)</f>
        <v>43</v>
      </c>
      <c r="D327" s="12" t="str">
        <f>IFERROR(__xludf.DUMMYFUNCTION("""COMPUTED_VALUE"""),"Disappointing!")</f>
        <v>Disappointing!</v>
      </c>
      <c r="E327" s="12" t="str">
        <f>IFERROR(__xludf.DUMMYFUNCTION("""COMPUTED_VALUE"""),"Like another reviewer mentioned, this shirt is way too short. i'm only 5'2"" (xs) and there is no way this top would tuck in like on the model. also, the quality isn't great as it's very thin and there are strings hanging from some of the seams in the fro"&amp;"nt. it's a shame b/c the print is really pretty and there is this cute little bicycle charm on the tag which makes it feel more unique. sadly, it's going back!")</f>
        <v>Like another reviewer mentioned, this shirt is way too short. i'm only 5'2" (xs) and there is no way this top would tuck in like on the model. also, the quality isn't great as it's very thin and there are strings hanging from some of the seams in the front. it's a shame b/c the print is really pretty and there is this cute little bicycle charm on the tag which makes it feel more unique. sadly, it's going back!</v>
      </c>
      <c r="F327" s="13">
        <f>IFERROR(__xludf.DUMMYFUNCTION("""COMPUTED_VALUE"""),2.0)</f>
        <v>2</v>
      </c>
      <c r="G327" s="13">
        <f>IFERROR(__xludf.DUMMYFUNCTION("""COMPUTED_VALUE"""),0.0)</f>
        <v>0</v>
      </c>
      <c r="H327" s="13">
        <f>IFERROR(__xludf.DUMMYFUNCTION("""COMPUTED_VALUE"""),0.0)</f>
        <v>0</v>
      </c>
      <c r="I327" s="13" t="str">
        <f>IFERROR(__xludf.DUMMYFUNCTION("""COMPUTED_VALUE"""),"General Petite")</f>
        <v>General Petite</v>
      </c>
      <c r="J327" s="13" t="str">
        <f>IFERROR(__xludf.DUMMYFUNCTION("""COMPUTED_VALUE"""),"Tops")</f>
        <v>Tops</v>
      </c>
      <c r="K327" s="13" t="str">
        <f>IFERROR(__xludf.DUMMYFUNCTION("""COMPUTED_VALUE"""),"Blouses")</f>
        <v>Blouses</v>
      </c>
      <c r="L327" s="13"/>
    </row>
    <row r="328">
      <c r="A328" s="13">
        <f>IFERROR(__xludf.DUMMYFUNCTION("""COMPUTED_VALUE"""),326.0)</f>
        <v>326</v>
      </c>
      <c r="B328" s="13">
        <f>IFERROR(__xludf.DUMMYFUNCTION("""COMPUTED_VALUE"""),836.0)</f>
        <v>836</v>
      </c>
      <c r="C328" s="13">
        <f>IFERROR(__xludf.DUMMYFUNCTION("""COMPUTED_VALUE"""),43.0)</f>
        <v>43</v>
      </c>
      <c r="D328" s="12" t="str">
        <f>IFERROR(__xludf.DUMMYFUNCTION("""COMPUTED_VALUE"""),"Better in person")</f>
        <v>Better in person</v>
      </c>
      <c r="E328" s="12" t="str">
        <f>IFERROR(__xludf.DUMMYFUNCTION("""COMPUTED_VALUE"""),"I didn't think anything of this top online (i really don't care for how they styled it) but in store it was more interesting. i'm currently anywhere between a 2-4-6 / xs-s-m, depending on the style, 5'3"" 120lb 34b. size 2 regular in this top fit me perfe"&amp;"ctly. for some reason, on me, the sleeves were elongating and flattering (closer to my elbow) and the overall length hit me perfectly at the hip like on the model, the fabric is lightweight and therefore slightly sheer but, due to the color and p")</f>
        <v>I didn't think anything of this top online (i really don't care for how they styled it) but in store it was more interesting. i'm currently anywhere between a 2-4-6 / xs-s-m, depending on the style, 5'3" 120lb 34b. size 2 regular in this top fit me perfectly. for some reason, on me, the sleeves were elongating and flattering (closer to my elbow) and the overall length hit me perfectly at the hip like on the model, the fabric is lightweight and therefore slightly sheer but, due to the color and p</v>
      </c>
      <c r="F328" s="13">
        <f>IFERROR(__xludf.DUMMYFUNCTION("""COMPUTED_VALUE"""),5.0)</f>
        <v>5</v>
      </c>
      <c r="G328" s="13">
        <f>IFERROR(__xludf.DUMMYFUNCTION("""COMPUTED_VALUE"""),1.0)</f>
        <v>1</v>
      </c>
      <c r="H328" s="13">
        <f>IFERROR(__xludf.DUMMYFUNCTION("""COMPUTED_VALUE"""),1.0)</f>
        <v>1</v>
      </c>
      <c r="I328" s="13" t="str">
        <f>IFERROR(__xludf.DUMMYFUNCTION("""COMPUTED_VALUE"""),"General")</f>
        <v>General</v>
      </c>
      <c r="J328" s="13" t="str">
        <f>IFERROR(__xludf.DUMMYFUNCTION("""COMPUTED_VALUE"""),"Tops")</f>
        <v>Tops</v>
      </c>
      <c r="K328" s="13" t="str">
        <f>IFERROR(__xludf.DUMMYFUNCTION("""COMPUTED_VALUE"""),"Blouses")</f>
        <v>Blouses</v>
      </c>
      <c r="L328" s="13"/>
    </row>
    <row r="329">
      <c r="A329" s="13">
        <f>IFERROR(__xludf.DUMMYFUNCTION("""COMPUTED_VALUE"""),327.0)</f>
        <v>327</v>
      </c>
      <c r="B329" s="13">
        <f>IFERROR(__xludf.DUMMYFUNCTION("""COMPUTED_VALUE"""),836.0)</f>
        <v>836</v>
      </c>
      <c r="C329" s="13">
        <f>IFERROR(__xludf.DUMMYFUNCTION("""COMPUTED_VALUE"""),23.0)</f>
        <v>23</v>
      </c>
      <c r="D329" s="12" t="str">
        <f>IFERROR(__xludf.DUMMYFUNCTION("""COMPUTED_VALUE"""),"Cuter is person")</f>
        <v>Cuter is person</v>
      </c>
      <c r="E329" s="12" t="str">
        <f>IFERROR(__xludf.DUMMYFUNCTION("""COMPUTED_VALUE"""),"Nice fabric and cute design. a little low cut.")</f>
        <v>Nice fabric and cute design. a little low cut.</v>
      </c>
      <c r="F329" s="13">
        <f>IFERROR(__xludf.DUMMYFUNCTION("""COMPUTED_VALUE"""),4.0)</f>
        <v>4</v>
      </c>
      <c r="G329" s="13">
        <f>IFERROR(__xludf.DUMMYFUNCTION("""COMPUTED_VALUE"""),1.0)</f>
        <v>1</v>
      </c>
      <c r="H329" s="13">
        <f>IFERROR(__xludf.DUMMYFUNCTION("""COMPUTED_VALUE"""),0.0)</f>
        <v>0</v>
      </c>
      <c r="I329" s="13" t="str">
        <f>IFERROR(__xludf.DUMMYFUNCTION("""COMPUTED_VALUE"""),"General")</f>
        <v>General</v>
      </c>
      <c r="J329" s="13" t="str">
        <f>IFERROR(__xludf.DUMMYFUNCTION("""COMPUTED_VALUE"""),"Tops")</f>
        <v>Tops</v>
      </c>
      <c r="K329" s="13" t="str">
        <f>IFERROR(__xludf.DUMMYFUNCTION("""COMPUTED_VALUE"""),"Blouses")</f>
        <v>Blouses</v>
      </c>
      <c r="L329" s="13"/>
    </row>
    <row r="330">
      <c r="A330" s="13">
        <f>IFERROR(__xludf.DUMMYFUNCTION("""COMPUTED_VALUE"""),328.0)</f>
        <v>328</v>
      </c>
      <c r="B330" s="13">
        <f>IFERROR(__xludf.DUMMYFUNCTION("""COMPUTED_VALUE"""),907.0)</f>
        <v>907</v>
      </c>
      <c r="C330" s="13">
        <f>IFERROR(__xludf.DUMMYFUNCTION("""COMPUTED_VALUE"""),25.0)</f>
        <v>25</v>
      </c>
      <c r="D330" s="12"/>
      <c r="E330" s="12" t="str">
        <f>IFERROR(__xludf.DUMMYFUNCTION("""COMPUTED_VALUE"""),"I absolutely love this sweater!! it's soft, easy to wash, and looks great!")</f>
        <v>I absolutely love this sweater!! it's soft, easy to wash, and looks great!</v>
      </c>
      <c r="F330" s="13">
        <f>IFERROR(__xludf.DUMMYFUNCTION("""COMPUTED_VALUE"""),5.0)</f>
        <v>5</v>
      </c>
      <c r="G330" s="13">
        <f>IFERROR(__xludf.DUMMYFUNCTION("""COMPUTED_VALUE"""),1.0)</f>
        <v>1</v>
      </c>
      <c r="H330" s="13">
        <f>IFERROR(__xludf.DUMMYFUNCTION("""COMPUTED_VALUE"""),0.0)</f>
        <v>0</v>
      </c>
      <c r="I330" s="13" t="str">
        <f>IFERROR(__xludf.DUMMYFUNCTION("""COMPUTED_VALUE"""),"General")</f>
        <v>General</v>
      </c>
      <c r="J330" s="13" t="str">
        <f>IFERROR(__xludf.DUMMYFUNCTION("""COMPUTED_VALUE"""),"Tops")</f>
        <v>Tops</v>
      </c>
      <c r="K330" s="13" t="str">
        <f>IFERROR(__xludf.DUMMYFUNCTION("""COMPUTED_VALUE"""),"Fine gauge")</f>
        <v>Fine gauge</v>
      </c>
      <c r="L330" s="13"/>
    </row>
    <row r="331">
      <c r="A331" s="13">
        <f>IFERROR(__xludf.DUMMYFUNCTION("""COMPUTED_VALUE"""),329.0)</f>
        <v>329</v>
      </c>
      <c r="B331" s="13">
        <f>IFERROR(__xludf.DUMMYFUNCTION("""COMPUTED_VALUE"""),836.0)</f>
        <v>836</v>
      </c>
      <c r="C331" s="13">
        <f>IFERROR(__xludf.DUMMYFUNCTION("""COMPUTED_VALUE"""),51.0)</f>
        <v>51</v>
      </c>
      <c r="D331" s="12" t="str">
        <f>IFERROR(__xludf.DUMMYFUNCTION("""COMPUTED_VALUE"""),"Airy and flattering")</f>
        <v>Airy and flattering</v>
      </c>
      <c r="E331" s="12" t="str">
        <f>IFERROR(__xludf.DUMMYFUNCTION("""COMPUTED_VALUE"""),"The blue motif is a gorgeous indigo with an interesting pattern. a short tunic that drapes nicely and is flattering. very happy with this purchase. i plan to buy a 2nd for my mom to keep her cool and stylish.")</f>
        <v>The blue motif is a gorgeous indigo with an interesting pattern. a short tunic that drapes nicely and is flattering. very happy with this purchase. i plan to buy a 2nd for my mom to keep her cool and stylish.</v>
      </c>
      <c r="F331" s="13">
        <f>IFERROR(__xludf.DUMMYFUNCTION("""COMPUTED_VALUE"""),5.0)</f>
        <v>5</v>
      </c>
      <c r="G331" s="13">
        <f>IFERROR(__xludf.DUMMYFUNCTION("""COMPUTED_VALUE"""),1.0)</f>
        <v>1</v>
      </c>
      <c r="H331" s="13">
        <f>IFERROR(__xludf.DUMMYFUNCTION("""COMPUTED_VALUE"""),0.0)</f>
        <v>0</v>
      </c>
      <c r="I331" s="13" t="str">
        <f>IFERROR(__xludf.DUMMYFUNCTION("""COMPUTED_VALUE"""),"General")</f>
        <v>General</v>
      </c>
      <c r="J331" s="13" t="str">
        <f>IFERROR(__xludf.DUMMYFUNCTION("""COMPUTED_VALUE"""),"Tops")</f>
        <v>Tops</v>
      </c>
      <c r="K331" s="13" t="str">
        <f>IFERROR(__xludf.DUMMYFUNCTION("""COMPUTED_VALUE"""),"Blouses")</f>
        <v>Blouses</v>
      </c>
      <c r="L331" s="13"/>
    </row>
    <row r="332">
      <c r="A332" s="13">
        <f>IFERROR(__xludf.DUMMYFUNCTION("""COMPUTED_VALUE"""),330.0)</f>
        <v>330</v>
      </c>
      <c r="B332" s="13">
        <f>IFERROR(__xludf.DUMMYFUNCTION("""COMPUTED_VALUE"""),844.0)</f>
        <v>844</v>
      </c>
      <c r="C332" s="13">
        <f>IFERROR(__xludf.DUMMYFUNCTION("""COMPUTED_VALUE"""),41.0)</f>
        <v>41</v>
      </c>
      <c r="D332" s="12" t="str">
        <f>IFERROR(__xludf.DUMMYFUNCTION("""COMPUTED_VALUE"""),"Awkward fit")</f>
        <v>Awkward fit</v>
      </c>
      <c r="E332" s="12" t="str">
        <f>IFERROR(__xludf.DUMMYFUNCTION("""COMPUTED_VALUE"""),"I had high hopes for this top. really boxy, short")</f>
        <v>I had high hopes for this top. really boxy, short</v>
      </c>
      <c r="F332" s="13">
        <f>IFERROR(__xludf.DUMMYFUNCTION("""COMPUTED_VALUE"""),3.0)</f>
        <v>3</v>
      </c>
      <c r="G332" s="13">
        <f>IFERROR(__xludf.DUMMYFUNCTION("""COMPUTED_VALUE"""),0.0)</f>
        <v>0</v>
      </c>
      <c r="H332" s="13">
        <f>IFERROR(__xludf.DUMMYFUNCTION("""COMPUTED_VALUE"""),0.0)</f>
        <v>0</v>
      </c>
      <c r="I332" s="13" t="str">
        <f>IFERROR(__xludf.DUMMYFUNCTION("""COMPUTED_VALUE"""),"General Petite")</f>
        <v>General Petite</v>
      </c>
      <c r="J332" s="13" t="str">
        <f>IFERROR(__xludf.DUMMYFUNCTION("""COMPUTED_VALUE"""),"Tops")</f>
        <v>Tops</v>
      </c>
      <c r="K332" s="13" t="str">
        <f>IFERROR(__xludf.DUMMYFUNCTION("""COMPUTED_VALUE"""),"Blouses")</f>
        <v>Blouses</v>
      </c>
      <c r="L332" s="13"/>
    </row>
    <row r="333">
      <c r="A333" s="13">
        <f>IFERROR(__xludf.DUMMYFUNCTION("""COMPUTED_VALUE"""),331.0)</f>
        <v>331</v>
      </c>
      <c r="B333" s="13">
        <f>IFERROR(__xludf.DUMMYFUNCTION("""COMPUTED_VALUE"""),1103.0)</f>
        <v>1103</v>
      </c>
      <c r="C333" s="13">
        <f>IFERROR(__xludf.DUMMYFUNCTION("""COMPUTED_VALUE"""),49.0)</f>
        <v>49</v>
      </c>
      <c r="D333" s="12" t="str">
        <f>IFERROR(__xludf.DUMMYFUNCTION("""COMPUTED_VALUE"""),"Beautiful color")</f>
        <v>Beautiful color</v>
      </c>
      <c r="E333" s="12" t="str">
        <f>IFERROR(__xludf.DUMMYFUNCTION("""COMPUTED_VALUE"""),"This dress has potential, but it didn't work for me. it runs true to size to a little big, i ordered medium, my usual size for maeve). as for length it fit me as the model (5'9""). the reason i'm not keeping it is that i wish it had some darts in the back"&amp;" to help define the waist a bit,")</f>
        <v>This dress has potential, but it didn't work for me. it runs true to size to a little big, i ordered medium, my usual size for maeve). as for length it fit me as the model (5'9"). the reason i'm not keeping it is that i wish it had some darts in the back to help define the waist a bit,</v>
      </c>
      <c r="F333" s="13">
        <f>IFERROR(__xludf.DUMMYFUNCTION("""COMPUTED_VALUE"""),4.0)</f>
        <v>4</v>
      </c>
      <c r="G333" s="13">
        <f>IFERROR(__xludf.DUMMYFUNCTION("""COMPUTED_VALUE"""),1.0)</f>
        <v>1</v>
      </c>
      <c r="H333" s="13">
        <f>IFERROR(__xludf.DUMMYFUNCTION("""COMPUTED_VALUE"""),2.0)</f>
        <v>2</v>
      </c>
      <c r="I333" s="13" t="str">
        <f>IFERROR(__xludf.DUMMYFUNCTION("""COMPUTED_VALUE"""),"General")</f>
        <v>General</v>
      </c>
      <c r="J333" s="13" t="str">
        <f>IFERROR(__xludf.DUMMYFUNCTION("""COMPUTED_VALUE"""),"Dresses")</f>
        <v>Dresses</v>
      </c>
      <c r="K333" s="13" t="str">
        <f>IFERROR(__xludf.DUMMYFUNCTION("""COMPUTED_VALUE"""),"Dresses")</f>
        <v>Dresses</v>
      </c>
      <c r="L333" s="13"/>
    </row>
    <row r="334">
      <c r="A334" s="13">
        <f>IFERROR(__xludf.DUMMYFUNCTION("""COMPUTED_VALUE"""),332.0)</f>
        <v>332</v>
      </c>
      <c r="B334" s="13">
        <f>IFERROR(__xludf.DUMMYFUNCTION("""COMPUTED_VALUE"""),866.0)</f>
        <v>866</v>
      </c>
      <c r="C334" s="13">
        <f>IFERROR(__xludf.DUMMYFUNCTION("""COMPUTED_VALUE"""),46.0)</f>
        <v>46</v>
      </c>
      <c r="D334" s="12" t="str">
        <f>IFERROR(__xludf.DUMMYFUNCTION("""COMPUTED_VALUE"""),"Really good quality tee!")</f>
        <v>Really good quality tee!</v>
      </c>
      <c r="E334" s="12" t="str">
        <f>IFERROR(__xludf.DUMMYFUNCTION("""COMPUTED_VALUE"""),"I love this tee! the material is thick but not too thick. it's highly flattering- i love that the sleeves are a longer short sleeve to cover up the bingo wings. the shimmer on the front adds something special.")</f>
        <v>I love this tee! the material is thick but not too thick. it's highly flattering- i love that the sleeves are a longer short sleeve to cover up the bingo wings. the shimmer on the front adds something special.</v>
      </c>
      <c r="F334" s="13">
        <f>IFERROR(__xludf.DUMMYFUNCTION("""COMPUTED_VALUE"""),5.0)</f>
        <v>5</v>
      </c>
      <c r="G334" s="13">
        <f>IFERROR(__xludf.DUMMYFUNCTION("""COMPUTED_VALUE"""),1.0)</f>
        <v>1</v>
      </c>
      <c r="H334" s="13">
        <f>IFERROR(__xludf.DUMMYFUNCTION("""COMPUTED_VALUE"""),5.0)</f>
        <v>5</v>
      </c>
      <c r="I334" s="13" t="str">
        <f>IFERROR(__xludf.DUMMYFUNCTION("""COMPUTED_VALUE"""),"General")</f>
        <v>General</v>
      </c>
      <c r="J334" s="13" t="str">
        <f>IFERROR(__xludf.DUMMYFUNCTION("""COMPUTED_VALUE"""),"Tops")</f>
        <v>Tops</v>
      </c>
      <c r="K334" s="13" t="str">
        <f>IFERROR(__xludf.DUMMYFUNCTION("""COMPUTED_VALUE"""),"Knits")</f>
        <v>Knits</v>
      </c>
      <c r="L334" s="13"/>
    </row>
    <row r="335">
      <c r="A335" s="13">
        <f>IFERROR(__xludf.DUMMYFUNCTION("""COMPUTED_VALUE"""),333.0)</f>
        <v>333</v>
      </c>
      <c r="B335" s="13">
        <f>IFERROR(__xludf.DUMMYFUNCTION("""COMPUTED_VALUE"""),907.0)</f>
        <v>907</v>
      </c>
      <c r="C335" s="13">
        <f>IFERROR(__xludf.DUMMYFUNCTION("""COMPUTED_VALUE"""),29.0)</f>
        <v>29</v>
      </c>
      <c r="D335" s="12" t="str">
        <f>IFERROR(__xludf.DUMMYFUNCTION("""COMPUTED_VALUE"""),"Cute top")</f>
        <v>Cute top</v>
      </c>
      <c r="E335" s="12" t="str">
        <f>IFERROR(__xludf.DUMMYFUNCTION("""COMPUTED_VALUE"""),"I got this top in the black and i love it. the bottom is a silky material that's really beautiful, and the cutout details are really pretty. so many of retailer's sweaters are enormous, but this one fits tts. 
my one complaint is that the bottom white pa"&amp;"rt wrinkles really easily.")</f>
        <v>I got this top in the black and i love it. the bottom is a silky material that's really beautiful, and the cutout details are really pretty. so many of retailer's sweaters are enormous, but this one fits tts. 
my one complaint is that the bottom white part wrinkles really easily.</v>
      </c>
      <c r="F335" s="13">
        <f>IFERROR(__xludf.DUMMYFUNCTION("""COMPUTED_VALUE"""),5.0)</f>
        <v>5</v>
      </c>
      <c r="G335" s="13">
        <f>IFERROR(__xludf.DUMMYFUNCTION("""COMPUTED_VALUE"""),1.0)</f>
        <v>1</v>
      </c>
      <c r="H335" s="13">
        <f>IFERROR(__xludf.DUMMYFUNCTION("""COMPUTED_VALUE"""),6.0)</f>
        <v>6</v>
      </c>
      <c r="I335" s="13" t="str">
        <f>IFERROR(__xludf.DUMMYFUNCTION("""COMPUTED_VALUE"""),"General")</f>
        <v>General</v>
      </c>
      <c r="J335" s="13" t="str">
        <f>IFERROR(__xludf.DUMMYFUNCTION("""COMPUTED_VALUE"""),"Tops")</f>
        <v>Tops</v>
      </c>
      <c r="K335" s="13" t="str">
        <f>IFERROR(__xludf.DUMMYFUNCTION("""COMPUTED_VALUE"""),"Fine gauge")</f>
        <v>Fine gauge</v>
      </c>
      <c r="L335" s="13"/>
    </row>
    <row r="336">
      <c r="A336" s="13">
        <f>IFERROR(__xludf.DUMMYFUNCTION("""COMPUTED_VALUE"""),334.0)</f>
        <v>334</v>
      </c>
      <c r="B336" s="13">
        <f>IFERROR(__xludf.DUMMYFUNCTION("""COMPUTED_VALUE"""),844.0)</f>
        <v>844</v>
      </c>
      <c r="C336" s="13">
        <f>IFERROR(__xludf.DUMMYFUNCTION("""COMPUTED_VALUE"""),53.0)</f>
        <v>53</v>
      </c>
      <c r="D336" s="12" t="str">
        <f>IFERROR(__xludf.DUMMYFUNCTION("""COMPUTED_VALUE"""),"Not a good fit")</f>
        <v>Not a good fit</v>
      </c>
      <c r="E336" s="12" t="str">
        <f>IFERROR(__xludf.DUMMYFUNCTION("""COMPUTED_VALUE"""),"This top was way too short (i'm only 5'1) and way too wide. the cut of this top was so wide, it looked like a tent on me. i really wanted to love this top because the material and style (sleeves, ruffle) are beautiful, unfortunately there is something wro"&amp;"ng with the cut. i've have several blouses made by one fine day, which fit nicely, for some reason this top did not. i ordered in my usual s size, even going to an xs would not work because the cut is wrong.")</f>
        <v>This top was way too short (i'm only 5'1) and way too wide. the cut of this top was so wide, it looked like a tent on me. i really wanted to love this top because the material and style (sleeves, ruffle) are beautiful, unfortunately there is something wrong with the cut. i've have several blouses made by one fine day, which fit nicely, for some reason this top did not. i ordered in my usual s size, even going to an xs would not work because the cut is wrong.</v>
      </c>
      <c r="F336" s="13">
        <f>IFERROR(__xludf.DUMMYFUNCTION("""COMPUTED_VALUE"""),1.0)</f>
        <v>1</v>
      </c>
      <c r="G336" s="13">
        <f>IFERROR(__xludf.DUMMYFUNCTION("""COMPUTED_VALUE"""),0.0)</f>
        <v>0</v>
      </c>
      <c r="H336" s="13">
        <f>IFERROR(__xludf.DUMMYFUNCTION("""COMPUTED_VALUE"""),17.0)</f>
        <v>17</v>
      </c>
      <c r="I336" s="13" t="str">
        <f>IFERROR(__xludf.DUMMYFUNCTION("""COMPUTED_VALUE"""),"General Petite")</f>
        <v>General Petite</v>
      </c>
      <c r="J336" s="13" t="str">
        <f>IFERROR(__xludf.DUMMYFUNCTION("""COMPUTED_VALUE"""),"Tops")</f>
        <v>Tops</v>
      </c>
      <c r="K336" s="13" t="str">
        <f>IFERROR(__xludf.DUMMYFUNCTION("""COMPUTED_VALUE"""),"Blouses")</f>
        <v>Blouses</v>
      </c>
      <c r="L336" s="13"/>
    </row>
    <row r="337">
      <c r="A337" s="13">
        <f>IFERROR(__xludf.DUMMYFUNCTION("""COMPUTED_VALUE"""),335.0)</f>
        <v>335</v>
      </c>
      <c r="B337" s="13">
        <f>IFERROR(__xludf.DUMMYFUNCTION("""COMPUTED_VALUE"""),895.0)</f>
        <v>895</v>
      </c>
      <c r="C337" s="13">
        <f>IFERROR(__xludf.DUMMYFUNCTION("""COMPUTED_VALUE"""),66.0)</f>
        <v>66</v>
      </c>
      <c r="D337" s="12" t="str">
        <f>IFERROR(__xludf.DUMMYFUNCTION("""COMPUTED_VALUE"""),"Cutest vest")</f>
        <v>Cutest vest</v>
      </c>
      <c r="E337" s="12" t="str">
        <f>IFERROR(__xludf.DUMMYFUNCTION("""COMPUTED_VALUE"""),"My daughter and i both purchased this vest at an retailer store. this vest is so flattering on and is so much cuter in person than in the online picture. it is chic and stylish and will definitely be a staple for fall and winter.")</f>
        <v>My daughter and i both purchased this vest at an retailer store. this vest is so flattering on and is so much cuter in person than in the online picture. it is chic and stylish and will definitely be a staple for fall and winter.</v>
      </c>
      <c r="F337" s="13">
        <f>IFERROR(__xludf.DUMMYFUNCTION("""COMPUTED_VALUE"""),5.0)</f>
        <v>5</v>
      </c>
      <c r="G337" s="13">
        <f>IFERROR(__xludf.DUMMYFUNCTION("""COMPUTED_VALUE"""),1.0)</f>
        <v>1</v>
      </c>
      <c r="H337" s="13">
        <f>IFERROR(__xludf.DUMMYFUNCTION("""COMPUTED_VALUE"""),6.0)</f>
        <v>6</v>
      </c>
      <c r="I337" s="13" t="str">
        <f>IFERROR(__xludf.DUMMYFUNCTION("""COMPUTED_VALUE"""),"General")</f>
        <v>General</v>
      </c>
      <c r="J337" s="13" t="str">
        <f>IFERROR(__xludf.DUMMYFUNCTION("""COMPUTED_VALUE"""),"Tops")</f>
        <v>Tops</v>
      </c>
      <c r="K337" s="13" t="str">
        <f>IFERROR(__xludf.DUMMYFUNCTION("""COMPUTED_VALUE"""),"Fine gauge")</f>
        <v>Fine gauge</v>
      </c>
      <c r="L337" s="13"/>
    </row>
    <row r="338">
      <c r="A338" s="13">
        <f>IFERROR(__xludf.DUMMYFUNCTION("""COMPUTED_VALUE"""),336.0)</f>
        <v>336</v>
      </c>
      <c r="B338" s="13">
        <f>IFERROR(__xludf.DUMMYFUNCTION("""COMPUTED_VALUE"""),895.0)</f>
        <v>895</v>
      </c>
      <c r="C338" s="13">
        <f>IFERROR(__xludf.DUMMYFUNCTION("""COMPUTED_VALUE"""),32.0)</f>
        <v>32</v>
      </c>
      <c r="D338" s="12"/>
      <c r="E338" s="12" t="str">
        <f>IFERROR(__xludf.DUMMYFUNCTION("""COMPUTED_VALUE"""),"This is a great piece to help ease on in to the chillier days of fall and winter. it's versatile- i can see myself wearing it with plain short or long sleeved tees or even tops with more elaborate padderns or button downs! there's so many options i cannot"&amp;" wait to put this gorgeous piece to use! just as an fyi, the sleeve openings are slightly unfinished and have a frayed effect to them. this may not even be noticeable if you're not looking right up close. for me, this adds to the unique quality")</f>
        <v>This is a great piece to help ease on in to the chillier days of fall and winter. it's versatile- i can see myself wearing it with plain short or long sleeved tees or even tops with more elaborate padderns or button downs! there's so many options i cannot wait to put this gorgeous piece to use! just as an fyi, the sleeve openings are slightly unfinished and have a frayed effect to them. this may not even be noticeable if you're not looking right up close. for me, this adds to the unique quality</v>
      </c>
      <c r="F338" s="13">
        <f>IFERROR(__xludf.DUMMYFUNCTION("""COMPUTED_VALUE"""),5.0)</f>
        <v>5</v>
      </c>
      <c r="G338" s="13">
        <f>IFERROR(__xludf.DUMMYFUNCTION("""COMPUTED_VALUE"""),1.0)</f>
        <v>1</v>
      </c>
      <c r="H338" s="13">
        <f>IFERROR(__xludf.DUMMYFUNCTION("""COMPUTED_VALUE"""),2.0)</f>
        <v>2</v>
      </c>
      <c r="I338" s="13" t="str">
        <f>IFERROR(__xludf.DUMMYFUNCTION("""COMPUTED_VALUE"""),"General")</f>
        <v>General</v>
      </c>
      <c r="J338" s="13" t="str">
        <f>IFERROR(__xludf.DUMMYFUNCTION("""COMPUTED_VALUE"""),"Tops")</f>
        <v>Tops</v>
      </c>
      <c r="K338" s="13" t="str">
        <f>IFERROR(__xludf.DUMMYFUNCTION("""COMPUTED_VALUE"""),"Fine gauge")</f>
        <v>Fine gauge</v>
      </c>
      <c r="L338" s="13"/>
    </row>
    <row r="339">
      <c r="A339" s="13">
        <f>IFERROR(__xludf.DUMMYFUNCTION("""COMPUTED_VALUE"""),337.0)</f>
        <v>337</v>
      </c>
      <c r="B339" s="13">
        <f>IFERROR(__xludf.DUMMYFUNCTION("""COMPUTED_VALUE"""),1080.0)</f>
        <v>1080</v>
      </c>
      <c r="C339" s="13">
        <f>IFERROR(__xludf.DUMMYFUNCTION("""COMPUTED_VALUE"""),74.0)</f>
        <v>74</v>
      </c>
      <c r="D339" s="12" t="str">
        <f>IFERROR(__xludf.DUMMYFUNCTION("""COMPUTED_VALUE"""),"Beautiful, vintage feel, delicate beadwork")</f>
        <v>Beautiful, vintage feel, delicate beadwork</v>
      </c>
      <c r="E339" s="12" t="str">
        <f>IFERROR(__xludf.DUMMYFUNCTION("""COMPUTED_VALUE"""),"I just got this dress in the mail today and it is even better in person! the description didn't give as much information as i wanted so i'm going to be very detailed in this review. i did take off one star for quality because some of the beads are already"&amp;" loose (two fell off when i picked the dress up for the first time), and i'll have to hand sew others on more tightly. my usual size is a pxs or p0, and there were no petite sizes available. however the size 0 fits perfectly, no alterations need")</f>
        <v>I just got this dress in the mail today and it is even better in person! the description didn't give as much information as i wanted so i'm going to be very detailed in this review. i did take off one star for quality because some of the beads are already loose (two fell off when i picked the dress up for the first time), and i'll have to hand sew others on more tightly. my usual size is a pxs or p0, and there were no petite sizes available. however the size 0 fits perfectly, no alterations need</v>
      </c>
      <c r="F339" s="13">
        <f>IFERROR(__xludf.DUMMYFUNCTION("""COMPUTED_VALUE"""),5.0)</f>
        <v>5</v>
      </c>
      <c r="G339" s="13">
        <f>IFERROR(__xludf.DUMMYFUNCTION("""COMPUTED_VALUE"""),1.0)</f>
        <v>1</v>
      </c>
      <c r="H339" s="13">
        <f>IFERROR(__xludf.DUMMYFUNCTION("""COMPUTED_VALUE"""),9.0)</f>
        <v>9</v>
      </c>
      <c r="I339" s="13" t="str">
        <f>IFERROR(__xludf.DUMMYFUNCTION("""COMPUTED_VALUE"""),"General Petite")</f>
        <v>General Petite</v>
      </c>
      <c r="J339" s="13" t="str">
        <f>IFERROR(__xludf.DUMMYFUNCTION("""COMPUTED_VALUE"""),"Dresses")</f>
        <v>Dresses</v>
      </c>
      <c r="K339" s="13" t="str">
        <f>IFERROR(__xludf.DUMMYFUNCTION("""COMPUTED_VALUE"""),"Dresses")</f>
        <v>Dresses</v>
      </c>
      <c r="L339" s="13"/>
    </row>
    <row r="340">
      <c r="A340" s="13">
        <f>IFERROR(__xludf.DUMMYFUNCTION("""COMPUTED_VALUE"""),338.0)</f>
        <v>338</v>
      </c>
      <c r="B340" s="13">
        <f>IFERROR(__xludf.DUMMYFUNCTION("""COMPUTED_VALUE"""),831.0)</f>
        <v>831</v>
      </c>
      <c r="C340" s="13">
        <f>IFERROR(__xludf.DUMMYFUNCTION("""COMPUTED_VALUE"""),63.0)</f>
        <v>63</v>
      </c>
      <c r="D340" s="12" t="str">
        <f>IFERROR(__xludf.DUMMYFUNCTION("""COMPUTED_VALUE"""),"Very interesting design")</f>
        <v>Very interesting design</v>
      </c>
      <c r="E340" s="12" t="str">
        <f>IFERROR(__xludf.DUMMYFUNCTION("""COMPUTED_VALUE"""),"When i received this blouse, ai noticed that there were gold dots all over the blouse and they were very sticky. some of the fabric would stick to these dots. i thought it was because the weather was sticky and humid. however, after hanging on my closet d"&amp;"oor, the dots are still sticky. i do love the design and fabric so i will try not to let the sticky dots bother me.")</f>
        <v>When i received this blouse, ai noticed that there were gold dots all over the blouse and they were very sticky. some of the fabric would stick to these dots. i thought it was because the weather was sticky and humid. however, after hanging on my closet door, the dots are still sticky. i do love the design and fabric so i will try not to let the sticky dots bother me.</v>
      </c>
      <c r="F340" s="13">
        <f>IFERROR(__xludf.DUMMYFUNCTION("""COMPUTED_VALUE"""),5.0)</f>
        <v>5</v>
      </c>
      <c r="G340" s="13">
        <f>IFERROR(__xludf.DUMMYFUNCTION("""COMPUTED_VALUE"""),1.0)</f>
        <v>1</v>
      </c>
      <c r="H340" s="13">
        <f>IFERROR(__xludf.DUMMYFUNCTION("""COMPUTED_VALUE"""),0.0)</f>
        <v>0</v>
      </c>
      <c r="I340" s="13" t="str">
        <f>IFERROR(__xludf.DUMMYFUNCTION("""COMPUTED_VALUE"""),"General")</f>
        <v>General</v>
      </c>
      <c r="J340" s="13" t="str">
        <f>IFERROR(__xludf.DUMMYFUNCTION("""COMPUTED_VALUE"""),"Tops")</f>
        <v>Tops</v>
      </c>
      <c r="K340" s="13" t="str">
        <f>IFERROR(__xludf.DUMMYFUNCTION("""COMPUTED_VALUE"""),"Blouses")</f>
        <v>Blouses</v>
      </c>
      <c r="L340" s="13"/>
    </row>
    <row r="341">
      <c r="A341" s="13">
        <f>IFERROR(__xludf.DUMMYFUNCTION("""COMPUTED_VALUE"""),339.0)</f>
        <v>339</v>
      </c>
      <c r="B341" s="13">
        <f>IFERROR(__xludf.DUMMYFUNCTION("""COMPUTED_VALUE"""),844.0)</f>
        <v>844</v>
      </c>
      <c r="C341" s="13">
        <f>IFERROR(__xludf.DUMMYFUNCTION("""COMPUTED_VALUE"""),41.0)</f>
        <v>41</v>
      </c>
      <c r="D341" s="12" t="str">
        <f>IFERROR(__xludf.DUMMYFUNCTION("""COMPUTED_VALUE"""),"Fun and flowy")</f>
        <v>Fun and flowy</v>
      </c>
      <c r="E341" s="12" t="str">
        <f>IFERROR(__xludf.DUMMYFUNCTION("""COMPUTED_VALUE"""),"Wasn't sure about this top based on reviews, but glad i purchased! pretty print, looks great with denim. very loose, flowy top. hangs a little short, but that's the style of this blouse. fit true to size. i usually wear a 2/4 and xs/sm with 30dd. size sma"&amp;"ll worked for me.")</f>
        <v>Wasn't sure about this top based on reviews, but glad i purchased! pretty print, looks great with denim. very loose, flowy top. hangs a little short, but that's the style of this blouse. fit true to size. i usually wear a 2/4 and xs/sm with 30dd. size small worked for me.</v>
      </c>
      <c r="F341" s="13">
        <f>IFERROR(__xludf.DUMMYFUNCTION("""COMPUTED_VALUE"""),5.0)</f>
        <v>5</v>
      </c>
      <c r="G341" s="13">
        <f>IFERROR(__xludf.DUMMYFUNCTION("""COMPUTED_VALUE"""),1.0)</f>
        <v>1</v>
      </c>
      <c r="H341" s="13">
        <f>IFERROR(__xludf.DUMMYFUNCTION("""COMPUTED_VALUE"""),0.0)</f>
        <v>0</v>
      </c>
      <c r="I341" s="13" t="str">
        <f>IFERROR(__xludf.DUMMYFUNCTION("""COMPUTED_VALUE"""),"General Petite")</f>
        <v>General Petite</v>
      </c>
      <c r="J341" s="13" t="str">
        <f>IFERROR(__xludf.DUMMYFUNCTION("""COMPUTED_VALUE"""),"Tops")</f>
        <v>Tops</v>
      </c>
      <c r="K341" s="13" t="str">
        <f>IFERROR(__xludf.DUMMYFUNCTION("""COMPUTED_VALUE"""),"Blouses")</f>
        <v>Blouses</v>
      </c>
      <c r="L341" s="13"/>
    </row>
    <row r="342">
      <c r="A342" s="13">
        <f>IFERROR(__xludf.DUMMYFUNCTION("""COMPUTED_VALUE"""),340.0)</f>
        <v>340</v>
      </c>
      <c r="B342" s="13">
        <f>IFERROR(__xludf.DUMMYFUNCTION("""COMPUTED_VALUE"""),844.0)</f>
        <v>844</v>
      </c>
      <c r="C342" s="13">
        <f>IFERROR(__xludf.DUMMYFUNCTION("""COMPUTED_VALUE"""),40.0)</f>
        <v>40</v>
      </c>
      <c r="D342" s="12" t="str">
        <f>IFERROR(__xludf.DUMMYFUNCTION("""COMPUTED_VALUE"""),"Beautiful shirt")</f>
        <v>Beautiful shirt</v>
      </c>
      <c r="E342" s="12" t="str">
        <f>IFERROR(__xludf.DUMMYFUNCTION("""COMPUTED_VALUE"""),"Ordered the shirt online. beautiful print and good quality material. runs very large - size down 1 may be 2 sizes as the material on the body is very wide. i will be exchanging it in the store.")</f>
        <v>Ordered the shirt online. beautiful print and good quality material. runs very large - size down 1 may be 2 sizes as the material on the body is very wide. i will be exchanging it in the store.</v>
      </c>
      <c r="F342" s="13">
        <f>IFERROR(__xludf.DUMMYFUNCTION("""COMPUTED_VALUE"""),4.0)</f>
        <v>4</v>
      </c>
      <c r="G342" s="13">
        <f>IFERROR(__xludf.DUMMYFUNCTION("""COMPUTED_VALUE"""),1.0)</f>
        <v>1</v>
      </c>
      <c r="H342" s="13">
        <f>IFERROR(__xludf.DUMMYFUNCTION("""COMPUTED_VALUE"""),0.0)</f>
        <v>0</v>
      </c>
      <c r="I342" s="13" t="str">
        <f>IFERROR(__xludf.DUMMYFUNCTION("""COMPUTED_VALUE"""),"General Petite")</f>
        <v>General Petite</v>
      </c>
      <c r="J342" s="13" t="str">
        <f>IFERROR(__xludf.DUMMYFUNCTION("""COMPUTED_VALUE"""),"Tops")</f>
        <v>Tops</v>
      </c>
      <c r="K342" s="13" t="str">
        <f>IFERROR(__xludf.DUMMYFUNCTION("""COMPUTED_VALUE"""),"Blouses")</f>
        <v>Blouses</v>
      </c>
      <c r="L342" s="13"/>
    </row>
    <row r="343">
      <c r="A343" s="13">
        <f>IFERROR(__xludf.DUMMYFUNCTION("""COMPUTED_VALUE"""),341.0)</f>
        <v>341</v>
      </c>
      <c r="B343" s="13">
        <f>IFERROR(__xludf.DUMMYFUNCTION("""COMPUTED_VALUE"""),831.0)</f>
        <v>831</v>
      </c>
      <c r="C343" s="13">
        <f>IFERROR(__xludf.DUMMYFUNCTION("""COMPUTED_VALUE"""),40.0)</f>
        <v>40</v>
      </c>
      <c r="D343" s="12" t="str">
        <f>IFERROR(__xludf.DUMMYFUNCTION("""COMPUTED_VALUE"""),"Beautiful fabric")</f>
        <v>Beautiful fabric</v>
      </c>
      <c r="E343" s="12" t="str">
        <f>IFERROR(__xludf.DUMMYFUNCTION("""COMPUTED_VALUE"""),"This too is so beautiful in person. there is gold dots all over the blouse that are not overwhelming. i love this top with business attire and denim. fits tts.")</f>
        <v>This too is so beautiful in person. there is gold dots all over the blouse that are not overwhelming. i love this top with business attire and denim. fits tts.</v>
      </c>
      <c r="F343" s="13">
        <f>IFERROR(__xludf.DUMMYFUNCTION("""COMPUTED_VALUE"""),5.0)</f>
        <v>5</v>
      </c>
      <c r="G343" s="13">
        <f>IFERROR(__xludf.DUMMYFUNCTION("""COMPUTED_VALUE"""),1.0)</f>
        <v>1</v>
      </c>
      <c r="H343" s="13">
        <f>IFERROR(__xludf.DUMMYFUNCTION("""COMPUTED_VALUE"""),0.0)</f>
        <v>0</v>
      </c>
      <c r="I343" s="13" t="str">
        <f>IFERROR(__xludf.DUMMYFUNCTION("""COMPUTED_VALUE"""),"General")</f>
        <v>General</v>
      </c>
      <c r="J343" s="13" t="str">
        <f>IFERROR(__xludf.DUMMYFUNCTION("""COMPUTED_VALUE"""),"Tops")</f>
        <v>Tops</v>
      </c>
      <c r="K343" s="13" t="str">
        <f>IFERROR(__xludf.DUMMYFUNCTION("""COMPUTED_VALUE"""),"Blouses")</f>
        <v>Blouses</v>
      </c>
      <c r="L343" s="13"/>
    </row>
    <row r="344">
      <c r="A344" s="13">
        <f>IFERROR(__xludf.DUMMYFUNCTION("""COMPUTED_VALUE"""),342.0)</f>
        <v>342</v>
      </c>
      <c r="B344" s="13">
        <f>IFERROR(__xludf.DUMMYFUNCTION("""COMPUTED_VALUE"""),836.0)</f>
        <v>836</v>
      </c>
      <c r="C344" s="13">
        <f>IFERROR(__xludf.DUMMYFUNCTION("""COMPUTED_VALUE"""),32.0)</f>
        <v>32</v>
      </c>
      <c r="D344" s="12"/>
      <c r="E344" s="12"/>
      <c r="F344" s="13">
        <f>IFERROR(__xludf.DUMMYFUNCTION("""COMPUTED_VALUE"""),5.0)</f>
        <v>5</v>
      </c>
      <c r="G344" s="13">
        <f>IFERROR(__xludf.DUMMYFUNCTION("""COMPUTED_VALUE"""),1.0)</f>
        <v>1</v>
      </c>
      <c r="H344" s="13">
        <f>IFERROR(__xludf.DUMMYFUNCTION("""COMPUTED_VALUE"""),0.0)</f>
        <v>0</v>
      </c>
      <c r="I344" s="13" t="str">
        <f>IFERROR(__xludf.DUMMYFUNCTION("""COMPUTED_VALUE"""),"General")</f>
        <v>General</v>
      </c>
      <c r="J344" s="13" t="str">
        <f>IFERROR(__xludf.DUMMYFUNCTION("""COMPUTED_VALUE"""),"Tops")</f>
        <v>Tops</v>
      </c>
      <c r="K344" s="13" t="str">
        <f>IFERROR(__xludf.DUMMYFUNCTION("""COMPUTED_VALUE"""),"Blouses")</f>
        <v>Blouses</v>
      </c>
      <c r="L344" s="13"/>
    </row>
    <row r="345">
      <c r="A345" s="13">
        <f>IFERROR(__xludf.DUMMYFUNCTION("""COMPUTED_VALUE"""),343.0)</f>
        <v>343</v>
      </c>
      <c r="B345" s="13">
        <f>IFERROR(__xludf.DUMMYFUNCTION("""COMPUTED_VALUE"""),907.0)</f>
        <v>907</v>
      </c>
      <c r="C345" s="13">
        <f>IFERROR(__xludf.DUMMYFUNCTION("""COMPUTED_VALUE"""),49.0)</f>
        <v>49</v>
      </c>
      <c r="D345" s="12" t="str">
        <f>IFERROR(__xludf.DUMMYFUNCTION("""COMPUTED_VALUE"""),"Nice basic piece, will get a lot of wear.")</f>
        <v>Nice basic piece, will get a lot of wear.</v>
      </c>
      <c r="E345" s="12" t="str">
        <f>IFERROR(__xludf.DUMMYFUNCTION("""COMPUTED_VALUE"""),"I tried this in the store and i like it - nice and soft, good basic design that will pair with many pieces. but i decided to wait because of the price. i'm sure i would get a lot of use out of this top, but ultimately it didn't thrill me enough to make it"&amp;" my top priority purchase. i bought a sweater that was on sale instead. still, a very nice top. i may buy it eventually, especially if it goes on sale.")</f>
        <v>I tried this in the store and i like it - nice and soft, good basic design that will pair with many pieces. but i decided to wait because of the price. i'm sure i would get a lot of use out of this top, but ultimately it didn't thrill me enough to make it my top priority purchase. i bought a sweater that was on sale instead. still, a very nice top. i may buy it eventually, especially if it goes on sale.</v>
      </c>
      <c r="F345" s="13">
        <f>IFERROR(__xludf.DUMMYFUNCTION("""COMPUTED_VALUE"""),5.0)</f>
        <v>5</v>
      </c>
      <c r="G345" s="13">
        <f>IFERROR(__xludf.DUMMYFUNCTION("""COMPUTED_VALUE"""),1.0)</f>
        <v>1</v>
      </c>
      <c r="H345" s="13">
        <f>IFERROR(__xludf.DUMMYFUNCTION("""COMPUTED_VALUE"""),3.0)</f>
        <v>3</v>
      </c>
      <c r="I345" s="13" t="str">
        <f>IFERROR(__xludf.DUMMYFUNCTION("""COMPUTED_VALUE"""),"General")</f>
        <v>General</v>
      </c>
      <c r="J345" s="13" t="str">
        <f>IFERROR(__xludf.DUMMYFUNCTION("""COMPUTED_VALUE"""),"Tops")</f>
        <v>Tops</v>
      </c>
      <c r="K345" s="13" t="str">
        <f>IFERROR(__xludf.DUMMYFUNCTION("""COMPUTED_VALUE"""),"Fine gauge")</f>
        <v>Fine gauge</v>
      </c>
      <c r="L345" s="13"/>
    </row>
    <row r="346">
      <c r="A346" s="13">
        <f>IFERROR(__xludf.DUMMYFUNCTION("""COMPUTED_VALUE"""),344.0)</f>
        <v>344</v>
      </c>
      <c r="B346" s="13">
        <f>IFERROR(__xludf.DUMMYFUNCTION("""COMPUTED_VALUE"""),844.0)</f>
        <v>844</v>
      </c>
      <c r="C346" s="13">
        <f>IFERROR(__xludf.DUMMYFUNCTION("""COMPUTED_VALUE"""),44.0)</f>
        <v>44</v>
      </c>
      <c r="D346" s="12"/>
      <c r="E346" s="12" t="str">
        <f>IFERROR(__xludf.DUMMYFUNCTION("""COMPUTED_VALUE"""),"Gorgeous in every way except its length and how it hangs at the bottom. i prefer a shirt i can wear tucked in or out. this one will work well tucked in but not out so i am returning disappointed it was so well done in other particulars.")</f>
        <v>Gorgeous in every way except its length and how it hangs at the bottom. i prefer a shirt i can wear tucked in or out. this one will work well tucked in but not out so i am returning disappointed it was so well done in other particulars.</v>
      </c>
      <c r="F346" s="13">
        <f>IFERROR(__xludf.DUMMYFUNCTION("""COMPUTED_VALUE"""),3.0)</f>
        <v>3</v>
      </c>
      <c r="G346" s="13">
        <f>IFERROR(__xludf.DUMMYFUNCTION("""COMPUTED_VALUE"""),0.0)</f>
        <v>0</v>
      </c>
      <c r="H346" s="13">
        <f>IFERROR(__xludf.DUMMYFUNCTION("""COMPUTED_VALUE"""),2.0)</f>
        <v>2</v>
      </c>
      <c r="I346" s="13" t="str">
        <f>IFERROR(__xludf.DUMMYFUNCTION("""COMPUTED_VALUE"""),"General Petite")</f>
        <v>General Petite</v>
      </c>
      <c r="J346" s="13" t="str">
        <f>IFERROR(__xludf.DUMMYFUNCTION("""COMPUTED_VALUE"""),"Tops")</f>
        <v>Tops</v>
      </c>
      <c r="K346" s="13" t="str">
        <f>IFERROR(__xludf.DUMMYFUNCTION("""COMPUTED_VALUE"""),"Blouses")</f>
        <v>Blouses</v>
      </c>
      <c r="L346" s="13"/>
    </row>
    <row r="347">
      <c r="A347" s="13">
        <f>IFERROR(__xludf.DUMMYFUNCTION("""COMPUTED_VALUE"""),345.0)</f>
        <v>345</v>
      </c>
      <c r="B347" s="13">
        <f>IFERROR(__xludf.DUMMYFUNCTION("""COMPUTED_VALUE"""),895.0)</f>
        <v>895</v>
      </c>
      <c r="C347" s="13">
        <f>IFERROR(__xludf.DUMMYFUNCTION("""COMPUTED_VALUE"""),24.0)</f>
        <v>24</v>
      </c>
      <c r="D347" s="12"/>
      <c r="E347" s="12"/>
      <c r="F347" s="13">
        <f>IFERROR(__xludf.DUMMYFUNCTION("""COMPUTED_VALUE"""),5.0)</f>
        <v>5</v>
      </c>
      <c r="G347" s="13">
        <f>IFERROR(__xludf.DUMMYFUNCTION("""COMPUTED_VALUE"""),1.0)</f>
        <v>1</v>
      </c>
      <c r="H347" s="13">
        <f>IFERROR(__xludf.DUMMYFUNCTION("""COMPUTED_VALUE"""),0.0)</f>
        <v>0</v>
      </c>
      <c r="I347" s="13" t="str">
        <f>IFERROR(__xludf.DUMMYFUNCTION("""COMPUTED_VALUE"""),"General")</f>
        <v>General</v>
      </c>
      <c r="J347" s="13" t="str">
        <f>IFERROR(__xludf.DUMMYFUNCTION("""COMPUTED_VALUE"""),"Tops")</f>
        <v>Tops</v>
      </c>
      <c r="K347" s="13" t="str">
        <f>IFERROR(__xludf.DUMMYFUNCTION("""COMPUTED_VALUE"""),"Fine gauge")</f>
        <v>Fine gauge</v>
      </c>
      <c r="L347" s="13"/>
    </row>
    <row r="348">
      <c r="A348" s="13">
        <f>IFERROR(__xludf.DUMMYFUNCTION("""COMPUTED_VALUE"""),346.0)</f>
        <v>346</v>
      </c>
      <c r="B348" s="13">
        <f>IFERROR(__xludf.DUMMYFUNCTION("""COMPUTED_VALUE"""),895.0)</f>
        <v>895</v>
      </c>
      <c r="C348" s="13">
        <f>IFERROR(__xludf.DUMMYFUNCTION("""COMPUTED_VALUE"""),70.0)</f>
        <v>70</v>
      </c>
      <c r="D348" s="12" t="str">
        <f>IFERROR(__xludf.DUMMYFUNCTION("""COMPUTED_VALUE"""),"Soft patterned long vest")</f>
        <v>Soft patterned long vest</v>
      </c>
      <c r="E348" s="12" t="str">
        <f>IFERROR(__xludf.DUMMYFUNCTION("""COMPUTED_VALUE"""),"I bought this in a petite size s after trying on the regular size in the store. it was a good move because the proportions in length and width are more flattering. the pattern is busy but works well with patterns in the same color group. it has no finishe"&amp;"d seams on any edge but that makes it drape nicely. it is a soft, soft fabric, almost fleece-like but not plush.")</f>
        <v>I bought this in a petite size s after trying on the regular size in the store. it was a good move because the proportions in length and width are more flattering. the pattern is busy but works well with patterns in the same color group. it has no finished seams on any edge but that makes it drape nicely. it is a soft, soft fabric, almost fleece-like but not plush.</v>
      </c>
      <c r="F348" s="13">
        <f>IFERROR(__xludf.DUMMYFUNCTION("""COMPUTED_VALUE"""),5.0)</f>
        <v>5</v>
      </c>
      <c r="G348" s="13">
        <f>IFERROR(__xludf.DUMMYFUNCTION("""COMPUTED_VALUE"""),1.0)</f>
        <v>1</v>
      </c>
      <c r="H348" s="13">
        <f>IFERROR(__xludf.DUMMYFUNCTION("""COMPUTED_VALUE"""),1.0)</f>
        <v>1</v>
      </c>
      <c r="I348" s="13" t="str">
        <f>IFERROR(__xludf.DUMMYFUNCTION("""COMPUTED_VALUE"""),"General")</f>
        <v>General</v>
      </c>
      <c r="J348" s="13" t="str">
        <f>IFERROR(__xludf.DUMMYFUNCTION("""COMPUTED_VALUE"""),"Tops")</f>
        <v>Tops</v>
      </c>
      <c r="K348" s="13" t="str">
        <f>IFERROR(__xludf.DUMMYFUNCTION("""COMPUTED_VALUE"""),"Fine gauge")</f>
        <v>Fine gauge</v>
      </c>
      <c r="L348" s="13"/>
    </row>
    <row r="349">
      <c r="A349" s="13">
        <f>IFERROR(__xludf.DUMMYFUNCTION("""COMPUTED_VALUE"""),347.0)</f>
        <v>347</v>
      </c>
      <c r="B349" s="13">
        <f>IFERROR(__xludf.DUMMYFUNCTION("""COMPUTED_VALUE"""),907.0)</f>
        <v>907</v>
      </c>
      <c r="C349" s="13">
        <f>IFERROR(__xludf.DUMMYFUNCTION("""COMPUTED_VALUE"""),30.0)</f>
        <v>30</v>
      </c>
      <c r="D349" s="12" t="str">
        <f>IFERROR(__xludf.DUMMYFUNCTION("""COMPUTED_VALUE"""),"Great piece")</f>
        <v>Great piece</v>
      </c>
      <c r="E349" s="12" t="str">
        <f>IFERROR(__xludf.DUMMYFUNCTION("""COMPUTED_VALUE"""),"I love how soft the sweater materials is and that the built in layer piece falls so nicely. i purchased a small in black and have already worn it with jeans and heels for a dinner and with cropped work pants for the office. the bottom piece does wrinkle a"&amp;" lot but you can easily smooth it out. really quality materials and on sale this is quite a steal!")</f>
        <v>I love how soft the sweater materials is and that the built in layer piece falls so nicely. i purchased a small in black and have already worn it with jeans and heels for a dinner and with cropped work pants for the office. the bottom piece does wrinkle a lot but you can easily smooth it out. really quality materials and on sale this is quite a steal!</v>
      </c>
      <c r="F349" s="13">
        <f>IFERROR(__xludf.DUMMYFUNCTION("""COMPUTED_VALUE"""),5.0)</f>
        <v>5</v>
      </c>
      <c r="G349" s="13">
        <f>IFERROR(__xludf.DUMMYFUNCTION("""COMPUTED_VALUE"""),1.0)</f>
        <v>1</v>
      </c>
      <c r="H349" s="13">
        <f>IFERROR(__xludf.DUMMYFUNCTION("""COMPUTED_VALUE"""),1.0)</f>
        <v>1</v>
      </c>
      <c r="I349" s="13" t="str">
        <f>IFERROR(__xludf.DUMMYFUNCTION("""COMPUTED_VALUE"""),"General")</f>
        <v>General</v>
      </c>
      <c r="J349" s="13" t="str">
        <f>IFERROR(__xludf.DUMMYFUNCTION("""COMPUTED_VALUE"""),"Tops")</f>
        <v>Tops</v>
      </c>
      <c r="K349" s="13" t="str">
        <f>IFERROR(__xludf.DUMMYFUNCTION("""COMPUTED_VALUE"""),"Fine gauge")</f>
        <v>Fine gauge</v>
      </c>
      <c r="L349" s="13"/>
    </row>
    <row r="350">
      <c r="A350" s="13">
        <f>IFERROR(__xludf.DUMMYFUNCTION("""COMPUTED_VALUE"""),348.0)</f>
        <v>348</v>
      </c>
      <c r="B350" s="13">
        <f>IFERROR(__xludf.DUMMYFUNCTION("""COMPUTED_VALUE"""),844.0)</f>
        <v>844</v>
      </c>
      <c r="C350" s="13">
        <f>IFERROR(__xludf.DUMMYFUNCTION("""COMPUTED_VALUE"""),47.0)</f>
        <v>47</v>
      </c>
      <c r="D350" s="12" t="str">
        <f>IFERROR(__xludf.DUMMYFUNCTION("""COMPUTED_VALUE"""),"Beautiful and timeless")</f>
        <v>Beautiful and timeless</v>
      </c>
      <c r="E350" s="12" t="str">
        <f>IFERROR(__xludf.DUMMYFUNCTION("""COMPUTED_VALUE"""),"I am 5.6"", 138 pounds. i purchased this in a size small. it is flowy and not too short. it has a comfortable, but still feminine and beautiful fit. one of my favorite new blouses...the red print is gorgeous")</f>
        <v>I am 5.6", 138 pounds. i purchased this in a size small. it is flowy and not too short. it has a comfortable, but still feminine and beautiful fit. one of my favorite new blouses...the red print is gorgeous</v>
      </c>
      <c r="F350" s="13">
        <f>IFERROR(__xludf.DUMMYFUNCTION("""COMPUTED_VALUE"""),5.0)</f>
        <v>5</v>
      </c>
      <c r="G350" s="13">
        <f>IFERROR(__xludf.DUMMYFUNCTION("""COMPUTED_VALUE"""),1.0)</f>
        <v>1</v>
      </c>
      <c r="H350" s="13">
        <f>IFERROR(__xludf.DUMMYFUNCTION("""COMPUTED_VALUE"""),0.0)</f>
        <v>0</v>
      </c>
      <c r="I350" s="13" t="str">
        <f>IFERROR(__xludf.DUMMYFUNCTION("""COMPUTED_VALUE"""),"General Petite")</f>
        <v>General Petite</v>
      </c>
      <c r="J350" s="13" t="str">
        <f>IFERROR(__xludf.DUMMYFUNCTION("""COMPUTED_VALUE"""),"Tops")</f>
        <v>Tops</v>
      </c>
      <c r="K350" s="13" t="str">
        <f>IFERROR(__xludf.DUMMYFUNCTION("""COMPUTED_VALUE"""),"Blouses")</f>
        <v>Blouses</v>
      </c>
      <c r="L350" s="13"/>
    </row>
    <row r="351">
      <c r="A351" s="13">
        <f>IFERROR(__xludf.DUMMYFUNCTION("""COMPUTED_VALUE"""),349.0)</f>
        <v>349</v>
      </c>
      <c r="B351" s="13">
        <f>IFERROR(__xludf.DUMMYFUNCTION("""COMPUTED_VALUE"""),836.0)</f>
        <v>836</v>
      </c>
      <c r="C351" s="13">
        <f>IFERROR(__xludf.DUMMYFUNCTION("""COMPUTED_VALUE"""),27.0)</f>
        <v>27</v>
      </c>
      <c r="D351" s="12" t="str">
        <f>IFERROR(__xludf.DUMMYFUNCTION("""COMPUTED_VALUE"""),"Cute top, but not for me")</f>
        <v>Cute top, but not for me</v>
      </c>
      <c r="E351" s="12" t="str">
        <f>IFERROR(__xludf.DUMMYFUNCTION("""COMPUTED_VALUE"""),"This top light and airy, which is perfect for spring. i'm usually into these types of blouses; however, this didn't quite fit right on me. it's a little too boxy and too low cut in the front for some reason. i loved the design and really wanted to like it"&amp;"... i just didn't love it enough to purchase it.")</f>
        <v>This top light and airy, which is perfect for spring. i'm usually into these types of blouses; however, this didn't quite fit right on me. it's a little too boxy and too low cut in the front for some reason. i loved the design and really wanted to like it... i just didn't love it enough to purchase it.</v>
      </c>
      <c r="F351" s="13">
        <f>IFERROR(__xludf.DUMMYFUNCTION("""COMPUTED_VALUE"""),3.0)</f>
        <v>3</v>
      </c>
      <c r="G351" s="13">
        <f>IFERROR(__xludf.DUMMYFUNCTION("""COMPUTED_VALUE"""),0.0)</f>
        <v>0</v>
      </c>
      <c r="H351" s="13">
        <f>IFERROR(__xludf.DUMMYFUNCTION("""COMPUTED_VALUE"""),15.0)</f>
        <v>15</v>
      </c>
      <c r="I351" s="13" t="str">
        <f>IFERROR(__xludf.DUMMYFUNCTION("""COMPUTED_VALUE"""),"General")</f>
        <v>General</v>
      </c>
      <c r="J351" s="13" t="str">
        <f>IFERROR(__xludf.DUMMYFUNCTION("""COMPUTED_VALUE"""),"Tops")</f>
        <v>Tops</v>
      </c>
      <c r="K351" s="13" t="str">
        <f>IFERROR(__xludf.DUMMYFUNCTION("""COMPUTED_VALUE"""),"Blouses")</f>
        <v>Blouses</v>
      </c>
      <c r="L351" s="13"/>
    </row>
    <row r="352">
      <c r="A352" s="13">
        <f>IFERROR(__xludf.DUMMYFUNCTION("""COMPUTED_VALUE"""),350.0)</f>
        <v>350</v>
      </c>
      <c r="B352" s="13">
        <f>IFERROR(__xludf.DUMMYFUNCTION("""COMPUTED_VALUE"""),844.0)</f>
        <v>844</v>
      </c>
      <c r="C352" s="13">
        <f>IFERROR(__xludf.DUMMYFUNCTION("""COMPUTED_VALUE"""),36.0)</f>
        <v>36</v>
      </c>
      <c r="D352" s="12" t="str">
        <f>IFERROR(__xludf.DUMMYFUNCTION("""COMPUTED_VALUE"""),"So disappointed! please fix it!")</f>
        <v>So disappointed! please fix it!</v>
      </c>
      <c r="E352" s="12" t="str">
        <f>IFERROR(__xludf.DUMMYFUNCTION("""COMPUTED_VALUE"""),"This blouse is so beautiful - the collar, sleeves, material...everything except the cut! it was like a tent. it needed to be more tapered, which would be easy to do while still maintaining the beautiful breezy flow, and be about two inches longer.
i had "&amp;"been drooling over this top for awhile and was so disappointed! please fix it and then i will buy again. i am 5'4"", 140lbs and busty...a small was perfect, with the exception of the massive amount of material.")</f>
        <v>This blouse is so beautiful - the collar, sleeves, material...everything except the cut! it was like a tent. it needed to be more tapered, which would be easy to do while still maintaining the beautiful breezy flow, and be about two inches longer.
i had been drooling over this top for awhile and was so disappointed! please fix it and then i will buy again. i am 5'4", 140lbs and busty...a small was perfect, with the exception of the massive amount of material.</v>
      </c>
      <c r="F352" s="13">
        <f>IFERROR(__xludf.DUMMYFUNCTION("""COMPUTED_VALUE"""),2.0)</f>
        <v>2</v>
      </c>
      <c r="G352" s="13">
        <f>IFERROR(__xludf.DUMMYFUNCTION("""COMPUTED_VALUE"""),0.0)</f>
        <v>0</v>
      </c>
      <c r="H352" s="13">
        <f>IFERROR(__xludf.DUMMYFUNCTION("""COMPUTED_VALUE"""),0.0)</f>
        <v>0</v>
      </c>
      <c r="I352" s="13" t="str">
        <f>IFERROR(__xludf.DUMMYFUNCTION("""COMPUTED_VALUE"""),"General Petite")</f>
        <v>General Petite</v>
      </c>
      <c r="J352" s="13" t="str">
        <f>IFERROR(__xludf.DUMMYFUNCTION("""COMPUTED_VALUE"""),"Tops")</f>
        <v>Tops</v>
      </c>
      <c r="K352" s="13" t="str">
        <f>IFERROR(__xludf.DUMMYFUNCTION("""COMPUTED_VALUE"""),"Blouses")</f>
        <v>Blouses</v>
      </c>
      <c r="L352" s="13"/>
    </row>
    <row r="353">
      <c r="A353" s="13">
        <f>IFERROR(__xludf.DUMMYFUNCTION("""COMPUTED_VALUE"""),351.0)</f>
        <v>351</v>
      </c>
      <c r="B353" s="13">
        <f>IFERROR(__xludf.DUMMYFUNCTION("""COMPUTED_VALUE"""),844.0)</f>
        <v>844</v>
      </c>
      <c r="C353" s="13">
        <f>IFERROR(__xludf.DUMMYFUNCTION("""COMPUTED_VALUE"""),69.0)</f>
        <v>69</v>
      </c>
      <c r="D353" s="12" t="str">
        <f>IFERROR(__xludf.DUMMYFUNCTION("""COMPUTED_VALUE"""),"Ruffled buttondown")</f>
        <v>Ruffled buttondown</v>
      </c>
      <c r="E353" s="12" t="str">
        <f>IFERROR(__xludf.DUMMYFUNCTION("""COMPUTED_VALUE"""),"Very pretty blouse. i love the print, and color of the pink floral. tts, i ordered the xs, because of the roomy cut of the blouse. i'm 5'8"", 117 lbs. it fit great. the cut is a little wider then pictured, but still cute. not to short as mentioned by anot"&amp;"her review, and i have a longer torso, i wasn't crazy about the victorian collar, so tucked it under, and it looks great!")</f>
        <v>Very pretty blouse. i love the print, and color of the pink floral. tts, i ordered the xs, because of the roomy cut of the blouse. i'm 5'8", 117 lbs. it fit great. the cut is a little wider then pictured, but still cute. not to short as mentioned by another review, and i have a longer torso, i wasn't crazy about the victorian collar, so tucked it under, and it looks great!</v>
      </c>
      <c r="F353" s="13">
        <f>IFERROR(__xludf.DUMMYFUNCTION("""COMPUTED_VALUE"""),4.0)</f>
        <v>4</v>
      </c>
      <c r="G353" s="13">
        <f>IFERROR(__xludf.DUMMYFUNCTION("""COMPUTED_VALUE"""),1.0)</f>
        <v>1</v>
      </c>
      <c r="H353" s="13">
        <f>IFERROR(__xludf.DUMMYFUNCTION("""COMPUTED_VALUE"""),7.0)</f>
        <v>7</v>
      </c>
      <c r="I353" s="13" t="str">
        <f>IFERROR(__xludf.DUMMYFUNCTION("""COMPUTED_VALUE"""),"General Petite")</f>
        <v>General Petite</v>
      </c>
      <c r="J353" s="13" t="str">
        <f>IFERROR(__xludf.DUMMYFUNCTION("""COMPUTED_VALUE"""),"Tops")</f>
        <v>Tops</v>
      </c>
      <c r="K353" s="13" t="str">
        <f>IFERROR(__xludf.DUMMYFUNCTION("""COMPUTED_VALUE"""),"Blouses")</f>
        <v>Blouses</v>
      </c>
      <c r="L353" s="13"/>
    </row>
    <row r="354">
      <c r="A354" s="13">
        <f>IFERROR(__xludf.DUMMYFUNCTION("""COMPUTED_VALUE"""),352.0)</f>
        <v>352</v>
      </c>
      <c r="B354" s="13">
        <f>IFERROR(__xludf.DUMMYFUNCTION("""COMPUTED_VALUE"""),844.0)</f>
        <v>844</v>
      </c>
      <c r="C354" s="13">
        <f>IFERROR(__xludf.DUMMYFUNCTION("""COMPUTED_VALUE"""),52.0)</f>
        <v>52</v>
      </c>
      <c r="D354" s="12" t="str">
        <f>IFERROR(__xludf.DUMMYFUNCTION("""COMPUTED_VALUE"""),"Exquisite blouse, runs huge")</f>
        <v>Exquisite blouse, runs huge</v>
      </c>
      <c r="E354" s="12" t="str">
        <f>IFERROR(__xludf.DUMMYFUNCTION("""COMPUTED_VALUE"""),"I normally wear a large or extra-large; the medium is still very billowy on me. this blouse is ethereal and lovely, though - pretty and funky at the same time. it's sheer but somehow not revealing. perfect for when you want to look composed and cool on th"&amp;"e hottest day of the summer.")</f>
        <v>I normally wear a large or extra-large; the medium is still very billowy on me. this blouse is ethereal and lovely, though - pretty and funky at the same time. it's sheer but somehow not revealing. perfect for when you want to look composed and cool on the hottest day of the summer.</v>
      </c>
      <c r="F354" s="13">
        <f>IFERROR(__xludf.DUMMYFUNCTION("""COMPUTED_VALUE"""),5.0)</f>
        <v>5</v>
      </c>
      <c r="G354" s="13">
        <f>IFERROR(__xludf.DUMMYFUNCTION("""COMPUTED_VALUE"""),1.0)</f>
        <v>1</v>
      </c>
      <c r="H354" s="13">
        <f>IFERROR(__xludf.DUMMYFUNCTION("""COMPUTED_VALUE"""),1.0)</f>
        <v>1</v>
      </c>
      <c r="I354" s="13" t="str">
        <f>IFERROR(__xludf.DUMMYFUNCTION("""COMPUTED_VALUE"""),"General Petite")</f>
        <v>General Petite</v>
      </c>
      <c r="J354" s="13" t="str">
        <f>IFERROR(__xludf.DUMMYFUNCTION("""COMPUTED_VALUE"""),"Tops")</f>
        <v>Tops</v>
      </c>
      <c r="K354" s="13" t="str">
        <f>IFERROR(__xludf.DUMMYFUNCTION("""COMPUTED_VALUE"""),"Blouses")</f>
        <v>Blouses</v>
      </c>
      <c r="L354" s="13"/>
    </row>
    <row r="355">
      <c r="A355" s="13">
        <f>IFERROR(__xludf.DUMMYFUNCTION("""COMPUTED_VALUE"""),353.0)</f>
        <v>353</v>
      </c>
      <c r="B355" s="13">
        <f>IFERROR(__xludf.DUMMYFUNCTION("""COMPUTED_VALUE"""),936.0)</f>
        <v>936</v>
      </c>
      <c r="C355" s="13">
        <f>IFERROR(__xludf.DUMMYFUNCTION("""COMPUTED_VALUE"""),32.0)</f>
        <v>32</v>
      </c>
      <c r="D355" s="12" t="str">
        <f>IFERROR(__xludf.DUMMYFUNCTION("""COMPUTED_VALUE"""),"Sweater not a coat")</f>
        <v>Sweater not a coat</v>
      </c>
      <c r="E355" s="12" t="str">
        <f>IFERROR(__xludf.DUMMYFUNCTION("""COMPUTED_VALUE"""),"Not a coat by any means, merely a thin wool boucle like sweater with a cheap thin synthetic lining ---and i also would never want the lining to be seen by anyone if i were to set the sweater on a chair or be helped in putting the thing on. the length and "&amp;"bulk is hard to layer under anything else and isn't pretty enough for a spring coat..sizing is also 2 sizes larger than anticipated.")</f>
        <v>Not a coat by any means, merely a thin wool boucle like sweater with a cheap thin synthetic lining ---and i also would never want the lining to be seen by anyone if i were to set the sweater on a chair or be helped in putting the thing on. the length and bulk is hard to layer under anything else and isn't pretty enough for a spring coat..sizing is also 2 sizes larger than anticipated.</v>
      </c>
      <c r="F355" s="13">
        <f>IFERROR(__xludf.DUMMYFUNCTION("""COMPUTED_VALUE"""),2.0)</f>
        <v>2</v>
      </c>
      <c r="G355" s="13">
        <f>IFERROR(__xludf.DUMMYFUNCTION("""COMPUTED_VALUE"""),0.0)</f>
        <v>0</v>
      </c>
      <c r="H355" s="13">
        <f>IFERROR(__xludf.DUMMYFUNCTION("""COMPUTED_VALUE"""),0.0)</f>
        <v>0</v>
      </c>
      <c r="I355" s="13" t="str">
        <f>IFERROR(__xludf.DUMMYFUNCTION("""COMPUTED_VALUE"""),"General Petite")</f>
        <v>General Petite</v>
      </c>
      <c r="J355" s="13" t="str">
        <f>IFERROR(__xludf.DUMMYFUNCTION("""COMPUTED_VALUE"""),"Tops")</f>
        <v>Tops</v>
      </c>
      <c r="K355" s="13" t="str">
        <f>IFERROR(__xludf.DUMMYFUNCTION("""COMPUTED_VALUE"""),"Sweaters")</f>
        <v>Sweaters</v>
      </c>
      <c r="L355" s="13"/>
    </row>
    <row r="356">
      <c r="A356" s="13">
        <f>IFERROR(__xludf.DUMMYFUNCTION("""COMPUTED_VALUE"""),354.0)</f>
        <v>354</v>
      </c>
      <c r="B356" s="13">
        <f>IFERROR(__xludf.DUMMYFUNCTION("""COMPUTED_VALUE"""),907.0)</f>
        <v>907</v>
      </c>
      <c r="C356" s="13">
        <f>IFERROR(__xludf.DUMMYFUNCTION("""COMPUTED_VALUE"""),37.0)</f>
        <v>37</v>
      </c>
      <c r="D356" s="12" t="str">
        <f>IFERROR(__xludf.DUMMYFUNCTION("""COMPUTED_VALUE"""),"Soft sweater")</f>
        <v>Soft sweater</v>
      </c>
      <c r="E356" s="12" t="str">
        <f>IFERROR(__xludf.DUMMYFUNCTION("""COMPUTED_VALUE"""),"I saw this in-store, tried it on, and was sold. it is not just super soft but very flattering on. i am petite, 105 lbs and bought the xs in black- the sleeves are short enough that no petite size was needed. i will wear this a lot with both skirts and jea"&amp;"ns.")</f>
        <v>I saw this in-store, tried it on, and was sold. it is not just super soft but very flattering on. i am petite, 105 lbs and bought the xs in black- the sleeves are short enough that no petite size was needed. i will wear this a lot with both skirts and jeans.</v>
      </c>
      <c r="F356" s="13">
        <f>IFERROR(__xludf.DUMMYFUNCTION("""COMPUTED_VALUE"""),5.0)</f>
        <v>5</v>
      </c>
      <c r="G356" s="13">
        <f>IFERROR(__xludf.DUMMYFUNCTION("""COMPUTED_VALUE"""),1.0)</f>
        <v>1</v>
      </c>
      <c r="H356" s="13">
        <f>IFERROR(__xludf.DUMMYFUNCTION("""COMPUTED_VALUE"""),4.0)</f>
        <v>4</v>
      </c>
      <c r="I356" s="13" t="str">
        <f>IFERROR(__xludf.DUMMYFUNCTION("""COMPUTED_VALUE"""),"General")</f>
        <v>General</v>
      </c>
      <c r="J356" s="13" t="str">
        <f>IFERROR(__xludf.DUMMYFUNCTION("""COMPUTED_VALUE"""),"Tops")</f>
        <v>Tops</v>
      </c>
      <c r="K356" s="13" t="str">
        <f>IFERROR(__xludf.DUMMYFUNCTION("""COMPUTED_VALUE"""),"Fine gauge")</f>
        <v>Fine gauge</v>
      </c>
      <c r="L356" s="13"/>
    </row>
    <row r="357">
      <c r="A357" s="13">
        <f>IFERROR(__xludf.DUMMYFUNCTION("""COMPUTED_VALUE"""),355.0)</f>
        <v>355</v>
      </c>
      <c r="B357" s="13">
        <f>IFERROR(__xludf.DUMMYFUNCTION("""COMPUTED_VALUE"""),936.0)</f>
        <v>936</v>
      </c>
      <c r="C357" s="13">
        <f>IFERROR(__xludf.DUMMYFUNCTION("""COMPUTED_VALUE"""),32.0)</f>
        <v>32</v>
      </c>
      <c r="D357" s="12"/>
      <c r="E357" s="12" t="str">
        <f>IFERROR(__xludf.DUMMYFUNCTION("""COMPUTED_VALUE"""),"Love this. it's heavy/warm, stylish and a great throw on any outfit. oversized style.")</f>
        <v>Love this. it's heavy/warm, stylish and a great throw on any outfit. oversized style.</v>
      </c>
      <c r="F357" s="13">
        <f>IFERROR(__xludf.DUMMYFUNCTION("""COMPUTED_VALUE"""),5.0)</f>
        <v>5</v>
      </c>
      <c r="G357" s="13">
        <f>IFERROR(__xludf.DUMMYFUNCTION("""COMPUTED_VALUE"""),1.0)</f>
        <v>1</v>
      </c>
      <c r="H357" s="13">
        <f>IFERROR(__xludf.DUMMYFUNCTION("""COMPUTED_VALUE"""),0.0)</f>
        <v>0</v>
      </c>
      <c r="I357" s="13" t="str">
        <f>IFERROR(__xludf.DUMMYFUNCTION("""COMPUTED_VALUE"""),"General Petite")</f>
        <v>General Petite</v>
      </c>
      <c r="J357" s="13" t="str">
        <f>IFERROR(__xludf.DUMMYFUNCTION("""COMPUTED_VALUE"""),"Tops")</f>
        <v>Tops</v>
      </c>
      <c r="K357" s="13" t="str">
        <f>IFERROR(__xludf.DUMMYFUNCTION("""COMPUTED_VALUE"""),"Sweaters")</f>
        <v>Sweaters</v>
      </c>
      <c r="L357" s="13"/>
    </row>
    <row r="358">
      <c r="A358" s="13">
        <f>IFERROR(__xludf.DUMMYFUNCTION("""COMPUTED_VALUE"""),356.0)</f>
        <v>356</v>
      </c>
      <c r="B358" s="13">
        <f>IFERROR(__xludf.DUMMYFUNCTION("""COMPUTED_VALUE"""),831.0)</f>
        <v>831</v>
      </c>
      <c r="C358" s="13">
        <f>IFERROR(__xludf.DUMMYFUNCTION("""COMPUTED_VALUE"""),42.0)</f>
        <v>42</v>
      </c>
      <c r="D358" s="12" t="str">
        <f>IFERROR(__xludf.DUMMYFUNCTION("""COMPUTED_VALUE"""),"Could have been cute...")</f>
        <v>Could have been cute...</v>
      </c>
      <c r="E358" s="12" t="str">
        <f>IFERROR(__xludf.DUMMYFUNCTION("""COMPUTED_VALUE"""),"The fabric was nothing special (i usually like a cotton/silk blend woven fabric, but this was stiff feeling) and the pattern was cute. but what made me return it was the fact that 1) the rose gold glitter dots are puffy paint. literally. puffy. paint. and"&amp;" 2) the dots were not quite dry on my top when it arrived. parts of the paint came off on my fingers and the top was stuck to itself because of it. i could barely unfold it.
i'm sure this could have been cute, but who wants a top that looks lik")</f>
        <v>The fabric was nothing special (i usually like a cotton/silk blend woven fabric, but this was stiff feeling) and the pattern was cute. but what made me return it was the fact that 1) the rose gold glitter dots are puffy paint. literally. puffy. paint. and 2) the dots were not quite dry on my top when it arrived. parts of the paint came off on my fingers and the top was stuck to itself because of it. i could barely unfold it.
i'm sure this could have been cute, but who wants a top that looks lik</v>
      </c>
      <c r="F358" s="13">
        <f>IFERROR(__xludf.DUMMYFUNCTION("""COMPUTED_VALUE"""),1.0)</f>
        <v>1</v>
      </c>
      <c r="G358" s="13">
        <f>IFERROR(__xludf.DUMMYFUNCTION("""COMPUTED_VALUE"""),0.0)</f>
        <v>0</v>
      </c>
      <c r="H358" s="13">
        <f>IFERROR(__xludf.DUMMYFUNCTION("""COMPUTED_VALUE"""),6.0)</f>
        <v>6</v>
      </c>
      <c r="I358" s="13" t="str">
        <f>IFERROR(__xludf.DUMMYFUNCTION("""COMPUTED_VALUE"""),"General")</f>
        <v>General</v>
      </c>
      <c r="J358" s="13" t="str">
        <f>IFERROR(__xludf.DUMMYFUNCTION("""COMPUTED_VALUE"""),"Tops")</f>
        <v>Tops</v>
      </c>
      <c r="K358" s="13" t="str">
        <f>IFERROR(__xludf.DUMMYFUNCTION("""COMPUTED_VALUE"""),"Blouses")</f>
        <v>Blouses</v>
      </c>
      <c r="L358" s="13"/>
    </row>
    <row r="359">
      <c r="A359" s="13">
        <f>IFERROR(__xludf.DUMMYFUNCTION("""COMPUTED_VALUE"""),357.0)</f>
        <v>357</v>
      </c>
      <c r="B359" s="13">
        <f>IFERROR(__xludf.DUMMYFUNCTION("""COMPUTED_VALUE"""),907.0)</f>
        <v>907</v>
      </c>
      <c r="C359" s="13">
        <f>IFERROR(__xludf.DUMMYFUNCTION("""COMPUTED_VALUE"""),51.0)</f>
        <v>51</v>
      </c>
      <c r="D359" s="12" t="str">
        <f>IFERROR(__xludf.DUMMYFUNCTION("""COMPUTED_VALUE"""),"Worth the sale price")</f>
        <v>Worth the sale price</v>
      </c>
      <c r="E359" s="12" t="str">
        <f>IFERROR(__xludf.DUMMYFUNCTION("""COMPUTED_VALUE"""),"Tts. i'm wearing a small. the black goes with so many of my charlie print pants. washed nicely. layers flat to dry. had to iron the shell underneath. great for casual office.")</f>
        <v>Tts. i'm wearing a small. the black goes with so many of my charlie print pants. washed nicely. layers flat to dry. had to iron the shell underneath. great for casual office.</v>
      </c>
      <c r="F359" s="13">
        <f>IFERROR(__xludf.DUMMYFUNCTION("""COMPUTED_VALUE"""),5.0)</f>
        <v>5</v>
      </c>
      <c r="G359" s="13">
        <f>IFERROR(__xludf.DUMMYFUNCTION("""COMPUTED_VALUE"""),1.0)</f>
        <v>1</v>
      </c>
      <c r="H359" s="13">
        <f>IFERROR(__xludf.DUMMYFUNCTION("""COMPUTED_VALUE"""),2.0)</f>
        <v>2</v>
      </c>
      <c r="I359" s="13" t="str">
        <f>IFERROR(__xludf.DUMMYFUNCTION("""COMPUTED_VALUE"""),"General")</f>
        <v>General</v>
      </c>
      <c r="J359" s="13" t="str">
        <f>IFERROR(__xludf.DUMMYFUNCTION("""COMPUTED_VALUE"""),"Tops")</f>
        <v>Tops</v>
      </c>
      <c r="K359" s="13" t="str">
        <f>IFERROR(__xludf.DUMMYFUNCTION("""COMPUTED_VALUE"""),"Fine gauge")</f>
        <v>Fine gauge</v>
      </c>
      <c r="L359" s="13"/>
    </row>
    <row r="360">
      <c r="A360" s="13">
        <f>IFERROR(__xludf.DUMMYFUNCTION("""COMPUTED_VALUE"""),358.0)</f>
        <v>358</v>
      </c>
      <c r="B360" s="13">
        <f>IFERROR(__xludf.DUMMYFUNCTION("""COMPUTED_VALUE"""),862.0)</f>
        <v>862</v>
      </c>
      <c r="C360" s="13">
        <f>IFERROR(__xludf.DUMMYFUNCTION("""COMPUTED_VALUE"""),34.0)</f>
        <v>34</v>
      </c>
      <c r="D360" s="12" t="str">
        <f>IFERROR(__xludf.DUMMYFUNCTION("""COMPUTED_VALUE"""),"Almost but not quite")</f>
        <v>Almost but not quite</v>
      </c>
      <c r="E360" s="12" t="str">
        <f>IFERROR(__xludf.DUMMYFUNCTION("""COMPUTED_VALUE"""),"This top is good quality and cute. it runs large- i'm usually a medium and needed a small. the reason i will be returning it is because it flares out at the bottom on the black which is very unflattering on. it makes me look wide in the waist or like i'm "&amp;"wearing a maternity top. unfortunate because i really liked everything else about it.")</f>
        <v>This top is good quality and cute. it runs large- i'm usually a medium and needed a small. the reason i will be returning it is because it flares out at the bottom on the black which is very unflattering on. it makes me look wide in the waist or like i'm wearing a maternity top. unfortunate because i really liked everything else about it.</v>
      </c>
      <c r="F360" s="13">
        <f>IFERROR(__xludf.DUMMYFUNCTION("""COMPUTED_VALUE"""),3.0)</f>
        <v>3</v>
      </c>
      <c r="G360" s="13">
        <f>IFERROR(__xludf.DUMMYFUNCTION("""COMPUTED_VALUE"""),0.0)</f>
        <v>0</v>
      </c>
      <c r="H360" s="13">
        <f>IFERROR(__xludf.DUMMYFUNCTION("""COMPUTED_VALUE"""),0.0)</f>
        <v>0</v>
      </c>
      <c r="I360" s="13" t="str">
        <f>IFERROR(__xludf.DUMMYFUNCTION("""COMPUTED_VALUE"""),"General Petite")</f>
        <v>General Petite</v>
      </c>
      <c r="J360" s="13" t="str">
        <f>IFERROR(__xludf.DUMMYFUNCTION("""COMPUTED_VALUE"""),"Tops")</f>
        <v>Tops</v>
      </c>
      <c r="K360" s="13" t="str">
        <f>IFERROR(__xludf.DUMMYFUNCTION("""COMPUTED_VALUE"""),"Knits")</f>
        <v>Knits</v>
      </c>
      <c r="L360" s="13"/>
    </row>
    <row r="361">
      <c r="A361" s="13">
        <f>IFERROR(__xludf.DUMMYFUNCTION("""COMPUTED_VALUE"""),359.0)</f>
        <v>359</v>
      </c>
      <c r="B361" s="13">
        <f>IFERROR(__xludf.DUMMYFUNCTION("""COMPUTED_VALUE"""),836.0)</f>
        <v>836</v>
      </c>
      <c r="C361" s="13">
        <f>IFERROR(__xludf.DUMMYFUNCTION("""COMPUTED_VALUE"""),37.0)</f>
        <v>37</v>
      </c>
      <c r="D361" s="12" t="str">
        <f>IFERROR(__xludf.DUMMYFUNCTION("""COMPUTED_VALUE"""),"Nice, runs small and short")</f>
        <v>Nice, runs small and short</v>
      </c>
      <c r="E361" s="12" t="str">
        <f>IFERROR(__xludf.DUMMYFUNCTION("""COMPUTED_VALUE"""),"I'm a pretty solid 10/12 in this brand. i went with the 12 since some thought the top to run small...and i agree. while i can wear it and think it will actually stretch out with wear, it's tight in the shoulders and chest. for the record, those are 2 area"&amp;"s i never have problems with. i'm a 36b and it was flattening my chest. it was also quite short on me. i have a short torso and it was barely hitting below my belly button. the shirt felt more like a size 8 than 12.")</f>
        <v>I'm a pretty solid 10/12 in this brand. i went with the 12 since some thought the top to run small...and i agree. while i can wear it and think it will actually stretch out with wear, it's tight in the shoulders and chest. for the record, those are 2 areas i never have problems with. i'm a 36b and it was flattening my chest. it was also quite short on me. i have a short torso and it was barely hitting below my belly button. the shirt felt more like a size 8 than 12.</v>
      </c>
      <c r="F361" s="13">
        <f>IFERROR(__xludf.DUMMYFUNCTION("""COMPUTED_VALUE"""),3.0)</f>
        <v>3</v>
      </c>
      <c r="G361" s="13">
        <f>IFERROR(__xludf.DUMMYFUNCTION("""COMPUTED_VALUE"""),1.0)</f>
        <v>1</v>
      </c>
      <c r="H361" s="13">
        <f>IFERROR(__xludf.DUMMYFUNCTION("""COMPUTED_VALUE"""),3.0)</f>
        <v>3</v>
      </c>
      <c r="I361" s="13" t="str">
        <f>IFERROR(__xludf.DUMMYFUNCTION("""COMPUTED_VALUE"""),"General")</f>
        <v>General</v>
      </c>
      <c r="J361" s="13" t="str">
        <f>IFERROR(__xludf.DUMMYFUNCTION("""COMPUTED_VALUE"""),"Tops")</f>
        <v>Tops</v>
      </c>
      <c r="K361" s="13" t="str">
        <f>IFERROR(__xludf.DUMMYFUNCTION("""COMPUTED_VALUE"""),"Blouses")</f>
        <v>Blouses</v>
      </c>
      <c r="L361" s="13"/>
    </row>
    <row r="362">
      <c r="A362" s="13">
        <f>IFERROR(__xludf.DUMMYFUNCTION("""COMPUTED_VALUE"""),360.0)</f>
        <v>360</v>
      </c>
      <c r="B362" s="13">
        <f>IFERROR(__xludf.DUMMYFUNCTION("""COMPUTED_VALUE"""),936.0)</f>
        <v>936</v>
      </c>
      <c r="C362" s="13">
        <f>IFERROR(__xludf.DUMMYFUNCTION("""COMPUTED_VALUE"""),50.0)</f>
        <v>50</v>
      </c>
      <c r="D362" s="12" t="str">
        <f>IFERROR(__xludf.DUMMYFUNCTION("""COMPUTED_VALUE"""),"Amazing sweatercoat!")</f>
        <v>Amazing sweatercoat!</v>
      </c>
      <c r="E362" s="12" t="str">
        <f>IFERROR(__xludf.DUMMYFUNCTION("""COMPUTED_VALUE"""),"I gave this four stars only because the lining has some polyester (poly/rayon blend) in it and i don't like polyester; still, i couldn't pass it up due to the chic look and the oh so warm feel of the coat. it's like wrapping yourself in a warm blanket and"&amp;" the wine color looks amazing! it's a little on the pricey side. since i consider it more of a sweater than a coat, i would have liked the price better if it was $100 less. it was one of those items that was hard to take off once i put it on. i")</f>
        <v>I gave this four stars only because the lining has some polyester (poly/rayon blend) in it and i don't like polyester; still, i couldn't pass it up due to the chic look and the oh so warm feel of the coat. it's like wrapping yourself in a warm blanket and the wine color looks amazing! it's a little on the pricey side. since i consider it more of a sweater than a coat, i would have liked the price better if it was $100 less. it was one of those items that was hard to take off once i put it on. i</v>
      </c>
      <c r="F362" s="13">
        <f>IFERROR(__xludf.DUMMYFUNCTION("""COMPUTED_VALUE"""),4.0)</f>
        <v>4</v>
      </c>
      <c r="G362" s="13">
        <f>IFERROR(__xludf.DUMMYFUNCTION("""COMPUTED_VALUE"""),1.0)</f>
        <v>1</v>
      </c>
      <c r="H362" s="13">
        <f>IFERROR(__xludf.DUMMYFUNCTION("""COMPUTED_VALUE"""),17.0)</f>
        <v>17</v>
      </c>
      <c r="I362" s="13" t="str">
        <f>IFERROR(__xludf.DUMMYFUNCTION("""COMPUTED_VALUE"""),"General Petite")</f>
        <v>General Petite</v>
      </c>
      <c r="J362" s="13" t="str">
        <f>IFERROR(__xludf.DUMMYFUNCTION("""COMPUTED_VALUE"""),"Tops")</f>
        <v>Tops</v>
      </c>
      <c r="K362" s="13" t="str">
        <f>IFERROR(__xludf.DUMMYFUNCTION("""COMPUTED_VALUE"""),"Sweaters")</f>
        <v>Sweaters</v>
      </c>
      <c r="L362" s="13"/>
    </row>
    <row r="363">
      <c r="A363" s="13">
        <f>IFERROR(__xludf.DUMMYFUNCTION("""COMPUTED_VALUE"""),361.0)</f>
        <v>361</v>
      </c>
      <c r="B363" s="13">
        <f>IFERROR(__xludf.DUMMYFUNCTION("""COMPUTED_VALUE"""),895.0)</f>
        <v>895</v>
      </c>
      <c r="C363" s="13">
        <f>IFERROR(__xludf.DUMMYFUNCTION("""COMPUTED_VALUE"""),36.0)</f>
        <v>36</v>
      </c>
      <c r="D363" s="12" t="str">
        <f>IFERROR(__xludf.DUMMYFUNCTION("""COMPUTED_VALUE"""),"Great piece for layering")</f>
        <v>Great piece for layering</v>
      </c>
      <c r="E363" s="12" t="str">
        <f>IFERROR(__xludf.DUMMYFUNCTION("""COMPUTED_VALUE"""),"I like this sleeveless sweater - it adds warmth and visual interest without adding a lot of bulk. paired with black/white patterns it's pretty versatile (as seen in the pics) - a great staple for a more casual office environment. being a taller girl i lov"&amp;"e the length on it, and find it's flattering for my curvy figure.")</f>
        <v>I like this sleeveless sweater - it adds warmth and visual interest without adding a lot of bulk. paired with black/white patterns it's pretty versatile (as seen in the pics) - a great staple for a more casual office environment. being a taller girl i love the length on it, and find it's flattering for my curvy figure.</v>
      </c>
      <c r="F363" s="13">
        <f>IFERROR(__xludf.DUMMYFUNCTION("""COMPUTED_VALUE"""),5.0)</f>
        <v>5</v>
      </c>
      <c r="G363" s="13">
        <f>IFERROR(__xludf.DUMMYFUNCTION("""COMPUTED_VALUE"""),1.0)</f>
        <v>1</v>
      </c>
      <c r="H363" s="13">
        <f>IFERROR(__xludf.DUMMYFUNCTION("""COMPUTED_VALUE"""),0.0)</f>
        <v>0</v>
      </c>
      <c r="I363" s="13" t="str">
        <f>IFERROR(__xludf.DUMMYFUNCTION("""COMPUTED_VALUE"""),"General Petite")</f>
        <v>General Petite</v>
      </c>
      <c r="J363" s="13" t="str">
        <f>IFERROR(__xludf.DUMMYFUNCTION("""COMPUTED_VALUE"""),"Tops")</f>
        <v>Tops</v>
      </c>
      <c r="K363" s="13" t="str">
        <f>IFERROR(__xludf.DUMMYFUNCTION("""COMPUTED_VALUE"""),"Fine gauge")</f>
        <v>Fine gauge</v>
      </c>
      <c r="L363" s="13"/>
    </row>
    <row r="364">
      <c r="A364" s="13">
        <f>IFERROR(__xludf.DUMMYFUNCTION("""COMPUTED_VALUE"""),362.0)</f>
        <v>362</v>
      </c>
      <c r="B364" s="13">
        <f>IFERROR(__xludf.DUMMYFUNCTION("""COMPUTED_VALUE"""),836.0)</f>
        <v>836</v>
      </c>
      <c r="C364" s="13">
        <f>IFERROR(__xludf.DUMMYFUNCTION("""COMPUTED_VALUE"""),65.0)</f>
        <v>65</v>
      </c>
      <c r="D364" s="12" t="str">
        <f>IFERROR(__xludf.DUMMYFUNCTION("""COMPUTED_VALUE"""),"Cute but ...")</f>
        <v>Cute but ...</v>
      </c>
      <c r="E364" s="12" t="str">
        <f>IFERROR(__xludf.DUMMYFUNCTION("""COMPUTED_VALUE"""),"This blouse is super cute but oddly sized. i bought a size up and still i squeezed into the top around the bust. the front slit is too low and shows a bit too much cleavage, so this had to go back. i really tried because the fabric is wonderful and the sh"&amp;"irt is light and breezy for summer, i just couldn't make it work
.")</f>
        <v>This blouse is super cute but oddly sized. i bought a size up and still i squeezed into the top around the bust. the front slit is too low and shows a bit too much cleavage, so this had to go back. i really tried because the fabric is wonderful and the shirt is light and breezy for summer, i just couldn't make it work
.</v>
      </c>
      <c r="F364" s="13">
        <f>IFERROR(__xludf.DUMMYFUNCTION("""COMPUTED_VALUE"""),3.0)</f>
        <v>3</v>
      </c>
      <c r="G364" s="13">
        <f>IFERROR(__xludf.DUMMYFUNCTION("""COMPUTED_VALUE"""),0.0)</f>
        <v>0</v>
      </c>
      <c r="H364" s="13">
        <f>IFERROR(__xludf.DUMMYFUNCTION("""COMPUTED_VALUE"""),0.0)</f>
        <v>0</v>
      </c>
      <c r="I364" s="13" t="str">
        <f>IFERROR(__xludf.DUMMYFUNCTION("""COMPUTED_VALUE"""),"General")</f>
        <v>General</v>
      </c>
      <c r="J364" s="13" t="str">
        <f>IFERROR(__xludf.DUMMYFUNCTION("""COMPUTED_VALUE"""),"Tops")</f>
        <v>Tops</v>
      </c>
      <c r="K364" s="13" t="str">
        <f>IFERROR(__xludf.DUMMYFUNCTION("""COMPUTED_VALUE"""),"Blouses")</f>
        <v>Blouses</v>
      </c>
      <c r="L364" s="13"/>
    </row>
    <row r="365">
      <c r="A365" s="13">
        <f>IFERROR(__xludf.DUMMYFUNCTION("""COMPUTED_VALUE"""),363.0)</f>
        <v>363</v>
      </c>
      <c r="B365" s="13">
        <f>IFERROR(__xludf.DUMMYFUNCTION("""COMPUTED_VALUE"""),580.0)</f>
        <v>580</v>
      </c>
      <c r="C365" s="13">
        <f>IFERROR(__xludf.DUMMYFUNCTION("""COMPUTED_VALUE"""),60.0)</f>
        <v>60</v>
      </c>
      <c r="D365" s="12" t="str">
        <f>IFERROR(__xludf.DUMMYFUNCTION("""COMPUTED_VALUE"""),"Nice thin sweatshirt")</f>
        <v>Nice thin sweatshirt</v>
      </c>
      <c r="E365" s="12" t="str">
        <f>IFERROR(__xludf.DUMMYFUNCTION("""COMPUTED_VALUE"""),"I love the sweatshirt 
 clay color is very different it's a nice light fabric with nice detailed edges 
 although it is an oversized piece it hangs and fits well although i am petite
 great light sweatshirt for spring and summer")</f>
        <v>I love the sweatshirt 
 clay color is very different it's a nice light fabric with nice detailed edges 
 although it is an oversized piece it hangs and fits well although i am petite
 great light sweatshirt for spring and summer</v>
      </c>
      <c r="F365" s="13">
        <f>IFERROR(__xludf.DUMMYFUNCTION("""COMPUTED_VALUE"""),5.0)</f>
        <v>5</v>
      </c>
      <c r="G365" s="13">
        <f>IFERROR(__xludf.DUMMYFUNCTION("""COMPUTED_VALUE"""),1.0)</f>
        <v>1</v>
      </c>
      <c r="H365" s="13">
        <f>IFERROR(__xludf.DUMMYFUNCTION("""COMPUTED_VALUE"""),1.0)</f>
        <v>1</v>
      </c>
      <c r="I365" s="13" t="str">
        <f>IFERROR(__xludf.DUMMYFUNCTION("""COMPUTED_VALUE"""),"Initmates")</f>
        <v>Initmates</v>
      </c>
      <c r="J365" s="13" t="str">
        <f>IFERROR(__xludf.DUMMYFUNCTION("""COMPUTED_VALUE"""),"Intimate")</f>
        <v>Intimate</v>
      </c>
      <c r="K365" s="13" t="str">
        <f>IFERROR(__xludf.DUMMYFUNCTION("""COMPUTED_VALUE"""),"Lounge")</f>
        <v>Lounge</v>
      </c>
      <c r="L365" s="13"/>
    </row>
    <row r="366">
      <c r="A366" s="13">
        <f>IFERROR(__xludf.DUMMYFUNCTION("""COMPUTED_VALUE"""),364.0)</f>
        <v>364</v>
      </c>
      <c r="B366" s="13">
        <f>IFERROR(__xludf.DUMMYFUNCTION("""COMPUTED_VALUE"""),895.0)</f>
        <v>895</v>
      </c>
      <c r="C366" s="13">
        <f>IFERROR(__xludf.DUMMYFUNCTION("""COMPUTED_VALUE"""),46.0)</f>
        <v>46</v>
      </c>
      <c r="D366" s="12" t="str">
        <f>IFERROR(__xludf.DUMMYFUNCTION("""COMPUTED_VALUE"""),"That special lauer")</f>
        <v>That special lauer</v>
      </c>
      <c r="E366" s="12" t="str">
        <f>IFERROR(__xludf.DUMMYFUNCTION("""COMPUTED_VALUE"""),"Love the patterns and the length.  i basically would agree with all the reviewers including the person who noted no pockets. 
it's really a special piece and on sale, very worth it!")</f>
        <v>Love the patterns and the length.  i basically would agree with all the reviewers including the person who noted no pockets. 
it's really a special piece and on sale, very worth it!</v>
      </c>
      <c r="F366" s="13">
        <f>IFERROR(__xludf.DUMMYFUNCTION("""COMPUTED_VALUE"""),5.0)</f>
        <v>5</v>
      </c>
      <c r="G366" s="13">
        <f>IFERROR(__xludf.DUMMYFUNCTION("""COMPUTED_VALUE"""),1.0)</f>
        <v>1</v>
      </c>
      <c r="H366" s="13">
        <f>IFERROR(__xludf.DUMMYFUNCTION("""COMPUTED_VALUE"""),0.0)</f>
        <v>0</v>
      </c>
      <c r="I366" s="13" t="str">
        <f>IFERROR(__xludf.DUMMYFUNCTION("""COMPUTED_VALUE"""),"General Petite")</f>
        <v>General Petite</v>
      </c>
      <c r="J366" s="13" t="str">
        <f>IFERROR(__xludf.DUMMYFUNCTION("""COMPUTED_VALUE"""),"Tops")</f>
        <v>Tops</v>
      </c>
      <c r="K366" s="13" t="str">
        <f>IFERROR(__xludf.DUMMYFUNCTION("""COMPUTED_VALUE"""),"Fine gauge")</f>
        <v>Fine gauge</v>
      </c>
      <c r="L366" s="13"/>
    </row>
    <row r="367">
      <c r="A367" s="13">
        <f>IFERROR(__xludf.DUMMYFUNCTION("""COMPUTED_VALUE"""),365.0)</f>
        <v>365</v>
      </c>
      <c r="B367" s="13">
        <f>IFERROR(__xludf.DUMMYFUNCTION("""COMPUTED_VALUE"""),862.0)</f>
        <v>862</v>
      </c>
      <c r="C367" s="13">
        <f>IFERROR(__xludf.DUMMYFUNCTION("""COMPUTED_VALUE"""),38.0)</f>
        <v>38</v>
      </c>
      <c r="D367" s="12" t="str">
        <f>IFERROR(__xludf.DUMMYFUNCTION("""COMPUTED_VALUE"""),"Comfy and cute")</f>
        <v>Comfy and cute</v>
      </c>
      <c r="E367" s="12" t="str">
        <f>IFERROR(__xludf.DUMMYFUNCTION("""COMPUTED_VALUE"""),"Very comfy and light. can be casual with jeans and boots or dress it up with a nice necklace and pencil skirt.")</f>
        <v>Very comfy and light. can be casual with jeans and boots or dress it up with a nice necklace and pencil skirt.</v>
      </c>
      <c r="F367" s="13">
        <f>IFERROR(__xludf.DUMMYFUNCTION("""COMPUTED_VALUE"""),4.0)</f>
        <v>4</v>
      </c>
      <c r="G367" s="13">
        <f>IFERROR(__xludf.DUMMYFUNCTION("""COMPUTED_VALUE"""),1.0)</f>
        <v>1</v>
      </c>
      <c r="H367" s="13">
        <f>IFERROR(__xludf.DUMMYFUNCTION("""COMPUTED_VALUE"""),0.0)</f>
        <v>0</v>
      </c>
      <c r="I367" s="13" t="str">
        <f>IFERROR(__xludf.DUMMYFUNCTION("""COMPUTED_VALUE"""),"General")</f>
        <v>General</v>
      </c>
      <c r="J367" s="13" t="str">
        <f>IFERROR(__xludf.DUMMYFUNCTION("""COMPUTED_VALUE"""),"Tops")</f>
        <v>Tops</v>
      </c>
      <c r="K367" s="13" t="str">
        <f>IFERROR(__xludf.DUMMYFUNCTION("""COMPUTED_VALUE"""),"Knits")</f>
        <v>Knits</v>
      </c>
      <c r="L367" s="13"/>
    </row>
    <row r="368">
      <c r="A368" s="13">
        <f>IFERROR(__xludf.DUMMYFUNCTION("""COMPUTED_VALUE"""),366.0)</f>
        <v>366</v>
      </c>
      <c r="B368" s="13">
        <f>IFERROR(__xludf.DUMMYFUNCTION("""COMPUTED_VALUE"""),862.0)</f>
        <v>862</v>
      </c>
      <c r="C368" s="13">
        <f>IFERROR(__xludf.DUMMYFUNCTION("""COMPUTED_VALUE"""),37.0)</f>
        <v>37</v>
      </c>
      <c r="D368" s="12" t="str">
        <f>IFERROR(__xludf.DUMMYFUNCTION("""COMPUTED_VALUE"""),"Looks better when tried on; very cute")</f>
        <v>Looks better when tried on; very cute</v>
      </c>
      <c r="E368" s="12" t="str">
        <f>IFERROR(__xludf.DUMMYFUNCTION("""COMPUTED_VALUE"""),"I got the navy stripe version of this shirt and it has a very cute nautical vibe to it. i am either an xs or s in antho, and went with the xs for this shirt as i think the s would be too boxy. normally i would have overlooked this shirt as it's rather uni"&amp;"mpressive on the hanger, but it was on sale so i tried it on. very cute when tried on! it fits well across the shoulders but isn't too clingy in the body, which i like. the fabric is very comfortable and the shoulder detail gives it a little mor")</f>
        <v>I got the navy stripe version of this shirt and it has a very cute nautical vibe to it. i am either an xs or s in antho, and went with the xs for this shirt as i think the s would be too boxy. normally i would have overlooked this shirt as it's rather unimpressive on the hanger, but it was on sale so i tried it on. very cute when tried on! it fits well across the shoulders but isn't too clingy in the body, which i like. the fabric is very comfortable and the shoulder detail gives it a little mor</v>
      </c>
      <c r="F368" s="13">
        <f>IFERROR(__xludf.DUMMYFUNCTION("""COMPUTED_VALUE"""),5.0)</f>
        <v>5</v>
      </c>
      <c r="G368" s="13">
        <f>IFERROR(__xludf.DUMMYFUNCTION("""COMPUTED_VALUE"""),1.0)</f>
        <v>1</v>
      </c>
      <c r="H368" s="13">
        <f>IFERROR(__xludf.DUMMYFUNCTION("""COMPUTED_VALUE"""),1.0)</f>
        <v>1</v>
      </c>
      <c r="I368" s="13" t="str">
        <f>IFERROR(__xludf.DUMMYFUNCTION("""COMPUTED_VALUE"""),"General")</f>
        <v>General</v>
      </c>
      <c r="J368" s="13" t="str">
        <f>IFERROR(__xludf.DUMMYFUNCTION("""COMPUTED_VALUE"""),"Tops")</f>
        <v>Tops</v>
      </c>
      <c r="K368" s="13" t="str">
        <f>IFERROR(__xludf.DUMMYFUNCTION("""COMPUTED_VALUE"""),"Knits")</f>
        <v>Knits</v>
      </c>
      <c r="L368" s="13"/>
    </row>
    <row r="369">
      <c r="A369" s="13">
        <f>IFERROR(__xludf.DUMMYFUNCTION("""COMPUTED_VALUE"""),367.0)</f>
        <v>367</v>
      </c>
      <c r="B369" s="13">
        <f>IFERROR(__xludf.DUMMYFUNCTION("""COMPUTED_VALUE"""),844.0)</f>
        <v>844</v>
      </c>
      <c r="C369" s="13">
        <f>IFERROR(__xludf.DUMMYFUNCTION("""COMPUTED_VALUE"""),46.0)</f>
        <v>46</v>
      </c>
      <c r="D369" s="12" t="str">
        <f>IFERROR(__xludf.DUMMYFUNCTION("""COMPUTED_VALUE"""),"Romantic print, elegant &amp; beautiful - i love it!")</f>
        <v>Romantic print, elegant &amp; beautiful - i love it!</v>
      </c>
      <c r="E369" s="12" t="str">
        <f>IFERROR(__xludf.DUMMYFUNCTION("""COMPUTED_VALUE"""),"Not sure why this shirt is getting bad reviews. i am tall and have a long torso, so perhaps that is the issue for some who find it not so flattering? maybe if your taller it hangs better? i have to say... i love everything about it. it is a fantastic prin"&amp;"t, it is very flowy but i don't think it's too much in that regard. i think it is fitting with the romantic, girly style of the garment. in my opinion not too short, just right. i took a medium, i am 5'8"" and athletic.")</f>
        <v>Not sure why this shirt is getting bad reviews. i am tall and have a long torso, so perhaps that is the issue for some who find it not so flattering? maybe if your taller it hangs better? i have to say... i love everything about it. it is a fantastic print, it is very flowy but i don't think it's too much in that regard. i think it is fitting with the romantic, girly style of the garment. in my opinion not too short, just right. i took a medium, i am 5'8" and athletic.</v>
      </c>
      <c r="F369" s="13">
        <f>IFERROR(__xludf.DUMMYFUNCTION("""COMPUTED_VALUE"""),5.0)</f>
        <v>5</v>
      </c>
      <c r="G369" s="13">
        <f>IFERROR(__xludf.DUMMYFUNCTION("""COMPUTED_VALUE"""),1.0)</f>
        <v>1</v>
      </c>
      <c r="H369" s="13">
        <f>IFERROR(__xludf.DUMMYFUNCTION("""COMPUTED_VALUE"""),4.0)</f>
        <v>4</v>
      </c>
      <c r="I369" s="13" t="str">
        <f>IFERROR(__xludf.DUMMYFUNCTION("""COMPUTED_VALUE"""),"General Petite")</f>
        <v>General Petite</v>
      </c>
      <c r="J369" s="13" t="str">
        <f>IFERROR(__xludf.DUMMYFUNCTION("""COMPUTED_VALUE"""),"Tops")</f>
        <v>Tops</v>
      </c>
      <c r="K369" s="13" t="str">
        <f>IFERROR(__xludf.DUMMYFUNCTION("""COMPUTED_VALUE"""),"Blouses")</f>
        <v>Blouses</v>
      </c>
      <c r="L369" s="13"/>
    </row>
    <row r="370">
      <c r="A370" s="13">
        <f>IFERROR(__xludf.DUMMYFUNCTION("""COMPUTED_VALUE"""),368.0)</f>
        <v>368</v>
      </c>
      <c r="B370" s="13">
        <f>IFERROR(__xludf.DUMMYFUNCTION("""COMPUTED_VALUE"""),836.0)</f>
        <v>836</v>
      </c>
      <c r="C370" s="13">
        <f>IFERROR(__xludf.DUMMYFUNCTION("""COMPUTED_VALUE"""),29.0)</f>
        <v>29</v>
      </c>
      <c r="D370" s="12"/>
      <c r="E370" s="12" t="str">
        <f>IFERROR(__xludf.DUMMYFUNCTION("""COMPUTED_VALUE"""),"I love maeve and was so excited for this top which looked like an update from a last season favorite. unfortunately the fabric was stiff, it was tight in the chest and went straight down from there. returned.")</f>
        <v>I love maeve and was so excited for this top which looked like an update from a last season favorite. unfortunately the fabric was stiff, it was tight in the chest and went straight down from there. returned.</v>
      </c>
      <c r="F370" s="13">
        <f>IFERROR(__xludf.DUMMYFUNCTION("""COMPUTED_VALUE"""),2.0)</f>
        <v>2</v>
      </c>
      <c r="G370" s="13">
        <f>IFERROR(__xludf.DUMMYFUNCTION("""COMPUTED_VALUE"""),0.0)</f>
        <v>0</v>
      </c>
      <c r="H370" s="13">
        <f>IFERROR(__xludf.DUMMYFUNCTION("""COMPUTED_VALUE"""),0.0)</f>
        <v>0</v>
      </c>
      <c r="I370" s="13" t="str">
        <f>IFERROR(__xludf.DUMMYFUNCTION("""COMPUTED_VALUE"""),"General")</f>
        <v>General</v>
      </c>
      <c r="J370" s="13" t="str">
        <f>IFERROR(__xludf.DUMMYFUNCTION("""COMPUTED_VALUE"""),"Tops")</f>
        <v>Tops</v>
      </c>
      <c r="K370" s="13" t="str">
        <f>IFERROR(__xludf.DUMMYFUNCTION("""COMPUTED_VALUE"""),"Blouses")</f>
        <v>Blouses</v>
      </c>
      <c r="L370" s="13"/>
    </row>
    <row r="371">
      <c r="A371" s="13">
        <f>IFERROR(__xludf.DUMMYFUNCTION("""COMPUTED_VALUE"""),369.0)</f>
        <v>369</v>
      </c>
      <c r="B371" s="13">
        <f>IFERROR(__xludf.DUMMYFUNCTION("""COMPUTED_VALUE"""),895.0)</f>
        <v>895</v>
      </c>
      <c r="C371" s="13">
        <f>IFERROR(__xludf.DUMMYFUNCTION("""COMPUTED_VALUE"""),39.0)</f>
        <v>39</v>
      </c>
      <c r="D371" s="12" t="str">
        <f>IFERROR(__xludf.DUMMYFUNCTION("""COMPUTED_VALUE"""),"Positively agree")</f>
        <v>Positively agree</v>
      </c>
      <c r="E371" s="12" t="str">
        <f>IFERROR(__xludf.DUMMYFUNCTION("""COMPUTED_VALUE"""),"All the rave reviews are true!  this vest is plush and funky and i love wearing it. i'm having fun figuring out different outfits to wear with this. this is a great three season layering piece and i'm thrilled i was able to get it on sale.  my only regret"&amp;" was the lack of a petite selection.")</f>
        <v>All the rave reviews are true!  this vest is plush and funky and i love wearing it. i'm having fun figuring out different outfits to wear with this. this is a great three season layering piece and i'm thrilled i was able to get it on sale.  my only regret was the lack of a petite selection.</v>
      </c>
      <c r="F371" s="13">
        <f>IFERROR(__xludf.DUMMYFUNCTION("""COMPUTED_VALUE"""),5.0)</f>
        <v>5</v>
      </c>
      <c r="G371" s="13">
        <f>IFERROR(__xludf.DUMMYFUNCTION("""COMPUTED_VALUE"""),1.0)</f>
        <v>1</v>
      </c>
      <c r="H371" s="13">
        <f>IFERROR(__xludf.DUMMYFUNCTION("""COMPUTED_VALUE"""),0.0)</f>
        <v>0</v>
      </c>
      <c r="I371" s="13" t="str">
        <f>IFERROR(__xludf.DUMMYFUNCTION("""COMPUTED_VALUE"""),"General Petite")</f>
        <v>General Petite</v>
      </c>
      <c r="J371" s="13" t="str">
        <f>IFERROR(__xludf.DUMMYFUNCTION("""COMPUTED_VALUE"""),"Tops")</f>
        <v>Tops</v>
      </c>
      <c r="K371" s="13" t="str">
        <f>IFERROR(__xludf.DUMMYFUNCTION("""COMPUTED_VALUE"""),"Fine gauge")</f>
        <v>Fine gauge</v>
      </c>
      <c r="L371" s="13"/>
    </row>
    <row r="372">
      <c r="A372" s="13">
        <f>IFERROR(__xludf.DUMMYFUNCTION("""COMPUTED_VALUE"""),370.0)</f>
        <v>370</v>
      </c>
      <c r="B372" s="13">
        <f>IFERROR(__xludf.DUMMYFUNCTION("""COMPUTED_VALUE"""),836.0)</f>
        <v>836</v>
      </c>
      <c r="C372" s="13">
        <f>IFERROR(__xludf.DUMMYFUNCTION("""COMPUTED_VALUE"""),25.0)</f>
        <v>25</v>
      </c>
      <c r="D372" s="12"/>
      <c r="E372" s="12" t="str">
        <f>IFERROR(__xludf.DUMMYFUNCTION("""COMPUTED_VALUE"""),"I love this top. i got it on sale and am so glad that i did. it is a short too but still super flattering. it isn't too boxy on me.")</f>
        <v>I love this top. i got it on sale and am so glad that i did. it is a short too but still super flattering. it isn't too boxy on me.</v>
      </c>
      <c r="F372" s="13">
        <f>IFERROR(__xludf.DUMMYFUNCTION("""COMPUTED_VALUE"""),5.0)</f>
        <v>5</v>
      </c>
      <c r="G372" s="13">
        <f>IFERROR(__xludf.DUMMYFUNCTION("""COMPUTED_VALUE"""),1.0)</f>
        <v>1</v>
      </c>
      <c r="H372" s="13">
        <f>IFERROR(__xludf.DUMMYFUNCTION("""COMPUTED_VALUE"""),0.0)</f>
        <v>0</v>
      </c>
      <c r="I372" s="13" t="str">
        <f>IFERROR(__xludf.DUMMYFUNCTION("""COMPUTED_VALUE"""),"General")</f>
        <v>General</v>
      </c>
      <c r="J372" s="13" t="str">
        <f>IFERROR(__xludf.DUMMYFUNCTION("""COMPUTED_VALUE"""),"Tops")</f>
        <v>Tops</v>
      </c>
      <c r="K372" s="13" t="str">
        <f>IFERROR(__xludf.DUMMYFUNCTION("""COMPUTED_VALUE"""),"Blouses")</f>
        <v>Blouses</v>
      </c>
      <c r="L372" s="13"/>
    </row>
    <row r="373">
      <c r="A373" s="13">
        <f>IFERROR(__xludf.DUMMYFUNCTION("""COMPUTED_VALUE"""),371.0)</f>
        <v>371</v>
      </c>
      <c r="B373" s="13">
        <f>IFERROR(__xludf.DUMMYFUNCTION("""COMPUTED_VALUE"""),895.0)</f>
        <v>895</v>
      </c>
      <c r="C373" s="13">
        <f>IFERROR(__xludf.DUMMYFUNCTION("""COMPUTED_VALUE"""),64.0)</f>
        <v>64</v>
      </c>
      <c r="D373" s="12" t="str">
        <f>IFERROR(__xludf.DUMMYFUNCTION("""COMPUTED_VALUE"""),"Love the print &amp; style")</f>
        <v>Love the print &amp; style</v>
      </c>
      <c r="E373" s="12" t="str">
        <f>IFERROR(__xludf.DUMMYFUNCTION("""COMPUTED_VALUE"""),"I tried this on the other day at the local store in a size xs/s. although it's wool i didn't notice that is was itchy &amp; usually wool bothers me. i am of small build but i did like the long &amp; oversized look. i admit i am drawn to the print anyways. i notic"&amp;"ed the right armhole was larger than the left so i tried on another xs/s - it was the same. probably the armholes will be smaller in the petite sizes. i decided to make other purchases but will order the petite xs/s in a few wks since the invent")</f>
        <v>I tried this on the other day at the local store in a size xs/s. although it's wool i didn't notice that is was itchy &amp; usually wool bothers me. i am of small build but i did like the long &amp; oversized look. i admit i am drawn to the print anyways. i noticed the right armhole was larger than the left so i tried on another xs/s - it was the same. probably the armholes will be smaller in the petite sizes. i decided to make other purchases but will order the petite xs/s in a few wks since the invent</v>
      </c>
      <c r="F373" s="13">
        <f>IFERROR(__xludf.DUMMYFUNCTION("""COMPUTED_VALUE"""),5.0)</f>
        <v>5</v>
      </c>
      <c r="G373" s="13">
        <f>IFERROR(__xludf.DUMMYFUNCTION("""COMPUTED_VALUE"""),1.0)</f>
        <v>1</v>
      </c>
      <c r="H373" s="13">
        <f>IFERROR(__xludf.DUMMYFUNCTION("""COMPUTED_VALUE"""),4.0)</f>
        <v>4</v>
      </c>
      <c r="I373" s="13" t="str">
        <f>IFERROR(__xludf.DUMMYFUNCTION("""COMPUTED_VALUE"""),"General Petite")</f>
        <v>General Petite</v>
      </c>
      <c r="J373" s="13" t="str">
        <f>IFERROR(__xludf.DUMMYFUNCTION("""COMPUTED_VALUE"""),"Tops")</f>
        <v>Tops</v>
      </c>
      <c r="K373" s="13" t="str">
        <f>IFERROR(__xludf.DUMMYFUNCTION("""COMPUTED_VALUE"""),"Fine gauge")</f>
        <v>Fine gauge</v>
      </c>
      <c r="L373" s="13"/>
    </row>
    <row r="374">
      <c r="A374" s="13">
        <f>IFERROR(__xludf.DUMMYFUNCTION("""COMPUTED_VALUE"""),372.0)</f>
        <v>372</v>
      </c>
      <c r="B374" s="13">
        <f>IFERROR(__xludf.DUMMYFUNCTION("""COMPUTED_VALUE"""),895.0)</f>
        <v>895</v>
      </c>
      <c r="C374" s="13">
        <f>IFERROR(__xludf.DUMMYFUNCTION("""COMPUTED_VALUE"""),57.0)</f>
        <v>57</v>
      </c>
      <c r="D374" s="12" t="str">
        <f>IFERROR(__xludf.DUMMYFUNCTION("""COMPUTED_VALUE"""),"So cool")</f>
        <v>So cool</v>
      </c>
      <c r="E374" s="12" t="str">
        <f>IFERROR(__xludf.DUMMYFUNCTION("""COMPUTED_VALUE"""),"This has great drape, length, the pattern is super versatile with solids or prints. i am finding the wool to be itchy around the neck, so not sure if i will keep, though i don't seem to want to take it off! has a lightweight, boiled wool texture, contrast"&amp;"ing print and design so cool!")</f>
        <v>This has great drape, length, the pattern is super versatile with solids or prints. i am finding the wool to be itchy around the neck, so not sure if i will keep, though i don't seem to want to take it off! has a lightweight, boiled wool texture, contrasting print and design so cool!</v>
      </c>
      <c r="F374" s="13">
        <f>IFERROR(__xludf.DUMMYFUNCTION("""COMPUTED_VALUE"""),5.0)</f>
        <v>5</v>
      </c>
      <c r="G374" s="13">
        <f>IFERROR(__xludf.DUMMYFUNCTION("""COMPUTED_VALUE"""),1.0)</f>
        <v>1</v>
      </c>
      <c r="H374" s="13">
        <f>IFERROR(__xludf.DUMMYFUNCTION("""COMPUTED_VALUE"""),1.0)</f>
        <v>1</v>
      </c>
      <c r="I374" s="13" t="str">
        <f>IFERROR(__xludf.DUMMYFUNCTION("""COMPUTED_VALUE"""),"General Petite")</f>
        <v>General Petite</v>
      </c>
      <c r="J374" s="13" t="str">
        <f>IFERROR(__xludf.DUMMYFUNCTION("""COMPUTED_VALUE"""),"Tops")</f>
        <v>Tops</v>
      </c>
      <c r="K374" s="13" t="str">
        <f>IFERROR(__xludf.DUMMYFUNCTION("""COMPUTED_VALUE"""),"Fine gauge")</f>
        <v>Fine gauge</v>
      </c>
      <c r="L374" s="13"/>
    </row>
    <row r="375">
      <c r="A375" s="13">
        <f>IFERROR(__xludf.DUMMYFUNCTION("""COMPUTED_VALUE"""),373.0)</f>
        <v>373</v>
      </c>
      <c r="B375" s="13">
        <f>IFERROR(__xludf.DUMMYFUNCTION("""COMPUTED_VALUE"""),895.0)</f>
        <v>895</v>
      </c>
      <c r="C375" s="13">
        <f>IFERROR(__xludf.DUMMYFUNCTION("""COMPUTED_VALUE"""),44.0)</f>
        <v>44</v>
      </c>
      <c r="D375" s="12" t="str">
        <f>IFERROR(__xludf.DUMMYFUNCTION("""COMPUTED_VALUE"""),"Modern black and white")</f>
        <v>Modern black and white</v>
      </c>
      <c r="E375" s="12" t="str">
        <f>IFERROR(__xludf.DUMMYFUNCTION("""COMPUTED_VALUE"""),"I was skeptical about this duster and had to see it in person, and it was love at first sight. the black and white makes it versatile, and the pattern makes it interesting and fashion forward. more importantly, the pattern is cleverly designed which doesn"&amp;"'t compete with your wardrobe should you wear a bright color or a similar pattern (as shown on model). i purchased the regular xs/s and it fit me fine (i'm 5'2"", 34b, 26 waist, and 36 hips) and the hem falls about two inches below my knees. the")</f>
        <v>I was skeptical about this duster and had to see it in person, and it was love at first sight. the black and white makes it versatile, and the pattern makes it interesting and fashion forward. more importantly, the pattern is cleverly designed which doesn't compete with your wardrobe should you wear a bright color or a similar pattern (as shown on model). i purchased the regular xs/s and it fit me fine (i'm 5'2", 34b, 26 waist, and 36 hips) and the hem falls about two inches below my knees. the</v>
      </c>
      <c r="F375" s="13">
        <f>IFERROR(__xludf.DUMMYFUNCTION("""COMPUTED_VALUE"""),5.0)</f>
        <v>5</v>
      </c>
      <c r="G375" s="13">
        <f>IFERROR(__xludf.DUMMYFUNCTION("""COMPUTED_VALUE"""),1.0)</f>
        <v>1</v>
      </c>
      <c r="H375" s="13">
        <f>IFERROR(__xludf.DUMMYFUNCTION("""COMPUTED_VALUE"""),2.0)</f>
        <v>2</v>
      </c>
      <c r="I375" s="13" t="str">
        <f>IFERROR(__xludf.DUMMYFUNCTION("""COMPUTED_VALUE"""),"General Petite")</f>
        <v>General Petite</v>
      </c>
      <c r="J375" s="13" t="str">
        <f>IFERROR(__xludf.DUMMYFUNCTION("""COMPUTED_VALUE"""),"Tops")</f>
        <v>Tops</v>
      </c>
      <c r="K375" s="13" t="str">
        <f>IFERROR(__xludf.DUMMYFUNCTION("""COMPUTED_VALUE"""),"Fine gauge")</f>
        <v>Fine gauge</v>
      </c>
      <c r="L375" s="13"/>
    </row>
    <row r="376">
      <c r="A376" s="13">
        <f>IFERROR(__xludf.DUMMYFUNCTION("""COMPUTED_VALUE"""),374.0)</f>
        <v>374</v>
      </c>
      <c r="B376" s="13">
        <f>IFERROR(__xludf.DUMMYFUNCTION("""COMPUTED_VALUE"""),836.0)</f>
        <v>836</v>
      </c>
      <c r="C376" s="13">
        <f>IFERROR(__xludf.DUMMYFUNCTION("""COMPUTED_VALUE"""),44.0)</f>
        <v>44</v>
      </c>
      <c r="D376" s="12" t="str">
        <f>IFERROR(__xludf.DUMMYFUNCTION("""COMPUTED_VALUE"""),"Subdued sexy")</f>
        <v>Subdued sexy</v>
      </c>
      <c r="E376" s="12" t="str">
        <f>IFERROR(__xludf.DUMMYFUNCTION("""COMPUTED_VALUE"""),"Surprisingly flattering on, especially with pants/jeans. extremely figure flattering because it enhances the figure and hides flaws: the pleating enhances the bust, the v-cut provides a touch of a peekaboo (not enough to show cleavage but it's there in a "&amp;"super flattering way), the hem flares out a bit to hide the tummy and enhance the bust even more; the short sleeves are versatile so it can be worn in the office, under a jacket, or just plain for going out. the material is not too thick but not")</f>
        <v>Surprisingly flattering on, especially with pants/jeans. extremely figure flattering because it enhances the figure and hides flaws: the pleating enhances the bust, the v-cut provides a touch of a peekaboo (not enough to show cleavage but it's there in a super flattering way), the hem flares out a bit to hide the tummy and enhance the bust even more; the short sleeves are versatile so it can be worn in the office, under a jacket, or just plain for going out. the material is not too thick but not</v>
      </c>
      <c r="F376" s="13">
        <f>IFERROR(__xludf.DUMMYFUNCTION("""COMPUTED_VALUE"""),5.0)</f>
        <v>5</v>
      </c>
      <c r="G376" s="13">
        <f>IFERROR(__xludf.DUMMYFUNCTION("""COMPUTED_VALUE"""),1.0)</f>
        <v>1</v>
      </c>
      <c r="H376" s="13">
        <f>IFERROR(__xludf.DUMMYFUNCTION("""COMPUTED_VALUE"""),6.0)</f>
        <v>6</v>
      </c>
      <c r="I376" s="13" t="str">
        <f>IFERROR(__xludf.DUMMYFUNCTION("""COMPUTED_VALUE"""),"General")</f>
        <v>General</v>
      </c>
      <c r="J376" s="13" t="str">
        <f>IFERROR(__xludf.DUMMYFUNCTION("""COMPUTED_VALUE"""),"Tops")</f>
        <v>Tops</v>
      </c>
      <c r="K376" s="13" t="str">
        <f>IFERROR(__xludf.DUMMYFUNCTION("""COMPUTED_VALUE"""),"Blouses")</f>
        <v>Blouses</v>
      </c>
      <c r="L376" s="13"/>
    </row>
    <row r="377">
      <c r="A377" s="13">
        <f>IFERROR(__xludf.DUMMYFUNCTION("""COMPUTED_VALUE"""),375.0)</f>
        <v>375</v>
      </c>
      <c r="B377" s="13">
        <f>IFERROR(__xludf.DUMMYFUNCTION("""COMPUTED_VALUE"""),859.0)</f>
        <v>859</v>
      </c>
      <c r="C377" s="13">
        <f>IFERROR(__xludf.DUMMYFUNCTION("""COMPUTED_VALUE"""),26.0)</f>
        <v>26</v>
      </c>
      <c r="D377" s="12" t="str">
        <f>IFERROR(__xludf.DUMMYFUNCTION("""COMPUTED_VALUE"""),"So sexy")</f>
        <v>So sexy</v>
      </c>
      <c r="E377" s="12" t="str">
        <f>IFERROR(__xludf.DUMMYFUNCTION("""COMPUTED_VALUE"""),"The top runs small, it is a very sexy and slimming top. i tried in l, it was too small so i have ordered it in xl. i hope it fits because it is very fitted and i am worried that the bottom will roll to the top with a fabric like this. but it is a very sex"&amp;"y, good looking, and slimming top. i love it!!")</f>
        <v>The top runs small, it is a very sexy and slimming top. i tried in l, it was too small so i have ordered it in xl. i hope it fits because it is very fitted and i am worried that the bottom will roll to the top with a fabric like this. but it is a very sexy, good looking, and slimming top. i love it!!</v>
      </c>
      <c r="F377" s="13">
        <f>IFERROR(__xludf.DUMMYFUNCTION("""COMPUTED_VALUE"""),4.0)</f>
        <v>4</v>
      </c>
      <c r="G377" s="13">
        <f>IFERROR(__xludf.DUMMYFUNCTION("""COMPUTED_VALUE"""),1.0)</f>
        <v>1</v>
      </c>
      <c r="H377" s="13">
        <f>IFERROR(__xludf.DUMMYFUNCTION("""COMPUTED_VALUE"""),0.0)</f>
        <v>0</v>
      </c>
      <c r="I377" s="13" t="str">
        <f>IFERROR(__xludf.DUMMYFUNCTION("""COMPUTED_VALUE"""),"General")</f>
        <v>General</v>
      </c>
      <c r="J377" s="13" t="str">
        <f>IFERROR(__xludf.DUMMYFUNCTION("""COMPUTED_VALUE"""),"Tops")</f>
        <v>Tops</v>
      </c>
      <c r="K377" s="13" t="str">
        <f>IFERROR(__xludf.DUMMYFUNCTION("""COMPUTED_VALUE"""),"Knits")</f>
        <v>Knits</v>
      </c>
      <c r="L377" s="13"/>
    </row>
    <row r="378">
      <c r="A378" s="13">
        <f>IFERROR(__xludf.DUMMYFUNCTION("""COMPUTED_VALUE"""),376.0)</f>
        <v>376</v>
      </c>
      <c r="B378" s="13">
        <f>IFERROR(__xludf.DUMMYFUNCTION("""COMPUTED_VALUE"""),862.0)</f>
        <v>862</v>
      </c>
      <c r="C378" s="13">
        <f>IFERROR(__xludf.DUMMYFUNCTION("""COMPUTED_VALUE"""),37.0)</f>
        <v>37</v>
      </c>
      <c r="D378" s="12" t="str">
        <f>IFERROR(__xludf.DUMMYFUNCTION("""COMPUTED_VALUE"""),"Just okay")</f>
        <v>Just okay</v>
      </c>
      <c r="E378" s="12" t="str">
        <f>IFERROR(__xludf.DUMMYFUNCTION("""COMPUTED_VALUE"""),"I was looking for a basic tee, but this one was just ok...the quality is okay, but it us not as soft as i would have liked. unfortunately,  i will be returning this item.")</f>
        <v>I was looking for a basic tee, but this one was just ok...the quality is okay, but it us not as soft as i would have liked. unfortunately,  i will be returning this item.</v>
      </c>
      <c r="F378" s="13">
        <f>IFERROR(__xludf.DUMMYFUNCTION("""COMPUTED_VALUE"""),3.0)</f>
        <v>3</v>
      </c>
      <c r="G378" s="13">
        <f>IFERROR(__xludf.DUMMYFUNCTION("""COMPUTED_VALUE"""),0.0)</f>
        <v>0</v>
      </c>
      <c r="H378" s="13">
        <f>IFERROR(__xludf.DUMMYFUNCTION("""COMPUTED_VALUE"""),0.0)</f>
        <v>0</v>
      </c>
      <c r="I378" s="13" t="str">
        <f>IFERROR(__xludf.DUMMYFUNCTION("""COMPUTED_VALUE"""),"General")</f>
        <v>General</v>
      </c>
      <c r="J378" s="13" t="str">
        <f>IFERROR(__xludf.DUMMYFUNCTION("""COMPUTED_VALUE"""),"Tops")</f>
        <v>Tops</v>
      </c>
      <c r="K378" s="13" t="str">
        <f>IFERROR(__xludf.DUMMYFUNCTION("""COMPUTED_VALUE"""),"Knits")</f>
        <v>Knits</v>
      </c>
      <c r="L378" s="13"/>
    </row>
    <row r="379">
      <c r="A379" s="13">
        <f>IFERROR(__xludf.DUMMYFUNCTION("""COMPUTED_VALUE"""),377.0)</f>
        <v>377</v>
      </c>
      <c r="B379" s="13">
        <f>IFERROR(__xludf.DUMMYFUNCTION("""COMPUTED_VALUE"""),1049.0)</f>
        <v>1049</v>
      </c>
      <c r="C379" s="13">
        <f>IFERROR(__xludf.DUMMYFUNCTION("""COMPUTED_VALUE"""),48.0)</f>
        <v>48</v>
      </c>
      <c r="D379" s="12" t="str">
        <f>IFERROR(__xludf.DUMMYFUNCTION("""COMPUTED_VALUE"""),"One of my favorite pieces for night")</f>
        <v>One of my favorite pieces for night</v>
      </c>
      <c r="E379" s="12" t="str">
        <f>IFERROR(__xludf.DUMMYFUNCTION("""COMPUTED_VALUE"""),"An excellent going out to dinner, to a lounge, etc. piece. super flattering, sexy, feminine and trendy! can be dressed up or down with some nice accessories. i'm only 5 feet and very wary of jumpsuits, but this was excellent!")</f>
        <v>An excellent going out to dinner, to a lounge, etc. piece. super flattering, sexy, feminine and trendy! can be dressed up or down with some nice accessories. i'm only 5 feet and very wary of jumpsuits, but this was excellent!</v>
      </c>
      <c r="F379" s="13">
        <f>IFERROR(__xludf.DUMMYFUNCTION("""COMPUTED_VALUE"""),5.0)</f>
        <v>5</v>
      </c>
      <c r="G379" s="13">
        <f>IFERROR(__xludf.DUMMYFUNCTION("""COMPUTED_VALUE"""),1.0)</f>
        <v>1</v>
      </c>
      <c r="H379" s="13">
        <f>IFERROR(__xludf.DUMMYFUNCTION("""COMPUTED_VALUE"""),0.0)</f>
        <v>0</v>
      </c>
      <c r="I379" s="13" t="str">
        <f>IFERROR(__xludf.DUMMYFUNCTION("""COMPUTED_VALUE"""),"General")</f>
        <v>General</v>
      </c>
      <c r="J379" s="13" t="str">
        <f>IFERROR(__xludf.DUMMYFUNCTION("""COMPUTED_VALUE"""),"Bottoms")</f>
        <v>Bottoms</v>
      </c>
      <c r="K379" s="13" t="str">
        <f>IFERROR(__xludf.DUMMYFUNCTION("""COMPUTED_VALUE"""),"Pants")</f>
        <v>Pants</v>
      </c>
      <c r="L379" s="13"/>
    </row>
    <row r="380">
      <c r="A380" s="13">
        <f>IFERROR(__xludf.DUMMYFUNCTION("""COMPUTED_VALUE"""),378.0)</f>
        <v>378</v>
      </c>
      <c r="B380" s="13">
        <f>IFERROR(__xludf.DUMMYFUNCTION("""COMPUTED_VALUE"""),862.0)</f>
        <v>862</v>
      </c>
      <c r="C380" s="13">
        <f>IFERROR(__xludf.DUMMYFUNCTION("""COMPUTED_VALUE"""),35.0)</f>
        <v>35</v>
      </c>
      <c r="D380" s="12"/>
      <c r="E380" s="12" t="str">
        <f>IFERROR(__xludf.DUMMYFUNCTION("""COMPUTED_VALUE"""),"I would've looked right over this online but i saw it in store and had to try on. the navy and the white were both cute but i tried the navy. i'm usually a m but went with the s b/c it looked better fitted. this shirt has a very vintage feel to it and is "&amp;"slinky and comfy. i can't wait to wear. would look great with white jeans!")</f>
        <v>I would've looked right over this online but i saw it in store and had to try on. the navy and the white were both cute but i tried the navy. i'm usually a m but went with the s b/c it looked better fitted. this shirt has a very vintage feel to it and is slinky and comfy. i can't wait to wear. would look great with white jeans!</v>
      </c>
      <c r="F380" s="13">
        <f>IFERROR(__xludf.DUMMYFUNCTION("""COMPUTED_VALUE"""),5.0)</f>
        <v>5</v>
      </c>
      <c r="G380" s="13">
        <f>IFERROR(__xludf.DUMMYFUNCTION("""COMPUTED_VALUE"""),1.0)</f>
        <v>1</v>
      </c>
      <c r="H380" s="13">
        <f>IFERROR(__xludf.DUMMYFUNCTION("""COMPUTED_VALUE"""),10.0)</f>
        <v>10</v>
      </c>
      <c r="I380" s="13" t="str">
        <f>IFERROR(__xludf.DUMMYFUNCTION("""COMPUTED_VALUE"""),"General")</f>
        <v>General</v>
      </c>
      <c r="J380" s="13" t="str">
        <f>IFERROR(__xludf.DUMMYFUNCTION("""COMPUTED_VALUE"""),"Tops")</f>
        <v>Tops</v>
      </c>
      <c r="K380" s="13" t="str">
        <f>IFERROR(__xludf.DUMMYFUNCTION("""COMPUTED_VALUE"""),"Knits")</f>
        <v>Knits</v>
      </c>
      <c r="L380" s="13"/>
    </row>
    <row r="381">
      <c r="A381" s="13">
        <f>IFERROR(__xludf.DUMMYFUNCTION("""COMPUTED_VALUE"""),379.0)</f>
        <v>379</v>
      </c>
      <c r="B381" s="13">
        <f>IFERROR(__xludf.DUMMYFUNCTION("""COMPUTED_VALUE"""),1089.0)</f>
        <v>1089</v>
      </c>
      <c r="C381" s="13">
        <f>IFERROR(__xludf.DUMMYFUNCTION("""COMPUTED_VALUE"""),67.0)</f>
        <v>67</v>
      </c>
      <c r="D381" s="12" t="str">
        <f>IFERROR(__xludf.DUMMYFUNCTION("""COMPUTED_VALUE"""),"Elegant and eye-catching")</f>
        <v>Elegant and eye-catching</v>
      </c>
      <c r="E381" s="12" t="str">
        <f>IFERROR(__xludf.DUMMYFUNCTION("""COMPUTED_VALUE"""),"This elegant white lace dress attracted compliments everywhere i wore it. it is classic with just the right amount of quirkiness . i like everything about it!")</f>
        <v>This elegant white lace dress attracted compliments everywhere i wore it. it is classic with just the right amount of quirkiness . i like everything about it!</v>
      </c>
      <c r="F381" s="13">
        <f>IFERROR(__xludf.DUMMYFUNCTION("""COMPUTED_VALUE"""),5.0)</f>
        <v>5</v>
      </c>
      <c r="G381" s="13">
        <f>IFERROR(__xludf.DUMMYFUNCTION("""COMPUTED_VALUE"""),1.0)</f>
        <v>1</v>
      </c>
      <c r="H381" s="13">
        <f>IFERROR(__xludf.DUMMYFUNCTION("""COMPUTED_VALUE"""),0.0)</f>
        <v>0</v>
      </c>
      <c r="I381" s="13" t="str">
        <f>IFERROR(__xludf.DUMMYFUNCTION("""COMPUTED_VALUE"""),"General Petite")</f>
        <v>General Petite</v>
      </c>
      <c r="J381" s="13" t="str">
        <f>IFERROR(__xludf.DUMMYFUNCTION("""COMPUTED_VALUE"""),"Dresses")</f>
        <v>Dresses</v>
      </c>
      <c r="K381" s="13" t="str">
        <f>IFERROR(__xludf.DUMMYFUNCTION("""COMPUTED_VALUE"""),"Dresses")</f>
        <v>Dresses</v>
      </c>
      <c r="L381" s="13"/>
    </row>
    <row r="382">
      <c r="A382" s="13">
        <f>IFERROR(__xludf.DUMMYFUNCTION("""COMPUTED_VALUE"""),380.0)</f>
        <v>380</v>
      </c>
      <c r="B382" s="13">
        <f>IFERROR(__xludf.DUMMYFUNCTION("""COMPUTED_VALUE"""),1089.0)</f>
        <v>1089</v>
      </c>
      <c r="C382" s="13">
        <f>IFERROR(__xludf.DUMMYFUNCTION("""COMPUTED_VALUE"""),24.0)</f>
        <v>24</v>
      </c>
      <c r="D382" s="12" t="str">
        <f>IFERROR(__xludf.DUMMYFUNCTION("""COMPUTED_VALUE"""),"Work-appropriate lace")</f>
        <v>Work-appropriate lace</v>
      </c>
      <c r="E382" s="12" t="str">
        <f>IFERROR(__xludf.DUMMYFUNCTION("""COMPUTED_VALUE"""),"I've been looking for the perfect work-appropriate lace dress (for a casual/creative work environment) for a while, and this was just the ticket! the pointed collar and demure shape add some structure to the feminine lace. i rolled the sleeves to a short-"&amp;"sleeve length just to tone done the cutesy factor a tiny bit more (although the sleeves, worn long, are absolutely gorgeous!). the lace isn't exactly the highest quality lace that retailer has ever used, but pretty nonetheless. i'm 5'5 /125 and th")</f>
        <v>I've been looking for the perfect work-appropriate lace dress (for a casual/creative work environment) for a while, and this was just the ticket! the pointed collar and demure shape add some structure to the feminine lace. i rolled the sleeves to a short-sleeve length just to tone done the cutesy factor a tiny bit more (although the sleeves, worn long, are absolutely gorgeous!). the lace isn't exactly the highest quality lace that retailer has ever used, but pretty nonetheless. i'm 5'5 /125 and th</v>
      </c>
      <c r="F382" s="13">
        <f>IFERROR(__xludf.DUMMYFUNCTION("""COMPUTED_VALUE"""),4.0)</f>
        <v>4</v>
      </c>
      <c r="G382" s="13">
        <f>IFERROR(__xludf.DUMMYFUNCTION("""COMPUTED_VALUE"""),1.0)</f>
        <v>1</v>
      </c>
      <c r="H382" s="13">
        <f>IFERROR(__xludf.DUMMYFUNCTION("""COMPUTED_VALUE"""),1.0)</f>
        <v>1</v>
      </c>
      <c r="I382" s="13" t="str">
        <f>IFERROR(__xludf.DUMMYFUNCTION("""COMPUTED_VALUE"""),"General Petite")</f>
        <v>General Petite</v>
      </c>
      <c r="J382" s="13" t="str">
        <f>IFERROR(__xludf.DUMMYFUNCTION("""COMPUTED_VALUE"""),"Dresses")</f>
        <v>Dresses</v>
      </c>
      <c r="K382" s="13" t="str">
        <f>IFERROR(__xludf.DUMMYFUNCTION("""COMPUTED_VALUE"""),"Dresses")</f>
        <v>Dresses</v>
      </c>
      <c r="L382" s="13"/>
    </row>
    <row r="383">
      <c r="A383" s="13">
        <f>IFERROR(__xludf.DUMMYFUNCTION("""COMPUTED_VALUE"""),381.0)</f>
        <v>381</v>
      </c>
      <c r="B383" s="13">
        <f>IFERROR(__xludf.DUMMYFUNCTION("""COMPUTED_VALUE"""),1104.0)</f>
        <v>1104</v>
      </c>
      <c r="C383" s="13">
        <f>IFERROR(__xludf.DUMMYFUNCTION("""COMPUTED_VALUE"""),59.0)</f>
        <v>59</v>
      </c>
      <c r="D383" s="12" t="str">
        <f>IFERROR(__xludf.DUMMYFUNCTION("""COMPUTED_VALUE"""),"Poor quality")</f>
        <v>Poor quality</v>
      </c>
      <c r="E383" s="12" t="str">
        <f>IFERROR(__xludf.DUMMYFUNCTION("""COMPUTED_VALUE"""),"Disappointed in the quality of the dress. love the style and especially the colors. the fabric of the body of the dress is very very thin and just poorly made. the top bodice is more substantial. not worth the price tag of $148.00. dress does run short.")</f>
        <v>Disappointed in the quality of the dress. love the style and especially the colors. the fabric of the body of the dress is very very thin and just poorly made. the top bodice is more substantial. not worth the price tag of $148.00. dress does run short.</v>
      </c>
      <c r="F383" s="13">
        <f>IFERROR(__xludf.DUMMYFUNCTION("""COMPUTED_VALUE"""),3.0)</f>
        <v>3</v>
      </c>
      <c r="G383" s="13">
        <f>IFERROR(__xludf.DUMMYFUNCTION("""COMPUTED_VALUE"""),0.0)</f>
        <v>0</v>
      </c>
      <c r="H383" s="13">
        <f>IFERROR(__xludf.DUMMYFUNCTION("""COMPUTED_VALUE"""),13.0)</f>
        <v>13</v>
      </c>
      <c r="I383" s="13" t="str">
        <f>IFERROR(__xludf.DUMMYFUNCTION("""COMPUTED_VALUE"""),"General")</f>
        <v>General</v>
      </c>
      <c r="J383" s="13" t="str">
        <f>IFERROR(__xludf.DUMMYFUNCTION("""COMPUTED_VALUE"""),"Dresses")</f>
        <v>Dresses</v>
      </c>
      <c r="K383" s="13" t="str">
        <f>IFERROR(__xludf.DUMMYFUNCTION("""COMPUTED_VALUE"""),"Dresses")</f>
        <v>Dresses</v>
      </c>
      <c r="L383" s="13"/>
    </row>
    <row r="384">
      <c r="A384" s="13">
        <f>IFERROR(__xludf.DUMMYFUNCTION("""COMPUTED_VALUE"""),382.0)</f>
        <v>382</v>
      </c>
      <c r="B384" s="13">
        <f>IFERROR(__xludf.DUMMYFUNCTION("""COMPUTED_VALUE"""),127.0)</f>
        <v>127</v>
      </c>
      <c r="C384" s="13">
        <f>IFERROR(__xludf.DUMMYFUNCTION("""COMPUTED_VALUE"""),47.0)</f>
        <v>47</v>
      </c>
      <c r="D384" s="12" t="str">
        <f>IFERROR(__xludf.DUMMYFUNCTION("""COMPUTED_VALUE"""),"Soft and cozy")</f>
        <v>Soft and cozy</v>
      </c>
      <c r="E384" s="12" t="str">
        <f>IFERROR(__xludf.DUMMYFUNCTION("""COMPUTED_VALUE"""),"Comfy cozy and a bit on the big size, even for an oversized piece. order a size down, even if you want a boxier look. unsure how the fabric will hold up-but if it does it will be a great get.")</f>
        <v>Comfy cozy and a bit on the big size, even for an oversized piece. order a size down, even if you want a boxier look. unsure how the fabric will hold up-but if it does it will be a great get.</v>
      </c>
      <c r="F384" s="13">
        <f>IFERROR(__xludf.DUMMYFUNCTION("""COMPUTED_VALUE"""),4.0)</f>
        <v>4</v>
      </c>
      <c r="G384" s="13">
        <f>IFERROR(__xludf.DUMMYFUNCTION("""COMPUTED_VALUE"""),1.0)</f>
        <v>1</v>
      </c>
      <c r="H384" s="13">
        <f>IFERROR(__xludf.DUMMYFUNCTION("""COMPUTED_VALUE"""),0.0)</f>
        <v>0</v>
      </c>
      <c r="I384" s="13" t="str">
        <f>IFERROR(__xludf.DUMMYFUNCTION("""COMPUTED_VALUE"""),"General Petite")</f>
        <v>General Petite</v>
      </c>
      <c r="J384" s="13" t="str">
        <f>IFERROR(__xludf.DUMMYFUNCTION("""COMPUTED_VALUE"""),"Intimate")</f>
        <v>Intimate</v>
      </c>
      <c r="K384" s="13" t="str">
        <f>IFERROR(__xludf.DUMMYFUNCTION("""COMPUTED_VALUE"""),"Lounge")</f>
        <v>Lounge</v>
      </c>
      <c r="L384" s="13"/>
    </row>
    <row r="385">
      <c r="A385" s="13">
        <f>IFERROR(__xludf.DUMMYFUNCTION("""COMPUTED_VALUE"""),383.0)</f>
        <v>383</v>
      </c>
      <c r="B385" s="13">
        <f>IFERROR(__xludf.DUMMYFUNCTION("""COMPUTED_VALUE"""),1104.0)</f>
        <v>1104</v>
      </c>
      <c r="C385" s="13">
        <f>IFERROR(__xludf.DUMMYFUNCTION("""COMPUTED_VALUE"""),42.0)</f>
        <v>42</v>
      </c>
      <c r="D385" s="12" t="str">
        <f>IFERROR(__xludf.DUMMYFUNCTION("""COMPUTED_VALUE"""),"Looks are deceiving")</f>
        <v>Looks are deceiving</v>
      </c>
      <c r="E385" s="12" t="str">
        <f>IFERROR(__xludf.DUMMYFUNCTION("""COMPUTED_VALUE"""),"This dress is not what i expected. the bottom half is wool-like material-looks like someone has worn it. the top snags easily so you must be careful when wearing jewelry. when i received the dress i noticed there were two small holes under the arms. i wou"&amp;"ldn't of paid full price but for the amount, i sewed up the holes and packed it away for winter.")</f>
        <v>This dress is not what i expected. the bottom half is wool-like material-looks like someone has worn it. the top snags easily so you must be careful when wearing jewelry. when i received the dress i noticed there were two small holes under the arms. i wouldn't of paid full price but for the amount, i sewed up the holes and packed it away for winter.</v>
      </c>
      <c r="F385" s="13">
        <f>IFERROR(__xludf.DUMMYFUNCTION("""COMPUTED_VALUE"""),3.0)</f>
        <v>3</v>
      </c>
      <c r="G385" s="13">
        <f>IFERROR(__xludf.DUMMYFUNCTION("""COMPUTED_VALUE"""),1.0)</f>
        <v>1</v>
      </c>
      <c r="H385" s="13">
        <f>IFERROR(__xludf.DUMMYFUNCTION("""COMPUTED_VALUE"""),0.0)</f>
        <v>0</v>
      </c>
      <c r="I385" s="13" t="str">
        <f>IFERROR(__xludf.DUMMYFUNCTION("""COMPUTED_VALUE"""),"General")</f>
        <v>General</v>
      </c>
      <c r="J385" s="13" t="str">
        <f>IFERROR(__xludf.DUMMYFUNCTION("""COMPUTED_VALUE"""),"Dresses")</f>
        <v>Dresses</v>
      </c>
      <c r="K385" s="13" t="str">
        <f>IFERROR(__xludf.DUMMYFUNCTION("""COMPUTED_VALUE"""),"Dresses")</f>
        <v>Dresses</v>
      </c>
      <c r="L385" s="13"/>
    </row>
    <row r="386">
      <c r="A386" s="13">
        <f>IFERROR(__xludf.DUMMYFUNCTION("""COMPUTED_VALUE"""),384.0)</f>
        <v>384</v>
      </c>
      <c r="B386" s="13">
        <f>IFERROR(__xludf.DUMMYFUNCTION("""COMPUTED_VALUE"""),936.0)</f>
        <v>936</v>
      </c>
      <c r="C386" s="13">
        <f>IFERROR(__xludf.DUMMYFUNCTION("""COMPUTED_VALUE"""),29.0)</f>
        <v>29</v>
      </c>
      <c r="D386" s="12" t="str">
        <f>IFERROR(__xludf.DUMMYFUNCTION("""COMPUTED_VALUE"""),"Terrific sweater with great detail; runs large")</f>
        <v>Terrific sweater with great detail; runs large</v>
      </c>
      <c r="E386" s="12" t="str">
        <f>IFERROR(__xludf.DUMMYFUNCTION("""COMPUTED_VALUE"""),"I ordered the sweater in a medium but it was too large - so reordered it in the small and it fits perfectly. love the length- it hits mid hip. it is more of an a-line than straight as show in the picture. the detail is fun and the sweater is well made. hi"&amp;"ghly recommend it- i have received lots of compliments on this sweater.")</f>
        <v>I ordered the sweater in a medium but it was too large - so reordered it in the small and it fits perfectly. love the length- it hits mid hip. it is more of an a-line than straight as show in the picture. the detail is fun and the sweater is well made. highly recommend it- i have received lots of compliments on this sweater.</v>
      </c>
      <c r="F386" s="13">
        <f>IFERROR(__xludf.DUMMYFUNCTION("""COMPUTED_VALUE"""),5.0)</f>
        <v>5</v>
      </c>
      <c r="G386" s="13">
        <f>IFERROR(__xludf.DUMMYFUNCTION("""COMPUTED_VALUE"""),1.0)</f>
        <v>1</v>
      </c>
      <c r="H386" s="13">
        <f>IFERROR(__xludf.DUMMYFUNCTION("""COMPUTED_VALUE"""),0.0)</f>
        <v>0</v>
      </c>
      <c r="I386" s="13" t="str">
        <f>IFERROR(__xludf.DUMMYFUNCTION("""COMPUTED_VALUE"""),"General")</f>
        <v>General</v>
      </c>
      <c r="J386" s="13" t="str">
        <f>IFERROR(__xludf.DUMMYFUNCTION("""COMPUTED_VALUE"""),"Tops")</f>
        <v>Tops</v>
      </c>
      <c r="K386" s="13" t="str">
        <f>IFERROR(__xludf.DUMMYFUNCTION("""COMPUTED_VALUE"""),"Sweaters")</f>
        <v>Sweaters</v>
      </c>
      <c r="L386" s="13"/>
    </row>
    <row r="387">
      <c r="A387" s="13">
        <f>IFERROR(__xludf.DUMMYFUNCTION("""COMPUTED_VALUE"""),385.0)</f>
        <v>385</v>
      </c>
      <c r="B387" s="13">
        <f>IFERROR(__xludf.DUMMYFUNCTION("""COMPUTED_VALUE"""),902.0)</f>
        <v>902</v>
      </c>
      <c r="C387" s="13">
        <f>IFERROR(__xludf.DUMMYFUNCTION("""COMPUTED_VALUE"""),54.0)</f>
        <v>54</v>
      </c>
      <c r="D387" s="12" t="str">
        <f>IFERROR(__xludf.DUMMYFUNCTION("""COMPUTED_VALUE"""),"Pretty/different style")</f>
        <v>Pretty/different style</v>
      </c>
      <c r="E387" s="12" t="str">
        <f>IFERROR(__xludf.DUMMYFUNCTION("""COMPUTED_VALUE"""),"I love this top, it's design is very pretty and like nothing that i have. i think this top runs true to size, i'm usually an xs/s in tops and i went with the s for this one and it fits great. i will say that the top layer of material will snag very easily"&amp;", so while wearing it you have to be very careful!!")</f>
        <v>I love this top, it's design is very pretty and like nothing that i have. i think this top runs true to size, i'm usually an xs/s in tops and i went with the s for this one and it fits great. i will say that the top layer of material will snag very easily, so while wearing it you have to be very careful!!</v>
      </c>
      <c r="F387" s="13">
        <f>IFERROR(__xludf.DUMMYFUNCTION("""COMPUTED_VALUE"""),4.0)</f>
        <v>4</v>
      </c>
      <c r="G387" s="13">
        <f>IFERROR(__xludf.DUMMYFUNCTION("""COMPUTED_VALUE"""),1.0)</f>
        <v>1</v>
      </c>
      <c r="H387" s="13">
        <f>IFERROR(__xludf.DUMMYFUNCTION("""COMPUTED_VALUE"""),3.0)</f>
        <v>3</v>
      </c>
      <c r="I387" s="13" t="str">
        <f>IFERROR(__xludf.DUMMYFUNCTION("""COMPUTED_VALUE"""),"General")</f>
        <v>General</v>
      </c>
      <c r="J387" s="13" t="str">
        <f>IFERROR(__xludf.DUMMYFUNCTION("""COMPUTED_VALUE"""),"Tops")</f>
        <v>Tops</v>
      </c>
      <c r="K387" s="13" t="str">
        <f>IFERROR(__xludf.DUMMYFUNCTION("""COMPUTED_VALUE"""),"Fine gauge")</f>
        <v>Fine gauge</v>
      </c>
      <c r="L387" s="13"/>
    </row>
    <row r="388">
      <c r="A388" s="13">
        <f>IFERROR(__xludf.DUMMYFUNCTION("""COMPUTED_VALUE"""),386.0)</f>
        <v>386</v>
      </c>
      <c r="B388" s="13">
        <f>IFERROR(__xludf.DUMMYFUNCTION("""COMPUTED_VALUE"""),995.0)</f>
        <v>995</v>
      </c>
      <c r="C388" s="13">
        <f>IFERROR(__xludf.DUMMYFUNCTION("""COMPUTED_VALUE"""),41.0)</f>
        <v>41</v>
      </c>
      <c r="D388" s="12" t="str">
        <f>IFERROR(__xludf.DUMMYFUNCTION("""COMPUTED_VALUE"""),"Poorly executed")</f>
        <v>Poorly executed</v>
      </c>
      <c r="E388" s="12" t="str">
        <f>IFERROR(__xludf.DUMMYFUNCTION("""COMPUTED_VALUE"""),"This skirt is very short. i ordered my usual xs petite and it was so short that the longest part ended above my ankle. that's quite off because i'm only 5 feet tall, and i wore it pretty low on the hips. it also flares out awkwardly below the knee. there "&amp;"are 2 vertical seems and they exacerbate the jagged appearance of the hem. i was drawn to the edgy style shown in the photo but in person it looks like my 5 year old cut up a skirt. plus, the fabric--while thick and beautiful and stretchy--has a")</f>
        <v>This skirt is very short. i ordered my usual xs petite and it was so short that the longest part ended above my ankle. that's quite off because i'm only 5 feet tall, and i wore it pretty low on the hips. it also flares out awkwardly below the knee. there are 2 vertical seems and they exacerbate the jagged appearance of the hem. i was drawn to the edgy style shown in the photo but in person it looks like my 5 year old cut up a skirt. plus, the fabric--while thick and beautiful and stretchy--has a</v>
      </c>
      <c r="F388" s="13">
        <f>IFERROR(__xludf.DUMMYFUNCTION("""COMPUTED_VALUE"""),2.0)</f>
        <v>2</v>
      </c>
      <c r="G388" s="13">
        <f>IFERROR(__xludf.DUMMYFUNCTION("""COMPUTED_VALUE"""),0.0)</f>
        <v>0</v>
      </c>
      <c r="H388" s="13">
        <f>IFERROR(__xludf.DUMMYFUNCTION("""COMPUTED_VALUE"""),11.0)</f>
        <v>11</v>
      </c>
      <c r="I388" s="13" t="str">
        <f>IFERROR(__xludf.DUMMYFUNCTION("""COMPUTED_VALUE"""),"General")</f>
        <v>General</v>
      </c>
      <c r="J388" s="13" t="str">
        <f>IFERROR(__xludf.DUMMYFUNCTION("""COMPUTED_VALUE"""),"Bottoms")</f>
        <v>Bottoms</v>
      </c>
      <c r="K388" s="13" t="str">
        <f>IFERROR(__xludf.DUMMYFUNCTION("""COMPUTED_VALUE"""),"Skirts")</f>
        <v>Skirts</v>
      </c>
      <c r="L388" s="13"/>
    </row>
    <row r="389">
      <c r="A389" s="13">
        <f>IFERROR(__xludf.DUMMYFUNCTION("""COMPUTED_VALUE"""),387.0)</f>
        <v>387</v>
      </c>
      <c r="B389" s="13">
        <f>IFERROR(__xludf.DUMMYFUNCTION("""COMPUTED_VALUE"""),936.0)</f>
        <v>936</v>
      </c>
      <c r="C389" s="13">
        <f>IFERROR(__xludf.DUMMYFUNCTION("""COMPUTED_VALUE"""),62.0)</f>
        <v>62</v>
      </c>
      <c r="D389" s="12" t="str">
        <f>IFERROR(__xludf.DUMMYFUNCTION("""COMPUTED_VALUE"""),"Beautiful!")</f>
        <v>Beautiful!</v>
      </c>
      <c r="E389" s="12" t="str">
        <f>IFERROR(__xludf.DUMMYFUNCTION("""COMPUTED_VALUE"""),"This sweater is of nice quality and has such great detail to it - love the pattern to the knit and the ribbon detail is unique and beautiful. the knit itself is of mid to thicker weight, so definitely appropriate for winter, fall, and cooler spring days. "&amp;"i bought my normal size small and felt like it had more of a slub fit than pictured in the model shot - it was wider down the torso and a little shorter (not tunic length like picture). i'm 5'7"" with a longer torso and this hit maybe mid-bum and")</f>
        <v>This sweater is of nice quality and has such great detail to it - love the pattern to the knit and the ribbon detail is unique and beautiful. the knit itself is of mid to thicker weight, so definitely appropriate for winter, fall, and cooler spring days. i bought my normal size small and felt like it had more of a slub fit than pictured in the model shot - it was wider down the torso and a little shorter (not tunic length like picture). i'm 5'7" with a longer torso and this hit maybe mid-bum and</v>
      </c>
      <c r="F389" s="13">
        <f>IFERROR(__xludf.DUMMYFUNCTION("""COMPUTED_VALUE"""),5.0)</f>
        <v>5</v>
      </c>
      <c r="G389" s="13">
        <f>IFERROR(__xludf.DUMMYFUNCTION("""COMPUTED_VALUE"""),1.0)</f>
        <v>1</v>
      </c>
      <c r="H389" s="13">
        <f>IFERROR(__xludf.DUMMYFUNCTION("""COMPUTED_VALUE"""),9.0)</f>
        <v>9</v>
      </c>
      <c r="I389" s="13" t="str">
        <f>IFERROR(__xludf.DUMMYFUNCTION("""COMPUTED_VALUE"""),"General")</f>
        <v>General</v>
      </c>
      <c r="J389" s="13" t="str">
        <f>IFERROR(__xludf.DUMMYFUNCTION("""COMPUTED_VALUE"""),"Tops")</f>
        <v>Tops</v>
      </c>
      <c r="K389" s="13" t="str">
        <f>IFERROR(__xludf.DUMMYFUNCTION("""COMPUTED_VALUE"""),"Sweaters")</f>
        <v>Sweaters</v>
      </c>
      <c r="L389" s="13"/>
    </row>
    <row r="390">
      <c r="A390" s="13">
        <f>IFERROR(__xludf.DUMMYFUNCTION("""COMPUTED_VALUE"""),388.0)</f>
        <v>388</v>
      </c>
      <c r="B390" s="13">
        <f>IFERROR(__xludf.DUMMYFUNCTION("""COMPUTED_VALUE"""),127.0)</f>
        <v>127</v>
      </c>
      <c r="C390" s="13">
        <f>IFERROR(__xludf.DUMMYFUNCTION("""COMPUTED_VALUE"""),29.0)</f>
        <v>29</v>
      </c>
      <c r="D390" s="12" t="str">
        <f>IFERROR(__xludf.DUMMYFUNCTION("""COMPUTED_VALUE"""),"Great with leggings!")</f>
        <v>Great with leggings!</v>
      </c>
      <c r="E390" s="12" t="str">
        <f>IFERROR(__xludf.DUMMYFUNCTION("""COMPUTED_VALUE"""),"I really like the appearance of this item, and it looks pleasing with many different styles of leggings. it does run a little large. i am a ""true to size"" small, and this hangs on me a little, but i love the design of the back. it is so soft and comfort"&amp;"able!")</f>
        <v>I really like the appearance of this item, and it looks pleasing with many different styles of leggings. it does run a little large. i am a "true to size" small, and this hangs on me a little, but i love the design of the back. it is so soft and comfortable!</v>
      </c>
      <c r="F390" s="13">
        <f>IFERROR(__xludf.DUMMYFUNCTION("""COMPUTED_VALUE"""),4.0)</f>
        <v>4</v>
      </c>
      <c r="G390" s="13">
        <f>IFERROR(__xludf.DUMMYFUNCTION("""COMPUTED_VALUE"""),1.0)</f>
        <v>1</v>
      </c>
      <c r="H390" s="13">
        <f>IFERROR(__xludf.DUMMYFUNCTION("""COMPUTED_VALUE"""),0.0)</f>
        <v>0</v>
      </c>
      <c r="I390" s="13" t="str">
        <f>IFERROR(__xludf.DUMMYFUNCTION("""COMPUTED_VALUE"""),"General Petite")</f>
        <v>General Petite</v>
      </c>
      <c r="J390" s="13" t="str">
        <f>IFERROR(__xludf.DUMMYFUNCTION("""COMPUTED_VALUE"""),"Intimate")</f>
        <v>Intimate</v>
      </c>
      <c r="K390" s="13" t="str">
        <f>IFERROR(__xludf.DUMMYFUNCTION("""COMPUTED_VALUE"""),"Lounge")</f>
        <v>Lounge</v>
      </c>
      <c r="L390" s="13"/>
    </row>
    <row r="391">
      <c r="A391" s="13">
        <f>IFERROR(__xludf.DUMMYFUNCTION("""COMPUTED_VALUE"""),389.0)</f>
        <v>389</v>
      </c>
      <c r="B391" s="13">
        <f>IFERROR(__xludf.DUMMYFUNCTION("""COMPUTED_VALUE"""),1104.0)</f>
        <v>1104</v>
      </c>
      <c r="C391" s="13">
        <f>IFERROR(__xludf.DUMMYFUNCTION("""COMPUTED_VALUE"""),38.0)</f>
        <v>38</v>
      </c>
      <c r="D391" s="12" t="str">
        <f>IFERROR(__xludf.DUMMYFUNCTION("""COMPUTED_VALUE"""),"Bad quality.")</f>
        <v>Bad quality.</v>
      </c>
      <c r="E391" s="12" t="str">
        <f>IFERROR(__xludf.DUMMYFUNCTION("""COMPUTED_VALUE"""),"I don't normally review my purchases, but i was so amazed at how poorly this dress was made, i couldn't help myself but to post a review. the neck line isn't even hemmed down so it flaps up. the material is thin and feel cheap. this dress isnt even worth "&amp;"$20 in my opinion. i was expecting a well made, good quality dress for the high price tag.")</f>
        <v>I don't normally review my purchases, but i was so amazed at how poorly this dress was made, i couldn't help myself but to post a review. the neck line isn't even hemmed down so it flaps up. the material is thin and feel cheap. this dress isnt even worth $20 in my opinion. i was expecting a well made, good quality dress for the high price tag.</v>
      </c>
      <c r="F391" s="13">
        <f>IFERROR(__xludf.DUMMYFUNCTION("""COMPUTED_VALUE"""),1.0)</f>
        <v>1</v>
      </c>
      <c r="G391" s="13">
        <f>IFERROR(__xludf.DUMMYFUNCTION("""COMPUTED_VALUE"""),0.0)</f>
        <v>0</v>
      </c>
      <c r="H391" s="13">
        <f>IFERROR(__xludf.DUMMYFUNCTION("""COMPUTED_VALUE"""),20.0)</f>
        <v>20</v>
      </c>
      <c r="I391" s="13" t="str">
        <f>IFERROR(__xludf.DUMMYFUNCTION("""COMPUTED_VALUE"""),"General")</f>
        <v>General</v>
      </c>
      <c r="J391" s="13" t="str">
        <f>IFERROR(__xludf.DUMMYFUNCTION("""COMPUTED_VALUE"""),"Dresses")</f>
        <v>Dresses</v>
      </c>
      <c r="K391" s="13" t="str">
        <f>IFERROR(__xludf.DUMMYFUNCTION("""COMPUTED_VALUE"""),"Dresses")</f>
        <v>Dresses</v>
      </c>
      <c r="L391" s="13"/>
    </row>
    <row r="392">
      <c r="A392" s="13">
        <f>IFERROR(__xludf.DUMMYFUNCTION("""COMPUTED_VALUE"""),390.0)</f>
        <v>390</v>
      </c>
      <c r="B392" s="13">
        <f>IFERROR(__xludf.DUMMYFUNCTION("""COMPUTED_VALUE"""),1086.0)</f>
        <v>1086</v>
      </c>
      <c r="C392" s="13">
        <f>IFERROR(__xludf.DUMMYFUNCTION("""COMPUTED_VALUE"""),25.0)</f>
        <v>25</v>
      </c>
      <c r="D392" s="12" t="str">
        <f>IFERROR(__xludf.DUMMYFUNCTION("""COMPUTED_VALUE"""),"Flattering and fun!")</f>
        <v>Flattering and fun!</v>
      </c>
      <c r="E392" s="12" t="str">
        <f>IFERROR(__xludf.DUMMYFUNCTION("""COMPUTED_VALUE"""),"Ordered this dress online, and i love it! i was looking for an understated but fun new years dress and this was exactly what i was looking for. the only minor qualm i had about the dress was that the velvet dots that hit where the seams met made the dress"&amp;" look puffier than it should some parts around the waist, but for the most part, the dress fit very well and was very flattering, may just need a little bit of ironing. i am 5'9 and usually am more conscious of how things fit around my hips, and")</f>
        <v>Ordered this dress online, and i love it! i was looking for an understated but fun new years dress and this was exactly what i was looking for. the only minor qualm i had about the dress was that the velvet dots that hit where the seams met made the dress look puffier than it should some parts around the waist, but for the most part, the dress fit very well and was very flattering, may just need a little bit of ironing. i am 5'9 and usually am more conscious of how things fit around my hips, and</v>
      </c>
      <c r="F392" s="13">
        <f>IFERROR(__xludf.DUMMYFUNCTION("""COMPUTED_VALUE"""),4.0)</f>
        <v>4</v>
      </c>
      <c r="G392" s="13">
        <f>IFERROR(__xludf.DUMMYFUNCTION("""COMPUTED_VALUE"""),1.0)</f>
        <v>1</v>
      </c>
      <c r="H392" s="13">
        <f>IFERROR(__xludf.DUMMYFUNCTION("""COMPUTED_VALUE"""),9.0)</f>
        <v>9</v>
      </c>
      <c r="I392" s="13" t="str">
        <f>IFERROR(__xludf.DUMMYFUNCTION("""COMPUTED_VALUE"""),"General")</f>
        <v>General</v>
      </c>
      <c r="J392" s="13" t="str">
        <f>IFERROR(__xludf.DUMMYFUNCTION("""COMPUTED_VALUE"""),"Dresses")</f>
        <v>Dresses</v>
      </c>
      <c r="K392" s="13" t="str">
        <f>IFERROR(__xludf.DUMMYFUNCTION("""COMPUTED_VALUE"""),"Dresses")</f>
        <v>Dresses</v>
      </c>
      <c r="L392" s="13"/>
    </row>
    <row r="393">
      <c r="A393" s="13">
        <f>IFERROR(__xludf.DUMMYFUNCTION("""COMPUTED_VALUE"""),391.0)</f>
        <v>391</v>
      </c>
      <c r="B393" s="13">
        <f>IFERROR(__xludf.DUMMYFUNCTION("""COMPUTED_VALUE"""),936.0)</f>
        <v>936</v>
      </c>
      <c r="C393" s="13">
        <f>IFERROR(__xludf.DUMMYFUNCTION("""COMPUTED_VALUE"""),33.0)</f>
        <v>33</v>
      </c>
      <c r="D393" s="12" t="str">
        <f>IFERROR(__xludf.DUMMYFUNCTION("""COMPUTED_VALUE"""),"Love love love!")</f>
        <v>Love love love!</v>
      </c>
      <c r="E393" s="12" t="str">
        <f>IFERROR(__xludf.DUMMYFUNCTION("""COMPUTED_VALUE"""),"I saw this online but it never struck me as something i would wear. however, after seeing it in the store it really caught my eye with its detailing, so i tried it on. what a great decision because it is so much more beautiful in person, and very soft and"&amp;" warm. it's a perfect winter sweater to start the new year. i am 5'-7"", 138 lbs. and the medium fit perfectly, though it's a little shorter on me than shown in the photos.")</f>
        <v>I saw this online but it never struck me as something i would wear. however, after seeing it in the store it really caught my eye with its detailing, so i tried it on. what a great decision because it is so much more beautiful in person, and very soft and warm. it's a perfect winter sweater to start the new year. i am 5'-7", 138 lbs. and the medium fit perfectly, though it's a little shorter on me than shown in the photos.</v>
      </c>
      <c r="F393" s="13">
        <f>IFERROR(__xludf.DUMMYFUNCTION("""COMPUTED_VALUE"""),5.0)</f>
        <v>5</v>
      </c>
      <c r="G393" s="13">
        <f>IFERROR(__xludf.DUMMYFUNCTION("""COMPUTED_VALUE"""),1.0)</f>
        <v>1</v>
      </c>
      <c r="H393" s="13">
        <f>IFERROR(__xludf.DUMMYFUNCTION("""COMPUTED_VALUE"""),1.0)</f>
        <v>1</v>
      </c>
      <c r="I393" s="13" t="str">
        <f>IFERROR(__xludf.DUMMYFUNCTION("""COMPUTED_VALUE"""),"General")</f>
        <v>General</v>
      </c>
      <c r="J393" s="13" t="str">
        <f>IFERROR(__xludf.DUMMYFUNCTION("""COMPUTED_VALUE"""),"Tops")</f>
        <v>Tops</v>
      </c>
      <c r="K393" s="13" t="str">
        <f>IFERROR(__xludf.DUMMYFUNCTION("""COMPUTED_VALUE"""),"Sweaters")</f>
        <v>Sweaters</v>
      </c>
      <c r="L393" s="13"/>
    </row>
    <row r="394">
      <c r="A394" s="13">
        <f>IFERROR(__xludf.DUMMYFUNCTION("""COMPUTED_VALUE"""),392.0)</f>
        <v>392</v>
      </c>
      <c r="B394" s="13">
        <f>IFERROR(__xludf.DUMMYFUNCTION("""COMPUTED_VALUE"""),746.0)</f>
        <v>746</v>
      </c>
      <c r="C394" s="13">
        <f>IFERROR(__xludf.DUMMYFUNCTION("""COMPUTED_VALUE"""),34.0)</f>
        <v>34</v>
      </c>
      <c r="D394" s="12" t="str">
        <f>IFERROR(__xludf.DUMMYFUNCTION("""COMPUTED_VALUE"""),"Lovely fabric but tiny hips")</f>
        <v>Lovely fabric but tiny hips</v>
      </c>
      <c r="E394" s="12" t="str">
        <f>IFERROR(__xludf.DUMMYFUNCTION("""COMPUTED_VALUE"""),"If your hips are bigger than a size 6 us you can't fully close this robe. the model must be wearing the larger of the two sizes to have such a nice oversized fit. the fabric is soft and lux and amazing, but the weird dart in the back and the closure is ri"&amp;"ght over my sadly size 8 hips and butt. if i was taller and thinner i would have kept this and worn it every day.")</f>
        <v>If your hips are bigger than a size 6 us you can't fully close this robe. the model must be wearing the larger of the two sizes to have such a nice oversized fit. the fabric is soft and lux and amazing, but the weird dart in the back and the closure is right over my sadly size 8 hips and butt. if i was taller and thinner i would have kept this and worn it every day.</v>
      </c>
      <c r="F394" s="13">
        <f>IFERROR(__xludf.DUMMYFUNCTION("""COMPUTED_VALUE"""),3.0)</f>
        <v>3</v>
      </c>
      <c r="G394" s="13">
        <f>IFERROR(__xludf.DUMMYFUNCTION("""COMPUTED_VALUE"""),1.0)</f>
        <v>1</v>
      </c>
      <c r="H394" s="13">
        <f>IFERROR(__xludf.DUMMYFUNCTION("""COMPUTED_VALUE"""),0.0)</f>
        <v>0</v>
      </c>
      <c r="I394" s="13" t="str">
        <f>IFERROR(__xludf.DUMMYFUNCTION("""COMPUTED_VALUE"""),"Initmates")</f>
        <v>Initmates</v>
      </c>
      <c r="J394" s="13" t="str">
        <f>IFERROR(__xludf.DUMMYFUNCTION("""COMPUTED_VALUE"""),"Intimate")</f>
        <v>Intimate</v>
      </c>
      <c r="K394" s="13" t="str">
        <f>IFERROR(__xludf.DUMMYFUNCTION("""COMPUTED_VALUE"""),"Intimates")</f>
        <v>Intimates</v>
      </c>
      <c r="L394" s="13"/>
    </row>
    <row r="395">
      <c r="A395" s="13">
        <f>IFERROR(__xludf.DUMMYFUNCTION("""COMPUTED_VALUE"""),393.0)</f>
        <v>393</v>
      </c>
      <c r="B395" s="13">
        <f>IFERROR(__xludf.DUMMYFUNCTION("""COMPUTED_VALUE"""),1081.0)</f>
        <v>1081</v>
      </c>
      <c r="C395" s="13">
        <f>IFERROR(__xludf.DUMMYFUNCTION("""COMPUTED_VALUE"""),53.0)</f>
        <v>53</v>
      </c>
      <c r="D395" s="12" t="str">
        <f>IFERROR(__xludf.DUMMYFUNCTION("""COMPUTED_VALUE"""),"Lovely dress, small top, different color")</f>
        <v>Lovely dress, small top, different color</v>
      </c>
      <c r="E395" s="12" t="str">
        <f>IFERROR(__xludf.DUMMYFUNCTION("""COMPUTED_VALUE"""),"Like the reviewers before me, this dress runs small in the rib cage. i normally take a 12 and am a 32b. the max size that this dress comes in is a 12 so i could only order a 12. it just fit but that is because i am a smaller 12 on the top. there is no wig"&amp;"gle room in the dress. 
that being said, it is a really cute style and shape - rather like a 50's style dress if you will with a sexy back. i am curvy on the bottom and this dress hides the flaws there for sure. however, because it is a fulle")</f>
        <v>Like the reviewers before me, this dress runs small in the rib cage. i normally take a 12 and am a 32b. the max size that this dress comes in is a 12 so i could only order a 12. it just fit but that is because i am a smaller 12 on the top. there is no wiggle room in the dress. 
that being said, it is a really cute style and shape - rather like a 50's style dress if you will with a sexy back. i am curvy on the bottom and this dress hides the flaws there for sure. however, because it is a fulle</v>
      </c>
      <c r="F395" s="13">
        <f>IFERROR(__xludf.DUMMYFUNCTION("""COMPUTED_VALUE"""),4.0)</f>
        <v>4</v>
      </c>
      <c r="G395" s="13">
        <f>IFERROR(__xludf.DUMMYFUNCTION("""COMPUTED_VALUE"""),1.0)</f>
        <v>1</v>
      </c>
      <c r="H395" s="13">
        <f>IFERROR(__xludf.DUMMYFUNCTION("""COMPUTED_VALUE"""),3.0)</f>
        <v>3</v>
      </c>
      <c r="I395" s="13" t="str">
        <f>IFERROR(__xludf.DUMMYFUNCTION("""COMPUTED_VALUE"""),"General Petite")</f>
        <v>General Petite</v>
      </c>
      <c r="J395" s="13" t="str">
        <f>IFERROR(__xludf.DUMMYFUNCTION("""COMPUTED_VALUE"""),"Dresses")</f>
        <v>Dresses</v>
      </c>
      <c r="K395" s="13" t="str">
        <f>IFERROR(__xludf.DUMMYFUNCTION("""COMPUTED_VALUE"""),"Dresses")</f>
        <v>Dresses</v>
      </c>
      <c r="L395" s="13"/>
    </row>
    <row r="396">
      <c r="A396" s="13">
        <f>IFERROR(__xludf.DUMMYFUNCTION("""COMPUTED_VALUE"""),394.0)</f>
        <v>394</v>
      </c>
      <c r="B396" s="13">
        <f>IFERROR(__xludf.DUMMYFUNCTION("""COMPUTED_VALUE"""),127.0)</f>
        <v>127</v>
      </c>
      <c r="C396" s="13">
        <f>IFERROR(__xludf.DUMMYFUNCTION("""COMPUTED_VALUE"""),46.0)</f>
        <v>46</v>
      </c>
      <c r="D396" s="12" t="str">
        <f>IFERROR(__xludf.DUMMYFUNCTION("""COMPUTED_VALUE"""),"Too big/so soft")</f>
        <v>Too big/so soft</v>
      </c>
      <c r="E396" s="12" t="str">
        <f>IFERROR(__xludf.DUMMYFUNCTION("""COMPUTED_VALUE"""),"I should have exchanged it for a smaller size, but i wanted to wear it, so my mistake. i tend to wear size 12-14, and the large is entirely too big. it also had piling right out of the bag. but it is just so soft that i tore the tag off and wore it anyway"&amp;". if you get this, size down for sure.")</f>
        <v>I should have exchanged it for a smaller size, but i wanted to wear it, so my mistake. i tend to wear size 12-14, and the large is entirely too big. it also had piling right out of the bag. but it is just so soft that i tore the tag off and wore it anyway. if you get this, size down for sure.</v>
      </c>
      <c r="F396" s="13">
        <f>IFERROR(__xludf.DUMMYFUNCTION("""COMPUTED_VALUE"""),3.0)</f>
        <v>3</v>
      </c>
      <c r="G396" s="13">
        <f>IFERROR(__xludf.DUMMYFUNCTION("""COMPUTED_VALUE"""),1.0)</f>
        <v>1</v>
      </c>
      <c r="H396" s="13">
        <f>IFERROR(__xludf.DUMMYFUNCTION("""COMPUTED_VALUE"""),0.0)</f>
        <v>0</v>
      </c>
      <c r="I396" s="13" t="str">
        <f>IFERROR(__xludf.DUMMYFUNCTION("""COMPUTED_VALUE"""),"General Petite")</f>
        <v>General Petite</v>
      </c>
      <c r="J396" s="13" t="str">
        <f>IFERROR(__xludf.DUMMYFUNCTION("""COMPUTED_VALUE"""),"Intimate")</f>
        <v>Intimate</v>
      </c>
      <c r="K396" s="13" t="str">
        <f>IFERROR(__xludf.DUMMYFUNCTION("""COMPUTED_VALUE"""),"Lounge")</f>
        <v>Lounge</v>
      </c>
      <c r="L396" s="13"/>
    </row>
    <row r="397">
      <c r="A397" s="13">
        <f>IFERROR(__xludf.DUMMYFUNCTION("""COMPUTED_VALUE"""),395.0)</f>
        <v>395</v>
      </c>
      <c r="B397" s="13">
        <f>IFERROR(__xludf.DUMMYFUNCTION("""COMPUTED_VALUE"""),936.0)</f>
        <v>936</v>
      </c>
      <c r="C397" s="13">
        <f>IFERROR(__xludf.DUMMYFUNCTION("""COMPUTED_VALUE"""),33.0)</f>
        <v>33</v>
      </c>
      <c r="D397" s="12" t="str">
        <f>IFERROR(__xludf.DUMMYFUNCTION("""COMPUTED_VALUE"""),"Not sure about this one")</f>
        <v>Not sure about this one</v>
      </c>
      <c r="E397" s="12" t="str">
        <f>IFERROR(__xludf.DUMMYFUNCTION("""COMPUTED_VALUE"""),"I'm surprised other reviewers loved this one so much. it's completely different then how it looks on the model. it's much shorter, which others do mention, but it flares a lot. enough to feel maternity-ish on me. it looks fitted on the model. maybe it's m"&amp;"y shape, i have a short torso and carry weight in my hips. i ordered an xs too. i will say the material
is very nice and it's well made, but it's going back.")</f>
        <v>I'm surprised other reviewers loved this one so much. it's completely different then how it looks on the model. it's much shorter, which others do mention, but it flares a lot. enough to feel maternity-ish on me. it looks fitted on the model. maybe it's my shape, i have a short torso and carry weight in my hips. i ordered an xs too. i will say the material
is very nice and it's well made, but it's going back.</v>
      </c>
      <c r="F397" s="13">
        <f>IFERROR(__xludf.DUMMYFUNCTION("""COMPUTED_VALUE"""),3.0)</f>
        <v>3</v>
      </c>
      <c r="G397" s="13">
        <f>IFERROR(__xludf.DUMMYFUNCTION("""COMPUTED_VALUE"""),0.0)</f>
        <v>0</v>
      </c>
      <c r="H397" s="13">
        <f>IFERROR(__xludf.DUMMYFUNCTION("""COMPUTED_VALUE"""),1.0)</f>
        <v>1</v>
      </c>
      <c r="I397" s="13" t="str">
        <f>IFERROR(__xludf.DUMMYFUNCTION("""COMPUTED_VALUE"""),"General")</f>
        <v>General</v>
      </c>
      <c r="J397" s="13" t="str">
        <f>IFERROR(__xludf.DUMMYFUNCTION("""COMPUTED_VALUE"""),"Tops")</f>
        <v>Tops</v>
      </c>
      <c r="K397" s="13" t="str">
        <f>IFERROR(__xludf.DUMMYFUNCTION("""COMPUTED_VALUE"""),"Sweaters")</f>
        <v>Sweaters</v>
      </c>
      <c r="L397" s="13"/>
    </row>
    <row r="398">
      <c r="A398" s="13">
        <f>IFERROR(__xludf.DUMMYFUNCTION("""COMPUTED_VALUE"""),396.0)</f>
        <v>396</v>
      </c>
      <c r="B398" s="13">
        <f>IFERROR(__xludf.DUMMYFUNCTION("""COMPUTED_VALUE"""),127.0)</f>
        <v>127</v>
      </c>
      <c r="C398" s="13">
        <f>IFERROR(__xludf.DUMMYFUNCTION("""COMPUTED_VALUE"""),40.0)</f>
        <v>40</v>
      </c>
      <c r="D398" s="12" t="str">
        <f>IFERROR(__xludf.DUMMYFUNCTION("""COMPUTED_VALUE"""),"Comfy, but not made to last")</f>
        <v>Comfy, but not made to last</v>
      </c>
      <c r="E398" s="12" t="str">
        <f>IFERROR(__xludf.DUMMYFUNCTION("""COMPUTED_VALUE"""),"This sweater is fine for the casual days. i bought this in cream and i have to say after one wash it looks old. i'm a huge retailer lover and buy a lot of clothes from them. this is just not the best quality and looks tired after a few wears. very soft, b"&amp;"ut poor material. not my favorite purchase.")</f>
        <v>This sweater is fine for the casual days. i bought this in cream and i have to say after one wash it looks old. i'm a huge retailer lover and buy a lot of clothes from them. this is just not the best quality and looks tired after a few wears. very soft, but poor material. not my favorite purchase.</v>
      </c>
      <c r="F398" s="13">
        <f>IFERROR(__xludf.DUMMYFUNCTION("""COMPUTED_VALUE"""),3.0)</f>
        <v>3</v>
      </c>
      <c r="G398" s="13">
        <f>IFERROR(__xludf.DUMMYFUNCTION("""COMPUTED_VALUE"""),0.0)</f>
        <v>0</v>
      </c>
      <c r="H398" s="13">
        <f>IFERROR(__xludf.DUMMYFUNCTION("""COMPUTED_VALUE"""),2.0)</f>
        <v>2</v>
      </c>
      <c r="I398" s="13" t="str">
        <f>IFERROR(__xludf.DUMMYFUNCTION("""COMPUTED_VALUE"""),"General Petite")</f>
        <v>General Petite</v>
      </c>
      <c r="J398" s="13" t="str">
        <f>IFERROR(__xludf.DUMMYFUNCTION("""COMPUTED_VALUE"""),"Intimate")</f>
        <v>Intimate</v>
      </c>
      <c r="K398" s="13" t="str">
        <f>IFERROR(__xludf.DUMMYFUNCTION("""COMPUTED_VALUE"""),"Lounge")</f>
        <v>Lounge</v>
      </c>
      <c r="L398" s="13"/>
    </row>
    <row r="399">
      <c r="A399" s="13">
        <f>IFERROR(__xludf.DUMMYFUNCTION("""COMPUTED_VALUE"""),397.0)</f>
        <v>397</v>
      </c>
      <c r="B399" s="13">
        <f>IFERROR(__xludf.DUMMYFUNCTION("""COMPUTED_VALUE"""),1035.0)</f>
        <v>1035</v>
      </c>
      <c r="C399" s="13">
        <f>IFERROR(__xludf.DUMMYFUNCTION("""COMPUTED_VALUE"""),32.0)</f>
        <v>32</v>
      </c>
      <c r="D399" s="12" t="str">
        <f>IFERROR(__xludf.DUMMYFUNCTION("""COMPUTED_VALUE"""),"Loving these jeans!")</f>
        <v>Loving these jeans!</v>
      </c>
      <c r="E399" s="12" t="str">
        <f>IFERROR(__xludf.DUMMYFUNCTION("""COMPUTED_VALUE"""),"Great fit! no bagging and sagging and they fit true to size. very cute! for reference, i&amp;#39;m 5&amp;#39;2, 115 lbs and take a 26p. they look just like they do on the model. i highly recommend!")</f>
        <v>Great fit! no bagging and sagging and they fit true to size. very cute! for reference, i&amp;#39;m 5&amp;#39;2, 115 lbs and take a 26p. they look just like they do on the model. i highly recommend!</v>
      </c>
      <c r="F399" s="13">
        <f>IFERROR(__xludf.DUMMYFUNCTION("""COMPUTED_VALUE"""),5.0)</f>
        <v>5</v>
      </c>
      <c r="G399" s="13">
        <f>IFERROR(__xludf.DUMMYFUNCTION("""COMPUTED_VALUE"""),1.0)</f>
        <v>1</v>
      </c>
      <c r="H399" s="13">
        <f>IFERROR(__xludf.DUMMYFUNCTION("""COMPUTED_VALUE"""),0.0)</f>
        <v>0</v>
      </c>
      <c r="I399" s="13" t="str">
        <f>IFERROR(__xludf.DUMMYFUNCTION("""COMPUTED_VALUE"""),"General")</f>
        <v>General</v>
      </c>
      <c r="J399" s="13" t="str">
        <f>IFERROR(__xludf.DUMMYFUNCTION("""COMPUTED_VALUE"""),"Bottoms")</f>
        <v>Bottoms</v>
      </c>
      <c r="K399" s="13" t="str">
        <f>IFERROR(__xludf.DUMMYFUNCTION("""COMPUTED_VALUE"""),"Jeans")</f>
        <v>Jeans</v>
      </c>
      <c r="L399" s="13"/>
    </row>
    <row r="400">
      <c r="A400" s="13">
        <f>IFERROR(__xludf.DUMMYFUNCTION("""COMPUTED_VALUE"""),398.0)</f>
        <v>398</v>
      </c>
      <c r="B400" s="13">
        <f>IFERROR(__xludf.DUMMYFUNCTION("""COMPUTED_VALUE"""),902.0)</f>
        <v>902</v>
      </c>
      <c r="C400" s="13">
        <f>IFERROR(__xludf.DUMMYFUNCTION("""COMPUTED_VALUE"""),38.0)</f>
        <v>38</v>
      </c>
      <c r="D400" s="12" t="str">
        <f>IFERROR(__xludf.DUMMYFUNCTION("""COMPUTED_VALUE"""),"Lovely but runs big")</f>
        <v>Lovely but runs big</v>
      </c>
      <c r="E400" s="12" t="str">
        <f>IFERROR(__xludf.DUMMYFUNCTION("""COMPUTED_VALUE"""),"Just tried 'layered sadie top' and it felt so nice on. good hand feel for both materials but note that the knit on top is a little too delicate for machine wash but can be hand washed. this item is definitely ""vanity-sized"". i'm 5'1, 113lbs and the xs l"&amp;"ooked nothing like how it does on the model. it was flowy as depicted but it came down much lower on me and looked a little maternity-esque. highly recommend because it's gorgeous and well made but i would definitely come in and try it out for you")</f>
        <v>Just tried 'layered sadie top' and it felt so nice on. good hand feel for both materials but note that the knit on top is a little too delicate for machine wash but can be hand washed. this item is definitely "vanity-sized". i'm 5'1, 113lbs and the xs looked nothing like how it does on the model. it was flowy as depicted but it came down much lower on me and looked a little maternity-esque. highly recommend because it's gorgeous and well made but i would definitely come in and try it out for you</v>
      </c>
      <c r="F400" s="13">
        <f>IFERROR(__xludf.DUMMYFUNCTION("""COMPUTED_VALUE"""),4.0)</f>
        <v>4</v>
      </c>
      <c r="G400" s="13">
        <f>IFERROR(__xludf.DUMMYFUNCTION("""COMPUTED_VALUE"""),1.0)</f>
        <v>1</v>
      </c>
      <c r="H400" s="13">
        <f>IFERROR(__xludf.DUMMYFUNCTION("""COMPUTED_VALUE"""),6.0)</f>
        <v>6</v>
      </c>
      <c r="I400" s="13" t="str">
        <f>IFERROR(__xludf.DUMMYFUNCTION("""COMPUTED_VALUE"""),"General")</f>
        <v>General</v>
      </c>
      <c r="J400" s="13" t="str">
        <f>IFERROR(__xludf.DUMMYFUNCTION("""COMPUTED_VALUE"""),"Tops")</f>
        <v>Tops</v>
      </c>
      <c r="K400" s="13" t="str">
        <f>IFERROR(__xludf.DUMMYFUNCTION("""COMPUTED_VALUE"""),"Fine gauge")</f>
        <v>Fine gauge</v>
      </c>
      <c r="L400" s="13"/>
    </row>
    <row r="401">
      <c r="A401" s="13">
        <f>IFERROR(__xludf.DUMMYFUNCTION("""COMPUTED_VALUE"""),399.0)</f>
        <v>399</v>
      </c>
      <c r="B401" s="13">
        <f>IFERROR(__xludf.DUMMYFUNCTION("""COMPUTED_VALUE"""),995.0)</f>
        <v>995</v>
      </c>
      <c r="C401" s="13">
        <f>IFERROR(__xludf.DUMMYFUNCTION("""COMPUTED_VALUE"""),62.0)</f>
        <v>62</v>
      </c>
      <c r="D401" s="12" t="str">
        <f>IFERROR(__xludf.DUMMYFUNCTION("""COMPUTED_VALUE"""),"Possibly the cutest skirt ever!")</f>
        <v>Possibly the cutest skirt ever!</v>
      </c>
      <c r="E401" s="12" t="str">
        <f>IFERROR(__xludf.DUMMYFUNCTION("""COMPUTED_VALUE"""),"The length is perfect. the cut of the hemline makes it off the charts cute. i love it w ghillie type flats or booties. pair w a big warm sweater, or a sleek turtleneck, and watch heads turn as you enter the room! i promise! love this skirt.")</f>
        <v>The length is perfect. the cut of the hemline makes it off the charts cute. i love it w ghillie type flats or booties. pair w a big warm sweater, or a sleek turtleneck, and watch heads turn as you enter the room! i promise! love this skirt.</v>
      </c>
      <c r="F401" s="13">
        <f>IFERROR(__xludf.DUMMYFUNCTION("""COMPUTED_VALUE"""),5.0)</f>
        <v>5</v>
      </c>
      <c r="G401" s="13">
        <f>IFERROR(__xludf.DUMMYFUNCTION("""COMPUTED_VALUE"""),1.0)</f>
        <v>1</v>
      </c>
      <c r="H401" s="13">
        <f>IFERROR(__xludf.DUMMYFUNCTION("""COMPUTED_VALUE"""),11.0)</f>
        <v>11</v>
      </c>
      <c r="I401" s="13" t="str">
        <f>IFERROR(__xludf.DUMMYFUNCTION("""COMPUTED_VALUE"""),"General")</f>
        <v>General</v>
      </c>
      <c r="J401" s="13" t="str">
        <f>IFERROR(__xludf.DUMMYFUNCTION("""COMPUTED_VALUE"""),"Bottoms")</f>
        <v>Bottoms</v>
      </c>
      <c r="K401" s="13" t="str">
        <f>IFERROR(__xludf.DUMMYFUNCTION("""COMPUTED_VALUE"""),"Skirts")</f>
        <v>Skirts</v>
      </c>
      <c r="L401" s="13"/>
    </row>
    <row r="402">
      <c r="A402" s="13">
        <f>IFERROR(__xludf.DUMMYFUNCTION("""COMPUTED_VALUE"""),400.0)</f>
        <v>400</v>
      </c>
      <c r="B402" s="13">
        <f>IFERROR(__xludf.DUMMYFUNCTION("""COMPUTED_VALUE"""),1104.0)</f>
        <v>1104</v>
      </c>
      <c r="C402" s="13">
        <f>IFERROR(__xludf.DUMMYFUNCTION("""COMPUTED_VALUE"""),35.0)</f>
        <v>35</v>
      </c>
      <c r="D402" s="12"/>
      <c r="E402" s="12"/>
      <c r="F402" s="13">
        <f>IFERROR(__xludf.DUMMYFUNCTION("""COMPUTED_VALUE"""),5.0)</f>
        <v>5</v>
      </c>
      <c r="G402" s="13">
        <f>IFERROR(__xludf.DUMMYFUNCTION("""COMPUTED_VALUE"""),1.0)</f>
        <v>1</v>
      </c>
      <c r="H402" s="13">
        <f>IFERROR(__xludf.DUMMYFUNCTION("""COMPUTED_VALUE"""),0.0)</f>
        <v>0</v>
      </c>
      <c r="I402" s="13" t="str">
        <f>IFERROR(__xludf.DUMMYFUNCTION("""COMPUTED_VALUE"""),"General")</f>
        <v>General</v>
      </c>
      <c r="J402" s="13" t="str">
        <f>IFERROR(__xludf.DUMMYFUNCTION("""COMPUTED_VALUE"""),"Dresses")</f>
        <v>Dresses</v>
      </c>
      <c r="K402" s="13" t="str">
        <f>IFERROR(__xludf.DUMMYFUNCTION("""COMPUTED_VALUE"""),"Dresses")</f>
        <v>Dresses</v>
      </c>
      <c r="L402" s="13"/>
    </row>
    <row r="403">
      <c r="A403" s="13">
        <f>IFERROR(__xludf.DUMMYFUNCTION("""COMPUTED_VALUE"""),401.0)</f>
        <v>401</v>
      </c>
      <c r="B403" s="13">
        <f>IFERROR(__xludf.DUMMYFUNCTION("""COMPUTED_VALUE"""),1089.0)</f>
        <v>1089</v>
      </c>
      <c r="C403" s="13">
        <f>IFERROR(__xludf.DUMMYFUNCTION("""COMPUTED_VALUE"""),34.0)</f>
        <v>34</v>
      </c>
      <c r="D403" s="12" t="str">
        <f>IFERROR(__xludf.DUMMYFUNCTION("""COMPUTED_VALUE"""),"Classic")</f>
        <v>Classic</v>
      </c>
      <c r="E403" s="12" t="str">
        <f>IFERROR(__xludf.DUMMYFUNCTION("""COMPUTED_VALUE"""),"This dress is beautifully constructed. it is very fitted and does run on the small side. it will be a perfect derby dress. the lace is lovely and the pearl buttons are great touch. age appropriate for anyone..a very 
pretty dress. simple, classic and gorg"&amp;"eous!")</f>
        <v>This dress is beautifully constructed. it is very fitted and does run on the small side. it will be a perfect derby dress. the lace is lovely and the pearl buttons are great touch. age appropriate for anyone..a very 
pretty dress. simple, classic and gorgeous!</v>
      </c>
      <c r="F403" s="13">
        <f>IFERROR(__xludf.DUMMYFUNCTION("""COMPUTED_VALUE"""),5.0)</f>
        <v>5</v>
      </c>
      <c r="G403" s="13">
        <f>IFERROR(__xludf.DUMMYFUNCTION("""COMPUTED_VALUE"""),1.0)</f>
        <v>1</v>
      </c>
      <c r="H403" s="13">
        <f>IFERROR(__xludf.DUMMYFUNCTION("""COMPUTED_VALUE"""),0.0)</f>
        <v>0</v>
      </c>
      <c r="I403" s="13" t="str">
        <f>IFERROR(__xludf.DUMMYFUNCTION("""COMPUTED_VALUE"""),"General Petite")</f>
        <v>General Petite</v>
      </c>
      <c r="J403" s="13" t="str">
        <f>IFERROR(__xludf.DUMMYFUNCTION("""COMPUTED_VALUE"""),"Dresses")</f>
        <v>Dresses</v>
      </c>
      <c r="K403" s="13" t="str">
        <f>IFERROR(__xludf.DUMMYFUNCTION("""COMPUTED_VALUE"""),"Dresses")</f>
        <v>Dresses</v>
      </c>
      <c r="L403" s="13"/>
    </row>
    <row r="404">
      <c r="A404" s="13">
        <f>IFERROR(__xludf.DUMMYFUNCTION("""COMPUTED_VALUE"""),402.0)</f>
        <v>402</v>
      </c>
      <c r="B404" s="13">
        <f>IFERROR(__xludf.DUMMYFUNCTION("""COMPUTED_VALUE"""),1086.0)</f>
        <v>1086</v>
      </c>
      <c r="C404" s="13">
        <f>IFERROR(__xludf.DUMMYFUNCTION("""COMPUTED_VALUE"""),26.0)</f>
        <v>26</v>
      </c>
      <c r="D404" s="12"/>
      <c r="E404" s="12" t="str">
        <f>IFERROR(__xludf.DUMMYFUNCTION("""COMPUTED_VALUE"""),"I really wanted this dress to work out, but i was slightly disappointed in the fabric for the sleeves. the fit was accurate. i'm 5'7 and ordered a 6, however, my husband said it looked too little girl like. i did end up returning it :(")</f>
        <v>I really wanted this dress to work out, but i was slightly disappointed in the fabric for the sleeves. the fit was accurate. i'm 5'7 and ordered a 6, however, my husband said it looked too little girl like. i did end up returning it :(</v>
      </c>
      <c r="F404" s="13">
        <f>IFERROR(__xludf.DUMMYFUNCTION("""COMPUTED_VALUE"""),3.0)</f>
        <v>3</v>
      </c>
      <c r="G404" s="13">
        <f>IFERROR(__xludf.DUMMYFUNCTION("""COMPUTED_VALUE"""),0.0)</f>
        <v>0</v>
      </c>
      <c r="H404" s="13">
        <f>IFERROR(__xludf.DUMMYFUNCTION("""COMPUTED_VALUE"""),9.0)</f>
        <v>9</v>
      </c>
      <c r="I404" s="13" t="str">
        <f>IFERROR(__xludf.DUMMYFUNCTION("""COMPUTED_VALUE"""),"General")</f>
        <v>General</v>
      </c>
      <c r="J404" s="13" t="str">
        <f>IFERROR(__xludf.DUMMYFUNCTION("""COMPUTED_VALUE"""),"Dresses")</f>
        <v>Dresses</v>
      </c>
      <c r="K404" s="13" t="str">
        <f>IFERROR(__xludf.DUMMYFUNCTION("""COMPUTED_VALUE"""),"Dresses")</f>
        <v>Dresses</v>
      </c>
      <c r="L404" s="13"/>
    </row>
    <row r="405">
      <c r="A405" s="13">
        <f>IFERROR(__xludf.DUMMYFUNCTION("""COMPUTED_VALUE"""),403.0)</f>
        <v>403</v>
      </c>
      <c r="B405" s="13">
        <f>IFERROR(__xludf.DUMMYFUNCTION("""COMPUTED_VALUE"""),902.0)</f>
        <v>902</v>
      </c>
      <c r="C405" s="13">
        <f>IFERROR(__xludf.DUMMYFUNCTION("""COMPUTED_VALUE"""),31.0)</f>
        <v>31</v>
      </c>
      <c r="D405" s="12"/>
      <c r="E405" s="12" t="str">
        <f>IFERROR(__xludf.DUMMYFUNCTION("""COMPUTED_VALUE"""),"I got this top to wear with shorts as the color goes with a lot of different prints. the quality is excellent. this top runs very large, as in three (3) sizes too large. for the record i am a 34.25.35 and ordered my regular size the xs and this top makes "&amp;"me like i'm pregnant with twins. also, the layering looks nothing like it does on the model, it looks sloppy, unkept and a general. i think this would still be great for ladies who are bigger in the chest and waist, otherwise it just doesn't wor")</f>
        <v>I got this top to wear with shorts as the color goes with a lot of different prints. the quality is excellent. this top runs very large, as in three (3) sizes too large. for the record i am a 34.25.35 and ordered my regular size the xs and this top makes me like i'm pregnant with twins. also, the layering looks nothing like it does on the model, it looks sloppy, unkept and a general. i think this would still be great for ladies who are bigger in the chest and waist, otherwise it just doesn't wor</v>
      </c>
      <c r="F405" s="13">
        <f>IFERROR(__xludf.DUMMYFUNCTION("""COMPUTED_VALUE"""),2.0)</f>
        <v>2</v>
      </c>
      <c r="G405" s="13">
        <f>IFERROR(__xludf.DUMMYFUNCTION("""COMPUTED_VALUE"""),1.0)</f>
        <v>1</v>
      </c>
      <c r="H405" s="13">
        <f>IFERROR(__xludf.DUMMYFUNCTION("""COMPUTED_VALUE"""),6.0)</f>
        <v>6</v>
      </c>
      <c r="I405" s="13" t="str">
        <f>IFERROR(__xludf.DUMMYFUNCTION("""COMPUTED_VALUE"""),"General")</f>
        <v>General</v>
      </c>
      <c r="J405" s="13" t="str">
        <f>IFERROR(__xludf.DUMMYFUNCTION("""COMPUTED_VALUE"""),"Tops")</f>
        <v>Tops</v>
      </c>
      <c r="K405" s="13" t="str">
        <f>IFERROR(__xludf.DUMMYFUNCTION("""COMPUTED_VALUE"""),"Fine gauge")</f>
        <v>Fine gauge</v>
      </c>
      <c r="L405" s="13"/>
    </row>
    <row r="406">
      <c r="A406" s="13">
        <f>IFERROR(__xludf.DUMMYFUNCTION("""COMPUTED_VALUE"""),404.0)</f>
        <v>404</v>
      </c>
      <c r="B406" s="13">
        <f>IFERROR(__xludf.DUMMYFUNCTION("""COMPUTED_VALUE"""),902.0)</f>
        <v>902</v>
      </c>
      <c r="C406" s="13">
        <f>IFERROR(__xludf.DUMMYFUNCTION("""COMPUTED_VALUE"""),58.0)</f>
        <v>58</v>
      </c>
      <c r="D406" s="12" t="str">
        <f>IFERROR(__xludf.DUMMYFUNCTION("""COMPUTED_VALUE"""),"Sweet little top")</f>
        <v>Sweet little top</v>
      </c>
      <c r="E406" s="12" t="str">
        <f>IFERROR(__xludf.DUMMYFUNCTION("""COMPUTED_VALUE"""),"The color is a very soft peach, and the knit top over the gauze is a very light, summer-weight knit. i can see this being worn casual, or dressed up with a statement necklace and nice skirt / pants.")</f>
        <v>The color is a very soft peach, and the knit top over the gauze is a very light, summer-weight knit. i can see this being worn casual, or dressed up with a statement necklace and nice skirt / pants.</v>
      </c>
      <c r="F406" s="13">
        <f>IFERROR(__xludf.DUMMYFUNCTION("""COMPUTED_VALUE"""),5.0)</f>
        <v>5</v>
      </c>
      <c r="G406" s="13">
        <f>IFERROR(__xludf.DUMMYFUNCTION("""COMPUTED_VALUE"""),1.0)</f>
        <v>1</v>
      </c>
      <c r="H406" s="13">
        <f>IFERROR(__xludf.DUMMYFUNCTION("""COMPUTED_VALUE"""),3.0)</f>
        <v>3</v>
      </c>
      <c r="I406" s="13" t="str">
        <f>IFERROR(__xludf.DUMMYFUNCTION("""COMPUTED_VALUE"""),"General")</f>
        <v>General</v>
      </c>
      <c r="J406" s="13" t="str">
        <f>IFERROR(__xludf.DUMMYFUNCTION("""COMPUTED_VALUE"""),"Tops")</f>
        <v>Tops</v>
      </c>
      <c r="K406" s="13" t="str">
        <f>IFERROR(__xludf.DUMMYFUNCTION("""COMPUTED_VALUE"""),"Fine gauge")</f>
        <v>Fine gauge</v>
      </c>
      <c r="L406" s="13"/>
    </row>
    <row r="407">
      <c r="A407" s="13">
        <f>IFERROR(__xludf.DUMMYFUNCTION("""COMPUTED_VALUE"""),405.0)</f>
        <v>405</v>
      </c>
      <c r="B407" s="13">
        <f>IFERROR(__xludf.DUMMYFUNCTION("""COMPUTED_VALUE"""),1094.0)</f>
        <v>1094</v>
      </c>
      <c r="C407" s="13">
        <f>IFERROR(__xludf.DUMMYFUNCTION("""COMPUTED_VALUE"""),40.0)</f>
        <v>40</v>
      </c>
      <c r="D407" s="12" t="str">
        <f>IFERROR(__xludf.DUMMYFUNCTION("""COMPUTED_VALUE"""),"Comfortable and dressy")</f>
        <v>Comfortable and dressy</v>
      </c>
      <c r="E407" s="12" t="str">
        <f>IFERROR(__xludf.DUMMYFUNCTION("""COMPUTED_VALUE"""),"I bought the dress that has the cream skirt with large flowers. i wore it for a wedding and was not only very comfortable with the pockets and the cotton top, i looked good. i got a lot of compliments on the outfit. people thought it was a shirt and blous"&amp;"e rather than a dress. i loved the high low skirt. the sizing was accurate and the dress is easy to clean.")</f>
        <v>I bought the dress that has the cream skirt with large flowers. i wore it for a wedding and was not only very comfortable with the pockets and the cotton top, i looked good. i got a lot of compliments on the outfit. people thought it was a shirt and blouse rather than a dress. i loved the high low skirt. the sizing was accurate and the dress is easy to clean.</v>
      </c>
      <c r="F407" s="13">
        <f>IFERROR(__xludf.DUMMYFUNCTION("""COMPUTED_VALUE"""),5.0)</f>
        <v>5</v>
      </c>
      <c r="G407" s="13">
        <f>IFERROR(__xludf.DUMMYFUNCTION("""COMPUTED_VALUE"""),1.0)</f>
        <v>1</v>
      </c>
      <c r="H407" s="13">
        <f>IFERROR(__xludf.DUMMYFUNCTION("""COMPUTED_VALUE"""),1.0)</f>
        <v>1</v>
      </c>
      <c r="I407" s="13" t="str">
        <f>IFERROR(__xludf.DUMMYFUNCTION("""COMPUTED_VALUE"""),"General")</f>
        <v>General</v>
      </c>
      <c r="J407" s="13" t="str">
        <f>IFERROR(__xludf.DUMMYFUNCTION("""COMPUTED_VALUE"""),"Dresses")</f>
        <v>Dresses</v>
      </c>
      <c r="K407" s="13" t="str">
        <f>IFERROR(__xludf.DUMMYFUNCTION("""COMPUTED_VALUE"""),"Dresses")</f>
        <v>Dresses</v>
      </c>
      <c r="L407" s="13"/>
    </row>
    <row r="408">
      <c r="A408" s="13">
        <f>IFERROR(__xludf.DUMMYFUNCTION("""COMPUTED_VALUE"""),406.0)</f>
        <v>406</v>
      </c>
      <c r="B408" s="13">
        <f>IFERROR(__xludf.DUMMYFUNCTION("""COMPUTED_VALUE"""),1086.0)</f>
        <v>1086</v>
      </c>
      <c r="C408" s="13">
        <f>IFERROR(__xludf.DUMMYFUNCTION("""COMPUTED_VALUE"""),22.0)</f>
        <v>22</v>
      </c>
      <c r="D408" s="12" t="str">
        <f>IFERROR(__xludf.DUMMYFUNCTION("""COMPUTED_VALUE"""),"Not the best quality")</f>
        <v>Not the best quality</v>
      </c>
      <c r="E408" s="12" t="str">
        <f>IFERROR(__xludf.DUMMYFUNCTION("""COMPUTED_VALUE"""),"I got this dress in hopes of having a really nice winter formal dress. it was not well made at all! the lining didn't line up with the top layer and the waist puffed out in uneven places. i am curvy so a puffy waistline in the last thing i need! the fabri"&amp;"c itself is very nice, but just not well made. i do not recommend this dress.")</f>
        <v>I got this dress in hopes of having a really nice winter formal dress. it was not well made at all! the lining didn't line up with the top layer and the waist puffed out in uneven places. i am curvy so a puffy waistline in the last thing i need! the fabric itself is very nice, but just not well made. i do not recommend this dress.</v>
      </c>
      <c r="F408" s="13">
        <f>IFERROR(__xludf.DUMMYFUNCTION("""COMPUTED_VALUE"""),3.0)</f>
        <v>3</v>
      </c>
      <c r="G408" s="13">
        <f>IFERROR(__xludf.DUMMYFUNCTION("""COMPUTED_VALUE"""),0.0)</f>
        <v>0</v>
      </c>
      <c r="H408" s="13">
        <f>IFERROR(__xludf.DUMMYFUNCTION("""COMPUTED_VALUE"""),3.0)</f>
        <v>3</v>
      </c>
      <c r="I408" s="13" t="str">
        <f>IFERROR(__xludf.DUMMYFUNCTION("""COMPUTED_VALUE"""),"General")</f>
        <v>General</v>
      </c>
      <c r="J408" s="13" t="str">
        <f>IFERROR(__xludf.DUMMYFUNCTION("""COMPUTED_VALUE"""),"Dresses")</f>
        <v>Dresses</v>
      </c>
      <c r="K408" s="13" t="str">
        <f>IFERROR(__xludf.DUMMYFUNCTION("""COMPUTED_VALUE"""),"Dresses")</f>
        <v>Dresses</v>
      </c>
      <c r="L408" s="13"/>
    </row>
    <row r="409">
      <c r="A409" s="13">
        <f>IFERROR(__xludf.DUMMYFUNCTION("""COMPUTED_VALUE"""),407.0)</f>
        <v>407</v>
      </c>
      <c r="B409" s="13">
        <f>IFERROR(__xludf.DUMMYFUNCTION("""COMPUTED_VALUE"""),936.0)</f>
        <v>936</v>
      </c>
      <c r="C409" s="13">
        <f>IFERROR(__xludf.DUMMYFUNCTION("""COMPUTED_VALUE"""),55.0)</f>
        <v>55</v>
      </c>
      <c r="D409" s="12" t="str">
        <f>IFERROR(__xludf.DUMMYFUNCTION("""COMPUTED_VALUE"""),"Soft, feminine, versatile")</f>
        <v>Soft, feminine, versatile</v>
      </c>
      <c r="E409" s="12" t="str">
        <f>IFERROR(__xludf.DUMMYFUNCTION("""COMPUTED_VALUE"""),"Soft, comfortable, stylish. i eagerly awaited the arrival of this beautiful sweater and was not disappointed. the sizing was accurate for a perfect fit and i love the feminine detailing and shape of the necklne. the ribbons add an extra touch of style to "&amp;"a sweater that is both casual and elegant at the same time. very versatile.")</f>
        <v>Soft, comfortable, stylish. i eagerly awaited the arrival of this beautiful sweater and was not disappointed. the sizing was accurate for a perfect fit and i love the feminine detailing and shape of the necklne. the ribbons add an extra touch of style to a sweater that is both casual and elegant at the same time. very versatile.</v>
      </c>
      <c r="F409" s="13">
        <f>IFERROR(__xludf.DUMMYFUNCTION("""COMPUTED_VALUE"""),5.0)</f>
        <v>5</v>
      </c>
      <c r="G409" s="13">
        <f>IFERROR(__xludf.DUMMYFUNCTION("""COMPUTED_VALUE"""),1.0)</f>
        <v>1</v>
      </c>
      <c r="H409" s="13">
        <f>IFERROR(__xludf.DUMMYFUNCTION("""COMPUTED_VALUE"""),1.0)</f>
        <v>1</v>
      </c>
      <c r="I409" s="13" t="str">
        <f>IFERROR(__xludf.DUMMYFUNCTION("""COMPUTED_VALUE"""),"General")</f>
        <v>General</v>
      </c>
      <c r="J409" s="13" t="str">
        <f>IFERROR(__xludf.DUMMYFUNCTION("""COMPUTED_VALUE"""),"Tops")</f>
        <v>Tops</v>
      </c>
      <c r="K409" s="13" t="str">
        <f>IFERROR(__xludf.DUMMYFUNCTION("""COMPUTED_VALUE"""),"Sweaters")</f>
        <v>Sweaters</v>
      </c>
      <c r="L409" s="13"/>
    </row>
    <row r="410">
      <c r="A410" s="13">
        <f>IFERROR(__xludf.DUMMYFUNCTION("""COMPUTED_VALUE"""),408.0)</f>
        <v>408</v>
      </c>
      <c r="B410" s="13">
        <f>IFERROR(__xludf.DUMMYFUNCTION("""COMPUTED_VALUE"""),1036.0)</f>
        <v>1036</v>
      </c>
      <c r="C410" s="13">
        <f>IFERROR(__xludf.DUMMYFUNCTION("""COMPUTED_VALUE"""),66.0)</f>
        <v>66</v>
      </c>
      <c r="D410" s="12" t="str">
        <f>IFERROR(__xludf.DUMMYFUNCTION("""COMPUTED_VALUE"""),"Stylish option good for petites")</f>
        <v>Stylish option good for petites</v>
      </c>
      <c r="E410" s="12" t="str">
        <f>IFERROR(__xludf.DUMMYFUNCTION("""COMPUTED_VALUE"""),"This is my first pair of mcguire jeans, and i like the fabric and fit.  thank goodness for petite sizing!  these 32p fit just right on my hips, with no gap between the waistband and my body.  fits through thigh and hips and pretty slim all the way down.  "&amp;"nice stretch.  of course, the proof will be after wearing a few times and washing.  i will update my review if i do not like them so much after that,")</f>
        <v>This is my first pair of mcguire jeans, and i like the fabric and fit.  thank goodness for petite sizing!  these 32p fit just right on my hips, with no gap between the waistband and my body.  fits through thigh and hips and pretty slim all the way down.  nice stretch.  of course, the proof will be after wearing a few times and washing.  i will update my review if i do not like them so much after that,</v>
      </c>
      <c r="F410" s="13">
        <f>IFERROR(__xludf.DUMMYFUNCTION("""COMPUTED_VALUE"""),4.0)</f>
        <v>4</v>
      </c>
      <c r="G410" s="13">
        <f>IFERROR(__xludf.DUMMYFUNCTION("""COMPUTED_VALUE"""),1.0)</f>
        <v>1</v>
      </c>
      <c r="H410" s="13">
        <f>IFERROR(__xludf.DUMMYFUNCTION("""COMPUTED_VALUE"""),0.0)</f>
        <v>0</v>
      </c>
      <c r="I410" s="13" t="str">
        <f>IFERROR(__xludf.DUMMYFUNCTION("""COMPUTED_VALUE"""),"General")</f>
        <v>General</v>
      </c>
      <c r="J410" s="13" t="str">
        <f>IFERROR(__xludf.DUMMYFUNCTION("""COMPUTED_VALUE"""),"Bottoms")</f>
        <v>Bottoms</v>
      </c>
      <c r="K410" s="13" t="str">
        <f>IFERROR(__xludf.DUMMYFUNCTION("""COMPUTED_VALUE"""),"Jeans")</f>
        <v>Jeans</v>
      </c>
      <c r="L410" s="13"/>
    </row>
    <row r="411">
      <c r="A411" s="13">
        <f>IFERROR(__xludf.DUMMYFUNCTION("""COMPUTED_VALUE"""),409.0)</f>
        <v>409</v>
      </c>
      <c r="B411" s="13">
        <f>IFERROR(__xludf.DUMMYFUNCTION("""COMPUTED_VALUE"""),936.0)</f>
        <v>936</v>
      </c>
      <c r="C411" s="13">
        <f>IFERROR(__xludf.DUMMYFUNCTION("""COMPUTED_VALUE"""),39.0)</f>
        <v>39</v>
      </c>
      <c r="D411" s="12" t="str">
        <f>IFERROR(__xludf.DUMMYFUNCTION("""COMPUTED_VALUE"""),"Sweet casual")</f>
        <v>Sweet casual</v>
      </c>
      <c r="E411" s="12" t="str">
        <f>IFERROR(__xludf.DUMMYFUNCTION("""COMPUTED_VALUE"""),"Adorable sweater with a loose knit that helps slim down my man-back appearance. cut is tapered to the body but with a soft flare at the bottom hem. not clingy, very soft fabric doesn't accentuate bulges so i am happy about it's forgiving silhouette.")</f>
        <v>Adorable sweater with a loose knit that helps slim down my man-back appearance. cut is tapered to the body but with a soft flare at the bottom hem. not clingy, very soft fabric doesn't accentuate bulges so i am happy about it's forgiving silhouette.</v>
      </c>
      <c r="F411" s="13">
        <f>IFERROR(__xludf.DUMMYFUNCTION("""COMPUTED_VALUE"""),5.0)</f>
        <v>5</v>
      </c>
      <c r="G411" s="13">
        <f>IFERROR(__xludf.DUMMYFUNCTION("""COMPUTED_VALUE"""),1.0)</f>
        <v>1</v>
      </c>
      <c r="H411" s="13">
        <f>IFERROR(__xludf.DUMMYFUNCTION("""COMPUTED_VALUE"""),0.0)</f>
        <v>0</v>
      </c>
      <c r="I411" s="13" t="str">
        <f>IFERROR(__xludf.DUMMYFUNCTION("""COMPUTED_VALUE"""),"General")</f>
        <v>General</v>
      </c>
      <c r="J411" s="13" t="str">
        <f>IFERROR(__xludf.DUMMYFUNCTION("""COMPUTED_VALUE"""),"Tops")</f>
        <v>Tops</v>
      </c>
      <c r="K411" s="13" t="str">
        <f>IFERROR(__xludf.DUMMYFUNCTION("""COMPUTED_VALUE"""),"Sweaters")</f>
        <v>Sweaters</v>
      </c>
      <c r="L411" s="13"/>
    </row>
    <row r="412">
      <c r="A412" s="13">
        <f>IFERROR(__xludf.DUMMYFUNCTION("""COMPUTED_VALUE"""),410.0)</f>
        <v>410</v>
      </c>
      <c r="B412" s="13">
        <f>IFERROR(__xludf.DUMMYFUNCTION("""COMPUTED_VALUE"""),1094.0)</f>
        <v>1094</v>
      </c>
      <c r="C412" s="13">
        <f>IFERROR(__xludf.DUMMYFUNCTION("""COMPUTED_VALUE"""),30.0)</f>
        <v>30</v>
      </c>
      <c r="D412" s="12" t="str">
        <f>IFERROR(__xludf.DUMMYFUNCTION("""COMPUTED_VALUE"""),"A perfect investment")</f>
        <v>A perfect investment</v>
      </c>
      <c r="E412" s="12" t="str">
        <f>IFERROR(__xludf.DUMMYFUNCTION("""COMPUTED_VALUE"""),"I walked into retailer with low hopes of finding a dress for a friend's spring wedding, as a lot of this season's dresses are more casual, but was drawn to this pretty number for multiple reasons: it can certainly be dressed up or down depending upon acce"&amp;"ssories, the fabric feels incredible, it has pockets, and it's really fun yet classy as heck. typically i wear a 10/m in dresses, but they only had a 12 in store, so i took it and made it work by tightening the sash a bit extra and wearing a bra w")</f>
        <v>I walked into retailer with low hopes of finding a dress for a friend's spring wedding, as a lot of this season's dresses are more casual, but was drawn to this pretty number for multiple reasons: it can certainly be dressed up or down depending upon accessories, the fabric feels incredible, it has pockets, and it's really fun yet classy as heck. typically i wear a 10/m in dresses, but they only had a 12 in store, so i took it and made it work by tightening the sash a bit extra and wearing a bra w</v>
      </c>
      <c r="F412" s="13">
        <f>IFERROR(__xludf.DUMMYFUNCTION("""COMPUTED_VALUE"""),5.0)</f>
        <v>5</v>
      </c>
      <c r="G412" s="13">
        <f>IFERROR(__xludf.DUMMYFUNCTION("""COMPUTED_VALUE"""),1.0)</f>
        <v>1</v>
      </c>
      <c r="H412" s="13">
        <f>IFERROR(__xludf.DUMMYFUNCTION("""COMPUTED_VALUE"""),1.0)</f>
        <v>1</v>
      </c>
      <c r="I412" s="13" t="str">
        <f>IFERROR(__xludf.DUMMYFUNCTION("""COMPUTED_VALUE"""),"General")</f>
        <v>General</v>
      </c>
      <c r="J412" s="13" t="str">
        <f>IFERROR(__xludf.DUMMYFUNCTION("""COMPUTED_VALUE"""),"Dresses")</f>
        <v>Dresses</v>
      </c>
      <c r="K412" s="13" t="str">
        <f>IFERROR(__xludf.DUMMYFUNCTION("""COMPUTED_VALUE"""),"Dresses")</f>
        <v>Dresses</v>
      </c>
      <c r="L412" s="13"/>
    </row>
    <row r="413">
      <c r="A413" s="13">
        <f>IFERROR(__xludf.DUMMYFUNCTION("""COMPUTED_VALUE"""),411.0)</f>
        <v>411</v>
      </c>
      <c r="B413" s="13">
        <f>IFERROR(__xludf.DUMMYFUNCTION("""COMPUTED_VALUE"""),1094.0)</f>
        <v>1094</v>
      </c>
      <c r="C413" s="13">
        <f>IFERROR(__xludf.DUMMYFUNCTION("""COMPUTED_VALUE"""),53.0)</f>
        <v>53</v>
      </c>
      <c r="D413" s="12" t="str">
        <f>IFERROR(__xludf.DUMMYFUNCTION("""COMPUTED_VALUE"""),"This dress is gorgeous!")</f>
        <v>This dress is gorgeous!</v>
      </c>
      <c r="E413" s="12" t="str">
        <f>IFERROR(__xludf.DUMMYFUNCTION("""COMPUTED_VALUE"""),"I was able to snatch this dress up just before it sold out (and i see it's now back in stock!). the quality of the fabrics is outstanding, not flimsy at all. the top is stretchy. normally i would wear a 2 at retailer, but the only choice i had was 0 and i"&amp;"t fit. i am 5'5"" tall, 125 lbs. everything about this dress makes me smile and i can't wait to wear it to my holiday party! don't hesitate if you are on the fence.")</f>
        <v>I was able to snatch this dress up just before it sold out (and i see it's now back in stock!). the quality of the fabrics is outstanding, not flimsy at all. the top is stretchy. normally i would wear a 2 at retailer, but the only choice i had was 0 and it fit. i am 5'5" tall, 125 lbs. everything about this dress makes me smile and i can't wait to wear it to my holiday party! don't hesitate if you are on the fence.</v>
      </c>
      <c r="F413" s="13">
        <f>IFERROR(__xludf.DUMMYFUNCTION("""COMPUTED_VALUE"""),5.0)</f>
        <v>5</v>
      </c>
      <c r="G413" s="13">
        <f>IFERROR(__xludf.DUMMYFUNCTION("""COMPUTED_VALUE"""),1.0)</f>
        <v>1</v>
      </c>
      <c r="H413" s="13">
        <f>IFERROR(__xludf.DUMMYFUNCTION("""COMPUTED_VALUE"""),3.0)</f>
        <v>3</v>
      </c>
      <c r="I413" s="13" t="str">
        <f>IFERROR(__xludf.DUMMYFUNCTION("""COMPUTED_VALUE"""),"General")</f>
        <v>General</v>
      </c>
      <c r="J413" s="13" t="str">
        <f>IFERROR(__xludf.DUMMYFUNCTION("""COMPUTED_VALUE"""),"Dresses")</f>
        <v>Dresses</v>
      </c>
      <c r="K413" s="13" t="str">
        <f>IFERROR(__xludf.DUMMYFUNCTION("""COMPUTED_VALUE"""),"Dresses")</f>
        <v>Dresses</v>
      </c>
      <c r="L413" s="13"/>
    </row>
    <row r="414">
      <c r="A414" s="13">
        <f>IFERROR(__xludf.DUMMYFUNCTION("""COMPUTED_VALUE"""),412.0)</f>
        <v>412</v>
      </c>
      <c r="B414" s="13">
        <f>IFERROR(__xludf.DUMMYFUNCTION("""COMPUTED_VALUE"""),1086.0)</f>
        <v>1086</v>
      </c>
      <c r="C414" s="13">
        <f>IFERROR(__xludf.DUMMYFUNCTION("""COMPUTED_VALUE"""),23.0)</f>
        <v>23</v>
      </c>
      <c r="D414" s="12" t="str">
        <f>IFERROR(__xludf.DUMMYFUNCTION("""COMPUTED_VALUE"""),"Great dress, rough zipper")</f>
        <v>Great dress, rough zipper</v>
      </c>
      <c r="E414" s="12" t="str">
        <f>IFERROR(__xludf.DUMMYFUNCTION("""COMPUTED_VALUE"""),"I saw this dress online and immediately went to the store to try on! it took three sales asscoaites to help me zip the dress but once it was on it was beautiful! the bodice fits really nicely. true to size. there was extra fabric around the waist bust not"&amp;"hing that made the fit look weird. love love love!!! wearing for christmas eve!")</f>
        <v>I saw this dress online and immediately went to the store to try on! it took three sales asscoaites to help me zip the dress but once it was on it was beautiful! the bodice fits really nicely. true to size. there was extra fabric around the waist bust nothing that made the fit look weird. love love love!!! wearing for christmas eve!</v>
      </c>
      <c r="F414" s="13">
        <f>IFERROR(__xludf.DUMMYFUNCTION("""COMPUTED_VALUE"""),5.0)</f>
        <v>5</v>
      </c>
      <c r="G414" s="13">
        <f>IFERROR(__xludf.DUMMYFUNCTION("""COMPUTED_VALUE"""),1.0)</f>
        <v>1</v>
      </c>
      <c r="H414" s="13">
        <f>IFERROR(__xludf.DUMMYFUNCTION("""COMPUTED_VALUE"""),6.0)</f>
        <v>6</v>
      </c>
      <c r="I414" s="13" t="str">
        <f>IFERROR(__xludf.DUMMYFUNCTION("""COMPUTED_VALUE"""),"General")</f>
        <v>General</v>
      </c>
      <c r="J414" s="13" t="str">
        <f>IFERROR(__xludf.DUMMYFUNCTION("""COMPUTED_VALUE"""),"Dresses")</f>
        <v>Dresses</v>
      </c>
      <c r="K414" s="13" t="str">
        <f>IFERROR(__xludf.DUMMYFUNCTION("""COMPUTED_VALUE"""),"Dresses")</f>
        <v>Dresses</v>
      </c>
      <c r="L414" s="13"/>
    </row>
    <row r="415">
      <c r="A415" s="13">
        <f>IFERROR(__xludf.DUMMYFUNCTION("""COMPUTED_VALUE"""),413.0)</f>
        <v>413</v>
      </c>
      <c r="B415" s="13">
        <f>IFERROR(__xludf.DUMMYFUNCTION("""COMPUTED_VALUE"""),127.0)</f>
        <v>127</v>
      </c>
      <c r="C415" s="13">
        <f>IFERROR(__xludf.DUMMYFUNCTION("""COMPUTED_VALUE"""),37.0)</f>
        <v>37</v>
      </c>
      <c r="D415" s="12"/>
      <c r="E415" s="12" t="str">
        <f>IFERROR(__xludf.DUMMYFUNCTION("""COMPUTED_VALUE"""),"I got he green color with gray accent stitching, looks awesome with gray tone leggings. super soft, definitely runs a little big (5'6"" 140 lbs i ordered the small) but not in an unflattering way.")</f>
        <v>I got he green color with gray accent stitching, looks awesome with gray tone leggings. super soft, definitely runs a little big (5'6" 140 lbs i ordered the small) but not in an unflattering way.</v>
      </c>
      <c r="F415" s="13">
        <f>IFERROR(__xludf.DUMMYFUNCTION("""COMPUTED_VALUE"""),5.0)</f>
        <v>5</v>
      </c>
      <c r="G415" s="13">
        <f>IFERROR(__xludf.DUMMYFUNCTION("""COMPUTED_VALUE"""),1.0)</f>
        <v>1</v>
      </c>
      <c r="H415" s="13">
        <f>IFERROR(__xludf.DUMMYFUNCTION("""COMPUTED_VALUE"""),1.0)</f>
        <v>1</v>
      </c>
      <c r="I415" s="13" t="str">
        <f>IFERROR(__xludf.DUMMYFUNCTION("""COMPUTED_VALUE"""),"General Petite")</f>
        <v>General Petite</v>
      </c>
      <c r="J415" s="13" t="str">
        <f>IFERROR(__xludf.DUMMYFUNCTION("""COMPUTED_VALUE"""),"Intimate")</f>
        <v>Intimate</v>
      </c>
      <c r="K415" s="13" t="str">
        <f>IFERROR(__xludf.DUMMYFUNCTION("""COMPUTED_VALUE"""),"Lounge")</f>
        <v>Lounge</v>
      </c>
      <c r="L415" s="13"/>
    </row>
    <row r="416">
      <c r="A416" s="13">
        <f>IFERROR(__xludf.DUMMYFUNCTION("""COMPUTED_VALUE"""),414.0)</f>
        <v>414</v>
      </c>
      <c r="B416" s="13">
        <f>IFERROR(__xludf.DUMMYFUNCTION("""COMPUTED_VALUE"""),127.0)</f>
        <v>127</v>
      </c>
      <c r="C416" s="13">
        <f>IFERROR(__xludf.DUMMYFUNCTION("""COMPUTED_VALUE"""),51.0)</f>
        <v>51</v>
      </c>
      <c r="D416" s="12" t="str">
        <f>IFERROR(__xludf.DUMMYFUNCTION("""COMPUTED_VALUE"""),"Cute &amp; comfy top")</f>
        <v>Cute &amp; comfy top</v>
      </c>
      <c r="E416" s="12" t="str">
        <f>IFERROR(__xludf.DUMMYFUNCTION("""COMPUTED_VALUE"""),"Love this tunic, it's super comfy &amp; cute. i have in cream and love so much i ordered in mint. looks great with jeans and boots")</f>
        <v>Love this tunic, it's super comfy &amp; cute. i have in cream and love so much i ordered in mint. looks great with jeans and boots</v>
      </c>
      <c r="F416" s="13">
        <f>IFERROR(__xludf.DUMMYFUNCTION("""COMPUTED_VALUE"""),5.0)</f>
        <v>5</v>
      </c>
      <c r="G416" s="13">
        <f>IFERROR(__xludf.DUMMYFUNCTION("""COMPUTED_VALUE"""),1.0)</f>
        <v>1</v>
      </c>
      <c r="H416" s="13">
        <f>IFERROR(__xludf.DUMMYFUNCTION("""COMPUTED_VALUE"""),0.0)</f>
        <v>0</v>
      </c>
      <c r="I416" s="13" t="str">
        <f>IFERROR(__xludf.DUMMYFUNCTION("""COMPUTED_VALUE"""),"General Petite")</f>
        <v>General Petite</v>
      </c>
      <c r="J416" s="13" t="str">
        <f>IFERROR(__xludf.DUMMYFUNCTION("""COMPUTED_VALUE"""),"Intimate")</f>
        <v>Intimate</v>
      </c>
      <c r="K416" s="13" t="str">
        <f>IFERROR(__xludf.DUMMYFUNCTION("""COMPUTED_VALUE"""),"Lounge")</f>
        <v>Lounge</v>
      </c>
      <c r="L416" s="13"/>
    </row>
    <row r="417">
      <c r="A417" s="13">
        <f>IFERROR(__xludf.DUMMYFUNCTION("""COMPUTED_VALUE"""),415.0)</f>
        <v>415</v>
      </c>
      <c r="B417" s="13">
        <f>IFERROR(__xludf.DUMMYFUNCTION("""COMPUTED_VALUE"""),1083.0)</f>
        <v>1083</v>
      </c>
      <c r="C417" s="13">
        <f>IFERROR(__xludf.DUMMYFUNCTION("""COMPUTED_VALUE"""),37.0)</f>
        <v>37</v>
      </c>
      <c r="D417" s="12" t="str">
        <f>IFERROR(__xludf.DUMMYFUNCTION("""COMPUTED_VALUE"""),"Flattering and great buy on sale!")</f>
        <v>Flattering and great buy on sale!</v>
      </c>
      <c r="E417" s="12" t="str">
        <f>IFERROR(__xludf.DUMMYFUNCTION("""COMPUTED_VALUE"""),"I thought this dress was worth reviewing since my opinion differs from many others.
i agree that the fabric is quite thin compared to what you may be used to with byron lars dresses, but the flattering fit and quality (has a nice built in slip) i found to"&amp;" be what you may expect from the brand. if you go in thinking it's more of a spring/summer dress, you will not be disappointed.
however, i find the sizing to be slightly off. i usually wear a 2p (i'm 5'2""), or a 0 regular.
i ordered several size")</f>
        <v>I thought this dress was worth reviewing since my opinion differs from many others.
i agree that the fabric is quite thin compared to what you may be used to with byron lars dresses, but the flattering fit and quality (has a nice built in slip) i found to be what you may expect from the brand. if you go in thinking it's more of a spring/summer dress, you will not be disappointed.
however, i find the sizing to be slightly off. i usually wear a 2p (i'm 5'2"), or a 0 regular.
i ordered several size</v>
      </c>
      <c r="F417" s="13">
        <f>IFERROR(__xludf.DUMMYFUNCTION("""COMPUTED_VALUE"""),4.0)</f>
        <v>4</v>
      </c>
      <c r="G417" s="13">
        <f>IFERROR(__xludf.DUMMYFUNCTION("""COMPUTED_VALUE"""),1.0)</f>
        <v>1</v>
      </c>
      <c r="H417" s="13">
        <f>IFERROR(__xludf.DUMMYFUNCTION("""COMPUTED_VALUE"""),2.0)</f>
        <v>2</v>
      </c>
      <c r="I417" s="13" t="str">
        <f>IFERROR(__xludf.DUMMYFUNCTION("""COMPUTED_VALUE"""),"General")</f>
        <v>General</v>
      </c>
      <c r="J417" s="13" t="str">
        <f>IFERROR(__xludf.DUMMYFUNCTION("""COMPUTED_VALUE"""),"Dresses")</f>
        <v>Dresses</v>
      </c>
      <c r="K417" s="13" t="str">
        <f>IFERROR(__xludf.DUMMYFUNCTION("""COMPUTED_VALUE"""),"Dresses")</f>
        <v>Dresses</v>
      </c>
      <c r="L417" s="13"/>
    </row>
    <row r="418">
      <c r="A418" s="13">
        <f>IFERROR(__xludf.DUMMYFUNCTION("""COMPUTED_VALUE"""),416.0)</f>
        <v>416</v>
      </c>
      <c r="B418" s="13">
        <f>IFERROR(__xludf.DUMMYFUNCTION("""COMPUTED_VALUE"""),872.0)</f>
        <v>872</v>
      </c>
      <c r="C418" s="13">
        <f>IFERROR(__xludf.DUMMYFUNCTION("""COMPUTED_VALUE"""),35.0)</f>
        <v>35</v>
      </c>
      <c r="D418" s="12" t="str">
        <f>IFERROR(__xludf.DUMMYFUNCTION("""COMPUTED_VALUE"""),"I love this shirt")</f>
        <v>I love this shirt</v>
      </c>
      <c r="E418" s="12" t="str">
        <f>IFERROR(__xludf.DUMMYFUNCTION("""COMPUTED_VALUE"""),"I really love this lace-up shirt, but i only liked it in black on me. i like it open like the model is wearing it, but i had to have it a little more closed because the lace part does go down a ways-and i felt like i was revealing a little too much. i wou"&amp;"ld likely wear it open, but then have to pair it with a cami underneath to feel comfortable. i absolutely love the whole outfit as-pictured, and also reviewed the polka dot pants. i wish the laces were a little longer than they are-if you have i")</f>
        <v>I really love this lace-up shirt, but i only liked it in black on me. i like it open like the model is wearing it, but i had to have it a little more closed because the lace part does go down a ways-and i felt like i was revealing a little too much. i would likely wear it open, but then have to pair it with a cami underneath to feel comfortable. i absolutely love the whole outfit as-pictured, and also reviewed the polka dot pants. i wish the laces were a little longer than they are-if you have i</v>
      </c>
      <c r="F418" s="13">
        <f>IFERROR(__xludf.DUMMYFUNCTION("""COMPUTED_VALUE"""),5.0)</f>
        <v>5</v>
      </c>
      <c r="G418" s="13">
        <f>IFERROR(__xludf.DUMMYFUNCTION("""COMPUTED_VALUE"""),1.0)</f>
        <v>1</v>
      </c>
      <c r="H418" s="13">
        <f>IFERROR(__xludf.DUMMYFUNCTION("""COMPUTED_VALUE"""),14.0)</f>
        <v>14</v>
      </c>
      <c r="I418" s="13" t="str">
        <f>IFERROR(__xludf.DUMMYFUNCTION("""COMPUTED_VALUE"""),"General")</f>
        <v>General</v>
      </c>
      <c r="J418" s="13" t="str">
        <f>IFERROR(__xludf.DUMMYFUNCTION("""COMPUTED_VALUE"""),"Tops")</f>
        <v>Tops</v>
      </c>
      <c r="K418" s="13" t="str">
        <f>IFERROR(__xludf.DUMMYFUNCTION("""COMPUTED_VALUE"""),"Knits")</f>
        <v>Knits</v>
      </c>
      <c r="L418" s="13"/>
    </row>
    <row r="419">
      <c r="A419" s="13">
        <f>IFERROR(__xludf.DUMMYFUNCTION("""COMPUTED_VALUE"""),417.0)</f>
        <v>417</v>
      </c>
      <c r="B419" s="13">
        <f>IFERROR(__xludf.DUMMYFUNCTION("""COMPUTED_VALUE"""),1083.0)</f>
        <v>1083</v>
      </c>
      <c r="C419" s="13">
        <f>IFERROR(__xludf.DUMMYFUNCTION("""COMPUTED_VALUE"""),35.0)</f>
        <v>35</v>
      </c>
      <c r="D419" s="12" t="str">
        <f>IFERROR(__xludf.DUMMYFUNCTION("""COMPUTED_VALUE"""),"Flimsy")</f>
        <v>Flimsy</v>
      </c>
      <c r="E419" s="12" t="str">
        <f>IFERROR(__xludf.DUMMYFUNCTION("""COMPUTED_VALUE"""),"I love byron lars dresses, and this design is on-point. the ruffle at the neckline is so pretty, and the dress fits like a dream. however -- the fabric!!! i would have loved it if this dress had a heavier feel. this is, sadly, going back today.")</f>
        <v>I love byron lars dresses, and this design is on-point. the ruffle at the neckline is so pretty, and the dress fits like a dream. however -- the fabric!!! i would have loved it if this dress had a heavier feel. this is, sadly, going back today.</v>
      </c>
      <c r="F419" s="13">
        <f>IFERROR(__xludf.DUMMYFUNCTION("""COMPUTED_VALUE"""),2.0)</f>
        <v>2</v>
      </c>
      <c r="G419" s="13">
        <f>IFERROR(__xludf.DUMMYFUNCTION("""COMPUTED_VALUE"""),0.0)</f>
        <v>0</v>
      </c>
      <c r="H419" s="13">
        <f>IFERROR(__xludf.DUMMYFUNCTION("""COMPUTED_VALUE"""),2.0)</f>
        <v>2</v>
      </c>
      <c r="I419" s="13" t="str">
        <f>IFERROR(__xludf.DUMMYFUNCTION("""COMPUTED_VALUE"""),"General")</f>
        <v>General</v>
      </c>
      <c r="J419" s="13" t="str">
        <f>IFERROR(__xludf.DUMMYFUNCTION("""COMPUTED_VALUE"""),"Dresses")</f>
        <v>Dresses</v>
      </c>
      <c r="K419" s="13" t="str">
        <f>IFERROR(__xludf.DUMMYFUNCTION("""COMPUTED_VALUE"""),"Dresses")</f>
        <v>Dresses</v>
      </c>
      <c r="L419" s="13"/>
    </row>
    <row r="420">
      <c r="A420" s="13">
        <f>IFERROR(__xludf.DUMMYFUNCTION("""COMPUTED_VALUE"""),418.0)</f>
        <v>418</v>
      </c>
      <c r="B420" s="13">
        <f>IFERROR(__xludf.DUMMYFUNCTION("""COMPUTED_VALUE"""),831.0)</f>
        <v>831</v>
      </c>
      <c r="C420" s="13">
        <f>IFERROR(__xludf.DUMMYFUNCTION("""COMPUTED_VALUE"""),40.0)</f>
        <v>40</v>
      </c>
      <c r="D420" s="12" t="str">
        <f>IFERROR(__xludf.DUMMYFUNCTION("""COMPUTED_VALUE"""),"Super comfy")</f>
        <v>Super comfy</v>
      </c>
      <c r="E420" s="12" t="str">
        <f>IFERROR(__xludf.DUMMYFUNCTION("""COMPUTED_VALUE"""),"Love this blouse, it;s super comfy, looks awesome with jeans. this blouse runs true to size i purchased in my normal size small.")</f>
        <v>Love this blouse, it;s super comfy, looks awesome with jeans. this blouse runs true to size i purchased in my normal size small.</v>
      </c>
      <c r="F420" s="13">
        <f>IFERROR(__xludf.DUMMYFUNCTION("""COMPUTED_VALUE"""),5.0)</f>
        <v>5</v>
      </c>
      <c r="G420" s="13">
        <f>IFERROR(__xludf.DUMMYFUNCTION("""COMPUTED_VALUE"""),1.0)</f>
        <v>1</v>
      </c>
      <c r="H420" s="13">
        <f>IFERROR(__xludf.DUMMYFUNCTION("""COMPUTED_VALUE"""),0.0)</f>
        <v>0</v>
      </c>
      <c r="I420" s="13" t="str">
        <f>IFERROR(__xludf.DUMMYFUNCTION("""COMPUTED_VALUE"""),"General")</f>
        <v>General</v>
      </c>
      <c r="J420" s="13" t="str">
        <f>IFERROR(__xludf.DUMMYFUNCTION("""COMPUTED_VALUE"""),"Tops")</f>
        <v>Tops</v>
      </c>
      <c r="K420" s="13" t="str">
        <f>IFERROR(__xludf.DUMMYFUNCTION("""COMPUTED_VALUE"""),"Blouses")</f>
        <v>Blouses</v>
      </c>
      <c r="L420" s="13"/>
    </row>
    <row r="421">
      <c r="A421" s="13">
        <f>IFERROR(__xludf.DUMMYFUNCTION("""COMPUTED_VALUE"""),419.0)</f>
        <v>419</v>
      </c>
      <c r="B421" s="13">
        <f>IFERROR(__xludf.DUMMYFUNCTION("""COMPUTED_VALUE"""),1080.0)</f>
        <v>1080</v>
      </c>
      <c r="C421" s="13">
        <f>IFERROR(__xludf.DUMMYFUNCTION("""COMPUTED_VALUE"""),32.0)</f>
        <v>32</v>
      </c>
      <c r="D421" s="12" t="str">
        <f>IFERROR(__xludf.DUMMYFUNCTION("""COMPUTED_VALUE"""),"Pretty pattern, weird fit")</f>
        <v>Pretty pattern, weird fit</v>
      </c>
      <c r="E421" s="12" t="str">
        <f>IFERROR(__xludf.DUMMYFUNCTION("""COMPUTED_VALUE"""),"I fell in love with this dress when i saw it online and due to the ""slim fit,"" i ordered a size up -- a 2 petite up from my normal 0 petite. when i received it, i was surprised about two things: 1) the material was kind of puffy (not bad, just weird), a"&amp;"nd 2) it was too big on top - rare for a petite size - even though it fit everywhere else. i wanted to love it, but had to return. would be gorgeous for someone else!")</f>
        <v>I fell in love with this dress when i saw it online and due to the "slim fit," i ordered a size up -- a 2 petite up from my normal 0 petite. when i received it, i was surprised about two things: 1) the material was kind of puffy (not bad, just weird), and 2) it was too big on top - rare for a petite size - even though it fit everywhere else. i wanted to love it, but had to return. would be gorgeous for someone else!</v>
      </c>
      <c r="F421" s="13">
        <f>IFERROR(__xludf.DUMMYFUNCTION("""COMPUTED_VALUE"""),3.0)</f>
        <v>3</v>
      </c>
      <c r="G421" s="13">
        <f>IFERROR(__xludf.DUMMYFUNCTION("""COMPUTED_VALUE"""),1.0)</f>
        <v>1</v>
      </c>
      <c r="H421" s="13">
        <f>IFERROR(__xludf.DUMMYFUNCTION("""COMPUTED_VALUE"""),1.0)</f>
        <v>1</v>
      </c>
      <c r="I421" s="13" t="str">
        <f>IFERROR(__xludf.DUMMYFUNCTION("""COMPUTED_VALUE"""),"General")</f>
        <v>General</v>
      </c>
      <c r="J421" s="13" t="str">
        <f>IFERROR(__xludf.DUMMYFUNCTION("""COMPUTED_VALUE"""),"Dresses")</f>
        <v>Dresses</v>
      </c>
      <c r="K421" s="13" t="str">
        <f>IFERROR(__xludf.DUMMYFUNCTION("""COMPUTED_VALUE"""),"Dresses")</f>
        <v>Dresses</v>
      </c>
      <c r="L421" s="13"/>
    </row>
    <row r="422">
      <c r="A422" s="13">
        <f>IFERROR(__xludf.DUMMYFUNCTION("""COMPUTED_VALUE"""),420.0)</f>
        <v>420</v>
      </c>
      <c r="B422" s="13">
        <f>IFERROR(__xludf.DUMMYFUNCTION("""COMPUTED_VALUE"""),1077.0)</f>
        <v>1077</v>
      </c>
      <c r="C422" s="13">
        <f>IFERROR(__xludf.DUMMYFUNCTION("""COMPUTED_VALUE"""),68.0)</f>
        <v>68</v>
      </c>
      <c r="D422" s="12" t="str">
        <f>IFERROR(__xludf.DUMMYFUNCTION("""COMPUTED_VALUE"""),"Easy and stylish")</f>
        <v>Easy and stylish</v>
      </c>
      <c r="E422" s="12" t="str">
        <f>IFERROR(__xludf.DUMMYFUNCTION("""COMPUTED_VALUE"""),"I was hesitant based on the reviews, but i'm glad i ordered this dress (in blue). the material is like a french dot texture that is soft but still a bit structured. i had no issues with the fit. it's appropriately just a little oversized. the styling is v"&amp;"ery mod!")</f>
        <v>I was hesitant based on the reviews, but i'm glad i ordered this dress (in blue). the material is like a french dot texture that is soft but still a bit structured. i had no issues with the fit. it's appropriately just a little oversized. the styling is very mod!</v>
      </c>
      <c r="F422" s="13">
        <f>IFERROR(__xludf.DUMMYFUNCTION("""COMPUTED_VALUE"""),5.0)</f>
        <v>5</v>
      </c>
      <c r="G422" s="13">
        <f>IFERROR(__xludf.DUMMYFUNCTION("""COMPUTED_VALUE"""),1.0)</f>
        <v>1</v>
      </c>
      <c r="H422" s="13">
        <f>IFERROR(__xludf.DUMMYFUNCTION("""COMPUTED_VALUE"""),2.0)</f>
        <v>2</v>
      </c>
      <c r="I422" s="13" t="str">
        <f>IFERROR(__xludf.DUMMYFUNCTION("""COMPUTED_VALUE"""),"General")</f>
        <v>General</v>
      </c>
      <c r="J422" s="13" t="str">
        <f>IFERROR(__xludf.DUMMYFUNCTION("""COMPUTED_VALUE"""),"Dresses")</f>
        <v>Dresses</v>
      </c>
      <c r="K422" s="13" t="str">
        <f>IFERROR(__xludf.DUMMYFUNCTION("""COMPUTED_VALUE"""),"Dresses")</f>
        <v>Dresses</v>
      </c>
      <c r="L422" s="13"/>
    </row>
    <row r="423">
      <c r="A423" s="13">
        <f>IFERROR(__xludf.DUMMYFUNCTION("""COMPUTED_VALUE"""),421.0)</f>
        <v>421</v>
      </c>
      <c r="B423" s="13">
        <f>IFERROR(__xludf.DUMMYFUNCTION("""COMPUTED_VALUE"""),872.0)</f>
        <v>872</v>
      </c>
      <c r="C423" s="13">
        <f>IFERROR(__xludf.DUMMYFUNCTION("""COMPUTED_VALUE"""),65.0)</f>
        <v>65</v>
      </c>
      <c r="D423" s="12"/>
      <c r="E423" s="12" t="str">
        <f>IFERROR(__xludf.DUMMYFUNCTION("""COMPUTED_VALUE"""),"Great feature...perfect lacing...do not need to worry that it is too low since there is material behind the bottom of the lacing. like 3/4 length sleeve. gives top the right proportion.")</f>
        <v>Great feature...perfect lacing...do not need to worry that it is too low since there is material behind the bottom of the lacing. like 3/4 length sleeve. gives top the right proportion.</v>
      </c>
      <c r="F423" s="13">
        <f>IFERROR(__xludf.DUMMYFUNCTION("""COMPUTED_VALUE"""),4.0)</f>
        <v>4</v>
      </c>
      <c r="G423" s="13">
        <f>IFERROR(__xludf.DUMMYFUNCTION("""COMPUTED_VALUE"""),1.0)</f>
        <v>1</v>
      </c>
      <c r="H423" s="13">
        <f>IFERROR(__xludf.DUMMYFUNCTION("""COMPUTED_VALUE"""),0.0)</f>
        <v>0</v>
      </c>
      <c r="I423" s="13" t="str">
        <f>IFERROR(__xludf.DUMMYFUNCTION("""COMPUTED_VALUE"""),"General")</f>
        <v>General</v>
      </c>
      <c r="J423" s="13" t="str">
        <f>IFERROR(__xludf.DUMMYFUNCTION("""COMPUTED_VALUE"""),"Tops")</f>
        <v>Tops</v>
      </c>
      <c r="K423" s="13" t="str">
        <f>IFERROR(__xludf.DUMMYFUNCTION("""COMPUTED_VALUE"""),"Knits")</f>
        <v>Knits</v>
      </c>
      <c r="L423" s="13"/>
    </row>
    <row r="424">
      <c r="A424" s="13">
        <f>IFERROR(__xludf.DUMMYFUNCTION("""COMPUTED_VALUE"""),422.0)</f>
        <v>422</v>
      </c>
      <c r="B424" s="13">
        <f>IFERROR(__xludf.DUMMYFUNCTION("""COMPUTED_VALUE"""),964.0)</f>
        <v>964</v>
      </c>
      <c r="C424" s="13">
        <f>IFERROR(__xludf.DUMMYFUNCTION("""COMPUTED_VALUE"""),37.0)</f>
        <v>37</v>
      </c>
      <c r="D424" s="12" t="str">
        <f>IFERROR(__xludf.DUMMYFUNCTION("""COMPUTED_VALUE"""),"Very versatile")</f>
        <v>Very versatile</v>
      </c>
      <c r="E424" s="12" t="str">
        <f>IFERROR(__xludf.DUMMYFUNCTION("""COMPUTED_VALUE"""),"I purchased this jacket in green, x-small a while back and wasn?t 100% sure about it due to the size. i?m 5?3?, 117 lbs and a 33a and thought it was a little snug so i tried on the small and that was way too big so i kept the xs. i have worn it a few time"&amp;"s and it does look great however i can only wear thin tops with it. recently i purchased the black, x-small and this i love. it?s looser then the green so i can get away with thicker tops. 
i do recommend both jackets. they are pricey for what")</f>
        <v>I purchased this jacket in green, x-small a while back and wasn?t 100% sure about it due to the size. i?m 5?3?, 117 lbs and a 33a and thought it was a little snug so i tried on the small and that was way too big so i kept the xs. i have worn it a few times and it does look great however i can only wear thin tops with it. recently i purchased the black, x-small and this i love. it?s looser then the green so i can get away with thicker tops. 
i do recommend both jackets. they are pricey for what</v>
      </c>
      <c r="F424" s="13">
        <f>IFERROR(__xludf.DUMMYFUNCTION("""COMPUTED_VALUE"""),5.0)</f>
        <v>5</v>
      </c>
      <c r="G424" s="13">
        <f>IFERROR(__xludf.DUMMYFUNCTION("""COMPUTED_VALUE"""),1.0)</f>
        <v>1</v>
      </c>
      <c r="H424" s="13">
        <f>IFERROR(__xludf.DUMMYFUNCTION("""COMPUTED_VALUE"""),2.0)</f>
        <v>2</v>
      </c>
      <c r="I424" s="13" t="str">
        <f>IFERROR(__xludf.DUMMYFUNCTION("""COMPUTED_VALUE"""),"General")</f>
        <v>General</v>
      </c>
      <c r="J424" s="13" t="str">
        <f>IFERROR(__xludf.DUMMYFUNCTION("""COMPUTED_VALUE"""),"Jackets")</f>
        <v>Jackets</v>
      </c>
      <c r="K424" s="13" t="str">
        <f>IFERROR(__xludf.DUMMYFUNCTION("""COMPUTED_VALUE"""),"Jackets")</f>
        <v>Jackets</v>
      </c>
      <c r="L424" s="13"/>
    </row>
    <row r="425">
      <c r="A425" s="13">
        <f>IFERROR(__xludf.DUMMYFUNCTION("""COMPUTED_VALUE"""),423.0)</f>
        <v>423</v>
      </c>
      <c r="B425" s="13">
        <f>IFERROR(__xludf.DUMMYFUNCTION("""COMPUTED_VALUE"""),1089.0)</f>
        <v>1089</v>
      </c>
      <c r="C425" s="13">
        <f>IFERROR(__xludf.DUMMYFUNCTION("""COMPUTED_VALUE"""),39.0)</f>
        <v>39</v>
      </c>
      <c r="D425" s="12" t="str">
        <f>IFERROR(__xludf.DUMMYFUNCTION("""COMPUTED_VALUE"""),"Small boobies only")</f>
        <v>Small boobies only</v>
      </c>
      <c r="E425" s="12" t="str">
        <f>IFERROR(__xludf.DUMMYFUNCTION("""COMPUTED_VALUE"""),"I love this dress, i mean it si really pretty in person, however, the breast area is just too small... i can't wear a bra with it, and my ""older"" breasts just droop, not flattering. they are barely covered... i am a bit disappointed at that, but if you "&amp;"are smaller up there, i say give it a try... i am 115 lbs, 26.5 ion waist, 30dd and xs petite was great everywhere but chest.
colors and fabric are great, i love that the different colors are different types of fabric... too bad.")</f>
        <v>I love this dress, i mean it si really pretty in person, however, the breast area is just too small... i can't wear a bra with it, and my "older" breasts just droop, not flattering. they are barely covered... i am a bit disappointed at that, but if you are smaller up there, i say give it a try... i am 115 lbs, 26.5 ion waist, 30dd and xs petite was great everywhere but chest.
colors and fabric are great, i love that the different colors are different types of fabric... too bad.</v>
      </c>
      <c r="F425" s="13">
        <f>IFERROR(__xludf.DUMMYFUNCTION("""COMPUTED_VALUE"""),3.0)</f>
        <v>3</v>
      </c>
      <c r="G425" s="13">
        <f>IFERROR(__xludf.DUMMYFUNCTION("""COMPUTED_VALUE"""),1.0)</f>
        <v>1</v>
      </c>
      <c r="H425" s="13">
        <f>IFERROR(__xludf.DUMMYFUNCTION("""COMPUTED_VALUE"""),1.0)</f>
        <v>1</v>
      </c>
      <c r="I425" s="13" t="str">
        <f>IFERROR(__xludf.DUMMYFUNCTION("""COMPUTED_VALUE"""),"General Petite")</f>
        <v>General Petite</v>
      </c>
      <c r="J425" s="13" t="str">
        <f>IFERROR(__xludf.DUMMYFUNCTION("""COMPUTED_VALUE"""),"Dresses")</f>
        <v>Dresses</v>
      </c>
      <c r="K425" s="13" t="str">
        <f>IFERROR(__xludf.DUMMYFUNCTION("""COMPUTED_VALUE"""),"Dresses")</f>
        <v>Dresses</v>
      </c>
      <c r="L425" s="13"/>
    </row>
    <row r="426">
      <c r="A426" s="13">
        <f>IFERROR(__xludf.DUMMYFUNCTION("""COMPUTED_VALUE"""),424.0)</f>
        <v>424</v>
      </c>
      <c r="B426" s="13">
        <f>IFERROR(__xludf.DUMMYFUNCTION("""COMPUTED_VALUE"""),872.0)</f>
        <v>872</v>
      </c>
      <c r="C426" s="13">
        <f>IFERROR(__xludf.DUMMYFUNCTION("""COMPUTED_VALUE"""),22.0)</f>
        <v>22</v>
      </c>
      <c r="D426" s="12" t="str">
        <f>IFERROR(__xludf.DUMMYFUNCTION("""COMPUTED_VALUE"""),"Love the lace up design!")</f>
        <v>Love the lace up design!</v>
      </c>
      <c r="E426" s="12" t="str">
        <f>IFERROR(__xludf.DUMMYFUNCTION("""COMPUTED_VALUE"""),"I love the lace up design and bought the red xsp, fabric is a bit thin and mediocre quality, but over all happy with purchase. wish this top came in navy and white as well. even a navy/white stripe would be a fun option too. thanks you for offering this t"&amp;"op in a petite size. :)")</f>
        <v>I love the lace up design and bought the red xsp, fabric is a bit thin and mediocre quality, but over all happy with purchase. wish this top came in navy and white as well. even a navy/white stripe would be a fun option too. thanks you for offering this top in a petite size. :)</v>
      </c>
      <c r="F426" s="13">
        <f>IFERROR(__xludf.DUMMYFUNCTION("""COMPUTED_VALUE"""),4.0)</f>
        <v>4</v>
      </c>
      <c r="G426" s="13">
        <f>IFERROR(__xludf.DUMMYFUNCTION("""COMPUTED_VALUE"""),1.0)</f>
        <v>1</v>
      </c>
      <c r="H426" s="13">
        <f>IFERROR(__xludf.DUMMYFUNCTION("""COMPUTED_VALUE"""),1.0)</f>
        <v>1</v>
      </c>
      <c r="I426" s="13" t="str">
        <f>IFERROR(__xludf.DUMMYFUNCTION("""COMPUTED_VALUE"""),"General")</f>
        <v>General</v>
      </c>
      <c r="J426" s="13" t="str">
        <f>IFERROR(__xludf.DUMMYFUNCTION("""COMPUTED_VALUE"""),"Tops")</f>
        <v>Tops</v>
      </c>
      <c r="K426" s="13" t="str">
        <f>IFERROR(__xludf.DUMMYFUNCTION("""COMPUTED_VALUE"""),"Knits")</f>
        <v>Knits</v>
      </c>
      <c r="L426" s="13"/>
    </row>
    <row r="427">
      <c r="A427" s="13">
        <f>IFERROR(__xludf.DUMMYFUNCTION("""COMPUTED_VALUE"""),425.0)</f>
        <v>425</v>
      </c>
      <c r="B427" s="13">
        <f>IFERROR(__xludf.DUMMYFUNCTION("""COMPUTED_VALUE"""),1083.0)</f>
        <v>1083</v>
      </c>
      <c r="C427" s="13">
        <f>IFERROR(__xludf.DUMMYFUNCTION("""COMPUTED_VALUE"""),50.0)</f>
        <v>50</v>
      </c>
      <c r="D427" s="12"/>
      <c r="E427" s="12"/>
      <c r="F427" s="13">
        <f>IFERROR(__xludf.DUMMYFUNCTION("""COMPUTED_VALUE"""),5.0)</f>
        <v>5</v>
      </c>
      <c r="G427" s="13">
        <f>IFERROR(__xludf.DUMMYFUNCTION("""COMPUTED_VALUE"""),1.0)</f>
        <v>1</v>
      </c>
      <c r="H427" s="13">
        <f>IFERROR(__xludf.DUMMYFUNCTION("""COMPUTED_VALUE"""),0.0)</f>
        <v>0</v>
      </c>
      <c r="I427" s="13" t="str">
        <f>IFERROR(__xludf.DUMMYFUNCTION("""COMPUTED_VALUE"""),"General")</f>
        <v>General</v>
      </c>
      <c r="J427" s="13" t="str">
        <f>IFERROR(__xludf.DUMMYFUNCTION("""COMPUTED_VALUE"""),"Dresses")</f>
        <v>Dresses</v>
      </c>
      <c r="K427" s="13" t="str">
        <f>IFERROR(__xludf.DUMMYFUNCTION("""COMPUTED_VALUE"""),"Dresses")</f>
        <v>Dresses</v>
      </c>
      <c r="L427" s="13"/>
    </row>
    <row r="428">
      <c r="A428" s="13">
        <f>IFERROR(__xludf.DUMMYFUNCTION("""COMPUTED_VALUE"""),426.0)</f>
        <v>426</v>
      </c>
      <c r="B428" s="13">
        <f>IFERROR(__xludf.DUMMYFUNCTION("""COMPUTED_VALUE"""),829.0)</f>
        <v>829</v>
      </c>
      <c r="C428" s="13">
        <f>IFERROR(__xludf.DUMMYFUNCTION("""COMPUTED_VALUE"""),33.0)</f>
        <v>33</v>
      </c>
      <c r="D428" s="12" t="str">
        <f>IFERROR(__xludf.DUMMYFUNCTION("""COMPUTED_VALUE"""),"Disappointed")</f>
        <v>Disappointed</v>
      </c>
      <c r="E428" s="12" t="str">
        <f>IFERROR(__xludf.DUMMYFUNCTION("""COMPUTED_VALUE"""),"I got this shirt in the mail today and was really excited to try it on. other reviewers said that it ran large so i ordered a size down and it fit perfect. i looked in the mirror and noticed the ruffles were misaligned and obviously so. i want to exchange"&amp;" it in the store but seeing that the size is not longer available online, i'm not really sure i'll find another one in my size.")</f>
        <v>I got this shirt in the mail today and was really excited to try it on. other reviewers said that it ran large so i ordered a size down and it fit perfect. i looked in the mirror and noticed the ruffles were misaligned and obviously so. i want to exchange it in the store but seeing that the size is not longer available online, i'm not really sure i'll find another one in my size.</v>
      </c>
      <c r="F428" s="13">
        <f>IFERROR(__xludf.DUMMYFUNCTION("""COMPUTED_VALUE"""),4.0)</f>
        <v>4</v>
      </c>
      <c r="G428" s="13">
        <f>IFERROR(__xludf.DUMMYFUNCTION("""COMPUTED_VALUE"""),1.0)</f>
        <v>1</v>
      </c>
      <c r="H428" s="13">
        <f>IFERROR(__xludf.DUMMYFUNCTION("""COMPUTED_VALUE"""),0.0)</f>
        <v>0</v>
      </c>
      <c r="I428" s="13" t="str">
        <f>IFERROR(__xludf.DUMMYFUNCTION("""COMPUTED_VALUE"""),"General")</f>
        <v>General</v>
      </c>
      <c r="J428" s="13" t="str">
        <f>IFERROR(__xludf.DUMMYFUNCTION("""COMPUTED_VALUE"""),"Tops")</f>
        <v>Tops</v>
      </c>
      <c r="K428" s="13" t="str">
        <f>IFERROR(__xludf.DUMMYFUNCTION("""COMPUTED_VALUE"""),"Blouses")</f>
        <v>Blouses</v>
      </c>
      <c r="L428" s="13"/>
    </row>
    <row r="429">
      <c r="A429" s="13">
        <f>IFERROR(__xludf.DUMMYFUNCTION("""COMPUTED_VALUE"""),427.0)</f>
        <v>427</v>
      </c>
      <c r="B429" s="13">
        <f>IFERROR(__xludf.DUMMYFUNCTION("""COMPUTED_VALUE"""),964.0)</f>
        <v>964</v>
      </c>
      <c r="C429" s="13">
        <f>IFERROR(__xludf.DUMMYFUNCTION("""COMPUTED_VALUE"""),33.0)</f>
        <v>33</v>
      </c>
      <c r="D429" s="12" t="str">
        <f>IFERROR(__xludf.DUMMYFUNCTION("""COMPUTED_VALUE"""),"Very chic")</f>
        <v>Very chic</v>
      </c>
      <c r="E429" s="12" t="str">
        <f>IFERROR(__xludf.DUMMYFUNCTION("""COMPUTED_VALUE"""),"I love this jacket over a dress! it's snug fitting so can't wear anything bulky under it, but super stylish and comfy stretchy material. it's a bit pricey but i get a lot of wear out of it so worth it to me.")</f>
        <v>I love this jacket over a dress! it's snug fitting so can't wear anything bulky under it, but super stylish and comfy stretchy material. it's a bit pricey but i get a lot of wear out of it so worth it to me.</v>
      </c>
      <c r="F429" s="13">
        <f>IFERROR(__xludf.DUMMYFUNCTION("""COMPUTED_VALUE"""),5.0)</f>
        <v>5</v>
      </c>
      <c r="G429" s="13">
        <f>IFERROR(__xludf.DUMMYFUNCTION("""COMPUTED_VALUE"""),1.0)</f>
        <v>1</v>
      </c>
      <c r="H429" s="13">
        <f>IFERROR(__xludf.DUMMYFUNCTION("""COMPUTED_VALUE"""),0.0)</f>
        <v>0</v>
      </c>
      <c r="I429" s="13" t="str">
        <f>IFERROR(__xludf.DUMMYFUNCTION("""COMPUTED_VALUE"""),"General")</f>
        <v>General</v>
      </c>
      <c r="J429" s="13" t="str">
        <f>IFERROR(__xludf.DUMMYFUNCTION("""COMPUTED_VALUE"""),"Jackets")</f>
        <v>Jackets</v>
      </c>
      <c r="K429" s="13" t="str">
        <f>IFERROR(__xludf.DUMMYFUNCTION("""COMPUTED_VALUE"""),"Jackets")</f>
        <v>Jackets</v>
      </c>
      <c r="L429" s="13"/>
    </row>
    <row r="430">
      <c r="A430" s="13">
        <f>IFERROR(__xludf.DUMMYFUNCTION("""COMPUTED_VALUE"""),428.0)</f>
        <v>428</v>
      </c>
      <c r="B430" s="13">
        <f>IFERROR(__xludf.DUMMYFUNCTION("""COMPUTED_VALUE"""),1089.0)</f>
        <v>1089</v>
      </c>
      <c r="C430" s="13">
        <f>IFERROR(__xludf.DUMMYFUNCTION("""COMPUTED_VALUE"""),38.0)</f>
        <v>38</v>
      </c>
      <c r="D430" s="12"/>
      <c r="E430" s="12" t="str">
        <f>IFERROR(__xludf.DUMMYFUNCTION("""COMPUTED_VALUE"""),"I'm 5'1 and 110 lbs.  i ordered this in a xsp and i could barely zip it up.  and when i did i couldn't breathe. i tried again and ordered a sp and it's perfect! now i just need somewhere to wear it.")</f>
        <v>I'm 5'1 and 110 lbs.  i ordered this in a xsp and i could barely zip it up.  and when i did i couldn't breathe. i tried again and ordered a sp and it's perfect! now i just need somewhere to wear it.</v>
      </c>
      <c r="F430" s="13">
        <f>IFERROR(__xludf.DUMMYFUNCTION("""COMPUTED_VALUE"""),5.0)</f>
        <v>5</v>
      </c>
      <c r="G430" s="13">
        <f>IFERROR(__xludf.DUMMYFUNCTION("""COMPUTED_VALUE"""),1.0)</f>
        <v>1</v>
      </c>
      <c r="H430" s="13">
        <f>IFERROR(__xludf.DUMMYFUNCTION("""COMPUTED_VALUE"""),0.0)</f>
        <v>0</v>
      </c>
      <c r="I430" s="13" t="str">
        <f>IFERROR(__xludf.DUMMYFUNCTION("""COMPUTED_VALUE"""),"General Petite")</f>
        <v>General Petite</v>
      </c>
      <c r="J430" s="13" t="str">
        <f>IFERROR(__xludf.DUMMYFUNCTION("""COMPUTED_VALUE"""),"Dresses")</f>
        <v>Dresses</v>
      </c>
      <c r="K430" s="13" t="str">
        <f>IFERROR(__xludf.DUMMYFUNCTION("""COMPUTED_VALUE"""),"Dresses")</f>
        <v>Dresses</v>
      </c>
      <c r="L430" s="13"/>
    </row>
    <row r="431">
      <c r="A431" s="13">
        <f>IFERROR(__xludf.DUMMYFUNCTION("""COMPUTED_VALUE"""),429.0)</f>
        <v>429</v>
      </c>
      <c r="B431" s="13">
        <f>IFERROR(__xludf.DUMMYFUNCTION("""COMPUTED_VALUE"""),829.0)</f>
        <v>829</v>
      </c>
      <c r="C431" s="13">
        <f>IFERROR(__xludf.DUMMYFUNCTION("""COMPUTED_VALUE"""),32.0)</f>
        <v>32</v>
      </c>
      <c r="D431" s="12"/>
      <c r="E431" s="12" t="str">
        <f>IFERROR(__xludf.DUMMYFUNCTION("""COMPUTED_VALUE"""),"Beautiful shirt, hits me a little higher. i'm not sure i'm going to keep it just because i have something similar but its a beautiful top. i'm 5'6"" and carrying a little extra baby weight right now so i'm an 8-10 instead of my usual 6-8. i ordered an 8 a"&amp;"nd it fit well.")</f>
        <v>Beautiful shirt, hits me a little higher. i'm not sure i'm going to keep it just because i have something similar but its a beautiful top. i'm 5'6" and carrying a little extra baby weight right now so i'm an 8-10 instead of my usual 6-8. i ordered an 8 and it fit well.</v>
      </c>
      <c r="F431" s="13">
        <f>IFERROR(__xludf.DUMMYFUNCTION("""COMPUTED_VALUE"""),5.0)</f>
        <v>5</v>
      </c>
      <c r="G431" s="13">
        <f>IFERROR(__xludf.DUMMYFUNCTION("""COMPUTED_VALUE"""),1.0)</f>
        <v>1</v>
      </c>
      <c r="H431" s="13">
        <f>IFERROR(__xludf.DUMMYFUNCTION("""COMPUTED_VALUE"""),0.0)</f>
        <v>0</v>
      </c>
      <c r="I431" s="13" t="str">
        <f>IFERROR(__xludf.DUMMYFUNCTION("""COMPUTED_VALUE"""),"General")</f>
        <v>General</v>
      </c>
      <c r="J431" s="13" t="str">
        <f>IFERROR(__xludf.DUMMYFUNCTION("""COMPUTED_VALUE"""),"Tops")</f>
        <v>Tops</v>
      </c>
      <c r="K431" s="13" t="str">
        <f>IFERROR(__xludf.DUMMYFUNCTION("""COMPUTED_VALUE"""),"Blouses")</f>
        <v>Blouses</v>
      </c>
      <c r="L431" s="13"/>
    </row>
    <row r="432">
      <c r="A432" s="13">
        <f>IFERROR(__xludf.DUMMYFUNCTION("""COMPUTED_VALUE"""),430.0)</f>
        <v>430</v>
      </c>
      <c r="B432" s="13">
        <f>IFERROR(__xludf.DUMMYFUNCTION("""COMPUTED_VALUE"""),829.0)</f>
        <v>829</v>
      </c>
      <c r="C432" s="13">
        <f>IFERROR(__xludf.DUMMYFUNCTION("""COMPUTED_VALUE"""),51.0)</f>
        <v>51</v>
      </c>
      <c r="D432" s="12" t="str">
        <f>IFERROR(__xludf.DUMMYFUNCTION("""COMPUTED_VALUE"""),"Beautiful and versatile top!")</f>
        <v>Beautiful and versatile top!</v>
      </c>
      <c r="E432" s="12" t="str">
        <f>IFERROR(__xludf.DUMMYFUNCTION("""COMPUTED_VALUE"""),"I love this blouse because it's great for work with cardigan over it, and great for going out with skirt, pants or jeans. it is tts and very flattering, light weight, and comfortable.")</f>
        <v>I love this blouse because it's great for work with cardigan over it, and great for going out with skirt, pants or jeans. it is tts and very flattering, light weight, and comfortable.</v>
      </c>
      <c r="F432" s="13">
        <f>IFERROR(__xludf.DUMMYFUNCTION("""COMPUTED_VALUE"""),5.0)</f>
        <v>5</v>
      </c>
      <c r="G432" s="13">
        <f>IFERROR(__xludf.DUMMYFUNCTION("""COMPUTED_VALUE"""),1.0)</f>
        <v>1</v>
      </c>
      <c r="H432" s="13">
        <f>IFERROR(__xludf.DUMMYFUNCTION("""COMPUTED_VALUE"""),0.0)</f>
        <v>0</v>
      </c>
      <c r="I432" s="13" t="str">
        <f>IFERROR(__xludf.DUMMYFUNCTION("""COMPUTED_VALUE"""),"General")</f>
        <v>General</v>
      </c>
      <c r="J432" s="13" t="str">
        <f>IFERROR(__xludf.DUMMYFUNCTION("""COMPUTED_VALUE"""),"Tops")</f>
        <v>Tops</v>
      </c>
      <c r="K432" s="13" t="str">
        <f>IFERROR(__xludf.DUMMYFUNCTION("""COMPUTED_VALUE"""),"Blouses")</f>
        <v>Blouses</v>
      </c>
      <c r="L432" s="13"/>
    </row>
    <row r="433">
      <c r="A433" s="13">
        <f>IFERROR(__xludf.DUMMYFUNCTION("""COMPUTED_VALUE"""),431.0)</f>
        <v>431</v>
      </c>
      <c r="B433" s="13">
        <f>IFERROR(__xludf.DUMMYFUNCTION("""COMPUTED_VALUE"""),967.0)</f>
        <v>967</v>
      </c>
      <c r="C433" s="13">
        <f>IFERROR(__xludf.DUMMYFUNCTION("""COMPUTED_VALUE"""),56.0)</f>
        <v>56</v>
      </c>
      <c r="D433" s="12" t="str">
        <f>IFERROR(__xludf.DUMMYFUNCTION("""COMPUTED_VALUE"""),"So pretty and soft")</f>
        <v>So pretty and soft</v>
      </c>
      <c r="E433" s="12" t="str">
        <f>IFERROR(__xludf.DUMMYFUNCTION("""COMPUTED_VALUE"""),"I happened upon this in my local store despite the fact that it is an online exclusive. i love finding returns so i can see them in person. i loved the soft colors right away. my hesitation was the standup collar but it actually folds down just fine and g"&amp;"ives the vest lapels too. it also looks nice belted, left slightly open. i usually wear small or xs in tops and the small fits nicely. it doesn't need to close since there are no built-in fasteners. i will wear it with a long button down shirt o")</f>
        <v>I happened upon this in my local store despite the fact that it is an online exclusive. i love finding returns so i can see them in person. i loved the soft colors right away. my hesitation was the standup collar but it actually folds down just fine and gives the vest lapels too. it also looks nice belted, left slightly open. i usually wear small or xs in tops and the small fits nicely. it doesn't need to close since there are no built-in fasteners. i will wear it with a long button down shirt o</v>
      </c>
      <c r="F433" s="13">
        <f>IFERROR(__xludf.DUMMYFUNCTION("""COMPUTED_VALUE"""),5.0)</f>
        <v>5</v>
      </c>
      <c r="G433" s="13">
        <f>IFERROR(__xludf.DUMMYFUNCTION("""COMPUTED_VALUE"""),1.0)</f>
        <v>1</v>
      </c>
      <c r="H433" s="13">
        <f>IFERROR(__xludf.DUMMYFUNCTION("""COMPUTED_VALUE"""),1.0)</f>
        <v>1</v>
      </c>
      <c r="I433" s="13" t="str">
        <f>IFERROR(__xludf.DUMMYFUNCTION("""COMPUTED_VALUE"""),"General")</f>
        <v>General</v>
      </c>
      <c r="J433" s="13" t="str">
        <f>IFERROR(__xludf.DUMMYFUNCTION("""COMPUTED_VALUE"""),"Jackets")</f>
        <v>Jackets</v>
      </c>
      <c r="K433" s="13" t="str">
        <f>IFERROR(__xludf.DUMMYFUNCTION("""COMPUTED_VALUE"""),"Jackets")</f>
        <v>Jackets</v>
      </c>
      <c r="L433" s="13"/>
    </row>
    <row r="434">
      <c r="A434" s="13">
        <f>IFERROR(__xludf.DUMMYFUNCTION("""COMPUTED_VALUE"""),432.0)</f>
        <v>432</v>
      </c>
      <c r="B434" s="13">
        <f>IFERROR(__xludf.DUMMYFUNCTION("""COMPUTED_VALUE"""),829.0)</f>
        <v>829</v>
      </c>
      <c r="C434" s="13">
        <f>IFERROR(__xludf.DUMMYFUNCTION("""COMPUTED_VALUE"""),38.0)</f>
        <v>38</v>
      </c>
      <c r="D434" s="12" t="str">
        <f>IFERROR(__xludf.DUMMYFUNCTION("""COMPUTED_VALUE"""),"Great for work or fun")</f>
        <v>Great for work or fun</v>
      </c>
      <c r="E434" s="12" t="str">
        <f>IFERROR(__xludf.DUMMYFUNCTION("""COMPUTED_VALUE"""),"I found this to fit tts. i sometimes wear petite, but found the petite sizing to be a little off. i have a pretty short torso, but found the petite to be too short. i opted for the regular sizing and got a 6; it fits great. this top is great for work (sty"&amp;"led with a cardigan or blazer) or for play. i can see it dressing up or down very easily.")</f>
        <v>I found this to fit tts. i sometimes wear petite, but found the petite sizing to be a little off. i have a pretty short torso, but found the petite to be too short. i opted for the regular sizing and got a 6; it fits great. this top is great for work (styled with a cardigan or blazer) or for play. i can see it dressing up or down very easily.</v>
      </c>
      <c r="F434" s="13">
        <f>IFERROR(__xludf.DUMMYFUNCTION("""COMPUTED_VALUE"""),4.0)</f>
        <v>4</v>
      </c>
      <c r="G434" s="13">
        <f>IFERROR(__xludf.DUMMYFUNCTION("""COMPUTED_VALUE"""),1.0)</f>
        <v>1</v>
      </c>
      <c r="H434" s="13">
        <f>IFERROR(__xludf.DUMMYFUNCTION("""COMPUTED_VALUE"""),2.0)</f>
        <v>2</v>
      </c>
      <c r="I434" s="13" t="str">
        <f>IFERROR(__xludf.DUMMYFUNCTION("""COMPUTED_VALUE"""),"General")</f>
        <v>General</v>
      </c>
      <c r="J434" s="13" t="str">
        <f>IFERROR(__xludf.DUMMYFUNCTION("""COMPUTED_VALUE"""),"Tops")</f>
        <v>Tops</v>
      </c>
      <c r="K434" s="13" t="str">
        <f>IFERROR(__xludf.DUMMYFUNCTION("""COMPUTED_VALUE"""),"Blouses")</f>
        <v>Blouses</v>
      </c>
      <c r="L434" s="13"/>
    </row>
    <row r="435">
      <c r="A435" s="13">
        <f>IFERROR(__xludf.DUMMYFUNCTION("""COMPUTED_VALUE"""),433.0)</f>
        <v>433</v>
      </c>
      <c r="B435" s="13">
        <f>IFERROR(__xludf.DUMMYFUNCTION("""COMPUTED_VALUE"""),829.0)</f>
        <v>829</v>
      </c>
      <c r="C435" s="13">
        <f>IFERROR(__xludf.DUMMYFUNCTION("""COMPUTED_VALUE"""),35.0)</f>
        <v>35</v>
      </c>
      <c r="D435" s="12" t="str">
        <f>IFERROR(__xludf.DUMMYFUNCTION("""COMPUTED_VALUE"""),"Perfect shirt for work or night out.")</f>
        <v>Perfect shirt for work or night out.</v>
      </c>
      <c r="E435" s="12" t="str">
        <f>IFERROR(__xludf.DUMMYFUNCTION("""COMPUTED_VALUE"""),"I ordered the mustard yellow in 10 and found the shirt to fit true to size. it works great with a skirt and with jeans but i did need to wear it with high rise jeans otherwise it came right to the top of my normal jeans and i didn't want to risk showing a"&amp;"ny skin at work. 
the color is amazing and looks good with just about any color bottom so there is a lot of room to have fun with the top. 
being larger on top the ruffles did not bother me at all, but rather act like an accessory - i find")</f>
        <v>I ordered the mustard yellow in 10 and found the shirt to fit true to size. it works great with a skirt and with jeans but i did need to wear it with high rise jeans otherwise it came right to the top of my normal jeans and i didn't want to risk showing any skin at work. 
the color is amazing and looks good with just about any color bottom so there is a lot of room to have fun with the top. 
being larger on top the ruffles did not bother me at all, but rather act like an accessory - i find</v>
      </c>
      <c r="F435" s="13">
        <f>IFERROR(__xludf.DUMMYFUNCTION("""COMPUTED_VALUE"""),4.0)</f>
        <v>4</v>
      </c>
      <c r="G435" s="13">
        <f>IFERROR(__xludf.DUMMYFUNCTION("""COMPUTED_VALUE"""),1.0)</f>
        <v>1</v>
      </c>
      <c r="H435" s="13">
        <f>IFERROR(__xludf.DUMMYFUNCTION("""COMPUTED_VALUE"""),0.0)</f>
        <v>0</v>
      </c>
      <c r="I435" s="13" t="str">
        <f>IFERROR(__xludf.DUMMYFUNCTION("""COMPUTED_VALUE"""),"General")</f>
        <v>General</v>
      </c>
      <c r="J435" s="13" t="str">
        <f>IFERROR(__xludf.DUMMYFUNCTION("""COMPUTED_VALUE"""),"Tops")</f>
        <v>Tops</v>
      </c>
      <c r="K435" s="13" t="str">
        <f>IFERROR(__xludf.DUMMYFUNCTION("""COMPUTED_VALUE"""),"Blouses")</f>
        <v>Blouses</v>
      </c>
      <c r="L435" s="13"/>
    </row>
    <row r="436">
      <c r="A436" s="13">
        <f>IFERROR(__xludf.DUMMYFUNCTION("""COMPUTED_VALUE"""),434.0)</f>
        <v>434</v>
      </c>
      <c r="B436" s="13">
        <f>IFERROR(__xludf.DUMMYFUNCTION("""COMPUTED_VALUE"""),872.0)</f>
        <v>872</v>
      </c>
      <c r="C436" s="13">
        <f>IFERROR(__xludf.DUMMYFUNCTION("""COMPUTED_VALUE"""),48.0)</f>
        <v>48</v>
      </c>
      <c r="D436" s="12" t="str">
        <f>IFERROR(__xludf.DUMMYFUNCTION("""COMPUTED_VALUE"""),"Flattering tee")</f>
        <v>Flattering tee</v>
      </c>
      <c r="E436" s="12" t="str">
        <f>IFERROR(__xludf.DUMMYFUNCTION("""COMPUTED_VALUE"""),"I just tried this top in red in xs and i think it's cute. it's fairly fitted in my opinion; the sleeves are pretty snug but there's stretch to them. i was fine with the fabric and the size xs (i'm ~105 lbs, 34aa) even though sometimes i fit better in xspe"&amp;"tite. the only downside is that the washing instructions say to remove the tie before machine washing, and i guess that put me off a little (the idea of re-lacing it every time). so i haven't yet bought it. the red is vibrant, tomato red and the")</f>
        <v>I just tried this top in red in xs and i think it's cute. it's fairly fitted in my opinion; the sleeves are pretty snug but there's stretch to them. i was fine with the fabric and the size xs (i'm ~105 lbs, 34aa) even though sometimes i fit better in xspetite. the only downside is that the washing instructions say to remove the tie before machine washing, and i guess that put me off a little (the idea of re-lacing it every time). so i haven't yet bought it. the red is vibrant, tomato red and the</v>
      </c>
      <c r="F436" s="13">
        <f>IFERROR(__xludf.DUMMYFUNCTION("""COMPUTED_VALUE"""),4.0)</f>
        <v>4</v>
      </c>
      <c r="G436" s="13">
        <f>IFERROR(__xludf.DUMMYFUNCTION("""COMPUTED_VALUE"""),1.0)</f>
        <v>1</v>
      </c>
      <c r="H436" s="13">
        <f>IFERROR(__xludf.DUMMYFUNCTION("""COMPUTED_VALUE"""),19.0)</f>
        <v>19</v>
      </c>
      <c r="I436" s="13" t="str">
        <f>IFERROR(__xludf.DUMMYFUNCTION("""COMPUTED_VALUE"""),"General")</f>
        <v>General</v>
      </c>
      <c r="J436" s="13" t="str">
        <f>IFERROR(__xludf.DUMMYFUNCTION("""COMPUTED_VALUE"""),"Tops")</f>
        <v>Tops</v>
      </c>
      <c r="K436" s="13" t="str">
        <f>IFERROR(__xludf.DUMMYFUNCTION("""COMPUTED_VALUE"""),"Knits")</f>
        <v>Knits</v>
      </c>
      <c r="L436" s="13"/>
    </row>
    <row r="437">
      <c r="A437" s="13">
        <f>IFERROR(__xludf.DUMMYFUNCTION("""COMPUTED_VALUE"""),435.0)</f>
        <v>435</v>
      </c>
      <c r="B437" s="13">
        <f>IFERROR(__xludf.DUMMYFUNCTION("""COMPUTED_VALUE"""),872.0)</f>
        <v>872</v>
      </c>
      <c r="C437" s="13">
        <f>IFERROR(__xludf.DUMMYFUNCTION("""COMPUTED_VALUE"""),31.0)</f>
        <v>31</v>
      </c>
      <c r="D437" s="12"/>
      <c r="E437" s="12" t="str">
        <f>IFERROR(__xludf.DUMMYFUNCTION("""COMPUTED_VALUE"""),"The cut of this shirt is lovely and well thought out, the opening for the arm are not too big like some other shirts. i liked the material and the melon/ salmon color which i ordered was more vibrant in person. this does run large so i wished i had ordere"&amp;"d one size down.")</f>
        <v>The cut of this shirt is lovely and well thought out, the opening for the arm are not too big like some other shirts. i liked the material and the melon/ salmon color which i ordered was more vibrant in person. this does run large so i wished i had ordered one size down.</v>
      </c>
      <c r="F437" s="13">
        <f>IFERROR(__xludf.DUMMYFUNCTION("""COMPUTED_VALUE"""),4.0)</f>
        <v>4</v>
      </c>
      <c r="G437" s="13">
        <f>IFERROR(__xludf.DUMMYFUNCTION("""COMPUTED_VALUE"""),1.0)</f>
        <v>1</v>
      </c>
      <c r="H437" s="13">
        <f>IFERROR(__xludf.DUMMYFUNCTION("""COMPUTED_VALUE"""),0.0)</f>
        <v>0</v>
      </c>
      <c r="I437" s="13" t="str">
        <f>IFERROR(__xludf.DUMMYFUNCTION("""COMPUTED_VALUE"""),"General")</f>
        <v>General</v>
      </c>
      <c r="J437" s="13" t="str">
        <f>IFERROR(__xludf.DUMMYFUNCTION("""COMPUTED_VALUE"""),"Tops")</f>
        <v>Tops</v>
      </c>
      <c r="K437" s="13" t="str">
        <f>IFERROR(__xludf.DUMMYFUNCTION("""COMPUTED_VALUE"""),"Knits")</f>
        <v>Knits</v>
      </c>
      <c r="L437" s="13"/>
    </row>
    <row r="438">
      <c r="A438" s="13">
        <f>IFERROR(__xludf.DUMMYFUNCTION("""COMPUTED_VALUE"""),436.0)</f>
        <v>436</v>
      </c>
      <c r="B438" s="13">
        <f>IFERROR(__xludf.DUMMYFUNCTION("""COMPUTED_VALUE"""),149.0)</f>
        <v>149</v>
      </c>
      <c r="C438" s="13">
        <f>IFERROR(__xludf.DUMMYFUNCTION("""COMPUTED_VALUE"""),38.0)</f>
        <v>38</v>
      </c>
      <c r="D438" s="12" t="str">
        <f>IFERROR(__xludf.DUMMYFUNCTION("""COMPUTED_VALUE"""),"So soft and comfy and fit for yoga!")</f>
        <v>So soft and comfy and fit for yoga!</v>
      </c>
      <c r="E438" s="12" t="str">
        <f>IFERROR(__xludf.DUMMYFUNCTION("""COMPUTED_VALUE"""),"5'6"" 113lbs purchased size small in rich navy. so soft and comfy and i like that the cuffs help the pants not ride (even during sleep). i like that the fit is slim but not constricting on legs as all my yoga pants. tested this at my local vinyasa class a"&amp;"nd it held up without making me too hot (and i sweat a lot).
my biggest complaint is that the fabric pills right out of the packaging. actually their tag says the fabric does this and over time will continue to do this more and more because of i")</f>
        <v>5'6" 113lbs purchased size small in rich navy. so soft and comfy and i like that the cuffs help the pants not ride (even during sleep). i like that the fit is slim but not constricting on legs as all my yoga pants. tested this at my local vinyasa class and it held up without making me too hot (and i sweat a lot).
my biggest complaint is that the fabric pills right out of the packaging. actually their tag says the fabric does this and over time will continue to do this more and more because of i</v>
      </c>
      <c r="F438" s="13">
        <f>IFERROR(__xludf.DUMMYFUNCTION("""COMPUTED_VALUE"""),4.0)</f>
        <v>4</v>
      </c>
      <c r="G438" s="13">
        <f>IFERROR(__xludf.DUMMYFUNCTION("""COMPUTED_VALUE"""),1.0)</f>
        <v>1</v>
      </c>
      <c r="H438" s="13">
        <f>IFERROR(__xludf.DUMMYFUNCTION("""COMPUTED_VALUE"""),1.0)</f>
        <v>1</v>
      </c>
      <c r="I438" s="13" t="str">
        <f>IFERROR(__xludf.DUMMYFUNCTION("""COMPUTED_VALUE"""),"Initmates")</f>
        <v>Initmates</v>
      </c>
      <c r="J438" s="13" t="str">
        <f>IFERROR(__xludf.DUMMYFUNCTION("""COMPUTED_VALUE"""),"Intimate")</f>
        <v>Intimate</v>
      </c>
      <c r="K438" s="13" t="str">
        <f>IFERROR(__xludf.DUMMYFUNCTION("""COMPUTED_VALUE"""),"Lounge")</f>
        <v>Lounge</v>
      </c>
      <c r="L438" s="13"/>
    </row>
    <row r="439">
      <c r="A439" s="13">
        <f>IFERROR(__xludf.DUMMYFUNCTION("""COMPUTED_VALUE"""),437.0)</f>
        <v>437</v>
      </c>
      <c r="B439" s="13">
        <f>IFERROR(__xludf.DUMMYFUNCTION("""COMPUTED_VALUE"""),964.0)</f>
        <v>964</v>
      </c>
      <c r="C439" s="13">
        <f>IFERROR(__xludf.DUMMYFUNCTION("""COMPUTED_VALUE"""),58.0)</f>
        <v>58</v>
      </c>
      <c r="D439" s="12" t="str">
        <f>IFERROR(__xludf.DUMMYFUNCTION("""COMPUTED_VALUE"""),"Funky and classy")</f>
        <v>Funky and classy</v>
      </c>
      <c r="E439" s="12" t="str">
        <f>IFERROR(__xludf.DUMMYFUNCTION("""COMPUTED_VALUE"""),"Great looking jacket with attitude. the color is more like a faded black or deep charcoal grey. i'm usually a large petite but this is snug in the chest. luckily it's a knit so i can make it work by zipping it partway and leaving the top half open.")</f>
        <v>Great looking jacket with attitude. the color is more like a faded black or deep charcoal grey. i'm usually a large petite but this is snug in the chest. luckily it's a knit so i can make it work by zipping it partway and leaving the top half open.</v>
      </c>
      <c r="F439" s="13">
        <f>IFERROR(__xludf.DUMMYFUNCTION("""COMPUTED_VALUE"""),5.0)</f>
        <v>5</v>
      </c>
      <c r="G439" s="13">
        <f>IFERROR(__xludf.DUMMYFUNCTION("""COMPUTED_VALUE"""),1.0)</f>
        <v>1</v>
      </c>
      <c r="H439" s="13">
        <f>IFERROR(__xludf.DUMMYFUNCTION("""COMPUTED_VALUE"""),4.0)</f>
        <v>4</v>
      </c>
      <c r="I439" s="13" t="str">
        <f>IFERROR(__xludf.DUMMYFUNCTION("""COMPUTED_VALUE"""),"General")</f>
        <v>General</v>
      </c>
      <c r="J439" s="13" t="str">
        <f>IFERROR(__xludf.DUMMYFUNCTION("""COMPUTED_VALUE"""),"Jackets")</f>
        <v>Jackets</v>
      </c>
      <c r="K439" s="13" t="str">
        <f>IFERROR(__xludf.DUMMYFUNCTION("""COMPUTED_VALUE"""),"Jackets")</f>
        <v>Jackets</v>
      </c>
      <c r="L439" s="13"/>
    </row>
    <row r="440">
      <c r="A440" s="13">
        <f>IFERROR(__xludf.DUMMYFUNCTION("""COMPUTED_VALUE"""),438.0)</f>
        <v>438</v>
      </c>
      <c r="B440" s="13">
        <f>IFERROR(__xludf.DUMMYFUNCTION("""COMPUTED_VALUE"""),1030.0)</f>
        <v>1030</v>
      </c>
      <c r="C440" s="13">
        <f>IFERROR(__xludf.DUMMYFUNCTION("""COMPUTED_VALUE"""),63.0)</f>
        <v>63</v>
      </c>
      <c r="D440" s="12" t="str">
        <f>IFERROR(__xludf.DUMMYFUNCTION("""COMPUTED_VALUE"""),"Really cute!")</f>
        <v>Really cute!</v>
      </c>
      <c r="E440" s="12" t="str">
        <f>IFERROR(__xludf.DUMMYFUNCTION("""COMPUTED_VALUE"""),"These jeans are so cute! they are perfect for petites too! i am fit, look way younger than my age and get so many compliments when i wear these jeans. i'm. i'm 5'2"", 115 libs and they definitely fit tight in a good way. just like the photo pretty much. t"&amp;"hey are not small like the white mother ankle fray jeans for sale on the site now. those definitely run smaller so these are true to size with a tight fit.")</f>
        <v>These jeans are so cute! they are perfect for petites too! i am fit, look way younger than my age and get so many compliments when i wear these jeans. i'm. i'm 5'2", 115 libs and they definitely fit tight in a good way. just like the photo pretty much. they are not small like the white mother ankle fray jeans for sale on the site now. those definitely run smaller so these are true to size with a tight fit.</v>
      </c>
      <c r="F440" s="13">
        <f>IFERROR(__xludf.DUMMYFUNCTION("""COMPUTED_VALUE"""),5.0)</f>
        <v>5</v>
      </c>
      <c r="G440" s="13">
        <f>IFERROR(__xludf.DUMMYFUNCTION("""COMPUTED_VALUE"""),1.0)</f>
        <v>1</v>
      </c>
      <c r="H440" s="13">
        <f>IFERROR(__xludf.DUMMYFUNCTION("""COMPUTED_VALUE"""),1.0)</f>
        <v>1</v>
      </c>
      <c r="I440" s="13" t="str">
        <f>IFERROR(__xludf.DUMMYFUNCTION("""COMPUTED_VALUE"""),"General")</f>
        <v>General</v>
      </c>
      <c r="J440" s="13" t="str">
        <f>IFERROR(__xludf.DUMMYFUNCTION("""COMPUTED_VALUE"""),"Bottoms")</f>
        <v>Bottoms</v>
      </c>
      <c r="K440" s="13" t="str">
        <f>IFERROR(__xludf.DUMMYFUNCTION("""COMPUTED_VALUE"""),"Jeans")</f>
        <v>Jeans</v>
      </c>
      <c r="L440" s="13"/>
    </row>
    <row r="441">
      <c r="A441" s="13">
        <f>IFERROR(__xludf.DUMMYFUNCTION("""COMPUTED_VALUE"""),439.0)</f>
        <v>439</v>
      </c>
      <c r="B441" s="13">
        <f>IFERROR(__xludf.DUMMYFUNCTION("""COMPUTED_VALUE"""),964.0)</f>
        <v>964</v>
      </c>
      <c r="C441" s="13">
        <f>IFERROR(__xludf.DUMMYFUNCTION("""COMPUTED_VALUE"""),40.0)</f>
        <v>40</v>
      </c>
      <c r="D441" s="12" t="str">
        <f>IFERROR(__xludf.DUMMYFUNCTION("""COMPUTED_VALUE"""),"Love. this. jacket.")</f>
        <v>Love. this. jacket.</v>
      </c>
      <c r="E441" s="12" t="str">
        <f>IFERROR(__xludf.DUMMYFUNCTION("""COMPUTED_VALUE"""),"I live in los angeles and this is the perfect beginning of fall jacket! i've worn it with dresses and with jeans. definitely has enough extra room to slip a hoodie or small seater on underneath when it gets colder. it's soft and stylish. the only downside"&amp;" is that the pockets aren't really deep enough to put anything in.")</f>
        <v>I live in los angeles and this is the perfect beginning of fall jacket! i've worn it with dresses and with jeans. definitely has enough extra room to slip a hoodie or small seater on underneath when it gets colder. it's soft and stylish. the only downside is that the pockets aren't really deep enough to put anything in.</v>
      </c>
      <c r="F441" s="13">
        <f>IFERROR(__xludf.DUMMYFUNCTION("""COMPUTED_VALUE"""),5.0)</f>
        <v>5</v>
      </c>
      <c r="G441" s="13">
        <f>IFERROR(__xludf.DUMMYFUNCTION("""COMPUTED_VALUE"""),1.0)</f>
        <v>1</v>
      </c>
      <c r="H441" s="13">
        <f>IFERROR(__xludf.DUMMYFUNCTION("""COMPUTED_VALUE"""),5.0)</f>
        <v>5</v>
      </c>
      <c r="I441" s="13" t="str">
        <f>IFERROR(__xludf.DUMMYFUNCTION("""COMPUTED_VALUE"""),"General")</f>
        <v>General</v>
      </c>
      <c r="J441" s="13" t="str">
        <f>IFERROR(__xludf.DUMMYFUNCTION("""COMPUTED_VALUE"""),"Jackets")</f>
        <v>Jackets</v>
      </c>
      <c r="K441" s="13" t="str">
        <f>IFERROR(__xludf.DUMMYFUNCTION("""COMPUTED_VALUE"""),"Jackets")</f>
        <v>Jackets</v>
      </c>
      <c r="L441" s="13"/>
    </row>
    <row r="442">
      <c r="A442" s="13">
        <f>IFERROR(__xludf.DUMMYFUNCTION("""COMPUTED_VALUE"""),440.0)</f>
        <v>440</v>
      </c>
      <c r="B442" s="13">
        <f>IFERROR(__xludf.DUMMYFUNCTION("""COMPUTED_VALUE"""),1083.0)</f>
        <v>1083</v>
      </c>
      <c r="C442" s="13">
        <f>IFERROR(__xludf.DUMMYFUNCTION("""COMPUTED_VALUE"""),41.0)</f>
        <v>41</v>
      </c>
      <c r="D442" s="12" t="str">
        <f>IFERROR(__xludf.DUMMYFUNCTION("""COMPUTED_VALUE"""),"Bunches up weirdly in the front")</f>
        <v>Bunches up weirdly in the front</v>
      </c>
      <c r="E442" s="12" t="str">
        <f>IFERROR(__xludf.DUMMYFUNCTION("""COMPUTED_VALUE"""),"I loved this dress as soon as i tried it on, but... it bunched up weird in the front around my hips. i ordered a second size 4, hoping that it would fit better. but same thing. if i tried to go to a size 6 it would be too big every where else. fyi - i'm 5"&amp;"'8"" 129lbs and i'm a runner. it's not like i have a huge backside or anything. my guess is sizing is off. i've tried another of his dresses and it fit perfectly.")</f>
        <v>I loved this dress as soon as i tried it on, but... it bunched up weird in the front around my hips. i ordered a second size 4, hoping that it would fit better. but same thing. if i tried to go to a size 6 it would be too big every where else. fyi - i'm 5'8" 129lbs and i'm a runner. it's not like i have a huge backside or anything. my guess is sizing is off. i've tried another of his dresses and it fit perfectly.</v>
      </c>
      <c r="F442" s="13">
        <f>IFERROR(__xludf.DUMMYFUNCTION("""COMPUTED_VALUE"""),4.0)</f>
        <v>4</v>
      </c>
      <c r="G442" s="13">
        <f>IFERROR(__xludf.DUMMYFUNCTION("""COMPUTED_VALUE"""),0.0)</f>
        <v>0</v>
      </c>
      <c r="H442" s="13">
        <f>IFERROR(__xludf.DUMMYFUNCTION("""COMPUTED_VALUE"""),0.0)</f>
        <v>0</v>
      </c>
      <c r="I442" s="13" t="str">
        <f>IFERROR(__xludf.DUMMYFUNCTION("""COMPUTED_VALUE"""),"General")</f>
        <v>General</v>
      </c>
      <c r="J442" s="13" t="str">
        <f>IFERROR(__xludf.DUMMYFUNCTION("""COMPUTED_VALUE"""),"Dresses")</f>
        <v>Dresses</v>
      </c>
      <c r="K442" s="13" t="str">
        <f>IFERROR(__xludf.DUMMYFUNCTION("""COMPUTED_VALUE"""),"Dresses")</f>
        <v>Dresses</v>
      </c>
      <c r="L442" s="13"/>
    </row>
    <row r="443">
      <c r="A443" s="13">
        <f>IFERROR(__xludf.DUMMYFUNCTION("""COMPUTED_VALUE"""),441.0)</f>
        <v>441</v>
      </c>
      <c r="B443" s="13">
        <f>IFERROR(__xludf.DUMMYFUNCTION("""COMPUTED_VALUE"""),872.0)</f>
        <v>872</v>
      </c>
      <c r="C443" s="13">
        <f>IFERROR(__xludf.DUMMYFUNCTION("""COMPUTED_VALUE"""),60.0)</f>
        <v>60</v>
      </c>
      <c r="D443" s="12" t="str">
        <f>IFERROR(__xludf.DUMMYFUNCTION("""COMPUTED_VALUE"""),"Cute top")</f>
        <v>Cute top</v>
      </c>
      <c r="E443" s="12" t="str">
        <f>IFERROR(__xludf.DUMMYFUNCTION("""COMPUTED_VALUE"""),"I really like this top. it's super cute - perfect for a football game or fairly casual event. the material is ribbed and is thick enough that you can't see through. i purchased this top in red and initially in petite but ended up returning it for the regu"&amp;"lar size. i love this top!")</f>
        <v>I really like this top. it's super cute - perfect for a football game or fairly casual event. the material is ribbed and is thick enough that you can't see through. i purchased this top in red and initially in petite but ended up returning it for the regular size. i love this top!</v>
      </c>
      <c r="F443" s="13">
        <f>IFERROR(__xludf.DUMMYFUNCTION("""COMPUTED_VALUE"""),4.0)</f>
        <v>4</v>
      </c>
      <c r="G443" s="13">
        <f>IFERROR(__xludf.DUMMYFUNCTION("""COMPUTED_VALUE"""),1.0)</f>
        <v>1</v>
      </c>
      <c r="H443" s="13">
        <f>IFERROR(__xludf.DUMMYFUNCTION("""COMPUTED_VALUE"""),1.0)</f>
        <v>1</v>
      </c>
      <c r="I443" s="13" t="str">
        <f>IFERROR(__xludf.DUMMYFUNCTION("""COMPUTED_VALUE"""),"General")</f>
        <v>General</v>
      </c>
      <c r="J443" s="13" t="str">
        <f>IFERROR(__xludf.DUMMYFUNCTION("""COMPUTED_VALUE"""),"Tops")</f>
        <v>Tops</v>
      </c>
      <c r="K443" s="13" t="str">
        <f>IFERROR(__xludf.DUMMYFUNCTION("""COMPUTED_VALUE"""),"Knits")</f>
        <v>Knits</v>
      </c>
      <c r="L443" s="13"/>
    </row>
    <row r="444">
      <c r="A444" s="13">
        <f>IFERROR(__xludf.DUMMYFUNCTION("""COMPUTED_VALUE"""),442.0)</f>
        <v>442</v>
      </c>
      <c r="B444" s="13">
        <f>IFERROR(__xludf.DUMMYFUNCTION("""COMPUTED_VALUE"""),872.0)</f>
        <v>872</v>
      </c>
      <c r="C444" s="13">
        <f>IFERROR(__xludf.DUMMYFUNCTION("""COMPUTED_VALUE"""),60.0)</f>
        <v>60</v>
      </c>
      <c r="D444" s="12" t="str">
        <f>IFERROR(__xludf.DUMMYFUNCTION("""COMPUTED_VALUE"""),"Red tee")</f>
        <v>Red tee</v>
      </c>
      <c r="E444" s="12" t="str">
        <f>IFERROR(__xludf.DUMMYFUNCTION("""COMPUTED_VALUE"""),"Nice tee, true red,3/4 sleeves, lacing is a nice touch. good quality and great sale price.")</f>
        <v>Nice tee, true red,3/4 sleeves, lacing is a nice touch. good quality and great sale price.</v>
      </c>
      <c r="F444" s="13">
        <f>IFERROR(__xludf.DUMMYFUNCTION("""COMPUTED_VALUE"""),5.0)</f>
        <v>5</v>
      </c>
      <c r="G444" s="13">
        <f>IFERROR(__xludf.DUMMYFUNCTION("""COMPUTED_VALUE"""),1.0)</f>
        <v>1</v>
      </c>
      <c r="H444" s="13">
        <f>IFERROR(__xludf.DUMMYFUNCTION("""COMPUTED_VALUE"""),1.0)</f>
        <v>1</v>
      </c>
      <c r="I444" s="13" t="str">
        <f>IFERROR(__xludf.DUMMYFUNCTION("""COMPUTED_VALUE"""),"General")</f>
        <v>General</v>
      </c>
      <c r="J444" s="13" t="str">
        <f>IFERROR(__xludf.DUMMYFUNCTION("""COMPUTED_VALUE"""),"Tops")</f>
        <v>Tops</v>
      </c>
      <c r="K444" s="13" t="str">
        <f>IFERROR(__xludf.DUMMYFUNCTION("""COMPUTED_VALUE"""),"Knits")</f>
        <v>Knits</v>
      </c>
      <c r="L444" s="13"/>
    </row>
    <row r="445">
      <c r="A445" s="13">
        <f>IFERROR(__xludf.DUMMYFUNCTION("""COMPUTED_VALUE"""),443.0)</f>
        <v>443</v>
      </c>
      <c r="B445" s="13">
        <f>IFERROR(__xludf.DUMMYFUNCTION("""COMPUTED_VALUE"""),829.0)</f>
        <v>829</v>
      </c>
      <c r="C445" s="13">
        <f>IFERROR(__xludf.DUMMYFUNCTION("""COMPUTED_VALUE"""),48.0)</f>
        <v>48</v>
      </c>
      <c r="D445" s="12" t="str">
        <f>IFERROR(__xludf.DUMMYFUNCTION("""COMPUTED_VALUE"""),"Undecided")</f>
        <v>Undecided</v>
      </c>
      <c r="E445" s="12" t="str">
        <f>IFERROR(__xludf.DUMMYFUNCTION("""COMPUTED_VALUE"""),"Feminine and lovely flutters indeed. i am on the fence. i ordered in a petite - had to size down - and something about bust and arm holes not completely right. given the light and airiness of this tank it does not seem right to have to wear a camisole und"&amp;"erneath which is what it would need for work wear.")</f>
        <v>Feminine and lovely flutters indeed. i am on the fence. i ordered in a petite - had to size down - and something about bust and arm holes not completely right. given the light and airiness of this tank it does not seem right to have to wear a camisole underneath which is what it would need for work wear.</v>
      </c>
      <c r="F445" s="13">
        <f>IFERROR(__xludf.DUMMYFUNCTION("""COMPUTED_VALUE"""),4.0)</f>
        <v>4</v>
      </c>
      <c r="G445" s="13">
        <f>IFERROR(__xludf.DUMMYFUNCTION("""COMPUTED_VALUE"""),1.0)</f>
        <v>1</v>
      </c>
      <c r="H445" s="13">
        <f>IFERROR(__xludf.DUMMYFUNCTION("""COMPUTED_VALUE"""),6.0)</f>
        <v>6</v>
      </c>
      <c r="I445" s="13" t="str">
        <f>IFERROR(__xludf.DUMMYFUNCTION("""COMPUTED_VALUE"""),"General")</f>
        <v>General</v>
      </c>
      <c r="J445" s="13" t="str">
        <f>IFERROR(__xludf.DUMMYFUNCTION("""COMPUTED_VALUE"""),"Tops")</f>
        <v>Tops</v>
      </c>
      <c r="K445" s="13" t="str">
        <f>IFERROR(__xludf.DUMMYFUNCTION("""COMPUTED_VALUE"""),"Blouses")</f>
        <v>Blouses</v>
      </c>
      <c r="L445" s="13"/>
    </row>
    <row r="446">
      <c r="A446" s="13">
        <f>IFERROR(__xludf.DUMMYFUNCTION("""COMPUTED_VALUE"""),444.0)</f>
        <v>444</v>
      </c>
      <c r="B446" s="13">
        <f>IFERROR(__xludf.DUMMYFUNCTION("""COMPUTED_VALUE"""),872.0)</f>
        <v>872</v>
      </c>
      <c r="C446" s="13">
        <f>IFERROR(__xludf.DUMMYFUNCTION("""COMPUTED_VALUE"""),70.0)</f>
        <v>70</v>
      </c>
      <c r="D446" s="12" t="str">
        <f>IFERROR(__xludf.DUMMYFUNCTION("""COMPUTED_VALUE"""),"Great casual shirt")</f>
        <v>Great casual shirt</v>
      </c>
      <c r="E446" s="12" t="str">
        <f>IFERROR(__xludf.DUMMYFUNCTION("""COMPUTED_VALUE"""),"Very nice casual, inexpensive shirt and the laced neckline is great....not too revealing and easily worn tied 
without looking prudish. and of course, open as well")</f>
        <v>Very nice casual, inexpensive shirt and the laced neckline is great....not too revealing and easily worn tied 
without looking prudish. and of course, open as well</v>
      </c>
      <c r="F446" s="13">
        <f>IFERROR(__xludf.DUMMYFUNCTION("""COMPUTED_VALUE"""),4.0)</f>
        <v>4</v>
      </c>
      <c r="G446" s="13">
        <f>IFERROR(__xludf.DUMMYFUNCTION("""COMPUTED_VALUE"""),1.0)</f>
        <v>1</v>
      </c>
      <c r="H446" s="13">
        <f>IFERROR(__xludf.DUMMYFUNCTION("""COMPUTED_VALUE"""),0.0)</f>
        <v>0</v>
      </c>
      <c r="I446" s="13" t="str">
        <f>IFERROR(__xludf.DUMMYFUNCTION("""COMPUTED_VALUE"""),"General")</f>
        <v>General</v>
      </c>
      <c r="J446" s="13" t="str">
        <f>IFERROR(__xludf.DUMMYFUNCTION("""COMPUTED_VALUE"""),"Tops")</f>
        <v>Tops</v>
      </c>
      <c r="K446" s="13" t="str">
        <f>IFERROR(__xludf.DUMMYFUNCTION("""COMPUTED_VALUE"""),"Knits")</f>
        <v>Knits</v>
      </c>
      <c r="L446" s="13"/>
    </row>
    <row r="447">
      <c r="A447" s="13">
        <f>IFERROR(__xludf.DUMMYFUNCTION("""COMPUTED_VALUE"""),445.0)</f>
        <v>445</v>
      </c>
      <c r="B447" s="13">
        <f>IFERROR(__xludf.DUMMYFUNCTION("""COMPUTED_VALUE"""),964.0)</f>
        <v>964</v>
      </c>
      <c r="C447" s="13">
        <f>IFERROR(__xludf.DUMMYFUNCTION("""COMPUTED_VALUE"""),27.0)</f>
        <v>27</v>
      </c>
      <c r="D447" s="12" t="str">
        <f>IFERROR(__xludf.DUMMYFUNCTION("""COMPUTED_VALUE"""),"So much better irl")</f>
        <v>So much better irl</v>
      </c>
      <c r="E447" s="12" t="str">
        <f>IFERROR(__xludf.DUMMYFUNCTION("""COMPUTED_VALUE"""),"When i ordered this little jacket i knew i would like it, upon arrival i fell in love. it is a little edgy with leather detailing and with stretch in all the right places, the crop is super flattering. appeared online to be a bit more of a sweatshirt mate"&amp;"rial but it has so much structure and holds its shape!")</f>
        <v>When i ordered this little jacket i knew i would like it, upon arrival i fell in love. it is a little edgy with leather detailing and with stretch in all the right places, the crop is super flattering. appeared online to be a bit more of a sweatshirt material but it has so much structure and holds its shape!</v>
      </c>
      <c r="F447" s="13">
        <f>IFERROR(__xludf.DUMMYFUNCTION("""COMPUTED_VALUE"""),5.0)</f>
        <v>5</v>
      </c>
      <c r="G447" s="13">
        <f>IFERROR(__xludf.DUMMYFUNCTION("""COMPUTED_VALUE"""),1.0)</f>
        <v>1</v>
      </c>
      <c r="H447" s="13">
        <f>IFERROR(__xludf.DUMMYFUNCTION("""COMPUTED_VALUE"""),0.0)</f>
        <v>0</v>
      </c>
      <c r="I447" s="13" t="str">
        <f>IFERROR(__xludf.DUMMYFUNCTION("""COMPUTED_VALUE"""),"General")</f>
        <v>General</v>
      </c>
      <c r="J447" s="13" t="str">
        <f>IFERROR(__xludf.DUMMYFUNCTION("""COMPUTED_VALUE"""),"Jackets")</f>
        <v>Jackets</v>
      </c>
      <c r="K447" s="13" t="str">
        <f>IFERROR(__xludf.DUMMYFUNCTION("""COMPUTED_VALUE"""),"Jackets")</f>
        <v>Jackets</v>
      </c>
      <c r="L447" s="13"/>
    </row>
    <row r="448">
      <c r="A448" s="13">
        <f>IFERROR(__xludf.DUMMYFUNCTION("""COMPUTED_VALUE"""),446.0)</f>
        <v>446</v>
      </c>
      <c r="B448" s="13">
        <f>IFERROR(__xludf.DUMMYFUNCTION("""COMPUTED_VALUE"""),1089.0)</f>
        <v>1089</v>
      </c>
      <c r="C448" s="13">
        <f>IFERROR(__xludf.DUMMYFUNCTION("""COMPUTED_VALUE"""),32.0)</f>
        <v>32</v>
      </c>
      <c r="D448" s="12"/>
      <c r="E448" s="12" t="str">
        <f>IFERROR(__xludf.DUMMYFUNCTION("""COMPUTED_VALUE"""),"I'm usually an xs for most retailer dresses and shirts. i ordered up per other reviews and got a small. the small fits comfortably around my waist. the chest area is not made for large chests. my 34ds were barely contained. sad to say, i won't be keeping "&amp;"the dress. the layers, fabric, and colors are truly pretty but the design/fit is disappointing.")</f>
        <v>I'm usually an xs for most retailer dresses and shirts. i ordered up per other reviews and got a small. the small fits comfortably around my waist. the chest area is not made for large chests. my 34ds were barely contained. sad to say, i won't be keeping the dress. the layers, fabric, and colors are truly pretty but the design/fit is disappointing.</v>
      </c>
      <c r="F448" s="13">
        <f>IFERROR(__xludf.DUMMYFUNCTION("""COMPUTED_VALUE"""),3.0)</f>
        <v>3</v>
      </c>
      <c r="G448" s="13">
        <f>IFERROR(__xludf.DUMMYFUNCTION("""COMPUTED_VALUE"""),1.0)</f>
        <v>1</v>
      </c>
      <c r="H448" s="13">
        <f>IFERROR(__xludf.DUMMYFUNCTION("""COMPUTED_VALUE"""),0.0)</f>
        <v>0</v>
      </c>
      <c r="I448" s="13" t="str">
        <f>IFERROR(__xludf.DUMMYFUNCTION("""COMPUTED_VALUE"""),"General Petite")</f>
        <v>General Petite</v>
      </c>
      <c r="J448" s="13" t="str">
        <f>IFERROR(__xludf.DUMMYFUNCTION("""COMPUTED_VALUE"""),"Dresses")</f>
        <v>Dresses</v>
      </c>
      <c r="K448" s="13" t="str">
        <f>IFERROR(__xludf.DUMMYFUNCTION("""COMPUTED_VALUE"""),"Dresses")</f>
        <v>Dresses</v>
      </c>
      <c r="L448" s="13"/>
    </row>
    <row r="449">
      <c r="A449" s="13">
        <f>IFERROR(__xludf.DUMMYFUNCTION("""COMPUTED_VALUE"""),447.0)</f>
        <v>447</v>
      </c>
      <c r="B449" s="13">
        <f>IFERROR(__xludf.DUMMYFUNCTION("""COMPUTED_VALUE"""),872.0)</f>
        <v>872</v>
      </c>
      <c r="C449" s="13">
        <f>IFERROR(__xludf.DUMMYFUNCTION("""COMPUTED_VALUE"""),26.0)</f>
        <v>26</v>
      </c>
      <c r="D449" s="12" t="str">
        <f>IFERROR(__xludf.DUMMYFUNCTION("""COMPUTED_VALUE"""),"Ultimately unimpressed")</f>
        <v>Ultimately unimpressed</v>
      </c>
      <c r="E449" s="12" t="str">
        <f>IFERROR(__xludf.DUMMYFUNCTION("""COMPUTED_VALUE"""),"I really like how this looks on the model, but in real life this top is much tighter. i was hoping for a good layering top and have been playing around with the trend of lace up tops. i bought it without trying on figuring a small would work, but it was m"&amp;"uch too tight and the lace top reminded me of vans shoes. i returned it, a girl much tinier than myself has it and it is very cute on her. so, best works on a model body type figure than someone with even slight hips.")</f>
        <v>I really like how this looks on the model, but in real life this top is much tighter. i was hoping for a good layering top and have been playing around with the trend of lace up tops. i bought it without trying on figuring a small would work, but it was much too tight and the lace top reminded me of vans shoes. i returned it, a girl much tinier than myself has it and it is very cute on her. so, best works on a model body type figure than someone with even slight hips.</v>
      </c>
      <c r="F449" s="13">
        <f>IFERROR(__xludf.DUMMYFUNCTION("""COMPUTED_VALUE"""),3.0)</f>
        <v>3</v>
      </c>
      <c r="G449" s="13">
        <f>IFERROR(__xludf.DUMMYFUNCTION("""COMPUTED_VALUE"""),0.0)</f>
        <v>0</v>
      </c>
      <c r="H449" s="13">
        <f>IFERROR(__xludf.DUMMYFUNCTION("""COMPUTED_VALUE"""),3.0)</f>
        <v>3</v>
      </c>
      <c r="I449" s="13" t="str">
        <f>IFERROR(__xludf.DUMMYFUNCTION("""COMPUTED_VALUE"""),"General")</f>
        <v>General</v>
      </c>
      <c r="J449" s="13" t="str">
        <f>IFERROR(__xludf.DUMMYFUNCTION("""COMPUTED_VALUE"""),"Tops")</f>
        <v>Tops</v>
      </c>
      <c r="K449" s="13" t="str">
        <f>IFERROR(__xludf.DUMMYFUNCTION("""COMPUTED_VALUE"""),"Knits")</f>
        <v>Knits</v>
      </c>
      <c r="L449" s="13"/>
    </row>
    <row r="450">
      <c r="A450" s="13">
        <f>IFERROR(__xludf.DUMMYFUNCTION("""COMPUTED_VALUE"""),448.0)</f>
        <v>448</v>
      </c>
      <c r="B450" s="13">
        <f>IFERROR(__xludf.DUMMYFUNCTION("""COMPUTED_VALUE"""),872.0)</f>
        <v>872</v>
      </c>
      <c r="C450" s="13">
        <f>IFERROR(__xludf.DUMMYFUNCTION("""COMPUTED_VALUE"""),51.0)</f>
        <v>51</v>
      </c>
      <c r="D450" s="12" t="str">
        <f>IFERROR(__xludf.DUMMYFUNCTION("""COMPUTED_VALUE"""),"Vibrant red color")</f>
        <v>Vibrant red color</v>
      </c>
      <c r="E450" s="12" t="str">
        <f>IFERROR(__xludf.DUMMYFUNCTION("""COMPUTED_VALUE"""),"I got this shirt in red and black. both colors vibrant and material of shirt is nice cotton blend. will get lots of use from both shirts.")</f>
        <v>I got this shirt in red and black. both colors vibrant and material of shirt is nice cotton blend. will get lots of use from both shirts.</v>
      </c>
      <c r="F450" s="13">
        <f>IFERROR(__xludf.DUMMYFUNCTION("""COMPUTED_VALUE"""),5.0)</f>
        <v>5</v>
      </c>
      <c r="G450" s="13">
        <f>IFERROR(__xludf.DUMMYFUNCTION("""COMPUTED_VALUE"""),1.0)</f>
        <v>1</v>
      </c>
      <c r="H450" s="13">
        <f>IFERROR(__xludf.DUMMYFUNCTION("""COMPUTED_VALUE"""),1.0)</f>
        <v>1</v>
      </c>
      <c r="I450" s="13" t="str">
        <f>IFERROR(__xludf.DUMMYFUNCTION("""COMPUTED_VALUE"""),"General")</f>
        <v>General</v>
      </c>
      <c r="J450" s="13" t="str">
        <f>IFERROR(__xludf.DUMMYFUNCTION("""COMPUTED_VALUE"""),"Tops")</f>
        <v>Tops</v>
      </c>
      <c r="K450" s="13" t="str">
        <f>IFERROR(__xludf.DUMMYFUNCTION("""COMPUTED_VALUE"""),"Knits")</f>
        <v>Knits</v>
      </c>
      <c r="L450" s="13"/>
    </row>
    <row r="451">
      <c r="A451" s="13">
        <f>IFERROR(__xludf.DUMMYFUNCTION("""COMPUTED_VALUE"""),449.0)</f>
        <v>449</v>
      </c>
      <c r="B451" s="13">
        <f>IFERROR(__xludf.DUMMYFUNCTION("""COMPUTED_VALUE"""),872.0)</f>
        <v>872</v>
      </c>
      <c r="C451" s="13">
        <f>IFERROR(__xludf.DUMMYFUNCTION("""COMPUTED_VALUE"""),48.0)</f>
        <v>48</v>
      </c>
      <c r="D451" s="12" t="str">
        <f>IFERROR(__xludf.DUMMYFUNCTION("""COMPUTED_VALUE"""),"Love")</f>
        <v>Love</v>
      </c>
      <c r="E451" s="12" t="str">
        <f>IFERROR(__xludf.DUMMYFUNCTION("""COMPUTED_VALUE"""),"This is the most flattering shirt--love the fit and color!")</f>
        <v>This is the most flattering shirt--love the fit and color!</v>
      </c>
      <c r="F451" s="13">
        <f>IFERROR(__xludf.DUMMYFUNCTION("""COMPUTED_VALUE"""),5.0)</f>
        <v>5</v>
      </c>
      <c r="G451" s="13">
        <f>IFERROR(__xludf.DUMMYFUNCTION("""COMPUTED_VALUE"""),1.0)</f>
        <v>1</v>
      </c>
      <c r="H451" s="13">
        <f>IFERROR(__xludf.DUMMYFUNCTION("""COMPUTED_VALUE"""),0.0)</f>
        <v>0</v>
      </c>
      <c r="I451" s="13" t="str">
        <f>IFERROR(__xludf.DUMMYFUNCTION("""COMPUTED_VALUE"""),"General")</f>
        <v>General</v>
      </c>
      <c r="J451" s="13" t="str">
        <f>IFERROR(__xludf.DUMMYFUNCTION("""COMPUTED_VALUE"""),"Tops")</f>
        <v>Tops</v>
      </c>
      <c r="K451" s="13" t="str">
        <f>IFERROR(__xludf.DUMMYFUNCTION("""COMPUTED_VALUE"""),"Knits")</f>
        <v>Knits</v>
      </c>
      <c r="L451" s="13"/>
    </row>
    <row r="452">
      <c r="A452" s="13">
        <f>IFERROR(__xludf.DUMMYFUNCTION("""COMPUTED_VALUE"""),450.0)</f>
        <v>450</v>
      </c>
      <c r="B452" s="13">
        <f>IFERROR(__xludf.DUMMYFUNCTION("""COMPUTED_VALUE"""),1077.0)</f>
        <v>1077</v>
      </c>
      <c r="C452" s="13">
        <f>IFERROR(__xludf.DUMMYFUNCTION("""COMPUTED_VALUE"""),30.0)</f>
        <v>30</v>
      </c>
      <c r="D452" s="12" t="str">
        <f>IFERROR(__xludf.DUMMYFUNCTION("""COMPUTED_VALUE"""),"Looks fine if you don't move your arms.")</f>
        <v>Looks fine if you don't move your arms.</v>
      </c>
      <c r="E452" s="12" t="str">
        <f>IFERROR(__xludf.DUMMYFUNCTION("""COMPUTED_VALUE"""),"Three strikes and retailer is out for me! i am so disappointed. i really liked this dress and was looking for a fun, distinctive new shift dress. got it, tried it on, took it off, went back to look at the listing online...nowhere does it mention that it h"&amp;"as a drop-seam in the shoulders. i guess you can see it if you zoom in closely on the image, but it's not mentioned in the text. who on god's green earth actually looks good with a drop-shoulder?! it hits every woman under 5'10"" right in the middl")</f>
        <v>Three strikes and retailer is out for me! i am so disappointed. i really liked this dress and was looking for a fun, distinctive new shift dress. got it, tried it on, took it off, went back to look at the listing online...nowhere does it mention that it has a drop-seam in the shoulders. i guess you can see it if you zoom in closely on the image, but it's not mentioned in the text. who on god's green earth actually looks good with a drop-shoulder?! it hits every woman under 5'10" right in the middl</v>
      </c>
      <c r="F452" s="13">
        <f>IFERROR(__xludf.DUMMYFUNCTION("""COMPUTED_VALUE"""),2.0)</f>
        <v>2</v>
      </c>
      <c r="G452" s="13">
        <f>IFERROR(__xludf.DUMMYFUNCTION("""COMPUTED_VALUE"""),0.0)</f>
        <v>0</v>
      </c>
      <c r="H452" s="13">
        <f>IFERROR(__xludf.DUMMYFUNCTION("""COMPUTED_VALUE"""),0.0)</f>
        <v>0</v>
      </c>
      <c r="I452" s="13" t="str">
        <f>IFERROR(__xludf.DUMMYFUNCTION("""COMPUTED_VALUE"""),"General")</f>
        <v>General</v>
      </c>
      <c r="J452" s="13" t="str">
        <f>IFERROR(__xludf.DUMMYFUNCTION("""COMPUTED_VALUE"""),"Dresses")</f>
        <v>Dresses</v>
      </c>
      <c r="K452" s="13" t="str">
        <f>IFERROR(__xludf.DUMMYFUNCTION("""COMPUTED_VALUE"""),"Dresses")</f>
        <v>Dresses</v>
      </c>
      <c r="L452" s="13"/>
    </row>
    <row r="453">
      <c r="A453" s="13">
        <f>IFERROR(__xludf.DUMMYFUNCTION("""COMPUTED_VALUE"""),451.0)</f>
        <v>451</v>
      </c>
      <c r="B453" s="13">
        <f>IFERROR(__xludf.DUMMYFUNCTION("""COMPUTED_VALUE"""),967.0)</f>
        <v>967</v>
      </c>
      <c r="C453" s="13">
        <f>IFERROR(__xludf.DUMMYFUNCTION("""COMPUTED_VALUE"""),56.0)</f>
        <v>56</v>
      </c>
      <c r="D453" s="12" t="str">
        <f>IFERROR(__xludf.DUMMYFUNCTION("""COMPUTED_VALUE"""),"Great plaid!")</f>
        <v>Great plaid!</v>
      </c>
      <c r="E453" s="12" t="str">
        <f>IFERROR(__xludf.DUMMYFUNCTION("""COMPUTED_VALUE"""),"This vest is very warm and soft. it is actually a fleece that almost appears as wool. the plaid is beautiful-a pretty soft pink with the black and charcoal colors. i ordered a size large and the fit is okay. an xl would have been too big under the arms an"&amp;"d in the bust area however, i would have liked it a little looser in the bottom half. i kept the large as there is no closure to the vest. it just hangs open.")</f>
        <v>This vest is very warm and soft. it is actually a fleece that almost appears as wool. the plaid is beautiful-a pretty soft pink with the black and charcoal colors. i ordered a size large and the fit is okay. an xl would have been too big under the arms and in the bust area however, i would have liked it a little looser in the bottom half. i kept the large as there is no closure to the vest. it just hangs open.</v>
      </c>
      <c r="F453" s="13">
        <f>IFERROR(__xludf.DUMMYFUNCTION("""COMPUTED_VALUE"""),4.0)</f>
        <v>4</v>
      </c>
      <c r="G453" s="13">
        <f>IFERROR(__xludf.DUMMYFUNCTION("""COMPUTED_VALUE"""),1.0)</f>
        <v>1</v>
      </c>
      <c r="H453" s="13">
        <f>IFERROR(__xludf.DUMMYFUNCTION("""COMPUTED_VALUE"""),1.0)</f>
        <v>1</v>
      </c>
      <c r="I453" s="13" t="str">
        <f>IFERROR(__xludf.DUMMYFUNCTION("""COMPUTED_VALUE"""),"General")</f>
        <v>General</v>
      </c>
      <c r="J453" s="13" t="str">
        <f>IFERROR(__xludf.DUMMYFUNCTION("""COMPUTED_VALUE"""),"Jackets")</f>
        <v>Jackets</v>
      </c>
      <c r="K453" s="13" t="str">
        <f>IFERROR(__xludf.DUMMYFUNCTION("""COMPUTED_VALUE"""),"Jackets")</f>
        <v>Jackets</v>
      </c>
      <c r="L453" s="13"/>
    </row>
    <row r="454">
      <c r="A454" s="13">
        <f>IFERROR(__xludf.DUMMYFUNCTION("""COMPUTED_VALUE"""),452.0)</f>
        <v>452</v>
      </c>
      <c r="B454" s="13">
        <f>IFERROR(__xludf.DUMMYFUNCTION("""COMPUTED_VALUE"""),872.0)</f>
        <v>872</v>
      </c>
      <c r="C454" s="13">
        <f>IFERROR(__xludf.DUMMYFUNCTION("""COMPUTED_VALUE"""),27.0)</f>
        <v>27</v>
      </c>
      <c r="D454" s="12" t="str">
        <f>IFERROR(__xludf.DUMMYFUNCTION("""COMPUTED_VALUE"""),"In love with this shirt")</f>
        <v>In love with this shirt</v>
      </c>
      <c r="E454" s="12" t="str">
        <f>IFERROR(__xludf.DUMMYFUNCTION("""COMPUTED_VALUE"""),"I love this shirt so much that i've now bought it in 2 colors -- the olive green and the red. probably would have bought it in black too if i didn't already have enough black shirts. it's both a plain and simple tee, but with the fun lace-up detail at the"&amp;" neckline that keeps it from being boring.
it runs true to size but is very fitted. however, due to the thickness of the material, i didn't feel like any unflattering bumps or lumps were being highlighted, despite how close the shirt fit to my")</f>
        <v>I love this shirt so much that i've now bought it in 2 colors -- the olive green and the red. probably would have bought it in black too if i didn't already have enough black shirts. it's both a plain and simple tee, but with the fun lace-up detail at the neckline that keeps it from being boring.
it runs true to size but is very fitted. however, due to the thickness of the material, i didn't feel like any unflattering bumps or lumps were being highlighted, despite how close the shirt fit to my</v>
      </c>
      <c r="F454" s="13">
        <f>IFERROR(__xludf.DUMMYFUNCTION("""COMPUTED_VALUE"""),5.0)</f>
        <v>5</v>
      </c>
      <c r="G454" s="13">
        <f>IFERROR(__xludf.DUMMYFUNCTION("""COMPUTED_VALUE"""),1.0)</f>
        <v>1</v>
      </c>
      <c r="H454" s="13">
        <f>IFERROR(__xludf.DUMMYFUNCTION("""COMPUTED_VALUE"""),2.0)</f>
        <v>2</v>
      </c>
      <c r="I454" s="13" t="str">
        <f>IFERROR(__xludf.DUMMYFUNCTION("""COMPUTED_VALUE"""),"General")</f>
        <v>General</v>
      </c>
      <c r="J454" s="13" t="str">
        <f>IFERROR(__xludf.DUMMYFUNCTION("""COMPUTED_VALUE"""),"Tops")</f>
        <v>Tops</v>
      </c>
      <c r="K454" s="13" t="str">
        <f>IFERROR(__xludf.DUMMYFUNCTION("""COMPUTED_VALUE"""),"Knits")</f>
        <v>Knits</v>
      </c>
      <c r="L454" s="13"/>
    </row>
    <row r="455">
      <c r="A455" s="13">
        <f>IFERROR(__xludf.DUMMYFUNCTION("""COMPUTED_VALUE"""),453.0)</f>
        <v>453</v>
      </c>
      <c r="B455" s="13">
        <f>IFERROR(__xludf.DUMMYFUNCTION("""COMPUTED_VALUE"""),964.0)</f>
        <v>964</v>
      </c>
      <c r="C455" s="13">
        <f>IFERROR(__xludf.DUMMYFUNCTION("""COMPUTED_VALUE"""),44.0)</f>
        <v>44</v>
      </c>
      <c r="D455" s="12" t="str">
        <f>IFERROR(__xludf.DUMMYFUNCTION("""COMPUTED_VALUE"""),"Perfection.")</f>
        <v>Perfection.</v>
      </c>
      <c r="E455" s="12" t="str">
        <f>IFERROR(__xludf.DUMMYFUNCTION("""COMPUTED_VALUE"""),"Don't try this on, if you don't plan to buy it. it feels amazing!!! i bought the black and it is a lovely charcoal color and matches so much.")</f>
        <v>Don't try this on, if you don't plan to buy it. it feels amazing!!! i bought the black and it is a lovely charcoal color and matches so much.</v>
      </c>
      <c r="F455" s="13">
        <f>IFERROR(__xludf.DUMMYFUNCTION("""COMPUTED_VALUE"""),5.0)</f>
        <v>5</v>
      </c>
      <c r="G455" s="13">
        <f>IFERROR(__xludf.DUMMYFUNCTION("""COMPUTED_VALUE"""),1.0)</f>
        <v>1</v>
      </c>
      <c r="H455" s="13">
        <f>IFERROR(__xludf.DUMMYFUNCTION("""COMPUTED_VALUE"""),1.0)</f>
        <v>1</v>
      </c>
      <c r="I455" s="13" t="str">
        <f>IFERROR(__xludf.DUMMYFUNCTION("""COMPUTED_VALUE"""),"General")</f>
        <v>General</v>
      </c>
      <c r="J455" s="13" t="str">
        <f>IFERROR(__xludf.DUMMYFUNCTION("""COMPUTED_VALUE"""),"Jackets")</f>
        <v>Jackets</v>
      </c>
      <c r="K455" s="13" t="str">
        <f>IFERROR(__xludf.DUMMYFUNCTION("""COMPUTED_VALUE"""),"Jackets")</f>
        <v>Jackets</v>
      </c>
      <c r="L455" s="13"/>
    </row>
    <row r="456">
      <c r="A456" s="13">
        <f>IFERROR(__xludf.DUMMYFUNCTION("""COMPUTED_VALUE"""),454.0)</f>
        <v>454</v>
      </c>
      <c r="B456" s="13">
        <f>IFERROR(__xludf.DUMMYFUNCTION("""COMPUTED_VALUE"""),872.0)</f>
        <v>872</v>
      </c>
      <c r="C456" s="13">
        <f>IFERROR(__xludf.DUMMYFUNCTION("""COMPUTED_VALUE"""),39.0)</f>
        <v>39</v>
      </c>
      <c r="D456" s="12" t="str">
        <f>IFERROR(__xludf.DUMMYFUNCTION("""COMPUTED_VALUE"""),"Perfect!")</f>
        <v>Perfect!</v>
      </c>
      <c r="E456" s="12" t="str">
        <f>IFERROR(__xludf.DUMMYFUNCTION("""COMPUTED_VALUE"""),"I like the lace-up trend, but most designs are too revealing. this shirt is super sexy, but not immodest. i bought it in black and am now buying another color. to me, the fabric feels soft and thick, very nice.")</f>
        <v>I like the lace-up trend, but most designs are too revealing. this shirt is super sexy, but not immodest. i bought it in black and am now buying another color. to me, the fabric feels soft and thick, very nice.</v>
      </c>
      <c r="F456" s="13">
        <f>IFERROR(__xludf.DUMMYFUNCTION("""COMPUTED_VALUE"""),5.0)</f>
        <v>5</v>
      </c>
      <c r="G456" s="13">
        <f>IFERROR(__xludf.DUMMYFUNCTION("""COMPUTED_VALUE"""),1.0)</f>
        <v>1</v>
      </c>
      <c r="H456" s="13">
        <f>IFERROR(__xludf.DUMMYFUNCTION("""COMPUTED_VALUE"""),2.0)</f>
        <v>2</v>
      </c>
      <c r="I456" s="13" t="str">
        <f>IFERROR(__xludf.DUMMYFUNCTION("""COMPUTED_VALUE"""),"General")</f>
        <v>General</v>
      </c>
      <c r="J456" s="13" t="str">
        <f>IFERROR(__xludf.DUMMYFUNCTION("""COMPUTED_VALUE"""),"Tops")</f>
        <v>Tops</v>
      </c>
      <c r="K456" s="13" t="str">
        <f>IFERROR(__xludf.DUMMYFUNCTION("""COMPUTED_VALUE"""),"Knits")</f>
        <v>Knits</v>
      </c>
      <c r="L456" s="13"/>
    </row>
    <row r="457">
      <c r="A457" s="13">
        <f>IFERROR(__xludf.DUMMYFUNCTION("""COMPUTED_VALUE"""),455.0)</f>
        <v>455</v>
      </c>
      <c r="B457" s="13">
        <f>IFERROR(__xludf.DUMMYFUNCTION("""COMPUTED_VALUE"""),234.0)</f>
        <v>234</v>
      </c>
      <c r="C457" s="13">
        <f>IFERROR(__xludf.DUMMYFUNCTION("""COMPUTED_VALUE"""),33.0)</f>
        <v>33</v>
      </c>
      <c r="D457" s="12"/>
      <c r="E457" s="12"/>
      <c r="F457" s="13">
        <f>IFERROR(__xludf.DUMMYFUNCTION("""COMPUTED_VALUE"""),5.0)</f>
        <v>5</v>
      </c>
      <c r="G457" s="13">
        <f>IFERROR(__xludf.DUMMYFUNCTION("""COMPUTED_VALUE"""),1.0)</f>
        <v>1</v>
      </c>
      <c r="H457" s="13">
        <f>IFERROR(__xludf.DUMMYFUNCTION("""COMPUTED_VALUE"""),0.0)</f>
        <v>0</v>
      </c>
      <c r="I457" s="13" t="str">
        <f>IFERROR(__xludf.DUMMYFUNCTION("""COMPUTED_VALUE"""),"Initmates")</f>
        <v>Initmates</v>
      </c>
      <c r="J457" s="13" t="str">
        <f>IFERROR(__xludf.DUMMYFUNCTION("""COMPUTED_VALUE"""),"Intimate")</f>
        <v>Intimate</v>
      </c>
      <c r="K457" s="13" t="str">
        <f>IFERROR(__xludf.DUMMYFUNCTION("""COMPUTED_VALUE"""),"Swim")</f>
        <v>Swim</v>
      </c>
      <c r="L457" s="13"/>
    </row>
    <row r="458">
      <c r="A458" s="13">
        <f>IFERROR(__xludf.DUMMYFUNCTION("""COMPUTED_VALUE"""),456.0)</f>
        <v>456</v>
      </c>
      <c r="B458" s="13">
        <f>IFERROR(__xludf.DUMMYFUNCTION("""COMPUTED_VALUE"""),149.0)</f>
        <v>149</v>
      </c>
      <c r="C458" s="13">
        <f>IFERROR(__xludf.DUMMYFUNCTION("""COMPUTED_VALUE"""),33.0)</f>
        <v>33</v>
      </c>
      <c r="D458" s="12" t="str">
        <f>IFERROR(__xludf.DUMMYFUNCTION("""COMPUTED_VALUE"""),"The most comfortable pants ever")</f>
        <v>The most comfortable pants ever</v>
      </c>
      <c r="E458" s="12" t="str">
        <f>IFERROR(__xludf.DUMMYFUNCTION("""COMPUTED_VALUE"""),"I have these pants in navy and they're amazing! i cuff the hem in half and they look like joggers. they're ridiculously comfortable and tts but are not very thick so i'm pretty sure ivory would be see through; especially if you wear them during practice.")</f>
        <v>I have these pants in navy and they're amazing! i cuff the hem in half and they look like joggers. they're ridiculously comfortable and tts but are not very thick so i'm pretty sure ivory would be see through; especially if you wear them during practice.</v>
      </c>
      <c r="F458" s="13">
        <f>IFERROR(__xludf.DUMMYFUNCTION("""COMPUTED_VALUE"""),4.0)</f>
        <v>4</v>
      </c>
      <c r="G458" s="13">
        <f>IFERROR(__xludf.DUMMYFUNCTION("""COMPUTED_VALUE"""),1.0)</f>
        <v>1</v>
      </c>
      <c r="H458" s="13">
        <f>IFERROR(__xludf.DUMMYFUNCTION("""COMPUTED_VALUE"""),0.0)</f>
        <v>0</v>
      </c>
      <c r="I458" s="13" t="str">
        <f>IFERROR(__xludf.DUMMYFUNCTION("""COMPUTED_VALUE"""),"Initmates")</f>
        <v>Initmates</v>
      </c>
      <c r="J458" s="13" t="str">
        <f>IFERROR(__xludf.DUMMYFUNCTION("""COMPUTED_VALUE"""),"Intimate")</f>
        <v>Intimate</v>
      </c>
      <c r="K458" s="13" t="str">
        <f>IFERROR(__xludf.DUMMYFUNCTION("""COMPUTED_VALUE"""),"Lounge")</f>
        <v>Lounge</v>
      </c>
      <c r="L458" s="13"/>
    </row>
    <row r="459">
      <c r="A459" s="13">
        <f>IFERROR(__xludf.DUMMYFUNCTION("""COMPUTED_VALUE"""),457.0)</f>
        <v>457</v>
      </c>
      <c r="B459" s="13">
        <f>IFERROR(__xludf.DUMMYFUNCTION("""COMPUTED_VALUE"""),829.0)</f>
        <v>829</v>
      </c>
      <c r="C459" s="13">
        <f>IFERROR(__xludf.DUMMYFUNCTION("""COMPUTED_VALUE"""),60.0)</f>
        <v>60</v>
      </c>
      <c r="D459" s="12" t="str">
        <f>IFERROR(__xludf.DUMMYFUNCTION("""COMPUTED_VALUE"""),"Perfect top for work")</f>
        <v>Perfect top for work</v>
      </c>
      <c r="E459" s="12" t="str">
        <f>IFERROR(__xludf.DUMMYFUNCTION("""COMPUTED_VALUE"""),"I got this top in navy and i love it. it's loose and flowy and comfortable, yet dressy enough to wear for work (or dress down with jeans). i'm 5'4"", 125lbs and the 6 was a bit large on me. i could've sized down a little but i actually liked the loose fit"&amp;", and the length was long enough to tuck in if i wanted to. definitely recommend.")</f>
        <v>I got this top in navy and i love it. it's loose and flowy and comfortable, yet dressy enough to wear for work (or dress down with jeans). i'm 5'4", 125lbs and the 6 was a bit large on me. i could've sized down a little but i actually liked the loose fit, and the length was long enough to tuck in if i wanted to. definitely recommend.</v>
      </c>
      <c r="F459" s="13">
        <f>IFERROR(__xludf.DUMMYFUNCTION("""COMPUTED_VALUE"""),4.0)</f>
        <v>4</v>
      </c>
      <c r="G459" s="13">
        <f>IFERROR(__xludf.DUMMYFUNCTION("""COMPUTED_VALUE"""),1.0)</f>
        <v>1</v>
      </c>
      <c r="H459" s="13">
        <f>IFERROR(__xludf.DUMMYFUNCTION("""COMPUTED_VALUE"""),0.0)</f>
        <v>0</v>
      </c>
      <c r="I459" s="13" t="str">
        <f>IFERROR(__xludf.DUMMYFUNCTION("""COMPUTED_VALUE"""),"General")</f>
        <v>General</v>
      </c>
      <c r="J459" s="13" t="str">
        <f>IFERROR(__xludf.DUMMYFUNCTION("""COMPUTED_VALUE"""),"Tops")</f>
        <v>Tops</v>
      </c>
      <c r="K459" s="13" t="str">
        <f>IFERROR(__xludf.DUMMYFUNCTION("""COMPUTED_VALUE"""),"Blouses")</f>
        <v>Blouses</v>
      </c>
      <c r="L459" s="13"/>
    </row>
    <row r="460">
      <c r="A460" s="13">
        <f>IFERROR(__xludf.DUMMYFUNCTION("""COMPUTED_VALUE"""),458.0)</f>
        <v>458</v>
      </c>
      <c r="B460" s="13">
        <f>IFERROR(__xludf.DUMMYFUNCTION("""COMPUTED_VALUE"""),829.0)</f>
        <v>829</v>
      </c>
      <c r="C460" s="13">
        <f>IFERROR(__xludf.DUMMYFUNCTION("""COMPUTED_VALUE"""),44.0)</f>
        <v>44</v>
      </c>
      <c r="D460" s="12" t="str">
        <f>IFERROR(__xludf.DUMMYFUNCTION("""COMPUTED_VALUE"""),"Overall, i like it, but some sizing issues...")</f>
        <v>Overall, i like it, but some sizing issues...</v>
      </c>
      <c r="E460" s="12" t="str">
        <f>IFERROR(__xludf.DUMMYFUNCTION("""COMPUTED_VALUE"""),"I purchased the navy in this top and i really like the design and the style for the price (i believe the navy is on sale). my issue is that i do have to wear either a camisole or a little bralette or bandeau or something under it because it is too low cut"&amp;" in the front on me and the arm holes are ridiculously large. i might have been better off sizing down, but i bought it online, so i just decided to live with it. pretty top, though i do think it runs large.")</f>
        <v>I purchased the navy in this top and i really like the design and the style for the price (i believe the navy is on sale). my issue is that i do have to wear either a camisole or a little bralette or bandeau or something under it because it is too low cut in the front on me and the arm holes are ridiculously large. i might have been better off sizing down, but i bought it online, so i just decided to live with it. pretty top, though i do think it runs large.</v>
      </c>
      <c r="F460" s="13">
        <f>IFERROR(__xludf.DUMMYFUNCTION("""COMPUTED_VALUE"""),4.0)</f>
        <v>4</v>
      </c>
      <c r="G460" s="13">
        <f>IFERROR(__xludf.DUMMYFUNCTION("""COMPUTED_VALUE"""),1.0)</f>
        <v>1</v>
      </c>
      <c r="H460" s="13">
        <f>IFERROR(__xludf.DUMMYFUNCTION("""COMPUTED_VALUE"""),0.0)</f>
        <v>0</v>
      </c>
      <c r="I460" s="13" t="str">
        <f>IFERROR(__xludf.DUMMYFUNCTION("""COMPUTED_VALUE"""),"General")</f>
        <v>General</v>
      </c>
      <c r="J460" s="13" t="str">
        <f>IFERROR(__xludf.DUMMYFUNCTION("""COMPUTED_VALUE"""),"Tops")</f>
        <v>Tops</v>
      </c>
      <c r="K460" s="13" t="str">
        <f>IFERROR(__xludf.DUMMYFUNCTION("""COMPUTED_VALUE"""),"Blouses")</f>
        <v>Blouses</v>
      </c>
      <c r="L460" s="13"/>
    </row>
    <row r="461">
      <c r="A461" s="13">
        <f>IFERROR(__xludf.DUMMYFUNCTION("""COMPUTED_VALUE"""),459.0)</f>
        <v>459</v>
      </c>
      <c r="B461" s="13">
        <f>IFERROR(__xludf.DUMMYFUNCTION("""COMPUTED_VALUE"""),872.0)</f>
        <v>872</v>
      </c>
      <c r="C461" s="13">
        <f>IFERROR(__xludf.DUMMYFUNCTION("""COMPUTED_VALUE"""),71.0)</f>
        <v>71</v>
      </c>
      <c r="D461" s="12"/>
      <c r="E461" s="12" t="str">
        <f>IFERROR(__xludf.DUMMYFUNCTION("""COMPUTED_VALUE"""),"Great shirt. the neckline is super flattering. the fabric has some weight to it. right now i am in a ""fat stage""...and it still looked good. it will look even better without the midriff bulge! i bought the shirt in black. i'm thinking of ordering it in "&amp;"red...it's that good.")</f>
        <v>Great shirt. the neckline is super flattering. the fabric has some weight to it. right now i am in a "fat stage"...and it still looked good. it will look even better without the midriff bulge! i bought the shirt in black. i'm thinking of ordering it in red...it's that good.</v>
      </c>
      <c r="F461" s="13">
        <f>IFERROR(__xludf.DUMMYFUNCTION("""COMPUTED_VALUE"""),5.0)</f>
        <v>5</v>
      </c>
      <c r="G461" s="13">
        <f>IFERROR(__xludf.DUMMYFUNCTION("""COMPUTED_VALUE"""),1.0)</f>
        <v>1</v>
      </c>
      <c r="H461" s="13">
        <f>IFERROR(__xludf.DUMMYFUNCTION("""COMPUTED_VALUE"""),0.0)</f>
        <v>0</v>
      </c>
      <c r="I461" s="13" t="str">
        <f>IFERROR(__xludf.DUMMYFUNCTION("""COMPUTED_VALUE"""),"General")</f>
        <v>General</v>
      </c>
      <c r="J461" s="13" t="str">
        <f>IFERROR(__xludf.DUMMYFUNCTION("""COMPUTED_VALUE"""),"Tops")</f>
        <v>Tops</v>
      </c>
      <c r="K461" s="13" t="str">
        <f>IFERROR(__xludf.DUMMYFUNCTION("""COMPUTED_VALUE"""),"Knits")</f>
        <v>Knits</v>
      </c>
      <c r="L461" s="13"/>
    </row>
    <row r="462">
      <c r="A462" s="13">
        <f>IFERROR(__xludf.DUMMYFUNCTION("""COMPUTED_VALUE"""),460.0)</f>
        <v>460</v>
      </c>
      <c r="B462" s="13">
        <f>IFERROR(__xludf.DUMMYFUNCTION("""COMPUTED_VALUE"""),872.0)</f>
        <v>872</v>
      </c>
      <c r="C462" s="13">
        <f>IFERROR(__xludf.DUMMYFUNCTION("""COMPUTED_VALUE"""),44.0)</f>
        <v>44</v>
      </c>
      <c r="D462" s="12"/>
      <c r="E462" s="12" t="str">
        <f>IFERROR(__xludf.DUMMYFUNCTION("""COMPUTED_VALUE"""),"This is a great shirt that goes with everything. it's super sexy and i have to say....the girls look great in it! i bought the black first and went back for the green. the quality of the shirt is great...not cheap and no smell, at least not in my experien"&amp;"ce,  like was mentioned by another reviewer. i can't say enough about how cute this shirt is!")</f>
        <v>This is a great shirt that goes with everything. it's super sexy and i have to say....the girls look great in it! i bought the black first and went back for the green. the quality of the shirt is great...not cheap and no smell, at least not in my experience,  like was mentioned by another reviewer. i can't say enough about how cute this shirt is!</v>
      </c>
      <c r="F462" s="13">
        <f>IFERROR(__xludf.DUMMYFUNCTION("""COMPUTED_VALUE"""),5.0)</f>
        <v>5</v>
      </c>
      <c r="G462" s="13">
        <f>IFERROR(__xludf.DUMMYFUNCTION("""COMPUTED_VALUE"""),1.0)</f>
        <v>1</v>
      </c>
      <c r="H462" s="13">
        <f>IFERROR(__xludf.DUMMYFUNCTION("""COMPUTED_VALUE"""),6.0)</f>
        <v>6</v>
      </c>
      <c r="I462" s="13" t="str">
        <f>IFERROR(__xludf.DUMMYFUNCTION("""COMPUTED_VALUE"""),"General")</f>
        <v>General</v>
      </c>
      <c r="J462" s="13" t="str">
        <f>IFERROR(__xludf.DUMMYFUNCTION("""COMPUTED_VALUE"""),"Tops")</f>
        <v>Tops</v>
      </c>
      <c r="K462" s="13" t="str">
        <f>IFERROR(__xludf.DUMMYFUNCTION("""COMPUTED_VALUE"""),"Knits")</f>
        <v>Knits</v>
      </c>
      <c r="L462" s="13"/>
    </row>
    <row r="463">
      <c r="A463" s="13">
        <f>IFERROR(__xludf.DUMMYFUNCTION("""COMPUTED_VALUE"""),461.0)</f>
        <v>461</v>
      </c>
      <c r="B463" s="13">
        <f>IFERROR(__xludf.DUMMYFUNCTION("""COMPUTED_VALUE"""),850.0)</f>
        <v>850</v>
      </c>
      <c r="C463" s="13">
        <f>IFERROR(__xludf.DUMMYFUNCTION("""COMPUTED_VALUE"""),52.0)</f>
        <v>52</v>
      </c>
      <c r="D463" s="12" t="str">
        <f>IFERROR(__xludf.DUMMYFUNCTION("""COMPUTED_VALUE"""),"Very pretty, boho chic")</f>
        <v>Very pretty, boho chic</v>
      </c>
      <c r="E463" s="12" t="str">
        <f>IFERROR(__xludf.DUMMYFUNCTION("""COMPUTED_VALUE"""),"I purchased this blouse because i love a 70's vibe in my tops. it is a beautiful, colorful top, but the colors weren't flattering on me. having said that, the cut is nice, the fabric is lightweight and flows nicely, and the fit was fine on me. i am a curv"&amp;"y 5'5"" with a 36 c cup. go for it if this is a style you like. one other note, i wish it had been a bit longer, but i am older and prefer a little more coverage. it's just a personal preference. i think the picture is an accurate depiction.")</f>
        <v>I purchased this blouse because i love a 70's vibe in my tops. it is a beautiful, colorful top, but the colors weren't flattering on me. having said that, the cut is nice, the fabric is lightweight and flows nicely, and the fit was fine on me. i am a curvy 5'5" with a 36 c cup. go for it if this is a style you like. one other note, i wish it had been a bit longer, but i am older and prefer a little more coverage. it's just a personal preference. i think the picture is an accurate depiction.</v>
      </c>
      <c r="F463" s="13">
        <f>IFERROR(__xludf.DUMMYFUNCTION("""COMPUTED_VALUE"""),5.0)</f>
        <v>5</v>
      </c>
      <c r="G463" s="13">
        <f>IFERROR(__xludf.DUMMYFUNCTION("""COMPUTED_VALUE"""),1.0)</f>
        <v>1</v>
      </c>
      <c r="H463" s="13">
        <f>IFERROR(__xludf.DUMMYFUNCTION("""COMPUTED_VALUE"""),5.0)</f>
        <v>5</v>
      </c>
      <c r="I463" s="13" t="str">
        <f>IFERROR(__xludf.DUMMYFUNCTION("""COMPUTED_VALUE"""),"General Petite")</f>
        <v>General Petite</v>
      </c>
      <c r="J463" s="13" t="str">
        <f>IFERROR(__xludf.DUMMYFUNCTION("""COMPUTED_VALUE"""),"Tops")</f>
        <v>Tops</v>
      </c>
      <c r="K463" s="13" t="str">
        <f>IFERROR(__xludf.DUMMYFUNCTION("""COMPUTED_VALUE"""),"Blouses")</f>
        <v>Blouses</v>
      </c>
      <c r="L463" s="13"/>
    </row>
    <row r="464">
      <c r="A464" s="13">
        <f>IFERROR(__xludf.DUMMYFUNCTION("""COMPUTED_VALUE"""),462.0)</f>
        <v>462</v>
      </c>
      <c r="B464" s="13">
        <f>IFERROR(__xludf.DUMMYFUNCTION("""COMPUTED_VALUE"""),850.0)</f>
        <v>850</v>
      </c>
      <c r="C464" s="13">
        <f>IFERROR(__xludf.DUMMYFUNCTION("""COMPUTED_VALUE"""),23.0)</f>
        <v>23</v>
      </c>
      <c r="D464" s="12" t="str">
        <f>IFERROR(__xludf.DUMMYFUNCTION("""COMPUTED_VALUE"""),"Great too but not for women who have a large bust.")</f>
        <v>Great too but not for women who have a large bust.</v>
      </c>
      <c r="E464" s="12" t="str">
        <f>IFERROR(__xludf.DUMMYFUNCTION("""COMPUTED_VALUE"""),"It's hard enough for women to find clothing that will make them look as beautiful as they feel but add a bigger bust size (i'm a 36dd) and it makes it this much harder. i ordered this top because of how beautiful it looked on the model and the price. when"&amp;" it arrived i was so excited! retailer does such a beautiful job with the way they handle their items! it was wrapped beautiful and no damage. i ordered a size 8 knowing that my chest could be a potential problem. the too itself is gorgeous! i did")</f>
        <v>It's hard enough for women to find clothing that will make them look as beautiful as they feel but add a bigger bust size (i'm a 36dd) and it makes it this much harder. i ordered this top because of how beautiful it looked on the model and the price. when it arrived i was so excited! retailer does such a beautiful job with the way they handle their items! it was wrapped beautiful and no damage. i ordered a size 8 knowing that my chest could be a potential problem. the too itself is gorgeous! i did</v>
      </c>
      <c r="F464" s="13">
        <f>IFERROR(__xludf.DUMMYFUNCTION("""COMPUTED_VALUE"""),3.0)</f>
        <v>3</v>
      </c>
      <c r="G464" s="13">
        <f>IFERROR(__xludf.DUMMYFUNCTION("""COMPUTED_VALUE"""),0.0)</f>
        <v>0</v>
      </c>
      <c r="H464" s="13">
        <f>IFERROR(__xludf.DUMMYFUNCTION("""COMPUTED_VALUE"""),1.0)</f>
        <v>1</v>
      </c>
      <c r="I464" s="13" t="str">
        <f>IFERROR(__xludf.DUMMYFUNCTION("""COMPUTED_VALUE"""),"General Petite")</f>
        <v>General Petite</v>
      </c>
      <c r="J464" s="13" t="str">
        <f>IFERROR(__xludf.DUMMYFUNCTION("""COMPUTED_VALUE"""),"Tops")</f>
        <v>Tops</v>
      </c>
      <c r="K464" s="13" t="str">
        <f>IFERROR(__xludf.DUMMYFUNCTION("""COMPUTED_VALUE"""),"Blouses")</f>
        <v>Blouses</v>
      </c>
      <c r="L464" s="13"/>
    </row>
    <row r="465">
      <c r="A465" s="13">
        <f>IFERROR(__xludf.DUMMYFUNCTION("""COMPUTED_VALUE"""),463.0)</f>
        <v>463</v>
      </c>
      <c r="B465" s="13">
        <f>IFERROR(__xludf.DUMMYFUNCTION("""COMPUTED_VALUE"""),724.0)</f>
        <v>724</v>
      </c>
      <c r="C465" s="13">
        <f>IFERROR(__xludf.DUMMYFUNCTION("""COMPUTED_VALUE"""),69.0)</f>
        <v>69</v>
      </c>
      <c r="D465" s="12" t="str">
        <f>IFERROR(__xludf.DUMMYFUNCTION("""COMPUTED_VALUE"""),"Cute slip but very body hugging")</f>
        <v>Cute slip but very body hugging</v>
      </c>
      <c r="E465" s="12" t="str">
        <f>IFERROR(__xludf.DUMMYFUNCTION("""COMPUTED_VALUE"""),"Ordered this in white. it is really nice and sexy but very body hugging and unforgiving. perhaps it is my large stomach, but it hugs a bit too much for my liking. yet i think overall the design is very nice so i am keeping it and hoping i can lose some we"&amp;"ight in my tum.")</f>
        <v>Ordered this in white. it is really nice and sexy but very body hugging and unforgiving. perhaps it is my large stomach, but it hugs a bit too much for my liking. yet i think overall the design is very nice so i am keeping it and hoping i can lose some weight in my tum.</v>
      </c>
      <c r="F465" s="13">
        <f>IFERROR(__xludf.DUMMYFUNCTION("""COMPUTED_VALUE"""),4.0)</f>
        <v>4</v>
      </c>
      <c r="G465" s="13">
        <f>IFERROR(__xludf.DUMMYFUNCTION("""COMPUTED_VALUE"""),1.0)</f>
        <v>1</v>
      </c>
      <c r="H465" s="13">
        <f>IFERROR(__xludf.DUMMYFUNCTION("""COMPUTED_VALUE"""),1.0)</f>
        <v>1</v>
      </c>
      <c r="I465" s="13" t="str">
        <f>IFERROR(__xludf.DUMMYFUNCTION("""COMPUTED_VALUE"""),"Initmates")</f>
        <v>Initmates</v>
      </c>
      <c r="J465" s="13" t="str">
        <f>IFERROR(__xludf.DUMMYFUNCTION("""COMPUTED_VALUE"""),"Intimate")</f>
        <v>Intimate</v>
      </c>
      <c r="K465" s="13" t="str">
        <f>IFERROR(__xludf.DUMMYFUNCTION("""COMPUTED_VALUE"""),"Intimates")</f>
        <v>Intimates</v>
      </c>
      <c r="L465" s="13"/>
    </row>
    <row r="466">
      <c r="A466" s="13">
        <f>IFERROR(__xludf.DUMMYFUNCTION("""COMPUTED_VALUE"""),464.0)</f>
        <v>464</v>
      </c>
      <c r="B466" s="13">
        <f>IFERROR(__xludf.DUMMYFUNCTION("""COMPUTED_VALUE"""),833.0)</f>
        <v>833</v>
      </c>
      <c r="C466" s="13">
        <f>IFERROR(__xludf.DUMMYFUNCTION("""COMPUTED_VALUE"""),48.0)</f>
        <v>48</v>
      </c>
      <c r="D466" s="12" t="str">
        <f>IFERROR(__xludf.DUMMYFUNCTION("""COMPUTED_VALUE"""),"Lovely romantic blouse")</f>
        <v>Lovely romantic blouse</v>
      </c>
      <c r="E466" s="12" t="str">
        <f>IFERROR(__xludf.DUMMYFUNCTION("""COMPUTED_VALUE"""),"This is one of those you have to try it on to appreciate the lovely unique design. it is a very unique, flowing, romantic piece. it is sheer and i would wear a nude camisole underneath. i am normally a size small and bought a size 2 (i tried on a 6 in the"&amp;" store just to see what it looked like, fell in love with the look and the retailer associate recommended i buy a size 2). love it!")</f>
        <v>This is one of those you have to try it on to appreciate the lovely unique design. it is a very unique, flowing, romantic piece. it is sheer and i would wear a nude camisole underneath. i am normally a size small and bought a size 2 (i tried on a 6 in the store just to see what it looked like, fell in love with the look and the retailer associate recommended i buy a size 2). love it!</v>
      </c>
      <c r="F466" s="13">
        <f>IFERROR(__xludf.DUMMYFUNCTION("""COMPUTED_VALUE"""),5.0)</f>
        <v>5</v>
      </c>
      <c r="G466" s="13">
        <f>IFERROR(__xludf.DUMMYFUNCTION("""COMPUTED_VALUE"""),1.0)</f>
        <v>1</v>
      </c>
      <c r="H466" s="13">
        <f>IFERROR(__xludf.DUMMYFUNCTION("""COMPUTED_VALUE"""),0.0)</f>
        <v>0</v>
      </c>
      <c r="I466" s="13" t="str">
        <f>IFERROR(__xludf.DUMMYFUNCTION("""COMPUTED_VALUE"""),"General")</f>
        <v>General</v>
      </c>
      <c r="J466" s="13" t="str">
        <f>IFERROR(__xludf.DUMMYFUNCTION("""COMPUTED_VALUE"""),"Tops")</f>
        <v>Tops</v>
      </c>
      <c r="K466" s="13" t="str">
        <f>IFERROR(__xludf.DUMMYFUNCTION("""COMPUTED_VALUE"""),"Blouses")</f>
        <v>Blouses</v>
      </c>
      <c r="L466" s="13"/>
    </row>
    <row r="467">
      <c r="A467" s="13">
        <f>IFERROR(__xludf.DUMMYFUNCTION("""COMPUTED_VALUE"""),465.0)</f>
        <v>465</v>
      </c>
      <c r="B467" s="13">
        <f>IFERROR(__xludf.DUMMYFUNCTION("""COMPUTED_VALUE"""),862.0)</f>
        <v>862</v>
      </c>
      <c r="C467" s="13">
        <f>IFERROR(__xludf.DUMMYFUNCTION("""COMPUTED_VALUE"""),35.0)</f>
        <v>35</v>
      </c>
      <c r="D467" s="12" t="str">
        <f>IFERROR(__xludf.DUMMYFUNCTION("""COMPUTED_VALUE"""),"Extra fabric in back adds a lot")</f>
        <v>Extra fabric in back adds a lot</v>
      </c>
      <c r="E467" s="12" t="str">
        <f>IFERROR(__xludf.DUMMYFUNCTION("""COMPUTED_VALUE"""),"I got to try this on today and i really like it. the fabric is a normal t-shirt kind of fabric (i was hoping it would have been kind of special) and the v-neck in the front does go down a ways so that some cleavage is showing. i would feel comfortable wea"&amp;"ring it as-is outside of work, but would have to pair it with a cami if i would going to wear it to work. normally, i am not a huge fan of v-neck in the back and it drives me crazy thanks cami's these days are often made with a ""versatile"" v and")</f>
        <v>I got to try this on today and i really like it. the fabric is a normal t-shirt kind of fabric (i was hoping it would have been kind of special) and the v-neck in the front does go down a ways so that some cleavage is showing. i would feel comfortable wearing it as-is outside of work, but would have to pair it with a cami if i would going to wear it to work. normally, i am not a huge fan of v-neck in the back and it drives me crazy thanks cami's these days are often made with a "versatile" v and</v>
      </c>
      <c r="F467" s="13">
        <f>IFERROR(__xludf.DUMMYFUNCTION("""COMPUTED_VALUE"""),5.0)</f>
        <v>5</v>
      </c>
      <c r="G467" s="13">
        <f>IFERROR(__xludf.DUMMYFUNCTION("""COMPUTED_VALUE"""),1.0)</f>
        <v>1</v>
      </c>
      <c r="H467" s="13">
        <f>IFERROR(__xludf.DUMMYFUNCTION("""COMPUTED_VALUE"""),6.0)</f>
        <v>6</v>
      </c>
      <c r="I467" s="13" t="str">
        <f>IFERROR(__xludf.DUMMYFUNCTION("""COMPUTED_VALUE"""),"General")</f>
        <v>General</v>
      </c>
      <c r="J467" s="13" t="str">
        <f>IFERROR(__xludf.DUMMYFUNCTION("""COMPUTED_VALUE"""),"Tops")</f>
        <v>Tops</v>
      </c>
      <c r="K467" s="13" t="str">
        <f>IFERROR(__xludf.DUMMYFUNCTION("""COMPUTED_VALUE"""),"Knits")</f>
        <v>Knits</v>
      </c>
      <c r="L467" s="13"/>
    </row>
    <row r="468">
      <c r="A468" s="13">
        <f>IFERROR(__xludf.DUMMYFUNCTION("""COMPUTED_VALUE"""),466.0)</f>
        <v>466</v>
      </c>
      <c r="B468" s="13">
        <f>IFERROR(__xludf.DUMMYFUNCTION("""COMPUTED_VALUE"""),850.0)</f>
        <v>850</v>
      </c>
      <c r="C468" s="13">
        <f>IFERROR(__xludf.DUMMYFUNCTION("""COMPUTED_VALUE"""),59.0)</f>
        <v>59</v>
      </c>
      <c r="D468" s="12"/>
      <c r="E468" s="12" t="str">
        <f>IFERROR(__xludf.DUMMYFUNCTION("""COMPUTED_VALUE"""),"A breath of fresh air. spring flowers! easy to wear. very feminine and flattering. looks great with denim, orange, reds , etc. very happy with this purchase.")</f>
        <v>A breath of fresh air. spring flowers! easy to wear. very feminine and flattering. looks great with denim, orange, reds , etc. very happy with this purchase.</v>
      </c>
      <c r="F468" s="13">
        <f>IFERROR(__xludf.DUMMYFUNCTION("""COMPUTED_VALUE"""),5.0)</f>
        <v>5</v>
      </c>
      <c r="G468" s="13">
        <f>IFERROR(__xludf.DUMMYFUNCTION("""COMPUTED_VALUE"""),1.0)</f>
        <v>1</v>
      </c>
      <c r="H468" s="13">
        <f>IFERROR(__xludf.DUMMYFUNCTION("""COMPUTED_VALUE"""),4.0)</f>
        <v>4</v>
      </c>
      <c r="I468" s="13" t="str">
        <f>IFERROR(__xludf.DUMMYFUNCTION("""COMPUTED_VALUE"""),"General Petite")</f>
        <v>General Petite</v>
      </c>
      <c r="J468" s="13" t="str">
        <f>IFERROR(__xludf.DUMMYFUNCTION("""COMPUTED_VALUE"""),"Tops")</f>
        <v>Tops</v>
      </c>
      <c r="K468" s="13" t="str">
        <f>IFERROR(__xludf.DUMMYFUNCTION("""COMPUTED_VALUE"""),"Blouses")</f>
        <v>Blouses</v>
      </c>
      <c r="L468" s="13"/>
    </row>
    <row r="469">
      <c r="A469" s="13">
        <f>IFERROR(__xludf.DUMMYFUNCTION("""COMPUTED_VALUE"""),467.0)</f>
        <v>467</v>
      </c>
      <c r="B469" s="13">
        <f>IFERROR(__xludf.DUMMYFUNCTION("""COMPUTED_VALUE"""),1078.0)</f>
        <v>1078</v>
      </c>
      <c r="C469" s="13">
        <f>IFERROR(__xludf.DUMMYFUNCTION("""COMPUTED_VALUE"""),61.0)</f>
        <v>61</v>
      </c>
      <c r="D469" s="12" t="str">
        <f>IFERROR(__xludf.DUMMYFUNCTION("""COMPUTED_VALUE"""),"Great sweater dress!")</f>
        <v>Great sweater dress!</v>
      </c>
      <c r="E469" s="12" t="str">
        <f>IFERROR(__xludf.DUMMYFUNCTION("""COMPUTED_VALUE"""),"Nice fit and flare style, not clingy at all. i got the grey color, petite large, fits perfect. will wear with tights/boots or booties. lots of color options to accessorize with.")</f>
        <v>Nice fit and flare style, not clingy at all. i got the grey color, petite large, fits perfect. will wear with tights/boots or booties. lots of color options to accessorize with.</v>
      </c>
      <c r="F469" s="13">
        <f>IFERROR(__xludf.DUMMYFUNCTION("""COMPUTED_VALUE"""),5.0)</f>
        <v>5</v>
      </c>
      <c r="G469" s="13">
        <f>IFERROR(__xludf.DUMMYFUNCTION("""COMPUTED_VALUE"""),1.0)</f>
        <v>1</v>
      </c>
      <c r="H469" s="13">
        <f>IFERROR(__xludf.DUMMYFUNCTION("""COMPUTED_VALUE"""),1.0)</f>
        <v>1</v>
      </c>
      <c r="I469" s="13" t="str">
        <f>IFERROR(__xludf.DUMMYFUNCTION("""COMPUTED_VALUE"""),"General")</f>
        <v>General</v>
      </c>
      <c r="J469" s="13" t="str">
        <f>IFERROR(__xludf.DUMMYFUNCTION("""COMPUTED_VALUE"""),"Dresses")</f>
        <v>Dresses</v>
      </c>
      <c r="K469" s="13" t="str">
        <f>IFERROR(__xludf.DUMMYFUNCTION("""COMPUTED_VALUE"""),"Dresses")</f>
        <v>Dresses</v>
      </c>
      <c r="L469" s="13"/>
    </row>
    <row r="470">
      <c r="A470" s="13">
        <f>IFERROR(__xludf.DUMMYFUNCTION("""COMPUTED_VALUE"""),468.0)</f>
        <v>468</v>
      </c>
      <c r="B470" s="13">
        <f>IFERROR(__xludf.DUMMYFUNCTION("""COMPUTED_VALUE"""),850.0)</f>
        <v>850</v>
      </c>
      <c r="C470" s="13">
        <f>IFERROR(__xludf.DUMMYFUNCTION("""COMPUTED_VALUE"""),45.0)</f>
        <v>45</v>
      </c>
      <c r="D470" s="12" t="str">
        <f>IFERROR(__xludf.DUMMYFUNCTION("""COMPUTED_VALUE"""),"Pretty blouse")</f>
        <v>Pretty blouse</v>
      </c>
      <c r="E470" s="12" t="str">
        <f>IFERROR(__xludf.DUMMYFUNCTION("""COMPUTED_VALUE"""),"This top is soo pretty with a cool edge.
it looks and feels like really good quality.")</f>
        <v>This top is soo pretty with a cool edge.
it looks and feels like really good quality.</v>
      </c>
      <c r="F470" s="13">
        <f>IFERROR(__xludf.DUMMYFUNCTION("""COMPUTED_VALUE"""),5.0)</f>
        <v>5</v>
      </c>
      <c r="G470" s="13">
        <f>IFERROR(__xludf.DUMMYFUNCTION("""COMPUTED_VALUE"""),1.0)</f>
        <v>1</v>
      </c>
      <c r="H470" s="13">
        <f>IFERROR(__xludf.DUMMYFUNCTION("""COMPUTED_VALUE"""),0.0)</f>
        <v>0</v>
      </c>
      <c r="I470" s="13" t="str">
        <f>IFERROR(__xludf.DUMMYFUNCTION("""COMPUTED_VALUE"""),"General Petite")</f>
        <v>General Petite</v>
      </c>
      <c r="J470" s="13" t="str">
        <f>IFERROR(__xludf.DUMMYFUNCTION("""COMPUTED_VALUE"""),"Tops")</f>
        <v>Tops</v>
      </c>
      <c r="K470" s="13" t="str">
        <f>IFERROR(__xludf.DUMMYFUNCTION("""COMPUTED_VALUE"""),"Blouses")</f>
        <v>Blouses</v>
      </c>
      <c r="L470" s="13"/>
    </row>
    <row r="471">
      <c r="A471" s="13">
        <f>IFERROR(__xludf.DUMMYFUNCTION("""COMPUTED_VALUE"""),469.0)</f>
        <v>469</v>
      </c>
      <c r="B471" s="13">
        <f>IFERROR(__xludf.DUMMYFUNCTION("""COMPUTED_VALUE"""),1104.0)</f>
        <v>1104</v>
      </c>
      <c r="C471" s="13">
        <f>IFERROR(__xludf.DUMMYFUNCTION("""COMPUTED_VALUE"""),25.0)</f>
        <v>25</v>
      </c>
      <c r="D471" s="12" t="str">
        <f>IFERROR(__xludf.DUMMYFUNCTION("""COMPUTED_VALUE"""),"Love, love this flattering dress")</f>
        <v>Love, love this flattering dress</v>
      </c>
      <c r="E471" s="12" t="str">
        <f>IFERROR(__xludf.DUMMYFUNCTION("""COMPUTED_VALUE"""),"This dress is flattering in all the right places. it has a gorgeous skirt with a comfortable, form-fitting top. it provides just the right amount of coverage. i love it so much i bought it in two colors!")</f>
        <v>This dress is flattering in all the right places. it has a gorgeous skirt with a comfortable, form-fitting top. it provides just the right amount of coverage. i love it so much i bought it in two colors!</v>
      </c>
      <c r="F471" s="13">
        <f>IFERROR(__xludf.DUMMYFUNCTION("""COMPUTED_VALUE"""),5.0)</f>
        <v>5</v>
      </c>
      <c r="G471" s="13">
        <f>IFERROR(__xludf.DUMMYFUNCTION("""COMPUTED_VALUE"""),1.0)</f>
        <v>1</v>
      </c>
      <c r="H471" s="13">
        <f>IFERROR(__xludf.DUMMYFUNCTION("""COMPUTED_VALUE"""),1.0)</f>
        <v>1</v>
      </c>
      <c r="I471" s="13" t="str">
        <f>IFERROR(__xludf.DUMMYFUNCTION("""COMPUTED_VALUE"""),"General")</f>
        <v>General</v>
      </c>
      <c r="J471" s="13" t="str">
        <f>IFERROR(__xludf.DUMMYFUNCTION("""COMPUTED_VALUE"""),"Dresses")</f>
        <v>Dresses</v>
      </c>
      <c r="K471" s="13" t="str">
        <f>IFERROR(__xludf.DUMMYFUNCTION("""COMPUTED_VALUE"""),"Dresses")</f>
        <v>Dresses</v>
      </c>
      <c r="L471" s="13"/>
    </row>
    <row r="472">
      <c r="A472" s="13">
        <f>IFERROR(__xludf.DUMMYFUNCTION("""COMPUTED_VALUE"""),470.0)</f>
        <v>470</v>
      </c>
      <c r="B472" s="13">
        <f>IFERROR(__xludf.DUMMYFUNCTION("""COMPUTED_VALUE"""),1078.0)</f>
        <v>1078</v>
      </c>
      <c r="C472" s="13">
        <f>IFERROR(__xludf.DUMMYFUNCTION("""COMPUTED_VALUE"""),33.0)</f>
        <v>33</v>
      </c>
      <c r="D472" s="12" t="str">
        <f>IFERROR(__xludf.DUMMYFUNCTION("""COMPUTED_VALUE"""),"Cute, but cheap")</f>
        <v>Cute, but cheap</v>
      </c>
      <c r="E472" s="12" t="str">
        <f>IFERROR(__xludf.DUMMYFUNCTION("""COMPUTED_VALUE"""),"When i first opened this dress and tried it on i thought it was adorable. it is very flattering on my hourglass figure and hides my recent baby weight. the problem is the hem. it was already rolling up when i took it out of the package, and i should have "&amp;"noticed and returned it, but i figured the problem would be easily solved by a good ironing. well, it wasn't, and it gets worse every time i wash the dress. it's like the hem isn't constructed properly.")</f>
        <v>When i first opened this dress and tried it on i thought it was adorable. it is very flattering on my hourglass figure and hides my recent baby weight. the problem is the hem. it was already rolling up when i took it out of the package, and i should have noticed and returned it, but i figured the problem would be easily solved by a good ironing. well, it wasn't, and it gets worse every time i wash the dress. it's like the hem isn't constructed properly.</v>
      </c>
      <c r="F472" s="13">
        <f>IFERROR(__xludf.DUMMYFUNCTION("""COMPUTED_VALUE"""),3.0)</f>
        <v>3</v>
      </c>
      <c r="G472" s="13">
        <f>IFERROR(__xludf.DUMMYFUNCTION("""COMPUTED_VALUE"""),0.0)</f>
        <v>0</v>
      </c>
      <c r="H472" s="13">
        <f>IFERROR(__xludf.DUMMYFUNCTION("""COMPUTED_VALUE"""),0.0)</f>
        <v>0</v>
      </c>
      <c r="I472" s="13" t="str">
        <f>IFERROR(__xludf.DUMMYFUNCTION("""COMPUTED_VALUE"""),"General")</f>
        <v>General</v>
      </c>
      <c r="J472" s="13" t="str">
        <f>IFERROR(__xludf.DUMMYFUNCTION("""COMPUTED_VALUE"""),"Dresses")</f>
        <v>Dresses</v>
      </c>
      <c r="K472" s="13" t="str">
        <f>IFERROR(__xludf.DUMMYFUNCTION("""COMPUTED_VALUE"""),"Dresses")</f>
        <v>Dresses</v>
      </c>
      <c r="L472" s="13"/>
    </row>
    <row r="473">
      <c r="A473" s="13">
        <f>IFERROR(__xludf.DUMMYFUNCTION("""COMPUTED_VALUE"""),471.0)</f>
        <v>471</v>
      </c>
      <c r="B473" s="13">
        <f>IFERROR(__xludf.DUMMYFUNCTION("""COMPUTED_VALUE"""),984.0)</f>
        <v>984</v>
      </c>
      <c r="C473" s="13">
        <f>IFERROR(__xludf.DUMMYFUNCTION("""COMPUTED_VALUE"""),40.0)</f>
        <v>40</v>
      </c>
      <c r="D473" s="12" t="str">
        <f>IFERROR(__xludf.DUMMYFUNCTION("""COMPUTED_VALUE"""),"Love it.")</f>
        <v>Love it.</v>
      </c>
      <c r="E473" s="12" t="str">
        <f>IFERROR(__xludf.DUMMYFUNCTION("""COMPUTED_VALUE"""),"I simply love this jacket. it's comfortable, soft and has a relaxed fit that is easy to wear. i wish i had bought mine while it was on sale.")</f>
        <v>I simply love this jacket. it's comfortable, soft and has a relaxed fit that is easy to wear. i wish i had bought mine while it was on sale.</v>
      </c>
      <c r="F473" s="13">
        <f>IFERROR(__xludf.DUMMYFUNCTION("""COMPUTED_VALUE"""),4.0)</f>
        <v>4</v>
      </c>
      <c r="G473" s="13">
        <f>IFERROR(__xludf.DUMMYFUNCTION("""COMPUTED_VALUE"""),1.0)</f>
        <v>1</v>
      </c>
      <c r="H473" s="13">
        <f>IFERROR(__xludf.DUMMYFUNCTION("""COMPUTED_VALUE"""),0.0)</f>
        <v>0</v>
      </c>
      <c r="I473" s="13" t="str">
        <f>IFERROR(__xludf.DUMMYFUNCTION("""COMPUTED_VALUE"""),"General")</f>
        <v>General</v>
      </c>
      <c r="J473" s="13" t="str">
        <f>IFERROR(__xludf.DUMMYFUNCTION("""COMPUTED_VALUE"""),"Jackets")</f>
        <v>Jackets</v>
      </c>
      <c r="K473" s="13" t="str">
        <f>IFERROR(__xludf.DUMMYFUNCTION("""COMPUTED_VALUE"""),"Jackets")</f>
        <v>Jackets</v>
      </c>
      <c r="L473" s="13"/>
    </row>
    <row r="474">
      <c r="A474" s="13">
        <f>IFERROR(__xludf.DUMMYFUNCTION("""COMPUTED_VALUE"""),472.0)</f>
        <v>472</v>
      </c>
      <c r="B474" s="13">
        <f>IFERROR(__xludf.DUMMYFUNCTION("""COMPUTED_VALUE"""),850.0)</f>
        <v>850</v>
      </c>
      <c r="C474" s="13">
        <f>IFERROR(__xludf.DUMMYFUNCTION("""COMPUTED_VALUE"""),68.0)</f>
        <v>68</v>
      </c>
      <c r="D474" s="12" t="str">
        <f>IFERROR(__xludf.DUMMYFUNCTION("""COMPUTED_VALUE"""),"Gorgeous top with a hint of pizazz")</f>
        <v>Gorgeous top with a hint of pizazz</v>
      </c>
      <c r="E474" s="12" t="str">
        <f>IFERROR(__xludf.DUMMYFUNCTION("""COMPUTED_VALUE"""),"I love this top! it's easily both day and night-worthy with a splash of sexiness in a front peek-a-boo design. lovely embossed design all over.")</f>
        <v>I love this top! it's easily both day and night-worthy with a splash of sexiness in a front peek-a-boo design. lovely embossed design all over.</v>
      </c>
      <c r="F474" s="13">
        <f>IFERROR(__xludf.DUMMYFUNCTION("""COMPUTED_VALUE"""),5.0)</f>
        <v>5</v>
      </c>
      <c r="G474" s="13">
        <f>IFERROR(__xludf.DUMMYFUNCTION("""COMPUTED_VALUE"""),1.0)</f>
        <v>1</v>
      </c>
      <c r="H474" s="13">
        <f>IFERROR(__xludf.DUMMYFUNCTION("""COMPUTED_VALUE"""),3.0)</f>
        <v>3</v>
      </c>
      <c r="I474" s="13" t="str">
        <f>IFERROR(__xludf.DUMMYFUNCTION("""COMPUTED_VALUE"""),"General Petite")</f>
        <v>General Petite</v>
      </c>
      <c r="J474" s="13" t="str">
        <f>IFERROR(__xludf.DUMMYFUNCTION("""COMPUTED_VALUE"""),"Tops")</f>
        <v>Tops</v>
      </c>
      <c r="K474" s="13" t="str">
        <f>IFERROR(__xludf.DUMMYFUNCTION("""COMPUTED_VALUE"""),"Blouses")</f>
        <v>Blouses</v>
      </c>
      <c r="L474" s="13"/>
    </row>
    <row r="475">
      <c r="A475" s="13">
        <f>IFERROR(__xludf.DUMMYFUNCTION("""COMPUTED_VALUE"""),473.0)</f>
        <v>473</v>
      </c>
      <c r="B475" s="13">
        <f>IFERROR(__xludf.DUMMYFUNCTION("""COMPUTED_VALUE"""),204.0)</f>
        <v>204</v>
      </c>
      <c r="C475" s="13">
        <f>IFERROR(__xludf.DUMMYFUNCTION("""COMPUTED_VALUE"""),30.0)</f>
        <v>30</v>
      </c>
      <c r="D475" s="12" t="str">
        <f>IFERROR(__xludf.DUMMYFUNCTION("""COMPUTED_VALUE"""),"Else lingerie jardin silk bralette review")</f>
        <v>Else lingerie jardin silk bralette review</v>
      </c>
      <c r="E475" s="12" t="str">
        <f>IFERROR(__xludf.DUMMYFUNCTION("""COMPUTED_VALUE"""),"This bra is extremely comfortable and surprisingly supportive considering the lack of padding or firm material. it also runs large.")</f>
        <v>This bra is extremely comfortable and surprisingly supportive considering the lack of padding or firm material. it also runs large.</v>
      </c>
      <c r="F475" s="13">
        <f>IFERROR(__xludf.DUMMYFUNCTION("""COMPUTED_VALUE"""),5.0)</f>
        <v>5</v>
      </c>
      <c r="G475" s="13">
        <f>IFERROR(__xludf.DUMMYFUNCTION("""COMPUTED_VALUE"""),1.0)</f>
        <v>1</v>
      </c>
      <c r="H475" s="13">
        <f>IFERROR(__xludf.DUMMYFUNCTION("""COMPUTED_VALUE"""),0.0)</f>
        <v>0</v>
      </c>
      <c r="I475" s="13" t="str">
        <f>IFERROR(__xludf.DUMMYFUNCTION("""COMPUTED_VALUE"""),"Initmates")</f>
        <v>Initmates</v>
      </c>
      <c r="J475" s="13" t="str">
        <f>IFERROR(__xludf.DUMMYFUNCTION("""COMPUTED_VALUE"""),"Intimate")</f>
        <v>Intimate</v>
      </c>
      <c r="K475" s="13" t="str">
        <f>IFERROR(__xludf.DUMMYFUNCTION("""COMPUTED_VALUE"""),"Intimates")</f>
        <v>Intimates</v>
      </c>
      <c r="L475" s="13"/>
    </row>
    <row r="476">
      <c r="A476" s="13">
        <f>IFERROR(__xludf.DUMMYFUNCTION("""COMPUTED_VALUE"""),474.0)</f>
        <v>474</v>
      </c>
      <c r="B476" s="13">
        <f>IFERROR(__xludf.DUMMYFUNCTION("""COMPUTED_VALUE"""),1078.0)</f>
        <v>1078</v>
      </c>
      <c r="C476" s="13">
        <f>IFERROR(__xludf.DUMMYFUNCTION("""COMPUTED_VALUE"""),20.0)</f>
        <v>20</v>
      </c>
      <c r="D476" s="12" t="str">
        <f>IFERROR(__xludf.DUMMYFUNCTION("""COMPUTED_VALUE"""),"Super cute and flattering too")</f>
        <v>Super cute and flattering too</v>
      </c>
      <c r="E476" s="12" t="str">
        <f>IFERROR(__xludf.DUMMYFUNCTION("""COMPUTED_VALUE"""),"I love this sweater dress and get compliments every time i wear it.. i bought the navy in size xs. the pattern and colors are just fun and youthful, although you don't have to be young to look good in this dress. the dress is fitted, but the skirt flares,"&amp;" making it flattering if you have hips like me. the material is not too heavy so you can wear this 3 seasons fall, winter, spring. as other reviews have mentioned the dress is short. i am 5'9"" so it does hit well above my knees. this isn't an is")</f>
        <v>I love this sweater dress and get compliments every time i wear it.. i bought the navy in size xs. the pattern and colors are just fun and youthful, although you don't have to be young to look good in this dress. the dress is fitted, but the skirt flares, making it flattering if you have hips like me. the material is not too heavy so you can wear this 3 seasons fall, winter, spring. as other reviews have mentioned the dress is short. i am 5'9" so it does hit well above my knees. this isn't an is</v>
      </c>
      <c r="F476" s="13">
        <f>IFERROR(__xludf.DUMMYFUNCTION("""COMPUTED_VALUE"""),5.0)</f>
        <v>5</v>
      </c>
      <c r="G476" s="13">
        <f>IFERROR(__xludf.DUMMYFUNCTION("""COMPUTED_VALUE"""),1.0)</f>
        <v>1</v>
      </c>
      <c r="H476" s="13">
        <f>IFERROR(__xludf.DUMMYFUNCTION("""COMPUTED_VALUE"""),1.0)</f>
        <v>1</v>
      </c>
      <c r="I476" s="13" t="str">
        <f>IFERROR(__xludf.DUMMYFUNCTION("""COMPUTED_VALUE"""),"General")</f>
        <v>General</v>
      </c>
      <c r="J476" s="13" t="str">
        <f>IFERROR(__xludf.DUMMYFUNCTION("""COMPUTED_VALUE"""),"Dresses")</f>
        <v>Dresses</v>
      </c>
      <c r="K476" s="13" t="str">
        <f>IFERROR(__xludf.DUMMYFUNCTION("""COMPUTED_VALUE"""),"Dresses")</f>
        <v>Dresses</v>
      </c>
      <c r="L476" s="13"/>
    </row>
    <row r="477">
      <c r="A477" s="13">
        <f>IFERROR(__xludf.DUMMYFUNCTION("""COMPUTED_VALUE"""),475.0)</f>
        <v>475</v>
      </c>
      <c r="B477" s="13">
        <f>IFERROR(__xludf.DUMMYFUNCTION("""COMPUTED_VALUE"""),862.0)</f>
        <v>862</v>
      </c>
      <c r="C477" s="13">
        <f>IFERROR(__xludf.DUMMYFUNCTION("""COMPUTED_VALUE"""),42.0)</f>
        <v>42</v>
      </c>
      <c r="D477" s="12" t="str">
        <f>IFERROR(__xludf.DUMMYFUNCTION("""COMPUTED_VALUE"""),"Poor quality")</f>
        <v>Poor quality</v>
      </c>
      <c r="E477" s="12" t="str">
        <f>IFERROR(__xludf.DUMMYFUNCTION("""COMPUTED_VALUE"""),"I bought this in the white, size m (140lbs., 5'8"", 34b) because i wanted a baggy fit, which i got, so this is tts. the white is more of an off-white rather than a bright white, which i like because i happen to be looking for an off-white tee. and the sha"&amp;"pe is good--even in a larger size, this tee nips in at the waist.however, the quality of this tee is lacking, as it is the typical, cheap, marled, slightly see-through material that seems to be everywhere these days and the band on the back of th")</f>
        <v>I bought this in the white, size m (140lbs., 5'8", 34b) because i wanted a baggy fit, which i got, so this is tts. the white is more of an off-white rather than a bright white, which i like because i happen to be looking for an off-white tee. and the shape is good--even in a larger size, this tee nips in at the waist.however, the quality of this tee is lacking, as it is the typical, cheap, marled, slightly see-through material that seems to be everywhere these days and the band on the back of th</v>
      </c>
      <c r="F477" s="13">
        <f>IFERROR(__xludf.DUMMYFUNCTION("""COMPUTED_VALUE"""),2.0)</f>
        <v>2</v>
      </c>
      <c r="G477" s="13">
        <f>IFERROR(__xludf.DUMMYFUNCTION("""COMPUTED_VALUE"""),0.0)</f>
        <v>0</v>
      </c>
      <c r="H477" s="13">
        <f>IFERROR(__xludf.DUMMYFUNCTION("""COMPUTED_VALUE"""),2.0)</f>
        <v>2</v>
      </c>
      <c r="I477" s="13" t="str">
        <f>IFERROR(__xludf.DUMMYFUNCTION("""COMPUTED_VALUE"""),"General")</f>
        <v>General</v>
      </c>
      <c r="J477" s="13" t="str">
        <f>IFERROR(__xludf.DUMMYFUNCTION("""COMPUTED_VALUE"""),"Tops")</f>
        <v>Tops</v>
      </c>
      <c r="K477" s="13" t="str">
        <f>IFERROR(__xludf.DUMMYFUNCTION("""COMPUTED_VALUE"""),"Knits")</f>
        <v>Knits</v>
      </c>
      <c r="L477" s="13"/>
    </row>
    <row r="478">
      <c r="A478" s="13">
        <f>IFERROR(__xludf.DUMMYFUNCTION("""COMPUTED_VALUE"""),476.0)</f>
        <v>476</v>
      </c>
      <c r="B478" s="13">
        <f>IFERROR(__xludf.DUMMYFUNCTION("""COMPUTED_VALUE"""),1078.0)</f>
        <v>1078</v>
      </c>
      <c r="C478" s="13">
        <f>IFERROR(__xludf.DUMMYFUNCTION("""COMPUTED_VALUE"""),52.0)</f>
        <v>52</v>
      </c>
      <c r="D478" s="12" t="str">
        <f>IFERROR(__xludf.DUMMYFUNCTION("""COMPUTED_VALUE"""),"Fun dress")</f>
        <v>Fun dress</v>
      </c>
      <c r="E478" s="12" t="str">
        <f>IFERROR(__xludf.DUMMYFUNCTION("""COMPUTED_VALUE"""),"Extremely flattering. an easy dress to wear - good choice for both day and evening")</f>
        <v>Extremely flattering. an easy dress to wear - good choice for both day and evening</v>
      </c>
      <c r="F478" s="13">
        <f>IFERROR(__xludf.DUMMYFUNCTION("""COMPUTED_VALUE"""),5.0)</f>
        <v>5</v>
      </c>
      <c r="G478" s="13">
        <f>IFERROR(__xludf.DUMMYFUNCTION("""COMPUTED_VALUE"""),1.0)</f>
        <v>1</v>
      </c>
      <c r="H478" s="13">
        <f>IFERROR(__xludf.DUMMYFUNCTION("""COMPUTED_VALUE"""),1.0)</f>
        <v>1</v>
      </c>
      <c r="I478" s="13" t="str">
        <f>IFERROR(__xludf.DUMMYFUNCTION("""COMPUTED_VALUE"""),"General")</f>
        <v>General</v>
      </c>
      <c r="J478" s="13" t="str">
        <f>IFERROR(__xludf.DUMMYFUNCTION("""COMPUTED_VALUE"""),"Dresses")</f>
        <v>Dresses</v>
      </c>
      <c r="K478" s="13" t="str">
        <f>IFERROR(__xludf.DUMMYFUNCTION("""COMPUTED_VALUE"""),"Dresses")</f>
        <v>Dresses</v>
      </c>
      <c r="L478" s="13"/>
    </row>
    <row r="479">
      <c r="A479" s="13">
        <f>IFERROR(__xludf.DUMMYFUNCTION("""COMPUTED_VALUE"""),477.0)</f>
        <v>477</v>
      </c>
      <c r="B479" s="13">
        <f>IFERROR(__xludf.DUMMYFUNCTION("""COMPUTED_VALUE"""),984.0)</f>
        <v>984</v>
      </c>
      <c r="C479" s="13">
        <f>IFERROR(__xludf.DUMMYFUNCTION("""COMPUTED_VALUE"""),42.0)</f>
        <v>42</v>
      </c>
      <c r="D479" s="12" t="str">
        <f>IFERROR(__xludf.DUMMYFUNCTION("""COMPUTED_VALUE"""),"Very cute jacket!")</f>
        <v>Very cute jacket!</v>
      </c>
      <c r="E479" s="12" t="str">
        <f>IFERROR(__xludf.DUMMYFUNCTION("""COMPUTED_VALUE"""),"I took a chance and tried on this jacket today at the store. at first i was worried that it might look boxy on me but as soon as i put it on, it was love at first sight! it's so cute and very comfy! the sleeves are slightly long on me but that's been a re"&amp;"current issue regarding all my jackets. i'm only 5'3"" about 124 lbs. and it fit me very well. because it's a bit cropped, it makes me look taller. glad the weather is starting to warm up so i can find more excuses to wear it. i didn't need anoth")</f>
        <v>I took a chance and tried on this jacket today at the store. at first i was worried that it might look boxy on me but as soon as i put it on, it was love at first sight! it's so cute and very comfy! the sleeves are slightly long on me but that's been a recurrent issue regarding all my jackets. i'm only 5'3" about 124 lbs. and it fit me very well. because it's a bit cropped, it makes me look taller. glad the weather is starting to warm up so i can find more excuses to wear it. i didn't need anoth</v>
      </c>
      <c r="F479" s="13">
        <f>IFERROR(__xludf.DUMMYFUNCTION("""COMPUTED_VALUE"""),5.0)</f>
        <v>5</v>
      </c>
      <c r="G479" s="13">
        <f>IFERROR(__xludf.DUMMYFUNCTION("""COMPUTED_VALUE"""),1.0)</f>
        <v>1</v>
      </c>
      <c r="H479" s="13">
        <f>IFERROR(__xludf.DUMMYFUNCTION("""COMPUTED_VALUE"""),2.0)</f>
        <v>2</v>
      </c>
      <c r="I479" s="13" t="str">
        <f>IFERROR(__xludf.DUMMYFUNCTION("""COMPUTED_VALUE"""),"General")</f>
        <v>General</v>
      </c>
      <c r="J479" s="13" t="str">
        <f>IFERROR(__xludf.DUMMYFUNCTION("""COMPUTED_VALUE"""),"Jackets")</f>
        <v>Jackets</v>
      </c>
      <c r="K479" s="13" t="str">
        <f>IFERROR(__xludf.DUMMYFUNCTION("""COMPUTED_VALUE"""),"Jackets")</f>
        <v>Jackets</v>
      </c>
      <c r="L479" s="13"/>
    </row>
    <row r="480">
      <c r="A480" s="13">
        <f>IFERROR(__xludf.DUMMYFUNCTION("""COMPUTED_VALUE"""),478.0)</f>
        <v>478</v>
      </c>
      <c r="B480" s="13">
        <f>IFERROR(__xludf.DUMMYFUNCTION("""COMPUTED_VALUE"""),1008.0)</f>
        <v>1008</v>
      </c>
      <c r="C480" s="13">
        <f>IFERROR(__xludf.DUMMYFUNCTION("""COMPUTED_VALUE"""),24.0)</f>
        <v>24</v>
      </c>
      <c r="D480" s="12" t="str">
        <f>IFERROR(__xludf.DUMMYFUNCTION("""COMPUTED_VALUE"""),"Cute but too large")</f>
        <v>Cute but too large</v>
      </c>
      <c r="E480" s="12" t="str">
        <f>IFERROR(__xludf.DUMMYFUNCTION("""COMPUTED_VALUE"""),"Bought this in an xs and i liked the style of the skirt. it was long enough to wear to work. 
however the waist was too large and would not stay up on my waist. returned.")</f>
        <v>Bought this in an xs and i liked the style of the skirt. it was long enough to wear to work. 
however the waist was too large and would not stay up on my waist. returned.</v>
      </c>
      <c r="F480" s="13">
        <f>IFERROR(__xludf.DUMMYFUNCTION("""COMPUTED_VALUE"""),4.0)</f>
        <v>4</v>
      </c>
      <c r="G480" s="13">
        <f>IFERROR(__xludf.DUMMYFUNCTION("""COMPUTED_VALUE"""),1.0)</f>
        <v>1</v>
      </c>
      <c r="H480" s="13">
        <f>IFERROR(__xludf.DUMMYFUNCTION("""COMPUTED_VALUE"""),0.0)</f>
        <v>0</v>
      </c>
      <c r="I480" s="13" t="str">
        <f>IFERROR(__xludf.DUMMYFUNCTION("""COMPUTED_VALUE"""),"General")</f>
        <v>General</v>
      </c>
      <c r="J480" s="13" t="str">
        <f>IFERROR(__xludf.DUMMYFUNCTION("""COMPUTED_VALUE"""),"Bottoms")</f>
        <v>Bottoms</v>
      </c>
      <c r="K480" s="13" t="str">
        <f>IFERROR(__xludf.DUMMYFUNCTION("""COMPUTED_VALUE"""),"Skirts")</f>
        <v>Skirts</v>
      </c>
      <c r="L480" s="13"/>
    </row>
    <row r="481">
      <c r="A481" s="13">
        <f>IFERROR(__xludf.DUMMYFUNCTION("""COMPUTED_VALUE"""),479.0)</f>
        <v>479</v>
      </c>
      <c r="B481" s="13">
        <f>IFERROR(__xludf.DUMMYFUNCTION("""COMPUTED_VALUE"""),841.0)</f>
        <v>841</v>
      </c>
      <c r="C481" s="13">
        <f>IFERROR(__xludf.DUMMYFUNCTION("""COMPUTED_VALUE"""),43.0)</f>
        <v>43</v>
      </c>
      <c r="D481" s="12" t="str">
        <f>IFERROR(__xludf.DUMMYFUNCTION("""COMPUTED_VALUE"""),"Great, but size down.")</f>
        <v>Great, but size down.</v>
      </c>
      <c r="E481" s="12" t="str">
        <f>IFERROR(__xludf.DUMMYFUNCTION("""COMPUTED_VALUE"""),"I ordered this top in the solid navy. the quality seemed very good, and my overall impression was favorable. what i liked was that the top stayed off the shoulders even when i was moving. so many of the on-trend ""cold shoulder"" tops simply do not stay p"&amp;"ut with even the slightest movement. unfortunately, this top ran quite a bit large. if you are in between sizes - i definitely recommend sizing down. i've not seen the printed floral option, but the dark navy is lovely and looks chic with white bo")</f>
        <v>I ordered this top in the solid navy. the quality seemed very good, and my overall impression was favorable. what i liked was that the top stayed off the shoulders even when i was moving. so many of the on-trend "cold shoulder" tops simply do not stay put with even the slightest movement. unfortunately, this top ran quite a bit large. if you are in between sizes - i definitely recommend sizing down. i've not seen the printed floral option, but the dark navy is lovely and looks chic with white bo</v>
      </c>
      <c r="F481" s="13">
        <f>IFERROR(__xludf.DUMMYFUNCTION("""COMPUTED_VALUE"""),4.0)</f>
        <v>4</v>
      </c>
      <c r="G481" s="13">
        <f>IFERROR(__xludf.DUMMYFUNCTION("""COMPUTED_VALUE"""),1.0)</f>
        <v>1</v>
      </c>
      <c r="H481" s="13">
        <f>IFERROR(__xludf.DUMMYFUNCTION("""COMPUTED_VALUE"""),0.0)</f>
        <v>0</v>
      </c>
      <c r="I481" s="13" t="str">
        <f>IFERROR(__xludf.DUMMYFUNCTION("""COMPUTED_VALUE"""),"General Petite")</f>
        <v>General Petite</v>
      </c>
      <c r="J481" s="13" t="str">
        <f>IFERROR(__xludf.DUMMYFUNCTION("""COMPUTED_VALUE"""),"Tops")</f>
        <v>Tops</v>
      </c>
      <c r="K481" s="13" t="str">
        <f>IFERROR(__xludf.DUMMYFUNCTION("""COMPUTED_VALUE"""),"Blouses")</f>
        <v>Blouses</v>
      </c>
      <c r="L481" s="13"/>
    </row>
    <row r="482">
      <c r="A482" s="13">
        <f>IFERROR(__xludf.DUMMYFUNCTION("""COMPUTED_VALUE"""),480.0)</f>
        <v>480</v>
      </c>
      <c r="B482" s="13">
        <f>IFERROR(__xludf.DUMMYFUNCTION("""COMPUTED_VALUE"""),1104.0)</f>
        <v>1104</v>
      </c>
      <c r="C482" s="13">
        <f>IFERROR(__xludf.DUMMYFUNCTION("""COMPUTED_VALUE"""),51.0)</f>
        <v>51</v>
      </c>
      <c r="D482" s="12" t="str">
        <f>IFERROR(__xludf.DUMMYFUNCTION("""COMPUTED_VALUE"""),"Not for the busty")</f>
        <v>Not for the busty</v>
      </c>
      <c r="E482" s="12" t="str">
        <f>IFERROR(__xludf.DUMMYFUNCTION("""COMPUTED_VALUE"""),"Nice fabric, very versatile but the knit top and style accentuates your bust. probably not an issue for most but if your a d or up it's more attention than you may want.")</f>
        <v>Nice fabric, very versatile but the knit top and style accentuates your bust. probably not an issue for most but if your a d or up it's more attention than you may want.</v>
      </c>
      <c r="F482" s="13">
        <f>IFERROR(__xludf.DUMMYFUNCTION("""COMPUTED_VALUE"""),3.0)</f>
        <v>3</v>
      </c>
      <c r="G482" s="13">
        <f>IFERROR(__xludf.DUMMYFUNCTION("""COMPUTED_VALUE"""),0.0)</f>
        <v>0</v>
      </c>
      <c r="H482" s="13">
        <f>IFERROR(__xludf.DUMMYFUNCTION("""COMPUTED_VALUE"""),0.0)</f>
        <v>0</v>
      </c>
      <c r="I482" s="13" t="str">
        <f>IFERROR(__xludf.DUMMYFUNCTION("""COMPUTED_VALUE"""),"General")</f>
        <v>General</v>
      </c>
      <c r="J482" s="13" t="str">
        <f>IFERROR(__xludf.DUMMYFUNCTION("""COMPUTED_VALUE"""),"Dresses")</f>
        <v>Dresses</v>
      </c>
      <c r="K482" s="13" t="str">
        <f>IFERROR(__xludf.DUMMYFUNCTION("""COMPUTED_VALUE"""),"Dresses")</f>
        <v>Dresses</v>
      </c>
      <c r="L482" s="13"/>
    </row>
    <row r="483">
      <c r="A483" s="13">
        <f>IFERROR(__xludf.DUMMYFUNCTION("""COMPUTED_VALUE"""),481.0)</f>
        <v>481</v>
      </c>
      <c r="B483" s="13">
        <f>IFERROR(__xludf.DUMMYFUNCTION("""COMPUTED_VALUE"""),850.0)</f>
        <v>850</v>
      </c>
      <c r="C483" s="13">
        <f>IFERROR(__xludf.DUMMYFUNCTION("""COMPUTED_VALUE"""),39.0)</f>
        <v>39</v>
      </c>
      <c r="D483" s="12" t="str">
        <f>IFERROR(__xludf.DUMMYFUNCTION("""COMPUTED_VALUE"""),"Pretty adn flattering")</f>
        <v>Pretty adn flattering</v>
      </c>
      <c r="E483" s="12" t="str">
        <f>IFERROR(__xludf.DUMMYFUNCTION("""COMPUTED_VALUE"""),"I tried on the usual xs in the patterned style, and it fit really nicely. the colors are very nice in person, vibrant. teh cut is flatering and gives a nice definition at the waist i also love the lace up neck detailing. the sleeves flutter out, and will "&amp;"give a bit more volume, if i would change something that would be it. i would make the sleeves more fitter or perhaps shirter with the flutter. i am 115 lbs for reference...")</f>
        <v>I tried on the usual xs in the patterned style, and it fit really nicely. the colors are very nice in person, vibrant. teh cut is flatering and gives a nice definition at the waist i also love the lace up neck detailing. the sleeves flutter out, and will give a bit more volume, if i would change something that would be it. i would make the sleeves more fitter or perhaps shirter with the flutter. i am 115 lbs for reference...</v>
      </c>
      <c r="F483" s="13">
        <f>IFERROR(__xludf.DUMMYFUNCTION("""COMPUTED_VALUE"""),5.0)</f>
        <v>5</v>
      </c>
      <c r="G483" s="13">
        <f>IFERROR(__xludf.DUMMYFUNCTION("""COMPUTED_VALUE"""),1.0)</f>
        <v>1</v>
      </c>
      <c r="H483" s="13">
        <f>IFERROR(__xludf.DUMMYFUNCTION("""COMPUTED_VALUE"""),1.0)</f>
        <v>1</v>
      </c>
      <c r="I483" s="13" t="str">
        <f>IFERROR(__xludf.DUMMYFUNCTION("""COMPUTED_VALUE"""),"General Petite")</f>
        <v>General Petite</v>
      </c>
      <c r="J483" s="13" t="str">
        <f>IFERROR(__xludf.DUMMYFUNCTION("""COMPUTED_VALUE"""),"Tops")</f>
        <v>Tops</v>
      </c>
      <c r="K483" s="13" t="str">
        <f>IFERROR(__xludf.DUMMYFUNCTION("""COMPUTED_VALUE"""),"Blouses")</f>
        <v>Blouses</v>
      </c>
      <c r="L483" s="13"/>
    </row>
    <row r="484">
      <c r="A484" s="13">
        <f>IFERROR(__xludf.DUMMYFUNCTION("""COMPUTED_VALUE"""),482.0)</f>
        <v>482</v>
      </c>
      <c r="B484" s="13">
        <f>IFERROR(__xludf.DUMMYFUNCTION("""COMPUTED_VALUE"""),1081.0)</f>
        <v>1081</v>
      </c>
      <c r="C484" s="13">
        <f>IFERROR(__xludf.DUMMYFUNCTION("""COMPUTED_VALUE"""),39.0)</f>
        <v>39</v>
      </c>
      <c r="D484" s="12" t="str">
        <f>IFERROR(__xludf.DUMMYFUNCTION("""COMPUTED_VALUE"""),"Love everything about htis dress")</f>
        <v>Love everything about htis dress</v>
      </c>
      <c r="E484" s="12" t="str">
        <f>IFERROR(__xludf.DUMMYFUNCTION("""COMPUTED_VALUE"""),"I had it on my wish list for a long time, not sure whether i should purchase, i even hesitated when it went on sale, but boy, am i glad i did order it... it is crazy comfortable, flattering, and love that it looks black but is blue... i ordered both xs an"&amp;"d xs p and decided to go with the petite as it will look super cute in the fall with boots. not too short (i am 5 foot 1.5)... the fake leather part concerned me at first, but i like it now... nothing bad ot say about it!")</f>
        <v>I had it on my wish list for a long time, not sure whether i should purchase, i even hesitated when it went on sale, but boy, am i glad i did order it... it is crazy comfortable, flattering, and love that it looks black but is blue... i ordered both xs and xs p and decided to go with the petite as it will look super cute in the fall with boots. not too short (i am 5 foot 1.5)... the fake leather part concerned me at first, but i like it now... nothing bad ot say about it!</v>
      </c>
      <c r="F484" s="13">
        <f>IFERROR(__xludf.DUMMYFUNCTION("""COMPUTED_VALUE"""),5.0)</f>
        <v>5</v>
      </c>
      <c r="G484" s="13">
        <f>IFERROR(__xludf.DUMMYFUNCTION("""COMPUTED_VALUE"""),1.0)</f>
        <v>1</v>
      </c>
      <c r="H484" s="13">
        <f>IFERROR(__xludf.DUMMYFUNCTION("""COMPUTED_VALUE"""),0.0)</f>
        <v>0</v>
      </c>
      <c r="I484" s="13" t="str">
        <f>IFERROR(__xludf.DUMMYFUNCTION("""COMPUTED_VALUE"""),"General")</f>
        <v>General</v>
      </c>
      <c r="J484" s="13" t="str">
        <f>IFERROR(__xludf.DUMMYFUNCTION("""COMPUTED_VALUE"""),"Dresses")</f>
        <v>Dresses</v>
      </c>
      <c r="K484" s="13" t="str">
        <f>IFERROR(__xludf.DUMMYFUNCTION("""COMPUTED_VALUE"""),"Dresses")</f>
        <v>Dresses</v>
      </c>
      <c r="L484" s="13"/>
    </row>
    <row r="485">
      <c r="A485" s="13">
        <f>IFERROR(__xludf.DUMMYFUNCTION("""COMPUTED_VALUE"""),483.0)</f>
        <v>483</v>
      </c>
      <c r="B485" s="13">
        <f>IFERROR(__xludf.DUMMYFUNCTION("""COMPUTED_VALUE"""),833.0)</f>
        <v>833</v>
      </c>
      <c r="C485" s="13">
        <f>IFERROR(__xludf.DUMMYFUNCTION("""COMPUTED_VALUE"""),39.0)</f>
        <v>39</v>
      </c>
      <c r="D485" s="12"/>
      <c r="E485" s="12" t="str">
        <f>IFERROR(__xludf.DUMMYFUNCTION("""COMPUTED_VALUE"""),"I tried this on in store and since my usual size 6 wasn't available i tried on a 4. it was a little snug in the upper sleeves and shoulders but was lovely otherwise. i passed on it and waited for it to go on sale to order it online. i got it in my usual s"&amp;"ize 6 but it seemed to me like it was 2 sizes bigger than the 4. i have decided to keep it but i just wasn't thrilled with the fit.")</f>
        <v>I tried this on in store and since my usual size 6 wasn't available i tried on a 4. it was a little snug in the upper sleeves and shoulders but was lovely otherwise. i passed on it and waited for it to go on sale to order it online. i got it in my usual size 6 but it seemed to me like it was 2 sizes bigger than the 4. i have decided to keep it but i just wasn't thrilled with the fit.</v>
      </c>
      <c r="F485" s="13">
        <f>IFERROR(__xludf.DUMMYFUNCTION("""COMPUTED_VALUE"""),4.0)</f>
        <v>4</v>
      </c>
      <c r="G485" s="13">
        <f>IFERROR(__xludf.DUMMYFUNCTION("""COMPUTED_VALUE"""),1.0)</f>
        <v>1</v>
      </c>
      <c r="H485" s="13">
        <f>IFERROR(__xludf.DUMMYFUNCTION("""COMPUTED_VALUE"""),1.0)</f>
        <v>1</v>
      </c>
      <c r="I485" s="13" t="str">
        <f>IFERROR(__xludf.DUMMYFUNCTION("""COMPUTED_VALUE"""),"General")</f>
        <v>General</v>
      </c>
      <c r="J485" s="13" t="str">
        <f>IFERROR(__xludf.DUMMYFUNCTION("""COMPUTED_VALUE"""),"Tops")</f>
        <v>Tops</v>
      </c>
      <c r="K485" s="13" t="str">
        <f>IFERROR(__xludf.DUMMYFUNCTION("""COMPUTED_VALUE"""),"Blouses")</f>
        <v>Blouses</v>
      </c>
      <c r="L485" s="13"/>
    </row>
    <row r="486">
      <c r="A486" s="13">
        <f>IFERROR(__xludf.DUMMYFUNCTION("""COMPUTED_VALUE"""),484.0)</f>
        <v>484</v>
      </c>
      <c r="B486" s="13">
        <f>IFERROR(__xludf.DUMMYFUNCTION("""COMPUTED_VALUE"""),850.0)</f>
        <v>850</v>
      </c>
      <c r="C486" s="13">
        <f>IFERROR(__xludf.DUMMYFUNCTION("""COMPUTED_VALUE"""),57.0)</f>
        <v>57</v>
      </c>
      <c r="D486" s="12" t="str">
        <f>IFERROR(__xludf.DUMMYFUNCTION("""COMPUTED_VALUE"""),"Manette clipdot blouse")</f>
        <v>Manette clipdot blouse</v>
      </c>
      <c r="E486" s="12" t="str">
        <f>IFERROR(__xludf.DUMMYFUNCTION("""COMPUTED_VALUE"""),"I agree that this blouse is boxy, but because it's not too long in length it evens it out. any longer or shorter would make it look too boxy. it's great for work to dinner during the week &amp; goes great with jeans too.")</f>
        <v>I agree that this blouse is boxy, but because it's not too long in length it evens it out. any longer or shorter would make it look too boxy. it's great for work to dinner during the week &amp; goes great with jeans too.</v>
      </c>
      <c r="F486" s="13">
        <f>IFERROR(__xludf.DUMMYFUNCTION("""COMPUTED_VALUE"""),4.0)</f>
        <v>4</v>
      </c>
      <c r="G486" s="13">
        <f>IFERROR(__xludf.DUMMYFUNCTION("""COMPUTED_VALUE"""),1.0)</f>
        <v>1</v>
      </c>
      <c r="H486" s="13">
        <f>IFERROR(__xludf.DUMMYFUNCTION("""COMPUTED_VALUE"""),0.0)</f>
        <v>0</v>
      </c>
      <c r="I486" s="13" t="str">
        <f>IFERROR(__xludf.DUMMYFUNCTION("""COMPUTED_VALUE"""),"General Petite")</f>
        <v>General Petite</v>
      </c>
      <c r="J486" s="13" t="str">
        <f>IFERROR(__xludf.DUMMYFUNCTION("""COMPUTED_VALUE"""),"Tops")</f>
        <v>Tops</v>
      </c>
      <c r="K486" s="13" t="str">
        <f>IFERROR(__xludf.DUMMYFUNCTION("""COMPUTED_VALUE"""),"Blouses")</f>
        <v>Blouses</v>
      </c>
      <c r="L486" s="13"/>
    </row>
    <row r="487">
      <c r="A487" s="13">
        <f>IFERROR(__xludf.DUMMYFUNCTION("""COMPUTED_VALUE"""),485.0)</f>
        <v>485</v>
      </c>
      <c r="B487" s="13">
        <f>IFERROR(__xludf.DUMMYFUNCTION("""COMPUTED_VALUE"""),862.0)</f>
        <v>862</v>
      </c>
      <c r="C487" s="13">
        <f>IFERROR(__xludf.DUMMYFUNCTION("""COMPUTED_VALUE"""),35.0)</f>
        <v>35</v>
      </c>
      <c r="D487" s="12" t="str">
        <f>IFERROR(__xludf.DUMMYFUNCTION("""COMPUTED_VALUE"""),"Runs large")</f>
        <v>Runs large</v>
      </c>
      <c r="E487" s="12" t="str">
        <f>IFERROR(__xludf.DUMMYFUNCTION("""COMPUTED_VALUE"""),"Soft cotton in very stylish yet simple style. regrettably, i listened to reviews that said it ran tts and ended up w a baggy long one that won't work even if i shrink it. that will teach me-- always order multiple sizes!")</f>
        <v>Soft cotton in very stylish yet simple style. regrettably, i listened to reviews that said it ran tts and ended up w a baggy long one that won't work even if i shrink it. that will teach me-- always order multiple sizes!</v>
      </c>
      <c r="F487" s="13">
        <f>IFERROR(__xludf.DUMMYFUNCTION("""COMPUTED_VALUE"""),4.0)</f>
        <v>4</v>
      </c>
      <c r="G487" s="13">
        <f>IFERROR(__xludf.DUMMYFUNCTION("""COMPUTED_VALUE"""),1.0)</f>
        <v>1</v>
      </c>
      <c r="H487" s="13">
        <f>IFERROR(__xludf.DUMMYFUNCTION("""COMPUTED_VALUE"""),0.0)</f>
        <v>0</v>
      </c>
      <c r="I487" s="13" t="str">
        <f>IFERROR(__xludf.DUMMYFUNCTION("""COMPUTED_VALUE"""),"General Petite")</f>
        <v>General Petite</v>
      </c>
      <c r="J487" s="13" t="str">
        <f>IFERROR(__xludf.DUMMYFUNCTION("""COMPUTED_VALUE"""),"Tops")</f>
        <v>Tops</v>
      </c>
      <c r="K487" s="13" t="str">
        <f>IFERROR(__xludf.DUMMYFUNCTION("""COMPUTED_VALUE"""),"Knits")</f>
        <v>Knits</v>
      </c>
      <c r="L487" s="13"/>
    </row>
    <row r="488">
      <c r="A488" s="13">
        <f>IFERROR(__xludf.DUMMYFUNCTION("""COMPUTED_VALUE"""),486.0)</f>
        <v>486</v>
      </c>
      <c r="B488" s="13">
        <f>IFERROR(__xludf.DUMMYFUNCTION("""COMPUTED_VALUE"""),1078.0)</f>
        <v>1078</v>
      </c>
      <c r="C488" s="13">
        <f>IFERROR(__xludf.DUMMYFUNCTION("""COMPUTED_VALUE"""),46.0)</f>
        <v>46</v>
      </c>
      <c r="D488" s="12" t="str">
        <f>IFERROR(__xludf.DUMMYFUNCTION("""COMPUTED_VALUE"""),"Fun mix of colors in the grey version")</f>
        <v>Fun mix of colors in the grey version</v>
      </c>
      <c r="E488" s="12" t="str">
        <f>IFERROR(__xludf.DUMMYFUNCTION("""COMPUTED_VALUE"""),"I ordered this dress in size xl in the grey/red/yellow combination. i love everything about this dress. it's comfortable. the colors are cheerful. the proportions of where the stripes are placed works. but, i have to return this dress. it's too short for "&amp;"what i'm comfortable wearing. i saw from the photos that this comes mid-thigh on the taller models. i hoped that would mean it would be more knee-length for me. unfortunately, it's just too short and i'd feel self-conscious. i don't want to deal")</f>
        <v>I ordered this dress in size xl in the grey/red/yellow combination. i love everything about this dress. it's comfortable. the colors are cheerful. the proportions of where the stripes are placed works. but, i have to return this dress. it's too short for what i'm comfortable wearing. i saw from the photos that this comes mid-thigh on the taller models. i hoped that would mean it would be more knee-length for me. unfortunately, it's just too short and i'd feel self-conscious. i don't want to deal</v>
      </c>
      <c r="F488" s="13">
        <f>IFERROR(__xludf.DUMMYFUNCTION("""COMPUTED_VALUE"""),5.0)</f>
        <v>5</v>
      </c>
      <c r="G488" s="13">
        <f>IFERROR(__xludf.DUMMYFUNCTION("""COMPUTED_VALUE"""),1.0)</f>
        <v>1</v>
      </c>
      <c r="H488" s="13">
        <f>IFERROR(__xludf.DUMMYFUNCTION("""COMPUTED_VALUE"""),1.0)</f>
        <v>1</v>
      </c>
      <c r="I488" s="13" t="str">
        <f>IFERROR(__xludf.DUMMYFUNCTION("""COMPUTED_VALUE"""),"General")</f>
        <v>General</v>
      </c>
      <c r="J488" s="13" t="str">
        <f>IFERROR(__xludf.DUMMYFUNCTION("""COMPUTED_VALUE"""),"Dresses")</f>
        <v>Dresses</v>
      </c>
      <c r="K488" s="13" t="str">
        <f>IFERROR(__xludf.DUMMYFUNCTION("""COMPUTED_VALUE"""),"Dresses")</f>
        <v>Dresses</v>
      </c>
      <c r="L488" s="13"/>
    </row>
    <row r="489">
      <c r="A489" s="13">
        <f>IFERROR(__xludf.DUMMYFUNCTION("""COMPUTED_VALUE"""),487.0)</f>
        <v>487</v>
      </c>
      <c r="B489" s="13">
        <f>IFERROR(__xludf.DUMMYFUNCTION("""COMPUTED_VALUE"""),850.0)</f>
        <v>850</v>
      </c>
      <c r="C489" s="13">
        <f>IFERROR(__xludf.DUMMYFUNCTION("""COMPUTED_VALUE"""),51.0)</f>
        <v>51</v>
      </c>
      <c r="D489" s="12" t="str">
        <f>IFERROR(__xludf.DUMMYFUNCTION("""COMPUTED_VALUE"""),"So pretty and great style")</f>
        <v>So pretty and great style</v>
      </c>
      <c r="E489" s="12" t="str">
        <f>IFERROR(__xludf.DUMMYFUNCTION("""COMPUTED_VALUE"""),"I had to order this blouse since it is named after the town i live in. it does not disappoint. the flowers are so pretty and it has great style. there is a little piece in the neckline so it is not too revealing. the sleeves are loose and cover the bra st"&amp;"rap underneath. the back has a little bit of elastic so it does not look like a maternity shirt and it gives you some shape. i can't wait for it to warm up and to wear this!")</f>
        <v>I had to order this blouse since it is named after the town i live in. it does not disappoint. the flowers are so pretty and it has great style. there is a little piece in the neckline so it is not too revealing. the sleeves are loose and cover the bra strap underneath. the back has a little bit of elastic so it does not look like a maternity shirt and it gives you some shape. i can't wait for it to warm up and to wear this!</v>
      </c>
      <c r="F489" s="13">
        <f>IFERROR(__xludf.DUMMYFUNCTION("""COMPUTED_VALUE"""),5.0)</f>
        <v>5</v>
      </c>
      <c r="G489" s="13">
        <f>IFERROR(__xludf.DUMMYFUNCTION("""COMPUTED_VALUE"""),1.0)</f>
        <v>1</v>
      </c>
      <c r="H489" s="13">
        <f>IFERROR(__xludf.DUMMYFUNCTION("""COMPUTED_VALUE"""),4.0)</f>
        <v>4</v>
      </c>
      <c r="I489" s="13" t="str">
        <f>IFERROR(__xludf.DUMMYFUNCTION("""COMPUTED_VALUE"""),"General Petite")</f>
        <v>General Petite</v>
      </c>
      <c r="J489" s="13" t="str">
        <f>IFERROR(__xludf.DUMMYFUNCTION("""COMPUTED_VALUE"""),"Tops")</f>
        <v>Tops</v>
      </c>
      <c r="K489" s="13" t="str">
        <f>IFERROR(__xludf.DUMMYFUNCTION("""COMPUTED_VALUE"""),"Blouses")</f>
        <v>Blouses</v>
      </c>
      <c r="L489" s="13"/>
    </row>
    <row r="490">
      <c r="A490" s="13">
        <f>IFERROR(__xludf.DUMMYFUNCTION("""COMPUTED_VALUE"""),488.0)</f>
        <v>488</v>
      </c>
      <c r="B490" s="13">
        <f>IFERROR(__xludf.DUMMYFUNCTION("""COMPUTED_VALUE"""),850.0)</f>
        <v>850</v>
      </c>
      <c r="C490" s="13">
        <f>IFERROR(__xludf.DUMMYFUNCTION("""COMPUTED_VALUE"""),39.0)</f>
        <v>39</v>
      </c>
      <c r="D490" s="12"/>
      <c r="E490" s="12" t="str">
        <f>IFERROR(__xludf.DUMMYFUNCTION("""COMPUTED_VALUE"""),"Perfect trans top.  skinnies or boyfriend and booties.  love the mixed prints")</f>
        <v>Perfect trans top.  skinnies or boyfriend and booties.  love the mixed prints</v>
      </c>
      <c r="F490" s="13">
        <f>IFERROR(__xludf.DUMMYFUNCTION("""COMPUTED_VALUE"""),5.0)</f>
        <v>5</v>
      </c>
      <c r="G490" s="13">
        <f>IFERROR(__xludf.DUMMYFUNCTION("""COMPUTED_VALUE"""),1.0)</f>
        <v>1</v>
      </c>
      <c r="H490" s="13">
        <f>IFERROR(__xludf.DUMMYFUNCTION("""COMPUTED_VALUE"""),0.0)</f>
        <v>0</v>
      </c>
      <c r="I490" s="13" t="str">
        <f>IFERROR(__xludf.DUMMYFUNCTION("""COMPUTED_VALUE"""),"General Petite")</f>
        <v>General Petite</v>
      </c>
      <c r="J490" s="13" t="str">
        <f>IFERROR(__xludf.DUMMYFUNCTION("""COMPUTED_VALUE"""),"Tops")</f>
        <v>Tops</v>
      </c>
      <c r="K490" s="13" t="str">
        <f>IFERROR(__xludf.DUMMYFUNCTION("""COMPUTED_VALUE"""),"Blouses")</f>
        <v>Blouses</v>
      </c>
      <c r="L490" s="13"/>
    </row>
    <row r="491">
      <c r="A491" s="13">
        <f>IFERROR(__xludf.DUMMYFUNCTION("""COMPUTED_VALUE"""),489.0)</f>
        <v>489</v>
      </c>
      <c r="B491" s="13">
        <f>IFERROR(__xludf.DUMMYFUNCTION("""COMPUTED_VALUE"""),831.0)</f>
        <v>831</v>
      </c>
      <c r="C491" s="13">
        <f>IFERROR(__xludf.DUMMYFUNCTION("""COMPUTED_VALUE"""),55.0)</f>
        <v>55</v>
      </c>
      <c r="D491" s="12" t="str">
        <f>IFERROR(__xludf.DUMMYFUNCTION("""COMPUTED_VALUE"""),"Retailer like it used to be!")</f>
        <v>Retailer like it used to be!</v>
      </c>
      <c r="E491" s="12" t="str">
        <f>IFERROR(__xludf.DUMMYFUNCTION("""COMPUTED_VALUE"""),"This top reminds me of the special tops i got ""once upon a time""...when retailer adopted a more curatorial approach to their store. this is a beautifully-made top...quite dramatic but comfortable. i've received many compliments each time i've worn it. i"&amp;"t has wonderful drapery and movement.")</f>
        <v>This top reminds me of the special tops i got "once upon a time"...when retailer adopted a more curatorial approach to their store. this is a beautifully-made top...quite dramatic but comfortable. i've received many compliments each time i've worn it. it has wonderful drapery and movement.</v>
      </c>
      <c r="F491" s="13">
        <f>IFERROR(__xludf.DUMMYFUNCTION("""COMPUTED_VALUE"""),5.0)</f>
        <v>5</v>
      </c>
      <c r="G491" s="13">
        <f>IFERROR(__xludf.DUMMYFUNCTION("""COMPUTED_VALUE"""),1.0)</f>
        <v>1</v>
      </c>
      <c r="H491" s="13">
        <f>IFERROR(__xludf.DUMMYFUNCTION("""COMPUTED_VALUE"""),0.0)</f>
        <v>0</v>
      </c>
      <c r="I491" s="13" t="str">
        <f>IFERROR(__xludf.DUMMYFUNCTION("""COMPUTED_VALUE"""),"General")</f>
        <v>General</v>
      </c>
      <c r="J491" s="13" t="str">
        <f>IFERROR(__xludf.DUMMYFUNCTION("""COMPUTED_VALUE"""),"Tops")</f>
        <v>Tops</v>
      </c>
      <c r="K491" s="13" t="str">
        <f>IFERROR(__xludf.DUMMYFUNCTION("""COMPUTED_VALUE"""),"Blouses")</f>
        <v>Blouses</v>
      </c>
      <c r="L491" s="13"/>
    </row>
    <row r="492">
      <c r="A492" s="13">
        <f>IFERROR(__xludf.DUMMYFUNCTION("""COMPUTED_VALUE"""),490.0)</f>
        <v>490</v>
      </c>
      <c r="B492" s="13">
        <f>IFERROR(__xludf.DUMMYFUNCTION("""COMPUTED_VALUE"""),833.0)</f>
        <v>833</v>
      </c>
      <c r="C492" s="13">
        <f>IFERROR(__xludf.DUMMYFUNCTION("""COMPUTED_VALUE"""),42.0)</f>
        <v>42</v>
      </c>
      <c r="D492" s="12" t="str">
        <f>IFERROR(__xludf.DUMMYFUNCTION("""COMPUTED_VALUE"""),"Lovely")</f>
        <v>Lovely</v>
      </c>
      <c r="E492" s="12" t="str">
        <f>IFERROR(__xludf.DUMMYFUNCTION("""COMPUTED_VALUE"""),"This blouse is so pretty and well made. it will be a new favorite with dark jeans and boots. it is very boho and a lovely blouse to feel dressed up a bit on a jeans day. loose in a flattering way (it does not look like a maternity top). very happy!")</f>
        <v>This blouse is so pretty and well made. it will be a new favorite with dark jeans and boots. it is very boho and a lovely blouse to feel dressed up a bit on a jeans day. loose in a flattering way (it does not look like a maternity top). very happy!</v>
      </c>
      <c r="F492" s="13">
        <f>IFERROR(__xludf.DUMMYFUNCTION("""COMPUTED_VALUE"""),5.0)</f>
        <v>5</v>
      </c>
      <c r="G492" s="13">
        <f>IFERROR(__xludf.DUMMYFUNCTION("""COMPUTED_VALUE"""),1.0)</f>
        <v>1</v>
      </c>
      <c r="H492" s="13">
        <f>IFERROR(__xludf.DUMMYFUNCTION("""COMPUTED_VALUE"""),0.0)</f>
        <v>0</v>
      </c>
      <c r="I492" s="13" t="str">
        <f>IFERROR(__xludf.DUMMYFUNCTION("""COMPUTED_VALUE"""),"General")</f>
        <v>General</v>
      </c>
      <c r="J492" s="13" t="str">
        <f>IFERROR(__xludf.DUMMYFUNCTION("""COMPUTED_VALUE"""),"Tops")</f>
        <v>Tops</v>
      </c>
      <c r="K492" s="13" t="str">
        <f>IFERROR(__xludf.DUMMYFUNCTION("""COMPUTED_VALUE"""),"Blouses")</f>
        <v>Blouses</v>
      </c>
      <c r="L492" s="13"/>
    </row>
    <row r="493">
      <c r="A493" s="13">
        <f>IFERROR(__xludf.DUMMYFUNCTION("""COMPUTED_VALUE"""),491.0)</f>
        <v>491</v>
      </c>
      <c r="B493" s="13">
        <f>IFERROR(__xludf.DUMMYFUNCTION("""COMPUTED_VALUE"""),984.0)</f>
        <v>984</v>
      </c>
      <c r="C493" s="13">
        <f>IFERROR(__xludf.DUMMYFUNCTION("""COMPUTED_VALUE"""),40.0)</f>
        <v>40</v>
      </c>
      <c r="D493" s="12" t="str">
        <f>IFERROR(__xludf.DUMMYFUNCTION("""COMPUTED_VALUE"""),"Cute jacket")</f>
        <v>Cute jacket</v>
      </c>
      <c r="E493" s="12" t="str">
        <f>IFERROR(__xludf.DUMMYFUNCTION("""COMPUTED_VALUE"""),"I love the layered look of this jacket. i got it in navy which matches everything. i think it's a little on the large side for me. i ordered a small. i'm 5'2"" 130 lbs. super comfortable. the inner layer is very soft. once you wash it, the outside is soft"&amp;" too. i've already worn mine several times. happy.")</f>
        <v>I love the layered look of this jacket. i got it in navy which matches everything. i think it's a little on the large side for me. i ordered a small. i'm 5'2" 130 lbs. super comfortable. the inner layer is very soft. once you wash it, the outside is soft too. i've already worn mine several times. happy.</v>
      </c>
      <c r="F493" s="13">
        <f>IFERROR(__xludf.DUMMYFUNCTION("""COMPUTED_VALUE"""),4.0)</f>
        <v>4</v>
      </c>
      <c r="G493" s="13">
        <f>IFERROR(__xludf.DUMMYFUNCTION("""COMPUTED_VALUE"""),1.0)</f>
        <v>1</v>
      </c>
      <c r="H493" s="13">
        <f>IFERROR(__xludf.DUMMYFUNCTION("""COMPUTED_VALUE"""),0.0)</f>
        <v>0</v>
      </c>
      <c r="I493" s="13" t="str">
        <f>IFERROR(__xludf.DUMMYFUNCTION("""COMPUTED_VALUE"""),"General")</f>
        <v>General</v>
      </c>
      <c r="J493" s="13" t="str">
        <f>IFERROR(__xludf.DUMMYFUNCTION("""COMPUTED_VALUE"""),"Jackets")</f>
        <v>Jackets</v>
      </c>
      <c r="K493" s="13" t="str">
        <f>IFERROR(__xludf.DUMMYFUNCTION("""COMPUTED_VALUE"""),"Jackets")</f>
        <v>Jackets</v>
      </c>
      <c r="L493" s="13"/>
    </row>
    <row r="494">
      <c r="A494" s="13">
        <f>IFERROR(__xludf.DUMMYFUNCTION("""COMPUTED_VALUE"""),492.0)</f>
        <v>492</v>
      </c>
      <c r="B494" s="13">
        <f>IFERROR(__xludf.DUMMYFUNCTION("""COMPUTED_VALUE"""),1078.0)</f>
        <v>1078</v>
      </c>
      <c r="C494" s="13">
        <f>IFERROR(__xludf.DUMMYFUNCTION("""COMPUTED_VALUE"""),31.0)</f>
        <v>31</v>
      </c>
      <c r="D494" s="12" t="str">
        <f>IFERROR(__xludf.DUMMYFUNCTION("""COMPUTED_VALUE"""),"For the shorter girls")</f>
        <v>For the shorter girls</v>
      </c>
      <c r="E494" s="12" t="str">
        <f>IFERROR(__xludf.DUMMYFUNCTION("""COMPUTED_VALUE"""),"I really wanted to love this dress, but it was so short! i'm only 5'6"" so i don't consider myself really tall, but the dress only came a couple of inches lower than my butt! way too short for me. my husband asked if it was a shirt or dress haha. but i th"&amp;"ink this would look adorable on someone a few inches shorter. or someone younger who can pull of a short shirt :)")</f>
        <v>I really wanted to love this dress, but it was so short! i'm only 5'6" so i don't consider myself really tall, but the dress only came a couple of inches lower than my butt! way too short for me. my husband asked if it was a shirt or dress haha. but i think this would look adorable on someone a few inches shorter. or someone younger who can pull of a short shirt :)</v>
      </c>
      <c r="F494" s="13">
        <f>IFERROR(__xludf.DUMMYFUNCTION("""COMPUTED_VALUE"""),4.0)</f>
        <v>4</v>
      </c>
      <c r="G494" s="13">
        <f>IFERROR(__xludf.DUMMYFUNCTION("""COMPUTED_VALUE"""),1.0)</f>
        <v>1</v>
      </c>
      <c r="H494" s="13">
        <f>IFERROR(__xludf.DUMMYFUNCTION("""COMPUTED_VALUE"""),4.0)</f>
        <v>4</v>
      </c>
      <c r="I494" s="13" t="str">
        <f>IFERROR(__xludf.DUMMYFUNCTION("""COMPUTED_VALUE"""),"General")</f>
        <v>General</v>
      </c>
      <c r="J494" s="13" t="str">
        <f>IFERROR(__xludf.DUMMYFUNCTION("""COMPUTED_VALUE"""),"Dresses")</f>
        <v>Dresses</v>
      </c>
      <c r="K494" s="13" t="str">
        <f>IFERROR(__xludf.DUMMYFUNCTION("""COMPUTED_VALUE"""),"Dresses")</f>
        <v>Dresses</v>
      </c>
      <c r="L494" s="13"/>
    </row>
    <row r="495">
      <c r="A495" s="13">
        <f>IFERROR(__xludf.DUMMYFUNCTION("""COMPUTED_VALUE"""),493.0)</f>
        <v>493</v>
      </c>
      <c r="B495" s="13">
        <f>IFERROR(__xludf.DUMMYFUNCTION("""COMPUTED_VALUE"""),1104.0)</f>
        <v>1104</v>
      </c>
      <c r="C495" s="13">
        <f>IFERROR(__xludf.DUMMYFUNCTION("""COMPUTED_VALUE"""),39.0)</f>
        <v>39</v>
      </c>
      <c r="D495" s="12"/>
      <c r="E495" s="12"/>
      <c r="F495" s="13">
        <f>IFERROR(__xludf.DUMMYFUNCTION("""COMPUTED_VALUE"""),5.0)</f>
        <v>5</v>
      </c>
      <c r="G495" s="13">
        <f>IFERROR(__xludf.DUMMYFUNCTION("""COMPUTED_VALUE"""),1.0)</f>
        <v>1</v>
      </c>
      <c r="H495" s="13">
        <f>IFERROR(__xludf.DUMMYFUNCTION("""COMPUTED_VALUE"""),0.0)</f>
        <v>0</v>
      </c>
      <c r="I495" s="13" t="str">
        <f>IFERROR(__xludf.DUMMYFUNCTION("""COMPUTED_VALUE"""),"General")</f>
        <v>General</v>
      </c>
      <c r="J495" s="13" t="str">
        <f>IFERROR(__xludf.DUMMYFUNCTION("""COMPUTED_VALUE"""),"Dresses")</f>
        <v>Dresses</v>
      </c>
      <c r="K495" s="13" t="str">
        <f>IFERROR(__xludf.DUMMYFUNCTION("""COMPUTED_VALUE"""),"Dresses")</f>
        <v>Dresses</v>
      </c>
      <c r="L495" s="13"/>
    </row>
    <row r="496">
      <c r="A496" s="13">
        <f>IFERROR(__xludf.DUMMYFUNCTION("""COMPUTED_VALUE"""),494.0)</f>
        <v>494</v>
      </c>
      <c r="B496" s="13">
        <f>IFERROR(__xludf.DUMMYFUNCTION("""COMPUTED_VALUE"""),1081.0)</f>
        <v>1081</v>
      </c>
      <c r="C496" s="13">
        <f>IFERROR(__xludf.DUMMYFUNCTION("""COMPUTED_VALUE"""),59.0)</f>
        <v>59</v>
      </c>
      <c r="D496" s="12" t="str">
        <f>IFERROR(__xludf.DUMMYFUNCTION("""COMPUTED_VALUE"""),"Flattering and comfortable")</f>
        <v>Flattering and comfortable</v>
      </c>
      <c r="E496" s="12" t="str">
        <f>IFERROR(__xludf.DUMMYFUNCTION("""COMPUTED_VALUE"""),"I ordered size small and medium because i can go either way depending on brands. and both look great! there is no significant difference except medium fell about 1 inch longer. i am 5'4"" and size small hem fell about 1"" above knee. size medium felt tab "&amp;"bit more loose but i thought fabric may stretch a bit after wear so i'm keeping size small. what a beautiful dress! although the body of dress is jersey material, it is lined so there is good coverage. i tend to not like ""faux leather"" since they")</f>
        <v>I ordered size small and medium because i can go either way depending on brands. and both look great! there is no significant difference except medium fell about 1 inch longer. i am 5'4" and size small hem fell about 1" above knee. size medium felt tab bit more loose but i thought fabric may stretch a bit after wear so i'm keeping size small. what a beautiful dress! although the body of dress is jersey material, it is lined so there is good coverage. i tend to not like "faux leather" since they</v>
      </c>
      <c r="F496" s="13">
        <f>IFERROR(__xludf.DUMMYFUNCTION("""COMPUTED_VALUE"""),5.0)</f>
        <v>5</v>
      </c>
      <c r="G496" s="13">
        <f>IFERROR(__xludf.DUMMYFUNCTION("""COMPUTED_VALUE"""),1.0)</f>
        <v>1</v>
      </c>
      <c r="H496" s="13">
        <f>IFERROR(__xludf.DUMMYFUNCTION("""COMPUTED_VALUE"""),10.0)</f>
        <v>10</v>
      </c>
      <c r="I496" s="13" t="str">
        <f>IFERROR(__xludf.DUMMYFUNCTION("""COMPUTED_VALUE"""),"General")</f>
        <v>General</v>
      </c>
      <c r="J496" s="13" t="str">
        <f>IFERROR(__xludf.DUMMYFUNCTION("""COMPUTED_VALUE"""),"Dresses")</f>
        <v>Dresses</v>
      </c>
      <c r="K496" s="13" t="str">
        <f>IFERROR(__xludf.DUMMYFUNCTION("""COMPUTED_VALUE"""),"Dresses")</f>
        <v>Dresses</v>
      </c>
      <c r="L496" s="13"/>
    </row>
    <row r="497">
      <c r="A497" s="13">
        <f>IFERROR(__xludf.DUMMYFUNCTION("""COMPUTED_VALUE"""),495.0)</f>
        <v>495</v>
      </c>
      <c r="B497" s="13">
        <f>IFERROR(__xludf.DUMMYFUNCTION("""COMPUTED_VALUE"""),833.0)</f>
        <v>833</v>
      </c>
      <c r="C497" s="13">
        <f>IFERROR(__xludf.DUMMYFUNCTION("""COMPUTED_VALUE"""),53.0)</f>
        <v>53</v>
      </c>
      <c r="D497" s="12" t="str">
        <f>IFERROR(__xludf.DUMMYFUNCTION("""COMPUTED_VALUE"""),"Still love it even if...")</f>
        <v>Still love it even if...</v>
      </c>
      <c r="E497" s="12" t="str">
        <f>IFERROR(__xludf.DUMMYFUNCTION("""COMPUTED_VALUE"""),"...there's enough room for a small family to live under the chest and trunk area of the blouse! sorry-had to say that! all kidding aside-since it's been thirty plus years ago since we were wearing these, many of us have forgotten what peasant blouses trul"&amp;"y fit like. this is no exception- it is very billowy, flouncy, and roomy-more so even than today's peasant styles, i think. it is lovely and quite fitted across the chest -so that's how i ordered my size and it worked. i think if one sizes down")</f>
        <v>...there's enough room for a small family to live under the chest and trunk area of the blouse! sorry-had to say that! all kidding aside-since it's been thirty plus years ago since we were wearing these, many of us have forgotten what peasant blouses truly fit like. this is no exception- it is very billowy, flouncy, and roomy-more so even than today's peasant styles, i think. it is lovely and quite fitted across the chest -so that's how i ordered my size and it worked. i think if one sizes down</v>
      </c>
      <c r="F497" s="13">
        <f>IFERROR(__xludf.DUMMYFUNCTION("""COMPUTED_VALUE"""),4.0)</f>
        <v>4</v>
      </c>
      <c r="G497" s="13">
        <f>IFERROR(__xludf.DUMMYFUNCTION("""COMPUTED_VALUE"""),1.0)</f>
        <v>1</v>
      </c>
      <c r="H497" s="13">
        <f>IFERROR(__xludf.DUMMYFUNCTION("""COMPUTED_VALUE"""),0.0)</f>
        <v>0</v>
      </c>
      <c r="I497" s="13" t="str">
        <f>IFERROR(__xludf.DUMMYFUNCTION("""COMPUTED_VALUE"""),"General")</f>
        <v>General</v>
      </c>
      <c r="J497" s="13" t="str">
        <f>IFERROR(__xludf.DUMMYFUNCTION("""COMPUTED_VALUE"""),"Tops")</f>
        <v>Tops</v>
      </c>
      <c r="K497" s="13" t="str">
        <f>IFERROR(__xludf.DUMMYFUNCTION("""COMPUTED_VALUE"""),"Blouses")</f>
        <v>Blouses</v>
      </c>
      <c r="L497" s="13"/>
    </row>
    <row r="498">
      <c r="A498" s="13">
        <f>IFERROR(__xludf.DUMMYFUNCTION("""COMPUTED_VALUE"""),496.0)</f>
        <v>496</v>
      </c>
      <c r="B498" s="13">
        <f>IFERROR(__xludf.DUMMYFUNCTION("""COMPUTED_VALUE"""),850.0)</f>
        <v>850</v>
      </c>
      <c r="C498" s="13">
        <f>IFERROR(__xludf.DUMMYFUNCTION("""COMPUTED_VALUE"""),41.0)</f>
        <v>41</v>
      </c>
      <c r="D498" s="12" t="str">
        <f>IFERROR(__xludf.DUMMYFUNCTION("""COMPUTED_VALUE"""),"Pretty spring flowers")</f>
        <v>Pretty spring flowers</v>
      </c>
      <c r="E498" s="12" t="str">
        <f>IFERROR(__xludf.DUMMYFUNCTION("""COMPUTED_VALUE"""),"This top is so pretty and feminine. the different floral patterns work very well together and add an interesting flare to this unique blouse. the fit is very comfortable yet still very flattering due to the empire waist and flared sleeves. the fit is true"&amp;" to size, i usually wear a size medium or 10 in retailer tops and the size 10 fit quite nicely. this top is a great addition to any spring wardrobe and should transition nicely into summer as well.")</f>
        <v>This top is so pretty and feminine. the different floral patterns work very well together and add an interesting flare to this unique blouse. the fit is very comfortable yet still very flattering due to the empire waist and flared sleeves. the fit is true to size, i usually wear a size medium or 10 in retailer tops and the size 10 fit quite nicely. this top is a great addition to any spring wardrobe and should transition nicely into summer as well.</v>
      </c>
      <c r="F498" s="13">
        <f>IFERROR(__xludf.DUMMYFUNCTION("""COMPUTED_VALUE"""),5.0)</f>
        <v>5</v>
      </c>
      <c r="G498" s="13">
        <f>IFERROR(__xludf.DUMMYFUNCTION("""COMPUTED_VALUE"""),1.0)</f>
        <v>1</v>
      </c>
      <c r="H498" s="13">
        <f>IFERROR(__xludf.DUMMYFUNCTION("""COMPUTED_VALUE"""),1.0)</f>
        <v>1</v>
      </c>
      <c r="I498" s="13" t="str">
        <f>IFERROR(__xludf.DUMMYFUNCTION("""COMPUTED_VALUE"""),"General Petite")</f>
        <v>General Petite</v>
      </c>
      <c r="J498" s="13" t="str">
        <f>IFERROR(__xludf.DUMMYFUNCTION("""COMPUTED_VALUE"""),"Tops")</f>
        <v>Tops</v>
      </c>
      <c r="K498" s="13" t="str">
        <f>IFERROR(__xludf.DUMMYFUNCTION("""COMPUTED_VALUE"""),"Blouses")</f>
        <v>Blouses</v>
      </c>
      <c r="L498" s="13"/>
    </row>
    <row r="499">
      <c r="A499" s="13">
        <f>IFERROR(__xludf.DUMMYFUNCTION("""COMPUTED_VALUE"""),497.0)</f>
        <v>497</v>
      </c>
      <c r="B499" s="13">
        <f>IFERROR(__xludf.DUMMYFUNCTION("""COMPUTED_VALUE"""),1078.0)</f>
        <v>1078</v>
      </c>
      <c r="C499" s="13">
        <f>IFERROR(__xludf.DUMMYFUNCTION("""COMPUTED_VALUE"""),49.0)</f>
        <v>49</v>
      </c>
      <c r="D499" s="12"/>
      <c r="E499" s="12" t="str">
        <f>IFERROR(__xludf.DUMMYFUNCTION("""COMPUTED_VALUE"""),"Very cute, very comfortable. for me aesthetics and comfort must go hand in hand. this dress fits the bill.")</f>
        <v>Very cute, very comfortable. for me aesthetics and comfort must go hand in hand. this dress fits the bill.</v>
      </c>
      <c r="F499" s="13">
        <f>IFERROR(__xludf.DUMMYFUNCTION("""COMPUTED_VALUE"""),5.0)</f>
        <v>5</v>
      </c>
      <c r="G499" s="13">
        <f>IFERROR(__xludf.DUMMYFUNCTION("""COMPUTED_VALUE"""),1.0)</f>
        <v>1</v>
      </c>
      <c r="H499" s="13">
        <f>IFERROR(__xludf.DUMMYFUNCTION("""COMPUTED_VALUE"""),2.0)</f>
        <v>2</v>
      </c>
      <c r="I499" s="13" t="str">
        <f>IFERROR(__xludf.DUMMYFUNCTION("""COMPUTED_VALUE"""),"General")</f>
        <v>General</v>
      </c>
      <c r="J499" s="13" t="str">
        <f>IFERROR(__xludf.DUMMYFUNCTION("""COMPUTED_VALUE"""),"Dresses")</f>
        <v>Dresses</v>
      </c>
      <c r="K499" s="13" t="str">
        <f>IFERROR(__xludf.DUMMYFUNCTION("""COMPUTED_VALUE"""),"Dresses")</f>
        <v>Dresses</v>
      </c>
      <c r="L499" s="13"/>
    </row>
    <row r="500">
      <c r="A500" s="13">
        <f>IFERROR(__xludf.DUMMYFUNCTION("""COMPUTED_VALUE"""),498.0)</f>
        <v>498</v>
      </c>
      <c r="B500" s="13">
        <f>IFERROR(__xludf.DUMMYFUNCTION("""COMPUTED_VALUE"""),850.0)</f>
        <v>850</v>
      </c>
      <c r="C500" s="13">
        <f>IFERROR(__xludf.DUMMYFUNCTION("""COMPUTED_VALUE"""),33.0)</f>
        <v>33</v>
      </c>
      <c r="D500" s="12" t="str">
        <f>IFERROR(__xludf.DUMMYFUNCTION("""COMPUTED_VALUE"""),"Boxy")</f>
        <v>Boxy</v>
      </c>
      <c r="E500" s="12" t="str">
        <f>IFERROR(__xludf.DUMMYFUNCTION("""COMPUTED_VALUE"""),"Cropped and wide- would look cuter on someone who is more petite. was too wide and cropped for me. very sheer.")</f>
        <v>Cropped and wide- would look cuter on someone who is more petite. was too wide and cropped for me. very sheer.</v>
      </c>
      <c r="F500" s="13">
        <f>IFERROR(__xludf.DUMMYFUNCTION("""COMPUTED_VALUE"""),3.0)</f>
        <v>3</v>
      </c>
      <c r="G500" s="13">
        <f>IFERROR(__xludf.DUMMYFUNCTION("""COMPUTED_VALUE"""),0.0)</f>
        <v>0</v>
      </c>
      <c r="H500" s="13">
        <f>IFERROR(__xludf.DUMMYFUNCTION("""COMPUTED_VALUE"""),0.0)</f>
        <v>0</v>
      </c>
      <c r="I500" s="13" t="str">
        <f>IFERROR(__xludf.DUMMYFUNCTION("""COMPUTED_VALUE"""),"General Petite")</f>
        <v>General Petite</v>
      </c>
      <c r="J500" s="13" t="str">
        <f>IFERROR(__xludf.DUMMYFUNCTION("""COMPUTED_VALUE"""),"Tops")</f>
        <v>Tops</v>
      </c>
      <c r="K500" s="13" t="str">
        <f>IFERROR(__xludf.DUMMYFUNCTION("""COMPUTED_VALUE"""),"Blouses")</f>
        <v>Blouses</v>
      </c>
      <c r="L500" s="13"/>
    </row>
    <row r="501">
      <c r="A501" s="13">
        <f>IFERROR(__xludf.DUMMYFUNCTION("""COMPUTED_VALUE"""),499.0)</f>
        <v>499</v>
      </c>
      <c r="B501" s="13">
        <f>IFERROR(__xludf.DUMMYFUNCTION("""COMPUTED_VALUE"""),1078.0)</f>
        <v>1078</v>
      </c>
      <c r="C501" s="13">
        <f>IFERROR(__xludf.DUMMYFUNCTION("""COMPUTED_VALUE"""),36.0)</f>
        <v>36</v>
      </c>
      <c r="D501" s="12" t="str">
        <f>IFERROR(__xludf.DUMMYFUNCTION("""COMPUTED_VALUE"""),"Cute concept, fits weird")</f>
        <v>Cute concept, fits weird</v>
      </c>
      <c r="E501" s="12" t="str">
        <f>IFERROR(__xludf.DUMMYFUNCTION("""COMPUTED_VALUE"""),"The fun colors drew me to this but it sure fit weird. the top was fine but it became a bit tent-like in the waist. the material doesn't feel great either.")</f>
        <v>The fun colors drew me to this but it sure fit weird. the top was fine but it became a bit tent-like in the waist. the material doesn't feel great either.</v>
      </c>
      <c r="F501" s="13">
        <f>IFERROR(__xludf.DUMMYFUNCTION("""COMPUTED_VALUE"""),2.0)</f>
        <v>2</v>
      </c>
      <c r="G501" s="13">
        <f>IFERROR(__xludf.DUMMYFUNCTION("""COMPUTED_VALUE"""),0.0)</f>
        <v>0</v>
      </c>
      <c r="H501" s="13">
        <f>IFERROR(__xludf.DUMMYFUNCTION("""COMPUTED_VALUE"""),1.0)</f>
        <v>1</v>
      </c>
      <c r="I501" s="13" t="str">
        <f>IFERROR(__xludf.DUMMYFUNCTION("""COMPUTED_VALUE"""),"General")</f>
        <v>General</v>
      </c>
      <c r="J501" s="13" t="str">
        <f>IFERROR(__xludf.DUMMYFUNCTION("""COMPUTED_VALUE"""),"Dresses")</f>
        <v>Dresses</v>
      </c>
      <c r="K501" s="13" t="str">
        <f>IFERROR(__xludf.DUMMYFUNCTION("""COMPUTED_VALUE"""),"Dresses")</f>
        <v>Dresses</v>
      </c>
      <c r="L501" s="13"/>
    </row>
    <row r="502">
      <c r="A502" s="13">
        <f>IFERROR(__xludf.DUMMYFUNCTION("""COMPUTED_VALUE"""),500.0)</f>
        <v>500</v>
      </c>
      <c r="B502" s="13">
        <f>IFERROR(__xludf.DUMMYFUNCTION("""COMPUTED_VALUE"""),850.0)</f>
        <v>850</v>
      </c>
      <c r="C502" s="13">
        <f>IFERROR(__xludf.DUMMYFUNCTION("""COMPUTED_VALUE"""),29.0)</f>
        <v>29</v>
      </c>
      <c r="D502" s="12" t="str">
        <f>IFERROR(__xludf.DUMMYFUNCTION("""COMPUTED_VALUE"""),"Nice but short")</f>
        <v>Nice but short</v>
      </c>
      <c r="E502" s="12" t="str">
        <f>IFERROR(__xludf.DUMMYFUNCTION("""COMPUTED_VALUE"""),"I really like the style of this top, and it's delicate but well made, but i wish it were longer and less boxy. it's nice that it comes with a separate cami to layer, but the cami is very cropped. when i raise my arms you can see a lot of midriff (and the "&amp;"top is see through so a layer underneath is necessary). a longer cami probably wouldn't work because the top is also very short. i'm 5'0'' with an average torso length, and ordered the xxs petite. also, you would have to cut the tag off if you d")</f>
        <v>I really like the style of this top, and it's delicate but well made, but i wish it were longer and less boxy. it's nice that it comes with a separate cami to layer, but the cami is very cropped. when i raise my arms you can see a lot of midriff (and the top is see through so a layer underneath is necessary). a longer cami probably wouldn't work because the top is also very short. i'm 5'0'' with an average torso length, and ordered the xxs petite. also, you would have to cut the tag off if you d</v>
      </c>
      <c r="F502" s="13">
        <f>IFERROR(__xludf.DUMMYFUNCTION("""COMPUTED_VALUE"""),3.0)</f>
        <v>3</v>
      </c>
      <c r="G502" s="13">
        <f>IFERROR(__xludf.DUMMYFUNCTION("""COMPUTED_VALUE"""),1.0)</f>
        <v>1</v>
      </c>
      <c r="H502" s="13">
        <f>IFERROR(__xludf.DUMMYFUNCTION("""COMPUTED_VALUE"""),15.0)</f>
        <v>15</v>
      </c>
      <c r="I502" s="13" t="str">
        <f>IFERROR(__xludf.DUMMYFUNCTION("""COMPUTED_VALUE"""),"General Petite")</f>
        <v>General Petite</v>
      </c>
      <c r="J502" s="13" t="str">
        <f>IFERROR(__xludf.DUMMYFUNCTION("""COMPUTED_VALUE"""),"Tops")</f>
        <v>Tops</v>
      </c>
      <c r="K502" s="13" t="str">
        <f>IFERROR(__xludf.DUMMYFUNCTION("""COMPUTED_VALUE"""),"Blouses")</f>
        <v>Blouses</v>
      </c>
      <c r="L502" s="13"/>
    </row>
    <row r="503">
      <c r="A503" s="13">
        <f>IFERROR(__xludf.DUMMYFUNCTION("""COMPUTED_VALUE"""),501.0)</f>
        <v>501</v>
      </c>
      <c r="B503" s="13">
        <f>IFERROR(__xludf.DUMMYFUNCTION("""COMPUTED_VALUE"""),850.0)</f>
        <v>850</v>
      </c>
      <c r="C503" s="13">
        <f>IFERROR(__xludf.DUMMYFUNCTION("""COMPUTED_VALUE"""),49.0)</f>
        <v>49</v>
      </c>
      <c r="D503" s="12" t="str">
        <f>IFERROR(__xludf.DUMMYFUNCTION("""COMPUTED_VALUE"""),"Pretty top for work days")</f>
        <v>Pretty top for work days</v>
      </c>
      <c r="E503" s="12" t="str">
        <f>IFERROR(__xludf.DUMMYFUNCTION("""COMPUTED_VALUE"""),"This is a pretty top that is conservative enough for the office, with a modest neckline. there is a little hidden snap or button under the bow at the neck so you don't have to keep fussing with the tie the fit is loose in the waist and high at the neck, s"&amp;"o the sheer parts are the only thing to give it a little flirtiness. there is a matching camisole underneath that snaps in at the shoulders. overall, i thought it was nice when i tried it at the store, but it didn't have enough extra ""wow"" to ge")</f>
        <v>This is a pretty top that is conservative enough for the office, with a modest neckline. there is a little hidden snap or button under the bow at the neck so you don't have to keep fussing with the tie the fit is loose in the waist and high at the neck, so the sheer parts are the only thing to give it a little flirtiness. there is a matching camisole underneath that snaps in at the shoulders. overall, i thought it was nice when i tried it at the store, but it didn't have enough extra "wow" to ge</v>
      </c>
      <c r="F503" s="13">
        <f>IFERROR(__xludf.DUMMYFUNCTION("""COMPUTED_VALUE"""),4.0)</f>
        <v>4</v>
      </c>
      <c r="G503" s="13">
        <f>IFERROR(__xludf.DUMMYFUNCTION("""COMPUTED_VALUE"""),1.0)</f>
        <v>1</v>
      </c>
      <c r="H503" s="13">
        <f>IFERROR(__xludf.DUMMYFUNCTION("""COMPUTED_VALUE"""),2.0)</f>
        <v>2</v>
      </c>
      <c r="I503" s="13" t="str">
        <f>IFERROR(__xludf.DUMMYFUNCTION("""COMPUTED_VALUE"""),"General Petite")</f>
        <v>General Petite</v>
      </c>
      <c r="J503" s="13" t="str">
        <f>IFERROR(__xludf.DUMMYFUNCTION("""COMPUTED_VALUE"""),"Tops")</f>
        <v>Tops</v>
      </c>
      <c r="K503" s="13" t="str">
        <f>IFERROR(__xludf.DUMMYFUNCTION("""COMPUTED_VALUE"""),"Blouses")</f>
        <v>Blouses</v>
      </c>
      <c r="L503" s="13"/>
    </row>
    <row r="504">
      <c r="A504" s="13">
        <f>IFERROR(__xludf.DUMMYFUNCTION("""COMPUTED_VALUE"""),502.0)</f>
        <v>502</v>
      </c>
      <c r="B504" s="13">
        <f>IFERROR(__xludf.DUMMYFUNCTION("""COMPUTED_VALUE"""),1078.0)</f>
        <v>1078</v>
      </c>
      <c r="C504" s="13">
        <f>IFERROR(__xludf.DUMMYFUNCTION("""COMPUTED_VALUE"""),39.0)</f>
        <v>39</v>
      </c>
      <c r="D504" s="12" t="str">
        <f>IFERROR(__xludf.DUMMYFUNCTION("""COMPUTED_VALUE"""),"Love this dress")</f>
        <v>Love this dress</v>
      </c>
      <c r="E504" s="12" t="str">
        <f>IFERROR(__xludf.DUMMYFUNCTION("""COMPUTED_VALUE"""),"Very comfortable and versatile. got lots of compliments.")</f>
        <v>Very comfortable and versatile. got lots of compliments.</v>
      </c>
      <c r="F504" s="13">
        <f>IFERROR(__xludf.DUMMYFUNCTION("""COMPUTED_VALUE"""),5.0)</f>
        <v>5</v>
      </c>
      <c r="G504" s="13">
        <f>IFERROR(__xludf.DUMMYFUNCTION("""COMPUTED_VALUE"""),1.0)</f>
        <v>1</v>
      </c>
      <c r="H504" s="13">
        <f>IFERROR(__xludf.DUMMYFUNCTION("""COMPUTED_VALUE"""),0.0)</f>
        <v>0</v>
      </c>
      <c r="I504" s="13" t="str">
        <f>IFERROR(__xludf.DUMMYFUNCTION("""COMPUTED_VALUE"""),"General")</f>
        <v>General</v>
      </c>
      <c r="J504" s="13" t="str">
        <f>IFERROR(__xludf.DUMMYFUNCTION("""COMPUTED_VALUE"""),"Dresses")</f>
        <v>Dresses</v>
      </c>
      <c r="K504" s="13" t="str">
        <f>IFERROR(__xludf.DUMMYFUNCTION("""COMPUTED_VALUE"""),"Dresses")</f>
        <v>Dresses</v>
      </c>
      <c r="L504" s="13"/>
    </row>
    <row r="505">
      <c r="A505" s="13">
        <f>IFERROR(__xludf.DUMMYFUNCTION("""COMPUTED_VALUE"""),503.0)</f>
        <v>503</v>
      </c>
      <c r="B505" s="13">
        <f>IFERROR(__xludf.DUMMYFUNCTION("""COMPUTED_VALUE"""),948.0)</f>
        <v>948</v>
      </c>
      <c r="C505" s="13">
        <f>IFERROR(__xludf.DUMMYFUNCTION("""COMPUTED_VALUE"""),40.0)</f>
        <v>40</v>
      </c>
      <c r="D505" s="12" t="str">
        <f>IFERROR(__xludf.DUMMYFUNCTION("""COMPUTED_VALUE"""),"Itchytown")</f>
        <v>Itchytown</v>
      </c>
      <c r="E505" s="12" t="str">
        <f>IFERROR(__xludf.DUMMYFUNCTION("""COMPUTED_VALUE"""),"Is not a place i want to be, even if the style of a sweater is great.  yes, this sweater is very cropped, but i think it&amp;amp;#39;s definitely intended to be worn off the shoulder to drop the waist a bit.  it&amp;amp;#39;s the itchiness that makes it an immedi"&amp;"ate &amp;amp;quot;no&amp;amp;quot;, and that&amp;amp;#39;s coming from someone who has serious fiber itch tolerance.")</f>
        <v>Is not a place i want to be, even if the style of a sweater is great.  yes, this sweater is very cropped, but i think it&amp;amp;#39;s definitely intended to be worn off the shoulder to drop the waist a bit.  it&amp;amp;#39;s the itchiness that makes it an immediate &amp;amp;quot;no&amp;amp;quot;, and that&amp;amp;#39;s coming from someone who has serious fiber itch tolerance.</v>
      </c>
      <c r="F505" s="13">
        <f>IFERROR(__xludf.DUMMYFUNCTION("""COMPUTED_VALUE"""),2.0)</f>
        <v>2</v>
      </c>
      <c r="G505" s="13">
        <f>IFERROR(__xludf.DUMMYFUNCTION("""COMPUTED_VALUE"""),1.0)</f>
        <v>1</v>
      </c>
      <c r="H505" s="13">
        <f>IFERROR(__xludf.DUMMYFUNCTION("""COMPUTED_VALUE"""),0.0)</f>
        <v>0</v>
      </c>
      <c r="I505" s="13" t="str">
        <f>IFERROR(__xludf.DUMMYFUNCTION("""COMPUTED_VALUE"""),"General Petite")</f>
        <v>General Petite</v>
      </c>
      <c r="J505" s="13" t="str">
        <f>IFERROR(__xludf.DUMMYFUNCTION("""COMPUTED_VALUE"""),"Tops")</f>
        <v>Tops</v>
      </c>
      <c r="K505" s="13" t="str">
        <f>IFERROR(__xludf.DUMMYFUNCTION("""COMPUTED_VALUE"""),"Sweaters")</f>
        <v>Sweaters</v>
      </c>
      <c r="L505" s="13"/>
    </row>
    <row r="506">
      <c r="A506" s="13">
        <f>IFERROR(__xludf.DUMMYFUNCTION("""COMPUTED_VALUE"""),504.0)</f>
        <v>504</v>
      </c>
      <c r="B506" s="13">
        <f>IFERROR(__xludf.DUMMYFUNCTION("""COMPUTED_VALUE"""),850.0)</f>
        <v>850</v>
      </c>
      <c r="C506" s="13">
        <f>IFERROR(__xludf.DUMMYFUNCTION("""COMPUTED_VALUE"""),57.0)</f>
        <v>57</v>
      </c>
      <c r="D506" s="12" t="str">
        <f>IFERROR(__xludf.DUMMYFUNCTION("""COMPUTED_VALUE"""),"Feminine, flattering, versatile")</f>
        <v>Feminine, flattering, versatile</v>
      </c>
      <c r="E506" s="12" t="str">
        <f>IFERROR(__xludf.DUMMYFUNCTION("""COMPUTED_VALUE"""),"The combination of vintage and bohemian styles seems as if it would be flattering on all figure types. and i love the combination of smaller and larger prints. the only thing i didn't like is that on the blouse i received, placement of the larger print on"&amp;" the bodice is asymmetrical (unlike the photo). it might not bother some customers, but it wasn't what i was expecting, so i ordered a new one. i may keep it even if the second one is off, because other than that small thing, i think the top wou")</f>
        <v>The combination of vintage and bohemian styles seems as if it would be flattering on all figure types. and i love the combination of smaller and larger prints. the only thing i didn't like is that on the blouse i received, placement of the larger print on the bodice is asymmetrical (unlike the photo). it might not bother some customers, but it wasn't what i was expecting, so i ordered a new one. i may keep it even if the second one is off, because other than that small thing, i think the top wou</v>
      </c>
      <c r="F506" s="13">
        <f>IFERROR(__xludf.DUMMYFUNCTION("""COMPUTED_VALUE"""),5.0)</f>
        <v>5</v>
      </c>
      <c r="G506" s="13">
        <f>IFERROR(__xludf.DUMMYFUNCTION("""COMPUTED_VALUE"""),1.0)</f>
        <v>1</v>
      </c>
      <c r="H506" s="13">
        <f>IFERROR(__xludf.DUMMYFUNCTION("""COMPUTED_VALUE"""),0.0)</f>
        <v>0</v>
      </c>
      <c r="I506" s="13" t="str">
        <f>IFERROR(__xludf.DUMMYFUNCTION("""COMPUTED_VALUE"""),"General Petite")</f>
        <v>General Petite</v>
      </c>
      <c r="J506" s="13" t="str">
        <f>IFERROR(__xludf.DUMMYFUNCTION("""COMPUTED_VALUE"""),"Tops")</f>
        <v>Tops</v>
      </c>
      <c r="K506" s="13" t="str">
        <f>IFERROR(__xludf.DUMMYFUNCTION("""COMPUTED_VALUE"""),"Blouses")</f>
        <v>Blouses</v>
      </c>
      <c r="L506" s="13"/>
    </row>
    <row r="507">
      <c r="A507" s="13">
        <f>IFERROR(__xludf.DUMMYFUNCTION("""COMPUTED_VALUE"""),505.0)</f>
        <v>505</v>
      </c>
      <c r="B507" s="13">
        <f>IFERROR(__xludf.DUMMYFUNCTION("""COMPUTED_VALUE"""),833.0)</f>
        <v>833</v>
      </c>
      <c r="C507" s="13">
        <f>IFERROR(__xludf.DUMMYFUNCTION("""COMPUTED_VALUE"""),56.0)</f>
        <v>56</v>
      </c>
      <c r="D507" s="12"/>
      <c r="E507" s="12" t="str">
        <f>IFERROR(__xludf.DUMMYFUNCTION("""COMPUTED_VALUE"""),"Love the fabric &amp; lace on this top. like other reviews said the arm area is tight where the lace meets the fabric which makes the fit uncomfortable. sadly this top is going back. if you have very skinny upper arms this top will fit fine.")</f>
        <v>Love the fabric &amp; lace on this top. like other reviews said the arm area is tight where the lace meets the fabric which makes the fit uncomfortable. sadly this top is going back. if you have very skinny upper arms this top will fit fine.</v>
      </c>
      <c r="F507" s="13">
        <f>IFERROR(__xludf.DUMMYFUNCTION("""COMPUTED_VALUE"""),4.0)</f>
        <v>4</v>
      </c>
      <c r="G507" s="13">
        <f>IFERROR(__xludf.DUMMYFUNCTION("""COMPUTED_VALUE"""),1.0)</f>
        <v>1</v>
      </c>
      <c r="H507" s="13">
        <f>IFERROR(__xludf.DUMMYFUNCTION("""COMPUTED_VALUE"""),0.0)</f>
        <v>0</v>
      </c>
      <c r="I507" s="13" t="str">
        <f>IFERROR(__xludf.DUMMYFUNCTION("""COMPUTED_VALUE"""),"General")</f>
        <v>General</v>
      </c>
      <c r="J507" s="13" t="str">
        <f>IFERROR(__xludf.DUMMYFUNCTION("""COMPUTED_VALUE"""),"Tops")</f>
        <v>Tops</v>
      </c>
      <c r="K507" s="13" t="str">
        <f>IFERROR(__xludf.DUMMYFUNCTION("""COMPUTED_VALUE"""),"Blouses")</f>
        <v>Blouses</v>
      </c>
      <c r="L507" s="13"/>
    </row>
    <row r="508">
      <c r="A508" s="13">
        <f>IFERROR(__xludf.DUMMYFUNCTION("""COMPUTED_VALUE"""),506.0)</f>
        <v>506</v>
      </c>
      <c r="B508" s="13">
        <f>IFERROR(__xludf.DUMMYFUNCTION("""COMPUTED_VALUE"""),1078.0)</f>
        <v>1078</v>
      </c>
      <c r="C508" s="13">
        <f>IFERROR(__xludf.DUMMYFUNCTION("""COMPUTED_VALUE"""),51.0)</f>
        <v>51</v>
      </c>
      <c r="D508" s="12" t="str">
        <f>IFERROR(__xludf.DUMMYFUNCTION("""COMPUTED_VALUE"""),"So cute, but weird fit")</f>
        <v>So cute, but weird fit</v>
      </c>
      <c r="E508" s="12" t="str">
        <f>IFERROR(__xludf.DUMMYFUNCTION("""COMPUTED_VALUE"""),"This dress is really cute in person. however, it did not fit me like it does the model in the pic at all. first of all i'm 5 feet 1 and it was wayyy too short on me. i didn't have the petit on either-- i had the regular xs. it just hits a couple of inches"&amp;" too short for me. i am 50. it would be adorable if i were more comfortable in shorter dresses. i wear short things a lot, but this was just too high on me. it was probably a good 8 inches above my knee. also it flared too dramatically at the wa")</f>
        <v>This dress is really cute in person. however, it did not fit me like it does the model in the pic at all. first of all i'm 5 feet 1 and it was wayyy too short on me. i didn't have the petit on either-- i had the regular xs. it just hits a couple of inches too short for me. i am 50. it would be adorable if i were more comfortable in shorter dresses. i wear short things a lot, but this was just too high on me. it was probably a good 8 inches above my knee. also it flared too dramatically at the wa</v>
      </c>
      <c r="F508" s="13">
        <f>IFERROR(__xludf.DUMMYFUNCTION("""COMPUTED_VALUE"""),3.0)</f>
        <v>3</v>
      </c>
      <c r="G508" s="13">
        <f>IFERROR(__xludf.DUMMYFUNCTION("""COMPUTED_VALUE"""),1.0)</f>
        <v>1</v>
      </c>
      <c r="H508" s="13">
        <f>IFERROR(__xludf.DUMMYFUNCTION("""COMPUTED_VALUE"""),11.0)</f>
        <v>11</v>
      </c>
      <c r="I508" s="13" t="str">
        <f>IFERROR(__xludf.DUMMYFUNCTION("""COMPUTED_VALUE"""),"General")</f>
        <v>General</v>
      </c>
      <c r="J508" s="13" t="str">
        <f>IFERROR(__xludf.DUMMYFUNCTION("""COMPUTED_VALUE"""),"Dresses")</f>
        <v>Dresses</v>
      </c>
      <c r="K508" s="13" t="str">
        <f>IFERROR(__xludf.DUMMYFUNCTION("""COMPUTED_VALUE"""),"Dresses")</f>
        <v>Dresses</v>
      </c>
      <c r="L508" s="13"/>
    </row>
    <row r="509">
      <c r="A509" s="13">
        <f>IFERROR(__xludf.DUMMYFUNCTION("""COMPUTED_VALUE"""),507.0)</f>
        <v>507</v>
      </c>
      <c r="B509" s="13">
        <f>IFERROR(__xludf.DUMMYFUNCTION("""COMPUTED_VALUE"""),850.0)</f>
        <v>850</v>
      </c>
      <c r="C509" s="13">
        <f>IFERROR(__xludf.DUMMYFUNCTION("""COMPUTED_VALUE"""),58.0)</f>
        <v>58</v>
      </c>
      <c r="D509" s="12" t="str">
        <f>IFERROR(__xludf.DUMMYFUNCTION("""COMPUTED_VALUE"""),"Awesome top")</f>
        <v>Awesome top</v>
      </c>
      <c r="E509" s="12" t="str">
        <f>IFERROR(__xludf.DUMMYFUNCTION("""COMPUTED_VALUE"""),"Saw this online and had to try it on when i found it in the store. i usually wear an 8 or a 10 depending on how things run, (i'm a 34 dd), so i tried on both sizes. i really could not see much of a difference between the two and was torn as to which size "&amp;"to get. the 10 was just a tad looser so i went with that one, but seriously i could not find or feel much of a difference. it is a very figure flattering top, and a plus that you can machine wash it. simply awesome!")</f>
        <v>Saw this online and had to try it on when i found it in the store. i usually wear an 8 or a 10 depending on how things run, (i'm a 34 dd), so i tried on both sizes. i really could not see much of a difference between the two and was torn as to which size to get. the 10 was just a tad looser so i went with that one, but seriously i could not find or feel much of a difference. it is a very figure flattering top, and a plus that you can machine wash it. simply awesome!</v>
      </c>
      <c r="F509" s="13">
        <f>IFERROR(__xludf.DUMMYFUNCTION("""COMPUTED_VALUE"""),5.0)</f>
        <v>5</v>
      </c>
      <c r="G509" s="13">
        <f>IFERROR(__xludf.DUMMYFUNCTION("""COMPUTED_VALUE"""),1.0)</f>
        <v>1</v>
      </c>
      <c r="H509" s="13">
        <f>IFERROR(__xludf.DUMMYFUNCTION("""COMPUTED_VALUE"""),7.0)</f>
        <v>7</v>
      </c>
      <c r="I509" s="13" t="str">
        <f>IFERROR(__xludf.DUMMYFUNCTION("""COMPUTED_VALUE"""),"General Petite")</f>
        <v>General Petite</v>
      </c>
      <c r="J509" s="13" t="str">
        <f>IFERROR(__xludf.DUMMYFUNCTION("""COMPUTED_VALUE"""),"Tops")</f>
        <v>Tops</v>
      </c>
      <c r="K509" s="13" t="str">
        <f>IFERROR(__xludf.DUMMYFUNCTION("""COMPUTED_VALUE"""),"Blouses")</f>
        <v>Blouses</v>
      </c>
      <c r="L509" s="13"/>
    </row>
    <row r="510">
      <c r="A510" s="13">
        <f>IFERROR(__xludf.DUMMYFUNCTION("""COMPUTED_VALUE"""),508.0)</f>
        <v>508</v>
      </c>
      <c r="B510" s="13">
        <f>IFERROR(__xludf.DUMMYFUNCTION("""COMPUTED_VALUE"""),1078.0)</f>
        <v>1078</v>
      </c>
      <c r="C510" s="13">
        <f>IFERROR(__xludf.DUMMYFUNCTION("""COMPUTED_VALUE"""),67.0)</f>
        <v>67</v>
      </c>
      <c r="D510" s="12" t="str">
        <f>IFERROR(__xludf.DUMMYFUNCTION("""COMPUTED_VALUE"""),"Comfy, cute, and colorful.")</f>
        <v>Comfy, cute, and colorful.</v>
      </c>
      <c r="E510" s="12" t="str">
        <f>IFERROR(__xludf.DUMMYFUNCTION("""COMPUTED_VALUE"""),"This knit dress is very comfortable. i liked the various colors used in the stripes. my only issue with it, is that the skirt of the dress flares out oddly and is quite short. in my opinion, this dress, with its sturdy fabric and long sleeves, would appea"&amp;"r more proportional with a longer skirt. skirt length, along with horizontal stripes just did not work for me. regrettably, i sent it back.")</f>
        <v>This knit dress is very comfortable. i liked the various colors used in the stripes. my only issue with it, is that the skirt of the dress flares out oddly and is quite short. in my opinion, this dress, with its sturdy fabric and long sleeves, would appear more proportional with a longer skirt. skirt length, along with horizontal stripes just did not work for me. regrettably, i sent it back.</v>
      </c>
      <c r="F510" s="13">
        <f>IFERROR(__xludf.DUMMYFUNCTION("""COMPUTED_VALUE"""),4.0)</f>
        <v>4</v>
      </c>
      <c r="G510" s="13">
        <f>IFERROR(__xludf.DUMMYFUNCTION("""COMPUTED_VALUE"""),1.0)</f>
        <v>1</v>
      </c>
      <c r="H510" s="13">
        <f>IFERROR(__xludf.DUMMYFUNCTION("""COMPUTED_VALUE"""),0.0)</f>
        <v>0</v>
      </c>
      <c r="I510" s="13" t="str">
        <f>IFERROR(__xludf.DUMMYFUNCTION("""COMPUTED_VALUE"""),"General")</f>
        <v>General</v>
      </c>
      <c r="J510" s="13" t="str">
        <f>IFERROR(__xludf.DUMMYFUNCTION("""COMPUTED_VALUE"""),"Dresses")</f>
        <v>Dresses</v>
      </c>
      <c r="K510" s="13" t="str">
        <f>IFERROR(__xludf.DUMMYFUNCTION("""COMPUTED_VALUE"""),"Dresses")</f>
        <v>Dresses</v>
      </c>
      <c r="L510" s="13"/>
    </row>
    <row r="511">
      <c r="A511" s="13">
        <f>IFERROR(__xludf.DUMMYFUNCTION("""COMPUTED_VALUE"""),509.0)</f>
        <v>509</v>
      </c>
      <c r="B511" s="13">
        <f>IFERROR(__xludf.DUMMYFUNCTION("""COMPUTED_VALUE"""),1078.0)</f>
        <v>1078</v>
      </c>
      <c r="C511" s="13">
        <f>IFERROR(__xludf.DUMMYFUNCTION("""COMPUTED_VALUE"""),36.0)</f>
        <v>36</v>
      </c>
      <c r="D511" s="12" t="str">
        <f>IFERROR(__xludf.DUMMYFUNCTION("""COMPUTED_VALUE"""),"Best fitting dress")</f>
        <v>Best fitting dress</v>
      </c>
      <c r="E511" s="12" t="str">
        <f>IFERROR(__xludf.DUMMYFUNCTION("""COMPUTED_VALUE"""),"Love love this dress. fits so great. i normally wouldn't have picked this dress. more preppy than my normal style. fits amazing. my hubby has complimented me more on this dress than anything else i've ever owned. the fit &amp; flare style is super flattering "&amp;"i felt it fit tts.")</f>
        <v>Love love this dress. fits so great. i normally wouldn't have picked this dress. more preppy than my normal style. fits amazing. my hubby has complimented me more on this dress than anything else i've ever owned. the fit &amp; flare style is super flattering i felt it fit tts.</v>
      </c>
      <c r="F511" s="13">
        <f>IFERROR(__xludf.DUMMYFUNCTION("""COMPUTED_VALUE"""),5.0)</f>
        <v>5</v>
      </c>
      <c r="G511" s="13">
        <f>IFERROR(__xludf.DUMMYFUNCTION("""COMPUTED_VALUE"""),1.0)</f>
        <v>1</v>
      </c>
      <c r="H511" s="13">
        <f>IFERROR(__xludf.DUMMYFUNCTION("""COMPUTED_VALUE"""),8.0)</f>
        <v>8</v>
      </c>
      <c r="I511" s="13" t="str">
        <f>IFERROR(__xludf.DUMMYFUNCTION("""COMPUTED_VALUE"""),"General")</f>
        <v>General</v>
      </c>
      <c r="J511" s="13" t="str">
        <f>IFERROR(__xludf.DUMMYFUNCTION("""COMPUTED_VALUE"""),"Dresses")</f>
        <v>Dresses</v>
      </c>
      <c r="K511" s="13" t="str">
        <f>IFERROR(__xludf.DUMMYFUNCTION("""COMPUTED_VALUE"""),"Dresses")</f>
        <v>Dresses</v>
      </c>
      <c r="L511" s="13"/>
    </row>
    <row r="512">
      <c r="A512" s="13">
        <f>IFERROR(__xludf.DUMMYFUNCTION("""COMPUTED_VALUE"""),510.0)</f>
        <v>510</v>
      </c>
      <c r="B512" s="13">
        <f>IFERROR(__xludf.DUMMYFUNCTION("""COMPUTED_VALUE"""),850.0)</f>
        <v>850</v>
      </c>
      <c r="C512" s="13">
        <f>IFERROR(__xludf.DUMMYFUNCTION("""COMPUTED_VALUE"""),27.0)</f>
        <v>27</v>
      </c>
      <c r="D512" s="12" t="str">
        <f>IFERROR(__xludf.DUMMYFUNCTION("""COMPUTED_VALUE"""),"Gorgeous, flattering blouse!")</f>
        <v>Gorgeous, flattering blouse!</v>
      </c>
      <c r="E512" s="12" t="str">
        <f>IFERROR(__xludf.DUMMYFUNCTION("""COMPUTED_VALUE"""),"This is one of my absolute favorites! the design is perfect, and the fabric is so beautiful. i don't love the coral color, but the mixed pattern is amazing. it runs a little large. i sized down one size and it fit perfectly. it's very flowy and comfortabl"&amp;"e. it's these unique, special designs that end of being my favorite retailer purchases. i've gotten so many compliments. very highly recommend!")</f>
        <v>This is one of my absolute favorites! the design is perfect, and the fabric is so beautiful. i don't love the coral color, but the mixed pattern is amazing. it runs a little large. i sized down one size and it fit perfectly. it's very flowy and comfortable. it's these unique, special designs that end of being my favorite retailer purchases. i've gotten so many compliments. very highly recommend!</v>
      </c>
      <c r="F512" s="13">
        <f>IFERROR(__xludf.DUMMYFUNCTION("""COMPUTED_VALUE"""),5.0)</f>
        <v>5</v>
      </c>
      <c r="G512" s="13">
        <f>IFERROR(__xludf.DUMMYFUNCTION("""COMPUTED_VALUE"""),1.0)</f>
        <v>1</v>
      </c>
      <c r="H512" s="13">
        <f>IFERROR(__xludf.DUMMYFUNCTION("""COMPUTED_VALUE"""),4.0)</f>
        <v>4</v>
      </c>
      <c r="I512" s="13" t="str">
        <f>IFERROR(__xludf.DUMMYFUNCTION("""COMPUTED_VALUE"""),"General Petite")</f>
        <v>General Petite</v>
      </c>
      <c r="J512" s="13" t="str">
        <f>IFERROR(__xludf.DUMMYFUNCTION("""COMPUTED_VALUE"""),"Tops")</f>
        <v>Tops</v>
      </c>
      <c r="K512" s="13" t="str">
        <f>IFERROR(__xludf.DUMMYFUNCTION("""COMPUTED_VALUE"""),"Blouses")</f>
        <v>Blouses</v>
      </c>
      <c r="L512" s="13"/>
    </row>
    <row r="513">
      <c r="A513" s="13">
        <f>IFERROR(__xludf.DUMMYFUNCTION("""COMPUTED_VALUE"""),511.0)</f>
        <v>511</v>
      </c>
      <c r="B513" s="13">
        <f>IFERROR(__xludf.DUMMYFUNCTION("""COMPUTED_VALUE"""),948.0)</f>
        <v>948</v>
      </c>
      <c r="C513" s="13">
        <f>IFERROR(__xludf.DUMMYFUNCTION("""COMPUTED_VALUE"""),60.0)</f>
        <v>60</v>
      </c>
      <c r="D513" s="12" t="str">
        <f>IFERROR(__xludf.DUMMYFUNCTION("""COMPUTED_VALUE"""),"Cropped and itchy")</f>
        <v>Cropped and itchy</v>
      </c>
      <c r="E513" s="12" t="str">
        <f>IFERROR(__xludf.DUMMYFUNCTION("""COMPUTED_VALUE"""),"I'm assuming the model showing the sweater is at least 5'9"", it is slightly cropped on her , but it certainly doesn't look super cropped. i'm 5'4"" and its super cropped on me. even with high waist jeans.
also, it is incredibly itchy. i even tried it wit"&amp;"h a cami under but the itchy wool came right through the cami.
too bad, its a cute design, just needs some tweaking.")</f>
        <v>I'm assuming the model showing the sweater is at least 5'9", it is slightly cropped on her , but it certainly doesn't look super cropped. i'm 5'4" and its super cropped on me. even with high waist jeans.
also, it is incredibly itchy. i even tried it with a cami under but the itchy wool came right through the cami.
too bad, its a cute design, just needs some tweaking.</v>
      </c>
      <c r="F513" s="13">
        <f>IFERROR(__xludf.DUMMYFUNCTION("""COMPUTED_VALUE"""),2.0)</f>
        <v>2</v>
      </c>
      <c r="G513" s="13">
        <f>IFERROR(__xludf.DUMMYFUNCTION("""COMPUTED_VALUE"""),0.0)</f>
        <v>0</v>
      </c>
      <c r="H513" s="13">
        <f>IFERROR(__xludf.DUMMYFUNCTION("""COMPUTED_VALUE"""),2.0)</f>
        <v>2</v>
      </c>
      <c r="I513" s="13" t="str">
        <f>IFERROR(__xludf.DUMMYFUNCTION("""COMPUTED_VALUE"""),"General Petite")</f>
        <v>General Petite</v>
      </c>
      <c r="J513" s="13" t="str">
        <f>IFERROR(__xludf.DUMMYFUNCTION("""COMPUTED_VALUE"""),"Tops")</f>
        <v>Tops</v>
      </c>
      <c r="K513" s="13" t="str">
        <f>IFERROR(__xludf.DUMMYFUNCTION("""COMPUTED_VALUE"""),"Sweaters")</f>
        <v>Sweaters</v>
      </c>
      <c r="L513" s="13"/>
    </row>
    <row r="514">
      <c r="A514" s="13">
        <f>IFERROR(__xludf.DUMMYFUNCTION("""COMPUTED_VALUE"""),512.0)</f>
        <v>512</v>
      </c>
      <c r="B514" s="13">
        <f>IFERROR(__xludf.DUMMYFUNCTION("""COMPUTED_VALUE"""),1078.0)</f>
        <v>1078</v>
      </c>
      <c r="C514" s="13">
        <f>IFERROR(__xludf.DUMMYFUNCTION("""COMPUTED_VALUE"""),49.0)</f>
        <v>49</v>
      </c>
      <c r="D514" s="12" t="str">
        <f>IFERROR(__xludf.DUMMYFUNCTION("""COMPUTED_VALUE"""),"Cute but skip the petite unless you are very short")</f>
        <v>Cute but skip the petite unless you are very short</v>
      </c>
      <c r="E514" s="12" t="str">
        <f>IFERROR(__xludf.DUMMYFUNCTION("""COMPUTED_VALUE"""),"Beautiful colors, especially the pink. i am 5'3"" and about 124 lb. i got the small petite but am thinking of exchanging it for the regular xs. not only is it short hem-wise, which i don't really mind, but it is short in the waist. very pretty and good fa"&amp;"bric.")</f>
        <v>Beautiful colors, especially the pink. i am 5'3" and about 124 lb. i got the small petite but am thinking of exchanging it for the regular xs. not only is it short hem-wise, which i don't really mind, but it is short in the waist. very pretty and good fabric.</v>
      </c>
      <c r="F514" s="13">
        <f>IFERROR(__xludf.DUMMYFUNCTION("""COMPUTED_VALUE"""),5.0)</f>
        <v>5</v>
      </c>
      <c r="G514" s="13">
        <f>IFERROR(__xludf.DUMMYFUNCTION("""COMPUTED_VALUE"""),1.0)</f>
        <v>1</v>
      </c>
      <c r="H514" s="13">
        <f>IFERROR(__xludf.DUMMYFUNCTION("""COMPUTED_VALUE"""),3.0)</f>
        <v>3</v>
      </c>
      <c r="I514" s="13" t="str">
        <f>IFERROR(__xludf.DUMMYFUNCTION("""COMPUTED_VALUE"""),"General")</f>
        <v>General</v>
      </c>
      <c r="J514" s="13" t="str">
        <f>IFERROR(__xludf.DUMMYFUNCTION("""COMPUTED_VALUE"""),"Dresses")</f>
        <v>Dresses</v>
      </c>
      <c r="K514" s="13" t="str">
        <f>IFERROR(__xludf.DUMMYFUNCTION("""COMPUTED_VALUE"""),"Dresses")</f>
        <v>Dresses</v>
      </c>
      <c r="L514" s="13"/>
    </row>
    <row r="515">
      <c r="A515" s="13">
        <f>IFERROR(__xludf.DUMMYFUNCTION("""COMPUTED_VALUE"""),513.0)</f>
        <v>513</v>
      </c>
      <c r="B515" s="13">
        <f>IFERROR(__xludf.DUMMYFUNCTION("""COMPUTED_VALUE"""),850.0)</f>
        <v>850</v>
      </c>
      <c r="C515" s="13">
        <f>IFERROR(__xludf.DUMMYFUNCTION("""COMPUTED_VALUE"""),49.0)</f>
        <v>49</v>
      </c>
      <c r="D515" s="12" t="str">
        <f>IFERROR(__xludf.DUMMYFUNCTION("""COMPUTED_VALUE"""),"Manette clipdot blouse")</f>
        <v>Manette clipdot blouse</v>
      </c>
      <c r="E515" s="12" t="str">
        <f>IFERROR(__xludf.DUMMYFUNCTION("""COMPUTED_VALUE"""),"I love the style of this top. i just wish there were a slimmer version of it. unfortunately, this top doesn't suit my long, slim midsection. it is so wide, it completely hides the waist. i think it would look adorable on a different body type.")</f>
        <v>I love the style of this top. i just wish there were a slimmer version of it. unfortunately, this top doesn't suit my long, slim midsection. it is so wide, it completely hides the waist. i think it would look adorable on a different body type.</v>
      </c>
      <c r="F515" s="13">
        <f>IFERROR(__xludf.DUMMYFUNCTION("""COMPUTED_VALUE"""),3.0)</f>
        <v>3</v>
      </c>
      <c r="G515" s="13">
        <f>IFERROR(__xludf.DUMMYFUNCTION("""COMPUTED_VALUE"""),1.0)</f>
        <v>1</v>
      </c>
      <c r="H515" s="13">
        <f>IFERROR(__xludf.DUMMYFUNCTION("""COMPUTED_VALUE"""),7.0)</f>
        <v>7</v>
      </c>
      <c r="I515" s="13" t="str">
        <f>IFERROR(__xludf.DUMMYFUNCTION("""COMPUTED_VALUE"""),"General Petite")</f>
        <v>General Petite</v>
      </c>
      <c r="J515" s="13" t="str">
        <f>IFERROR(__xludf.DUMMYFUNCTION("""COMPUTED_VALUE"""),"Tops")</f>
        <v>Tops</v>
      </c>
      <c r="K515" s="13" t="str">
        <f>IFERROR(__xludf.DUMMYFUNCTION("""COMPUTED_VALUE"""),"Blouses")</f>
        <v>Blouses</v>
      </c>
      <c r="L515" s="13"/>
    </row>
    <row r="516">
      <c r="A516" s="13">
        <f>IFERROR(__xludf.DUMMYFUNCTION("""COMPUTED_VALUE"""),514.0)</f>
        <v>514</v>
      </c>
      <c r="B516" s="13">
        <f>IFERROR(__xludf.DUMMYFUNCTION("""COMPUTED_VALUE"""),1081.0)</f>
        <v>1081</v>
      </c>
      <c r="C516" s="13">
        <f>IFERROR(__xludf.DUMMYFUNCTION("""COMPUTED_VALUE"""),35.0)</f>
        <v>35</v>
      </c>
      <c r="D516" s="12" t="str">
        <f>IFERROR(__xludf.DUMMYFUNCTION("""COMPUTED_VALUE"""),"Elegant and well made")</f>
        <v>Elegant and well made</v>
      </c>
      <c r="E516" s="12" t="str">
        <f>IFERROR(__xludf.DUMMYFUNCTION("""COMPUTED_VALUE"""),"This dress caught my eye because i don't have anything like it. i wear between a m &amp; l and preferred the large in this dress because i have a large bust. i usually wear a 10 in slacks and 12 in tops. i love the lace on this dress because it looks very del"&amp;"icate in the picture but it is very heavy and well sewn onto the fabric. it is durable while still looking elegant. i also like that it is in navy and not black. it is also nicely lined. i plan on wearing a colorful scarf with this dress.")</f>
        <v>This dress caught my eye because i don't have anything like it. i wear between a m &amp; l and preferred the large in this dress because i have a large bust. i usually wear a 10 in slacks and 12 in tops. i love the lace on this dress because it looks very delicate in the picture but it is very heavy and well sewn onto the fabric. it is durable while still looking elegant. i also like that it is in navy and not black. it is also nicely lined. i plan on wearing a colorful scarf with this dress.</v>
      </c>
      <c r="F516" s="13">
        <f>IFERROR(__xludf.DUMMYFUNCTION("""COMPUTED_VALUE"""),5.0)</f>
        <v>5</v>
      </c>
      <c r="G516" s="13">
        <f>IFERROR(__xludf.DUMMYFUNCTION("""COMPUTED_VALUE"""),1.0)</f>
        <v>1</v>
      </c>
      <c r="H516" s="13">
        <f>IFERROR(__xludf.DUMMYFUNCTION("""COMPUTED_VALUE"""),3.0)</f>
        <v>3</v>
      </c>
      <c r="I516" s="13" t="str">
        <f>IFERROR(__xludf.DUMMYFUNCTION("""COMPUTED_VALUE"""),"General Petite")</f>
        <v>General Petite</v>
      </c>
      <c r="J516" s="13" t="str">
        <f>IFERROR(__xludf.DUMMYFUNCTION("""COMPUTED_VALUE"""),"Dresses")</f>
        <v>Dresses</v>
      </c>
      <c r="K516" s="13" t="str">
        <f>IFERROR(__xludf.DUMMYFUNCTION("""COMPUTED_VALUE"""),"Dresses")</f>
        <v>Dresses</v>
      </c>
      <c r="L516" s="13"/>
    </row>
    <row r="517">
      <c r="A517" s="13">
        <f>IFERROR(__xludf.DUMMYFUNCTION("""COMPUTED_VALUE"""),515.0)</f>
        <v>515</v>
      </c>
      <c r="B517" s="13">
        <f>IFERROR(__xludf.DUMMYFUNCTION("""COMPUTED_VALUE"""),833.0)</f>
        <v>833</v>
      </c>
      <c r="C517" s="13">
        <f>IFERROR(__xludf.DUMMYFUNCTION("""COMPUTED_VALUE"""),60.0)</f>
        <v>60</v>
      </c>
      <c r="D517" s="12" t="str">
        <f>IFERROR(__xludf.DUMMYFUNCTION("""COMPUTED_VALUE"""),"Lovely")</f>
        <v>Lovely</v>
      </c>
      <c r="E517" s="12" t="str">
        <f>IFERROR(__xludf.DUMMYFUNCTION("""COMPUTED_VALUE"""),"A beautiful combination of eyelet with a soft fabric which lays beautifully. this does not make you look bigger then you are and i kept tts so the eyelet did not pull. mine fits perfectly. i personally will wear a cami under it as it is a bit sheer for me"&amp;". it has an almost peacock print to it in colors of brown and tan. the black buttons down the back adds interest and charm. just adore it!")</f>
        <v>A beautiful combination of eyelet with a soft fabric which lays beautifully. this does not make you look bigger then you are and i kept tts so the eyelet did not pull. mine fits perfectly. i personally will wear a cami under it as it is a bit sheer for me. it has an almost peacock print to it in colors of brown and tan. the black buttons down the back adds interest and charm. just adore it!</v>
      </c>
      <c r="F517" s="13">
        <f>IFERROR(__xludf.DUMMYFUNCTION("""COMPUTED_VALUE"""),5.0)</f>
        <v>5</v>
      </c>
      <c r="G517" s="13">
        <f>IFERROR(__xludf.DUMMYFUNCTION("""COMPUTED_VALUE"""),1.0)</f>
        <v>1</v>
      </c>
      <c r="H517" s="13">
        <f>IFERROR(__xludf.DUMMYFUNCTION("""COMPUTED_VALUE"""),3.0)</f>
        <v>3</v>
      </c>
      <c r="I517" s="13" t="str">
        <f>IFERROR(__xludf.DUMMYFUNCTION("""COMPUTED_VALUE"""),"General")</f>
        <v>General</v>
      </c>
      <c r="J517" s="13" t="str">
        <f>IFERROR(__xludf.DUMMYFUNCTION("""COMPUTED_VALUE"""),"Tops")</f>
        <v>Tops</v>
      </c>
      <c r="K517" s="13" t="str">
        <f>IFERROR(__xludf.DUMMYFUNCTION("""COMPUTED_VALUE"""),"Blouses")</f>
        <v>Blouses</v>
      </c>
      <c r="L517" s="13"/>
    </row>
    <row r="518">
      <c r="A518" s="13">
        <f>IFERROR(__xludf.DUMMYFUNCTION("""COMPUTED_VALUE"""),516.0)</f>
        <v>516</v>
      </c>
      <c r="B518" s="13">
        <f>IFERROR(__xludf.DUMMYFUNCTION("""COMPUTED_VALUE"""),1081.0)</f>
        <v>1081</v>
      </c>
      <c r="C518" s="13">
        <f>IFERROR(__xludf.DUMMYFUNCTION("""COMPUTED_VALUE"""),53.0)</f>
        <v>53</v>
      </c>
      <c r="D518" s="12" t="str">
        <f>IFERROR(__xludf.DUMMYFUNCTION("""COMPUTED_VALUE"""),"Well made")</f>
        <v>Well made</v>
      </c>
      <c r="E518" s="12" t="str">
        <f>IFERROR(__xludf.DUMMYFUNCTION("""COMPUTED_VALUE"""),"This dress looks great on me. it gives a slender appearance which hides a lot and it's easy and comfortable to wear.")</f>
        <v>This dress looks great on me. it gives a slender appearance which hides a lot and it's easy and comfortable to wear.</v>
      </c>
      <c r="F518" s="13">
        <f>IFERROR(__xludf.DUMMYFUNCTION("""COMPUTED_VALUE"""),5.0)</f>
        <v>5</v>
      </c>
      <c r="G518" s="13">
        <f>IFERROR(__xludf.DUMMYFUNCTION("""COMPUTED_VALUE"""),1.0)</f>
        <v>1</v>
      </c>
      <c r="H518" s="13">
        <f>IFERROR(__xludf.DUMMYFUNCTION("""COMPUTED_VALUE"""),1.0)</f>
        <v>1</v>
      </c>
      <c r="I518" s="13" t="str">
        <f>IFERROR(__xludf.DUMMYFUNCTION("""COMPUTED_VALUE"""),"General Petite")</f>
        <v>General Petite</v>
      </c>
      <c r="J518" s="13" t="str">
        <f>IFERROR(__xludf.DUMMYFUNCTION("""COMPUTED_VALUE"""),"Dresses")</f>
        <v>Dresses</v>
      </c>
      <c r="K518" s="13" t="str">
        <f>IFERROR(__xludf.DUMMYFUNCTION("""COMPUTED_VALUE"""),"Dresses")</f>
        <v>Dresses</v>
      </c>
      <c r="L518" s="13"/>
    </row>
    <row r="519">
      <c r="A519" s="13">
        <f>IFERROR(__xludf.DUMMYFUNCTION("""COMPUTED_VALUE"""),517.0)</f>
        <v>517</v>
      </c>
      <c r="B519" s="13">
        <f>IFERROR(__xludf.DUMMYFUNCTION("""COMPUTED_VALUE"""),850.0)</f>
        <v>850</v>
      </c>
      <c r="C519" s="13">
        <f>IFERROR(__xludf.DUMMYFUNCTION("""COMPUTED_VALUE"""),38.0)</f>
        <v>38</v>
      </c>
      <c r="D519" s="12" t="str">
        <f>IFERROR(__xludf.DUMMYFUNCTION("""COMPUTED_VALUE"""),"Beautiful blouse; very flattering")</f>
        <v>Beautiful blouse; very flattering</v>
      </c>
      <c r="E519" s="12" t="str">
        <f>IFERROR(__xludf.DUMMYFUNCTION("""COMPUTED_VALUE"""),"Overall, gorgeous blouse; very flattering. i love the sleeves; very unique and also flattering. i love how the blouse is a fit-and-flare from the bust. it's fitted at the bust (but not tight) and drapes with an a-line style. the fit of this blouse is trul"&amp;"y flattering to the figure. no issues with inappropriate amounts of cleavage showing or anything. the ties are weighted on the end with metal tubes, which i really like because it makes the strings drape nicely. the back drapes beautifully. i fe")</f>
        <v>Overall, gorgeous blouse; very flattering. i love the sleeves; very unique and also flattering. i love how the blouse is a fit-and-flare from the bust. it's fitted at the bust (but not tight) and drapes with an a-line style. the fit of this blouse is truly flattering to the figure. no issues with inappropriate amounts of cleavage showing or anything. the ties are weighted on the end with metal tubes, which i really like because it makes the strings drape nicely. the back drapes beautifully. i fe</v>
      </c>
      <c r="F519" s="13">
        <f>IFERROR(__xludf.DUMMYFUNCTION("""COMPUTED_VALUE"""),4.0)</f>
        <v>4</v>
      </c>
      <c r="G519" s="13">
        <f>IFERROR(__xludf.DUMMYFUNCTION("""COMPUTED_VALUE"""),1.0)</f>
        <v>1</v>
      </c>
      <c r="H519" s="13">
        <f>IFERROR(__xludf.DUMMYFUNCTION("""COMPUTED_VALUE"""),29.0)</f>
        <v>29</v>
      </c>
      <c r="I519" s="13" t="str">
        <f>IFERROR(__xludf.DUMMYFUNCTION("""COMPUTED_VALUE"""),"General Petite")</f>
        <v>General Petite</v>
      </c>
      <c r="J519" s="13" t="str">
        <f>IFERROR(__xludf.DUMMYFUNCTION("""COMPUTED_VALUE"""),"Tops")</f>
        <v>Tops</v>
      </c>
      <c r="K519" s="13" t="str">
        <f>IFERROR(__xludf.DUMMYFUNCTION("""COMPUTED_VALUE"""),"Blouses")</f>
        <v>Blouses</v>
      </c>
      <c r="L519" s="13"/>
    </row>
    <row r="520">
      <c r="A520" s="13">
        <f>IFERROR(__xludf.DUMMYFUNCTION("""COMPUTED_VALUE"""),518.0)</f>
        <v>518</v>
      </c>
      <c r="B520" s="13">
        <f>IFERROR(__xludf.DUMMYFUNCTION("""COMPUTED_VALUE"""),850.0)</f>
        <v>850</v>
      </c>
      <c r="C520" s="13">
        <f>IFERROR(__xludf.DUMMYFUNCTION("""COMPUTED_VALUE"""),48.0)</f>
        <v>48</v>
      </c>
      <c r="D520" s="12" t="str">
        <f>IFERROR(__xludf.DUMMYFUNCTION("""COMPUTED_VALUE"""),"Weird color and fit")</f>
        <v>Weird color and fit</v>
      </c>
      <c r="E520" s="12" t="str">
        <f>IFERROR(__xludf.DUMMYFUNCTION("""COMPUTED_VALUE"""),"Color is not like photo and fit doesn't work if you're busty")</f>
        <v>Color is not like photo and fit doesn't work if you're busty</v>
      </c>
      <c r="F520" s="13">
        <f>IFERROR(__xludf.DUMMYFUNCTION("""COMPUTED_VALUE"""),2.0)</f>
        <v>2</v>
      </c>
      <c r="G520" s="13">
        <f>IFERROR(__xludf.DUMMYFUNCTION("""COMPUTED_VALUE"""),0.0)</f>
        <v>0</v>
      </c>
      <c r="H520" s="13">
        <f>IFERROR(__xludf.DUMMYFUNCTION("""COMPUTED_VALUE"""),0.0)</f>
        <v>0</v>
      </c>
      <c r="I520" s="13" t="str">
        <f>IFERROR(__xludf.DUMMYFUNCTION("""COMPUTED_VALUE"""),"General Petite")</f>
        <v>General Petite</v>
      </c>
      <c r="J520" s="13" t="str">
        <f>IFERROR(__xludf.DUMMYFUNCTION("""COMPUTED_VALUE"""),"Tops")</f>
        <v>Tops</v>
      </c>
      <c r="K520" s="13" t="str">
        <f>IFERROR(__xludf.DUMMYFUNCTION("""COMPUTED_VALUE"""),"Blouses")</f>
        <v>Blouses</v>
      </c>
      <c r="L520" s="13"/>
    </row>
    <row r="521">
      <c r="A521" s="13">
        <f>IFERROR(__xludf.DUMMYFUNCTION("""COMPUTED_VALUE"""),519.0)</f>
        <v>519</v>
      </c>
      <c r="B521" s="13">
        <f>IFERROR(__xludf.DUMMYFUNCTION("""COMPUTED_VALUE"""),850.0)</f>
        <v>850</v>
      </c>
      <c r="C521" s="13">
        <f>IFERROR(__xludf.DUMMYFUNCTION("""COMPUTED_VALUE"""),37.0)</f>
        <v>37</v>
      </c>
      <c r="D521" s="12"/>
      <c r="E521" s="12"/>
      <c r="F521" s="13">
        <f>IFERROR(__xludf.DUMMYFUNCTION("""COMPUTED_VALUE"""),5.0)</f>
        <v>5</v>
      </c>
      <c r="G521" s="13">
        <f>IFERROR(__xludf.DUMMYFUNCTION("""COMPUTED_VALUE"""),1.0)</f>
        <v>1</v>
      </c>
      <c r="H521" s="13">
        <f>IFERROR(__xludf.DUMMYFUNCTION("""COMPUTED_VALUE"""),0.0)</f>
        <v>0</v>
      </c>
      <c r="I521" s="13" t="str">
        <f>IFERROR(__xludf.DUMMYFUNCTION("""COMPUTED_VALUE"""),"General Petite")</f>
        <v>General Petite</v>
      </c>
      <c r="J521" s="13" t="str">
        <f>IFERROR(__xludf.DUMMYFUNCTION("""COMPUTED_VALUE"""),"Tops")</f>
        <v>Tops</v>
      </c>
      <c r="K521" s="13" t="str">
        <f>IFERROR(__xludf.DUMMYFUNCTION("""COMPUTED_VALUE"""),"Blouses")</f>
        <v>Blouses</v>
      </c>
      <c r="L521" s="13"/>
    </row>
    <row r="522">
      <c r="A522" s="13">
        <f>IFERROR(__xludf.DUMMYFUNCTION("""COMPUTED_VALUE"""),520.0)</f>
        <v>520</v>
      </c>
      <c r="B522" s="13">
        <f>IFERROR(__xludf.DUMMYFUNCTION("""COMPUTED_VALUE"""),984.0)</f>
        <v>984</v>
      </c>
      <c r="C522" s="13">
        <f>IFERROR(__xludf.DUMMYFUNCTION("""COMPUTED_VALUE"""),42.0)</f>
        <v>42</v>
      </c>
      <c r="D522" s="12" t="str">
        <f>IFERROR(__xludf.DUMMYFUNCTION("""COMPUTED_VALUE"""),"Looks better on")</f>
        <v>Looks better on</v>
      </c>
      <c r="E522" s="12" t="str">
        <f>IFERROR(__xludf.DUMMYFUNCTION("""COMPUTED_VALUE"""),"I first saw this jacket hanging at the store and it didn't look very cute. i saw it again on sale so i decided to try it on. i'm so glad i did! the inside gray material is so soft. i have broad shoulders and this jacket did not hinder my arms at all. it i"&amp;"s very comfortable. i bought the x-small and was very surprised at how roomy it was. the sleeves are a tad bit long but the gray inner lining has an elastic cuff so it can be pushed up. not sure if the xx-small would've been too small or if the")</f>
        <v>I first saw this jacket hanging at the store and it didn't look very cute. i saw it again on sale so i decided to try it on. i'm so glad i did! the inside gray material is so soft. i have broad shoulders and this jacket did not hinder my arms at all. it is very comfortable. i bought the x-small and was very surprised at how roomy it was. the sleeves are a tad bit long but the gray inner lining has an elastic cuff so it can be pushed up. not sure if the xx-small would've been too small or if the</v>
      </c>
      <c r="F522" s="13">
        <f>IFERROR(__xludf.DUMMYFUNCTION("""COMPUTED_VALUE"""),5.0)</f>
        <v>5</v>
      </c>
      <c r="G522" s="13">
        <f>IFERROR(__xludf.DUMMYFUNCTION("""COMPUTED_VALUE"""),1.0)</f>
        <v>1</v>
      </c>
      <c r="H522" s="13">
        <f>IFERROR(__xludf.DUMMYFUNCTION("""COMPUTED_VALUE"""),0.0)</f>
        <v>0</v>
      </c>
      <c r="I522" s="13" t="str">
        <f>IFERROR(__xludf.DUMMYFUNCTION("""COMPUTED_VALUE"""),"General")</f>
        <v>General</v>
      </c>
      <c r="J522" s="13" t="str">
        <f>IFERROR(__xludf.DUMMYFUNCTION("""COMPUTED_VALUE"""),"Jackets")</f>
        <v>Jackets</v>
      </c>
      <c r="K522" s="13" t="str">
        <f>IFERROR(__xludf.DUMMYFUNCTION("""COMPUTED_VALUE"""),"Jackets")</f>
        <v>Jackets</v>
      </c>
      <c r="L522" s="13"/>
    </row>
    <row r="523">
      <c r="A523" s="13">
        <f>IFERROR(__xludf.DUMMYFUNCTION("""COMPUTED_VALUE"""),521.0)</f>
        <v>521</v>
      </c>
      <c r="B523" s="13">
        <f>IFERROR(__xludf.DUMMYFUNCTION("""COMPUTED_VALUE"""),850.0)</f>
        <v>850</v>
      </c>
      <c r="C523" s="13">
        <f>IFERROR(__xludf.DUMMYFUNCTION("""COMPUTED_VALUE"""),50.0)</f>
        <v>50</v>
      </c>
      <c r="D523" s="12"/>
      <c r="E523" s="12" t="str">
        <f>IFERROR(__xludf.DUMMYFUNCTION("""COMPUTED_VALUE"""),"Good quality material. i got size 10 which is a little too big - size 8 would probably be better. very pretty, feminine top. a little too full in the waist/skirt area.")</f>
        <v>Good quality material. i got size 10 which is a little too big - size 8 would probably be better. very pretty, feminine top. a little too full in the waist/skirt area.</v>
      </c>
      <c r="F523" s="13">
        <f>IFERROR(__xludf.DUMMYFUNCTION("""COMPUTED_VALUE"""),4.0)</f>
        <v>4</v>
      </c>
      <c r="G523" s="13">
        <f>IFERROR(__xludf.DUMMYFUNCTION("""COMPUTED_VALUE"""),1.0)</f>
        <v>1</v>
      </c>
      <c r="H523" s="13">
        <f>IFERROR(__xludf.DUMMYFUNCTION("""COMPUTED_VALUE"""),0.0)</f>
        <v>0</v>
      </c>
      <c r="I523" s="13" t="str">
        <f>IFERROR(__xludf.DUMMYFUNCTION("""COMPUTED_VALUE"""),"General Petite")</f>
        <v>General Petite</v>
      </c>
      <c r="J523" s="13" t="str">
        <f>IFERROR(__xludf.DUMMYFUNCTION("""COMPUTED_VALUE"""),"Tops")</f>
        <v>Tops</v>
      </c>
      <c r="K523" s="13" t="str">
        <f>IFERROR(__xludf.DUMMYFUNCTION("""COMPUTED_VALUE"""),"Blouses")</f>
        <v>Blouses</v>
      </c>
      <c r="L523" s="13"/>
    </row>
    <row r="524">
      <c r="A524" s="13">
        <f>IFERROR(__xludf.DUMMYFUNCTION("""COMPUTED_VALUE"""),522.0)</f>
        <v>522</v>
      </c>
      <c r="B524" s="13">
        <f>IFERROR(__xludf.DUMMYFUNCTION("""COMPUTED_VALUE"""),1104.0)</f>
        <v>1104</v>
      </c>
      <c r="C524" s="13">
        <f>IFERROR(__xludf.DUMMYFUNCTION("""COMPUTED_VALUE"""),41.0)</f>
        <v>41</v>
      </c>
      <c r="D524" s="12" t="str">
        <f>IFERROR(__xludf.DUMMYFUNCTION("""COMPUTED_VALUE"""),"Fun tag sale find")</f>
        <v>Fun tag sale find</v>
      </c>
      <c r="E524" s="12" t="str">
        <f>IFERROR(__xludf.DUMMYFUNCTION("""COMPUTED_VALUE"""),"For me, the tag sale is an opportunity to take a second look at items that i may have overlooked earlier, to pick up something fun at a good price. i found this dress in two colors in my size in the store! i took my usual xxsp at 32-24.5-32. length is per"&amp;"fect - just above the knee and the top is flattering with not too much fabric in the skirt. overall, this is a really cute staple dress. looking forward to wearing it in the spring. larger busted ladies size up. it is meant to be fitted in the t")</f>
        <v>For me, the tag sale is an opportunity to take a second look at items that i may have overlooked earlier, to pick up something fun at a good price. i found this dress in two colors in my size in the store! i took my usual xxsp at 32-24.5-32. length is perfect - just above the knee and the top is flattering with not too much fabric in the skirt. overall, this is a really cute staple dress. looking forward to wearing it in the spring. larger busted ladies size up. it is meant to be fitted in the t</v>
      </c>
      <c r="F524" s="13">
        <f>IFERROR(__xludf.DUMMYFUNCTION("""COMPUTED_VALUE"""),5.0)</f>
        <v>5</v>
      </c>
      <c r="G524" s="13">
        <f>IFERROR(__xludf.DUMMYFUNCTION("""COMPUTED_VALUE"""),1.0)</f>
        <v>1</v>
      </c>
      <c r="H524" s="13">
        <f>IFERROR(__xludf.DUMMYFUNCTION("""COMPUTED_VALUE"""),4.0)</f>
        <v>4</v>
      </c>
      <c r="I524" s="13" t="str">
        <f>IFERROR(__xludf.DUMMYFUNCTION("""COMPUTED_VALUE"""),"General")</f>
        <v>General</v>
      </c>
      <c r="J524" s="13" t="str">
        <f>IFERROR(__xludf.DUMMYFUNCTION("""COMPUTED_VALUE"""),"Dresses")</f>
        <v>Dresses</v>
      </c>
      <c r="K524" s="13" t="str">
        <f>IFERROR(__xludf.DUMMYFUNCTION("""COMPUTED_VALUE"""),"Dresses")</f>
        <v>Dresses</v>
      </c>
      <c r="L524" s="13"/>
    </row>
    <row r="525">
      <c r="A525" s="13">
        <f>IFERROR(__xludf.DUMMYFUNCTION("""COMPUTED_VALUE"""),523.0)</f>
        <v>523</v>
      </c>
      <c r="B525" s="13">
        <f>IFERROR(__xludf.DUMMYFUNCTION("""COMPUTED_VALUE"""),1104.0)</f>
        <v>1104</v>
      </c>
      <c r="C525" s="13">
        <f>IFERROR(__xludf.DUMMYFUNCTION("""COMPUTED_VALUE"""),39.0)</f>
        <v>39</v>
      </c>
      <c r="D525" s="12"/>
      <c r="E525" s="12"/>
      <c r="F525" s="13">
        <f>IFERROR(__xludf.DUMMYFUNCTION("""COMPUTED_VALUE"""),1.0)</f>
        <v>1</v>
      </c>
      <c r="G525" s="13">
        <f>IFERROR(__xludf.DUMMYFUNCTION("""COMPUTED_VALUE"""),0.0)</f>
        <v>0</v>
      </c>
      <c r="H525" s="13">
        <f>IFERROR(__xludf.DUMMYFUNCTION("""COMPUTED_VALUE"""),0.0)</f>
        <v>0</v>
      </c>
      <c r="I525" s="13" t="str">
        <f>IFERROR(__xludf.DUMMYFUNCTION("""COMPUTED_VALUE"""),"General")</f>
        <v>General</v>
      </c>
      <c r="J525" s="13" t="str">
        <f>IFERROR(__xludf.DUMMYFUNCTION("""COMPUTED_VALUE"""),"Dresses")</f>
        <v>Dresses</v>
      </c>
      <c r="K525" s="13" t="str">
        <f>IFERROR(__xludf.DUMMYFUNCTION("""COMPUTED_VALUE"""),"Dresses")</f>
        <v>Dresses</v>
      </c>
      <c r="L525" s="13"/>
    </row>
    <row r="526">
      <c r="A526" s="13">
        <f>IFERROR(__xludf.DUMMYFUNCTION("""COMPUTED_VALUE"""),524.0)</f>
        <v>524</v>
      </c>
      <c r="B526" s="13">
        <f>IFERROR(__xludf.DUMMYFUNCTION("""COMPUTED_VALUE"""),1104.0)</f>
        <v>1104</v>
      </c>
      <c r="C526" s="13">
        <f>IFERROR(__xludf.DUMMYFUNCTION("""COMPUTED_VALUE"""),26.0)</f>
        <v>26</v>
      </c>
      <c r="D526" s="12" t="str">
        <f>IFERROR(__xludf.DUMMYFUNCTION("""COMPUTED_VALUE"""),"Great dress")</f>
        <v>Great dress</v>
      </c>
      <c r="E526" s="12" t="str">
        <f>IFERROR(__xludf.DUMMYFUNCTION("""COMPUTED_VALUE"""),"I absolutely love everything about this dress. it can be dressed up or down. no complaints.")</f>
        <v>I absolutely love everything about this dress. it can be dressed up or down. no complaints.</v>
      </c>
      <c r="F526" s="13">
        <f>IFERROR(__xludf.DUMMYFUNCTION("""COMPUTED_VALUE"""),5.0)</f>
        <v>5</v>
      </c>
      <c r="G526" s="13">
        <f>IFERROR(__xludf.DUMMYFUNCTION("""COMPUTED_VALUE"""),1.0)</f>
        <v>1</v>
      </c>
      <c r="H526" s="13">
        <f>IFERROR(__xludf.DUMMYFUNCTION("""COMPUTED_VALUE"""),4.0)</f>
        <v>4</v>
      </c>
      <c r="I526" s="13" t="str">
        <f>IFERROR(__xludf.DUMMYFUNCTION("""COMPUTED_VALUE"""),"General")</f>
        <v>General</v>
      </c>
      <c r="J526" s="13" t="str">
        <f>IFERROR(__xludf.DUMMYFUNCTION("""COMPUTED_VALUE"""),"Dresses")</f>
        <v>Dresses</v>
      </c>
      <c r="K526" s="13" t="str">
        <f>IFERROR(__xludf.DUMMYFUNCTION("""COMPUTED_VALUE"""),"Dresses")</f>
        <v>Dresses</v>
      </c>
      <c r="L526" s="13"/>
    </row>
    <row r="527">
      <c r="A527" s="13">
        <f>IFERROR(__xludf.DUMMYFUNCTION("""COMPUTED_VALUE"""),525.0)</f>
        <v>525</v>
      </c>
      <c r="B527" s="13">
        <f>IFERROR(__xludf.DUMMYFUNCTION("""COMPUTED_VALUE"""),1078.0)</f>
        <v>1078</v>
      </c>
      <c r="C527" s="13">
        <f>IFERROR(__xludf.DUMMYFUNCTION("""COMPUTED_VALUE"""),25.0)</f>
        <v>25</v>
      </c>
      <c r="D527" s="12" t="str">
        <f>IFERROR(__xludf.DUMMYFUNCTION("""COMPUTED_VALUE"""),"Cute and fun!")</f>
        <v>Cute and fun!</v>
      </c>
      <c r="E527" s="12" t="str">
        <f>IFERROR(__xludf.DUMMYFUNCTION("""COMPUTED_VALUE"""),"The horizontal lines on the skirt and top gives the wearer and very nice dress. i am short so i got the 6 petite and it fits perfectly. the fabric is thick and stretchy.")</f>
        <v>The horizontal lines on the skirt and top gives the wearer and very nice dress. i am short so i got the 6 petite and it fits perfectly. the fabric is thick and stretchy.</v>
      </c>
      <c r="F527" s="13">
        <f>IFERROR(__xludf.DUMMYFUNCTION("""COMPUTED_VALUE"""),5.0)</f>
        <v>5</v>
      </c>
      <c r="G527" s="13">
        <f>IFERROR(__xludf.DUMMYFUNCTION("""COMPUTED_VALUE"""),1.0)</f>
        <v>1</v>
      </c>
      <c r="H527" s="13">
        <f>IFERROR(__xludf.DUMMYFUNCTION("""COMPUTED_VALUE"""),0.0)</f>
        <v>0</v>
      </c>
      <c r="I527" s="13" t="str">
        <f>IFERROR(__xludf.DUMMYFUNCTION("""COMPUTED_VALUE"""),"General")</f>
        <v>General</v>
      </c>
      <c r="J527" s="13" t="str">
        <f>IFERROR(__xludf.DUMMYFUNCTION("""COMPUTED_VALUE"""),"Dresses")</f>
        <v>Dresses</v>
      </c>
      <c r="K527" s="13" t="str">
        <f>IFERROR(__xludf.DUMMYFUNCTION("""COMPUTED_VALUE"""),"Dresses")</f>
        <v>Dresses</v>
      </c>
      <c r="L527" s="13"/>
    </row>
    <row r="528">
      <c r="A528" s="13">
        <f>IFERROR(__xludf.DUMMYFUNCTION("""COMPUTED_VALUE"""),526.0)</f>
        <v>526</v>
      </c>
      <c r="B528" s="13">
        <f>IFERROR(__xludf.DUMMYFUNCTION("""COMPUTED_VALUE"""),850.0)</f>
        <v>850</v>
      </c>
      <c r="C528" s="13">
        <f>IFERROR(__xludf.DUMMYFUNCTION("""COMPUTED_VALUE"""),34.0)</f>
        <v>34</v>
      </c>
      <c r="D528" s="12" t="str">
        <f>IFERROR(__xludf.DUMMYFUNCTION("""COMPUTED_VALUE"""),"The right kind of casual")</f>
        <v>The right kind of casual</v>
      </c>
      <c r="E528" s="12" t="str">
        <f>IFERROR(__xludf.DUMMYFUNCTION("""COMPUTED_VALUE"""),"This is a great top to pair with jeans to step a casual night up a notch.")</f>
        <v>This is a great top to pair with jeans to step a casual night up a notch.</v>
      </c>
      <c r="F528" s="13">
        <f>IFERROR(__xludf.DUMMYFUNCTION("""COMPUTED_VALUE"""),5.0)</f>
        <v>5</v>
      </c>
      <c r="G528" s="13">
        <f>IFERROR(__xludf.DUMMYFUNCTION("""COMPUTED_VALUE"""),1.0)</f>
        <v>1</v>
      </c>
      <c r="H528" s="13">
        <f>IFERROR(__xludf.DUMMYFUNCTION("""COMPUTED_VALUE"""),1.0)</f>
        <v>1</v>
      </c>
      <c r="I528" s="13" t="str">
        <f>IFERROR(__xludf.DUMMYFUNCTION("""COMPUTED_VALUE"""),"General Petite")</f>
        <v>General Petite</v>
      </c>
      <c r="J528" s="13" t="str">
        <f>IFERROR(__xludf.DUMMYFUNCTION("""COMPUTED_VALUE"""),"Tops")</f>
        <v>Tops</v>
      </c>
      <c r="K528" s="13" t="str">
        <f>IFERROR(__xludf.DUMMYFUNCTION("""COMPUTED_VALUE"""),"Blouses")</f>
        <v>Blouses</v>
      </c>
      <c r="L528" s="13"/>
    </row>
    <row r="529">
      <c r="A529" s="13">
        <f>IFERROR(__xludf.DUMMYFUNCTION("""COMPUTED_VALUE"""),527.0)</f>
        <v>527</v>
      </c>
      <c r="B529" s="13">
        <f>IFERROR(__xludf.DUMMYFUNCTION("""COMPUTED_VALUE"""),850.0)</f>
        <v>850</v>
      </c>
      <c r="C529" s="13">
        <f>IFERROR(__xludf.DUMMYFUNCTION("""COMPUTED_VALUE"""),25.0)</f>
        <v>25</v>
      </c>
      <c r="D529" s="12"/>
      <c r="E529" s="12"/>
      <c r="F529" s="13">
        <f>IFERROR(__xludf.DUMMYFUNCTION("""COMPUTED_VALUE"""),5.0)</f>
        <v>5</v>
      </c>
      <c r="G529" s="13">
        <f>IFERROR(__xludf.DUMMYFUNCTION("""COMPUTED_VALUE"""),1.0)</f>
        <v>1</v>
      </c>
      <c r="H529" s="13">
        <f>IFERROR(__xludf.DUMMYFUNCTION("""COMPUTED_VALUE"""),0.0)</f>
        <v>0</v>
      </c>
      <c r="I529" s="13" t="str">
        <f>IFERROR(__xludf.DUMMYFUNCTION("""COMPUTED_VALUE"""),"General Petite")</f>
        <v>General Petite</v>
      </c>
      <c r="J529" s="13" t="str">
        <f>IFERROR(__xludf.DUMMYFUNCTION("""COMPUTED_VALUE"""),"Tops")</f>
        <v>Tops</v>
      </c>
      <c r="K529" s="13" t="str">
        <f>IFERROR(__xludf.DUMMYFUNCTION("""COMPUTED_VALUE"""),"Blouses")</f>
        <v>Blouses</v>
      </c>
      <c r="L529" s="13"/>
    </row>
    <row r="530">
      <c r="A530" s="13">
        <f>IFERROR(__xludf.DUMMYFUNCTION("""COMPUTED_VALUE"""),528.0)</f>
        <v>528</v>
      </c>
      <c r="B530" s="13">
        <f>IFERROR(__xludf.DUMMYFUNCTION("""COMPUTED_VALUE"""),984.0)</f>
        <v>984</v>
      </c>
      <c r="C530" s="13">
        <f>IFERROR(__xludf.DUMMYFUNCTION("""COMPUTED_VALUE"""),31.0)</f>
        <v>31</v>
      </c>
      <c r="D530" s="12" t="str">
        <f>IFERROR(__xludf.DUMMYFUNCTION("""COMPUTED_VALUE"""),"Easy jacket")</f>
        <v>Easy jacket</v>
      </c>
      <c r="E530" s="12" t="str">
        <f>IFERROR(__xludf.DUMMYFUNCTION("""COMPUTED_VALUE"""),"Slouchy relaxed fit. well sewn together and hangs well on the body. bottom hem hits upper thigh. good length and soft, easy fabric. light layering option as well. good spring jacket, can be kept on indoors without getting too hot.")</f>
        <v>Slouchy relaxed fit. well sewn together and hangs well on the body. bottom hem hits upper thigh. good length and soft, easy fabric. light layering option as well. good spring jacket, can be kept on indoors without getting too hot.</v>
      </c>
      <c r="F530" s="13">
        <f>IFERROR(__xludf.DUMMYFUNCTION("""COMPUTED_VALUE"""),3.0)</f>
        <v>3</v>
      </c>
      <c r="G530" s="13">
        <f>IFERROR(__xludf.DUMMYFUNCTION("""COMPUTED_VALUE"""),1.0)</f>
        <v>1</v>
      </c>
      <c r="H530" s="13">
        <f>IFERROR(__xludf.DUMMYFUNCTION("""COMPUTED_VALUE"""),0.0)</f>
        <v>0</v>
      </c>
      <c r="I530" s="13" t="str">
        <f>IFERROR(__xludf.DUMMYFUNCTION("""COMPUTED_VALUE"""),"General")</f>
        <v>General</v>
      </c>
      <c r="J530" s="13" t="str">
        <f>IFERROR(__xludf.DUMMYFUNCTION("""COMPUTED_VALUE"""),"Jackets")</f>
        <v>Jackets</v>
      </c>
      <c r="K530" s="13" t="str">
        <f>IFERROR(__xludf.DUMMYFUNCTION("""COMPUTED_VALUE"""),"Jackets")</f>
        <v>Jackets</v>
      </c>
      <c r="L530" s="13"/>
    </row>
    <row r="531">
      <c r="A531" s="13">
        <f>IFERROR(__xludf.DUMMYFUNCTION("""COMPUTED_VALUE"""),529.0)</f>
        <v>529</v>
      </c>
      <c r="B531" s="13">
        <f>IFERROR(__xludf.DUMMYFUNCTION("""COMPUTED_VALUE"""),1078.0)</f>
        <v>1078</v>
      </c>
      <c r="C531" s="13">
        <f>IFERROR(__xludf.DUMMYFUNCTION("""COMPUTED_VALUE"""),47.0)</f>
        <v>47</v>
      </c>
      <c r="D531" s="12" t="str">
        <f>IFERROR(__xludf.DUMMYFUNCTION("""COMPUTED_VALUE"""),"Great dress or tunic")</f>
        <v>Great dress or tunic</v>
      </c>
      <c r="E531" s="12" t="str">
        <f>IFERROR(__xludf.DUMMYFUNCTION("""COMPUTED_VALUE"""),"The colors are more vibrant than the photo indicates. indeed, though, the dress is very short and does pair well with leggings and boots.
i like that the dress highlights my hour glass figure, but with a generous nod to my curves with the accommodating s"&amp;"kater skirt.
love it! will be easy to wear casually and work appropriate, too. the sale price was a huge bonus.")</f>
        <v>The colors are more vibrant than the photo indicates. indeed, though, the dress is very short and does pair well with leggings and boots.
i like that the dress highlights my hour glass figure, but with a generous nod to my curves with the accommodating skater skirt.
love it! will be easy to wear casually and work appropriate, too. the sale price was a huge bonus.</v>
      </c>
      <c r="F531" s="13">
        <f>IFERROR(__xludf.DUMMYFUNCTION("""COMPUTED_VALUE"""),5.0)</f>
        <v>5</v>
      </c>
      <c r="G531" s="13">
        <f>IFERROR(__xludf.DUMMYFUNCTION("""COMPUTED_VALUE"""),1.0)</f>
        <v>1</v>
      </c>
      <c r="H531" s="13">
        <f>IFERROR(__xludf.DUMMYFUNCTION("""COMPUTED_VALUE"""),1.0)</f>
        <v>1</v>
      </c>
      <c r="I531" s="13" t="str">
        <f>IFERROR(__xludf.DUMMYFUNCTION("""COMPUTED_VALUE"""),"General")</f>
        <v>General</v>
      </c>
      <c r="J531" s="13" t="str">
        <f>IFERROR(__xludf.DUMMYFUNCTION("""COMPUTED_VALUE"""),"Dresses")</f>
        <v>Dresses</v>
      </c>
      <c r="K531" s="13" t="str">
        <f>IFERROR(__xludf.DUMMYFUNCTION("""COMPUTED_VALUE"""),"Dresses")</f>
        <v>Dresses</v>
      </c>
      <c r="L531" s="13"/>
    </row>
    <row r="532">
      <c r="A532" s="13">
        <f>IFERROR(__xludf.DUMMYFUNCTION("""COMPUTED_VALUE"""),530.0)</f>
        <v>530</v>
      </c>
      <c r="B532" s="13">
        <f>IFERROR(__xludf.DUMMYFUNCTION("""COMPUTED_VALUE"""),984.0)</f>
        <v>984</v>
      </c>
      <c r="C532" s="13">
        <f>IFERROR(__xludf.DUMMYFUNCTION("""COMPUTED_VALUE"""),61.0)</f>
        <v>61</v>
      </c>
      <c r="D532" s="12" t="str">
        <f>IFERROR(__xludf.DUMMYFUNCTION("""COMPUTED_VALUE"""),"Top coat")</f>
        <v>Top coat</v>
      </c>
      <c r="E532" s="12" t="str">
        <f>IFERROR(__xludf.DUMMYFUNCTION("""COMPUTED_VALUE"""),"Top of the line! very well made and on sale to boot. i love the style and received a compliment from my sister when i wore it. i love the layered look.")</f>
        <v>Top of the line! very well made and on sale to boot. i love the style and received a compliment from my sister when i wore it. i love the layered look.</v>
      </c>
      <c r="F532" s="13">
        <f>IFERROR(__xludf.DUMMYFUNCTION("""COMPUTED_VALUE"""),5.0)</f>
        <v>5</v>
      </c>
      <c r="G532" s="13">
        <f>IFERROR(__xludf.DUMMYFUNCTION("""COMPUTED_VALUE"""),1.0)</f>
        <v>1</v>
      </c>
      <c r="H532" s="13">
        <f>IFERROR(__xludf.DUMMYFUNCTION("""COMPUTED_VALUE"""),0.0)</f>
        <v>0</v>
      </c>
      <c r="I532" s="13" t="str">
        <f>IFERROR(__xludf.DUMMYFUNCTION("""COMPUTED_VALUE"""),"General")</f>
        <v>General</v>
      </c>
      <c r="J532" s="13" t="str">
        <f>IFERROR(__xludf.DUMMYFUNCTION("""COMPUTED_VALUE"""),"Jackets")</f>
        <v>Jackets</v>
      </c>
      <c r="K532" s="13" t="str">
        <f>IFERROR(__xludf.DUMMYFUNCTION("""COMPUTED_VALUE"""),"Jackets")</f>
        <v>Jackets</v>
      </c>
      <c r="L532" s="13"/>
    </row>
    <row r="533">
      <c r="A533" s="13">
        <f>IFERROR(__xludf.DUMMYFUNCTION("""COMPUTED_VALUE"""),531.0)</f>
        <v>531</v>
      </c>
      <c r="B533" s="13">
        <f>IFERROR(__xludf.DUMMYFUNCTION("""COMPUTED_VALUE"""),850.0)</f>
        <v>850</v>
      </c>
      <c r="C533" s="13">
        <f>IFERROR(__xludf.DUMMYFUNCTION("""COMPUTED_VALUE"""),52.0)</f>
        <v>52</v>
      </c>
      <c r="D533" s="12" t="str">
        <f>IFERROR(__xludf.DUMMYFUNCTION("""COMPUTED_VALUE"""),"Love, love, love this tunic!")</f>
        <v>Love, love, love this tunic!</v>
      </c>
      <c r="E533" s="12" t="str">
        <f>IFERROR(__xludf.DUMMYFUNCTION("""COMPUTED_VALUE"""),"Perfect little summer tunic that is very flattering. paired with a skirt, jeans or cropped black pants- this top is perfect! the cut in the front is not overly deep- so a cami is not necessary. i am usually a l or xl or 12 in retailer tops and i have a 10"&amp;" in this top. so it is sized slightly larger than usual.")</f>
        <v>Perfect little summer tunic that is very flattering. paired with a skirt, jeans or cropped black pants- this top is perfect! the cut in the front is not overly deep- so a cami is not necessary. i am usually a l or xl or 12 in retailer tops and i have a 10 in this top. so it is sized slightly larger than usual.</v>
      </c>
      <c r="F533" s="13">
        <f>IFERROR(__xludf.DUMMYFUNCTION("""COMPUTED_VALUE"""),5.0)</f>
        <v>5</v>
      </c>
      <c r="G533" s="13">
        <f>IFERROR(__xludf.DUMMYFUNCTION("""COMPUTED_VALUE"""),1.0)</f>
        <v>1</v>
      </c>
      <c r="H533" s="13">
        <f>IFERROR(__xludf.DUMMYFUNCTION("""COMPUTED_VALUE"""),1.0)</f>
        <v>1</v>
      </c>
      <c r="I533" s="13" t="str">
        <f>IFERROR(__xludf.DUMMYFUNCTION("""COMPUTED_VALUE"""),"General")</f>
        <v>General</v>
      </c>
      <c r="J533" s="13" t="str">
        <f>IFERROR(__xludf.DUMMYFUNCTION("""COMPUTED_VALUE"""),"Tops")</f>
        <v>Tops</v>
      </c>
      <c r="K533" s="13" t="str">
        <f>IFERROR(__xludf.DUMMYFUNCTION("""COMPUTED_VALUE"""),"Blouses")</f>
        <v>Blouses</v>
      </c>
      <c r="L533" s="13"/>
    </row>
    <row r="534">
      <c r="A534" s="13">
        <f>IFERROR(__xludf.DUMMYFUNCTION("""COMPUTED_VALUE"""),532.0)</f>
        <v>532</v>
      </c>
      <c r="B534" s="13">
        <f>IFERROR(__xludf.DUMMYFUNCTION("""COMPUTED_VALUE"""),833.0)</f>
        <v>833</v>
      </c>
      <c r="C534" s="13">
        <f>IFERROR(__xludf.DUMMYFUNCTION("""COMPUTED_VALUE"""),56.0)</f>
        <v>56</v>
      </c>
      <c r="D534" s="12" t="str">
        <f>IFERROR(__xludf.DUMMYFUNCTION("""COMPUTED_VALUE"""),"Sleeves are really small")</f>
        <v>Sleeves are really small</v>
      </c>
      <c r="E534" s="12" t="str">
        <f>IFERROR(__xludf.DUMMYFUNCTION("""COMPUTED_VALUE"""),"This shirt is really pretty but the sleeves are so small. i normally wear between a 4 to a 6 or a size medium and i could not get this shirt on. i wish it fit but a size large would have been way to long and loose.")</f>
        <v>This shirt is really pretty but the sleeves are so small. i normally wear between a 4 to a 6 or a size medium and i could not get this shirt on. i wish it fit but a size large would have been way to long and loose.</v>
      </c>
      <c r="F534" s="13">
        <f>IFERROR(__xludf.DUMMYFUNCTION("""COMPUTED_VALUE"""),3.0)</f>
        <v>3</v>
      </c>
      <c r="G534" s="13">
        <f>IFERROR(__xludf.DUMMYFUNCTION("""COMPUTED_VALUE"""),1.0)</f>
        <v>1</v>
      </c>
      <c r="H534" s="13">
        <f>IFERROR(__xludf.DUMMYFUNCTION("""COMPUTED_VALUE"""),0.0)</f>
        <v>0</v>
      </c>
      <c r="I534" s="13" t="str">
        <f>IFERROR(__xludf.DUMMYFUNCTION("""COMPUTED_VALUE"""),"General")</f>
        <v>General</v>
      </c>
      <c r="J534" s="13" t="str">
        <f>IFERROR(__xludf.DUMMYFUNCTION("""COMPUTED_VALUE"""),"Tops")</f>
        <v>Tops</v>
      </c>
      <c r="K534" s="13" t="str">
        <f>IFERROR(__xludf.DUMMYFUNCTION("""COMPUTED_VALUE"""),"Blouses")</f>
        <v>Blouses</v>
      </c>
      <c r="L534" s="13"/>
    </row>
    <row r="535">
      <c r="A535" s="13">
        <f>IFERROR(__xludf.DUMMYFUNCTION("""COMPUTED_VALUE"""),533.0)</f>
        <v>533</v>
      </c>
      <c r="B535" s="13">
        <f>IFERROR(__xludf.DUMMYFUNCTION("""COMPUTED_VALUE"""),1078.0)</f>
        <v>1078</v>
      </c>
      <c r="C535" s="13">
        <f>IFERROR(__xludf.DUMMYFUNCTION("""COMPUTED_VALUE"""),68.0)</f>
        <v>68</v>
      </c>
      <c r="D535" s="12"/>
      <c r="E535" s="12" t="str">
        <f>IFERROR(__xludf.DUMMYFUNCTION("""COMPUTED_VALUE"""),"I love this dress because its very playful and bouncy. it puts me in a light hearted mood when i wear it. i originally wanted to buy the grey color but my store only had the navy, so i tried it on. the navy is brighter and more colorful than it looks on l"&amp;"ine and the stripes are more varied in color than in the picture - so its quite appealing and vibrant. the lines of the dress are also quite flattering. all in all, its a fun dress!")</f>
        <v>I love this dress because its very playful and bouncy. it puts me in a light hearted mood when i wear it. i originally wanted to buy the grey color but my store only had the navy, so i tried it on. the navy is brighter and more colorful than it looks on line and the stripes are more varied in color than in the picture - so its quite appealing and vibrant. the lines of the dress are also quite flattering. all in all, its a fun dress!</v>
      </c>
      <c r="F535" s="13">
        <f>IFERROR(__xludf.DUMMYFUNCTION("""COMPUTED_VALUE"""),3.0)</f>
        <v>3</v>
      </c>
      <c r="G535" s="13">
        <f>IFERROR(__xludf.DUMMYFUNCTION("""COMPUTED_VALUE"""),1.0)</f>
        <v>1</v>
      </c>
      <c r="H535" s="13">
        <f>IFERROR(__xludf.DUMMYFUNCTION("""COMPUTED_VALUE"""),1.0)</f>
        <v>1</v>
      </c>
      <c r="I535" s="13" t="str">
        <f>IFERROR(__xludf.DUMMYFUNCTION("""COMPUTED_VALUE"""),"General")</f>
        <v>General</v>
      </c>
      <c r="J535" s="13" t="str">
        <f>IFERROR(__xludf.DUMMYFUNCTION("""COMPUTED_VALUE"""),"Dresses")</f>
        <v>Dresses</v>
      </c>
      <c r="K535" s="13" t="str">
        <f>IFERROR(__xludf.DUMMYFUNCTION("""COMPUTED_VALUE"""),"Dresses")</f>
        <v>Dresses</v>
      </c>
      <c r="L535" s="13"/>
    </row>
    <row r="536">
      <c r="A536" s="13">
        <f>IFERROR(__xludf.DUMMYFUNCTION("""COMPUTED_VALUE"""),534.0)</f>
        <v>534</v>
      </c>
      <c r="B536" s="13">
        <f>IFERROR(__xludf.DUMMYFUNCTION("""COMPUTED_VALUE"""),850.0)</f>
        <v>850</v>
      </c>
      <c r="C536" s="13">
        <f>IFERROR(__xludf.DUMMYFUNCTION("""COMPUTED_VALUE"""),39.0)</f>
        <v>39</v>
      </c>
      <c r="D536" s="12" t="str">
        <f>IFERROR(__xludf.DUMMYFUNCTION("""COMPUTED_VALUE"""),"Perfect top!")</f>
        <v>Perfect top!</v>
      </c>
      <c r="E536" s="12" t="str">
        <f>IFERROR(__xludf.DUMMYFUNCTION("""COMPUTED_VALUE"""),"This blouse fit better than i expected. looks great with jeans and is an easy go to top!")</f>
        <v>This blouse fit better than i expected. looks great with jeans and is an easy go to top!</v>
      </c>
      <c r="F536" s="13">
        <f>IFERROR(__xludf.DUMMYFUNCTION("""COMPUTED_VALUE"""),5.0)</f>
        <v>5</v>
      </c>
      <c r="G536" s="13">
        <f>IFERROR(__xludf.DUMMYFUNCTION("""COMPUTED_VALUE"""),1.0)</f>
        <v>1</v>
      </c>
      <c r="H536" s="13">
        <f>IFERROR(__xludf.DUMMYFUNCTION("""COMPUTED_VALUE"""),0.0)</f>
        <v>0</v>
      </c>
      <c r="I536" s="13" t="str">
        <f>IFERROR(__xludf.DUMMYFUNCTION("""COMPUTED_VALUE"""),"General")</f>
        <v>General</v>
      </c>
      <c r="J536" s="13" t="str">
        <f>IFERROR(__xludf.DUMMYFUNCTION("""COMPUTED_VALUE"""),"Tops")</f>
        <v>Tops</v>
      </c>
      <c r="K536" s="13" t="str">
        <f>IFERROR(__xludf.DUMMYFUNCTION("""COMPUTED_VALUE"""),"Blouses")</f>
        <v>Blouses</v>
      </c>
      <c r="L536" s="13"/>
    </row>
    <row r="537">
      <c r="A537" s="13">
        <f>IFERROR(__xludf.DUMMYFUNCTION("""COMPUTED_VALUE"""),535.0)</f>
        <v>535</v>
      </c>
      <c r="B537" s="13">
        <f>IFERROR(__xludf.DUMMYFUNCTION("""COMPUTED_VALUE"""),1081.0)</f>
        <v>1081</v>
      </c>
      <c r="C537" s="13">
        <f>IFERROR(__xludf.DUMMYFUNCTION("""COMPUTED_VALUE"""),40.0)</f>
        <v>40</v>
      </c>
      <c r="D537" s="12" t="str">
        <f>IFERROR(__xludf.DUMMYFUNCTION("""COMPUTED_VALUE"""),"Comfortable and chic")</f>
        <v>Comfortable and chic</v>
      </c>
      <c r="E537" s="12" t="str">
        <f>IFERROR(__xludf.DUMMYFUNCTION("""COMPUTED_VALUE"""),"This dress is so comfortable, and i love the unique faux leather skirt and lace design. it really adds a special touch to the dress. i only gave it four stars because the top half is pretty boring...i wish the neckline wasn't so matronly. i'll definitely "&amp;"need a bib necklace or scarf to dress it up. i'm 5'5"" and 115 and ordered the xs. i wish the dress cut in a little more at the sides to accentuate an hourglass figure, also. my husband loved it.")</f>
        <v>This dress is so comfortable, and i love the unique faux leather skirt and lace design. it really adds a special touch to the dress. i only gave it four stars because the top half is pretty boring...i wish the neckline wasn't so matronly. i'll definitely need a bib necklace or scarf to dress it up. i'm 5'5" and 115 and ordered the xs. i wish the dress cut in a little more at the sides to accentuate an hourglass figure, also. my husband loved it.</v>
      </c>
      <c r="F537" s="13">
        <f>IFERROR(__xludf.DUMMYFUNCTION("""COMPUTED_VALUE"""),4.0)</f>
        <v>4</v>
      </c>
      <c r="G537" s="13">
        <f>IFERROR(__xludf.DUMMYFUNCTION("""COMPUTED_VALUE"""),1.0)</f>
        <v>1</v>
      </c>
      <c r="H537" s="13">
        <f>IFERROR(__xludf.DUMMYFUNCTION("""COMPUTED_VALUE"""),0.0)</f>
        <v>0</v>
      </c>
      <c r="I537" s="13" t="str">
        <f>IFERROR(__xludf.DUMMYFUNCTION("""COMPUTED_VALUE"""),"General Petite")</f>
        <v>General Petite</v>
      </c>
      <c r="J537" s="13" t="str">
        <f>IFERROR(__xludf.DUMMYFUNCTION("""COMPUTED_VALUE"""),"Dresses")</f>
        <v>Dresses</v>
      </c>
      <c r="K537" s="13" t="str">
        <f>IFERROR(__xludf.DUMMYFUNCTION("""COMPUTED_VALUE"""),"Dresses")</f>
        <v>Dresses</v>
      </c>
      <c r="L537" s="13"/>
    </row>
    <row r="538">
      <c r="A538" s="13">
        <f>IFERROR(__xludf.DUMMYFUNCTION("""COMPUTED_VALUE"""),536.0)</f>
        <v>536</v>
      </c>
      <c r="B538" s="13">
        <f>IFERROR(__xludf.DUMMYFUNCTION("""COMPUTED_VALUE"""),984.0)</f>
        <v>984</v>
      </c>
      <c r="C538" s="13">
        <f>IFERROR(__xludf.DUMMYFUNCTION("""COMPUTED_VALUE"""),53.0)</f>
        <v>53</v>
      </c>
      <c r="D538" s="12"/>
      <c r="E538" s="12"/>
      <c r="F538" s="13">
        <f>IFERROR(__xludf.DUMMYFUNCTION("""COMPUTED_VALUE"""),5.0)</f>
        <v>5</v>
      </c>
      <c r="G538" s="13">
        <f>IFERROR(__xludf.DUMMYFUNCTION("""COMPUTED_VALUE"""),1.0)</f>
        <v>1</v>
      </c>
      <c r="H538" s="13">
        <f>IFERROR(__xludf.DUMMYFUNCTION("""COMPUTED_VALUE"""),0.0)</f>
        <v>0</v>
      </c>
      <c r="I538" s="13" t="str">
        <f>IFERROR(__xludf.DUMMYFUNCTION("""COMPUTED_VALUE"""),"General")</f>
        <v>General</v>
      </c>
      <c r="J538" s="13" t="str">
        <f>IFERROR(__xludf.DUMMYFUNCTION("""COMPUTED_VALUE"""),"Jackets")</f>
        <v>Jackets</v>
      </c>
      <c r="K538" s="13" t="str">
        <f>IFERROR(__xludf.DUMMYFUNCTION("""COMPUTED_VALUE"""),"Jackets")</f>
        <v>Jackets</v>
      </c>
      <c r="L538" s="13"/>
    </row>
    <row r="539">
      <c r="A539" s="13">
        <f>IFERROR(__xludf.DUMMYFUNCTION("""COMPUTED_VALUE"""),537.0)</f>
        <v>537</v>
      </c>
      <c r="B539" s="13">
        <f>IFERROR(__xludf.DUMMYFUNCTION("""COMPUTED_VALUE"""),850.0)</f>
        <v>850</v>
      </c>
      <c r="C539" s="13">
        <f>IFERROR(__xludf.DUMMYFUNCTION("""COMPUTED_VALUE"""),45.0)</f>
        <v>45</v>
      </c>
      <c r="D539" s="12" t="str">
        <f>IFERROR(__xludf.DUMMYFUNCTION("""COMPUTED_VALUE"""),"Perfect balance of classy and sexy")</f>
        <v>Perfect balance of classy and sexy</v>
      </c>
      <c r="E539" s="12" t="str">
        <f>IFERROR(__xludf.DUMMYFUNCTION("""COMPUTED_VALUE"""),"I love this top! not sure if i would picked it up in the store; i received it as a gift from my husband. kudos to him as it was a great choice. i love that the sheerness and lace make me feel a little sexy but the long sleeves and camisole offer the modes"&amp;"ty i tend to crave. really beautiful and can be worn either with jeans or a dressier skinny pant for a night out. hd in paris never fails to please with their aesthetic and quality.")</f>
        <v>I love this top! not sure if i would picked it up in the store; i received it as a gift from my husband. kudos to him as it was a great choice. i love that the sheerness and lace make me feel a little sexy but the long sleeves and camisole offer the modesty i tend to crave. really beautiful and can be worn either with jeans or a dressier skinny pant for a night out. hd in paris never fails to please with their aesthetic and quality.</v>
      </c>
      <c r="F539" s="13">
        <f>IFERROR(__xludf.DUMMYFUNCTION("""COMPUTED_VALUE"""),5.0)</f>
        <v>5</v>
      </c>
      <c r="G539" s="13">
        <f>IFERROR(__xludf.DUMMYFUNCTION("""COMPUTED_VALUE"""),1.0)</f>
        <v>1</v>
      </c>
      <c r="H539" s="13">
        <f>IFERROR(__xludf.DUMMYFUNCTION("""COMPUTED_VALUE"""),1.0)</f>
        <v>1</v>
      </c>
      <c r="I539" s="13" t="str">
        <f>IFERROR(__xludf.DUMMYFUNCTION("""COMPUTED_VALUE"""),"General")</f>
        <v>General</v>
      </c>
      <c r="J539" s="13" t="str">
        <f>IFERROR(__xludf.DUMMYFUNCTION("""COMPUTED_VALUE"""),"Tops")</f>
        <v>Tops</v>
      </c>
      <c r="K539" s="13" t="str">
        <f>IFERROR(__xludf.DUMMYFUNCTION("""COMPUTED_VALUE"""),"Blouses")</f>
        <v>Blouses</v>
      </c>
      <c r="L539" s="13"/>
    </row>
    <row r="540">
      <c r="A540" s="13">
        <f>IFERROR(__xludf.DUMMYFUNCTION("""COMPUTED_VALUE"""),538.0)</f>
        <v>538</v>
      </c>
      <c r="B540" s="13">
        <f>IFERROR(__xludf.DUMMYFUNCTION("""COMPUTED_VALUE"""),850.0)</f>
        <v>850</v>
      </c>
      <c r="C540" s="13">
        <f>IFERROR(__xludf.DUMMYFUNCTION("""COMPUTED_VALUE"""),28.0)</f>
        <v>28</v>
      </c>
      <c r="D540" s="12" t="str">
        <f>IFERROR(__xludf.DUMMYFUNCTION("""COMPUTED_VALUE"""),"Great top")</f>
        <v>Great top</v>
      </c>
      <c r="E540" s="12" t="str">
        <f>IFERROR(__xludf.DUMMYFUNCTION("""COMPUTED_VALUE"""),"This top is great for spring- it's super light and can be dressed up or down depending on what you're wearing it for. fits true to size and is great quality.")</f>
        <v>This top is great for spring- it's super light and can be dressed up or down depending on what you're wearing it for. fits true to size and is great quality.</v>
      </c>
      <c r="F540" s="13">
        <f>IFERROR(__xludf.DUMMYFUNCTION("""COMPUTED_VALUE"""),4.0)</f>
        <v>4</v>
      </c>
      <c r="G540" s="13">
        <f>IFERROR(__xludf.DUMMYFUNCTION("""COMPUTED_VALUE"""),1.0)</f>
        <v>1</v>
      </c>
      <c r="H540" s="13">
        <f>IFERROR(__xludf.DUMMYFUNCTION("""COMPUTED_VALUE"""),0.0)</f>
        <v>0</v>
      </c>
      <c r="I540" s="13" t="str">
        <f>IFERROR(__xludf.DUMMYFUNCTION("""COMPUTED_VALUE"""),"General")</f>
        <v>General</v>
      </c>
      <c r="J540" s="13" t="str">
        <f>IFERROR(__xludf.DUMMYFUNCTION("""COMPUTED_VALUE"""),"Tops")</f>
        <v>Tops</v>
      </c>
      <c r="K540" s="13" t="str">
        <f>IFERROR(__xludf.DUMMYFUNCTION("""COMPUTED_VALUE"""),"Blouses")</f>
        <v>Blouses</v>
      </c>
      <c r="L540" s="13"/>
    </row>
    <row r="541">
      <c r="A541" s="13">
        <f>IFERROR(__xludf.DUMMYFUNCTION("""COMPUTED_VALUE"""),539.0)</f>
        <v>539</v>
      </c>
      <c r="B541" s="13">
        <f>IFERROR(__xludf.DUMMYFUNCTION("""COMPUTED_VALUE"""),1104.0)</f>
        <v>1104</v>
      </c>
      <c r="C541" s="13">
        <f>IFERROR(__xludf.DUMMYFUNCTION("""COMPUTED_VALUE"""),33.0)</f>
        <v>33</v>
      </c>
      <c r="D541" s="12" t="str">
        <f>IFERROR(__xludf.DUMMYFUNCTION("""COMPUTED_VALUE"""),"Cute fit, perfect length")</f>
        <v>Cute fit, perfect length</v>
      </c>
      <c r="E541" s="12" t="str">
        <f>IFERROR(__xludf.DUMMYFUNCTION("""COMPUTED_VALUE"""),"I've admired the various iterations of this dress and finally found one in the sale room, much to my delight! i'm generally a sale shopper, so this doesn't mean i didn't think it was priced well. i have the oatmeal top with yellow/gold/orange pattern on t"&amp;"he skirt in xs. the small fits comfortably up top, but on my petite frame, the top just looked too big, so i went with xs. i suppose the straps are a bit confusing, but their easy to figure out if you just look at them for a moment before puttin")</f>
        <v>I've admired the various iterations of this dress and finally found one in the sale room, much to my delight! i'm generally a sale shopper, so this doesn't mean i didn't think it was priced well. i have the oatmeal top with yellow/gold/orange pattern on the skirt in xs. the small fits comfortably up top, but on my petite frame, the top just looked too big, so i went with xs. i suppose the straps are a bit confusing, but their easy to figure out if you just look at them for a moment before puttin</v>
      </c>
      <c r="F541" s="13">
        <f>IFERROR(__xludf.DUMMYFUNCTION("""COMPUTED_VALUE"""),5.0)</f>
        <v>5</v>
      </c>
      <c r="G541" s="13">
        <f>IFERROR(__xludf.DUMMYFUNCTION("""COMPUTED_VALUE"""),1.0)</f>
        <v>1</v>
      </c>
      <c r="H541" s="13">
        <f>IFERROR(__xludf.DUMMYFUNCTION("""COMPUTED_VALUE"""),0.0)</f>
        <v>0</v>
      </c>
      <c r="I541" s="13" t="str">
        <f>IFERROR(__xludf.DUMMYFUNCTION("""COMPUTED_VALUE"""),"General")</f>
        <v>General</v>
      </c>
      <c r="J541" s="13" t="str">
        <f>IFERROR(__xludf.DUMMYFUNCTION("""COMPUTED_VALUE"""),"Dresses")</f>
        <v>Dresses</v>
      </c>
      <c r="K541" s="13" t="str">
        <f>IFERROR(__xludf.DUMMYFUNCTION("""COMPUTED_VALUE"""),"Dresses")</f>
        <v>Dresses</v>
      </c>
      <c r="L541" s="13"/>
    </row>
    <row r="542">
      <c r="A542" s="13">
        <f>IFERROR(__xludf.DUMMYFUNCTION("""COMPUTED_VALUE"""),540.0)</f>
        <v>540</v>
      </c>
      <c r="B542" s="13">
        <f>IFERROR(__xludf.DUMMYFUNCTION("""COMPUTED_VALUE"""),1078.0)</f>
        <v>1078</v>
      </c>
      <c r="C542" s="13">
        <f>IFERROR(__xludf.DUMMYFUNCTION("""COMPUTED_VALUE"""),71.0)</f>
        <v>71</v>
      </c>
      <c r="D542" s="12" t="str">
        <f>IFERROR(__xludf.DUMMYFUNCTION("""COMPUTED_VALUE"""),"Flattering")</f>
        <v>Flattering</v>
      </c>
      <c r="E542" s="12" t="str">
        <f>IFERROR(__xludf.DUMMYFUNCTION("""COMPUTED_VALUE"""),"This dress is comfortable as well as flattering, which does not happen very often!
looks good with navy tights too!")</f>
        <v>This dress is comfortable as well as flattering, which does not happen very often!
looks good with navy tights too!</v>
      </c>
      <c r="F542" s="13">
        <f>IFERROR(__xludf.DUMMYFUNCTION("""COMPUTED_VALUE"""),5.0)</f>
        <v>5</v>
      </c>
      <c r="G542" s="13">
        <f>IFERROR(__xludf.DUMMYFUNCTION("""COMPUTED_VALUE"""),1.0)</f>
        <v>1</v>
      </c>
      <c r="H542" s="13">
        <f>IFERROR(__xludf.DUMMYFUNCTION("""COMPUTED_VALUE"""),0.0)</f>
        <v>0</v>
      </c>
      <c r="I542" s="13" t="str">
        <f>IFERROR(__xludf.DUMMYFUNCTION("""COMPUTED_VALUE"""),"General")</f>
        <v>General</v>
      </c>
      <c r="J542" s="13" t="str">
        <f>IFERROR(__xludf.DUMMYFUNCTION("""COMPUTED_VALUE"""),"Dresses")</f>
        <v>Dresses</v>
      </c>
      <c r="K542" s="13" t="str">
        <f>IFERROR(__xludf.DUMMYFUNCTION("""COMPUTED_VALUE"""),"Dresses")</f>
        <v>Dresses</v>
      </c>
      <c r="L542" s="13"/>
    </row>
    <row r="543">
      <c r="A543" s="13">
        <f>IFERROR(__xludf.DUMMYFUNCTION("""COMPUTED_VALUE"""),541.0)</f>
        <v>541</v>
      </c>
      <c r="B543" s="13">
        <f>IFERROR(__xludf.DUMMYFUNCTION("""COMPUTED_VALUE"""),984.0)</f>
        <v>984</v>
      </c>
      <c r="C543" s="13">
        <f>IFERROR(__xludf.DUMMYFUNCTION("""COMPUTED_VALUE"""),46.0)</f>
        <v>46</v>
      </c>
      <c r="D543" s="12"/>
      <c r="E543" s="12" t="str">
        <f>IFERROR(__xludf.DUMMYFUNCTION("""COMPUTED_VALUE"""),"Love love love this jacket!! great spring and fall weather.. very stylish!!")</f>
        <v>Love love love this jacket!! great spring and fall weather.. very stylish!!</v>
      </c>
      <c r="F543" s="13">
        <f>IFERROR(__xludf.DUMMYFUNCTION("""COMPUTED_VALUE"""),5.0)</f>
        <v>5</v>
      </c>
      <c r="G543" s="13">
        <f>IFERROR(__xludf.DUMMYFUNCTION("""COMPUTED_VALUE"""),1.0)</f>
        <v>1</v>
      </c>
      <c r="H543" s="13">
        <f>IFERROR(__xludf.DUMMYFUNCTION("""COMPUTED_VALUE"""),0.0)</f>
        <v>0</v>
      </c>
      <c r="I543" s="13" t="str">
        <f>IFERROR(__xludf.DUMMYFUNCTION("""COMPUTED_VALUE"""),"General")</f>
        <v>General</v>
      </c>
      <c r="J543" s="13" t="str">
        <f>IFERROR(__xludf.DUMMYFUNCTION("""COMPUTED_VALUE"""),"Jackets")</f>
        <v>Jackets</v>
      </c>
      <c r="K543" s="13" t="str">
        <f>IFERROR(__xludf.DUMMYFUNCTION("""COMPUTED_VALUE"""),"Jackets")</f>
        <v>Jackets</v>
      </c>
      <c r="L543" s="13"/>
    </row>
    <row r="544">
      <c r="A544" s="13">
        <f>IFERROR(__xludf.DUMMYFUNCTION("""COMPUTED_VALUE"""),542.0)</f>
        <v>542</v>
      </c>
      <c r="B544" s="13">
        <f>IFERROR(__xludf.DUMMYFUNCTION("""COMPUTED_VALUE"""),984.0)</f>
        <v>984</v>
      </c>
      <c r="C544" s="13">
        <f>IFERROR(__xludf.DUMMYFUNCTION("""COMPUTED_VALUE"""),56.0)</f>
        <v>56</v>
      </c>
      <c r="D544" s="12"/>
      <c r="E544" s="12"/>
      <c r="F544" s="13">
        <f>IFERROR(__xludf.DUMMYFUNCTION("""COMPUTED_VALUE"""),5.0)</f>
        <v>5</v>
      </c>
      <c r="G544" s="13">
        <f>IFERROR(__xludf.DUMMYFUNCTION("""COMPUTED_VALUE"""),1.0)</f>
        <v>1</v>
      </c>
      <c r="H544" s="13">
        <f>IFERROR(__xludf.DUMMYFUNCTION("""COMPUTED_VALUE"""),0.0)</f>
        <v>0</v>
      </c>
      <c r="I544" s="13" t="str">
        <f>IFERROR(__xludf.DUMMYFUNCTION("""COMPUTED_VALUE"""),"General")</f>
        <v>General</v>
      </c>
      <c r="J544" s="13" t="str">
        <f>IFERROR(__xludf.DUMMYFUNCTION("""COMPUTED_VALUE"""),"Jackets")</f>
        <v>Jackets</v>
      </c>
      <c r="K544" s="13" t="str">
        <f>IFERROR(__xludf.DUMMYFUNCTION("""COMPUTED_VALUE"""),"Jackets")</f>
        <v>Jackets</v>
      </c>
      <c r="L544" s="13"/>
    </row>
    <row r="545">
      <c r="A545" s="13">
        <f>IFERROR(__xludf.DUMMYFUNCTION("""COMPUTED_VALUE"""),543.0)</f>
        <v>543</v>
      </c>
      <c r="B545" s="13">
        <f>IFERROR(__xludf.DUMMYFUNCTION("""COMPUTED_VALUE"""),1078.0)</f>
        <v>1078</v>
      </c>
      <c r="C545" s="13">
        <f>IFERROR(__xludf.DUMMYFUNCTION("""COMPUTED_VALUE"""),36.0)</f>
        <v>36</v>
      </c>
      <c r="D545" s="12" t="str">
        <f>IFERROR(__xludf.DUMMYFUNCTION("""COMPUTED_VALUE"""),"Cute dress")</f>
        <v>Cute dress</v>
      </c>
      <c r="E545" s="12" t="str">
        <f>IFERROR(__xludf.DUMMYFUNCTION("""COMPUTED_VALUE"""),"Based on some reviews i decided to get the regular xs, even tho i am an xs petite (5'2, 107 lb, 32c) i found the fit to be flattering -- fitted enough but not too loose or tight. the length is perfect and work appropriate, and the material has some weight"&amp;" to it. the grey one is colorful and cute. the only problem is the bagginess of the arms -- very unflattering. if i push the sleeves up, it hides the bagginess a little, but i would like to have the option to wear the dress with long sleeves., s")</f>
        <v>Based on some reviews i decided to get the regular xs, even tho i am an xs petite (5'2, 107 lb, 32c) i found the fit to be flattering -- fitted enough but not too loose or tight. the length is perfect and work appropriate, and the material has some weight to it. the grey one is colorful and cute. the only problem is the bagginess of the arms -- very unflattering. if i push the sleeves up, it hides the bagginess a little, but i would like to have the option to wear the dress with long sleeves., s</v>
      </c>
      <c r="F545" s="13">
        <f>IFERROR(__xludf.DUMMYFUNCTION("""COMPUTED_VALUE"""),4.0)</f>
        <v>4</v>
      </c>
      <c r="G545" s="13">
        <f>IFERROR(__xludf.DUMMYFUNCTION("""COMPUTED_VALUE"""),1.0)</f>
        <v>1</v>
      </c>
      <c r="H545" s="13">
        <f>IFERROR(__xludf.DUMMYFUNCTION("""COMPUTED_VALUE"""),2.0)</f>
        <v>2</v>
      </c>
      <c r="I545" s="13" t="str">
        <f>IFERROR(__xludf.DUMMYFUNCTION("""COMPUTED_VALUE"""),"General")</f>
        <v>General</v>
      </c>
      <c r="J545" s="13" t="str">
        <f>IFERROR(__xludf.DUMMYFUNCTION("""COMPUTED_VALUE"""),"Dresses")</f>
        <v>Dresses</v>
      </c>
      <c r="K545" s="13" t="str">
        <f>IFERROR(__xludf.DUMMYFUNCTION("""COMPUTED_VALUE"""),"Dresses")</f>
        <v>Dresses</v>
      </c>
      <c r="L545" s="13"/>
    </row>
    <row r="546">
      <c r="A546" s="13">
        <f>IFERROR(__xludf.DUMMYFUNCTION("""COMPUTED_VALUE"""),544.0)</f>
        <v>544</v>
      </c>
      <c r="B546" s="13">
        <f>IFERROR(__xludf.DUMMYFUNCTION("""COMPUTED_VALUE"""),1104.0)</f>
        <v>1104</v>
      </c>
      <c r="C546" s="13">
        <f>IFERROR(__xludf.DUMMYFUNCTION("""COMPUTED_VALUE"""),35.0)</f>
        <v>35</v>
      </c>
      <c r="D546" s="12" t="str">
        <f>IFERROR(__xludf.DUMMYFUNCTION("""COMPUTED_VALUE"""),"Great fit")</f>
        <v>Great fit</v>
      </c>
      <c r="E546" s="12" t="str">
        <f>IFERROR(__xludf.DUMMYFUNCTION("""COMPUTED_VALUE"""),"I purchased this dress because i have a similar one with a linen skirt from the spring. the skirt on this dress is a heavier fabric and it lays very nicely. the top provides good coverage for my larger chest and i took my typical xs size. i would definite"&amp;"ly recommend this purchase.")</f>
        <v>I purchased this dress because i have a similar one with a linen skirt from the spring. the skirt on this dress is a heavier fabric and it lays very nicely. the top provides good coverage for my larger chest and i took my typical xs size. i would definitely recommend this purchase.</v>
      </c>
      <c r="F546" s="13">
        <f>IFERROR(__xludf.DUMMYFUNCTION("""COMPUTED_VALUE"""),5.0)</f>
        <v>5</v>
      </c>
      <c r="G546" s="13">
        <f>IFERROR(__xludf.DUMMYFUNCTION("""COMPUTED_VALUE"""),1.0)</f>
        <v>1</v>
      </c>
      <c r="H546" s="13">
        <f>IFERROR(__xludf.DUMMYFUNCTION("""COMPUTED_VALUE"""),0.0)</f>
        <v>0</v>
      </c>
      <c r="I546" s="13" t="str">
        <f>IFERROR(__xludf.DUMMYFUNCTION("""COMPUTED_VALUE"""),"General")</f>
        <v>General</v>
      </c>
      <c r="J546" s="13" t="str">
        <f>IFERROR(__xludf.DUMMYFUNCTION("""COMPUTED_VALUE"""),"Dresses")</f>
        <v>Dresses</v>
      </c>
      <c r="K546" s="13" t="str">
        <f>IFERROR(__xludf.DUMMYFUNCTION("""COMPUTED_VALUE"""),"Dresses")</f>
        <v>Dresses</v>
      </c>
      <c r="L546" s="13"/>
    </row>
    <row r="547">
      <c r="A547" s="13">
        <f>IFERROR(__xludf.DUMMYFUNCTION("""COMPUTED_VALUE"""),545.0)</f>
        <v>545</v>
      </c>
      <c r="B547" s="13">
        <f>IFERROR(__xludf.DUMMYFUNCTION("""COMPUTED_VALUE"""),984.0)</f>
        <v>984</v>
      </c>
      <c r="C547" s="13">
        <f>IFERROR(__xludf.DUMMYFUNCTION("""COMPUTED_VALUE"""),58.0)</f>
        <v>58</v>
      </c>
      <c r="D547" s="12" t="str">
        <f>IFERROR(__xludf.DUMMYFUNCTION("""COMPUTED_VALUE"""),"Comfortable and great looking")</f>
        <v>Comfortable and great looking</v>
      </c>
      <c r="E547" s="12" t="str">
        <f>IFERROR(__xludf.DUMMYFUNCTION("""COMPUTED_VALUE"""),"This jacket looked so good and felt so comfortable on- i almost didn't send back the first one that arrived with a little bit of damage at the bottom of the inner zippered sweatshirt, but i did exchange it and am just as happy with the fit and feel of the"&amp;" second one. it hangs well no matter how you fasten the front, or leave it open. great looking, casual but stylish and neat. a good grey, and a good blue.")</f>
        <v>This jacket looked so good and felt so comfortable on- i almost didn't send back the first one that arrived with a little bit of damage at the bottom of the inner zippered sweatshirt, but i did exchange it and am just as happy with the fit and feel of the second one. it hangs well no matter how you fasten the front, or leave it open. great looking, casual but stylish and neat. a good grey, and a good blue.</v>
      </c>
      <c r="F547" s="13">
        <f>IFERROR(__xludf.DUMMYFUNCTION("""COMPUTED_VALUE"""),5.0)</f>
        <v>5</v>
      </c>
      <c r="G547" s="13">
        <f>IFERROR(__xludf.DUMMYFUNCTION("""COMPUTED_VALUE"""),1.0)</f>
        <v>1</v>
      </c>
      <c r="H547" s="13">
        <f>IFERROR(__xludf.DUMMYFUNCTION("""COMPUTED_VALUE"""),6.0)</f>
        <v>6</v>
      </c>
      <c r="I547" s="13" t="str">
        <f>IFERROR(__xludf.DUMMYFUNCTION("""COMPUTED_VALUE"""),"General")</f>
        <v>General</v>
      </c>
      <c r="J547" s="13" t="str">
        <f>IFERROR(__xludf.DUMMYFUNCTION("""COMPUTED_VALUE"""),"Jackets")</f>
        <v>Jackets</v>
      </c>
      <c r="K547" s="13" t="str">
        <f>IFERROR(__xludf.DUMMYFUNCTION("""COMPUTED_VALUE"""),"Jackets")</f>
        <v>Jackets</v>
      </c>
      <c r="L547" s="13"/>
    </row>
    <row r="548">
      <c r="A548" s="13">
        <f>IFERROR(__xludf.DUMMYFUNCTION("""COMPUTED_VALUE"""),546.0)</f>
        <v>546</v>
      </c>
      <c r="B548" s="13">
        <f>IFERROR(__xludf.DUMMYFUNCTION("""COMPUTED_VALUE"""),1078.0)</f>
        <v>1078</v>
      </c>
      <c r="C548" s="13">
        <f>IFERROR(__xludf.DUMMYFUNCTION("""COMPUTED_VALUE"""),53.0)</f>
        <v>53</v>
      </c>
      <c r="D548" s="12" t="str">
        <f>IFERROR(__xludf.DUMMYFUNCTION("""COMPUTED_VALUE"""),"Love this dress!")</f>
        <v>Love this dress!</v>
      </c>
      <c r="E548" s="12" t="str">
        <f>IFERROR(__xludf.DUMMYFUNCTION("""COMPUTED_VALUE"""),"I went to my local store and they only had the blue dress in stock, i had seen it online and i didn't expect to like the blue one. i tried it on anyway, and it was adorable! i struggled to choose, but i ordered the gray one at the store and they shipped i"&amp;"t directly to me. it arrived quickly and i love it!")</f>
        <v>I went to my local store and they only had the blue dress in stock, i had seen it online and i didn't expect to like the blue one. i tried it on anyway, and it was adorable! i struggled to choose, but i ordered the gray one at the store and they shipped it directly to me. it arrived quickly and i love it!</v>
      </c>
      <c r="F548" s="13">
        <f>IFERROR(__xludf.DUMMYFUNCTION("""COMPUTED_VALUE"""),5.0)</f>
        <v>5</v>
      </c>
      <c r="G548" s="13">
        <f>IFERROR(__xludf.DUMMYFUNCTION("""COMPUTED_VALUE"""),1.0)</f>
        <v>1</v>
      </c>
      <c r="H548" s="13">
        <f>IFERROR(__xludf.DUMMYFUNCTION("""COMPUTED_VALUE"""),2.0)</f>
        <v>2</v>
      </c>
      <c r="I548" s="13" t="str">
        <f>IFERROR(__xludf.DUMMYFUNCTION("""COMPUTED_VALUE"""),"General")</f>
        <v>General</v>
      </c>
      <c r="J548" s="13" t="str">
        <f>IFERROR(__xludf.DUMMYFUNCTION("""COMPUTED_VALUE"""),"Dresses")</f>
        <v>Dresses</v>
      </c>
      <c r="K548" s="13" t="str">
        <f>IFERROR(__xludf.DUMMYFUNCTION("""COMPUTED_VALUE"""),"Dresses")</f>
        <v>Dresses</v>
      </c>
      <c r="L548" s="13"/>
    </row>
    <row r="549">
      <c r="A549" s="13">
        <f>IFERROR(__xludf.DUMMYFUNCTION("""COMPUTED_VALUE"""),547.0)</f>
        <v>547</v>
      </c>
      <c r="B549" s="13">
        <f>IFERROR(__xludf.DUMMYFUNCTION("""COMPUTED_VALUE"""),984.0)</f>
        <v>984</v>
      </c>
      <c r="C549" s="13">
        <f>IFERROR(__xludf.DUMMYFUNCTION("""COMPUTED_VALUE"""),64.0)</f>
        <v>64</v>
      </c>
      <c r="D549" s="12" t="str">
        <f>IFERROR(__xludf.DUMMYFUNCTION("""COMPUTED_VALUE"""),"Great jacket!")</f>
        <v>Great jacket!</v>
      </c>
      <c r="E549" s="12" t="str">
        <f>IFERROR(__xludf.DUMMYFUNCTION("""COMPUTED_VALUE"""),"This jacket has a nautical look which is a refreshing change for this year. it is double breasted &amp; a stretchy cotton, which i love. i am a big fan of cotton. it appealed to me so much that i ordered both the white &amp; the navy in the regular size small. i "&amp;"am of small build at 5'3"", 117# &amp; expected that the sleeves c/b a little long. i avoid ordering petite size jackets b/c sometimes they are snug in the shoulders. ok, so the regular s was a good length at the bottom of my hips, but arms were bagg")</f>
        <v>This jacket has a nautical look which is a refreshing change for this year. it is double breasted &amp; a stretchy cotton, which i love. i am a big fan of cotton. it appealed to me so much that i ordered both the white &amp; the navy in the regular size small. i am of small build at 5'3", 117# &amp; expected that the sleeves c/b a little long. i avoid ordering petite size jackets b/c sometimes they are snug in the shoulders. ok, so the regular s was a good length at the bottom of my hips, but arms were bagg</v>
      </c>
      <c r="F549" s="13">
        <f>IFERROR(__xludf.DUMMYFUNCTION("""COMPUTED_VALUE"""),5.0)</f>
        <v>5</v>
      </c>
      <c r="G549" s="13">
        <f>IFERROR(__xludf.DUMMYFUNCTION("""COMPUTED_VALUE"""),1.0)</f>
        <v>1</v>
      </c>
      <c r="H549" s="13">
        <f>IFERROR(__xludf.DUMMYFUNCTION("""COMPUTED_VALUE"""),32.0)</f>
        <v>32</v>
      </c>
      <c r="I549" s="13" t="str">
        <f>IFERROR(__xludf.DUMMYFUNCTION("""COMPUTED_VALUE"""),"General")</f>
        <v>General</v>
      </c>
      <c r="J549" s="13" t="str">
        <f>IFERROR(__xludf.DUMMYFUNCTION("""COMPUTED_VALUE"""),"Jackets")</f>
        <v>Jackets</v>
      </c>
      <c r="K549" s="13" t="str">
        <f>IFERROR(__xludf.DUMMYFUNCTION("""COMPUTED_VALUE"""),"Jackets")</f>
        <v>Jackets</v>
      </c>
      <c r="L549" s="13"/>
    </row>
    <row r="550">
      <c r="A550" s="13">
        <f>IFERROR(__xludf.DUMMYFUNCTION("""COMPUTED_VALUE"""),548.0)</f>
        <v>548</v>
      </c>
      <c r="B550" s="13">
        <f>IFERROR(__xludf.DUMMYFUNCTION("""COMPUTED_VALUE"""),833.0)</f>
        <v>833</v>
      </c>
      <c r="C550" s="13">
        <f>IFERROR(__xludf.DUMMYFUNCTION("""COMPUTED_VALUE"""),45.0)</f>
        <v>45</v>
      </c>
      <c r="D550" s="12" t="str">
        <f>IFERROR(__xludf.DUMMYFUNCTION("""COMPUTED_VALUE"""),"Beautiful blouse but....")</f>
        <v>Beautiful blouse but....</v>
      </c>
      <c r="E550" s="12" t="str">
        <f>IFERROR(__xludf.DUMMYFUNCTION("""COMPUTED_VALUE"""),"Absolutely love this blouse but if your a woman cursed with larger arms for your body size than this is not for you. i couldn't get the lace part of the upper arms past my elbows.
oh well, it's going back!")</f>
        <v>Absolutely love this blouse but if your a woman cursed with larger arms for your body size than this is not for you. i couldn't get the lace part of the upper arms past my elbows.
oh well, it's going back!</v>
      </c>
      <c r="F550" s="13">
        <f>IFERROR(__xludf.DUMMYFUNCTION("""COMPUTED_VALUE"""),3.0)</f>
        <v>3</v>
      </c>
      <c r="G550" s="13">
        <f>IFERROR(__xludf.DUMMYFUNCTION("""COMPUTED_VALUE"""),0.0)</f>
        <v>0</v>
      </c>
      <c r="H550" s="13">
        <f>IFERROR(__xludf.DUMMYFUNCTION("""COMPUTED_VALUE"""),0.0)</f>
        <v>0</v>
      </c>
      <c r="I550" s="13" t="str">
        <f>IFERROR(__xludf.DUMMYFUNCTION("""COMPUTED_VALUE"""),"General")</f>
        <v>General</v>
      </c>
      <c r="J550" s="13" t="str">
        <f>IFERROR(__xludf.DUMMYFUNCTION("""COMPUTED_VALUE"""),"Tops")</f>
        <v>Tops</v>
      </c>
      <c r="K550" s="13" t="str">
        <f>IFERROR(__xludf.DUMMYFUNCTION("""COMPUTED_VALUE"""),"Blouses")</f>
        <v>Blouses</v>
      </c>
      <c r="L550" s="13"/>
    </row>
    <row r="551">
      <c r="A551" s="13">
        <f>IFERROR(__xludf.DUMMYFUNCTION("""COMPUTED_VALUE"""),549.0)</f>
        <v>549</v>
      </c>
      <c r="B551" s="13">
        <f>IFERROR(__xludf.DUMMYFUNCTION("""COMPUTED_VALUE"""),850.0)</f>
        <v>850</v>
      </c>
      <c r="C551" s="13">
        <f>IFERROR(__xludf.DUMMYFUNCTION("""COMPUTED_VALUE"""),44.0)</f>
        <v>44</v>
      </c>
      <c r="D551" s="12" t="str">
        <f>IFERROR(__xludf.DUMMYFUNCTION("""COMPUTED_VALUE"""),"Feminine and pretty")</f>
        <v>Feminine and pretty</v>
      </c>
      <c r="E551" s="12" t="str">
        <f>IFERROR(__xludf.DUMMYFUNCTION("""COMPUTED_VALUE"""),"This top is gorgeous and versatile. i wear it with jeans and dress it up with a skirt. so happy to have this in my wardrobe.")</f>
        <v>This top is gorgeous and versatile. i wear it with jeans and dress it up with a skirt. so happy to have this in my wardrobe.</v>
      </c>
      <c r="F551" s="13">
        <f>IFERROR(__xludf.DUMMYFUNCTION("""COMPUTED_VALUE"""),5.0)</f>
        <v>5</v>
      </c>
      <c r="G551" s="13">
        <f>IFERROR(__xludf.DUMMYFUNCTION("""COMPUTED_VALUE"""),1.0)</f>
        <v>1</v>
      </c>
      <c r="H551" s="13">
        <f>IFERROR(__xludf.DUMMYFUNCTION("""COMPUTED_VALUE"""),0.0)</f>
        <v>0</v>
      </c>
      <c r="I551" s="13" t="str">
        <f>IFERROR(__xludf.DUMMYFUNCTION("""COMPUTED_VALUE"""),"General")</f>
        <v>General</v>
      </c>
      <c r="J551" s="13" t="str">
        <f>IFERROR(__xludf.DUMMYFUNCTION("""COMPUTED_VALUE"""),"Tops")</f>
        <v>Tops</v>
      </c>
      <c r="K551" s="13" t="str">
        <f>IFERROR(__xludf.DUMMYFUNCTION("""COMPUTED_VALUE"""),"Blouses")</f>
        <v>Blouses</v>
      </c>
      <c r="L551" s="13"/>
    </row>
    <row r="552">
      <c r="A552" s="13">
        <f>IFERROR(__xludf.DUMMYFUNCTION("""COMPUTED_VALUE"""),550.0)</f>
        <v>550</v>
      </c>
      <c r="B552" s="13">
        <f>IFERROR(__xludf.DUMMYFUNCTION("""COMPUTED_VALUE"""),1078.0)</f>
        <v>1078</v>
      </c>
      <c r="C552" s="13">
        <f>IFERROR(__xludf.DUMMYFUNCTION("""COMPUTED_VALUE"""),52.0)</f>
        <v>52</v>
      </c>
      <c r="D552" s="12" t="str">
        <f>IFERROR(__xludf.DUMMYFUNCTION("""COMPUTED_VALUE"""),"Not a fan - childish")</f>
        <v>Not a fan - childish</v>
      </c>
      <c r="E552" s="12" t="str">
        <f>IFERROR(__xludf.DUMMYFUNCTION("""COMPUTED_VALUE"""),"I thought that it looked like it belonged on a 15 year-old. i can almost see why they styled the model in what looks like ankle socks....ready for cheerleading. for reference it fits true to size, but is very short. i am 5'2"" and tried on a regular small"&amp;" - it was at least 5 inches above my knee.")</f>
        <v>I thought that it looked like it belonged on a 15 year-old. i can almost see why they styled the model in what looks like ankle socks....ready for cheerleading. for reference it fits true to size, but is very short. i am 5'2" and tried on a regular small - it was at least 5 inches above my knee.</v>
      </c>
      <c r="F552" s="13">
        <f>IFERROR(__xludf.DUMMYFUNCTION("""COMPUTED_VALUE"""),3.0)</f>
        <v>3</v>
      </c>
      <c r="G552" s="13">
        <f>IFERROR(__xludf.DUMMYFUNCTION("""COMPUTED_VALUE"""),0.0)</f>
        <v>0</v>
      </c>
      <c r="H552" s="13">
        <f>IFERROR(__xludf.DUMMYFUNCTION("""COMPUTED_VALUE"""),2.0)</f>
        <v>2</v>
      </c>
      <c r="I552" s="13" t="str">
        <f>IFERROR(__xludf.DUMMYFUNCTION("""COMPUTED_VALUE"""),"General")</f>
        <v>General</v>
      </c>
      <c r="J552" s="13" t="str">
        <f>IFERROR(__xludf.DUMMYFUNCTION("""COMPUTED_VALUE"""),"Dresses")</f>
        <v>Dresses</v>
      </c>
      <c r="K552" s="13" t="str">
        <f>IFERROR(__xludf.DUMMYFUNCTION("""COMPUTED_VALUE"""),"Dresses")</f>
        <v>Dresses</v>
      </c>
      <c r="L552" s="13"/>
    </row>
    <row r="553">
      <c r="A553" s="13">
        <f>IFERROR(__xludf.DUMMYFUNCTION("""COMPUTED_VALUE"""),551.0)</f>
        <v>551</v>
      </c>
      <c r="B553" s="13">
        <f>IFERROR(__xludf.DUMMYFUNCTION("""COMPUTED_VALUE"""),1078.0)</f>
        <v>1078</v>
      </c>
      <c r="C553" s="13">
        <f>IFERROR(__xludf.DUMMYFUNCTION("""COMPUTED_VALUE"""),49.0)</f>
        <v>49</v>
      </c>
      <c r="D553" s="12"/>
      <c r="E553" s="12" t="str">
        <f>IFERROR(__xludf.DUMMYFUNCTION("""COMPUTED_VALUE"""),"I loved this dress when i saw it. however the fit was way off. i am 5'7"" 120 lbs and the small was way too big from the waist down. when the xs arrived i was sure it would be perfect. unfortunately the waist hit way too high, above my rib cage and the dr"&amp;"ess was too short. it was as if it was a petite size. i was very disappointed as this is such a pretty, easy dress to just throw on for school. unfortunately neither size looked right on me and i had to return both. the material is also not the s")</f>
        <v>I loved this dress when i saw it. however the fit was way off. i am 5'7" 120 lbs and the small was way too big from the waist down. when the xs arrived i was sure it would be perfect. unfortunately the waist hit way too high, above my rib cage and the dress was too short. it was as if it was a petite size. i was very disappointed as this is such a pretty, easy dress to just throw on for school. unfortunately neither size looked right on me and i had to return both. the material is also not the s</v>
      </c>
      <c r="F553" s="13">
        <f>IFERROR(__xludf.DUMMYFUNCTION("""COMPUTED_VALUE"""),2.0)</f>
        <v>2</v>
      </c>
      <c r="G553" s="13">
        <f>IFERROR(__xludf.DUMMYFUNCTION("""COMPUTED_VALUE"""),1.0)</f>
        <v>1</v>
      </c>
      <c r="H553" s="13">
        <f>IFERROR(__xludf.DUMMYFUNCTION("""COMPUTED_VALUE"""),0.0)</f>
        <v>0</v>
      </c>
      <c r="I553" s="13" t="str">
        <f>IFERROR(__xludf.DUMMYFUNCTION("""COMPUTED_VALUE"""),"General")</f>
        <v>General</v>
      </c>
      <c r="J553" s="13" t="str">
        <f>IFERROR(__xludf.DUMMYFUNCTION("""COMPUTED_VALUE"""),"Dresses")</f>
        <v>Dresses</v>
      </c>
      <c r="K553" s="13" t="str">
        <f>IFERROR(__xludf.DUMMYFUNCTION("""COMPUTED_VALUE"""),"Dresses")</f>
        <v>Dresses</v>
      </c>
      <c r="L553" s="13"/>
    </row>
    <row r="554">
      <c r="A554" s="13">
        <f>IFERROR(__xludf.DUMMYFUNCTION("""COMPUTED_VALUE"""),552.0)</f>
        <v>552</v>
      </c>
      <c r="B554" s="13">
        <f>IFERROR(__xludf.DUMMYFUNCTION("""COMPUTED_VALUE"""),984.0)</f>
        <v>984</v>
      </c>
      <c r="C554" s="13">
        <f>IFERROR(__xludf.DUMMYFUNCTION("""COMPUTED_VALUE"""),52.0)</f>
        <v>52</v>
      </c>
      <c r="D554" s="12"/>
      <c r="E554" s="12" t="str">
        <f>IFERROR(__xludf.DUMMYFUNCTION("""COMPUTED_VALUE"""),"The jacket is great, the quality is very good and the fit too, the best part is how it looks !")</f>
        <v>The jacket is great, the quality is very good and the fit too, the best part is how it looks !</v>
      </c>
      <c r="F554" s="13">
        <f>IFERROR(__xludf.DUMMYFUNCTION("""COMPUTED_VALUE"""),5.0)</f>
        <v>5</v>
      </c>
      <c r="G554" s="13">
        <f>IFERROR(__xludf.DUMMYFUNCTION("""COMPUTED_VALUE"""),1.0)</f>
        <v>1</v>
      </c>
      <c r="H554" s="13">
        <f>IFERROR(__xludf.DUMMYFUNCTION("""COMPUTED_VALUE"""),0.0)</f>
        <v>0</v>
      </c>
      <c r="I554" s="13" t="str">
        <f>IFERROR(__xludf.DUMMYFUNCTION("""COMPUTED_VALUE"""),"General")</f>
        <v>General</v>
      </c>
      <c r="J554" s="13" t="str">
        <f>IFERROR(__xludf.DUMMYFUNCTION("""COMPUTED_VALUE"""),"Jackets")</f>
        <v>Jackets</v>
      </c>
      <c r="K554" s="13" t="str">
        <f>IFERROR(__xludf.DUMMYFUNCTION("""COMPUTED_VALUE"""),"Jackets")</f>
        <v>Jackets</v>
      </c>
      <c r="L554" s="13"/>
    </row>
    <row r="555">
      <c r="A555" s="13">
        <f>IFERROR(__xludf.DUMMYFUNCTION("""COMPUTED_VALUE"""),553.0)</f>
        <v>553</v>
      </c>
      <c r="B555" s="13">
        <f>IFERROR(__xludf.DUMMYFUNCTION("""COMPUTED_VALUE"""),850.0)</f>
        <v>850</v>
      </c>
      <c r="C555" s="13">
        <f>IFERROR(__xludf.DUMMYFUNCTION("""COMPUTED_VALUE"""),56.0)</f>
        <v>56</v>
      </c>
      <c r="D555" s="12" t="str">
        <f>IFERROR(__xludf.DUMMYFUNCTION("""COMPUTED_VALUE"""),"Runs large through the chest...")</f>
        <v>Runs large through the chest...</v>
      </c>
      <c r="E555" s="12" t="str">
        <f>IFERROR(__xludf.DUMMYFUNCTION("""COMPUTED_VALUE"""),"So pretty, but does run large. i am an 8-10 , got the 8 and big through the chest. had to return for this reason. if you are on the busty side it will look fab on you.")</f>
        <v>So pretty, but does run large. i am an 8-10 , got the 8 and big through the chest. had to return for this reason. if you are on the busty side it will look fab on you.</v>
      </c>
      <c r="F555" s="13">
        <f>IFERROR(__xludf.DUMMYFUNCTION("""COMPUTED_VALUE"""),4.0)</f>
        <v>4</v>
      </c>
      <c r="G555" s="13">
        <f>IFERROR(__xludf.DUMMYFUNCTION("""COMPUTED_VALUE"""),1.0)</f>
        <v>1</v>
      </c>
      <c r="H555" s="13">
        <f>IFERROR(__xludf.DUMMYFUNCTION("""COMPUTED_VALUE"""),0.0)</f>
        <v>0</v>
      </c>
      <c r="I555" s="13" t="str">
        <f>IFERROR(__xludf.DUMMYFUNCTION("""COMPUTED_VALUE"""),"General")</f>
        <v>General</v>
      </c>
      <c r="J555" s="13" t="str">
        <f>IFERROR(__xludf.DUMMYFUNCTION("""COMPUTED_VALUE"""),"Tops")</f>
        <v>Tops</v>
      </c>
      <c r="K555" s="13" t="str">
        <f>IFERROR(__xludf.DUMMYFUNCTION("""COMPUTED_VALUE"""),"Blouses")</f>
        <v>Blouses</v>
      </c>
      <c r="L555" s="13"/>
    </row>
    <row r="556">
      <c r="A556" s="13">
        <f>IFERROR(__xludf.DUMMYFUNCTION("""COMPUTED_VALUE"""),554.0)</f>
        <v>554</v>
      </c>
      <c r="B556" s="13">
        <f>IFERROR(__xludf.DUMMYFUNCTION("""COMPUTED_VALUE"""),1078.0)</f>
        <v>1078</v>
      </c>
      <c r="C556" s="13">
        <f>IFERROR(__xludf.DUMMYFUNCTION("""COMPUTED_VALUE"""),45.0)</f>
        <v>45</v>
      </c>
      <c r="D556" s="12"/>
      <c r="E556" s="12"/>
      <c r="F556" s="13">
        <f>IFERROR(__xludf.DUMMYFUNCTION("""COMPUTED_VALUE"""),5.0)</f>
        <v>5</v>
      </c>
      <c r="G556" s="13">
        <f>IFERROR(__xludf.DUMMYFUNCTION("""COMPUTED_VALUE"""),1.0)</f>
        <v>1</v>
      </c>
      <c r="H556" s="13">
        <f>IFERROR(__xludf.DUMMYFUNCTION("""COMPUTED_VALUE"""),0.0)</f>
        <v>0</v>
      </c>
      <c r="I556" s="13" t="str">
        <f>IFERROR(__xludf.DUMMYFUNCTION("""COMPUTED_VALUE"""),"General")</f>
        <v>General</v>
      </c>
      <c r="J556" s="13" t="str">
        <f>IFERROR(__xludf.DUMMYFUNCTION("""COMPUTED_VALUE"""),"Dresses")</f>
        <v>Dresses</v>
      </c>
      <c r="K556" s="13" t="str">
        <f>IFERROR(__xludf.DUMMYFUNCTION("""COMPUTED_VALUE"""),"Dresses")</f>
        <v>Dresses</v>
      </c>
      <c r="L556" s="13"/>
    </row>
    <row r="557">
      <c r="A557" s="13">
        <f>IFERROR(__xludf.DUMMYFUNCTION("""COMPUTED_VALUE"""),555.0)</f>
        <v>555</v>
      </c>
      <c r="B557" s="13">
        <f>IFERROR(__xludf.DUMMYFUNCTION("""COMPUTED_VALUE"""),984.0)</f>
        <v>984</v>
      </c>
      <c r="C557" s="13">
        <f>IFERROR(__xludf.DUMMYFUNCTION("""COMPUTED_VALUE"""),35.0)</f>
        <v>35</v>
      </c>
      <c r="D557" s="12" t="str">
        <f>IFERROR(__xludf.DUMMYFUNCTION("""COMPUTED_VALUE"""),"Love! my new favorite jacket!")</f>
        <v>Love! my new favorite jacket!</v>
      </c>
      <c r="E557" s="12" t="str">
        <f>IFERROR(__xludf.DUMMYFUNCTION("""COMPUTED_VALUE"""),"I was looking for a stylish spring/fall jacket and this one seemed to fit the bill. i was shocked by the quality and softness of the material and construction of this jacket. i could honestly not believe how comfortable and cute this felt and looked on me"&amp;". i can't wear it enough! i am a short 5'2"" but 36d and have 31"" waist so i ordered a size m and l to see which would work best. as it turned out the m fit with plenty of room! i am normally a 12/14 so i was surprised by this. if you are on the")</f>
        <v>I was looking for a stylish spring/fall jacket and this one seemed to fit the bill. i was shocked by the quality and softness of the material and construction of this jacket. i could honestly not believe how comfortable and cute this felt and looked on me. i can't wear it enough! i am a short 5'2" but 36d and have 31" waist so i ordered a size m and l to see which would work best. as it turned out the m fit with plenty of room! i am normally a 12/14 so i was surprised by this. if you are on the</v>
      </c>
      <c r="F557" s="13">
        <f>IFERROR(__xludf.DUMMYFUNCTION("""COMPUTED_VALUE"""),5.0)</f>
        <v>5</v>
      </c>
      <c r="G557" s="13">
        <f>IFERROR(__xludf.DUMMYFUNCTION("""COMPUTED_VALUE"""),1.0)</f>
        <v>1</v>
      </c>
      <c r="H557" s="13">
        <f>IFERROR(__xludf.DUMMYFUNCTION("""COMPUTED_VALUE"""),0.0)</f>
        <v>0</v>
      </c>
      <c r="I557" s="13" t="str">
        <f>IFERROR(__xludf.DUMMYFUNCTION("""COMPUTED_VALUE"""),"General")</f>
        <v>General</v>
      </c>
      <c r="J557" s="13" t="str">
        <f>IFERROR(__xludf.DUMMYFUNCTION("""COMPUTED_VALUE"""),"Jackets")</f>
        <v>Jackets</v>
      </c>
      <c r="K557" s="13" t="str">
        <f>IFERROR(__xludf.DUMMYFUNCTION("""COMPUTED_VALUE"""),"Jackets")</f>
        <v>Jackets</v>
      </c>
      <c r="L557" s="13"/>
    </row>
    <row r="558">
      <c r="A558" s="13">
        <f>IFERROR(__xludf.DUMMYFUNCTION("""COMPUTED_VALUE"""),556.0)</f>
        <v>556</v>
      </c>
      <c r="B558" s="13">
        <f>IFERROR(__xludf.DUMMYFUNCTION("""COMPUTED_VALUE"""),831.0)</f>
        <v>831</v>
      </c>
      <c r="C558" s="13">
        <f>IFERROR(__xludf.DUMMYFUNCTION("""COMPUTED_VALUE"""),38.0)</f>
        <v>38</v>
      </c>
      <c r="D558" s="12" t="str">
        <f>IFERROR(__xludf.DUMMYFUNCTION("""COMPUTED_VALUE"""),"Lovely blouse!")</f>
        <v>Lovely blouse!</v>
      </c>
      <c r="E558" s="12" t="str">
        <f>IFERROR(__xludf.DUMMYFUNCTION("""COMPUTED_VALUE"""),"Love the detail and the way it hangs. i sometimes struggle with blousy tops because i have a larger chest, but this one didn't make me look pregnant! i purchased this with the 30% off... i wouldn't have paid full price for it.")</f>
        <v>Love the detail and the way it hangs. i sometimes struggle with blousy tops because i have a larger chest, but this one didn't make me look pregnant! i purchased this with the 30% off... i wouldn't have paid full price for it.</v>
      </c>
      <c r="F558" s="13">
        <f>IFERROR(__xludf.DUMMYFUNCTION("""COMPUTED_VALUE"""),4.0)</f>
        <v>4</v>
      </c>
      <c r="G558" s="13">
        <f>IFERROR(__xludf.DUMMYFUNCTION("""COMPUTED_VALUE"""),1.0)</f>
        <v>1</v>
      </c>
      <c r="H558" s="13">
        <f>IFERROR(__xludf.DUMMYFUNCTION("""COMPUTED_VALUE"""),0.0)</f>
        <v>0</v>
      </c>
      <c r="I558" s="13" t="str">
        <f>IFERROR(__xludf.DUMMYFUNCTION("""COMPUTED_VALUE"""),"General")</f>
        <v>General</v>
      </c>
      <c r="J558" s="13" t="str">
        <f>IFERROR(__xludf.DUMMYFUNCTION("""COMPUTED_VALUE"""),"Tops")</f>
        <v>Tops</v>
      </c>
      <c r="K558" s="13" t="str">
        <f>IFERROR(__xludf.DUMMYFUNCTION("""COMPUTED_VALUE"""),"Blouses")</f>
        <v>Blouses</v>
      </c>
      <c r="L558" s="13"/>
    </row>
    <row r="559">
      <c r="A559" s="13">
        <f>IFERROR(__xludf.DUMMYFUNCTION("""COMPUTED_VALUE"""),557.0)</f>
        <v>557</v>
      </c>
      <c r="B559" s="13">
        <f>IFERROR(__xludf.DUMMYFUNCTION("""COMPUTED_VALUE"""),1086.0)</f>
        <v>1086</v>
      </c>
      <c r="C559" s="13">
        <f>IFERROR(__xludf.DUMMYFUNCTION("""COMPUTED_VALUE"""),32.0)</f>
        <v>32</v>
      </c>
      <c r="D559" s="12" t="str">
        <f>IFERROR(__xludf.DUMMYFUNCTION("""COMPUTED_VALUE"""),"Love the lace detail")</f>
        <v>Love the lace detail</v>
      </c>
      <c r="E559" s="12" t="str">
        <f>IFERROR(__xludf.DUMMYFUNCTION("""COMPUTED_VALUE"""),"I really wanted this to work. for me the arm cutout was too wide. a cap or lace flutter sleeve would've worked . also expected a little more length felt like the petite length.")</f>
        <v>I really wanted this to work. for me the arm cutout was too wide. a cap or lace flutter sleeve would've worked . also expected a little more length felt like the petite length.</v>
      </c>
      <c r="F559" s="13">
        <f>IFERROR(__xludf.DUMMYFUNCTION("""COMPUTED_VALUE"""),4.0)</f>
        <v>4</v>
      </c>
      <c r="G559" s="13">
        <f>IFERROR(__xludf.DUMMYFUNCTION("""COMPUTED_VALUE"""),1.0)</f>
        <v>1</v>
      </c>
      <c r="H559" s="13">
        <f>IFERROR(__xludf.DUMMYFUNCTION("""COMPUTED_VALUE"""),0.0)</f>
        <v>0</v>
      </c>
      <c r="I559" s="13" t="str">
        <f>IFERROR(__xludf.DUMMYFUNCTION("""COMPUTED_VALUE"""),"General")</f>
        <v>General</v>
      </c>
      <c r="J559" s="13" t="str">
        <f>IFERROR(__xludf.DUMMYFUNCTION("""COMPUTED_VALUE"""),"Dresses")</f>
        <v>Dresses</v>
      </c>
      <c r="K559" s="13" t="str">
        <f>IFERROR(__xludf.DUMMYFUNCTION("""COMPUTED_VALUE"""),"Dresses")</f>
        <v>Dresses</v>
      </c>
      <c r="L559" s="13"/>
    </row>
    <row r="560">
      <c r="A560" s="13">
        <f>IFERROR(__xludf.DUMMYFUNCTION("""COMPUTED_VALUE"""),558.0)</f>
        <v>558</v>
      </c>
      <c r="B560" s="13">
        <f>IFERROR(__xludf.DUMMYFUNCTION("""COMPUTED_VALUE"""),1044.0)</f>
        <v>1044</v>
      </c>
      <c r="C560" s="13">
        <f>IFERROR(__xludf.DUMMYFUNCTION("""COMPUTED_VALUE"""),39.0)</f>
        <v>39</v>
      </c>
      <c r="D560" s="12"/>
      <c r="E560" s="12" t="str">
        <f>IFERROR(__xludf.DUMMYFUNCTION("""COMPUTED_VALUE"""),"I just received these pants and i am very pleased.  they are a little longer than i expected them to be, but that actually works out well because now i can wear them to the office.")</f>
        <v>I just received these pants and i am very pleased.  they are a little longer than i expected them to be, but that actually works out well because now i can wear them to the office.</v>
      </c>
      <c r="F560" s="13">
        <f>IFERROR(__xludf.DUMMYFUNCTION("""COMPUTED_VALUE"""),5.0)</f>
        <v>5</v>
      </c>
      <c r="G560" s="13">
        <f>IFERROR(__xludf.DUMMYFUNCTION("""COMPUTED_VALUE"""),1.0)</f>
        <v>1</v>
      </c>
      <c r="H560" s="13">
        <f>IFERROR(__xludf.DUMMYFUNCTION("""COMPUTED_VALUE"""),0.0)</f>
        <v>0</v>
      </c>
      <c r="I560" s="13" t="str">
        <f>IFERROR(__xludf.DUMMYFUNCTION("""COMPUTED_VALUE"""),"General Petite")</f>
        <v>General Petite</v>
      </c>
      <c r="J560" s="13" t="str">
        <f>IFERROR(__xludf.DUMMYFUNCTION("""COMPUTED_VALUE"""),"Bottoms")</f>
        <v>Bottoms</v>
      </c>
      <c r="K560" s="13" t="str">
        <f>IFERROR(__xludf.DUMMYFUNCTION("""COMPUTED_VALUE"""),"Pants")</f>
        <v>Pants</v>
      </c>
      <c r="L560" s="13"/>
    </row>
    <row r="561">
      <c r="A561" s="13">
        <f>IFERROR(__xludf.DUMMYFUNCTION("""COMPUTED_VALUE"""),559.0)</f>
        <v>559</v>
      </c>
      <c r="B561" s="13">
        <f>IFERROR(__xludf.DUMMYFUNCTION("""COMPUTED_VALUE"""),820.0)</f>
        <v>820</v>
      </c>
      <c r="C561" s="13">
        <f>IFERROR(__xludf.DUMMYFUNCTION("""COMPUTED_VALUE"""),32.0)</f>
        <v>32</v>
      </c>
      <c r="D561" s="12" t="str">
        <f>IFERROR(__xludf.DUMMYFUNCTION("""COMPUTED_VALUE"""),"Cute")</f>
        <v>Cute</v>
      </c>
      <c r="E561" s="12" t="str">
        <f>IFERROR(__xludf.DUMMYFUNCTION("""COMPUTED_VALUE"""),"Cute and pretty, runs a little wide and short, just slightly. i feel like i have that issue with all retailer clothes though. love the back.")</f>
        <v>Cute and pretty, runs a little wide and short, just slightly. i feel like i have that issue with all retailer clothes though. love the back.</v>
      </c>
      <c r="F561" s="13">
        <f>IFERROR(__xludf.DUMMYFUNCTION("""COMPUTED_VALUE"""),4.0)</f>
        <v>4</v>
      </c>
      <c r="G561" s="13">
        <f>IFERROR(__xludf.DUMMYFUNCTION("""COMPUTED_VALUE"""),1.0)</f>
        <v>1</v>
      </c>
      <c r="H561" s="13">
        <f>IFERROR(__xludf.DUMMYFUNCTION("""COMPUTED_VALUE"""),0.0)</f>
        <v>0</v>
      </c>
      <c r="I561" s="13" t="str">
        <f>IFERROR(__xludf.DUMMYFUNCTION("""COMPUTED_VALUE"""),"General")</f>
        <v>General</v>
      </c>
      <c r="J561" s="13" t="str">
        <f>IFERROR(__xludf.DUMMYFUNCTION("""COMPUTED_VALUE"""),"Tops")</f>
        <v>Tops</v>
      </c>
      <c r="K561" s="13" t="str">
        <f>IFERROR(__xludf.DUMMYFUNCTION("""COMPUTED_VALUE"""),"Blouses")</f>
        <v>Blouses</v>
      </c>
      <c r="L561" s="13"/>
    </row>
    <row r="562">
      <c r="A562" s="13">
        <f>IFERROR(__xludf.DUMMYFUNCTION("""COMPUTED_VALUE"""),560.0)</f>
        <v>560</v>
      </c>
      <c r="B562" s="13">
        <f>IFERROR(__xludf.DUMMYFUNCTION("""COMPUTED_VALUE"""),1094.0)</f>
        <v>1094</v>
      </c>
      <c r="C562" s="13">
        <f>IFERROR(__xludf.DUMMYFUNCTION("""COMPUTED_VALUE"""),35.0)</f>
        <v>35</v>
      </c>
      <c r="D562" s="12" t="str">
        <f>IFERROR(__xludf.DUMMYFUNCTION("""COMPUTED_VALUE"""),"Gorgeous dress")</f>
        <v>Gorgeous dress</v>
      </c>
      <c r="E562" s="12" t="str">
        <f>IFERROR(__xludf.DUMMYFUNCTION("""COMPUTED_VALUE"""),"I was hoping this would go on sale and now it finally has! i loved this dress just as much in person as i have online. the fabric is interesting-it looks almost plastic in the online pictures but don't be fooled, it is still a comfortable fabric. it is al"&amp;"most like lots of diamond pieces were actually sewn together to make this dress and i love it. there is a sipper down the side to make it easier to get into, but also in the back there is bunched up fabric which is made to be ore bendable for th")</f>
        <v>I was hoping this would go on sale and now it finally has! i loved this dress just as much in person as i have online. the fabric is interesting-it looks almost plastic in the online pictures but don't be fooled, it is still a comfortable fabric. it is almost like lots of diamond pieces were actually sewn together to make this dress and i love it. there is a sipper down the side to make it easier to get into, but also in the back there is bunched up fabric which is made to be ore bendable for th</v>
      </c>
      <c r="F562" s="13">
        <f>IFERROR(__xludf.DUMMYFUNCTION("""COMPUTED_VALUE"""),5.0)</f>
        <v>5</v>
      </c>
      <c r="G562" s="13">
        <f>IFERROR(__xludf.DUMMYFUNCTION("""COMPUTED_VALUE"""),1.0)</f>
        <v>1</v>
      </c>
      <c r="H562" s="13">
        <f>IFERROR(__xludf.DUMMYFUNCTION("""COMPUTED_VALUE"""),2.0)</f>
        <v>2</v>
      </c>
      <c r="I562" s="13" t="str">
        <f>IFERROR(__xludf.DUMMYFUNCTION("""COMPUTED_VALUE"""),"General")</f>
        <v>General</v>
      </c>
      <c r="J562" s="13" t="str">
        <f>IFERROR(__xludf.DUMMYFUNCTION("""COMPUTED_VALUE"""),"Dresses")</f>
        <v>Dresses</v>
      </c>
      <c r="K562" s="13" t="str">
        <f>IFERROR(__xludf.DUMMYFUNCTION("""COMPUTED_VALUE"""),"Dresses")</f>
        <v>Dresses</v>
      </c>
      <c r="L562" s="13"/>
    </row>
    <row r="563">
      <c r="A563" s="13">
        <f>IFERROR(__xludf.DUMMYFUNCTION("""COMPUTED_VALUE"""),561.0)</f>
        <v>561</v>
      </c>
      <c r="B563" s="13">
        <f>IFERROR(__xludf.DUMMYFUNCTION("""COMPUTED_VALUE"""),1094.0)</f>
        <v>1094</v>
      </c>
      <c r="C563" s="13">
        <f>IFERROR(__xludf.DUMMYFUNCTION("""COMPUTED_VALUE"""),34.0)</f>
        <v>34</v>
      </c>
      <c r="D563" s="12" t="str">
        <f>IFERROR(__xludf.DUMMYFUNCTION("""COMPUTED_VALUE"""),"A must buy!!")</f>
        <v>A must buy!!</v>
      </c>
      <c r="E563" s="12" t="str">
        <f>IFERROR(__xludf.DUMMYFUNCTION("""COMPUTED_VALUE"""),"I tried this dress on and felt amazing in it.  i got home and showed my husband my purchases.  i told him i wasn't sure if i should have bought this one and told him to be honest with me.  he said it looked great and he was glad i bought it.  so great for"&amp;" a spring wedding. fits true to size.  i am 125 5'4"" c-cup and i bought my normal size 0.  this made my waist look really small.")</f>
        <v>I tried this dress on and felt amazing in it.  i got home and showed my husband my purchases.  i told him i wasn't sure if i should have bought this one and told him to be honest with me.  he said it looked great and he was glad i bought it.  so great for a spring wedding. fits true to size.  i am 125 5'4" c-cup and i bought my normal size 0.  this made my waist look really small.</v>
      </c>
      <c r="F563" s="13">
        <f>IFERROR(__xludf.DUMMYFUNCTION("""COMPUTED_VALUE"""),5.0)</f>
        <v>5</v>
      </c>
      <c r="G563" s="13">
        <f>IFERROR(__xludf.DUMMYFUNCTION("""COMPUTED_VALUE"""),1.0)</f>
        <v>1</v>
      </c>
      <c r="H563" s="13">
        <f>IFERROR(__xludf.DUMMYFUNCTION("""COMPUTED_VALUE"""),0.0)</f>
        <v>0</v>
      </c>
      <c r="I563" s="13" t="str">
        <f>IFERROR(__xludf.DUMMYFUNCTION("""COMPUTED_VALUE"""),"General")</f>
        <v>General</v>
      </c>
      <c r="J563" s="13" t="str">
        <f>IFERROR(__xludf.DUMMYFUNCTION("""COMPUTED_VALUE"""),"Dresses")</f>
        <v>Dresses</v>
      </c>
      <c r="K563" s="13" t="str">
        <f>IFERROR(__xludf.DUMMYFUNCTION("""COMPUTED_VALUE"""),"Dresses")</f>
        <v>Dresses</v>
      </c>
      <c r="L563" s="13"/>
    </row>
    <row r="564">
      <c r="A564" s="13">
        <f>IFERROR(__xludf.DUMMYFUNCTION("""COMPUTED_VALUE"""),562.0)</f>
        <v>562</v>
      </c>
      <c r="B564" s="13">
        <f>IFERROR(__xludf.DUMMYFUNCTION("""COMPUTED_VALUE"""),995.0)</f>
        <v>995</v>
      </c>
      <c r="C564" s="13">
        <f>IFERROR(__xludf.DUMMYFUNCTION("""COMPUTED_VALUE"""),48.0)</f>
        <v>48</v>
      </c>
      <c r="D564" s="12"/>
      <c r="E564" s="12"/>
      <c r="F564" s="13">
        <f>IFERROR(__xludf.DUMMYFUNCTION("""COMPUTED_VALUE"""),5.0)</f>
        <v>5</v>
      </c>
      <c r="G564" s="13">
        <f>IFERROR(__xludf.DUMMYFUNCTION("""COMPUTED_VALUE"""),1.0)</f>
        <v>1</v>
      </c>
      <c r="H564" s="13">
        <f>IFERROR(__xludf.DUMMYFUNCTION("""COMPUTED_VALUE"""),0.0)</f>
        <v>0</v>
      </c>
      <c r="I564" s="13" t="str">
        <f>IFERROR(__xludf.DUMMYFUNCTION("""COMPUTED_VALUE"""),"General")</f>
        <v>General</v>
      </c>
      <c r="J564" s="13" t="str">
        <f>IFERROR(__xludf.DUMMYFUNCTION("""COMPUTED_VALUE"""),"Bottoms")</f>
        <v>Bottoms</v>
      </c>
      <c r="K564" s="13" t="str">
        <f>IFERROR(__xludf.DUMMYFUNCTION("""COMPUTED_VALUE"""),"Skirts")</f>
        <v>Skirts</v>
      </c>
      <c r="L564" s="13"/>
    </row>
    <row r="565">
      <c r="A565" s="13">
        <f>IFERROR(__xludf.DUMMYFUNCTION("""COMPUTED_VALUE"""),563.0)</f>
        <v>563</v>
      </c>
      <c r="B565" s="13">
        <f>IFERROR(__xludf.DUMMYFUNCTION("""COMPUTED_VALUE"""),1094.0)</f>
        <v>1094</v>
      </c>
      <c r="C565" s="13">
        <f>IFERROR(__xludf.DUMMYFUNCTION("""COMPUTED_VALUE"""),36.0)</f>
        <v>36</v>
      </c>
      <c r="D565" s="12" t="str">
        <f>IFERROR(__xludf.DUMMYFUNCTION("""COMPUTED_VALUE"""),"Prety dress that fits true to size")</f>
        <v>Prety dress that fits true to size</v>
      </c>
      <c r="E565" s="12" t="str">
        <f>IFERROR(__xludf.DUMMYFUNCTION("""COMPUTED_VALUE"""),"Wow the mixed reviews on this dress would make someone not get it at all.
it is true to size. i'm a 6 and the six fit as a glove on me.
the material is not at all stiff. i actually wished it was a bit more structured. but that didn't bother me.
i was able"&amp;" to close the zipper by myself.
i'm 5'7"" 144lb 36a.
the top feels confortable to me as well. i don't considered myself curve like jlo but i have hips. the dress does not make me feel bigger at all.
the only down side is that it looks more expens")</f>
        <v>Wow the mixed reviews on this dress would make someone not get it at all.
it is true to size. i'm a 6 and the six fit as a glove on me.
the material is not at all stiff. i actually wished it was a bit more structured. but that didn't bother me.
i was able to close the zipper by myself.
i'm 5'7" 144lb 36a.
the top feels confortable to me as well. i don't considered myself curve like jlo but i have hips. the dress does not make me feel bigger at all.
the only down side is that it looks more expens</v>
      </c>
      <c r="F565" s="13">
        <f>IFERROR(__xludf.DUMMYFUNCTION("""COMPUTED_VALUE"""),4.0)</f>
        <v>4</v>
      </c>
      <c r="G565" s="13">
        <f>IFERROR(__xludf.DUMMYFUNCTION("""COMPUTED_VALUE"""),1.0)</f>
        <v>1</v>
      </c>
      <c r="H565" s="13">
        <f>IFERROR(__xludf.DUMMYFUNCTION("""COMPUTED_VALUE"""),1.0)</f>
        <v>1</v>
      </c>
      <c r="I565" s="13" t="str">
        <f>IFERROR(__xludf.DUMMYFUNCTION("""COMPUTED_VALUE"""),"General")</f>
        <v>General</v>
      </c>
      <c r="J565" s="13" t="str">
        <f>IFERROR(__xludf.DUMMYFUNCTION("""COMPUTED_VALUE"""),"Dresses")</f>
        <v>Dresses</v>
      </c>
      <c r="K565" s="13" t="str">
        <f>IFERROR(__xludf.DUMMYFUNCTION("""COMPUTED_VALUE"""),"Dresses")</f>
        <v>Dresses</v>
      </c>
      <c r="L565" s="13"/>
    </row>
    <row r="566">
      <c r="A566" s="13">
        <f>IFERROR(__xludf.DUMMYFUNCTION("""COMPUTED_VALUE"""),564.0)</f>
        <v>564</v>
      </c>
      <c r="B566" s="13">
        <f>IFERROR(__xludf.DUMMYFUNCTION("""COMPUTED_VALUE"""),1060.0)</f>
        <v>1060</v>
      </c>
      <c r="C566" s="13">
        <f>IFERROR(__xludf.DUMMYFUNCTION("""COMPUTED_VALUE"""),40.0)</f>
        <v>40</v>
      </c>
      <c r="D566" s="12" t="str">
        <f>IFERROR(__xludf.DUMMYFUNCTION("""COMPUTED_VALUE"""),"Very nice, just as pictured")</f>
        <v>Very nice, just as pictured</v>
      </c>
      <c r="E566" s="12" t="str">
        <f>IFERROR(__xludf.DUMMYFUNCTION("""COMPUTED_VALUE"""),"This is a very nice jumpsuit; reviewers were correct stating that torso is long &amp; fit better a taller person. as soon as i read the reviews i went on and placed an order for size 8, i'm 6ft tall 160lb and it has been very difficult to find a jumpsuit to f"&amp;"it my long torso. this one however turned out to be perfect! true to size and fit, not only that, the fabric is very soft and good quality, very interesting style of the jumpsuit, looks much better in person! i particularly liked cropped, wide-l")</f>
        <v>This is a very nice jumpsuit; reviewers were correct stating that torso is long &amp; fit better a taller person. as soon as i read the reviews i went on and placed an order for size 8, i'm 6ft tall 160lb and it has been very difficult to find a jumpsuit to fit my long torso. this one however turned out to be perfect! true to size and fit, not only that, the fabric is very soft and good quality, very interesting style of the jumpsuit, looks much better in person! i particularly liked cropped, wide-l</v>
      </c>
      <c r="F566" s="13">
        <f>IFERROR(__xludf.DUMMYFUNCTION("""COMPUTED_VALUE"""),5.0)</f>
        <v>5</v>
      </c>
      <c r="G566" s="13">
        <f>IFERROR(__xludf.DUMMYFUNCTION("""COMPUTED_VALUE"""),1.0)</f>
        <v>1</v>
      </c>
      <c r="H566" s="13">
        <f>IFERROR(__xludf.DUMMYFUNCTION("""COMPUTED_VALUE"""),0.0)</f>
        <v>0</v>
      </c>
      <c r="I566" s="13" t="str">
        <f>IFERROR(__xludf.DUMMYFUNCTION("""COMPUTED_VALUE"""),"General")</f>
        <v>General</v>
      </c>
      <c r="J566" s="13" t="str">
        <f>IFERROR(__xludf.DUMMYFUNCTION("""COMPUTED_VALUE"""),"Bottoms")</f>
        <v>Bottoms</v>
      </c>
      <c r="K566" s="13" t="str">
        <f>IFERROR(__xludf.DUMMYFUNCTION("""COMPUTED_VALUE"""),"Pants")</f>
        <v>Pants</v>
      </c>
      <c r="L566" s="13"/>
    </row>
    <row r="567">
      <c r="A567" s="13">
        <f>IFERROR(__xludf.DUMMYFUNCTION("""COMPUTED_VALUE"""),565.0)</f>
        <v>565</v>
      </c>
      <c r="B567" s="13">
        <f>IFERROR(__xludf.DUMMYFUNCTION("""COMPUTED_VALUE"""),833.0)</f>
        <v>833</v>
      </c>
      <c r="C567" s="13">
        <f>IFERROR(__xludf.DUMMYFUNCTION("""COMPUTED_VALUE"""),47.0)</f>
        <v>47</v>
      </c>
      <c r="D567" s="12"/>
      <c r="E567" s="12" t="str">
        <f>IFERROR(__xludf.DUMMYFUNCTION("""COMPUTED_VALUE"""),"This top runs super small in the upper arms, shoulder area..could not even stretch out my arms! ...other then that major problem, the length and body fit were perfect...i am true med and/or large in all retailer tops so i tried sizes 10, 12 and neither wo"&amp;"rked for me due to arm/shoulder fit...disappointed because it really is a beautiful top...")</f>
        <v>This top runs super small in the upper arms, shoulder area..could not even stretch out my arms! ...other then that major problem, the length and body fit were perfect...i am true med and/or large in all retailer tops so i tried sizes 10, 12 and neither worked for me due to arm/shoulder fit...disappointed because it really is a beautiful top...</v>
      </c>
      <c r="F567" s="13">
        <f>IFERROR(__xludf.DUMMYFUNCTION("""COMPUTED_VALUE"""),1.0)</f>
        <v>1</v>
      </c>
      <c r="G567" s="13">
        <f>IFERROR(__xludf.DUMMYFUNCTION("""COMPUTED_VALUE"""),0.0)</f>
        <v>0</v>
      </c>
      <c r="H567" s="13">
        <f>IFERROR(__xludf.DUMMYFUNCTION("""COMPUTED_VALUE"""),12.0)</f>
        <v>12</v>
      </c>
      <c r="I567" s="13" t="str">
        <f>IFERROR(__xludf.DUMMYFUNCTION("""COMPUTED_VALUE"""),"General")</f>
        <v>General</v>
      </c>
      <c r="J567" s="13" t="str">
        <f>IFERROR(__xludf.DUMMYFUNCTION("""COMPUTED_VALUE"""),"Tops")</f>
        <v>Tops</v>
      </c>
      <c r="K567" s="13" t="str">
        <f>IFERROR(__xludf.DUMMYFUNCTION("""COMPUTED_VALUE"""),"Blouses")</f>
        <v>Blouses</v>
      </c>
      <c r="L567" s="13"/>
    </row>
    <row r="568">
      <c r="A568" s="13">
        <f>IFERROR(__xludf.DUMMYFUNCTION("""COMPUTED_VALUE"""),566.0)</f>
        <v>566</v>
      </c>
      <c r="B568" s="13">
        <f>IFERROR(__xludf.DUMMYFUNCTION("""COMPUTED_VALUE"""),1037.0)</f>
        <v>1037</v>
      </c>
      <c r="C568" s="13">
        <f>IFERROR(__xludf.DUMMYFUNCTION("""COMPUTED_VALUE"""),41.0)</f>
        <v>41</v>
      </c>
      <c r="D568" s="12" t="str">
        <f>IFERROR(__xludf.DUMMYFUNCTION("""COMPUTED_VALUE"""),"Glad i took a chance on these!")</f>
        <v>Glad i took a chance on these!</v>
      </c>
      <c r="E568" s="12" t="str">
        <f>IFERROR(__xludf.DUMMYFUNCTION("""COMPUTED_VALUE"""),"A nice alternative to jeans, good fit. i like the casual but edgy rocker look they have. will look good with booties and full length boots. i took the same size that i do in all pilcro pants.")</f>
        <v>A nice alternative to jeans, good fit. i like the casual but edgy rocker look they have. will look good with booties and full length boots. i took the same size that i do in all pilcro pants.</v>
      </c>
      <c r="F568" s="13">
        <f>IFERROR(__xludf.DUMMYFUNCTION("""COMPUTED_VALUE"""),4.0)</f>
        <v>4</v>
      </c>
      <c r="G568" s="13">
        <f>IFERROR(__xludf.DUMMYFUNCTION("""COMPUTED_VALUE"""),1.0)</f>
        <v>1</v>
      </c>
      <c r="H568" s="13">
        <f>IFERROR(__xludf.DUMMYFUNCTION("""COMPUTED_VALUE"""),0.0)</f>
        <v>0</v>
      </c>
      <c r="I568" s="13" t="str">
        <f>IFERROR(__xludf.DUMMYFUNCTION("""COMPUTED_VALUE"""),"General Petite")</f>
        <v>General Petite</v>
      </c>
      <c r="J568" s="13" t="str">
        <f>IFERROR(__xludf.DUMMYFUNCTION("""COMPUTED_VALUE"""),"Bottoms")</f>
        <v>Bottoms</v>
      </c>
      <c r="K568" s="13" t="str">
        <f>IFERROR(__xludf.DUMMYFUNCTION("""COMPUTED_VALUE"""),"Jeans")</f>
        <v>Jeans</v>
      </c>
      <c r="L568" s="13"/>
    </row>
    <row r="569">
      <c r="A569" s="13">
        <f>IFERROR(__xludf.DUMMYFUNCTION("""COMPUTED_VALUE"""),567.0)</f>
        <v>567</v>
      </c>
      <c r="B569" s="13">
        <f>IFERROR(__xludf.DUMMYFUNCTION("""COMPUTED_VALUE"""),875.0)</f>
        <v>875</v>
      </c>
      <c r="C569" s="13">
        <f>IFERROR(__xludf.DUMMYFUNCTION("""COMPUTED_VALUE"""),33.0)</f>
        <v>33</v>
      </c>
      <c r="D569" s="12" t="str">
        <f>IFERROR(__xludf.DUMMYFUNCTION("""COMPUTED_VALUE"""),"Adorable top!!")</f>
        <v>Adorable top!!</v>
      </c>
      <c r="E569" s="12" t="str">
        <f>IFERROR(__xludf.DUMMYFUNCTION("""COMPUTED_VALUE"""),"I love , love this top !! it looks just like the picture on model. the front is a soft t-shirt and the back is so cute and flattering . super unique and comfortable style.!! i am 5'4 -105 and xs fits perfect.")</f>
        <v>I love , love this top !! it looks just like the picture on model. the front is a soft t-shirt and the back is so cute and flattering . super unique and comfortable style.!! i am 5'4 -105 and xs fits perfect.</v>
      </c>
      <c r="F569" s="13">
        <f>IFERROR(__xludf.DUMMYFUNCTION("""COMPUTED_VALUE"""),5.0)</f>
        <v>5</v>
      </c>
      <c r="G569" s="13">
        <f>IFERROR(__xludf.DUMMYFUNCTION("""COMPUTED_VALUE"""),1.0)</f>
        <v>1</v>
      </c>
      <c r="H569" s="13">
        <f>IFERROR(__xludf.DUMMYFUNCTION("""COMPUTED_VALUE"""),2.0)</f>
        <v>2</v>
      </c>
      <c r="I569" s="13" t="str">
        <f>IFERROR(__xludf.DUMMYFUNCTION("""COMPUTED_VALUE"""),"General")</f>
        <v>General</v>
      </c>
      <c r="J569" s="13" t="str">
        <f>IFERROR(__xludf.DUMMYFUNCTION("""COMPUTED_VALUE"""),"Tops")</f>
        <v>Tops</v>
      </c>
      <c r="K569" s="13" t="str">
        <f>IFERROR(__xludf.DUMMYFUNCTION("""COMPUTED_VALUE"""),"Knits")</f>
        <v>Knits</v>
      </c>
      <c r="L569" s="13"/>
    </row>
    <row r="570">
      <c r="A570" s="13">
        <f>IFERROR(__xludf.DUMMYFUNCTION("""COMPUTED_VALUE"""),568.0)</f>
        <v>568</v>
      </c>
      <c r="B570" s="13">
        <f>IFERROR(__xludf.DUMMYFUNCTION("""COMPUTED_VALUE"""),875.0)</f>
        <v>875</v>
      </c>
      <c r="C570" s="13">
        <f>IFERROR(__xludf.DUMMYFUNCTION("""COMPUTED_VALUE"""),33.0)</f>
        <v>33</v>
      </c>
      <c r="D570" s="12" t="str">
        <f>IFERROR(__xludf.DUMMYFUNCTION("""COMPUTED_VALUE"""),"Cute top!")</f>
        <v>Cute top!</v>
      </c>
      <c r="E570" s="12" t="str">
        <f>IFERROR(__xludf.DUMMYFUNCTION("""COMPUTED_VALUE"""),"This is a very cute and unique top!! i absolutely love the back, which makes up for my indifference of the front. i'm a little heavier in the middle, so it hides it a bit, but the light blue from the back that shows on the sides makes me feel a little wid"&amp;"er. it's not perfect, but i like it enough to keep it. i got lots of compliments on it when i wore it. it's very comfortable too. i just wish the front had a little more to it or was a tad longer. overall very happy.")</f>
        <v>This is a very cute and unique top!! i absolutely love the back, which makes up for my indifference of the front. i'm a little heavier in the middle, so it hides it a bit, but the light blue from the back that shows on the sides makes me feel a little wider. it's not perfect, but i like it enough to keep it. i got lots of compliments on it when i wore it. it's very comfortable too. i just wish the front had a little more to it or was a tad longer. overall very happy.</v>
      </c>
      <c r="F570" s="13">
        <f>IFERROR(__xludf.DUMMYFUNCTION("""COMPUTED_VALUE"""),4.0)</f>
        <v>4</v>
      </c>
      <c r="G570" s="13">
        <f>IFERROR(__xludf.DUMMYFUNCTION("""COMPUTED_VALUE"""),1.0)</f>
        <v>1</v>
      </c>
      <c r="H570" s="13">
        <f>IFERROR(__xludf.DUMMYFUNCTION("""COMPUTED_VALUE"""),3.0)</f>
        <v>3</v>
      </c>
      <c r="I570" s="13" t="str">
        <f>IFERROR(__xludf.DUMMYFUNCTION("""COMPUTED_VALUE"""),"General")</f>
        <v>General</v>
      </c>
      <c r="J570" s="13" t="str">
        <f>IFERROR(__xludf.DUMMYFUNCTION("""COMPUTED_VALUE"""),"Tops")</f>
        <v>Tops</v>
      </c>
      <c r="K570" s="13" t="str">
        <f>IFERROR(__xludf.DUMMYFUNCTION("""COMPUTED_VALUE"""),"Knits")</f>
        <v>Knits</v>
      </c>
      <c r="L570" s="13"/>
    </row>
    <row r="571">
      <c r="A571" s="13">
        <f>IFERROR(__xludf.DUMMYFUNCTION("""COMPUTED_VALUE"""),569.0)</f>
        <v>569</v>
      </c>
      <c r="B571" s="13">
        <f>IFERROR(__xludf.DUMMYFUNCTION("""COMPUTED_VALUE"""),820.0)</f>
        <v>820</v>
      </c>
      <c r="C571" s="13">
        <f>IFERROR(__xludf.DUMMYFUNCTION("""COMPUTED_VALUE"""),39.0)</f>
        <v>39</v>
      </c>
      <c r="D571" s="12" t="str">
        <f>IFERROR(__xludf.DUMMYFUNCTION("""COMPUTED_VALUE"""),"Love")</f>
        <v>Love</v>
      </c>
      <c r="E571" s="12" t="str">
        <f>IFERROR(__xludf.DUMMYFUNCTION("""COMPUTED_VALUE"""),"This top is so lovely, i was worried of the color on my pale skin, but it is complementary, nice warm tones. yes, it is a tank, but i can see this as a transition piece into fall with a nice blazer, jeans, boots... the xs regular is perfect for me, length"&amp;" is adequate. if i were to go with petite, i might think it is too short. it is flowy, but still has shape, more than a swing top, so very flattering. the back is really cute too, definitely need a strapless for me, due to the thin straps...")</f>
        <v>This top is so lovely, i was worried of the color on my pale skin, but it is complementary, nice warm tones. yes, it is a tank, but i can see this as a transition piece into fall with a nice blazer, jeans, boots... the xs regular is perfect for me, length is adequate. if i were to go with petite, i might think it is too short. it is flowy, but still has shape, more than a swing top, so very flattering. the back is really cute too, definitely need a strapless for me, due to the thin straps...</v>
      </c>
      <c r="F571" s="13">
        <f>IFERROR(__xludf.DUMMYFUNCTION("""COMPUTED_VALUE"""),5.0)</f>
        <v>5</v>
      </c>
      <c r="G571" s="13">
        <f>IFERROR(__xludf.DUMMYFUNCTION("""COMPUTED_VALUE"""),1.0)</f>
        <v>1</v>
      </c>
      <c r="H571" s="13">
        <f>IFERROR(__xludf.DUMMYFUNCTION("""COMPUTED_VALUE"""),3.0)</f>
        <v>3</v>
      </c>
      <c r="I571" s="13" t="str">
        <f>IFERROR(__xludf.DUMMYFUNCTION("""COMPUTED_VALUE"""),"General")</f>
        <v>General</v>
      </c>
      <c r="J571" s="13" t="str">
        <f>IFERROR(__xludf.DUMMYFUNCTION("""COMPUTED_VALUE"""),"Tops")</f>
        <v>Tops</v>
      </c>
      <c r="K571" s="13" t="str">
        <f>IFERROR(__xludf.DUMMYFUNCTION("""COMPUTED_VALUE"""),"Blouses")</f>
        <v>Blouses</v>
      </c>
      <c r="L571" s="13"/>
    </row>
    <row r="572">
      <c r="A572" s="13">
        <f>IFERROR(__xludf.DUMMYFUNCTION("""COMPUTED_VALUE"""),570.0)</f>
        <v>570</v>
      </c>
      <c r="B572" s="13">
        <f>IFERROR(__xludf.DUMMYFUNCTION("""COMPUTED_VALUE"""),1037.0)</f>
        <v>1037</v>
      </c>
      <c r="C572" s="13">
        <f>IFERROR(__xludf.DUMMYFUNCTION("""COMPUTED_VALUE"""),54.0)</f>
        <v>54</v>
      </c>
      <c r="D572" s="12" t="str">
        <f>IFERROR(__xludf.DUMMYFUNCTION("""COMPUTED_VALUE"""),"Comfortable and unique")</f>
        <v>Comfortable and unique</v>
      </c>
      <c r="E572" s="12" t="str">
        <f>IFERROR(__xludf.DUMMYFUNCTION("""COMPUTED_VALUE"""),"Great pants, like the edginess of the design in the material. kinda rocker like. soft material that's stretchy and hopefully will hold its shape during the day. the color is listed as black but it's more of a dark gray with a slight blue hint.")</f>
        <v>Great pants, like the edginess of the design in the material. kinda rocker like. soft material that's stretchy and hopefully will hold its shape during the day. the color is listed as black but it's more of a dark gray with a slight blue hint.</v>
      </c>
      <c r="F572" s="13">
        <f>IFERROR(__xludf.DUMMYFUNCTION("""COMPUTED_VALUE"""),4.0)</f>
        <v>4</v>
      </c>
      <c r="G572" s="13">
        <f>IFERROR(__xludf.DUMMYFUNCTION("""COMPUTED_VALUE"""),1.0)</f>
        <v>1</v>
      </c>
      <c r="H572" s="13">
        <f>IFERROR(__xludf.DUMMYFUNCTION("""COMPUTED_VALUE"""),4.0)</f>
        <v>4</v>
      </c>
      <c r="I572" s="13" t="str">
        <f>IFERROR(__xludf.DUMMYFUNCTION("""COMPUTED_VALUE"""),"General Petite")</f>
        <v>General Petite</v>
      </c>
      <c r="J572" s="13" t="str">
        <f>IFERROR(__xludf.DUMMYFUNCTION("""COMPUTED_VALUE"""),"Bottoms")</f>
        <v>Bottoms</v>
      </c>
      <c r="K572" s="13" t="str">
        <f>IFERROR(__xludf.DUMMYFUNCTION("""COMPUTED_VALUE"""),"Jeans")</f>
        <v>Jeans</v>
      </c>
      <c r="L572" s="13"/>
    </row>
    <row r="573">
      <c r="A573" s="13">
        <f>IFERROR(__xludf.DUMMYFUNCTION("""COMPUTED_VALUE"""),571.0)</f>
        <v>571</v>
      </c>
      <c r="B573" s="13">
        <f>IFERROR(__xludf.DUMMYFUNCTION("""COMPUTED_VALUE"""),820.0)</f>
        <v>820</v>
      </c>
      <c r="C573" s="13">
        <f>IFERROR(__xludf.DUMMYFUNCTION("""COMPUTED_VALUE"""),44.0)</f>
        <v>44</v>
      </c>
      <c r="D573" s="12"/>
      <c r="E573" s="12"/>
      <c r="F573" s="13">
        <f>IFERROR(__xludf.DUMMYFUNCTION("""COMPUTED_VALUE"""),4.0)</f>
        <v>4</v>
      </c>
      <c r="G573" s="13">
        <f>IFERROR(__xludf.DUMMYFUNCTION("""COMPUTED_VALUE"""),1.0)</f>
        <v>1</v>
      </c>
      <c r="H573" s="13">
        <f>IFERROR(__xludf.DUMMYFUNCTION("""COMPUTED_VALUE"""),0.0)</f>
        <v>0</v>
      </c>
      <c r="I573" s="13" t="str">
        <f>IFERROR(__xludf.DUMMYFUNCTION("""COMPUTED_VALUE"""),"General")</f>
        <v>General</v>
      </c>
      <c r="J573" s="13" t="str">
        <f>IFERROR(__xludf.DUMMYFUNCTION("""COMPUTED_VALUE"""),"Tops")</f>
        <v>Tops</v>
      </c>
      <c r="K573" s="13" t="str">
        <f>IFERROR(__xludf.DUMMYFUNCTION("""COMPUTED_VALUE"""),"Blouses")</f>
        <v>Blouses</v>
      </c>
      <c r="L573" s="13"/>
    </row>
    <row r="574">
      <c r="A574" s="13">
        <f>IFERROR(__xludf.DUMMYFUNCTION("""COMPUTED_VALUE"""),572.0)</f>
        <v>572</v>
      </c>
      <c r="B574" s="13">
        <f>IFERROR(__xludf.DUMMYFUNCTION("""COMPUTED_VALUE"""),1037.0)</f>
        <v>1037</v>
      </c>
      <c r="C574" s="13">
        <f>IFERROR(__xludf.DUMMYFUNCTION("""COMPUTED_VALUE"""),39.0)</f>
        <v>39</v>
      </c>
      <c r="D574" s="12"/>
      <c r="E574" s="12" t="str">
        <f>IFERROR(__xludf.DUMMYFUNCTION("""COMPUTED_VALUE"""),"I love these! they are a perfect addition to my fall wardrobe, and just like all other pilcro jeans, they are a great fit and true to size.")</f>
        <v>I love these! they are a perfect addition to my fall wardrobe, and just like all other pilcro jeans, they are a great fit and true to size.</v>
      </c>
      <c r="F574" s="13">
        <f>IFERROR(__xludf.DUMMYFUNCTION("""COMPUTED_VALUE"""),5.0)</f>
        <v>5</v>
      </c>
      <c r="G574" s="13">
        <f>IFERROR(__xludf.DUMMYFUNCTION("""COMPUTED_VALUE"""),1.0)</f>
        <v>1</v>
      </c>
      <c r="H574" s="13">
        <f>IFERROR(__xludf.DUMMYFUNCTION("""COMPUTED_VALUE"""),0.0)</f>
        <v>0</v>
      </c>
      <c r="I574" s="13" t="str">
        <f>IFERROR(__xludf.DUMMYFUNCTION("""COMPUTED_VALUE"""),"General")</f>
        <v>General</v>
      </c>
      <c r="J574" s="13" t="str">
        <f>IFERROR(__xludf.DUMMYFUNCTION("""COMPUTED_VALUE"""),"Bottoms")</f>
        <v>Bottoms</v>
      </c>
      <c r="K574" s="13" t="str">
        <f>IFERROR(__xludf.DUMMYFUNCTION("""COMPUTED_VALUE"""),"Jeans")</f>
        <v>Jeans</v>
      </c>
      <c r="L574" s="13"/>
    </row>
    <row r="575">
      <c r="A575" s="13">
        <f>IFERROR(__xludf.DUMMYFUNCTION("""COMPUTED_VALUE"""),573.0)</f>
        <v>573</v>
      </c>
      <c r="B575" s="13">
        <f>IFERROR(__xludf.DUMMYFUNCTION("""COMPUTED_VALUE"""),820.0)</f>
        <v>820</v>
      </c>
      <c r="C575" s="13">
        <f>IFERROR(__xludf.DUMMYFUNCTION("""COMPUTED_VALUE"""),24.0)</f>
        <v>24</v>
      </c>
      <c r="D575" s="12" t="str">
        <f>IFERROR(__xludf.DUMMYFUNCTION("""COMPUTED_VALUE"""),"Fits so well!")</f>
        <v>Fits so well!</v>
      </c>
      <c r="E575" s="12" t="str">
        <f>IFERROR(__xludf.DUMMYFUNCTION("""COMPUTED_VALUE"""),"I often have a hard time finding items that fit true to size, but this top fits perfectly. it is cut really well and very flattering.")</f>
        <v>I often have a hard time finding items that fit true to size, but this top fits perfectly. it is cut really well and very flattering.</v>
      </c>
      <c r="F575" s="13">
        <f>IFERROR(__xludf.DUMMYFUNCTION("""COMPUTED_VALUE"""),5.0)</f>
        <v>5</v>
      </c>
      <c r="G575" s="13">
        <f>IFERROR(__xludf.DUMMYFUNCTION("""COMPUTED_VALUE"""),1.0)</f>
        <v>1</v>
      </c>
      <c r="H575" s="13">
        <f>IFERROR(__xludf.DUMMYFUNCTION("""COMPUTED_VALUE"""),0.0)</f>
        <v>0</v>
      </c>
      <c r="I575" s="13" t="str">
        <f>IFERROR(__xludf.DUMMYFUNCTION("""COMPUTED_VALUE"""),"General")</f>
        <v>General</v>
      </c>
      <c r="J575" s="13" t="str">
        <f>IFERROR(__xludf.DUMMYFUNCTION("""COMPUTED_VALUE"""),"Tops")</f>
        <v>Tops</v>
      </c>
      <c r="K575" s="13" t="str">
        <f>IFERROR(__xludf.DUMMYFUNCTION("""COMPUTED_VALUE"""),"Blouses")</f>
        <v>Blouses</v>
      </c>
      <c r="L575" s="13"/>
    </row>
    <row r="576">
      <c r="A576" s="13">
        <f>IFERROR(__xludf.DUMMYFUNCTION("""COMPUTED_VALUE"""),574.0)</f>
        <v>574</v>
      </c>
      <c r="B576" s="13">
        <f>IFERROR(__xludf.DUMMYFUNCTION("""COMPUTED_VALUE"""),833.0)</f>
        <v>833</v>
      </c>
      <c r="C576" s="13">
        <f>IFERROR(__xludf.DUMMYFUNCTION("""COMPUTED_VALUE"""),65.0)</f>
        <v>65</v>
      </c>
      <c r="D576" s="12"/>
      <c r="E576" s="12"/>
      <c r="F576" s="13">
        <f>IFERROR(__xludf.DUMMYFUNCTION("""COMPUTED_VALUE"""),1.0)</f>
        <v>1</v>
      </c>
      <c r="G576" s="13">
        <f>IFERROR(__xludf.DUMMYFUNCTION("""COMPUTED_VALUE"""),0.0)</f>
        <v>0</v>
      </c>
      <c r="H576" s="13">
        <f>IFERROR(__xludf.DUMMYFUNCTION("""COMPUTED_VALUE"""),0.0)</f>
        <v>0</v>
      </c>
      <c r="I576" s="13" t="str">
        <f>IFERROR(__xludf.DUMMYFUNCTION("""COMPUTED_VALUE"""),"General")</f>
        <v>General</v>
      </c>
      <c r="J576" s="13" t="str">
        <f>IFERROR(__xludf.DUMMYFUNCTION("""COMPUTED_VALUE"""),"Tops")</f>
        <v>Tops</v>
      </c>
      <c r="K576" s="13" t="str">
        <f>IFERROR(__xludf.DUMMYFUNCTION("""COMPUTED_VALUE"""),"Blouses")</f>
        <v>Blouses</v>
      </c>
      <c r="L576" s="13"/>
    </row>
    <row r="577">
      <c r="A577" s="13">
        <f>IFERROR(__xludf.DUMMYFUNCTION("""COMPUTED_VALUE"""),575.0)</f>
        <v>575</v>
      </c>
      <c r="B577" s="13">
        <f>IFERROR(__xludf.DUMMYFUNCTION("""COMPUTED_VALUE"""),1094.0)</f>
        <v>1094</v>
      </c>
      <c r="C577" s="13">
        <f>IFERROR(__xludf.DUMMYFUNCTION("""COMPUTED_VALUE"""),64.0)</f>
        <v>64</v>
      </c>
      <c r="D577" s="12" t="str">
        <f>IFERROR(__xludf.DUMMYFUNCTION("""COMPUTED_VALUE"""),"Stunning special occasion dress")</f>
        <v>Stunning special occasion dress</v>
      </c>
      <c r="E577" s="12" t="str">
        <f>IFERROR(__xludf.DUMMYFUNCTION("""COMPUTED_VALUE"""),"I'm surprised i'm the first to review this dress! it is a must for the holidays and any special occasion! it is absolutely gorgeous! it is so feminine and seductive; it's one of those dresses that would be stunning on anyone! it is a quality dress, beauti"&amp;"fully made, looks just like the photo. i'm 5'9"" &amp; the hemline falls at the top of my knees. the neckline is exquisite &amp; really ""makes"" the dress. i purchased the black version but if i was younger i'd get it in red as it would garner quite a bit")</f>
        <v>I'm surprised i'm the first to review this dress! it is a must for the holidays and any special occasion! it is absolutely gorgeous! it is so feminine and seductive; it's one of those dresses that would be stunning on anyone! it is a quality dress, beautifully made, looks just like the photo. i'm 5'9" &amp; the hemline falls at the top of my knees. the neckline is exquisite &amp; really "makes" the dress. i purchased the black version but if i was younger i'd get it in red as it would garner quite a bit</v>
      </c>
      <c r="F577" s="13">
        <f>IFERROR(__xludf.DUMMYFUNCTION("""COMPUTED_VALUE"""),5.0)</f>
        <v>5</v>
      </c>
      <c r="G577" s="13">
        <f>IFERROR(__xludf.DUMMYFUNCTION("""COMPUTED_VALUE"""),1.0)</f>
        <v>1</v>
      </c>
      <c r="H577" s="13">
        <f>IFERROR(__xludf.DUMMYFUNCTION("""COMPUTED_VALUE"""),30.0)</f>
        <v>30</v>
      </c>
      <c r="I577" s="13" t="str">
        <f>IFERROR(__xludf.DUMMYFUNCTION("""COMPUTED_VALUE"""),"General")</f>
        <v>General</v>
      </c>
      <c r="J577" s="13" t="str">
        <f>IFERROR(__xludf.DUMMYFUNCTION("""COMPUTED_VALUE"""),"Dresses")</f>
        <v>Dresses</v>
      </c>
      <c r="K577" s="13" t="str">
        <f>IFERROR(__xludf.DUMMYFUNCTION("""COMPUTED_VALUE"""),"Dresses")</f>
        <v>Dresses</v>
      </c>
      <c r="L577" s="13"/>
    </row>
    <row r="578">
      <c r="A578" s="13">
        <f>IFERROR(__xludf.DUMMYFUNCTION("""COMPUTED_VALUE"""),576.0)</f>
        <v>576</v>
      </c>
      <c r="B578" s="13">
        <f>IFERROR(__xludf.DUMMYFUNCTION("""COMPUTED_VALUE"""),833.0)</f>
        <v>833</v>
      </c>
      <c r="C578" s="13">
        <f>IFERROR(__xludf.DUMMYFUNCTION("""COMPUTED_VALUE"""),40.0)</f>
        <v>40</v>
      </c>
      <c r="D578" s="12" t="str">
        <f>IFERROR(__xludf.DUMMYFUNCTION("""COMPUTED_VALUE"""),"Love this shirt")</f>
        <v>Love this shirt</v>
      </c>
      <c r="E578" s="12" t="str">
        <f>IFERROR(__xludf.DUMMYFUNCTION("""COMPUTED_VALUE"""),"This shirt is very nice quality and looks stunning. it does run tight in the shoulder area and is a bit of a challenge getting off, but as long as i don't rip it one of these times all will be well! it looks so nice on that i overlook that design flaw.")</f>
        <v>This shirt is very nice quality and looks stunning. it does run tight in the shoulder area and is a bit of a challenge getting off, but as long as i don't rip it one of these times all will be well! it looks so nice on that i overlook that design flaw.</v>
      </c>
      <c r="F578" s="13">
        <f>IFERROR(__xludf.DUMMYFUNCTION("""COMPUTED_VALUE"""),5.0)</f>
        <v>5</v>
      </c>
      <c r="G578" s="13">
        <f>IFERROR(__xludf.DUMMYFUNCTION("""COMPUTED_VALUE"""),1.0)</f>
        <v>1</v>
      </c>
      <c r="H578" s="13">
        <f>IFERROR(__xludf.DUMMYFUNCTION("""COMPUTED_VALUE"""),1.0)</f>
        <v>1</v>
      </c>
      <c r="I578" s="13" t="str">
        <f>IFERROR(__xludf.DUMMYFUNCTION("""COMPUTED_VALUE"""),"General")</f>
        <v>General</v>
      </c>
      <c r="J578" s="13" t="str">
        <f>IFERROR(__xludf.DUMMYFUNCTION("""COMPUTED_VALUE"""),"Tops")</f>
        <v>Tops</v>
      </c>
      <c r="K578" s="13" t="str">
        <f>IFERROR(__xludf.DUMMYFUNCTION("""COMPUTED_VALUE"""),"Blouses")</f>
        <v>Blouses</v>
      </c>
      <c r="L578" s="13"/>
    </row>
    <row r="579">
      <c r="A579" s="13">
        <f>IFERROR(__xludf.DUMMYFUNCTION("""COMPUTED_VALUE"""),577.0)</f>
        <v>577</v>
      </c>
      <c r="B579" s="13">
        <f>IFERROR(__xludf.DUMMYFUNCTION("""COMPUTED_VALUE"""),995.0)</f>
        <v>995</v>
      </c>
      <c r="C579" s="13">
        <f>IFERROR(__xludf.DUMMYFUNCTION("""COMPUTED_VALUE"""),39.0)</f>
        <v>39</v>
      </c>
      <c r="D579" s="12" t="str">
        <f>IFERROR(__xludf.DUMMYFUNCTION("""COMPUTED_VALUE"""),"Comfortable, soft")</f>
        <v>Comfortable, soft</v>
      </c>
      <c r="E579" s="12" t="str">
        <f>IFERROR(__xludf.DUMMYFUNCTION("""COMPUTED_VALUE"""),"The material is very soft and it looks just like it does on the model with the exception that it gets a little wrinkly at the hem and turns up at the corners. i like it and have already worn it a few times.")</f>
        <v>The material is very soft and it looks just like it does on the model with the exception that it gets a little wrinkly at the hem and turns up at the corners. i like it and have already worn it a few times.</v>
      </c>
      <c r="F579" s="13">
        <f>IFERROR(__xludf.DUMMYFUNCTION("""COMPUTED_VALUE"""),4.0)</f>
        <v>4</v>
      </c>
      <c r="G579" s="13">
        <f>IFERROR(__xludf.DUMMYFUNCTION("""COMPUTED_VALUE"""),1.0)</f>
        <v>1</v>
      </c>
      <c r="H579" s="13">
        <f>IFERROR(__xludf.DUMMYFUNCTION("""COMPUTED_VALUE"""),0.0)</f>
        <v>0</v>
      </c>
      <c r="I579" s="13" t="str">
        <f>IFERROR(__xludf.DUMMYFUNCTION("""COMPUTED_VALUE"""),"General")</f>
        <v>General</v>
      </c>
      <c r="J579" s="13" t="str">
        <f>IFERROR(__xludf.DUMMYFUNCTION("""COMPUTED_VALUE"""),"Bottoms")</f>
        <v>Bottoms</v>
      </c>
      <c r="K579" s="13" t="str">
        <f>IFERROR(__xludf.DUMMYFUNCTION("""COMPUTED_VALUE"""),"Skirts")</f>
        <v>Skirts</v>
      </c>
      <c r="L579" s="13"/>
    </row>
    <row r="580">
      <c r="A580" s="13">
        <f>IFERROR(__xludf.DUMMYFUNCTION("""COMPUTED_VALUE"""),578.0)</f>
        <v>578</v>
      </c>
      <c r="B580" s="13">
        <f>IFERROR(__xludf.DUMMYFUNCTION("""COMPUTED_VALUE"""),1094.0)</f>
        <v>1094</v>
      </c>
      <c r="C580" s="13">
        <f>IFERROR(__xludf.DUMMYFUNCTION("""COMPUTED_VALUE"""),42.0)</f>
        <v>42</v>
      </c>
      <c r="D580" s="12" t="str">
        <f>IFERROR(__xludf.DUMMYFUNCTION("""COMPUTED_VALUE"""),"Not for us chesty girls!")</f>
        <v>Not for us chesty girls!</v>
      </c>
      <c r="E580" s="12" t="str">
        <f>IFERROR(__xludf.DUMMYFUNCTION("""COMPUTED_VALUE"""),"Was drawn to this dress in the store. my location had it displayed well (one mannequin with the dress &amp; a jean jacket...another with the faux fur cardigan). the dress is a very vibrant red. but the fit is not for me. i am busty (34c) with a short torso, a"&amp;"nd the dress made me look like dolly pardon on top. but there was a lot of room on the bottom. i tried on a size 6 and felt like i needed a size larger on the top and a size smaller on the bottom. having said that, the material is a very good qu")</f>
        <v>Was drawn to this dress in the store. my location had it displayed well (one mannequin with the dress &amp; a jean jacket...another with the faux fur cardigan). the dress is a very vibrant red. but the fit is not for me. i am busty (34c) with a short torso, and the dress made me look like dolly pardon on top. but there was a lot of room on the bottom. i tried on a size 6 and felt like i needed a size larger on the top and a size smaller on the bottom. having said that, the material is a very good qu</v>
      </c>
      <c r="F580" s="13">
        <f>IFERROR(__xludf.DUMMYFUNCTION("""COMPUTED_VALUE"""),3.0)</f>
        <v>3</v>
      </c>
      <c r="G580" s="13">
        <f>IFERROR(__xludf.DUMMYFUNCTION("""COMPUTED_VALUE"""),0.0)</f>
        <v>0</v>
      </c>
      <c r="H580" s="13">
        <f>IFERROR(__xludf.DUMMYFUNCTION("""COMPUTED_VALUE"""),3.0)</f>
        <v>3</v>
      </c>
      <c r="I580" s="13" t="str">
        <f>IFERROR(__xludf.DUMMYFUNCTION("""COMPUTED_VALUE"""),"General")</f>
        <v>General</v>
      </c>
      <c r="J580" s="13" t="str">
        <f>IFERROR(__xludf.DUMMYFUNCTION("""COMPUTED_VALUE"""),"Dresses")</f>
        <v>Dresses</v>
      </c>
      <c r="K580" s="13" t="str">
        <f>IFERROR(__xludf.DUMMYFUNCTION("""COMPUTED_VALUE"""),"Dresses")</f>
        <v>Dresses</v>
      </c>
      <c r="L580" s="13"/>
    </row>
    <row r="581">
      <c r="A581" s="13">
        <f>IFERROR(__xludf.DUMMYFUNCTION("""COMPUTED_VALUE"""),579.0)</f>
        <v>579</v>
      </c>
      <c r="B581" s="13">
        <f>IFERROR(__xludf.DUMMYFUNCTION("""COMPUTED_VALUE"""),875.0)</f>
        <v>875</v>
      </c>
      <c r="C581" s="13">
        <f>IFERROR(__xludf.DUMMYFUNCTION("""COMPUTED_VALUE"""),34.0)</f>
        <v>34</v>
      </c>
      <c r="D581" s="12" t="str">
        <f>IFERROR(__xludf.DUMMYFUNCTION("""COMPUTED_VALUE"""),"Fit is not cute")</f>
        <v>Fit is not cute</v>
      </c>
      <c r="E581" s="12" t="str">
        <f>IFERROR(__xludf.DUMMYFUNCTION("""COMPUTED_VALUE"""),"I was really excited about this top since i have others from retailer that are similar in styling. unfortunately, it just didn't work out. i am petite with a short torso and ordered my usual size and it was way too short in the front. the top was also box"&amp;"y and didn't sit right. it just wasn't flattering. cute top on the hanger, but just not on me.")</f>
        <v>I was really excited about this top since i have others from retailer that are similar in styling. unfortunately, it just didn't work out. i am petite with a short torso and ordered my usual size and it was way too short in the front. the top was also boxy and didn't sit right. it just wasn't flattering. cute top on the hanger, but just not on me.</v>
      </c>
      <c r="F581" s="13">
        <f>IFERROR(__xludf.DUMMYFUNCTION("""COMPUTED_VALUE"""),2.0)</f>
        <v>2</v>
      </c>
      <c r="G581" s="13">
        <f>IFERROR(__xludf.DUMMYFUNCTION("""COMPUTED_VALUE"""),0.0)</f>
        <v>0</v>
      </c>
      <c r="H581" s="13">
        <f>IFERROR(__xludf.DUMMYFUNCTION("""COMPUTED_VALUE"""),2.0)</f>
        <v>2</v>
      </c>
      <c r="I581" s="13" t="str">
        <f>IFERROR(__xludf.DUMMYFUNCTION("""COMPUTED_VALUE"""),"General")</f>
        <v>General</v>
      </c>
      <c r="J581" s="13" t="str">
        <f>IFERROR(__xludf.DUMMYFUNCTION("""COMPUTED_VALUE"""),"Tops")</f>
        <v>Tops</v>
      </c>
      <c r="K581" s="13" t="str">
        <f>IFERROR(__xludf.DUMMYFUNCTION("""COMPUTED_VALUE"""),"Knits")</f>
        <v>Knits</v>
      </c>
      <c r="L581" s="13"/>
    </row>
    <row r="582">
      <c r="A582" s="13">
        <f>IFERROR(__xludf.DUMMYFUNCTION("""COMPUTED_VALUE"""),580.0)</f>
        <v>580</v>
      </c>
      <c r="B582" s="13">
        <f>IFERROR(__xludf.DUMMYFUNCTION("""COMPUTED_VALUE"""),1037.0)</f>
        <v>1037</v>
      </c>
      <c r="C582" s="13">
        <f>IFERROR(__xludf.DUMMYFUNCTION("""COMPUTED_VALUE"""),38.0)</f>
        <v>38</v>
      </c>
      <c r="D582" s="12"/>
      <c r="E582" s="12"/>
      <c r="F582" s="13">
        <f>IFERROR(__xludf.DUMMYFUNCTION("""COMPUTED_VALUE"""),3.0)</f>
        <v>3</v>
      </c>
      <c r="G582" s="13">
        <f>IFERROR(__xludf.DUMMYFUNCTION("""COMPUTED_VALUE"""),0.0)</f>
        <v>0</v>
      </c>
      <c r="H582" s="13">
        <f>IFERROR(__xludf.DUMMYFUNCTION("""COMPUTED_VALUE"""),0.0)</f>
        <v>0</v>
      </c>
      <c r="I582" s="13" t="str">
        <f>IFERROR(__xludf.DUMMYFUNCTION("""COMPUTED_VALUE"""),"General")</f>
        <v>General</v>
      </c>
      <c r="J582" s="13" t="str">
        <f>IFERROR(__xludf.DUMMYFUNCTION("""COMPUTED_VALUE"""),"Bottoms")</f>
        <v>Bottoms</v>
      </c>
      <c r="K582" s="13" t="str">
        <f>IFERROR(__xludf.DUMMYFUNCTION("""COMPUTED_VALUE"""),"Jeans")</f>
        <v>Jeans</v>
      </c>
      <c r="L582" s="13"/>
    </row>
    <row r="583">
      <c r="A583" s="13">
        <f>IFERROR(__xludf.DUMMYFUNCTION("""COMPUTED_VALUE"""),581.0)</f>
        <v>581</v>
      </c>
      <c r="B583" s="13">
        <f>IFERROR(__xludf.DUMMYFUNCTION("""COMPUTED_VALUE"""),875.0)</f>
        <v>875</v>
      </c>
      <c r="C583" s="13">
        <f>IFERROR(__xludf.DUMMYFUNCTION("""COMPUTED_VALUE"""),29.0)</f>
        <v>29</v>
      </c>
      <c r="D583" s="12" t="str">
        <f>IFERROR(__xludf.DUMMYFUNCTION("""COMPUTED_VALUE"""),"Do not like the front")</f>
        <v>Do not like the front</v>
      </c>
      <c r="E583" s="12" t="str">
        <f>IFERROR(__xludf.DUMMYFUNCTION("""COMPUTED_VALUE"""),"The back of this t-shirt looks cute but the front looks really weird. the material in the back is quite stiff but the grey material is soft, so the front gray area ends up hanging weirdly and looking uneven and messy. i appreciate asymmetrical clothing bu"&amp;"t to me it looked like a patched up rag from the front. it fits true to size.")</f>
        <v>The back of this t-shirt looks cute but the front looks really weird. the material in the back is quite stiff but the grey material is soft, so the front gray area ends up hanging weirdly and looking uneven and messy. i appreciate asymmetrical clothing but to me it looked like a patched up rag from the front. it fits true to size.</v>
      </c>
      <c r="F583" s="13">
        <f>IFERROR(__xludf.DUMMYFUNCTION("""COMPUTED_VALUE"""),2.0)</f>
        <v>2</v>
      </c>
      <c r="G583" s="13">
        <f>IFERROR(__xludf.DUMMYFUNCTION("""COMPUTED_VALUE"""),0.0)</f>
        <v>0</v>
      </c>
      <c r="H583" s="13">
        <f>IFERROR(__xludf.DUMMYFUNCTION("""COMPUTED_VALUE"""),3.0)</f>
        <v>3</v>
      </c>
      <c r="I583" s="13" t="str">
        <f>IFERROR(__xludf.DUMMYFUNCTION("""COMPUTED_VALUE"""),"General")</f>
        <v>General</v>
      </c>
      <c r="J583" s="13" t="str">
        <f>IFERROR(__xludf.DUMMYFUNCTION("""COMPUTED_VALUE"""),"Tops")</f>
        <v>Tops</v>
      </c>
      <c r="K583" s="13" t="str">
        <f>IFERROR(__xludf.DUMMYFUNCTION("""COMPUTED_VALUE"""),"Knits")</f>
        <v>Knits</v>
      </c>
      <c r="L583" s="13"/>
    </row>
    <row r="584">
      <c r="A584" s="13">
        <f>IFERROR(__xludf.DUMMYFUNCTION("""COMPUTED_VALUE"""),582.0)</f>
        <v>582</v>
      </c>
      <c r="B584" s="13">
        <f>IFERROR(__xludf.DUMMYFUNCTION("""COMPUTED_VALUE"""),833.0)</f>
        <v>833</v>
      </c>
      <c r="C584" s="13">
        <f>IFERROR(__xludf.DUMMYFUNCTION("""COMPUTED_VALUE"""),49.0)</f>
        <v>49</v>
      </c>
      <c r="D584" s="12" t="str">
        <f>IFERROR(__xludf.DUMMYFUNCTION("""COMPUTED_VALUE"""),"Not doing anything for me")</f>
        <v>Not doing anything for me</v>
      </c>
      <c r="E584" s="12" t="str">
        <f>IFERROR(__xludf.DUMMYFUNCTION("""COMPUTED_VALUE"""),"Well, this top just did not do anything for me - it's a very conservative style with the high neckline and blousy fit. you'd need to go a little lower in size if you want any of your figure to show through. i guess it might be good for a church function o"&amp;"r some other conservative event, but it was too buttoned-up for my style. i also had a hard time getting it off even though the size i tried on was large for me. i didn't care for the feel of the fabric either, although the lace is nice.")</f>
        <v>Well, this top just did not do anything for me - it's a very conservative style with the high neckline and blousy fit. you'd need to go a little lower in size if you want any of your figure to show through. i guess it might be good for a church function or some other conservative event, but it was too buttoned-up for my style. i also had a hard time getting it off even though the size i tried on was large for me. i didn't care for the feel of the fabric either, although the lace is nice.</v>
      </c>
      <c r="F584" s="13">
        <f>IFERROR(__xludf.DUMMYFUNCTION("""COMPUTED_VALUE"""),3.0)</f>
        <v>3</v>
      </c>
      <c r="G584" s="13">
        <f>IFERROR(__xludf.DUMMYFUNCTION("""COMPUTED_VALUE"""),0.0)</f>
        <v>0</v>
      </c>
      <c r="H584" s="13">
        <f>IFERROR(__xludf.DUMMYFUNCTION("""COMPUTED_VALUE"""),1.0)</f>
        <v>1</v>
      </c>
      <c r="I584" s="13" t="str">
        <f>IFERROR(__xludf.DUMMYFUNCTION("""COMPUTED_VALUE"""),"General")</f>
        <v>General</v>
      </c>
      <c r="J584" s="13" t="str">
        <f>IFERROR(__xludf.DUMMYFUNCTION("""COMPUTED_VALUE"""),"Tops")</f>
        <v>Tops</v>
      </c>
      <c r="K584" s="13" t="str">
        <f>IFERROR(__xludf.DUMMYFUNCTION("""COMPUTED_VALUE"""),"Blouses")</f>
        <v>Blouses</v>
      </c>
      <c r="L584" s="13"/>
    </row>
    <row r="585">
      <c r="A585" s="13">
        <f>IFERROR(__xludf.DUMMYFUNCTION("""COMPUTED_VALUE"""),583.0)</f>
        <v>583</v>
      </c>
      <c r="B585" s="13">
        <f>IFERROR(__xludf.DUMMYFUNCTION("""COMPUTED_VALUE"""),1060.0)</f>
        <v>1060</v>
      </c>
      <c r="C585" s="13">
        <f>IFERROR(__xludf.DUMMYFUNCTION("""COMPUTED_VALUE"""),39.0)</f>
        <v>39</v>
      </c>
      <c r="D585" s="12" t="str">
        <f>IFERROR(__xludf.DUMMYFUNCTION("""COMPUTED_VALUE"""),"Not for me")</f>
        <v>Not for me</v>
      </c>
      <c r="E585" s="12" t="str">
        <f>IFERROR(__xludf.DUMMYFUNCTION("""COMPUTED_VALUE"""),"Well made. made my hips looks giant. just not my style unfortunately. i'd have to work at preschool or on a ship to pull this off. i'm 5'3 120-123lbssize 6-8. i got the size 6 (not petite cuz they were sold out).")</f>
        <v>Well made. made my hips looks giant. just not my style unfortunately. i'd have to work at preschool or on a ship to pull this off. i'm 5'3 120-123lbssize 6-8. i got the size 6 (not petite cuz they were sold out).</v>
      </c>
      <c r="F585" s="13">
        <f>IFERROR(__xludf.DUMMYFUNCTION("""COMPUTED_VALUE"""),3.0)</f>
        <v>3</v>
      </c>
      <c r="G585" s="13">
        <f>IFERROR(__xludf.DUMMYFUNCTION("""COMPUTED_VALUE"""),0.0)</f>
        <v>0</v>
      </c>
      <c r="H585" s="13">
        <f>IFERROR(__xludf.DUMMYFUNCTION("""COMPUTED_VALUE"""),0.0)</f>
        <v>0</v>
      </c>
      <c r="I585" s="13" t="str">
        <f>IFERROR(__xludf.DUMMYFUNCTION("""COMPUTED_VALUE"""),"General")</f>
        <v>General</v>
      </c>
      <c r="J585" s="13" t="str">
        <f>IFERROR(__xludf.DUMMYFUNCTION("""COMPUTED_VALUE"""),"Bottoms")</f>
        <v>Bottoms</v>
      </c>
      <c r="K585" s="13" t="str">
        <f>IFERROR(__xludf.DUMMYFUNCTION("""COMPUTED_VALUE"""),"Pants")</f>
        <v>Pants</v>
      </c>
      <c r="L585" s="13"/>
    </row>
    <row r="586">
      <c r="A586" s="13">
        <f>IFERROR(__xludf.DUMMYFUNCTION("""COMPUTED_VALUE"""),584.0)</f>
        <v>584</v>
      </c>
      <c r="B586" s="13">
        <f>IFERROR(__xludf.DUMMYFUNCTION("""COMPUTED_VALUE"""),1094.0)</f>
        <v>1094</v>
      </c>
      <c r="C586" s="13">
        <f>IFERROR(__xludf.DUMMYFUNCTION("""COMPUTED_VALUE"""),48.0)</f>
        <v>48</v>
      </c>
      <c r="D586" s="12" t="str">
        <f>IFERROR(__xludf.DUMMYFUNCTION("""COMPUTED_VALUE"""),"Cute outfit")</f>
        <v>Cute outfit</v>
      </c>
      <c r="E586" s="12" t="str">
        <f>IFERROR(__xludf.DUMMYFUNCTION("""COMPUTED_VALUE"""),"I love the color and the style, however it doesn't look as well as the model as i don't have a small waist like the model does. still overall, i love this dress and it is well made and comfortable")</f>
        <v>I love the color and the style, however it doesn't look as well as the model as i don't have a small waist like the model does. still overall, i love this dress and it is well made and comfortable</v>
      </c>
      <c r="F586" s="13">
        <f>IFERROR(__xludf.DUMMYFUNCTION("""COMPUTED_VALUE"""),4.0)</f>
        <v>4</v>
      </c>
      <c r="G586" s="13">
        <f>IFERROR(__xludf.DUMMYFUNCTION("""COMPUTED_VALUE"""),1.0)</f>
        <v>1</v>
      </c>
      <c r="H586" s="13">
        <f>IFERROR(__xludf.DUMMYFUNCTION("""COMPUTED_VALUE"""),2.0)</f>
        <v>2</v>
      </c>
      <c r="I586" s="13" t="str">
        <f>IFERROR(__xludf.DUMMYFUNCTION("""COMPUTED_VALUE"""),"General")</f>
        <v>General</v>
      </c>
      <c r="J586" s="13" t="str">
        <f>IFERROR(__xludf.DUMMYFUNCTION("""COMPUTED_VALUE"""),"Dresses")</f>
        <v>Dresses</v>
      </c>
      <c r="K586" s="13" t="str">
        <f>IFERROR(__xludf.DUMMYFUNCTION("""COMPUTED_VALUE"""),"Dresses")</f>
        <v>Dresses</v>
      </c>
      <c r="L586" s="13"/>
    </row>
    <row r="587">
      <c r="A587" s="13">
        <f>IFERROR(__xludf.DUMMYFUNCTION("""COMPUTED_VALUE"""),585.0)</f>
        <v>585</v>
      </c>
      <c r="B587" s="13">
        <f>IFERROR(__xludf.DUMMYFUNCTION("""COMPUTED_VALUE"""),835.0)</f>
        <v>835</v>
      </c>
      <c r="C587" s="13">
        <f>IFERROR(__xludf.DUMMYFUNCTION("""COMPUTED_VALUE"""),66.0)</f>
        <v>66</v>
      </c>
      <c r="D587" s="12" t="str">
        <f>IFERROR(__xludf.DUMMYFUNCTION("""COMPUTED_VALUE"""),"So good")</f>
        <v>So good</v>
      </c>
      <c r="E587" s="12" t="str">
        <f>IFERROR(__xludf.DUMMYFUNCTION("""COMPUTED_VALUE"""),"Love this blouse! its so darn cute. the fabric is soft, flows nicely and is just absolutely stunning without being over the top. it falls at the lower part of my hip. the softness of the fabric would make this easy to tuck in. the body of the shirt, sleev"&amp;"es, cuffs and placket are contrasting florals in black and creamy white. the top part is a brownish burgundy color and the flowers/butterflies are embroidered in goldenrod yellow, peach, creamy white, two mauve tones, turquoise and brown. the li")</f>
        <v>Love this blouse! its so darn cute. the fabric is soft, flows nicely and is just absolutely stunning without being over the top. it falls at the lower part of my hip. the softness of the fabric would make this easy to tuck in. the body of the shirt, sleeves, cuffs and placket are contrasting florals in black and creamy white. the top part is a brownish burgundy color and the flowers/butterflies are embroidered in goldenrod yellow, peach, creamy white, two mauve tones, turquoise and brown. the li</v>
      </c>
      <c r="F587" s="13">
        <f>IFERROR(__xludf.DUMMYFUNCTION("""COMPUTED_VALUE"""),5.0)</f>
        <v>5</v>
      </c>
      <c r="G587" s="13">
        <f>IFERROR(__xludf.DUMMYFUNCTION("""COMPUTED_VALUE"""),1.0)</f>
        <v>1</v>
      </c>
      <c r="H587" s="13">
        <f>IFERROR(__xludf.DUMMYFUNCTION("""COMPUTED_VALUE"""),2.0)</f>
        <v>2</v>
      </c>
      <c r="I587" s="13" t="str">
        <f>IFERROR(__xludf.DUMMYFUNCTION("""COMPUTED_VALUE"""),"General")</f>
        <v>General</v>
      </c>
      <c r="J587" s="13" t="str">
        <f>IFERROR(__xludf.DUMMYFUNCTION("""COMPUTED_VALUE"""),"Tops")</f>
        <v>Tops</v>
      </c>
      <c r="K587" s="13" t="str">
        <f>IFERROR(__xludf.DUMMYFUNCTION("""COMPUTED_VALUE"""),"Blouses")</f>
        <v>Blouses</v>
      </c>
      <c r="L587" s="13"/>
    </row>
    <row r="588">
      <c r="A588" s="13">
        <f>IFERROR(__xludf.DUMMYFUNCTION("""COMPUTED_VALUE"""),586.0)</f>
        <v>586</v>
      </c>
      <c r="B588" s="13">
        <f>IFERROR(__xludf.DUMMYFUNCTION("""COMPUTED_VALUE"""),1094.0)</f>
        <v>1094</v>
      </c>
      <c r="C588" s="13">
        <f>IFERROR(__xludf.DUMMYFUNCTION("""COMPUTED_VALUE"""),25.0)</f>
        <v>25</v>
      </c>
      <c r="D588" s="12" t="str">
        <f>IFERROR(__xludf.DUMMYFUNCTION("""COMPUTED_VALUE"""),"Love this dress")</f>
        <v>Love this dress</v>
      </c>
      <c r="E588" s="12" t="str">
        <f>IFERROR(__xludf.DUMMYFUNCTION("""COMPUTED_VALUE"""),"I am 5'3"" 130 and curvy and this dress fit me perfectly. it's great for parties and weddings (depending on how formal). the only reason i gave it four stars is because the fabric is a little strange; the ribbing for the squares is almost like a pillowy f"&amp;"abric, and it feels a little bit on the cheaper side but luckily it doesn't look cheap. nonetheless, i love this dress and would definitely recommend!")</f>
        <v>I am 5'3" 130 and curvy and this dress fit me perfectly. it's great for parties and weddings (depending on how formal). the only reason i gave it four stars is because the fabric is a little strange; the ribbing for the squares is almost like a pillowy fabric, and it feels a little bit on the cheaper side but luckily it doesn't look cheap. nonetheless, i love this dress and would definitely recommend!</v>
      </c>
      <c r="F588" s="13">
        <f>IFERROR(__xludf.DUMMYFUNCTION("""COMPUTED_VALUE"""),4.0)</f>
        <v>4</v>
      </c>
      <c r="G588" s="13">
        <f>IFERROR(__xludf.DUMMYFUNCTION("""COMPUTED_VALUE"""),1.0)</f>
        <v>1</v>
      </c>
      <c r="H588" s="13">
        <f>IFERROR(__xludf.DUMMYFUNCTION("""COMPUTED_VALUE"""),0.0)</f>
        <v>0</v>
      </c>
      <c r="I588" s="13" t="str">
        <f>IFERROR(__xludf.DUMMYFUNCTION("""COMPUTED_VALUE"""),"General")</f>
        <v>General</v>
      </c>
      <c r="J588" s="13" t="str">
        <f>IFERROR(__xludf.DUMMYFUNCTION("""COMPUTED_VALUE"""),"Dresses")</f>
        <v>Dresses</v>
      </c>
      <c r="K588" s="13" t="str">
        <f>IFERROR(__xludf.DUMMYFUNCTION("""COMPUTED_VALUE"""),"Dresses")</f>
        <v>Dresses</v>
      </c>
      <c r="L588" s="13"/>
    </row>
    <row r="589">
      <c r="A589" s="13">
        <f>IFERROR(__xludf.DUMMYFUNCTION("""COMPUTED_VALUE"""),587.0)</f>
        <v>587</v>
      </c>
      <c r="B589" s="13">
        <f>IFERROR(__xludf.DUMMYFUNCTION("""COMPUTED_VALUE"""),1094.0)</f>
        <v>1094</v>
      </c>
      <c r="C589" s="13">
        <f>IFERROR(__xludf.DUMMYFUNCTION("""COMPUTED_VALUE"""),36.0)</f>
        <v>36</v>
      </c>
      <c r="D589" s="12" t="str">
        <f>IFERROR(__xludf.DUMMYFUNCTION("""COMPUTED_VALUE"""),"Classy little dress")</f>
        <v>Classy little dress</v>
      </c>
      <c r="E589" s="12" t="str">
        <f>IFERROR(__xludf.DUMMYFUNCTION("""COMPUTED_VALUE"""),"Love this dress! just wore it last night to an early valentine's dinner. very classy, simple, but gorgeous. i'm a size 2 in just about everything but i always buy a size 4 in retailer dresses because i'm tall (5'9"") and have broad shoulders and a long to"&amp;"rso, and sizing up in dresses works better all around. i am also not busty (32b). i did get this in a 4. this dress was a little awkward at first trying to hook and then zip but once i got that down it worked. the hook is right up under your")</f>
        <v>Love this dress! just wore it last night to an early valentine's dinner. very classy, simple, but gorgeous. i'm a size 2 in just about everything but i always buy a size 4 in retailer dresses because i'm tall (5'9") and have broad shoulders and a long torso, and sizing up in dresses works better all around. i am also not busty (32b). i did get this in a 4. this dress was a little awkward at first trying to hook and then zip but once i got that down it worked. the hook is right up under your</v>
      </c>
      <c r="F589" s="13">
        <f>IFERROR(__xludf.DUMMYFUNCTION("""COMPUTED_VALUE"""),4.0)</f>
        <v>4</v>
      </c>
      <c r="G589" s="13">
        <f>IFERROR(__xludf.DUMMYFUNCTION("""COMPUTED_VALUE"""),1.0)</f>
        <v>1</v>
      </c>
      <c r="H589" s="13">
        <f>IFERROR(__xludf.DUMMYFUNCTION("""COMPUTED_VALUE"""),0.0)</f>
        <v>0</v>
      </c>
      <c r="I589" s="13" t="str">
        <f>IFERROR(__xludf.DUMMYFUNCTION("""COMPUTED_VALUE"""),"General")</f>
        <v>General</v>
      </c>
      <c r="J589" s="13" t="str">
        <f>IFERROR(__xludf.DUMMYFUNCTION("""COMPUTED_VALUE"""),"Dresses")</f>
        <v>Dresses</v>
      </c>
      <c r="K589" s="13" t="str">
        <f>IFERROR(__xludf.DUMMYFUNCTION("""COMPUTED_VALUE"""),"Dresses")</f>
        <v>Dresses</v>
      </c>
      <c r="L589" s="13"/>
    </row>
    <row r="590">
      <c r="A590" s="13">
        <f>IFERROR(__xludf.DUMMYFUNCTION("""COMPUTED_VALUE"""),588.0)</f>
        <v>588</v>
      </c>
      <c r="B590" s="13">
        <f>IFERROR(__xludf.DUMMYFUNCTION("""COMPUTED_VALUE"""),875.0)</f>
        <v>875</v>
      </c>
      <c r="C590" s="13">
        <f>IFERROR(__xludf.DUMMYFUNCTION("""COMPUTED_VALUE"""),46.0)</f>
        <v>46</v>
      </c>
      <c r="D590" s="12" t="str">
        <f>IFERROR(__xludf.DUMMYFUNCTION("""COMPUTED_VALUE"""),"Awkward style")</f>
        <v>Awkward style</v>
      </c>
      <c r="E590" s="12" t="str">
        <f>IFERROR(__xludf.DUMMYFUNCTION("""COMPUTED_VALUE"""),"Fits very strange. odd cut. does not look well on.")</f>
        <v>Fits very strange. odd cut. does not look well on.</v>
      </c>
      <c r="F590" s="13">
        <f>IFERROR(__xludf.DUMMYFUNCTION("""COMPUTED_VALUE"""),2.0)</f>
        <v>2</v>
      </c>
      <c r="G590" s="13">
        <f>IFERROR(__xludf.DUMMYFUNCTION("""COMPUTED_VALUE"""),0.0)</f>
        <v>0</v>
      </c>
      <c r="H590" s="13">
        <f>IFERROR(__xludf.DUMMYFUNCTION("""COMPUTED_VALUE"""),1.0)</f>
        <v>1</v>
      </c>
      <c r="I590" s="13" t="str">
        <f>IFERROR(__xludf.DUMMYFUNCTION("""COMPUTED_VALUE"""),"General")</f>
        <v>General</v>
      </c>
      <c r="J590" s="13" t="str">
        <f>IFERROR(__xludf.DUMMYFUNCTION("""COMPUTED_VALUE"""),"Tops")</f>
        <v>Tops</v>
      </c>
      <c r="K590" s="13" t="str">
        <f>IFERROR(__xludf.DUMMYFUNCTION("""COMPUTED_VALUE"""),"Knits")</f>
        <v>Knits</v>
      </c>
      <c r="L590" s="13"/>
    </row>
    <row r="591">
      <c r="A591" s="13">
        <f>IFERROR(__xludf.DUMMYFUNCTION("""COMPUTED_VALUE"""),589.0)</f>
        <v>589</v>
      </c>
      <c r="B591" s="13">
        <f>IFERROR(__xludf.DUMMYFUNCTION("""COMPUTED_VALUE"""),823.0)</f>
        <v>823</v>
      </c>
      <c r="C591" s="13">
        <f>IFERROR(__xludf.DUMMYFUNCTION("""COMPUTED_VALUE"""),37.0)</f>
        <v>37</v>
      </c>
      <c r="D591" s="12"/>
      <c r="E591" s="12" t="str">
        <f>IFERROR(__xludf.DUMMYFUNCTION("""COMPUTED_VALUE"""),"This is a beautiful top. it extended longer than i had hoped and a petite size was not available, so i ended up returning it. but it is beautiful and the tassels on the sides make it truly unique.")</f>
        <v>This is a beautiful top. it extended longer than i had hoped and a petite size was not available, so i ended up returning it. but it is beautiful and the tassels on the sides make it truly unique.</v>
      </c>
      <c r="F591" s="13">
        <f>IFERROR(__xludf.DUMMYFUNCTION("""COMPUTED_VALUE"""),5.0)</f>
        <v>5</v>
      </c>
      <c r="G591" s="13">
        <f>IFERROR(__xludf.DUMMYFUNCTION("""COMPUTED_VALUE"""),1.0)</f>
        <v>1</v>
      </c>
      <c r="H591" s="13">
        <f>IFERROR(__xludf.DUMMYFUNCTION("""COMPUTED_VALUE"""),1.0)</f>
        <v>1</v>
      </c>
      <c r="I591" s="13" t="str">
        <f>IFERROR(__xludf.DUMMYFUNCTION("""COMPUTED_VALUE"""),"General")</f>
        <v>General</v>
      </c>
      <c r="J591" s="13" t="str">
        <f>IFERROR(__xludf.DUMMYFUNCTION("""COMPUTED_VALUE"""),"Tops")</f>
        <v>Tops</v>
      </c>
      <c r="K591" s="13" t="str">
        <f>IFERROR(__xludf.DUMMYFUNCTION("""COMPUTED_VALUE"""),"Blouses")</f>
        <v>Blouses</v>
      </c>
      <c r="L591" s="13"/>
    </row>
    <row r="592">
      <c r="A592" s="13">
        <f>IFERROR(__xludf.DUMMYFUNCTION("""COMPUTED_VALUE"""),590.0)</f>
        <v>590</v>
      </c>
      <c r="B592" s="13">
        <f>IFERROR(__xludf.DUMMYFUNCTION("""COMPUTED_VALUE"""),835.0)</f>
        <v>835</v>
      </c>
      <c r="C592" s="13">
        <f>IFERROR(__xludf.DUMMYFUNCTION("""COMPUTED_VALUE"""),42.0)</f>
        <v>42</v>
      </c>
      <c r="D592" s="12" t="str">
        <f>IFERROR(__xludf.DUMMYFUNCTION("""COMPUTED_VALUE"""),"Unique piece / boho chic")</f>
        <v>Unique piece / boho chic</v>
      </c>
      <c r="E592" s="12" t="str">
        <f>IFERROR(__xludf.DUMMYFUNCTION("""COMPUTED_VALUE"""),"Love this blouse! i took a chance on ordering it and wasn't sure what i would think. this blouse is fabulous!!! it has a boho-chic flair to it in a sophisticated way. it's one of those ""special"" pieces from retailer; elegant, quirky, sophisticated.
the "&amp;"details are great, too. of course the embroidery is beautiful; but there are a couple more fun details. the cuffs on the sleeve have multiple buttons; so that you can button them tight or just enough to roll the cuff once. when the cuff is r")</f>
        <v>Love this blouse! i took a chance on ordering it and wasn't sure what i would think. this blouse is fabulous!!! it has a boho-chic flair to it in a sophisticated way. it's one of those "special" pieces from retailer; elegant, quirky, sophisticated.
the details are great, too. of course the embroidery is beautiful; but there are a couple more fun details. the cuffs on the sleeve have multiple buttons; so that you can button them tight or just enough to roll the cuff once. when the cuff is r</v>
      </c>
      <c r="F592" s="13">
        <f>IFERROR(__xludf.DUMMYFUNCTION("""COMPUTED_VALUE"""),5.0)</f>
        <v>5</v>
      </c>
      <c r="G592" s="13">
        <f>IFERROR(__xludf.DUMMYFUNCTION("""COMPUTED_VALUE"""),1.0)</f>
        <v>1</v>
      </c>
      <c r="H592" s="13">
        <f>IFERROR(__xludf.DUMMYFUNCTION("""COMPUTED_VALUE"""),1.0)</f>
        <v>1</v>
      </c>
      <c r="I592" s="13" t="str">
        <f>IFERROR(__xludf.DUMMYFUNCTION("""COMPUTED_VALUE"""),"General")</f>
        <v>General</v>
      </c>
      <c r="J592" s="13" t="str">
        <f>IFERROR(__xludf.DUMMYFUNCTION("""COMPUTED_VALUE"""),"Tops")</f>
        <v>Tops</v>
      </c>
      <c r="K592" s="13" t="str">
        <f>IFERROR(__xludf.DUMMYFUNCTION("""COMPUTED_VALUE"""),"Blouses")</f>
        <v>Blouses</v>
      </c>
      <c r="L592" s="13"/>
    </row>
    <row r="593">
      <c r="A593" s="13">
        <f>IFERROR(__xludf.DUMMYFUNCTION("""COMPUTED_VALUE"""),591.0)</f>
        <v>591</v>
      </c>
      <c r="B593" s="13">
        <f>IFERROR(__xludf.DUMMYFUNCTION("""COMPUTED_VALUE"""),833.0)</f>
        <v>833</v>
      </c>
      <c r="C593" s="13">
        <f>IFERROR(__xludf.DUMMYFUNCTION("""COMPUTED_VALUE"""),26.0)</f>
        <v>26</v>
      </c>
      <c r="D593" s="12" t="str">
        <f>IFERROR(__xludf.DUMMYFUNCTION("""COMPUTED_VALUE"""),"My favorite black top.")</f>
        <v>My favorite black top.</v>
      </c>
      <c r="E593" s="12" t="str">
        <f>IFERROR(__xludf.DUMMYFUNCTION("""COMPUTED_VALUE"""),"This is a timeless top. i loved the overall look of the top and after eyeing it for several days decided to purchase it. warning, the shoulder area is cut small due to the fabric at the top. i am usually a size 12 (because of ddd chest) but i bumped up to"&amp;" a 14 and it was perfect.")</f>
        <v>This is a timeless top. i loved the overall look of the top and after eyeing it for several days decided to purchase it. warning, the shoulder area is cut small due to the fabric at the top. i am usually a size 12 (because of ddd chest) but i bumped up to a 14 and it was perfect.</v>
      </c>
      <c r="F593" s="13">
        <f>IFERROR(__xludf.DUMMYFUNCTION("""COMPUTED_VALUE"""),4.0)</f>
        <v>4</v>
      </c>
      <c r="G593" s="13">
        <f>IFERROR(__xludf.DUMMYFUNCTION("""COMPUTED_VALUE"""),1.0)</f>
        <v>1</v>
      </c>
      <c r="H593" s="13">
        <f>IFERROR(__xludf.DUMMYFUNCTION("""COMPUTED_VALUE"""),1.0)</f>
        <v>1</v>
      </c>
      <c r="I593" s="13" t="str">
        <f>IFERROR(__xludf.DUMMYFUNCTION("""COMPUTED_VALUE"""),"General")</f>
        <v>General</v>
      </c>
      <c r="J593" s="13" t="str">
        <f>IFERROR(__xludf.DUMMYFUNCTION("""COMPUTED_VALUE"""),"Tops")</f>
        <v>Tops</v>
      </c>
      <c r="K593" s="13" t="str">
        <f>IFERROR(__xludf.DUMMYFUNCTION("""COMPUTED_VALUE"""),"Blouses")</f>
        <v>Blouses</v>
      </c>
      <c r="L593" s="13"/>
    </row>
    <row r="594">
      <c r="A594" s="13">
        <f>IFERROR(__xludf.DUMMYFUNCTION("""COMPUTED_VALUE"""),592.0)</f>
        <v>592</v>
      </c>
      <c r="B594" s="13">
        <f>IFERROR(__xludf.DUMMYFUNCTION("""COMPUTED_VALUE"""),833.0)</f>
        <v>833</v>
      </c>
      <c r="C594" s="13">
        <f>IFERROR(__xludf.DUMMYFUNCTION("""COMPUTED_VALUE"""),33.0)</f>
        <v>33</v>
      </c>
      <c r="D594" s="12" t="str">
        <f>IFERROR(__xludf.DUMMYFUNCTION("""COMPUTED_VALUE"""),"Super flattering")</f>
        <v>Super flattering</v>
      </c>
      <c r="E594" s="12" t="str">
        <f>IFERROR(__xludf.DUMMYFUNCTION("""COMPUTED_VALUE"""),"Love this top! it is super flattering with a long floaty body. i usually wear a 4 but sized up to a 6 due to the reviews and am happy with it but think a 4 would have fit as well.")</f>
        <v>Love this top! it is super flattering with a long floaty body. i usually wear a 4 but sized up to a 6 due to the reviews and am happy with it but think a 4 would have fit as well.</v>
      </c>
      <c r="F594" s="13">
        <f>IFERROR(__xludf.DUMMYFUNCTION("""COMPUTED_VALUE"""),5.0)</f>
        <v>5</v>
      </c>
      <c r="G594" s="13">
        <f>IFERROR(__xludf.DUMMYFUNCTION("""COMPUTED_VALUE"""),1.0)</f>
        <v>1</v>
      </c>
      <c r="H594" s="13">
        <f>IFERROR(__xludf.DUMMYFUNCTION("""COMPUTED_VALUE"""),2.0)</f>
        <v>2</v>
      </c>
      <c r="I594" s="13" t="str">
        <f>IFERROR(__xludf.DUMMYFUNCTION("""COMPUTED_VALUE"""),"General")</f>
        <v>General</v>
      </c>
      <c r="J594" s="13" t="str">
        <f>IFERROR(__xludf.DUMMYFUNCTION("""COMPUTED_VALUE"""),"Tops")</f>
        <v>Tops</v>
      </c>
      <c r="K594" s="13" t="str">
        <f>IFERROR(__xludf.DUMMYFUNCTION("""COMPUTED_VALUE"""),"Blouses")</f>
        <v>Blouses</v>
      </c>
      <c r="L594" s="13"/>
    </row>
    <row r="595">
      <c r="A595" s="13">
        <f>IFERROR(__xludf.DUMMYFUNCTION("""COMPUTED_VALUE"""),593.0)</f>
        <v>593</v>
      </c>
      <c r="B595" s="13">
        <f>IFERROR(__xludf.DUMMYFUNCTION("""COMPUTED_VALUE"""),820.0)</f>
        <v>820</v>
      </c>
      <c r="C595" s="13">
        <f>IFERROR(__xludf.DUMMYFUNCTION("""COMPUTED_VALUE"""),52.0)</f>
        <v>52</v>
      </c>
      <c r="D595" s="12" t="str">
        <f>IFERROR(__xludf.DUMMYFUNCTION("""COMPUTED_VALUE"""),"Pretty tank")</f>
        <v>Pretty tank</v>
      </c>
      <c r="E595" s="12" t="str">
        <f>IFERROR(__xludf.DUMMYFUNCTION("""COMPUTED_VALUE"""),"Love tanks and this one is sweet and flowy. great with jeans/shorts or slacks with a jacket for the office. beautiful yellow floral with fun straps in the back that you can wear with a bra. front neckline is cut narrow so bra straps show but with nude or "&amp;"plastic straps it's not that big a deal.")</f>
        <v>Love tanks and this one is sweet and flowy. great with jeans/shorts or slacks with a jacket for the office. beautiful yellow floral with fun straps in the back that you can wear with a bra. front neckline is cut narrow so bra straps show but with nude or plastic straps it's not that big a deal.</v>
      </c>
      <c r="F595" s="13">
        <f>IFERROR(__xludf.DUMMYFUNCTION("""COMPUTED_VALUE"""),5.0)</f>
        <v>5</v>
      </c>
      <c r="G595" s="13">
        <f>IFERROR(__xludf.DUMMYFUNCTION("""COMPUTED_VALUE"""),1.0)</f>
        <v>1</v>
      </c>
      <c r="H595" s="13">
        <f>IFERROR(__xludf.DUMMYFUNCTION("""COMPUTED_VALUE"""),0.0)</f>
        <v>0</v>
      </c>
      <c r="I595" s="13" t="str">
        <f>IFERROR(__xludf.DUMMYFUNCTION("""COMPUTED_VALUE"""),"General")</f>
        <v>General</v>
      </c>
      <c r="J595" s="13" t="str">
        <f>IFERROR(__xludf.DUMMYFUNCTION("""COMPUTED_VALUE"""),"Tops")</f>
        <v>Tops</v>
      </c>
      <c r="K595" s="13" t="str">
        <f>IFERROR(__xludf.DUMMYFUNCTION("""COMPUTED_VALUE"""),"Blouses")</f>
        <v>Blouses</v>
      </c>
      <c r="L595" s="13"/>
    </row>
    <row r="596">
      <c r="A596" s="13">
        <f>IFERROR(__xludf.DUMMYFUNCTION("""COMPUTED_VALUE"""),594.0)</f>
        <v>594</v>
      </c>
      <c r="B596" s="13">
        <f>IFERROR(__xludf.DUMMYFUNCTION("""COMPUTED_VALUE"""),835.0)</f>
        <v>835</v>
      </c>
      <c r="C596" s="13">
        <f>IFERROR(__xludf.DUMMYFUNCTION("""COMPUTED_VALUE"""),41.0)</f>
        <v>41</v>
      </c>
      <c r="D596" s="12" t="str">
        <f>IFERROR(__xludf.DUMMYFUNCTION("""COMPUTED_VALUE"""),"Different than the rest !!!")</f>
        <v>Different than the rest !!!</v>
      </c>
      <c r="E596" s="12" t="str">
        <f>IFERROR(__xludf.DUMMYFUNCTION("""COMPUTED_VALUE"""),"This is truly unique top, the  detail around the neck is a nice change!!!")</f>
        <v>This is truly unique top, the  detail around the neck is a nice change!!!</v>
      </c>
      <c r="F596" s="13">
        <f>IFERROR(__xludf.DUMMYFUNCTION("""COMPUTED_VALUE"""),5.0)</f>
        <v>5</v>
      </c>
      <c r="G596" s="13">
        <f>IFERROR(__xludf.DUMMYFUNCTION("""COMPUTED_VALUE"""),1.0)</f>
        <v>1</v>
      </c>
      <c r="H596" s="13">
        <f>IFERROR(__xludf.DUMMYFUNCTION("""COMPUTED_VALUE"""),0.0)</f>
        <v>0</v>
      </c>
      <c r="I596" s="13" t="str">
        <f>IFERROR(__xludf.DUMMYFUNCTION("""COMPUTED_VALUE"""),"General")</f>
        <v>General</v>
      </c>
      <c r="J596" s="13" t="str">
        <f>IFERROR(__xludf.DUMMYFUNCTION("""COMPUTED_VALUE"""),"Tops")</f>
        <v>Tops</v>
      </c>
      <c r="K596" s="13" t="str">
        <f>IFERROR(__xludf.DUMMYFUNCTION("""COMPUTED_VALUE"""),"Blouses")</f>
        <v>Blouses</v>
      </c>
      <c r="L596" s="13"/>
    </row>
    <row r="597">
      <c r="A597" s="13">
        <f>IFERROR(__xludf.DUMMYFUNCTION("""COMPUTED_VALUE"""),595.0)</f>
        <v>595</v>
      </c>
      <c r="B597" s="13">
        <f>IFERROR(__xludf.DUMMYFUNCTION("""COMPUTED_VALUE"""),1060.0)</f>
        <v>1060</v>
      </c>
      <c r="C597" s="13">
        <f>IFERROR(__xludf.DUMMYFUNCTION("""COMPUTED_VALUE"""),25.0)</f>
        <v>25</v>
      </c>
      <c r="D597" s="12" t="str">
        <f>IFERROR(__xludf.DUMMYFUNCTION("""COMPUTED_VALUE"""),"Slimmingly perfect!")</f>
        <v>Slimmingly perfect!</v>
      </c>
      <c r="E597" s="12" t="str">
        <f>IFERROR(__xludf.DUMMYFUNCTION("""COMPUTED_VALUE"""),"I am 5'2"" 125 pounds and i bought the 4p. the fabric is high quality and does not cling at all but instead drapes and in a very flattering way. add that to the cut of this jumpsuit and you have elongating, very flattering lines. i could not be more pleas"&amp;"ed and regret not having bought this item earlier, since i would have enjoyed wearing it during the holidays. as other reviewers said, it is adorable and a winner.")</f>
        <v>I am 5'2" 125 pounds and i bought the 4p. the fabric is high quality and does not cling at all but instead drapes and in a very flattering way. add that to the cut of this jumpsuit and you have elongating, very flattering lines. i could not be more pleased and regret not having bought this item earlier, since i would have enjoyed wearing it during the holidays. as other reviewers said, it is adorable and a winner.</v>
      </c>
      <c r="F597" s="13">
        <f>IFERROR(__xludf.DUMMYFUNCTION("""COMPUTED_VALUE"""),5.0)</f>
        <v>5</v>
      </c>
      <c r="G597" s="13">
        <f>IFERROR(__xludf.DUMMYFUNCTION("""COMPUTED_VALUE"""),1.0)</f>
        <v>1</v>
      </c>
      <c r="H597" s="13">
        <f>IFERROR(__xludf.DUMMYFUNCTION("""COMPUTED_VALUE"""),0.0)</f>
        <v>0</v>
      </c>
      <c r="I597" s="13" t="str">
        <f>IFERROR(__xludf.DUMMYFUNCTION("""COMPUTED_VALUE"""),"General")</f>
        <v>General</v>
      </c>
      <c r="J597" s="13" t="str">
        <f>IFERROR(__xludf.DUMMYFUNCTION("""COMPUTED_VALUE"""),"Bottoms")</f>
        <v>Bottoms</v>
      </c>
      <c r="K597" s="13" t="str">
        <f>IFERROR(__xludf.DUMMYFUNCTION("""COMPUTED_VALUE"""),"Pants")</f>
        <v>Pants</v>
      </c>
      <c r="L597" s="13"/>
    </row>
    <row r="598">
      <c r="A598" s="13">
        <f>IFERROR(__xludf.DUMMYFUNCTION("""COMPUTED_VALUE"""),596.0)</f>
        <v>596</v>
      </c>
      <c r="B598" s="13">
        <f>IFERROR(__xludf.DUMMYFUNCTION("""COMPUTED_VALUE"""),1037.0)</f>
        <v>1037</v>
      </c>
      <c r="C598" s="13">
        <f>IFERROR(__xludf.DUMMYFUNCTION("""COMPUTED_VALUE"""),47.0)</f>
        <v>47</v>
      </c>
      <c r="D598" s="12" t="str">
        <f>IFERROR(__xludf.DUMMYFUNCTION("""COMPUTED_VALUE"""),"Too bad!")</f>
        <v>Too bad!</v>
      </c>
      <c r="E598" s="12" t="str">
        <f>IFERROR(__xludf.DUMMYFUNCTION("""COMPUTED_VALUE"""),"Very nice fabric but disappointed in the stitching on the knees. it looks nice but makes the pants very uncomfortable and tight around the knees. too bad because i love the style and hoped they would work!")</f>
        <v>Very nice fabric but disappointed in the stitching on the knees. it looks nice but makes the pants very uncomfortable and tight around the knees. too bad because i love the style and hoped they would work!</v>
      </c>
      <c r="F598" s="13">
        <f>IFERROR(__xludf.DUMMYFUNCTION("""COMPUTED_VALUE"""),3.0)</f>
        <v>3</v>
      </c>
      <c r="G598" s="13">
        <f>IFERROR(__xludf.DUMMYFUNCTION("""COMPUTED_VALUE"""),1.0)</f>
        <v>1</v>
      </c>
      <c r="H598" s="13">
        <f>IFERROR(__xludf.DUMMYFUNCTION("""COMPUTED_VALUE"""),0.0)</f>
        <v>0</v>
      </c>
      <c r="I598" s="13" t="str">
        <f>IFERROR(__xludf.DUMMYFUNCTION("""COMPUTED_VALUE"""),"General")</f>
        <v>General</v>
      </c>
      <c r="J598" s="13" t="str">
        <f>IFERROR(__xludf.DUMMYFUNCTION("""COMPUTED_VALUE"""),"Bottoms")</f>
        <v>Bottoms</v>
      </c>
      <c r="K598" s="13" t="str">
        <f>IFERROR(__xludf.DUMMYFUNCTION("""COMPUTED_VALUE"""),"Jeans")</f>
        <v>Jeans</v>
      </c>
      <c r="L598" s="13"/>
    </row>
    <row r="599">
      <c r="A599" s="13">
        <f>IFERROR(__xludf.DUMMYFUNCTION("""COMPUTED_VALUE"""),597.0)</f>
        <v>597</v>
      </c>
      <c r="B599" s="13">
        <f>IFERROR(__xludf.DUMMYFUNCTION("""COMPUTED_VALUE"""),820.0)</f>
        <v>820</v>
      </c>
      <c r="C599" s="13">
        <f>IFERROR(__xludf.DUMMYFUNCTION("""COMPUTED_VALUE"""),24.0)</f>
        <v>24</v>
      </c>
      <c r="D599" s="12" t="str">
        <f>IFERROR(__xludf.DUMMYFUNCTION("""COMPUTED_VALUE"""),"Very cute, snug fit")</f>
        <v>Very cute, snug fit</v>
      </c>
      <c r="E599" s="12" t="str">
        <f>IFERROR(__xludf.DUMMYFUNCTION("""COMPUTED_VALUE"""),"Very cute flowy fit. i am generally a size small, 32-d chest. because the material has no give it fits perfectly (just barely) if it was any smaller or i was any larger it would be too small. very cute design.")</f>
        <v>Very cute flowy fit. i am generally a size small, 32-d chest. because the material has no give it fits perfectly (just barely) if it was any smaller or i was any larger it would be too small. very cute design.</v>
      </c>
      <c r="F599" s="13">
        <f>IFERROR(__xludf.DUMMYFUNCTION("""COMPUTED_VALUE"""),4.0)</f>
        <v>4</v>
      </c>
      <c r="G599" s="13">
        <f>IFERROR(__xludf.DUMMYFUNCTION("""COMPUTED_VALUE"""),1.0)</f>
        <v>1</v>
      </c>
      <c r="H599" s="13">
        <f>IFERROR(__xludf.DUMMYFUNCTION("""COMPUTED_VALUE"""),0.0)</f>
        <v>0</v>
      </c>
      <c r="I599" s="13" t="str">
        <f>IFERROR(__xludf.DUMMYFUNCTION("""COMPUTED_VALUE"""),"General")</f>
        <v>General</v>
      </c>
      <c r="J599" s="13" t="str">
        <f>IFERROR(__xludf.DUMMYFUNCTION("""COMPUTED_VALUE"""),"Tops")</f>
        <v>Tops</v>
      </c>
      <c r="K599" s="13" t="str">
        <f>IFERROR(__xludf.DUMMYFUNCTION("""COMPUTED_VALUE"""),"Blouses")</f>
        <v>Blouses</v>
      </c>
      <c r="L599" s="13"/>
    </row>
    <row r="600">
      <c r="A600" s="13">
        <f>IFERROR(__xludf.DUMMYFUNCTION("""COMPUTED_VALUE"""),598.0)</f>
        <v>598</v>
      </c>
      <c r="B600" s="13">
        <f>IFERROR(__xludf.DUMMYFUNCTION("""COMPUTED_VALUE"""),1079.0)</f>
        <v>1079</v>
      </c>
      <c r="C600" s="13">
        <f>IFERROR(__xludf.DUMMYFUNCTION("""COMPUTED_VALUE"""),32.0)</f>
        <v>32</v>
      </c>
      <c r="D600" s="12"/>
      <c r="E600" s="12" t="str">
        <f>IFERROR(__xludf.DUMMYFUNCTION("""COMPUTED_VALUE"""),"My store had this and i was so intrigued with its nearly $400 price tag that i decided to play dress up. the colors in person match the colors online, so that was nice to see consistency. overall though, i feel like a dress of that price would need to mak"&amp;"e me feel like a million bucks, which it did not. most items that fit my slender frame are too short, and this was no exception. the xs fit but i wouldn't be doing much moving, walking or dancing in this dress, which brings me to the question of")</f>
        <v>My store had this and i was so intrigued with its nearly $400 price tag that i decided to play dress up. the colors in person match the colors online, so that was nice to see consistency. overall though, i feel like a dress of that price would need to make me feel like a million bucks, which it did not. most items that fit my slender frame are too short, and this was no exception. the xs fit but i wouldn't be doing much moving, walking or dancing in this dress, which brings me to the question of</v>
      </c>
      <c r="F600" s="13">
        <f>IFERROR(__xludf.DUMMYFUNCTION("""COMPUTED_VALUE"""),3.0)</f>
        <v>3</v>
      </c>
      <c r="G600" s="13">
        <f>IFERROR(__xludf.DUMMYFUNCTION("""COMPUTED_VALUE"""),0.0)</f>
        <v>0</v>
      </c>
      <c r="H600" s="13">
        <f>IFERROR(__xludf.DUMMYFUNCTION("""COMPUTED_VALUE"""),5.0)</f>
        <v>5</v>
      </c>
      <c r="I600" s="13" t="str">
        <f>IFERROR(__xludf.DUMMYFUNCTION("""COMPUTED_VALUE"""),"General")</f>
        <v>General</v>
      </c>
      <c r="J600" s="13" t="str">
        <f>IFERROR(__xludf.DUMMYFUNCTION("""COMPUTED_VALUE"""),"Dresses")</f>
        <v>Dresses</v>
      </c>
      <c r="K600" s="13" t="str">
        <f>IFERROR(__xludf.DUMMYFUNCTION("""COMPUTED_VALUE"""),"Dresses")</f>
        <v>Dresses</v>
      </c>
      <c r="L600" s="13"/>
    </row>
    <row r="601">
      <c r="A601" s="13">
        <f>IFERROR(__xludf.DUMMYFUNCTION("""COMPUTED_VALUE"""),599.0)</f>
        <v>599</v>
      </c>
      <c r="B601" s="13">
        <f>IFERROR(__xludf.DUMMYFUNCTION("""COMPUTED_VALUE"""),1060.0)</f>
        <v>1060</v>
      </c>
      <c r="C601" s="13">
        <f>IFERROR(__xludf.DUMMYFUNCTION("""COMPUTED_VALUE"""),44.0)</f>
        <v>44</v>
      </c>
      <c r="D601" s="12" t="str">
        <f>IFERROR(__xludf.DUMMYFUNCTION("""COMPUTED_VALUE"""),"Surprisingly retro-adorable")</f>
        <v>Surprisingly retro-adorable</v>
      </c>
      <c r="E601" s="12" t="str">
        <f>IFERROR(__xludf.DUMMYFUNCTION("""COMPUTED_VALUE"""),"I saw this online and thought, hmm, no. then saw it in the store, touched it, and the fabric felt so soft. i am normally an 8 petite in cartonnier, but the only sizes available were 4 and 2 regulars in-store. the 4 just looked promising. i thought i'd try"&amp;" it on for laughs. but it is soooo cute i ended up taking it home. the 4 regular fits perfectly on my curvy on the bottom, 5'2, 145 lb figure. my measurements are 34(b)-29-38, and i was shocked how well this fits in a 4 regular! perfect length a")</f>
        <v>I saw this online and thought, hmm, no. then saw it in the store, touched it, and the fabric felt so soft. i am normally an 8 petite in cartonnier, but the only sizes available were 4 and 2 regulars in-store. the 4 just looked promising. i thought i'd try it on for laughs. but it is soooo cute i ended up taking it home. the 4 regular fits perfectly on my curvy on the bottom, 5'2, 145 lb figure. my measurements are 34(b)-29-38, and i was shocked how well this fits in a 4 regular! perfect length a</v>
      </c>
      <c r="F601" s="13">
        <f>IFERROR(__xludf.DUMMYFUNCTION("""COMPUTED_VALUE"""),4.0)</f>
        <v>4</v>
      </c>
      <c r="G601" s="13">
        <f>IFERROR(__xludf.DUMMYFUNCTION("""COMPUTED_VALUE"""),1.0)</f>
        <v>1</v>
      </c>
      <c r="H601" s="13">
        <f>IFERROR(__xludf.DUMMYFUNCTION("""COMPUTED_VALUE"""),1.0)</f>
        <v>1</v>
      </c>
      <c r="I601" s="13" t="str">
        <f>IFERROR(__xludf.DUMMYFUNCTION("""COMPUTED_VALUE"""),"General")</f>
        <v>General</v>
      </c>
      <c r="J601" s="13" t="str">
        <f>IFERROR(__xludf.DUMMYFUNCTION("""COMPUTED_VALUE"""),"Bottoms")</f>
        <v>Bottoms</v>
      </c>
      <c r="K601" s="13" t="str">
        <f>IFERROR(__xludf.DUMMYFUNCTION("""COMPUTED_VALUE"""),"Pants")</f>
        <v>Pants</v>
      </c>
      <c r="L601" s="13"/>
    </row>
    <row r="602">
      <c r="A602" s="13">
        <f>IFERROR(__xludf.DUMMYFUNCTION("""COMPUTED_VALUE"""),600.0)</f>
        <v>600</v>
      </c>
      <c r="B602" s="13">
        <f>IFERROR(__xludf.DUMMYFUNCTION("""COMPUTED_VALUE"""),875.0)</f>
        <v>875</v>
      </c>
      <c r="C602" s="13">
        <f>IFERROR(__xludf.DUMMYFUNCTION("""COMPUTED_VALUE"""),66.0)</f>
        <v>66</v>
      </c>
      <c r="D602" s="12" t="str">
        <f>IFERROR(__xludf.DUMMYFUNCTION("""COMPUTED_VALUE"""),"Love")</f>
        <v>Love</v>
      </c>
      <c r="E602" s="12" t="str">
        <f>IFERROR(__xludf.DUMMYFUNCTION("""COMPUTED_VALUE"""),"Great little transitional piece. i bought the blk/blk floral one &amp; it's not your usual top. sort of quirky &amp; one of a kind looking. i think it's crazy comfortable &amp; i just love it! even its a bit chilly outdoors, toss on a scarf round one's neck &amp; head on"&amp;" out. not the kind of top you'd wear with a jacket.")</f>
        <v>Great little transitional piece. i bought the blk/blk floral one &amp; it's not your usual top. sort of quirky &amp; one of a kind looking. i think it's crazy comfortable &amp; i just love it! even its a bit chilly outdoors, toss on a scarf round one's neck &amp; head on out. not the kind of top you'd wear with a jacket.</v>
      </c>
      <c r="F602" s="13">
        <f>IFERROR(__xludf.DUMMYFUNCTION("""COMPUTED_VALUE"""),5.0)</f>
        <v>5</v>
      </c>
      <c r="G602" s="13">
        <f>IFERROR(__xludf.DUMMYFUNCTION("""COMPUTED_VALUE"""),1.0)</f>
        <v>1</v>
      </c>
      <c r="H602" s="13">
        <f>IFERROR(__xludf.DUMMYFUNCTION("""COMPUTED_VALUE"""),2.0)</f>
        <v>2</v>
      </c>
      <c r="I602" s="13" t="str">
        <f>IFERROR(__xludf.DUMMYFUNCTION("""COMPUTED_VALUE"""),"General")</f>
        <v>General</v>
      </c>
      <c r="J602" s="13" t="str">
        <f>IFERROR(__xludf.DUMMYFUNCTION("""COMPUTED_VALUE"""),"Tops")</f>
        <v>Tops</v>
      </c>
      <c r="K602" s="13" t="str">
        <f>IFERROR(__xludf.DUMMYFUNCTION("""COMPUTED_VALUE"""),"Knits")</f>
        <v>Knits</v>
      </c>
      <c r="L602" s="13"/>
    </row>
    <row r="603">
      <c r="A603" s="13">
        <f>IFERROR(__xludf.DUMMYFUNCTION("""COMPUTED_VALUE"""),601.0)</f>
        <v>601</v>
      </c>
      <c r="B603" s="13">
        <f>IFERROR(__xludf.DUMMYFUNCTION("""COMPUTED_VALUE"""),835.0)</f>
        <v>835</v>
      </c>
      <c r="C603" s="13">
        <f>IFERROR(__xludf.DUMMYFUNCTION("""COMPUTED_VALUE"""),64.0)</f>
        <v>64</v>
      </c>
      <c r="D603" s="12" t="str">
        <f>IFERROR(__xludf.DUMMYFUNCTION("""COMPUTED_VALUE"""),"Western look")</f>
        <v>Western look</v>
      </c>
      <c r="E603" s="12" t="str">
        <f>IFERROR(__xludf.DUMMYFUNCTION("""COMPUTED_VALUE"""),"This top has a western look with lots of black and some burgundy shades.  it is very cute and the fabric is soft.")</f>
        <v>This top has a western look with lots of black and some burgundy shades.  it is very cute and the fabric is soft.</v>
      </c>
      <c r="F603" s="13">
        <f>IFERROR(__xludf.DUMMYFUNCTION("""COMPUTED_VALUE"""),5.0)</f>
        <v>5</v>
      </c>
      <c r="G603" s="13">
        <f>IFERROR(__xludf.DUMMYFUNCTION("""COMPUTED_VALUE"""),1.0)</f>
        <v>1</v>
      </c>
      <c r="H603" s="13">
        <f>IFERROR(__xludf.DUMMYFUNCTION("""COMPUTED_VALUE"""),1.0)</f>
        <v>1</v>
      </c>
      <c r="I603" s="13" t="str">
        <f>IFERROR(__xludf.DUMMYFUNCTION("""COMPUTED_VALUE"""),"General")</f>
        <v>General</v>
      </c>
      <c r="J603" s="13" t="str">
        <f>IFERROR(__xludf.DUMMYFUNCTION("""COMPUTED_VALUE"""),"Tops")</f>
        <v>Tops</v>
      </c>
      <c r="K603" s="13" t="str">
        <f>IFERROR(__xludf.DUMMYFUNCTION("""COMPUTED_VALUE"""),"Blouses")</f>
        <v>Blouses</v>
      </c>
      <c r="L603" s="13"/>
    </row>
    <row r="604">
      <c r="A604" s="13">
        <f>IFERROR(__xludf.DUMMYFUNCTION("""COMPUTED_VALUE"""),602.0)</f>
        <v>602</v>
      </c>
      <c r="B604" s="13">
        <f>IFERROR(__xludf.DUMMYFUNCTION("""COMPUTED_VALUE"""),1078.0)</f>
        <v>1078</v>
      </c>
      <c r="C604" s="13">
        <f>IFERROR(__xludf.DUMMYFUNCTION("""COMPUTED_VALUE"""),39.0)</f>
        <v>39</v>
      </c>
      <c r="D604" s="12" t="str">
        <f>IFERROR(__xludf.DUMMYFUNCTION("""COMPUTED_VALUE"""),"Gorgeous quality knit")</f>
        <v>Gorgeous quality knit</v>
      </c>
      <c r="E604" s="12" t="str">
        <f>IFERROR(__xludf.DUMMYFUNCTION("""COMPUTED_VALUE"""),"I was lucky enough to get a hold of this intarsia sweater dress after the sale and i wish i had purchased this the first time round. it is absolutely stunning, flattering, comfortable and unique! i am 5'3"" and the regular hem fit me just fine at the ankl"&amp;"es. i think this dress runs both tts to a bit large so i would size down if your small framed and stay your usual if your busty or broad shouldered. perfectly complements my taupe booties that i already owned and a my taupe maxi sweater that has")</f>
        <v>I was lucky enough to get a hold of this intarsia sweater dress after the sale and i wish i had purchased this the first time round. it is absolutely stunning, flattering, comfortable and unique! i am 5'3" and the regular hem fit me just fine at the ankles. i think this dress runs both tts to a bit large so i would size down if your small framed and stay your usual if your busty or broad shouldered. perfectly complements my taupe booties that i already owned and a my taupe maxi sweater that has</v>
      </c>
      <c r="F604" s="13">
        <f>IFERROR(__xludf.DUMMYFUNCTION("""COMPUTED_VALUE"""),5.0)</f>
        <v>5</v>
      </c>
      <c r="G604" s="13">
        <f>IFERROR(__xludf.DUMMYFUNCTION("""COMPUTED_VALUE"""),1.0)</f>
        <v>1</v>
      </c>
      <c r="H604" s="13">
        <f>IFERROR(__xludf.DUMMYFUNCTION("""COMPUTED_VALUE"""),0.0)</f>
        <v>0</v>
      </c>
      <c r="I604" s="13" t="str">
        <f>IFERROR(__xludf.DUMMYFUNCTION("""COMPUTED_VALUE"""),"General Petite")</f>
        <v>General Petite</v>
      </c>
      <c r="J604" s="13" t="str">
        <f>IFERROR(__xludf.DUMMYFUNCTION("""COMPUTED_VALUE"""),"Dresses")</f>
        <v>Dresses</v>
      </c>
      <c r="K604" s="13" t="str">
        <f>IFERROR(__xludf.DUMMYFUNCTION("""COMPUTED_VALUE"""),"Dresses")</f>
        <v>Dresses</v>
      </c>
      <c r="L604" s="13"/>
    </row>
    <row r="605">
      <c r="A605" s="13">
        <f>IFERROR(__xludf.DUMMYFUNCTION("""COMPUTED_VALUE"""),603.0)</f>
        <v>603</v>
      </c>
      <c r="B605" s="13">
        <f>IFERROR(__xludf.DUMMYFUNCTION("""COMPUTED_VALUE"""),1037.0)</f>
        <v>1037</v>
      </c>
      <c r="C605" s="13">
        <f>IFERROR(__xludf.DUMMYFUNCTION("""COMPUTED_VALUE"""),42.0)</f>
        <v>42</v>
      </c>
      <c r="D605" s="12" t="str">
        <f>IFERROR(__xludf.DUMMYFUNCTION("""COMPUTED_VALUE"""),"Wanted to love, but sadly will return.")</f>
        <v>Wanted to love, but sadly will return.</v>
      </c>
      <c r="E605" s="12" t="str">
        <f>IFERROR(__xludf.DUMMYFUNCTION("""COMPUTED_VALUE"""),"These run very small!! they are also short, almost like a crop pant. the fit was so weird that i won't even exchange for a bigger size.")</f>
        <v>These run very small!! they are also short, almost like a crop pant. the fit was so weird that i won't even exchange for a bigger size.</v>
      </c>
      <c r="F605" s="13">
        <f>IFERROR(__xludf.DUMMYFUNCTION("""COMPUTED_VALUE"""),1.0)</f>
        <v>1</v>
      </c>
      <c r="G605" s="13">
        <f>IFERROR(__xludf.DUMMYFUNCTION("""COMPUTED_VALUE"""),0.0)</f>
        <v>0</v>
      </c>
      <c r="H605" s="13">
        <f>IFERROR(__xludf.DUMMYFUNCTION("""COMPUTED_VALUE"""),1.0)</f>
        <v>1</v>
      </c>
      <c r="I605" s="13" t="str">
        <f>IFERROR(__xludf.DUMMYFUNCTION("""COMPUTED_VALUE"""),"General")</f>
        <v>General</v>
      </c>
      <c r="J605" s="13" t="str">
        <f>IFERROR(__xludf.DUMMYFUNCTION("""COMPUTED_VALUE"""),"Bottoms")</f>
        <v>Bottoms</v>
      </c>
      <c r="K605" s="13" t="str">
        <f>IFERROR(__xludf.DUMMYFUNCTION("""COMPUTED_VALUE"""),"Jeans")</f>
        <v>Jeans</v>
      </c>
      <c r="L605" s="13"/>
    </row>
    <row r="606">
      <c r="A606" s="13">
        <f>IFERROR(__xludf.DUMMYFUNCTION("""COMPUTED_VALUE"""),604.0)</f>
        <v>604</v>
      </c>
      <c r="B606" s="13">
        <f>IFERROR(__xludf.DUMMYFUNCTION("""COMPUTED_VALUE"""),820.0)</f>
        <v>820</v>
      </c>
      <c r="C606" s="13">
        <f>IFERROR(__xludf.DUMMYFUNCTION("""COMPUTED_VALUE"""),35.0)</f>
        <v>35</v>
      </c>
      <c r="D606" s="12" t="str">
        <f>IFERROR(__xludf.DUMMYFUNCTION("""COMPUTED_VALUE"""),"Great top!!")</f>
        <v>Great top!!</v>
      </c>
      <c r="E606" s="12" t="str">
        <f>IFERROR(__xludf.DUMMYFUNCTION("""COMPUTED_VALUE"""),"I purchased this top in a great sale! fits great,true to size i am xsmall-small for reference, purchased small. i ended up putting a bandeau bra on with it to feel more comfortable. it would be great in the fall with a cardigan/ sweater, or a blazer. supe"&amp;"r cute to wear alone in summer with jeans!!")</f>
        <v>I purchased this top in a great sale! fits great,true to size i am xsmall-small for reference, purchased small. i ended up putting a bandeau bra on with it to feel more comfortable. it would be great in the fall with a cardigan/ sweater, or a blazer. super cute to wear alone in summer with jeans!!</v>
      </c>
      <c r="F606" s="13">
        <f>IFERROR(__xludf.DUMMYFUNCTION("""COMPUTED_VALUE"""),5.0)</f>
        <v>5</v>
      </c>
      <c r="G606" s="13">
        <f>IFERROR(__xludf.DUMMYFUNCTION("""COMPUTED_VALUE"""),1.0)</f>
        <v>1</v>
      </c>
      <c r="H606" s="13">
        <f>IFERROR(__xludf.DUMMYFUNCTION("""COMPUTED_VALUE"""),0.0)</f>
        <v>0</v>
      </c>
      <c r="I606" s="13" t="str">
        <f>IFERROR(__xludf.DUMMYFUNCTION("""COMPUTED_VALUE"""),"General")</f>
        <v>General</v>
      </c>
      <c r="J606" s="13" t="str">
        <f>IFERROR(__xludf.DUMMYFUNCTION("""COMPUTED_VALUE"""),"Tops")</f>
        <v>Tops</v>
      </c>
      <c r="K606" s="13" t="str">
        <f>IFERROR(__xludf.DUMMYFUNCTION("""COMPUTED_VALUE"""),"Blouses")</f>
        <v>Blouses</v>
      </c>
      <c r="L606" s="13"/>
    </row>
    <row r="607">
      <c r="A607" s="13">
        <f>IFERROR(__xludf.DUMMYFUNCTION("""COMPUTED_VALUE"""),605.0)</f>
        <v>605</v>
      </c>
      <c r="B607" s="13">
        <f>IFERROR(__xludf.DUMMYFUNCTION("""COMPUTED_VALUE"""),1072.0)</f>
        <v>1072</v>
      </c>
      <c r="C607" s="13">
        <f>IFERROR(__xludf.DUMMYFUNCTION("""COMPUTED_VALUE"""),59.0)</f>
        <v>59</v>
      </c>
      <c r="D607" s="12" t="str">
        <f>IFERROR(__xludf.DUMMYFUNCTION("""COMPUTED_VALUE"""),"Lovely but smells like last purchaser's deodorant.")</f>
        <v>Lovely but smells like last purchaser's deodorant.</v>
      </c>
      <c r="E607" s="12" t="str">
        <f>IFERROR(__xludf.DUMMYFUNCTION("""COMPUTED_VALUE"""),"I am returning the dress because it smells heavily of the last purchaser's deodorant and perfume. it was actually nauseating to put on. i am disappointed with retailer that i was sold this dress, full price, in this condition. otherwise, the dress is love"&amp;"ly. it is true to size. i am 5'5"" 110 lbs and the size 0 was perfect.")</f>
        <v>I am returning the dress because it smells heavily of the last purchaser's deodorant and perfume. it was actually nauseating to put on. i am disappointed with retailer that i was sold this dress, full price, in this condition. otherwise, the dress is lovely. it is true to size. i am 5'5" 110 lbs and the size 0 was perfect.</v>
      </c>
      <c r="F607" s="13">
        <f>IFERROR(__xludf.DUMMYFUNCTION("""COMPUTED_VALUE"""),5.0)</f>
        <v>5</v>
      </c>
      <c r="G607" s="13">
        <f>IFERROR(__xludf.DUMMYFUNCTION("""COMPUTED_VALUE"""),1.0)</f>
        <v>1</v>
      </c>
      <c r="H607" s="13">
        <f>IFERROR(__xludf.DUMMYFUNCTION("""COMPUTED_VALUE"""),0.0)</f>
        <v>0</v>
      </c>
      <c r="I607" s="13" t="str">
        <f>IFERROR(__xludf.DUMMYFUNCTION("""COMPUTED_VALUE"""),"General")</f>
        <v>General</v>
      </c>
      <c r="J607" s="13" t="str">
        <f>IFERROR(__xludf.DUMMYFUNCTION("""COMPUTED_VALUE"""),"Dresses")</f>
        <v>Dresses</v>
      </c>
      <c r="K607" s="13" t="str">
        <f>IFERROR(__xludf.DUMMYFUNCTION("""COMPUTED_VALUE"""),"Dresses")</f>
        <v>Dresses</v>
      </c>
      <c r="L607" s="13"/>
    </row>
    <row r="608">
      <c r="A608" s="13">
        <f>IFERROR(__xludf.DUMMYFUNCTION("""COMPUTED_VALUE"""),606.0)</f>
        <v>606</v>
      </c>
      <c r="B608" s="13">
        <f>IFERROR(__xludf.DUMMYFUNCTION("""COMPUTED_VALUE"""),1094.0)</f>
        <v>1094</v>
      </c>
      <c r="C608" s="13">
        <f>IFERROR(__xludf.DUMMYFUNCTION("""COMPUTED_VALUE"""),64.0)</f>
        <v>64</v>
      </c>
      <c r="D608" s="12" t="str">
        <f>IFERROR(__xludf.DUMMYFUNCTION("""COMPUTED_VALUE"""),"Interesting but awkward to actually wear")</f>
        <v>Interesting but awkward to actually wear</v>
      </c>
      <c r="E608" s="12" t="str">
        <f>IFERROR(__xludf.DUMMYFUNCTION("""COMPUTED_VALUE"""),"First, my husband had to help me zip up in this interesting but awkward design. the materials is nice, but stiff, so the skirt is quite full. the shoulder idea is interesting, but i would not want to spend an evening in it. to me, not up to the usual ms s"&amp;"tandard.")</f>
        <v>First, my husband had to help me zip up in this interesting but awkward design. the materials is nice, but stiff, so the skirt is quite full. the shoulder idea is interesting, but i would not want to spend an evening in it. to me, not up to the usual ms standard.</v>
      </c>
      <c r="F608" s="13">
        <f>IFERROR(__xludf.DUMMYFUNCTION("""COMPUTED_VALUE"""),3.0)</f>
        <v>3</v>
      </c>
      <c r="G608" s="13">
        <f>IFERROR(__xludf.DUMMYFUNCTION("""COMPUTED_VALUE"""),1.0)</f>
        <v>1</v>
      </c>
      <c r="H608" s="13">
        <f>IFERROR(__xludf.DUMMYFUNCTION("""COMPUTED_VALUE"""),1.0)</f>
        <v>1</v>
      </c>
      <c r="I608" s="13" t="str">
        <f>IFERROR(__xludf.DUMMYFUNCTION("""COMPUTED_VALUE"""),"General")</f>
        <v>General</v>
      </c>
      <c r="J608" s="13" t="str">
        <f>IFERROR(__xludf.DUMMYFUNCTION("""COMPUTED_VALUE"""),"Dresses")</f>
        <v>Dresses</v>
      </c>
      <c r="K608" s="13" t="str">
        <f>IFERROR(__xludf.DUMMYFUNCTION("""COMPUTED_VALUE"""),"Dresses")</f>
        <v>Dresses</v>
      </c>
      <c r="L608" s="13"/>
    </row>
    <row r="609">
      <c r="A609" s="13">
        <f>IFERROR(__xludf.DUMMYFUNCTION("""COMPUTED_VALUE"""),607.0)</f>
        <v>607</v>
      </c>
      <c r="B609" s="13">
        <f>IFERROR(__xludf.DUMMYFUNCTION("""COMPUTED_VALUE"""),833.0)</f>
        <v>833</v>
      </c>
      <c r="C609" s="13">
        <f>IFERROR(__xludf.DUMMYFUNCTION("""COMPUTED_VALUE"""),40.0)</f>
        <v>40</v>
      </c>
      <c r="D609" s="12" t="str">
        <f>IFERROR(__xludf.DUMMYFUNCTION("""COMPUTED_VALUE"""),"Beautiful, but a few caveats")</f>
        <v>Beautiful, but a few caveats</v>
      </c>
      <c r="E609" s="12" t="str">
        <f>IFERROR(__xludf.DUMMYFUNCTION("""COMPUTED_VALUE"""),"This is as beautiful in person as online, but the length is shorter than the description, and the arms are tight! although i am 5'1"", i normally wear regular sizes in retailer just fine; however, the 28"" length scared me off, so i ordered a 2p. it says "&amp;"it's 26.25"" long, but it's actually just about 24"". and my normal sized arms struggled to fit into the sleeves - yikes! but it's gorgeous and was purchased with a gift card, so i will keep :-)")</f>
        <v>This is as beautiful in person as online, but the length is shorter than the description, and the arms are tight! although i am 5'1", i normally wear regular sizes in retailer just fine; however, the 28" length scared me off, so i ordered a 2p. it says it's 26.25" long, but it's actually just about 24". and my normal sized arms struggled to fit into the sleeves - yikes! but it's gorgeous and was purchased with a gift card, so i will keep :-)</v>
      </c>
      <c r="F609" s="13">
        <f>IFERROR(__xludf.DUMMYFUNCTION("""COMPUTED_VALUE"""),4.0)</f>
        <v>4</v>
      </c>
      <c r="G609" s="13">
        <f>IFERROR(__xludf.DUMMYFUNCTION("""COMPUTED_VALUE"""),1.0)</f>
        <v>1</v>
      </c>
      <c r="H609" s="13">
        <f>IFERROR(__xludf.DUMMYFUNCTION("""COMPUTED_VALUE"""),11.0)</f>
        <v>11</v>
      </c>
      <c r="I609" s="13" t="str">
        <f>IFERROR(__xludf.DUMMYFUNCTION("""COMPUTED_VALUE"""),"General")</f>
        <v>General</v>
      </c>
      <c r="J609" s="13" t="str">
        <f>IFERROR(__xludf.DUMMYFUNCTION("""COMPUTED_VALUE"""),"Tops")</f>
        <v>Tops</v>
      </c>
      <c r="K609" s="13" t="str">
        <f>IFERROR(__xludf.DUMMYFUNCTION("""COMPUTED_VALUE"""),"Blouses")</f>
        <v>Blouses</v>
      </c>
      <c r="L609" s="13"/>
    </row>
    <row r="610">
      <c r="A610" s="13">
        <f>IFERROR(__xludf.DUMMYFUNCTION("""COMPUTED_VALUE"""),608.0)</f>
        <v>608</v>
      </c>
      <c r="B610" s="13">
        <f>IFERROR(__xludf.DUMMYFUNCTION("""COMPUTED_VALUE"""),1037.0)</f>
        <v>1037</v>
      </c>
      <c r="C610" s="13">
        <f>IFERROR(__xludf.DUMMYFUNCTION("""COMPUTED_VALUE"""),22.0)</f>
        <v>22</v>
      </c>
      <c r="D610" s="12" t="str">
        <f>IFERROR(__xludf.DUMMYFUNCTION("""COMPUTED_VALUE"""),"Fun jeggings")</f>
        <v>Fun jeggings</v>
      </c>
      <c r="E610" s="12" t="str">
        <f>IFERROR(__xludf.DUMMYFUNCTION("""COMPUTED_VALUE"""),"These pants are so soft and so comfortable! i was absolutely in love at first sight. however, i got the petite, because i am 5'3, and they were still a little longer than i like my pants to be. i wanted them to hit right above the ankle, just like the pho"&amp;"to, however, they are a tad longer. i still love them and they are still as comfy as ever, so i am gonna deal with the length!!")</f>
        <v>These pants are so soft and so comfortable! i was absolutely in love at first sight. however, i got the petite, because i am 5'3, and they were still a little longer than i like my pants to be. i wanted them to hit right above the ankle, just like the photo, however, they are a tad longer. i still love them and they are still as comfy as ever, so i am gonna deal with the length!!</v>
      </c>
      <c r="F610" s="13">
        <f>IFERROR(__xludf.DUMMYFUNCTION("""COMPUTED_VALUE"""),4.0)</f>
        <v>4</v>
      </c>
      <c r="G610" s="13">
        <f>IFERROR(__xludf.DUMMYFUNCTION("""COMPUTED_VALUE"""),1.0)</f>
        <v>1</v>
      </c>
      <c r="H610" s="13">
        <f>IFERROR(__xludf.DUMMYFUNCTION("""COMPUTED_VALUE"""),1.0)</f>
        <v>1</v>
      </c>
      <c r="I610" s="13" t="str">
        <f>IFERROR(__xludf.DUMMYFUNCTION("""COMPUTED_VALUE"""),"General")</f>
        <v>General</v>
      </c>
      <c r="J610" s="13" t="str">
        <f>IFERROR(__xludf.DUMMYFUNCTION("""COMPUTED_VALUE"""),"Bottoms")</f>
        <v>Bottoms</v>
      </c>
      <c r="K610" s="13" t="str">
        <f>IFERROR(__xludf.DUMMYFUNCTION("""COMPUTED_VALUE"""),"Jeans")</f>
        <v>Jeans</v>
      </c>
      <c r="L610" s="13"/>
    </row>
    <row r="611">
      <c r="A611" s="13">
        <f>IFERROR(__xludf.DUMMYFUNCTION("""COMPUTED_VALUE"""),609.0)</f>
        <v>609</v>
      </c>
      <c r="B611" s="13">
        <f>IFERROR(__xludf.DUMMYFUNCTION("""COMPUTED_VALUE"""),1094.0)</f>
        <v>1094</v>
      </c>
      <c r="C611" s="13">
        <f>IFERROR(__xludf.DUMMYFUNCTION("""COMPUTED_VALUE"""),53.0)</f>
        <v>53</v>
      </c>
      <c r="D611" s="12" t="str">
        <f>IFERROR(__xludf.DUMMYFUNCTION("""COMPUTED_VALUE"""),"Loved in theory")</f>
        <v>Loved in theory</v>
      </c>
      <c r="E611" s="12" t="str">
        <f>IFERROR(__xludf.DUMMYFUNCTION("""COMPUTED_VALUE"""),"I just tried on this dress in the store, in red, and i loved the off the shoulder design. the color is just as pictured online (a light poppy red). the neckline began a few inches below my collarbone and was super flattering. however, the skirt portion of"&amp;" this dress flared awkwardly at the hips, causing my hips to look much wider than they really are (and also disturbing the otherwise clean lines of the dress). it seemed to me that there was too much fabric at the back portion of the skirt than")</f>
        <v>I just tried on this dress in the store, in red, and i loved the off the shoulder design. the color is just as pictured online (a light poppy red). the neckline began a few inches below my collarbone and was super flattering. however, the skirt portion of this dress flared awkwardly at the hips, causing my hips to look much wider than they really are (and also disturbing the otherwise clean lines of the dress). it seemed to me that there was too much fabric at the back portion of the skirt than</v>
      </c>
      <c r="F611" s="13">
        <f>IFERROR(__xludf.DUMMYFUNCTION("""COMPUTED_VALUE"""),3.0)</f>
        <v>3</v>
      </c>
      <c r="G611" s="13">
        <f>IFERROR(__xludf.DUMMYFUNCTION("""COMPUTED_VALUE"""),0.0)</f>
        <v>0</v>
      </c>
      <c r="H611" s="13">
        <f>IFERROR(__xludf.DUMMYFUNCTION("""COMPUTED_VALUE"""),4.0)</f>
        <v>4</v>
      </c>
      <c r="I611" s="13" t="str">
        <f>IFERROR(__xludf.DUMMYFUNCTION("""COMPUTED_VALUE"""),"General")</f>
        <v>General</v>
      </c>
      <c r="J611" s="13" t="str">
        <f>IFERROR(__xludf.DUMMYFUNCTION("""COMPUTED_VALUE"""),"Dresses")</f>
        <v>Dresses</v>
      </c>
      <c r="K611" s="13" t="str">
        <f>IFERROR(__xludf.DUMMYFUNCTION("""COMPUTED_VALUE"""),"Dresses")</f>
        <v>Dresses</v>
      </c>
      <c r="L611" s="13"/>
    </row>
    <row r="612">
      <c r="A612" s="13">
        <f>IFERROR(__xludf.DUMMYFUNCTION("""COMPUTED_VALUE"""),610.0)</f>
        <v>610</v>
      </c>
      <c r="B612" s="13">
        <f>IFERROR(__xludf.DUMMYFUNCTION("""COMPUTED_VALUE"""),995.0)</f>
        <v>995</v>
      </c>
      <c r="C612" s="13">
        <f>IFERROR(__xludf.DUMMYFUNCTION("""COMPUTED_VALUE"""),34.0)</f>
        <v>34</v>
      </c>
      <c r="D612" s="12" t="str">
        <f>IFERROR(__xludf.DUMMYFUNCTION("""COMPUTED_VALUE"""),"No shape")</f>
        <v>No shape</v>
      </c>
      <c r="E612" s="12" t="str">
        <f>IFERROR(__xludf.DUMMYFUNCTION("""COMPUTED_VALUE"""),"It looks like you are wearing cargo shorts. really unflattering. avoid buying this skirt")</f>
        <v>It looks like you are wearing cargo shorts. really unflattering. avoid buying this skirt</v>
      </c>
      <c r="F612" s="13">
        <f>IFERROR(__xludf.DUMMYFUNCTION("""COMPUTED_VALUE"""),2.0)</f>
        <v>2</v>
      </c>
      <c r="G612" s="13">
        <f>IFERROR(__xludf.DUMMYFUNCTION("""COMPUTED_VALUE"""),0.0)</f>
        <v>0</v>
      </c>
      <c r="H612" s="13">
        <f>IFERROR(__xludf.DUMMYFUNCTION("""COMPUTED_VALUE"""),1.0)</f>
        <v>1</v>
      </c>
      <c r="I612" s="13" t="str">
        <f>IFERROR(__xludf.DUMMYFUNCTION("""COMPUTED_VALUE"""),"General")</f>
        <v>General</v>
      </c>
      <c r="J612" s="13" t="str">
        <f>IFERROR(__xludf.DUMMYFUNCTION("""COMPUTED_VALUE"""),"Bottoms")</f>
        <v>Bottoms</v>
      </c>
      <c r="K612" s="13" t="str">
        <f>IFERROR(__xludf.DUMMYFUNCTION("""COMPUTED_VALUE"""),"Skirts")</f>
        <v>Skirts</v>
      </c>
      <c r="L612" s="13"/>
    </row>
    <row r="613">
      <c r="A613" s="13">
        <f>IFERROR(__xludf.DUMMYFUNCTION("""COMPUTED_VALUE"""),611.0)</f>
        <v>611</v>
      </c>
      <c r="B613" s="13">
        <f>IFERROR(__xludf.DUMMYFUNCTION("""COMPUTED_VALUE"""),252.0)</f>
        <v>252</v>
      </c>
      <c r="C613" s="13">
        <f>IFERROR(__xludf.DUMMYFUNCTION("""COMPUTED_VALUE"""),35.0)</f>
        <v>35</v>
      </c>
      <c r="D613" s="12"/>
      <c r="E613" s="12"/>
      <c r="F613" s="13">
        <f>IFERROR(__xludf.DUMMYFUNCTION("""COMPUTED_VALUE"""),4.0)</f>
        <v>4</v>
      </c>
      <c r="G613" s="13">
        <f>IFERROR(__xludf.DUMMYFUNCTION("""COMPUTED_VALUE"""),1.0)</f>
        <v>1</v>
      </c>
      <c r="H613" s="13">
        <f>IFERROR(__xludf.DUMMYFUNCTION("""COMPUTED_VALUE"""),0.0)</f>
        <v>0</v>
      </c>
      <c r="I613" s="13" t="str">
        <f>IFERROR(__xludf.DUMMYFUNCTION("""COMPUTED_VALUE"""),"Initmates")</f>
        <v>Initmates</v>
      </c>
      <c r="J613" s="13" t="str">
        <f>IFERROR(__xludf.DUMMYFUNCTION("""COMPUTED_VALUE"""),"Intimate")</f>
        <v>Intimate</v>
      </c>
      <c r="K613" s="13" t="str">
        <f>IFERROR(__xludf.DUMMYFUNCTION("""COMPUTED_VALUE"""),"Swim")</f>
        <v>Swim</v>
      </c>
      <c r="L613" s="13"/>
    </row>
    <row r="614">
      <c r="A614" s="13">
        <f>IFERROR(__xludf.DUMMYFUNCTION("""COMPUTED_VALUE"""),612.0)</f>
        <v>612</v>
      </c>
      <c r="B614" s="13">
        <f>IFERROR(__xludf.DUMMYFUNCTION("""COMPUTED_VALUE"""),634.0)</f>
        <v>634</v>
      </c>
      <c r="C614" s="13">
        <f>IFERROR(__xludf.DUMMYFUNCTION("""COMPUTED_VALUE"""),29.0)</f>
        <v>29</v>
      </c>
      <c r="D614" s="12" t="str">
        <f>IFERROR(__xludf.DUMMYFUNCTION("""COMPUTED_VALUE"""),"Great casual dress to throw on")</f>
        <v>Great casual dress to throw on</v>
      </c>
      <c r="E614" s="12" t="str">
        <f>IFERROR(__xludf.DUMMYFUNCTION("""COMPUTED_VALUE"""),"I ordered a petite medium in black, and it fit great great. some of the other reviews said it was tight, but i found it pretty loose and flowy. also felt it was plenty of coverage - wore it to work (casual workplace) and transitioned to happy hour beautif"&amp;"ully.")</f>
        <v>I ordered a petite medium in black, and it fit great great. some of the other reviews said it was tight, but i found it pretty loose and flowy. also felt it was plenty of coverage - wore it to work (casual workplace) and transitioned to happy hour beautifully.</v>
      </c>
      <c r="F614" s="13">
        <f>IFERROR(__xludf.DUMMYFUNCTION("""COMPUTED_VALUE"""),4.0)</f>
        <v>4</v>
      </c>
      <c r="G614" s="13">
        <f>IFERROR(__xludf.DUMMYFUNCTION("""COMPUTED_VALUE"""),1.0)</f>
        <v>1</v>
      </c>
      <c r="H614" s="13">
        <f>IFERROR(__xludf.DUMMYFUNCTION("""COMPUTED_VALUE"""),2.0)</f>
        <v>2</v>
      </c>
      <c r="I614" s="13" t="str">
        <f>IFERROR(__xludf.DUMMYFUNCTION("""COMPUTED_VALUE"""),"General Petite")</f>
        <v>General Petite</v>
      </c>
      <c r="J614" s="13" t="str">
        <f>IFERROR(__xludf.DUMMYFUNCTION("""COMPUTED_VALUE"""),"Intimate")</f>
        <v>Intimate</v>
      </c>
      <c r="K614" s="13" t="str">
        <f>IFERROR(__xludf.DUMMYFUNCTION("""COMPUTED_VALUE"""),"Lounge")</f>
        <v>Lounge</v>
      </c>
      <c r="L614" s="13"/>
    </row>
    <row r="615">
      <c r="A615" s="13">
        <f>IFERROR(__xludf.DUMMYFUNCTION("""COMPUTED_VALUE"""),613.0)</f>
        <v>613</v>
      </c>
      <c r="B615" s="13">
        <f>IFERROR(__xludf.DUMMYFUNCTION("""COMPUTED_VALUE"""),985.0)</f>
        <v>985</v>
      </c>
      <c r="C615" s="13">
        <f>IFERROR(__xludf.DUMMYFUNCTION("""COMPUTED_VALUE"""),24.0)</f>
        <v>24</v>
      </c>
      <c r="D615" s="12" t="str">
        <f>IFERROR(__xludf.DUMMYFUNCTION("""COMPUTED_VALUE"""),"Plaid bomb pairs fabulous with everything fall!")</f>
        <v>Plaid bomb pairs fabulous with everything fall!</v>
      </c>
      <c r="E615" s="12" t="str">
        <f>IFERROR(__xludf.DUMMYFUNCTION("""COMPUTED_VALUE"""),"I had been on the hunt for a plaid bomber to rock this fall and this retailer edition bomber surpassed all of my expectations! it literally pairs great with everything fall.. chokers, boots, dresses; you name it! it also fits very true to size. not too fi"&amp;"t to your body, and a little loose, but not too loose.. just like a bomber jacket should! i highly recommend this product.")</f>
        <v>I had been on the hunt for a plaid bomber to rock this fall and this retailer edition bomber surpassed all of my expectations! it literally pairs great with everything fall.. chokers, boots, dresses; you name it! it also fits very true to size. not too fit to your body, and a little loose, but not too loose.. just like a bomber jacket should! i highly recommend this product.</v>
      </c>
      <c r="F615" s="13">
        <f>IFERROR(__xludf.DUMMYFUNCTION("""COMPUTED_VALUE"""),5.0)</f>
        <v>5</v>
      </c>
      <c r="G615" s="13">
        <f>IFERROR(__xludf.DUMMYFUNCTION("""COMPUTED_VALUE"""),1.0)</f>
        <v>1</v>
      </c>
      <c r="H615" s="13">
        <f>IFERROR(__xludf.DUMMYFUNCTION("""COMPUTED_VALUE"""),1.0)</f>
        <v>1</v>
      </c>
      <c r="I615" s="13" t="str">
        <f>IFERROR(__xludf.DUMMYFUNCTION("""COMPUTED_VALUE"""),"General")</f>
        <v>General</v>
      </c>
      <c r="J615" s="13" t="str">
        <f>IFERROR(__xludf.DUMMYFUNCTION("""COMPUTED_VALUE"""),"Jackets")</f>
        <v>Jackets</v>
      </c>
      <c r="K615" s="13" t="str">
        <f>IFERROR(__xludf.DUMMYFUNCTION("""COMPUTED_VALUE"""),"Jackets")</f>
        <v>Jackets</v>
      </c>
      <c r="L615" s="13"/>
    </row>
    <row r="616">
      <c r="A616" s="13">
        <f>IFERROR(__xludf.DUMMYFUNCTION("""COMPUTED_VALUE"""),614.0)</f>
        <v>614</v>
      </c>
      <c r="B616" s="13">
        <f>IFERROR(__xludf.DUMMYFUNCTION("""COMPUTED_VALUE"""),1059.0)</f>
        <v>1059</v>
      </c>
      <c r="C616" s="13">
        <f>IFERROR(__xludf.DUMMYFUNCTION("""COMPUTED_VALUE"""),37.0)</f>
        <v>37</v>
      </c>
      <c r="D616" s="12" t="str">
        <f>IFERROR(__xludf.DUMMYFUNCTION("""COMPUTED_VALUE"""),"Great staple!")</f>
        <v>Great staple!</v>
      </c>
      <c r="E616" s="12" t="str">
        <f>IFERROR(__xludf.DUMMYFUNCTION("""COMPUTED_VALUE"""),"I am pear-shaped and often have a hard time finding pants that fit just right. these did the trick!! they are slim in the waist, but have plenty of room for bigger hips. the overall fit is body skimming/hugging, but they are not tight or uncomfortable in "&amp;"any way! and i have no gapping at the waist. the fabric has a slight sheen to it and a little stretch, but they will be a perfect pant for the office. for reference, i am 5'4"", 34/26/38, and i got a 6 regular.")</f>
        <v>I am pear-shaped and often have a hard time finding pants that fit just right. these did the trick!! they are slim in the waist, but have plenty of room for bigger hips. the overall fit is body skimming/hugging, but they are not tight or uncomfortable in any way! and i have no gapping at the waist. the fabric has a slight sheen to it and a little stretch, but they will be a perfect pant for the office. for reference, i am 5'4", 34/26/38, and i got a 6 regular.</v>
      </c>
      <c r="F616" s="13">
        <f>IFERROR(__xludf.DUMMYFUNCTION("""COMPUTED_VALUE"""),5.0)</f>
        <v>5</v>
      </c>
      <c r="G616" s="13">
        <f>IFERROR(__xludf.DUMMYFUNCTION("""COMPUTED_VALUE"""),1.0)</f>
        <v>1</v>
      </c>
      <c r="H616" s="13">
        <f>IFERROR(__xludf.DUMMYFUNCTION("""COMPUTED_VALUE"""),0.0)</f>
        <v>0</v>
      </c>
      <c r="I616" s="13" t="str">
        <f>IFERROR(__xludf.DUMMYFUNCTION("""COMPUTED_VALUE"""),"General")</f>
        <v>General</v>
      </c>
      <c r="J616" s="13" t="str">
        <f>IFERROR(__xludf.DUMMYFUNCTION("""COMPUTED_VALUE"""),"Bottoms")</f>
        <v>Bottoms</v>
      </c>
      <c r="K616" s="13" t="str">
        <f>IFERROR(__xludf.DUMMYFUNCTION("""COMPUTED_VALUE"""),"Pants")</f>
        <v>Pants</v>
      </c>
      <c r="L616" s="13"/>
    </row>
    <row r="617">
      <c r="A617" s="13">
        <f>IFERROR(__xludf.DUMMYFUNCTION("""COMPUTED_VALUE"""),615.0)</f>
        <v>615</v>
      </c>
      <c r="B617" s="13">
        <f>IFERROR(__xludf.DUMMYFUNCTION("""COMPUTED_VALUE"""),985.0)</f>
        <v>985</v>
      </c>
      <c r="C617" s="13">
        <f>IFERROR(__xludf.DUMMYFUNCTION("""COMPUTED_VALUE"""),65.0)</f>
        <v>65</v>
      </c>
      <c r="D617" s="12" t="str">
        <f>IFERROR(__xludf.DUMMYFUNCTION("""COMPUTED_VALUE"""),"Perfect fall jacket")</f>
        <v>Perfect fall jacket</v>
      </c>
      <c r="E617" s="12" t="str">
        <f>IFERROR(__xludf.DUMMYFUNCTION("""COMPUTED_VALUE"""),"This jacket is well-made and smart looking. it gave me just the boost i needed today at a difficult meeting. thank you retailer!")</f>
        <v>This jacket is well-made and smart looking. it gave me just the boost i needed today at a difficult meeting. thank you retailer!</v>
      </c>
      <c r="F617" s="13">
        <f>IFERROR(__xludf.DUMMYFUNCTION("""COMPUTED_VALUE"""),5.0)</f>
        <v>5</v>
      </c>
      <c r="G617" s="13">
        <f>IFERROR(__xludf.DUMMYFUNCTION("""COMPUTED_VALUE"""),1.0)</f>
        <v>1</v>
      </c>
      <c r="H617" s="13">
        <f>IFERROR(__xludf.DUMMYFUNCTION("""COMPUTED_VALUE"""),0.0)</f>
        <v>0</v>
      </c>
      <c r="I617" s="13" t="str">
        <f>IFERROR(__xludf.DUMMYFUNCTION("""COMPUTED_VALUE"""),"General")</f>
        <v>General</v>
      </c>
      <c r="J617" s="13" t="str">
        <f>IFERROR(__xludf.DUMMYFUNCTION("""COMPUTED_VALUE"""),"Jackets")</f>
        <v>Jackets</v>
      </c>
      <c r="K617" s="13" t="str">
        <f>IFERROR(__xludf.DUMMYFUNCTION("""COMPUTED_VALUE"""),"Jackets")</f>
        <v>Jackets</v>
      </c>
      <c r="L617" s="13"/>
    </row>
    <row r="618">
      <c r="A618" s="13">
        <f>IFERROR(__xludf.DUMMYFUNCTION("""COMPUTED_VALUE"""),616.0)</f>
        <v>616</v>
      </c>
      <c r="B618" s="13">
        <f>IFERROR(__xludf.DUMMYFUNCTION("""COMPUTED_VALUE"""),1059.0)</f>
        <v>1059</v>
      </c>
      <c r="C618" s="13">
        <f>IFERROR(__xludf.DUMMYFUNCTION("""COMPUTED_VALUE"""),36.0)</f>
        <v>36</v>
      </c>
      <c r="D618" s="12" t="str">
        <f>IFERROR(__xludf.DUMMYFUNCTION("""COMPUTED_VALUE"""),"Must have")</f>
        <v>Must have</v>
      </c>
      <c r="E618" s="12" t="str">
        <f>IFERROR(__xludf.DUMMYFUNCTION("""COMPUTED_VALUE"""),"Perfect fit. did not lose its shape. thicker material. great quality for a great price. definitely  a wardrobe  staple. can be dressed up or down. work (business) appropriate. fits tts. for reference,  i am 5'0"", 109lbs, and the 00 petite fits perfect. f"&amp;"alls right above ankle like pictured. if they had more colours, i would get them too :)")</f>
        <v>Perfect fit. did not lose its shape. thicker material. great quality for a great price. definitely  a wardrobe  staple. can be dressed up or down. work (business) appropriate. fits tts. for reference,  i am 5'0", 109lbs, and the 00 petite fits perfect. falls right above ankle like pictured. if they had more colours, i would get them too :)</v>
      </c>
      <c r="F618" s="13">
        <f>IFERROR(__xludf.DUMMYFUNCTION("""COMPUTED_VALUE"""),5.0)</f>
        <v>5</v>
      </c>
      <c r="G618" s="13">
        <f>IFERROR(__xludf.DUMMYFUNCTION("""COMPUTED_VALUE"""),1.0)</f>
        <v>1</v>
      </c>
      <c r="H618" s="13">
        <f>IFERROR(__xludf.DUMMYFUNCTION("""COMPUTED_VALUE"""),6.0)</f>
        <v>6</v>
      </c>
      <c r="I618" s="13" t="str">
        <f>IFERROR(__xludf.DUMMYFUNCTION("""COMPUTED_VALUE"""),"General")</f>
        <v>General</v>
      </c>
      <c r="J618" s="13" t="str">
        <f>IFERROR(__xludf.DUMMYFUNCTION("""COMPUTED_VALUE"""),"Bottoms")</f>
        <v>Bottoms</v>
      </c>
      <c r="K618" s="13" t="str">
        <f>IFERROR(__xludf.DUMMYFUNCTION("""COMPUTED_VALUE"""),"Pants")</f>
        <v>Pants</v>
      </c>
      <c r="L618" s="13"/>
    </row>
    <row r="619">
      <c r="A619" s="13">
        <f>IFERROR(__xludf.DUMMYFUNCTION("""COMPUTED_VALUE"""),617.0)</f>
        <v>617</v>
      </c>
      <c r="B619" s="13">
        <f>IFERROR(__xludf.DUMMYFUNCTION("""COMPUTED_VALUE"""),634.0)</f>
        <v>634</v>
      </c>
      <c r="C619" s="13">
        <f>IFERROR(__xludf.DUMMYFUNCTION("""COMPUTED_VALUE"""),35.0)</f>
        <v>35</v>
      </c>
      <c r="D619" s="12" t="str">
        <f>IFERROR(__xludf.DUMMYFUNCTION("""COMPUTED_VALUE"""),"Lounging dress")</f>
        <v>Lounging dress</v>
      </c>
      <c r="E619" s="12" t="str">
        <f>IFERROR(__xludf.DUMMYFUNCTION("""COMPUTED_VALUE"""),"This is a great lounging dress or a great beach cover up. i ordered up a size after reading other reviews. although, i feel like my normal size would have been fine probably. i ordered the black and it is not see through. it's very light weight and comfor"&amp;"table. i may even order in another color just because it's so great to wear around the house.")</f>
        <v>This is a great lounging dress or a great beach cover up. i ordered up a size after reading other reviews. although, i feel like my normal size would have been fine probably. i ordered the black and it is not see through. it's very light weight and comfortable. i may even order in another color just because it's so great to wear around the house.</v>
      </c>
      <c r="F619" s="13">
        <f>IFERROR(__xludf.DUMMYFUNCTION("""COMPUTED_VALUE"""),4.0)</f>
        <v>4</v>
      </c>
      <c r="G619" s="13">
        <f>IFERROR(__xludf.DUMMYFUNCTION("""COMPUTED_VALUE"""),1.0)</f>
        <v>1</v>
      </c>
      <c r="H619" s="13">
        <f>IFERROR(__xludf.DUMMYFUNCTION("""COMPUTED_VALUE"""),0.0)</f>
        <v>0</v>
      </c>
      <c r="I619" s="13" t="str">
        <f>IFERROR(__xludf.DUMMYFUNCTION("""COMPUTED_VALUE"""),"General Petite")</f>
        <v>General Petite</v>
      </c>
      <c r="J619" s="13" t="str">
        <f>IFERROR(__xludf.DUMMYFUNCTION("""COMPUTED_VALUE"""),"Intimate")</f>
        <v>Intimate</v>
      </c>
      <c r="K619" s="13" t="str">
        <f>IFERROR(__xludf.DUMMYFUNCTION("""COMPUTED_VALUE"""),"Lounge")</f>
        <v>Lounge</v>
      </c>
      <c r="L619" s="13"/>
    </row>
    <row r="620">
      <c r="A620" s="13">
        <f>IFERROR(__xludf.DUMMYFUNCTION("""COMPUTED_VALUE"""),618.0)</f>
        <v>618</v>
      </c>
      <c r="B620" s="13">
        <f>IFERROR(__xludf.DUMMYFUNCTION("""COMPUTED_VALUE"""),1059.0)</f>
        <v>1059</v>
      </c>
      <c r="C620" s="13">
        <f>IFERROR(__xludf.DUMMYFUNCTION("""COMPUTED_VALUE"""),27.0)</f>
        <v>27</v>
      </c>
      <c r="D620" s="12" t="str">
        <f>IFERROR(__xludf.DUMMYFUNCTION("""COMPUTED_VALUE"""),"Perfect fit")</f>
        <v>Perfect fit</v>
      </c>
      <c r="E620" s="12" t="str">
        <f>IFERROR(__xludf.DUMMYFUNCTION("""COMPUTED_VALUE"""),"The fit on these pants is just right for me. i have curvy hips and a slender waste and legs. these pants don't gap in the back, as fitted pants often can. easy to dress up or down. the color hasn't held up as well as i hoped, so take care when laundering.")</f>
        <v>The fit on these pants is just right for me. i have curvy hips and a slender waste and legs. these pants don't gap in the back, as fitted pants often can. easy to dress up or down. the color hasn't held up as well as i hoped, so take care when laundering.</v>
      </c>
      <c r="F620" s="13">
        <f>IFERROR(__xludf.DUMMYFUNCTION("""COMPUTED_VALUE"""),5.0)</f>
        <v>5</v>
      </c>
      <c r="G620" s="13">
        <f>IFERROR(__xludf.DUMMYFUNCTION("""COMPUTED_VALUE"""),1.0)</f>
        <v>1</v>
      </c>
      <c r="H620" s="13">
        <f>IFERROR(__xludf.DUMMYFUNCTION("""COMPUTED_VALUE"""),3.0)</f>
        <v>3</v>
      </c>
      <c r="I620" s="13" t="str">
        <f>IFERROR(__xludf.DUMMYFUNCTION("""COMPUTED_VALUE"""),"General")</f>
        <v>General</v>
      </c>
      <c r="J620" s="13" t="str">
        <f>IFERROR(__xludf.DUMMYFUNCTION("""COMPUTED_VALUE"""),"Bottoms")</f>
        <v>Bottoms</v>
      </c>
      <c r="K620" s="13" t="str">
        <f>IFERROR(__xludf.DUMMYFUNCTION("""COMPUTED_VALUE"""),"Pants")</f>
        <v>Pants</v>
      </c>
      <c r="L620" s="13"/>
    </row>
    <row r="621">
      <c r="A621" s="13">
        <f>IFERROR(__xludf.DUMMYFUNCTION("""COMPUTED_VALUE"""),619.0)</f>
        <v>619</v>
      </c>
      <c r="B621" s="13">
        <f>IFERROR(__xludf.DUMMYFUNCTION("""COMPUTED_VALUE"""),252.0)</f>
        <v>252</v>
      </c>
      <c r="C621" s="13">
        <f>IFERROR(__xludf.DUMMYFUNCTION("""COMPUTED_VALUE"""),36.0)</f>
        <v>36</v>
      </c>
      <c r="D621" s="12"/>
      <c r="E621" s="12" t="str">
        <f>IFERROR(__xludf.DUMMYFUNCTION("""COMPUTED_VALUE"""),"Ordered the navy and aqua in medium. the aqua fit a lot tighter than the navy seemed to be a different fabric and less stretchy. loved the color on both but returning the the aqua. normally wear size 6")</f>
        <v>Ordered the navy and aqua in medium. the aqua fit a lot tighter than the navy seemed to be a different fabric and less stretchy. loved the color on both but returning the the aqua. normally wear size 6</v>
      </c>
      <c r="F621" s="13">
        <f>IFERROR(__xludf.DUMMYFUNCTION("""COMPUTED_VALUE"""),4.0)</f>
        <v>4</v>
      </c>
      <c r="G621" s="13">
        <f>IFERROR(__xludf.DUMMYFUNCTION("""COMPUTED_VALUE"""),1.0)</f>
        <v>1</v>
      </c>
      <c r="H621" s="13">
        <f>IFERROR(__xludf.DUMMYFUNCTION("""COMPUTED_VALUE"""),0.0)</f>
        <v>0</v>
      </c>
      <c r="I621" s="13" t="str">
        <f>IFERROR(__xludf.DUMMYFUNCTION("""COMPUTED_VALUE"""),"Initmates")</f>
        <v>Initmates</v>
      </c>
      <c r="J621" s="13" t="str">
        <f>IFERROR(__xludf.DUMMYFUNCTION("""COMPUTED_VALUE"""),"Intimate")</f>
        <v>Intimate</v>
      </c>
      <c r="K621" s="13" t="str">
        <f>IFERROR(__xludf.DUMMYFUNCTION("""COMPUTED_VALUE"""),"Swim")</f>
        <v>Swim</v>
      </c>
      <c r="L621" s="13"/>
    </row>
    <row r="622">
      <c r="A622" s="13">
        <f>IFERROR(__xludf.DUMMYFUNCTION("""COMPUTED_VALUE"""),620.0)</f>
        <v>620</v>
      </c>
      <c r="B622" s="13">
        <f>IFERROR(__xludf.DUMMYFUNCTION("""COMPUTED_VALUE"""),634.0)</f>
        <v>634</v>
      </c>
      <c r="C622" s="13">
        <f>IFERROR(__xludf.DUMMYFUNCTION("""COMPUTED_VALUE"""),28.0)</f>
        <v>28</v>
      </c>
      <c r="D622" s="12" t="str">
        <f>IFERROR(__xludf.DUMMYFUNCTION("""COMPUTED_VALUE"""),"Functional casual dress")</f>
        <v>Functional casual dress</v>
      </c>
      <c r="E622" s="12" t="str">
        <f>IFERROR(__xludf.DUMMYFUNCTION("""COMPUTED_VALUE"""),"Very comfortable fabric and fits nicely. i am 5'10"" like it states the model is, and it falls shorter on me that viewed, but still looks nice. it will be an easy dress to use for different looks.")</f>
        <v>Very comfortable fabric and fits nicely. i am 5'10" like it states the model is, and it falls shorter on me that viewed, but still looks nice. it will be an easy dress to use for different looks.</v>
      </c>
      <c r="F622" s="13">
        <f>IFERROR(__xludf.DUMMYFUNCTION("""COMPUTED_VALUE"""),5.0)</f>
        <v>5</v>
      </c>
      <c r="G622" s="13">
        <f>IFERROR(__xludf.DUMMYFUNCTION("""COMPUTED_VALUE"""),1.0)</f>
        <v>1</v>
      </c>
      <c r="H622" s="13">
        <f>IFERROR(__xludf.DUMMYFUNCTION("""COMPUTED_VALUE"""),1.0)</f>
        <v>1</v>
      </c>
      <c r="I622" s="13" t="str">
        <f>IFERROR(__xludf.DUMMYFUNCTION("""COMPUTED_VALUE"""),"General Petite")</f>
        <v>General Petite</v>
      </c>
      <c r="J622" s="13" t="str">
        <f>IFERROR(__xludf.DUMMYFUNCTION("""COMPUTED_VALUE"""),"Intimate")</f>
        <v>Intimate</v>
      </c>
      <c r="K622" s="13" t="str">
        <f>IFERROR(__xludf.DUMMYFUNCTION("""COMPUTED_VALUE"""),"Lounge")</f>
        <v>Lounge</v>
      </c>
      <c r="L622" s="13"/>
    </row>
    <row r="623">
      <c r="A623" s="13">
        <f>IFERROR(__xludf.DUMMYFUNCTION("""COMPUTED_VALUE"""),621.0)</f>
        <v>621</v>
      </c>
      <c r="B623" s="13">
        <f>IFERROR(__xludf.DUMMYFUNCTION("""COMPUTED_VALUE"""),252.0)</f>
        <v>252</v>
      </c>
      <c r="C623" s="13">
        <f>IFERROR(__xludf.DUMMYFUNCTION("""COMPUTED_VALUE"""),46.0)</f>
        <v>46</v>
      </c>
      <c r="D623" s="12" t="str">
        <f>IFERROR(__xludf.DUMMYFUNCTION("""COMPUTED_VALUE"""),"Best bathing suit!")</f>
        <v>Best bathing suit!</v>
      </c>
      <c r="E623" s="12" t="str">
        <f>IFERROR(__xludf.DUMMYFUNCTION("""COMPUTED_VALUE"""),"When i tried on this bathing suit, i decided to not try on any others. it was just right! i usually find bathing suit shopping difficult and no fun--as i can never find a suitable bathing suit. this suit looks nice/flattering, and i can also move around i"&amp;"n it and it stays in place. i purchased it in the navy and i'm going to order it in another pattern as well. it looks modern and classic; it's a chic style. i'm a size 6 in dresses, and i purchased a size 10 in this bathing suit.")</f>
        <v>When i tried on this bathing suit, i decided to not try on any others. it was just right! i usually find bathing suit shopping difficult and no fun--as i can never find a suitable bathing suit. this suit looks nice/flattering, and i can also move around in it and it stays in place. i purchased it in the navy and i'm going to order it in another pattern as well. it looks modern and classic; it's a chic style. i'm a size 6 in dresses, and i purchased a size 10 in this bathing suit.</v>
      </c>
      <c r="F623" s="13">
        <f>IFERROR(__xludf.DUMMYFUNCTION("""COMPUTED_VALUE"""),5.0)</f>
        <v>5</v>
      </c>
      <c r="G623" s="13">
        <f>IFERROR(__xludf.DUMMYFUNCTION("""COMPUTED_VALUE"""),1.0)</f>
        <v>1</v>
      </c>
      <c r="H623" s="13">
        <f>IFERROR(__xludf.DUMMYFUNCTION("""COMPUTED_VALUE"""),0.0)</f>
        <v>0</v>
      </c>
      <c r="I623" s="13" t="str">
        <f>IFERROR(__xludf.DUMMYFUNCTION("""COMPUTED_VALUE"""),"Initmates")</f>
        <v>Initmates</v>
      </c>
      <c r="J623" s="13" t="str">
        <f>IFERROR(__xludf.DUMMYFUNCTION("""COMPUTED_VALUE"""),"Intimate")</f>
        <v>Intimate</v>
      </c>
      <c r="K623" s="13" t="str">
        <f>IFERROR(__xludf.DUMMYFUNCTION("""COMPUTED_VALUE"""),"Swim")</f>
        <v>Swim</v>
      </c>
      <c r="L623" s="13"/>
    </row>
    <row r="624">
      <c r="A624" s="13">
        <f>IFERROR(__xludf.DUMMYFUNCTION("""COMPUTED_VALUE"""),622.0)</f>
        <v>622</v>
      </c>
      <c r="B624" s="13">
        <f>IFERROR(__xludf.DUMMYFUNCTION("""COMPUTED_VALUE"""),117.0)</f>
        <v>117</v>
      </c>
      <c r="C624" s="13">
        <f>IFERROR(__xludf.DUMMYFUNCTION("""COMPUTED_VALUE"""),70.0)</f>
        <v>70</v>
      </c>
      <c r="D624" s="12"/>
      <c r="E624" s="12" t="str">
        <f>IFERROR(__xludf.DUMMYFUNCTION("""COMPUTED_VALUE"""),"I have bought other leggings at retailer and they were fine. these run small. i have to return.")</f>
        <v>I have bought other leggings at retailer and they were fine. these run small. i have to return.</v>
      </c>
      <c r="F624" s="13">
        <f>IFERROR(__xludf.DUMMYFUNCTION("""COMPUTED_VALUE"""),3.0)</f>
        <v>3</v>
      </c>
      <c r="G624" s="13">
        <f>IFERROR(__xludf.DUMMYFUNCTION("""COMPUTED_VALUE"""),1.0)</f>
        <v>1</v>
      </c>
      <c r="H624" s="13">
        <f>IFERROR(__xludf.DUMMYFUNCTION("""COMPUTED_VALUE"""),0.0)</f>
        <v>0</v>
      </c>
      <c r="I624" s="13" t="str">
        <f>IFERROR(__xludf.DUMMYFUNCTION("""COMPUTED_VALUE"""),"Initmates")</f>
        <v>Initmates</v>
      </c>
      <c r="J624" s="13" t="str">
        <f>IFERROR(__xludf.DUMMYFUNCTION("""COMPUTED_VALUE"""),"Intimate")</f>
        <v>Intimate</v>
      </c>
      <c r="K624" s="13" t="str">
        <f>IFERROR(__xludf.DUMMYFUNCTION("""COMPUTED_VALUE"""),"Legwear")</f>
        <v>Legwear</v>
      </c>
      <c r="L624" s="13"/>
    </row>
    <row r="625">
      <c r="A625" s="13">
        <f>IFERROR(__xludf.DUMMYFUNCTION("""COMPUTED_VALUE"""),623.0)</f>
        <v>623</v>
      </c>
      <c r="B625" s="13">
        <f>IFERROR(__xludf.DUMMYFUNCTION("""COMPUTED_VALUE"""),117.0)</f>
        <v>117</v>
      </c>
      <c r="C625" s="13">
        <f>IFERROR(__xludf.DUMMYFUNCTION("""COMPUTED_VALUE"""),57.0)</f>
        <v>57</v>
      </c>
      <c r="D625" s="12"/>
      <c r="E625" s="12" t="str">
        <f>IFERROR(__xludf.DUMMYFUNCTION("""COMPUTED_VALUE"""),"Love love love these leggings and what an amazing price point!!!")</f>
        <v>Love love love these leggings and what an amazing price point!!!</v>
      </c>
      <c r="F625" s="13">
        <f>IFERROR(__xludf.DUMMYFUNCTION("""COMPUTED_VALUE"""),5.0)</f>
        <v>5</v>
      </c>
      <c r="G625" s="13">
        <f>IFERROR(__xludf.DUMMYFUNCTION("""COMPUTED_VALUE"""),1.0)</f>
        <v>1</v>
      </c>
      <c r="H625" s="13">
        <f>IFERROR(__xludf.DUMMYFUNCTION("""COMPUTED_VALUE"""),0.0)</f>
        <v>0</v>
      </c>
      <c r="I625" s="13" t="str">
        <f>IFERROR(__xludf.DUMMYFUNCTION("""COMPUTED_VALUE"""),"Initmates")</f>
        <v>Initmates</v>
      </c>
      <c r="J625" s="13" t="str">
        <f>IFERROR(__xludf.DUMMYFUNCTION("""COMPUTED_VALUE"""),"Intimate")</f>
        <v>Intimate</v>
      </c>
      <c r="K625" s="13" t="str">
        <f>IFERROR(__xludf.DUMMYFUNCTION("""COMPUTED_VALUE"""),"Legwear")</f>
        <v>Legwear</v>
      </c>
      <c r="L625" s="13"/>
    </row>
    <row r="626">
      <c r="A626" s="13">
        <f>IFERROR(__xludf.DUMMYFUNCTION("""COMPUTED_VALUE"""),624.0)</f>
        <v>624</v>
      </c>
      <c r="B626" s="13">
        <f>IFERROR(__xludf.DUMMYFUNCTION("""COMPUTED_VALUE"""),634.0)</f>
        <v>634</v>
      </c>
      <c r="C626" s="13">
        <f>IFERROR(__xludf.DUMMYFUNCTION("""COMPUTED_VALUE"""),69.0)</f>
        <v>69</v>
      </c>
      <c r="D626" s="12" t="str">
        <f>IFERROR(__xludf.DUMMYFUNCTION("""COMPUTED_VALUE"""),"Overpriced but so comfortable")</f>
        <v>Overpriced but so comfortable</v>
      </c>
      <c r="E626" s="12" t="str">
        <f>IFERROR(__xludf.DUMMYFUNCTION("""COMPUTED_VALUE"""),"This is a great beach/pool or lounge piece. i debated keeping but couldn't pass up how comfortable it was. hugging without being tight. i will probably only wear it with some sort of layer like a jean jack or tied shirt rather than undone unless on on the"&amp;" beach but it's so comfortable. straps are a bit long.")</f>
        <v>This is a great beach/pool or lounge piece. i debated keeping but couldn't pass up how comfortable it was. hugging without being tight. i will probably only wear it with some sort of layer like a jean jack or tied shirt rather than undone unless on on the beach but it's so comfortable. straps are a bit long.</v>
      </c>
      <c r="F626" s="13">
        <f>IFERROR(__xludf.DUMMYFUNCTION("""COMPUTED_VALUE"""),4.0)</f>
        <v>4</v>
      </c>
      <c r="G626" s="13">
        <f>IFERROR(__xludf.DUMMYFUNCTION("""COMPUTED_VALUE"""),1.0)</f>
        <v>1</v>
      </c>
      <c r="H626" s="13">
        <f>IFERROR(__xludf.DUMMYFUNCTION("""COMPUTED_VALUE"""),12.0)</f>
        <v>12</v>
      </c>
      <c r="I626" s="13" t="str">
        <f>IFERROR(__xludf.DUMMYFUNCTION("""COMPUTED_VALUE"""),"General Petite")</f>
        <v>General Petite</v>
      </c>
      <c r="J626" s="13" t="str">
        <f>IFERROR(__xludf.DUMMYFUNCTION("""COMPUTED_VALUE"""),"Intimate")</f>
        <v>Intimate</v>
      </c>
      <c r="K626" s="13" t="str">
        <f>IFERROR(__xludf.DUMMYFUNCTION("""COMPUTED_VALUE"""),"Lounge")</f>
        <v>Lounge</v>
      </c>
      <c r="L626" s="13"/>
    </row>
    <row r="627">
      <c r="A627" s="13">
        <f>IFERROR(__xludf.DUMMYFUNCTION("""COMPUTED_VALUE"""),625.0)</f>
        <v>625</v>
      </c>
      <c r="B627" s="13">
        <f>IFERROR(__xludf.DUMMYFUNCTION("""COMPUTED_VALUE"""),252.0)</f>
        <v>252</v>
      </c>
      <c r="C627" s="13">
        <f>IFERROR(__xludf.DUMMYFUNCTION("""COMPUTED_VALUE"""),28.0)</f>
        <v>28</v>
      </c>
      <c r="D627" s="12" t="str">
        <f>IFERROR(__xludf.DUMMYFUNCTION("""COMPUTED_VALUE"""),"My new favorite swim suit")</f>
        <v>My new favorite swim suit</v>
      </c>
      <c r="E627" s="12" t="str">
        <f>IFERROR(__xludf.DUMMYFUNCTION("""COMPUTED_VALUE"""),"The colors and fit of this suit are even better than described. it is the most comfortable and flattering one-piece i have ever tried on. 
as noted by other reviewers, there is limited support in the chest; this suit will keep you covered but does not pr"&amp;"ovide lift.")</f>
        <v>The colors and fit of this suit are even better than described. it is the most comfortable and flattering one-piece i have ever tried on. 
as noted by other reviewers, there is limited support in the chest; this suit will keep you covered but does not provide lift.</v>
      </c>
      <c r="F627" s="13">
        <f>IFERROR(__xludf.DUMMYFUNCTION("""COMPUTED_VALUE"""),5.0)</f>
        <v>5</v>
      </c>
      <c r="G627" s="13">
        <f>IFERROR(__xludf.DUMMYFUNCTION("""COMPUTED_VALUE"""),1.0)</f>
        <v>1</v>
      </c>
      <c r="H627" s="13">
        <f>IFERROR(__xludf.DUMMYFUNCTION("""COMPUTED_VALUE"""),0.0)</f>
        <v>0</v>
      </c>
      <c r="I627" s="13" t="str">
        <f>IFERROR(__xludf.DUMMYFUNCTION("""COMPUTED_VALUE"""),"Initmates")</f>
        <v>Initmates</v>
      </c>
      <c r="J627" s="13" t="str">
        <f>IFERROR(__xludf.DUMMYFUNCTION("""COMPUTED_VALUE"""),"Intimate")</f>
        <v>Intimate</v>
      </c>
      <c r="K627" s="13" t="str">
        <f>IFERROR(__xludf.DUMMYFUNCTION("""COMPUTED_VALUE"""),"Swim")</f>
        <v>Swim</v>
      </c>
      <c r="L627" s="13"/>
    </row>
    <row r="628">
      <c r="A628" s="13">
        <f>IFERROR(__xludf.DUMMYFUNCTION("""COMPUTED_VALUE"""),626.0)</f>
        <v>626</v>
      </c>
      <c r="B628" s="13">
        <f>IFERROR(__xludf.DUMMYFUNCTION("""COMPUTED_VALUE"""),252.0)</f>
        <v>252</v>
      </c>
      <c r="C628" s="13">
        <f>IFERROR(__xludf.DUMMYFUNCTION("""COMPUTED_VALUE"""),36.0)</f>
        <v>36</v>
      </c>
      <c r="D628" s="12" t="str">
        <f>IFERROR(__xludf.DUMMYFUNCTION("""COMPUTED_VALUE"""),"Perfect suit")</f>
        <v>Perfect suit</v>
      </c>
      <c r="E628" s="12" t="str">
        <f>IFERROR(__xludf.DUMMYFUNCTION("""COMPUTED_VALUE"""),"I had been looking for a one-piece that is fashionable yet practical. fabric is beautiful, fit is impeccable, no complaints on lack of support. i find if you tie it tight up top it's very practical. this was the perfect choice for me. i am 5'3"" 120 lbs a"&amp;"nd ordered the small.")</f>
        <v>I had been looking for a one-piece that is fashionable yet practical. fabric is beautiful, fit is impeccable, no complaints on lack of support. i find if you tie it tight up top it's very practical. this was the perfect choice for me. i am 5'3" 120 lbs and ordered the small.</v>
      </c>
      <c r="F628" s="13">
        <f>IFERROR(__xludf.DUMMYFUNCTION("""COMPUTED_VALUE"""),5.0)</f>
        <v>5</v>
      </c>
      <c r="G628" s="13">
        <f>IFERROR(__xludf.DUMMYFUNCTION("""COMPUTED_VALUE"""),1.0)</f>
        <v>1</v>
      </c>
      <c r="H628" s="13">
        <f>IFERROR(__xludf.DUMMYFUNCTION("""COMPUTED_VALUE"""),4.0)</f>
        <v>4</v>
      </c>
      <c r="I628" s="13" t="str">
        <f>IFERROR(__xludf.DUMMYFUNCTION("""COMPUTED_VALUE"""),"Initmates")</f>
        <v>Initmates</v>
      </c>
      <c r="J628" s="13" t="str">
        <f>IFERROR(__xludf.DUMMYFUNCTION("""COMPUTED_VALUE"""),"Intimate")</f>
        <v>Intimate</v>
      </c>
      <c r="K628" s="13" t="str">
        <f>IFERROR(__xludf.DUMMYFUNCTION("""COMPUTED_VALUE"""),"Swim")</f>
        <v>Swim</v>
      </c>
      <c r="L628" s="13"/>
    </row>
    <row r="629">
      <c r="A629" s="13">
        <f>IFERROR(__xludf.DUMMYFUNCTION("""COMPUTED_VALUE"""),627.0)</f>
        <v>627</v>
      </c>
      <c r="B629" s="13">
        <f>IFERROR(__xludf.DUMMYFUNCTION("""COMPUTED_VALUE"""),634.0)</f>
        <v>634</v>
      </c>
      <c r="C629" s="13">
        <f>IFERROR(__xludf.DUMMYFUNCTION("""COMPUTED_VALUE"""),40.0)</f>
        <v>40</v>
      </c>
      <c r="D629" s="12" t="str">
        <f>IFERROR(__xludf.DUMMYFUNCTION("""COMPUTED_VALUE"""),"Luxurious sleepwear")</f>
        <v>Luxurious sleepwear</v>
      </c>
      <c r="E629" s="12" t="str">
        <f>IFERROR(__xludf.DUMMYFUNCTION("""COMPUTED_VALUE"""),"This is a very comfortable and sexy sleep dress, the way it drapes. i can see that the type of fabric is not suitable for out and about activities and can catch on snags, etc. very easily. once i relegated it to the nightgown category it became my favorit"&amp;"e item to wear and lounge in.")</f>
        <v>This is a very comfortable and sexy sleep dress, the way it drapes. i can see that the type of fabric is not suitable for out and about activities and can catch on snags, etc. very easily. once i relegated it to the nightgown category it became my favorite item to wear and lounge in.</v>
      </c>
      <c r="F629" s="13">
        <f>IFERROR(__xludf.DUMMYFUNCTION("""COMPUTED_VALUE"""),4.0)</f>
        <v>4</v>
      </c>
      <c r="G629" s="13">
        <f>IFERROR(__xludf.DUMMYFUNCTION("""COMPUTED_VALUE"""),1.0)</f>
        <v>1</v>
      </c>
      <c r="H629" s="13">
        <f>IFERROR(__xludf.DUMMYFUNCTION("""COMPUTED_VALUE"""),0.0)</f>
        <v>0</v>
      </c>
      <c r="I629" s="13" t="str">
        <f>IFERROR(__xludf.DUMMYFUNCTION("""COMPUTED_VALUE"""),"General Petite")</f>
        <v>General Petite</v>
      </c>
      <c r="J629" s="13" t="str">
        <f>IFERROR(__xludf.DUMMYFUNCTION("""COMPUTED_VALUE"""),"Intimate")</f>
        <v>Intimate</v>
      </c>
      <c r="K629" s="13" t="str">
        <f>IFERROR(__xludf.DUMMYFUNCTION("""COMPUTED_VALUE"""),"Lounge")</f>
        <v>Lounge</v>
      </c>
      <c r="L629" s="13"/>
    </row>
    <row r="630">
      <c r="A630" s="13">
        <f>IFERROR(__xludf.DUMMYFUNCTION("""COMPUTED_VALUE"""),628.0)</f>
        <v>628</v>
      </c>
      <c r="B630" s="13">
        <f>IFERROR(__xludf.DUMMYFUNCTION("""COMPUTED_VALUE"""),1059.0)</f>
        <v>1059</v>
      </c>
      <c r="C630" s="13">
        <f>IFERROR(__xludf.DUMMYFUNCTION("""COMPUTED_VALUE"""),80.0)</f>
        <v>80</v>
      </c>
      <c r="D630" s="12" t="str">
        <f>IFERROR(__xludf.DUMMYFUNCTION("""COMPUTED_VALUE"""),"Please restock!!!")</f>
        <v>Please restock!!!</v>
      </c>
      <c r="E630" s="12" t="str">
        <f>IFERROR(__xludf.DUMMYFUNCTION("""COMPUTED_VALUE"""),"These sold out in my size 16 before i even knew they existed! (probably a great indication that your in-between and plus-size customers are hungry for more options from you). please restock so i can get in on this apparently-perfect pant!")</f>
        <v>These sold out in my size 16 before i even knew they existed! (probably a great indication that your in-between and plus-size customers are hungry for more options from you). please restock so i can get in on this apparently-perfect pant!</v>
      </c>
      <c r="F630" s="13">
        <f>IFERROR(__xludf.DUMMYFUNCTION("""COMPUTED_VALUE"""),5.0)</f>
        <v>5</v>
      </c>
      <c r="G630" s="13">
        <f>IFERROR(__xludf.DUMMYFUNCTION("""COMPUTED_VALUE"""),1.0)</f>
        <v>1</v>
      </c>
      <c r="H630" s="13">
        <f>IFERROR(__xludf.DUMMYFUNCTION("""COMPUTED_VALUE"""),6.0)</f>
        <v>6</v>
      </c>
      <c r="I630" s="13" t="str">
        <f>IFERROR(__xludf.DUMMYFUNCTION("""COMPUTED_VALUE"""),"General")</f>
        <v>General</v>
      </c>
      <c r="J630" s="13" t="str">
        <f>IFERROR(__xludf.DUMMYFUNCTION("""COMPUTED_VALUE"""),"Bottoms")</f>
        <v>Bottoms</v>
      </c>
      <c r="K630" s="13" t="str">
        <f>IFERROR(__xludf.DUMMYFUNCTION("""COMPUTED_VALUE"""),"Pants")</f>
        <v>Pants</v>
      </c>
      <c r="L630" s="13"/>
    </row>
    <row r="631">
      <c r="A631" s="13">
        <f>IFERROR(__xludf.DUMMYFUNCTION("""COMPUTED_VALUE"""),629.0)</f>
        <v>629</v>
      </c>
      <c r="B631" s="13">
        <f>IFERROR(__xludf.DUMMYFUNCTION("""COMPUTED_VALUE"""),838.0)</f>
        <v>838</v>
      </c>
      <c r="C631" s="13">
        <f>IFERROR(__xludf.DUMMYFUNCTION("""COMPUTED_VALUE"""),44.0)</f>
        <v>44</v>
      </c>
      <c r="D631" s="12" t="str">
        <f>IFERROR(__xludf.DUMMYFUNCTION("""COMPUTED_VALUE"""),"Cute and unique!")</f>
        <v>Cute and unique!</v>
      </c>
      <c r="E631" s="12" t="str">
        <f>IFERROR(__xludf.DUMMYFUNCTION("""COMPUTED_VALUE"""),"I love this top! i gave it a four star because i wish it were a tad longer. i am short... 5'-1 and it does work for me, but i do tend to like my tops longer. very cute and airy in the back!")</f>
        <v>I love this top! i gave it a four star because i wish it were a tad longer. i am short... 5'-1 and it does work for me, but i do tend to like my tops longer. very cute and airy in the back!</v>
      </c>
      <c r="F631" s="13">
        <f>IFERROR(__xludf.DUMMYFUNCTION("""COMPUTED_VALUE"""),4.0)</f>
        <v>4</v>
      </c>
      <c r="G631" s="13">
        <f>IFERROR(__xludf.DUMMYFUNCTION("""COMPUTED_VALUE"""),1.0)</f>
        <v>1</v>
      </c>
      <c r="H631" s="13">
        <f>IFERROR(__xludf.DUMMYFUNCTION("""COMPUTED_VALUE"""),0.0)</f>
        <v>0</v>
      </c>
      <c r="I631" s="13" t="str">
        <f>IFERROR(__xludf.DUMMYFUNCTION("""COMPUTED_VALUE"""),"General")</f>
        <v>General</v>
      </c>
      <c r="J631" s="13" t="str">
        <f>IFERROR(__xludf.DUMMYFUNCTION("""COMPUTED_VALUE"""),"Tops")</f>
        <v>Tops</v>
      </c>
      <c r="K631" s="13" t="str">
        <f>IFERROR(__xludf.DUMMYFUNCTION("""COMPUTED_VALUE"""),"Blouses")</f>
        <v>Blouses</v>
      </c>
      <c r="L631" s="13"/>
    </row>
    <row r="632">
      <c r="A632" s="13">
        <f>IFERROR(__xludf.DUMMYFUNCTION("""COMPUTED_VALUE"""),630.0)</f>
        <v>630</v>
      </c>
      <c r="B632" s="13">
        <f>IFERROR(__xludf.DUMMYFUNCTION("""COMPUTED_VALUE"""),252.0)</f>
        <v>252</v>
      </c>
      <c r="C632" s="13">
        <f>IFERROR(__xludf.DUMMYFUNCTION("""COMPUTED_VALUE"""),36.0)</f>
        <v>36</v>
      </c>
      <c r="D632" s="12" t="str">
        <f>IFERROR(__xludf.DUMMYFUNCTION("""COMPUTED_VALUE"""),"Great suit for busy moms!")</f>
        <v>Great suit for busy moms!</v>
      </c>
      <c r="E632" s="12" t="str">
        <f>IFERROR(__xludf.DUMMYFUNCTION("""COMPUTED_VALUE"""),"This suit fits like a glove! i've had five kids and am currently nursing my last baby so i was looking for a suit to wear to the beach this summer when i'm just not feeling a bikini. this is it! it's comfortable and not binding easy to nursing and swim in"&amp;". overall worth the extra splurge. i'm tall too so it was plenty long on my torso.")</f>
        <v>This suit fits like a glove! i've had five kids and am currently nursing my last baby so i was looking for a suit to wear to the beach this summer when i'm just not feeling a bikini. this is it! it's comfortable and not binding easy to nursing and swim in. overall worth the extra splurge. i'm tall too so it was plenty long on my torso.</v>
      </c>
      <c r="F632" s="13">
        <f>IFERROR(__xludf.DUMMYFUNCTION("""COMPUTED_VALUE"""),5.0)</f>
        <v>5</v>
      </c>
      <c r="G632" s="13">
        <f>IFERROR(__xludf.DUMMYFUNCTION("""COMPUTED_VALUE"""),1.0)</f>
        <v>1</v>
      </c>
      <c r="H632" s="13">
        <f>IFERROR(__xludf.DUMMYFUNCTION("""COMPUTED_VALUE"""),3.0)</f>
        <v>3</v>
      </c>
      <c r="I632" s="13" t="str">
        <f>IFERROR(__xludf.DUMMYFUNCTION("""COMPUTED_VALUE"""),"Initmates")</f>
        <v>Initmates</v>
      </c>
      <c r="J632" s="13" t="str">
        <f>IFERROR(__xludf.DUMMYFUNCTION("""COMPUTED_VALUE"""),"Intimate")</f>
        <v>Intimate</v>
      </c>
      <c r="K632" s="13" t="str">
        <f>IFERROR(__xludf.DUMMYFUNCTION("""COMPUTED_VALUE"""),"Swim")</f>
        <v>Swim</v>
      </c>
      <c r="L632" s="13"/>
    </row>
    <row r="633">
      <c r="A633" s="13">
        <f>IFERROR(__xludf.DUMMYFUNCTION("""COMPUTED_VALUE"""),631.0)</f>
        <v>631</v>
      </c>
      <c r="B633" s="13">
        <f>IFERROR(__xludf.DUMMYFUNCTION("""COMPUTED_VALUE"""),838.0)</f>
        <v>838</v>
      </c>
      <c r="C633" s="13">
        <f>IFERROR(__xludf.DUMMYFUNCTION("""COMPUTED_VALUE"""),41.0)</f>
        <v>41</v>
      </c>
      <c r="D633" s="12" t="str">
        <f>IFERROR(__xludf.DUMMYFUNCTION("""COMPUTED_VALUE"""),"Beautiful top")</f>
        <v>Beautiful top</v>
      </c>
      <c r="E633" s="12" t="str">
        <f>IFERROR(__xludf.DUMMYFUNCTION("""COMPUTED_VALUE"""),"Cute top! the bright red crochet shoulders and back add the perfect pop of color to the light blue pinstriped front. it's a little loose and boxy around the bust area but overall i think it's a flattering shape. i got the regular s and don't find it too s"&amp;"hort. for reference i'm 5'2"", 134 lb, 34b. i often wear petite sizes but due to other reviews mentioning that the top is short i ordered the regular size and am happy with the length and fit.")</f>
        <v>Cute top! the bright red crochet shoulders and back add the perfect pop of color to the light blue pinstriped front. it's a little loose and boxy around the bust area but overall i think it's a flattering shape. i got the regular s and don't find it too short. for reference i'm 5'2", 134 lb, 34b. i often wear petite sizes but due to other reviews mentioning that the top is short i ordered the regular size and am happy with the length and fit.</v>
      </c>
      <c r="F633" s="13">
        <f>IFERROR(__xludf.DUMMYFUNCTION("""COMPUTED_VALUE"""),5.0)</f>
        <v>5</v>
      </c>
      <c r="G633" s="13">
        <f>IFERROR(__xludf.DUMMYFUNCTION("""COMPUTED_VALUE"""),1.0)</f>
        <v>1</v>
      </c>
      <c r="H633" s="13">
        <f>IFERROR(__xludf.DUMMYFUNCTION("""COMPUTED_VALUE"""),2.0)</f>
        <v>2</v>
      </c>
      <c r="I633" s="13" t="str">
        <f>IFERROR(__xludf.DUMMYFUNCTION("""COMPUTED_VALUE"""),"General")</f>
        <v>General</v>
      </c>
      <c r="J633" s="13" t="str">
        <f>IFERROR(__xludf.DUMMYFUNCTION("""COMPUTED_VALUE"""),"Tops")</f>
        <v>Tops</v>
      </c>
      <c r="K633" s="13" t="str">
        <f>IFERROR(__xludf.DUMMYFUNCTION("""COMPUTED_VALUE"""),"Blouses")</f>
        <v>Blouses</v>
      </c>
      <c r="L633" s="13"/>
    </row>
    <row r="634">
      <c r="A634" s="13">
        <f>IFERROR(__xludf.DUMMYFUNCTION("""COMPUTED_VALUE"""),632.0)</f>
        <v>632</v>
      </c>
      <c r="B634" s="13">
        <f>IFERROR(__xludf.DUMMYFUNCTION("""COMPUTED_VALUE"""),838.0)</f>
        <v>838</v>
      </c>
      <c r="C634" s="13">
        <f>IFERROR(__xludf.DUMMYFUNCTION("""COMPUTED_VALUE"""),48.0)</f>
        <v>48</v>
      </c>
      <c r="D634" s="12" t="str">
        <f>IFERROR(__xludf.DUMMYFUNCTION("""COMPUTED_VALUE"""),"Boxy and short")</f>
        <v>Boxy and short</v>
      </c>
      <c r="E634" s="12" t="str">
        <f>IFERROR(__xludf.DUMMYFUNCTION("""COMPUTED_VALUE"""),"This top looked super cute online but when it came it was super short and boxy. looked like a tent on me. this one went back the same day it came!")</f>
        <v>This top looked super cute online but when it came it was super short and boxy. looked like a tent on me. this one went back the same day it came!</v>
      </c>
      <c r="F634" s="13">
        <f>IFERROR(__xludf.DUMMYFUNCTION("""COMPUTED_VALUE"""),1.0)</f>
        <v>1</v>
      </c>
      <c r="G634" s="13">
        <f>IFERROR(__xludf.DUMMYFUNCTION("""COMPUTED_VALUE"""),0.0)</f>
        <v>0</v>
      </c>
      <c r="H634" s="13">
        <f>IFERROR(__xludf.DUMMYFUNCTION("""COMPUTED_VALUE"""),3.0)</f>
        <v>3</v>
      </c>
      <c r="I634" s="13" t="str">
        <f>IFERROR(__xludf.DUMMYFUNCTION("""COMPUTED_VALUE"""),"General")</f>
        <v>General</v>
      </c>
      <c r="J634" s="13" t="str">
        <f>IFERROR(__xludf.DUMMYFUNCTION("""COMPUTED_VALUE"""),"Tops")</f>
        <v>Tops</v>
      </c>
      <c r="K634" s="13" t="str">
        <f>IFERROR(__xludf.DUMMYFUNCTION("""COMPUTED_VALUE"""),"Blouses")</f>
        <v>Blouses</v>
      </c>
      <c r="L634" s="13"/>
    </row>
    <row r="635">
      <c r="A635" s="13">
        <f>IFERROR(__xludf.DUMMYFUNCTION("""COMPUTED_VALUE"""),633.0)</f>
        <v>633</v>
      </c>
      <c r="B635" s="13">
        <f>IFERROR(__xludf.DUMMYFUNCTION("""COMPUTED_VALUE"""),634.0)</f>
        <v>634</v>
      </c>
      <c r="C635" s="13">
        <f>IFERROR(__xludf.DUMMYFUNCTION("""COMPUTED_VALUE"""),49.0)</f>
        <v>49</v>
      </c>
      <c r="D635" s="12"/>
      <c r="E635" s="12" t="str">
        <f>IFERROR(__xludf.DUMMYFUNCTION("""COMPUTED_VALUE"""),"Comfy easy dress. i bought the black version. fabric is so soft. i wear this around house, but don't hesitate to run out in it if needed. i bought medium so it was roomier and for length since i'm tall. small also fit, but was shorter than i wanted.")</f>
        <v>Comfy easy dress. i bought the black version. fabric is so soft. i wear this around house, but don't hesitate to run out in it if needed. i bought medium so it was roomier and for length since i'm tall. small also fit, but was shorter than i wanted.</v>
      </c>
      <c r="F635" s="13">
        <f>IFERROR(__xludf.DUMMYFUNCTION("""COMPUTED_VALUE"""),5.0)</f>
        <v>5</v>
      </c>
      <c r="G635" s="13">
        <f>IFERROR(__xludf.DUMMYFUNCTION("""COMPUTED_VALUE"""),1.0)</f>
        <v>1</v>
      </c>
      <c r="H635" s="13">
        <f>IFERROR(__xludf.DUMMYFUNCTION("""COMPUTED_VALUE"""),11.0)</f>
        <v>11</v>
      </c>
      <c r="I635" s="13" t="str">
        <f>IFERROR(__xludf.DUMMYFUNCTION("""COMPUTED_VALUE"""),"General Petite")</f>
        <v>General Petite</v>
      </c>
      <c r="J635" s="13" t="str">
        <f>IFERROR(__xludf.DUMMYFUNCTION("""COMPUTED_VALUE"""),"Intimate")</f>
        <v>Intimate</v>
      </c>
      <c r="K635" s="13" t="str">
        <f>IFERROR(__xludf.DUMMYFUNCTION("""COMPUTED_VALUE"""),"Lounge")</f>
        <v>Lounge</v>
      </c>
      <c r="L635" s="13"/>
    </row>
    <row r="636">
      <c r="A636" s="13">
        <f>IFERROR(__xludf.DUMMYFUNCTION("""COMPUTED_VALUE"""),634.0)</f>
        <v>634</v>
      </c>
      <c r="B636" s="13">
        <f>IFERROR(__xludf.DUMMYFUNCTION("""COMPUTED_VALUE"""),1059.0)</f>
        <v>1059</v>
      </c>
      <c r="C636" s="13">
        <f>IFERROR(__xludf.DUMMYFUNCTION("""COMPUTED_VALUE"""),42.0)</f>
        <v>42</v>
      </c>
      <c r="D636" s="12" t="str">
        <f>IFERROR(__xludf.DUMMYFUNCTION("""COMPUTED_VALUE"""),"Wanted to love these...but...meh...")</f>
        <v>Wanted to love these...but...meh...</v>
      </c>
      <c r="E636" s="12" t="str">
        <f>IFERROR(__xludf.DUMMYFUNCTION("""COMPUTED_VALUE"""),"Uncertain about sizing i got both the 4 &amp; the 6...both made me look like a no-asser :( neither fit quite right in the leg. both hit at a weird point in my calf, not cute-short, just off. (i'm 5'8"" and 125#) to quote my husband, ""nope. not feeling these."&amp;""" that said, they feel great on, seem to be made well, but are heading back to an retailer near you :( sigh. the quest continues :)")</f>
        <v>Uncertain about sizing i got both the 4 &amp; the 6...both made me look like a no-asser :( neither fit quite right in the leg. both hit at a weird point in my calf, not cute-short, just off. (i'm 5'8" and 125#) to quote my husband, "nope. not feeling these." that said, they feel great on, seem to be made well, but are heading back to an retailer near you :( sigh. the quest continues :)</v>
      </c>
      <c r="F636" s="13">
        <f>IFERROR(__xludf.DUMMYFUNCTION("""COMPUTED_VALUE"""),3.0)</f>
        <v>3</v>
      </c>
      <c r="G636" s="13">
        <f>IFERROR(__xludf.DUMMYFUNCTION("""COMPUTED_VALUE"""),0.0)</f>
        <v>0</v>
      </c>
      <c r="H636" s="13">
        <f>IFERROR(__xludf.DUMMYFUNCTION("""COMPUTED_VALUE"""),1.0)</f>
        <v>1</v>
      </c>
      <c r="I636" s="13" t="str">
        <f>IFERROR(__xludf.DUMMYFUNCTION("""COMPUTED_VALUE"""),"General")</f>
        <v>General</v>
      </c>
      <c r="J636" s="13" t="str">
        <f>IFERROR(__xludf.DUMMYFUNCTION("""COMPUTED_VALUE"""),"Bottoms")</f>
        <v>Bottoms</v>
      </c>
      <c r="K636" s="13" t="str">
        <f>IFERROR(__xludf.DUMMYFUNCTION("""COMPUTED_VALUE"""),"Pants")</f>
        <v>Pants</v>
      </c>
      <c r="L636" s="13"/>
    </row>
    <row r="637">
      <c r="A637" s="13">
        <f>IFERROR(__xludf.DUMMYFUNCTION("""COMPUTED_VALUE"""),635.0)</f>
        <v>635</v>
      </c>
      <c r="B637" s="13">
        <f>IFERROR(__xludf.DUMMYFUNCTION("""COMPUTED_VALUE"""),634.0)</f>
        <v>634</v>
      </c>
      <c r="C637" s="13">
        <f>IFERROR(__xludf.DUMMYFUNCTION("""COMPUTED_VALUE"""),37.0)</f>
        <v>37</v>
      </c>
      <c r="D637" s="12" t="str">
        <f>IFERROR(__xludf.DUMMYFUNCTION("""COMPUTED_VALUE"""),"Comfy and cute")</f>
        <v>Comfy and cute</v>
      </c>
      <c r="E637" s="12" t="str">
        <f>IFERROR(__xludf.DUMMYFUNCTION("""COMPUTED_VALUE"""),"I love this dress for day and night time. the back detail is cute and works well with a racerback bra. it runs big though. i'm normally a small in dresses and the arm holes are too big in the size small on me. it was also generally too big all over. i lik"&amp;"e the length and the weight of the fabric. i purchased in the off black color.")</f>
        <v>I love this dress for day and night time. the back detail is cute and works well with a racerback bra. it runs big though. i'm normally a small in dresses and the arm holes are too big in the size small on me. it was also generally too big all over. i like the length and the weight of the fabric. i purchased in the off black color.</v>
      </c>
      <c r="F637" s="13">
        <f>IFERROR(__xludf.DUMMYFUNCTION("""COMPUTED_VALUE"""),4.0)</f>
        <v>4</v>
      </c>
      <c r="G637" s="13">
        <f>IFERROR(__xludf.DUMMYFUNCTION("""COMPUTED_VALUE"""),1.0)</f>
        <v>1</v>
      </c>
      <c r="H637" s="13">
        <f>IFERROR(__xludf.DUMMYFUNCTION("""COMPUTED_VALUE"""),0.0)</f>
        <v>0</v>
      </c>
      <c r="I637" s="13" t="str">
        <f>IFERROR(__xludf.DUMMYFUNCTION("""COMPUTED_VALUE"""),"General Petite")</f>
        <v>General Petite</v>
      </c>
      <c r="J637" s="13" t="str">
        <f>IFERROR(__xludf.DUMMYFUNCTION("""COMPUTED_VALUE"""),"Intimate")</f>
        <v>Intimate</v>
      </c>
      <c r="K637" s="13" t="str">
        <f>IFERROR(__xludf.DUMMYFUNCTION("""COMPUTED_VALUE"""),"Lounge")</f>
        <v>Lounge</v>
      </c>
      <c r="L637" s="13"/>
    </row>
    <row r="638">
      <c r="A638" s="13">
        <f>IFERROR(__xludf.DUMMYFUNCTION("""COMPUTED_VALUE"""),636.0)</f>
        <v>636</v>
      </c>
      <c r="B638" s="13">
        <f>IFERROR(__xludf.DUMMYFUNCTION("""COMPUTED_VALUE"""),1008.0)</f>
        <v>1008</v>
      </c>
      <c r="C638" s="13">
        <f>IFERROR(__xludf.DUMMYFUNCTION("""COMPUTED_VALUE"""),38.0)</f>
        <v>38</v>
      </c>
      <c r="D638" s="12" t="str">
        <f>IFERROR(__xludf.DUMMYFUNCTION("""COMPUTED_VALUE"""),"Vibrant, effortless, beautiful")</f>
        <v>Vibrant, effortless, beautiful</v>
      </c>
      <c r="E638" s="12" t="str">
        <f>IFERROR(__xludf.DUMMYFUNCTION("""COMPUTED_VALUE"""),"I had my reservations given that i'm petite (5'2"", 108lbs) and it's midi style. i'm glad that i took a chance. i bought the red motif and it's beautiful. it's wrinkle-free right out of the package. the color is vibrant and the style is classic and effort"&amp;"less. fits true-to-size. great for work with a black tee as shown in the picture.")</f>
        <v>I had my reservations given that i'm petite (5'2", 108lbs) and it's midi style. i'm glad that i took a chance. i bought the red motif and it's beautiful. it's wrinkle-free right out of the package. the color is vibrant and the style is classic and effortless. fits true-to-size. great for work with a black tee as shown in the picture.</v>
      </c>
      <c r="F638" s="13">
        <f>IFERROR(__xludf.DUMMYFUNCTION("""COMPUTED_VALUE"""),5.0)</f>
        <v>5</v>
      </c>
      <c r="G638" s="13">
        <f>IFERROR(__xludf.DUMMYFUNCTION("""COMPUTED_VALUE"""),1.0)</f>
        <v>1</v>
      </c>
      <c r="H638" s="13">
        <f>IFERROR(__xludf.DUMMYFUNCTION("""COMPUTED_VALUE"""),4.0)</f>
        <v>4</v>
      </c>
      <c r="I638" s="13" t="str">
        <f>IFERROR(__xludf.DUMMYFUNCTION("""COMPUTED_VALUE"""),"General")</f>
        <v>General</v>
      </c>
      <c r="J638" s="13" t="str">
        <f>IFERROR(__xludf.DUMMYFUNCTION("""COMPUTED_VALUE"""),"Bottoms")</f>
        <v>Bottoms</v>
      </c>
      <c r="K638" s="13" t="str">
        <f>IFERROR(__xludf.DUMMYFUNCTION("""COMPUTED_VALUE"""),"Skirts")</f>
        <v>Skirts</v>
      </c>
      <c r="L638" s="13"/>
    </row>
    <row r="639">
      <c r="A639" s="13">
        <f>IFERROR(__xludf.DUMMYFUNCTION("""COMPUTED_VALUE"""),637.0)</f>
        <v>637</v>
      </c>
      <c r="B639" s="13">
        <f>IFERROR(__xludf.DUMMYFUNCTION("""COMPUTED_VALUE"""),838.0)</f>
        <v>838</v>
      </c>
      <c r="C639" s="13">
        <f>IFERROR(__xludf.DUMMYFUNCTION("""COMPUTED_VALUE"""),58.0)</f>
        <v>58</v>
      </c>
      <c r="D639" s="12"/>
      <c r="E639" s="12" t="str">
        <f>IFERROR(__xludf.DUMMYFUNCTION("""COMPUTED_VALUE"""),"Cute comfortable top. fits well and will look great with skinny jeans.")</f>
        <v>Cute comfortable top. fits well and will look great with skinny jeans.</v>
      </c>
      <c r="F639" s="13">
        <f>IFERROR(__xludf.DUMMYFUNCTION("""COMPUTED_VALUE"""),5.0)</f>
        <v>5</v>
      </c>
      <c r="G639" s="13">
        <f>IFERROR(__xludf.DUMMYFUNCTION("""COMPUTED_VALUE"""),1.0)</f>
        <v>1</v>
      </c>
      <c r="H639" s="13">
        <f>IFERROR(__xludf.DUMMYFUNCTION("""COMPUTED_VALUE"""),0.0)</f>
        <v>0</v>
      </c>
      <c r="I639" s="13" t="str">
        <f>IFERROR(__xludf.DUMMYFUNCTION("""COMPUTED_VALUE"""),"General")</f>
        <v>General</v>
      </c>
      <c r="J639" s="13" t="str">
        <f>IFERROR(__xludf.DUMMYFUNCTION("""COMPUTED_VALUE"""),"Tops")</f>
        <v>Tops</v>
      </c>
      <c r="K639" s="13" t="str">
        <f>IFERROR(__xludf.DUMMYFUNCTION("""COMPUTED_VALUE"""),"Blouses")</f>
        <v>Blouses</v>
      </c>
      <c r="L639" s="13"/>
    </row>
    <row r="640">
      <c r="A640" s="13">
        <f>IFERROR(__xludf.DUMMYFUNCTION("""COMPUTED_VALUE"""),638.0)</f>
        <v>638</v>
      </c>
      <c r="B640" s="13">
        <f>IFERROR(__xludf.DUMMYFUNCTION("""COMPUTED_VALUE"""),620.0)</f>
        <v>620</v>
      </c>
      <c r="C640" s="13">
        <f>IFERROR(__xludf.DUMMYFUNCTION("""COMPUTED_VALUE"""),47.0)</f>
        <v>47</v>
      </c>
      <c r="D640" s="12" t="str">
        <f>IFERROR(__xludf.DUMMYFUNCTION("""COMPUTED_VALUE"""),"Very cute and comfortable")</f>
        <v>Very cute and comfortable</v>
      </c>
      <c r="E640" s="12" t="str">
        <f>IFERROR(__xludf.DUMMYFUNCTION("""COMPUTED_VALUE"""),"I got the shorts and the blue motif they're really comfortable and will look cute with a tank top for the weekend.   they true to size them usually a size 4 to 6 and i got a small and that works.")</f>
        <v>I got the shorts and the blue motif they're really comfortable and will look cute with a tank top for the weekend.   they true to size them usually a size 4 to 6 and i got a small and that works.</v>
      </c>
      <c r="F640" s="13">
        <f>IFERROR(__xludf.DUMMYFUNCTION("""COMPUTED_VALUE"""),4.0)</f>
        <v>4</v>
      </c>
      <c r="G640" s="13">
        <f>IFERROR(__xludf.DUMMYFUNCTION("""COMPUTED_VALUE"""),1.0)</f>
        <v>1</v>
      </c>
      <c r="H640" s="13">
        <f>IFERROR(__xludf.DUMMYFUNCTION("""COMPUTED_VALUE"""),2.0)</f>
        <v>2</v>
      </c>
      <c r="I640" s="13" t="str">
        <f>IFERROR(__xludf.DUMMYFUNCTION("""COMPUTED_VALUE"""),"General")</f>
        <v>General</v>
      </c>
      <c r="J640" s="13" t="str">
        <f>IFERROR(__xludf.DUMMYFUNCTION("""COMPUTED_VALUE"""),"Bottoms")</f>
        <v>Bottoms</v>
      </c>
      <c r="K640" s="13" t="str">
        <f>IFERROR(__xludf.DUMMYFUNCTION("""COMPUTED_VALUE"""),"Shorts")</f>
        <v>Shorts</v>
      </c>
      <c r="L640" s="13"/>
    </row>
    <row r="641">
      <c r="A641" s="13">
        <f>IFERROR(__xludf.DUMMYFUNCTION("""COMPUTED_VALUE"""),639.0)</f>
        <v>639</v>
      </c>
      <c r="B641" s="13">
        <f>IFERROR(__xludf.DUMMYFUNCTION("""COMPUTED_VALUE"""),634.0)</f>
        <v>634</v>
      </c>
      <c r="C641" s="13">
        <f>IFERROR(__xludf.DUMMYFUNCTION("""COMPUTED_VALUE"""),36.0)</f>
        <v>36</v>
      </c>
      <c r="D641" s="12" t="str">
        <f>IFERROR(__xludf.DUMMYFUNCTION("""COMPUTED_VALUE"""),"Super comfy")</f>
        <v>Super comfy</v>
      </c>
      <c r="E641" s="12" t="str">
        <f>IFERROR(__xludf.DUMMYFUNCTION("""COMPUTED_VALUE"""),"I purchased this dress in black and love it. its hot where i live so i am always looking for a lightweight dress that i can throw on either after the pool or out and about. i wore it to an outside concert with sandals and a simple braid, it was perfect! c"&amp;"onsidering ordering it in another color!")</f>
        <v>I purchased this dress in black and love it. its hot where i live so i am always looking for a lightweight dress that i can throw on either after the pool or out and about. i wore it to an outside concert with sandals and a simple braid, it was perfect! considering ordering it in another color!</v>
      </c>
      <c r="F641" s="13">
        <f>IFERROR(__xludf.DUMMYFUNCTION("""COMPUTED_VALUE"""),5.0)</f>
        <v>5</v>
      </c>
      <c r="G641" s="13">
        <f>IFERROR(__xludf.DUMMYFUNCTION("""COMPUTED_VALUE"""),1.0)</f>
        <v>1</v>
      </c>
      <c r="H641" s="13">
        <f>IFERROR(__xludf.DUMMYFUNCTION("""COMPUTED_VALUE"""),1.0)</f>
        <v>1</v>
      </c>
      <c r="I641" s="13" t="str">
        <f>IFERROR(__xludf.DUMMYFUNCTION("""COMPUTED_VALUE"""),"General Petite")</f>
        <v>General Petite</v>
      </c>
      <c r="J641" s="13" t="str">
        <f>IFERROR(__xludf.DUMMYFUNCTION("""COMPUTED_VALUE"""),"Intimate")</f>
        <v>Intimate</v>
      </c>
      <c r="K641" s="13" t="str">
        <f>IFERROR(__xludf.DUMMYFUNCTION("""COMPUTED_VALUE"""),"Lounge")</f>
        <v>Lounge</v>
      </c>
      <c r="L641" s="13"/>
    </row>
    <row r="642">
      <c r="A642" s="13">
        <f>IFERROR(__xludf.DUMMYFUNCTION("""COMPUTED_VALUE"""),640.0)</f>
        <v>640</v>
      </c>
      <c r="B642" s="13">
        <f>IFERROR(__xludf.DUMMYFUNCTION("""COMPUTED_VALUE"""),1059.0)</f>
        <v>1059</v>
      </c>
      <c r="C642" s="13">
        <f>IFERROR(__xludf.DUMMYFUNCTION("""COMPUTED_VALUE"""),66.0)</f>
        <v>66</v>
      </c>
      <c r="D642" s="12" t="str">
        <f>IFERROR(__xludf.DUMMYFUNCTION("""COMPUTED_VALUE"""),"Great basic pants!")</f>
        <v>Great basic pants!</v>
      </c>
      <c r="E642" s="12" t="str">
        <f>IFERROR(__xludf.DUMMYFUNCTION("""COMPUTED_VALUE"""),"Perfect fit! can be dressed up or down! more colors please!")</f>
        <v>Perfect fit! can be dressed up or down! more colors please!</v>
      </c>
      <c r="F642" s="13">
        <f>IFERROR(__xludf.DUMMYFUNCTION("""COMPUTED_VALUE"""),5.0)</f>
        <v>5</v>
      </c>
      <c r="G642" s="13">
        <f>IFERROR(__xludf.DUMMYFUNCTION("""COMPUTED_VALUE"""),1.0)</f>
        <v>1</v>
      </c>
      <c r="H642" s="13">
        <f>IFERROR(__xludf.DUMMYFUNCTION("""COMPUTED_VALUE"""),0.0)</f>
        <v>0</v>
      </c>
      <c r="I642" s="13" t="str">
        <f>IFERROR(__xludf.DUMMYFUNCTION("""COMPUTED_VALUE"""),"General")</f>
        <v>General</v>
      </c>
      <c r="J642" s="13" t="str">
        <f>IFERROR(__xludf.DUMMYFUNCTION("""COMPUTED_VALUE"""),"Bottoms")</f>
        <v>Bottoms</v>
      </c>
      <c r="K642" s="13" t="str">
        <f>IFERROR(__xludf.DUMMYFUNCTION("""COMPUTED_VALUE"""),"Pants")</f>
        <v>Pants</v>
      </c>
      <c r="L642" s="13"/>
    </row>
    <row r="643">
      <c r="A643" s="13">
        <f>IFERROR(__xludf.DUMMYFUNCTION("""COMPUTED_VALUE"""),641.0)</f>
        <v>641</v>
      </c>
      <c r="B643" s="13">
        <f>IFERROR(__xludf.DUMMYFUNCTION("""COMPUTED_VALUE"""),1059.0)</f>
        <v>1059</v>
      </c>
      <c r="C643" s="13">
        <f>IFERROR(__xludf.DUMMYFUNCTION("""COMPUTED_VALUE"""),51.0)</f>
        <v>51</v>
      </c>
      <c r="D643" s="12" t="str">
        <f>IFERROR(__xludf.DUMMYFUNCTION("""COMPUTED_VALUE"""),"Great pant")</f>
        <v>Great pant</v>
      </c>
      <c r="E643" s="12" t="str">
        <f>IFERROR(__xludf.DUMMYFUNCTION("""COMPUTED_VALUE"""),"This is a great pant to wear to business and when you just need something more than a jean. not so skinny a 50+ woman can wear comfortably..")</f>
        <v>This is a great pant to wear to business and when you just need something more than a jean. not so skinny a 50+ woman can wear comfortably..</v>
      </c>
      <c r="F643" s="13">
        <f>IFERROR(__xludf.DUMMYFUNCTION("""COMPUTED_VALUE"""),4.0)</f>
        <v>4</v>
      </c>
      <c r="G643" s="13">
        <f>IFERROR(__xludf.DUMMYFUNCTION("""COMPUTED_VALUE"""),1.0)</f>
        <v>1</v>
      </c>
      <c r="H643" s="13">
        <f>IFERROR(__xludf.DUMMYFUNCTION("""COMPUTED_VALUE"""),7.0)</f>
        <v>7</v>
      </c>
      <c r="I643" s="13" t="str">
        <f>IFERROR(__xludf.DUMMYFUNCTION("""COMPUTED_VALUE"""),"General")</f>
        <v>General</v>
      </c>
      <c r="J643" s="13" t="str">
        <f>IFERROR(__xludf.DUMMYFUNCTION("""COMPUTED_VALUE"""),"Bottoms")</f>
        <v>Bottoms</v>
      </c>
      <c r="K643" s="13" t="str">
        <f>IFERROR(__xludf.DUMMYFUNCTION("""COMPUTED_VALUE"""),"Pants")</f>
        <v>Pants</v>
      </c>
      <c r="L643" s="13"/>
    </row>
    <row r="644">
      <c r="A644" s="13">
        <f>IFERROR(__xludf.DUMMYFUNCTION("""COMPUTED_VALUE"""),642.0)</f>
        <v>642</v>
      </c>
      <c r="B644" s="13">
        <f>IFERROR(__xludf.DUMMYFUNCTION("""COMPUTED_VALUE"""),1059.0)</f>
        <v>1059</v>
      </c>
      <c r="C644" s="13">
        <f>IFERROR(__xludf.DUMMYFUNCTION("""COMPUTED_VALUE"""),38.0)</f>
        <v>38</v>
      </c>
      <c r="D644" s="12" t="str">
        <f>IFERROR(__xludf.DUMMYFUNCTION("""COMPUTED_VALUE"""),"Great staple")</f>
        <v>Great staple</v>
      </c>
      <c r="E644" s="12" t="str">
        <f>IFERROR(__xludf.DUMMYFUNCTION("""COMPUTED_VALUE"""),"These are great pants. i love the fit and the taper of the leg. these will be my ""go to"" black pants for the fall season!")</f>
        <v>These are great pants. i love the fit and the taper of the leg. these will be my "go to" black pants for the fall season!</v>
      </c>
      <c r="F644" s="13">
        <f>IFERROR(__xludf.DUMMYFUNCTION("""COMPUTED_VALUE"""),5.0)</f>
        <v>5</v>
      </c>
      <c r="G644" s="13">
        <f>IFERROR(__xludf.DUMMYFUNCTION("""COMPUTED_VALUE"""),1.0)</f>
        <v>1</v>
      </c>
      <c r="H644" s="13">
        <f>IFERROR(__xludf.DUMMYFUNCTION("""COMPUTED_VALUE"""),0.0)</f>
        <v>0</v>
      </c>
      <c r="I644" s="13" t="str">
        <f>IFERROR(__xludf.DUMMYFUNCTION("""COMPUTED_VALUE"""),"General")</f>
        <v>General</v>
      </c>
      <c r="J644" s="13" t="str">
        <f>IFERROR(__xludf.DUMMYFUNCTION("""COMPUTED_VALUE"""),"Bottoms")</f>
        <v>Bottoms</v>
      </c>
      <c r="K644" s="13" t="str">
        <f>IFERROR(__xludf.DUMMYFUNCTION("""COMPUTED_VALUE"""),"Pants")</f>
        <v>Pants</v>
      </c>
      <c r="L644" s="13"/>
    </row>
    <row r="645">
      <c r="A645" s="13">
        <f>IFERROR(__xludf.DUMMYFUNCTION("""COMPUTED_VALUE"""),643.0)</f>
        <v>643</v>
      </c>
      <c r="B645" s="13">
        <f>IFERROR(__xludf.DUMMYFUNCTION("""COMPUTED_VALUE"""),634.0)</f>
        <v>634</v>
      </c>
      <c r="C645" s="13">
        <f>IFERROR(__xludf.DUMMYFUNCTION("""COMPUTED_VALUE"""),40.0)</f>
        <v>40</v>
      </c>
      <c r="D645" s="12" t="str">
        <f>IFERROR(__xludf.DUMMYFUNCTION("""COMPUTED_VALUE"""),"Beach cover-up")</f>
        <v>Beach cover-up</v>
      </c>
      <c r="E645" s="12" t="str">
        <f>IFERROR(__xludf.DUMMYFUNCTION("""COMPUTED_VALUE"""),"I got this to wear as a beach cover-up over bathing suits. if you purchased a darker color and were small chested (i.e., you could go braless, since a bra won't work well with the low back and armholes), you might be able to pull this off as a very casual"&amp;" dress. i bought this in a xs in the coral/peach (i'm 5'7"", 129 lbs., 32dd) and it's not super see-through, but i'd never be comfortable wearing it as a dress on its own. as a beach cover-up it's cute and comfortable, but as a dress it would be")</f>
        <v>I got this to wear as a beach cover-up over bathing suits. if you purchased a darker color and were small chested (i.e., you could go braless, since a bra won't work well with the low back and armholes), you might be able to pull this off as a very casual dress. i bought this in a xs in the coral/peach (i'm 5'7", 129 lbs., 32dd) and it's not super see-through, but i'd never be comfortable wearing it as a dress on its own. as a beach cover-up it's cute and comfortable, but as a dress it would be</v>
      </c>
      <c r="F645" s="13">
        <f>IFERROR(__xludf.DUMMYFUNCTION("""COMPUTED_VALUE"""),4.0)</f>
        <v>4</v>
      </c>
      <c r="G645" s="13">
        <f>IFERROR(__xludf.DUMMYFUNCTION("""COMPUTED_VALUE"""),1.0)</f>
        <v>1</v>
      </c>
      <c r="H645" s="13">
        <f>IFERROR(__xludf.DUMMYFUNCTION("""COMPUTED_VALUE"""),2.0)</f>
        <v>2</v>
      </c>
      <c r="I645" s="13" t="str">
        <f>IFERROR(__xludf.DUMMYFUNCTION("""COMPUTED_VALUE"""),"General Petite")</f>
        <v>General Petite</v>
      </c>
      <c r="J645" s="13" t="str">
        <f>IFERROR(__xludf.DUMMYFUNCTION("""COMPUTED_VALUE"""),"Intimate")</f>
        <v>Intimate</v>
      </c>
      <c r="K645" s="13" t="str">
        <f>IFERROR(__xludf.DUMMYFUNCTION("""COMPUTED_VALUE"""),"Lounge")</f>
        <v>Lounge</v>
      </c>
      <c r="L645" s="13"/>
    </row>
    <row r="646">
      <c r="A646" s="13">
        <f>IFERROR(__xludf.DUMMYFUNCTION("""COMPUTED_VALUE"""),644.0)</f>
        <v>644</v>
      </c>
      <c r="B646" s="13">
        <f>IFERROR(__xludf.DUMMYFUNCTION("""COMPUTED_VALUE"""),1059.0)</f>
        <v>1059</v>
      </c>
      <c r="C646" s="13">
        <f>IFERROR(__xludf.DUMMYFUNCTION("""COMPUTED_VALUE"""),35.0)</f>
        <v>35</v>
      </c>
      <c r="D646" s="12"/>
      <c r="E646" s="12" t="str">
        <f>IFERROR(__xludf.DUMMYFUNCTION("""COMPUTED_VALUE"""),"I love the fit of these pants -- they're the perfect slim black pants. however, i wore these pants exactly three times before the seams split the middle of the pant in not just one, but multiple places. disappointed by the workmanship/quality of the produ"&amp;"ct, especially since the pants fit amazingly and don't sag like other slim fitting black pants tend to do. i hope retailer will take this into consideration and improve the quality of future iterations of this product.")</f>
        <v>I love the fit of these pants -- they're the perfect slim black pants. however, i wore these pants exactly three times before the seams split the middle of the pant in not just one, but multiple places. disappointed by the workmanship/quality of the product, especially since the pants fit amazingly and don't sag like other slim fitting black pants tend to do. i hope retailer will take this into consideration and improve the quality of future iterations of this product.</v>
      </c>
      <c r="F646" s="13">
        <f>IFERROR(__xludf.DUMMYFUNCTION("""COMPUTED_VALUE"""),2.0)</f>
        <v>2</v>
      </c>
      <c r="G646" s="13">
        <f>IFERROR(__xludf.DUMMYFUNCTION("""COMPUTED_VALUE"""),0.0)</f>
        <v>0</v>
      </c>
      <c r="H646" s="13">
        <f>IFERROR(__xludf.DUMMYFUNCTION("""COMPUTED_VALUE"""),8.0)</f>
        <v>8</v>
      </c>
      <c r="I646" s="13" t="str">
        <f>IFERROR(__xludf.DUMMYFUNCTION("""COMPUTED_VALUE"""),"General")</f>
        <v>General</v>
      </c>
      <c r="J646" s="13" t="str">
        <f>IFERROR(__xludf.DUMMYFUNCTION("""COMPUTED_VALUE"""),"Bottoms")</f>
        <v>Bottoms</v>
      </c>
      <c r="K646" s="13" t="str">
        <f>IFERROR(__xludf.DUMMYFUNCTION("""COMPUTED_VALUE"""),"Pants")</f>
        <v>Pants</v>
      </c>
      <c r="L646" s="13"/>
    </row>
    <row r="647">
      <c r="A647" s="13">
        <f>IFERROR(__xludf.DUMMYFUNCTION("""COMPUTED_VALUE"""),645.0)</f>
        <v>645</v>
      </c>
      <c r="B647" s="13">
        <f>IFERROR(__xludf.DUMMYFUNCTION("""COMPUTED_VALUE"""),634.0)</f>
        <v>634</v>
      </c>
      <c r="C647" s="13">
        <f>IFERROR(__xludf.DUMMYFUNCTION("""COMPUTED_VALUE"""),36.0)</f>
        <v>36</v>
      </c>
      <c r="D647" s="12"/>
      <c r="E647" s="12" t="str">
        <f>IFERROR(__xludf.DUMMYFUNCTION("""COMPUTED_VALUE"""),"This is a great casual summer dress. cute as a cover up but in the black you can definitely wear it for daytime. if you're feeling bare throw on a white button down or chambray.")</f>
        <v>This is a great casual summer dress. cute as a cover up but in the black you can definitely wear it for daytime. if you're feeling bare throw on a white button down or chambray.</v>
      </c>
      <c r="F647" s="13">
        <f>IFERROR(__xludf.DUMMYFUNCTION("""COMPUTED_VALUE"""),4.0)</f>
        <v>4</v>
      </c>
      <c r="G647" s="13">
        <f>IFERROR(__xludf.DUMMYFUNCTION("""COMPUTED_VALUE"""),1.0)</f>
        <v>1</v>
      </c>
      <c r="H647" s="13">
        <f>IFERROR(__xludf.DUMMYFUNCTION("""COMPUTED_VALUE"""),1.0)</f>
        <v>1</v>
      </c>
      <c r="I647" s="13" t="str">
        <f>IFERROR(__xludf.DUMMYFUNCTION("""COMPUTED_VALUE"""),"General Petite")</f>
        <v>General Petite</v>
      </c>
      <c r="J647" s="13" t="str">
        <f>IFERROR(__xludf.DUMMYFUNCTION("""COMPUTED_VALUE"""),"Intimate")</f>
        <v>Intimate</v>
      </c>
      <c r="K647" s="13" t="str">
        <f>IFERROR(__xludf.DUMMYFUNCTION("""COMPUTED_VALUE"""),"Lounge")</f>
        <v>Lounge</v>
      </c>
      <c r="L647" s="13"/>
    </row>
    <row r="648">
      <c r="A648" s="13">
        <f>IFERROR(__xludf.DUMMYFUNCTION("""COMPUTED_VALUE"""),646.0)</f>
        <v>646</v>
      </c>
      <c r="B648" s="13">
        <f>IFERROR(__xludf.DUMMYFUNCTION("""COMPUTED_VALUE"""),1059.0)</f>
        <v>1059</v>
      </c>
      <c r="C648" s="13">
        <f>IFERROR(__xludf.DUMMYFUNCTION("""COMPUTED_VALUE"""),37.0)</f>
        <v>37</v>
      </c>
      <c r="D648" s="12" t="str">
        <f>IFERROR(__xludf.DUMMYFUNCTION("""COMPUTED_VALUE"""),"What a waste")</f>
        <v>What a waste</v>
      </c>
      <c r="E648" s="12" t="str">
        <f>IFERROR(__xludf.DUMMYFUNCTION("""COMPUTED_VALUE"""),"I waited three months for these pants. when they finally arrived, i was mostly pleased. they seemed like the staple pant everyone is raving about. and they should have been.
problem one: they bag out. i got one wear out of them before i needed to wash and"&amp;" hang to dry (regained shape then).
problem two: the crotch split! in the front! i'm a teacher. i sincerely hope no one noticed! i read other reviews about this problem and don't know if i got a bad batch or if a similar fate is awaiting other")</f>
        <v>I waited three months for these pants. when they finally arrived, i was mostly pleased. they seemed like the staple pant everyone is raving about. and they should have been.
problem one: they bag out. i got one wear out of them before i needed to wash and hang to dry (regained shape then).
problem two: the crotch split! in the front! i'm a teacher. i sincerely hope no one noticed! i read other reviews about this problem and don't know if i got a bad batch or if a similar fate is awaiting other</v>
      </c>
      <c r="F648" s="13">
        <f>IFERROR(__xludf.DUMMYFUNCTION("""COMPUTED_VALUE"""),1.0)</f>
        <v>1</v>
      </c>
      <c r="G648" s="13">
        <f>IFERROR(__xludf.DUMMYFUNCTION("""COMPUTED_VALUE"""),0.0)</f>
        <v>0</v>
      </c>
      <c r="H648" s="13">
        <f>IFERROR(__xludf.DUMMYFUNCTION("""COMPUTED_VALUE"""),0.0)</f>
        <v>0</v>
      </c>
      <c r="I648" s="13" t="str">
        <f>IFERROR(__xludf.DUMMYFUNCTION("""COMPUTED_VALUE"""),"General")</f>
        <v>General</v>
      </c>
      <c r="J648" s="13" t="str">
        <f>IFERROR(__xludf.DUMMYFUNCTION("""COMPUTED_VALUE"""),"Bottoms")</f>
        <v>Bottoms</v>
      </c>
      <c r="K648" s="13" t="str">
        <f>IFERROR(__xludf.DUMMYFUNCTION("""COMPUTED_VALUE"""),"Pants")</f>
        <v>Pants</v>
      </c>
      <c r="L648" s="13"/>
    </row>
    <row r="649">
      <c r="A649" s="13">
        <f>IFERROR(__xludf.DUMMYFUNCTION("""COMPUTED_VALUE"""),647.0)</f>
        <v>647</v>
      </c>
      <c r="B649" s="13">
        <f>IFERROR(__xludf.DUMMYFUNCTION("""COMPUTED_VALUE"""),985.0)</f>
        <v>985</v>
      </c>
      <c r="C649" s="13">
        <f>IFERROR(__xludf.DUMMYFUNCTION("""COMPUTED_VALUE"""),30.0)</f>
        <v>30</v>
      </c>
      <c r="D649" s="12"/>
      <c r="E649" s="12" t="str">
        <f>IFERROR(__xludf.DUMMYFUNCTION("""COMPUTED_VALUE"""),"This is a great silhouette and the red/black plaid will be perfect for fall. it will look great with black bottoms or with jeans. the only reason i gave it 4 instead of 5 stars is that the outer shell fabric (the plaid) is a rayon twill that is a little b"&amp;"it lightweight for the silhouette, so it is bagging out a little around the zipper and the pockets. i'm hoping the quality will hold up. i bought this same jacket in a heavier weight camoflage printed tencel this spring from the same brand, and")</f>
        <v>This is a great silhouette and the red/black plaid will be perfect for fall. it will look great with black bottoms or with jeans. the only reason i gave it 4 instead of 5 stars is that the outer shell fabric (the plaid) is a rayon twill that is a little bit lightweight for the silhouette, so it is bagging out a little around the zipper and the pockets. i'm hoping the quality will hold up. i bought this same jacket in a heavier weight camoflage printed tencel this spring from the same brand, and</v>
      </c>
      <c r="F649" s="13">
        <f>IFERROR(__xludf.DUMMYFUNCTION("""COMPUTED_VALUE"""),4.0)</f>
        <v>4</v>
      </c>
      <c r="G649" s="13">
        <f>IFERROR(__xludf.DUMMYFUNCTION("""COMPUTED_VALUE"""),1.0)</f>
        <v>1</v>
      </c>
      <c r="H649" s="13">
        <f>IFERROR(__xludf.DUMMYFUNCTION("""COMPUTED_VALUE"""),1.0)</f>
        <v>1</v>
      </c>
      <c r="I649" s="13" t="str">
        <f>IFERROR(__xludf.DUMMYFUNCTION("""COMPUTED_VALUE"""),"General")</f>
        <v>General</v>
      </c>
      <c r="J649" s="13" t="str">
        <f>IFERROR(__xludf.DUMMYFUNCTION("""COMPUTED_VALUE"""),"Jackets")</f>
        <v>Jackets</v>
      </c>
      <c r="K649" s="13" t="str">
        <f>IFERROR(__xludf.DUMMYFUNCTION("""COMPUTED_VALUE"""),"Jackets")</f>
        <v>Jackets</v>
      </c>
      <c r="L649" s="13"/>
    </row>
    <row r="650">
      <c r="A650" s="13">
        <f>IFERROR(__xludf.DUMMYFUNCTION("""COMPUTED_VALUE"""),648.0)</f>
        <v>648</v>
      </c>
      <c r="B650" s="13">
        <f>IFERROR(__xludf.DUMMYFUNCTION("""COMPUTED_VALUE"""),252.0)</f>
        <v>252</v>
      </c>
      <c r="C650" s="13">
        <f>IFERROR(__xludf.DUMMYFUNCTION("""COMPUTED_VALUE"""),35.0)</f>
        <v>35</v>
      </c>
      <c r="D650" s="12" t="str">
        <f>IFERROR(__xludf.DUMMYFUNCTION("""COMPUTED_VALUE"""),"Wonderful swimsuit")</f>
        <v>Wonderful swimsuit</v>
      </c>
      <c r="E650" s="12" t="str">
        <f>IFERROR(__xludf.DUMMYFUNCTION("""COMPUTED_VALUE"""),"This swimsuit fits exactly as i had hoped. i purchased it in the teal dot and it is a little brighter than in the photos, but i ended up liking that better. it is well made with thick (but not too thick) lined material. also, i was initially worried that "&amp;"the deep v-neck may be too deep for my liking, but once i had it on,it looked classic and not showy. i love the suit.")</f>
        <v>This swimsuit fits exactly as i had hoped. i purchased it in the teal dot and it is a little brighter than in the photos, but i ended up liking that better. it is well made with thick (but not too thick) lined material. also, i was initially worried that the deep v-neck may be too deep for my liking, but once i had it on,it looked classic and not showy. i love the suit.</v>
      </c>
      <c r="F650" s="13">
        <f>IFERROR(__xludf.DUMMYFUNCTION("""COMPUTED_VALUE"""),5.0)</f>
        <v>5</v>
      </c>
      <c r="G650" s="13">
        <f>IFERROR(__xludf.DUMMYFUNCTION("""COMPUTED_VALUE"""),1.0)</f>
        <v>1</v>
      </c>
      <c r="H650" s="13">
        <f>IFERROR(__xludf.DUMMYFUNCTION("""COMPUTED_VALUE"""),0.0)</f>
        <v>0</v>
      </c>
      <c r="I650" s="13" t="str">
        <f>IFERROR(__xludf.DUMMYFUNCTION("""COMPUTED_VALUE"""),"Initmates")</f>
        <v>Initmates</v>
      </c>
      <c r="J650" s="13" t="str">
        <f>IFERROR(__xludf.DUMMYFUNCTION("""COMPUTED_VALUE"""),"Intimate")</f>
        <v>Intimate</v>
      </c>
      <c r="K650" s="13" t="str">
        <f>IFERROR(__xludf.DUMMYFUNCTION("""COMPUTED_VALUE"""),"Swim")</f>
        <v>Swim</v>
      </c>
      <c r="L650" s="13"/>
    </row>
    <row r="651">
      <c r="A651" s="13">
        <f>IFERROR(__xludf.DUMMYFUNCTION("""COMPUTED_VALUE"""),649.0)</f>
        <v>649</v>
      </c>
      <c r="B651" s="13">
        <f>IFERROR(__xludf.DUMMYFUNCTION("""COMPUTED_VALUE"""),1059.0)</f>
        <v>1059</v>
      </c>
      <c r="C651" s="13">
        <f>IFERROR(__xludf.DUMMYFUNCTION("""COMPUTED_VALUE"""),48.0)</f>
        <v>48</v>
      </c>
      <c r="D651" s="12" t="str">
        <f>IFERROR(__xludf.DUMMYFUNCTION("""COMPUTED_VALUE"""),"Gerat pants")</f>
        <v>Gerat pants</v>
      </c>
      <c r="E651" s="12" t="str">
        <f>IFERROR(__xludf.DUMMYFUNCTION("""COMPUTED_VALUE"""),"I love these pants. i bought as basic pants to dress up or down and they look good with flats or heels. also i like you can wash instead of dry clean.")</f>
        <v>I love these pants. i bought as basic pants to dress up or down and they look good with flats or heels. also i like you can wash instead of dry clean.</v>
      </c>
      <c r="F651" s="13">
        <f>IFERROR(__xludf.DUMMYFUNCTION("""COMPUTED_VALUE"""),5.0)</f>
        <v>5</v>
      </c>
      <c r="G651" s="13">
        <f>IFERROR(__xludf.DUMMYFUNCTION("""COMPUTED_VALUE"""),1.0)</f>
        <v>1</v>
      </c>
      <c r="H651" s="13">
        <f>IFERROR(__xludf.DUMMYFUNCTION("""COMPUTED_VALUE"""),0.0)</f>
        <v>0</v>
      </c>
      <c r="I651" s="13" t="str">
        <f>IFERROR(__xludf.DUMMYFUNCTION("""COMPUTED_VALUE"""),"General")</f>
        <v>General</v>
      </c>
      <c r="J651" s="13" t="str">
        <f>IFERROR(__xludf.DUMMYFUNCTION("""COMPUTED_VALUE"""),"Bottoms")</f>
        <v>Bottoms</v>
      </c>
      <c r="K651" s="13" t="str">
        <f>IFERROR(__xludf.DUMMYFUNCTION("""COMPUTED_VALUE"""),"Pants")</f>
        <v>Pants</v>
      </c>
      <c r="L651" s="13"/>
    </row>
    <row r="652">
      <c r="A652" s="13">
        <f>IFERROR(__xludf.DUMMYFUNCTION("""COMPUTED_VALUE"""),650.0)</f>
        <v>650</v>
      </c>
      <c r="B652" s="13">
        <f>IFERROR(__xludf.DUMMYFUNCTION("""COMPUTED_VALUE"""),1059.0)</f>
        <v>1059</v>
      </c>
      <c r="C652" s="13">
        <f>IFERROR(__xludf.DUMMYFUNCTION("""COMPUTED_VALUE"""),49.0)</f>
        <v>49</v>
      </c>
      <c r="D652" s="12" t="str">
        <f>IFERROR(__xludf.DUMMYFUNCTION("""COMPUTED_VALUE"""),"Great pants that don't get baggy")</f>
        <v>Great pants that don't get baggy</v>
      </c>
      <c r="E652" s="12" t="str">
        <f>IFERROR(__xludf.DUMMYFUNCTION("""COMPUTED_VALUE"""),"These pants are awesome - please make them in other colors besides black and navy!")</f>
        <v>These pants are awesome - please make them in other colors besides black and navy!</v>
      </c>
      <c r="F652" s="13">
        <f>IFERROR(__xludf.DUMMYFUNCTION("""COMPUTED_VALUE"""),5.0)</f>
        <v>5</v>
      </c>
      <c r="G652" s="13">
        <f>IFERROR(__xludf.DUMMYFUNCTION("""COMPUTED_VALUE"""),1.0)</f>
        <v>1</v>
      </c>
      <c r="H652" s="13">
        <f>IFERROR(__xludf.DUMMYFUNCTION("""COMPUTED_VALUE"""),1.0)</f>
        <v>1</v>
      </c>
      <c r="I652" s="13" t="str">
        <f>IFERROR(__xludf.DUMMYFUNCTION("""COMPUTED_VALUE"""),"General")</f>
        <v>General</v>
      </c>
      <c r="J652" s="13" t="str">
        <f>IFERROR(__xludf.DUMMYFUNCTION("""COMPUTED_VALUE"""),"Bottoms")</f>
        <v>Bottoms</v>
      </c>
      <c r="K652" s="13" t="str">
        <f>IFERROR(__xludf.DUMMYFUNCTION("""COMPUTED_VALUE"""),"Pants")</f>
        <v>Pants</v>
      </c>
      <c r="L652" s="13"/>
    </row>
    <row r="653">
      <c r="A653" s="13">
        <f>IFERROR(__xludf.DUMMYFUNCTION("""COMPUTED_VALUE"""),651.0)</f>
        <v>651</v>
      </c>
      <c r="B653" s="13">
        <f>IFERROR(__xludf.DUMMYFUNCTION("""COMPUTED_VALUE"""),252.0)</f>
        <v>252</v>
      </c>
      <c r="C653" s="13">
        <f>IFERROR(__xludf.DUMMYFUNCTION("""COMPUTED_VALUE"""),70.0)</f>
        <v>70</v>
      </c>
      <c r="D653" s="12" t="str">
        <f>IFERROR(__xludf.DUMMYFUNCTION("""COMPUTED_VALUE"""),"The perfect swimsuit - functional and stunning!")</f>
        <v>The perfect swimsuit - functional and stunning!</v>
      </c>
      <c r="E653" s="12" t="str">
        <f>IFERROR(__xludf.DUMMYFUNCTION("""COMPUTED_VALUE"""),"This is an amazing swimsuit. i had been on the hunt for the perfect one piece. i wanted something a bit on the modest side, but still sexy, and i hoped for a unique print that would make it stand out. the icing on the cake would be a suit that is function"&amp;"al enough to either lay poolside or scuba dive. enter this swimsuit from retailer. i fell in love with the teal dot print as it's unlike anything else i've seen - it's absolutely spectacular in person. i love the vibrant blue and the chic d")</f>
        <v>This is an amazing swimsuit. i had been on the hunt for the perfect one piece. i wanted something a bit on the modest side, but still sexy, and i hoped for a unique print that would make it stand out. the icing on the cake would be a suit that is functional enough to either lay poolside or scuba dive. enter this swimsuit from retailer. i fell in love with the teal dot print as it's unlike anything else i've seen - it's absolutely spectacular in person. i love the vibrant blue and the chic d</v>
      </c>
      <c r="F653" s="13">
        <f>IFERROR(__xludf.DUMMYFUNCTION("""COMPUTED_VALUE"""),5.0)</f>
        <v>5</v>
      </c>
      <c r="G653" s="13">
        <f>IFERROR(__xludf.DUMMYFUNCTION("""COMPUTED_VALUE"""),1.0)</f>
        <v>1</v>
      </c>
      <c r="H653" s="13">
        <f>IFERROR(__xludf.DUMMYFUNCTION("""COMPUTED_VALUE"""),11.0)</f>
        <v>11</v>
      </c>
      <c r="I653" s="13" t="str">
        <f>IFERROR(__xludf.DUMMYFUNCTION("""COMPUTED_VALUE"""),"Initmates")</f>
        <v>Initmates</v>
      </c>
      <c r="J653" s="13" t="str">
        <f>IFERROR(__xludf.DUMMYFUNCTION("""COMPUTED_VALUE"""),"Intimate")</f>
        <v>Intimate</v>
      </c>
      <c r="K653" s="13" t="str">
        <f>IFERROR(__xludf.DUMMYFUNCTION("""COMPUTED_VALUE"""),"Swim")</f>
        <v>Swim</v>
      </c>
      <c r="L653" s="13"/>
    </row>
    <row r="654">
      <c r="A654" s="13">
        <f>IFERROR(__xludf.DUMMYFUNCTION("""COMPUTED_VALUE"""),652.0)</f>
        <v>652</v>
      </c>
      <c r="B654" s="13">
        <f>IFERROR(__xludf.DUMMYFUNCTION("""COMPUTED_VALUE"""),1059.0)</f>
        <v>1059</v>
      </c>
      <c r="C654" s="13">
        <f>IFERROR(__xludf.DUMMYFUNCTION("""COMPUTED_VALUE"""),40.0)</f>
        <v>40</v>
      </c>
      <c r="D654" s="12"/>
      <c r="E654" s="12" t="str">
        <f>IFERROR(__xludf.DUMMYFUNCTION("""COMPUTED_VALUE"""),"I really love these pants. just the right fabric, not too thick. so comfy. i do feel they run a bit big. they stretch out quickly so if you are in between sized, choose the smaller one.")</f>
        <v>I really love these pants. just the right fabric, not too thick. so comfy. i do feel they run a bit big. they stretch out quickly so if you are in between sized, choose the smaller one.</v>
      </c>
      <c r="F654" s="13">
        <f>IFERROR(__xludf.DUMMYFUNCTION("""COMPUTED_VALUE"""),5.0)</f>
        <v>5</v>
      </c>
      <c r="G654" s="13">
        <f>IFERROR(__xludf.DUMMYFUNCTION("""COMPUTED_VALUE"""),1.0)</f>
        <v>1</v>
      </c>
      <c r="H654" s="13">
        <f>IFERROR(__xludf.DUMMYFUNCTION("""COMPUTED_VALUE"""),8.0)</f>
        <v>8</v>
      </c>
      <c r="I654" s="13" t="str">
        <f>IFERROR(__xludf.DUMMYFUNCTION("""COMPUTED_VALUE"""),"General")</f>
        <v>General</v>
      </c>
      <c r="J654" s="13" t="str">
        <f>IFERROR(__xludf.DUMMYFUNCTION("""COMPUTED_VALUE"""),"Bottoms")</f>
        <v>Bottoms</v>
      </c>
      <c r="K654" s="13" t="str">
        <f>IFERROR(__xludf.DUMMYFUNCTION("""COMPUTED_VALUE"""),"Pants")</f>
        <v>Pants</v>
      </c>
      <c r="L654" s="13"/>
    </row>
    <row r="655">
      <c r="A655" s="13">
        <f>IFERROR(__xludf.DUMMYFUNCTION("""COMPUTED_VALUE"""),653.0)</f>
        <v>653</v>
      </c>
      <c r="B655" s="13">
        <f>IFERROR(__xludf.DUMMYFUNCTION("""COMPUTED_VALUE"""),1059.0)</f>
        <v>1059</v>
      </c>
      <c r="C655" s="13">
        <f>IFERROR(__xludf.DUMMYFUNCTION("""COMPUTED_VALUE"""),38.0)</f>
        <v>38</v>
      </c>
      <c r="D655" s="12" t="str">
        <f>IFERROR(__xludf.DUMMYFUNCTION("""COMPUTED_VALUE"""),"Not what i had hoped for...")</f>
        <v>Not what i had hoped for...</v>
      </c>
      <c r="E655" s="12" t="str">
        <f>IFERROR(__xludf.DUMMYFUNCTION("""COMPUTED_VALUE"""),"Like others, i finally received my size 6p black pants after months of waiting.  for starters, these pants run small, so i ordered a size up but still in petite, because i adored the red ones i got this past summer.  when the black pants arrived, they wer"&amp;"e a full three inches shorter than the red ones (which were also 6p), and the fabric did not feel anywhere close to the same quality.  i'm debating ordering the regular length, but i'm not sure i'll bother, based on some of the other reviews.")</f>
        <v>Like others, i finally received my size 6p black pants after months of waiting.  for starters, these pants run small, so i ordered a size up but still in petite, because i adored the red ones i got this past summer.  when the black pants arrived, they were a full three inches shorter than the red ones (which were also 6p), and the fabric did not feel anywhere close to the same quality.  i'm debating ordering the regular length, but i'm not sure i'll bother, based on some of the other reviews.</v>
      </c>
      <c r="F655" s="13">
        <f>IFERROR(__xludf.DUMMYFUNCTION("""COMPUTED_VALUE"""),2.0)</f>
        <v>2</v>
      </c>
      <c r="G655" s="13">
        <f>IFERROR(__xludf.DUMMYFUNCTION("""COMPUTED_VALUE"""),0.0)</f>
        <v>0</v>
      </c>
      <c r="H655" s="13">
        <f>IFERROR(__xludf.DUMMYFUNCTION("""COMPUTED_VALUE"""),0.0)</f>
        <v>0</v>
      </c>
      <c r="I655" s="13" t="str">
        <f>IFERROR(__xludf.DUMMYFUNCTION("""COMPUTED_VALUE"""),"General")</f>
        <v>General</v>
      </c>
      <c r="J655" s="13" t="str">
        <f>IFERROR(__xludf.DUMMYFUNCTION("""COMPUTED_VALUE"""),"Bottoms")</f>
        <v>Bottoms</v>
      </c>
      <c r="K655" s="13" t="str">
        <f>IFERROR(__xludf.DUMMYFUNCTION("""COMPUTED_VALUE"""),"Pants")</f>
        <v>Pants</v>
      </c>
      <c r="L655" s="13"/>
    </row>
    <row r="656">
      <c r="A656" s="13">
        <f>IFERROR(__xludf.DUMMYFUNCTION("""COMPUTED_VALUE"""),654.0)</f>
        <v>654</v>
      </c>
      <c r="B656" s="13">
        <f>IFERROR(__xludf.DUMMYFUNCTION("""COMPUTED_VALUE"""),252.0)</f>
        <v>252</v>
      </c>
      <c r="C656" s="13">
        <f>IFERROR(__xludf.DUMMYFUNCTION("""COMPUTED_VALUE"""),27.0)</f>
        <v>27</v>
      </c>
      <c r="D656" s="12" t="str">
        <f>IFERROR(__xludf.DUMMYFUNCTION("""COMPUTED_VALUE"""),"Perfection")</f>
        <v>Perfection</v>
      </c>
      <c r="E656" s="12" t="str">
        <f>IFERROR(__xludf.DUMMYFUNCTION("""COMPUTED_VALUE"""),"I had been searching for a swimsuit that flattered my baby bump and this is it - i'm in love! for reference, i am 5'6"",170-180, 10-12 or m-l depending on the item. however, i'm currently 19 weeks pregnant so im about 185 and growing - so i went with the "&amp;"xl swimsuit. i have a 36c/38d bust and although there is no true support in the top of this suit, it holds the girls in and the deep plunge is just the right amount of sexy. the bottom has modest coverage, showing just a little bit of cheek. i go")</f>
        <v>I had been searching for a swimsuit that flattered my baby bump and this is it - i'm in love! for reference, i am 5'6",170-180, 10-12 or m-l depending on the item. however, i'm currently 19 weeks pregnant so im about 185 and growing - so i went with the xl swimsuit. i have a 36c/38d bust and although there is no true support in the top of this suit, it holds the girls in and the deep plunge is just the right amount of sexy. the bottom has modest coverage, showing just a little bit of cheek. i go</v>
      </c>
      <c r="F656" s="13">
        <f>IFERROR(__xludf.DUMMYFUNCTION("""COMPUTED_VALUE"""),5.0)</f>
        <v>5</v>
      </c>
      <c r="G656" s="13">
        <f>IFERROR(__xludf.DUMMYFUNCTION("""COMPUTED_VALUE"""),1.0)</f>
        <v>1</v>
      </c>
      <c r="H656" s="13">
        <f>IFERROR(__xludf.DUMMYFUNCTION("""COMPUTED_VALUE"""),0.0)</f>
        <v>0</v>
      </c>
      <c r="I656" s="13" t="str">
        <f>IFERROR(__xludf.DUMMYFUNCTION("""COMPUTED_VALUE"""),"Initmates")</f>
        <v>Initmates</v>
      </c>
      <c r="J656" s="13" t="str">
        <f>IFERROR(__xludf.DUMMYFUNCTION("""COMPUTED_VALUE"""),"Intimate")</f>
        <v>Intimate</v>
      </c>
      <c r="K656" s="13" t="str">
        <f>IFERROR(__xludf.DUMMYFUNCTION("""COMPUTED_VALUE"""),"Swim")</f>
        <v>Swim</v>
      </c>
      <c r="L656" s="13"/>
    </row>
    <row r="657">
      <c r="A657" s="13">
        <f>IFERROR(__xludf.DUMMYFUNCTION("""COMPUTED_VALUE"""),655.0)</f>
        <v>655</v>
      </c>
      <c r="B657" s="13">
        <f>IFERROR(__xludf.DUMMYFUNCTION("""COMPUTED_VALUE"""),1008.0)</f>
        <v>1008</v>
      </c>
      <c r="C657" s="13">
        <f>IFERROR(__xludf.DUMMYFUNCTION("""COMPUTED_VALUE"""),46.0)</f>
        <v>46</v>
      </c>
      <c r="D657" s="12" t="str">
        <f>IFERROR(__xludf.DUMMYFUNCTION("""COMPUTED_VALUE"""),"Love it!")</f>
        <v>Love it!</v>
      </c>
      <c r="E657" s="12" t="str">
        <f>IFERROR(__xludf.DUMMYFUNCTION("""COMPUTED_VALUE"""),"I bought the first skirt at the store. loved it so much i went online and found this one and bought it too!")</f>
        <v>I bought the first skirt at the store. loved it so much i went online and found this one and bought it too!</v>
      </c>
      <c r="F657" s="13">
        <f>IFERROR(__xludf.DUMMYFUNCTION("""COMPUTED_VALUE"""),5.0)</f>
        <v>5</v>
      </c>
      <c r="G657" s="13">
        <f>IFERROR(__xludf.DUMMYFUNCTION("""COMPUTED_VALUE"""),1.0)</f>
        <v>1</v>
      </c>
      <c r="H657" s="13">
        <f>IFERROR(__xludf.DUMMYFUNCTION("""COMPUTED_VALUE"""),1.0)</f>
        <v>1</v>
      </c>
      <c r="I657" s="13" t="str">
        <f>IFERROR(__xludf.DUMMYFUNCTION("""COMPUTED_VALUE"""),"General")</f>
        <v>General</v>
      </c>
      <c r="J657" s="13" t="str">
        <f>IFERROR(__xludf.DUMMYFUNCTION("""COMPUTED_VALUE"""),"Bottoms")</f>
        <v>Bottoms</v>
      </c>
      <c r="K657" s="13" t="str">
        <f>IFERROR(__xludf.DUMMYFUNCTION("""COMPUTED_VALUE"""),"Skirts")</f>
        <v>Skirts</v>
      </c>
      <c r="L657" s="13"/>
    </row>
    <row r="658">
      <c r="A658" s="13">
        <f>IFERROR(__xludf.DUMMYFUNCTION("""COMPUTED_VALUE"""),656.0)</f>
        <v>656</v>
      </c>
      <c r="B658" s="13">
        <f>IFERROR(__xludf.DUMMYFUNCTION("""COMPUTED_VALUE"""),943.0)</f>
        <v>943</v>
      </c>
      <c r="C658" s="13">
        <f>IFERROR(__xludf.DUMMYFUNCTION("""COMPUTED_VALUE"""),50.0)</f>
        <v>50</v>
      </c>
      <c r="D658" s="12" t="str">
        <f>IFERROR(__xludf.DUMMYFUNCTION("""COMPUTED_VALUE"""),"Thick and beautiful sweater!")</f>
        <v>Thick and beautiful sweater!</v>
      </c>
      <c r="E658" s="12" t="str">
        <f>IFERROR(__xludf.DUMMYFUNCTION("""COMPUTED_VALUE"""),"I put this runs small but it's a little more tts, except the arms are very slim! if you like to push your sleeves up like this model, you will have to wait for a while to see if the sweater loosens up. length wise it fit me a bit longer than this model an"&amp;"d i'm a petite. the color is also darker and not as red as in this sweaters, which i actually prefer. the sweater is much thicker than my other cashmere sweaters. some of the stitching seems stick out as if the sweater is worn inside out, but th")</f>
        <v>I put this runs small but it's a little more tts, except the arms are very slim! if you like to push your sleeves up like this model, you will have to wait for a while to see if the sweater loosens up. length wise it fit me a bit longer than this model and i'm a petite. the color is also darker and not as red as in this sweaters, which i actually prefer. the sweater is much thicker than my other cashmere sweaters. some of the stitching seems stick out as if the sweater is worn inside out, but th</v>
      </c>
      <c r="F658" s="13">
        <f>IFERROR(__xludf.DUMMYFUNCTION("""COMPUTED_VALUE"""),5.0)</f>
        <v>5</v>
      </c>
      <c r="G658" s="13">
        <f>IFERROR(__xludf.DUMMYFUNCTION("""COMPUTED_VALUE"""),1.0)</f>
        <v>1</v>
      </c>
      <c r="H658" s="13">
        <f>IFERROR(__xludf.DUMMYFUNCTION("""COMPUTED_VALUE"""),0.0)</f>
        <v>0</v>
      </c>
      <c r="I658" s="13" t="str">
        <f>IFERROR(__xludf.DUMMYFUNCTION("""COMPUTED_VALUE"""),"General")</f>
        <v>General</v>
      </c>
      <c r="J658" s="13" t="str">
        <f>IFERROR(__xludf.DUMMYFUNCTION("""COMPUTED_VALUE"""),"Tops")</f>
        <v>Tops</v>
      </c>
      <c r="K658" s="13" t="str">
        <f>IFERROR(__xludf.DUMMYFUNCTION("""COMPUTED_VALUE"""),"Sweaters")</f>
        <v>Sweaters</v>
      </c>
      <c r="L658" s="13"/>
    </row>
    <row r="659">
      <c r="A659" s="13">
        <f>IFERROR(__xludf.DUMMYFUNCTION("""COMPUTED_VALUE"""),657.0)</f>
        <v>657</v>
      </c>
      <c r="B659" s="13">
        <f>IFERROR(__xludf.DUMMYFUNCTION("""COMPUTED_VALUE"""),634.0)</f>
        <v>634</v>
      </c>
      <c r="C659" s="13">
        <f>IFERROR(__xludf.DUMMYFUNCTION("""COMPUTED_VALUE"""),65.0)</f>
        <v>65</v>
      </c>
      <c r="D659" s="12" t="str">
        <f>IFERROR(__xludf.DUMMYFUNCTION("""COMPUTED_VALUE"""),"Loungewear, not outdoor wear")</f>
        <v>Loungewear, not outdoor wear</v>
      </c>
      <c r="E659" s="12" t="str">
        <f>IFERROR(__xludf.DUMMYFUNCTION("""COMPUTED_VALUE"""),"So i recognized the fact that this dress was likely intended more for lounging than for wearing out and about, but i once had a lot of luck with dresses of this price point (and intent) at retailer, so i had hopes. i was just wanting it to be a great addi"&amp;"tion for vacations and beach days, but it's honestly so thin i couldn't even see it working that well for that. it's also cut smaller than i was anticipating judging by the way it fits the model; my usual small was way more bodycon than i was anti")</f>
        <v>So i recognized the fact that this dress was likely intended more for lounging than for wearing out and about, but i once had a lot of luck with dresses of this price point (and intent) at retailer, so i had hopes. i was just wanting it to be a great addition for vacations and beach days, but it's honestly so thin i couldn't even see it working that well for that. it's also cut smaller than i was anticipating judging by the way it fits the model; my usual small was way more bodycon than i was anti</v>
      </c>
      <c r="F659" s="13">
        <f>IFERROR(__xludf.DUMMYFUNCTION("""COMPUTED_VALUE"""),2.0)</f>
        <v>2</v>
      </c>
      <c r="G659" s="13">
        <f>IFERROR(__xludf.DUMMYFUNCTION("""COMPUTED_VALUE"""),0.0)</f>
        <v>0</v>
      </c>
      <c r="H659" s="13">
        <f>IFERROR(__xludf.DUMMYFUNCTION("""COMPUTED_VALUE"""),55.0)</f>
        <v>55</v>
      </c>
      <c r="I659" s="13" t="str">
        <f>IFERROR(__xludf.DUMMYFUNCTION("""COMPUTED_VALUE"""),"General Petite")</f>
        <v>General Petite</v>
      </c>
      <c r="J659" s="13" t="str">
        <f>IFERROR(__xludf.DUMMYFUNCTION("""COMPUTED_VALUE"""),"Intimate")</f>
        <v>Intimate</v>
      </c>
      <c r="K659" s="13" t="str">
        <f>IFERROR(__xludf.DUMMYFUNCTION("""COMPUTED_VALUE"""),"Lounge")</f>
        <v>Lounge</v>
      </c>
      <c r="L659" s="13"/>
    </row>
    <row r="660">
      <c r="A660" s="13">
        <f>IFERROR(__xludf.DUMMYFUNCTION("""COMPUTED_VALUE"""),658.0)</f>
        <v>658</v>
      </c>
      <c r="B660" s="13">
        <f>IFERROR(__xludf.DUMMYFUNCTION("""COMPUTED_VALUE"""),1008.0)</f>
        <v>1008</v>
      </c>
      <c r="C660" s="13">
        <f>IFERROR(__xludf.DUMMYFUNCTION("""COMPUTED_VALUE"""),22.0)</f>
        <v>22</v>
      </c>
      <c r="D660" s="12"/>
      <c r="E660" s="12" t="str">
        <f>IFERROR(__xludf.DUMMYFUNCTION("""COMPUTED_VALUE"""),"Love the fabric fit and cut of this skirt. it hits at just the perfect spot but runs a little large and is more flattering when sizing down (atleast on me) .")</f>
        <v>Love the fabric fit and cut of this skirt. it hits at just the perfect spot but runs a little large and is more flattering when sizing down (atleast on me) .</v>
      </c>
      <c r="F660" s="13">
        <f>IFERROR(__xludf.DUMMYFUNCTION("""COMPUTED_VALUE"""),5.0)</f>
        <v>5</v>
      </c>
      <c r="G660" s="13">
        <f>IFERROR(__xludf.DUMMYFUNCTION("""COMPUTED_VALUE"""),1.0)</f>
        <v>1</v>
      </c>
      <c r="H660" s="13">
        <f>IFERROR(__xludf.DUMMYFUNCTION("""COMPUTED_VALUE"""),1.0)</f>
        <v>1</v>
      </c>
      <c r="I660" s="13" t="str">
        <f>IFERROR(__xludf.DUMMYFUNCTION("""COMPUTED_VALUE"""),"General")</f>
        <v>General</v>
      </c>
      <c r="J660" s="13" t="str">
        <f>IFERROR(__xludf.DUMMYFUNCTION("""COMPUTED_VALUE"""),"Bottoms")</f>
        <v>Bottoms</v>
      </c>
      <c r="K660" s="13" t="str">
        <f>IFERROR(__xludf.DUMMYFUNCTION("""COMPUTED_VALUE"""),"Skirts")</f>
        <v>Skirts</v>
      </c>
      <c r="L660" s="13"/>
    </row>
    <row r="661">
      <c r="A661" s="13">
        <f>IFERROR(__xludf.DUMMYFUNCTION("""COMPUTED_VALUE"""),659.0)</f>
        <v>659</v>
      </c>
      <c r="B661" s="13">
        <f>IFERROR(__xludf.DUMMYFUNCTION("""COMPUTED_VALUE"""),252.0)</f>
        <v>252</v>
      </c>
      <c r="C661" s="13">
        <f>IFERROR(__xludf.DUMMYFUNCTION("""COMPUTED_VALUE"""),93.0)</f>
        <v>93</v>
      </c>
      <c r="D661" s="12" t="str">
        <f>IFERROR(__xludf.DUMMYFUNCTION("""COMPUTED_VALUE"""),"Amazing suit!")</f>
        <v>Amazing suit!</v>
      </c>
      <c r="E661" s="12" t="str">
        <f>IFERROR(__xludf.DUMMYFUNCTION("""COMPUTED_VALUE"""),"This is by far the cutest, most glamorous one piece i have ever tried on! it fits perfectly and is flattering in the right places, it doesn't show too much cleavage and is modest enough for family events. absolutely love this suit in navy. wasn't in love "&amp;"with the rest of the patterns, hoping they come out in more solid colors someday soon!")</f>
        <v>This is by far the cutest, most glamorous one piece i have ever tried on! it fits perfectly and is flattering in the right places, it doesn't show too much cleavage and is modest enough for family events. absolutely love this suit in navy. wasn't in love with the rest of the patterns, hoping they come out in more solid colors someday soon!</v>
      </c>
      <c r="F661" s="13">
        <f>IFERROR(__xludf.DUMMYFUNCTION("""COMPUTED_VALUE"""),5.0)</f>
        <v>5</v>
      </c>
      <c r="G661" s="13">
        <f>IFERROR(__xludf.DUMMYFUNCTION("""COMPUTED_VALUE"""),1.0)</f>
        <v>1</v>
      </c>
      <c r="H661" s="13">
        <f>IFERROR(__xludf.DUMMYFUNCTION("""COMPUTED_VALUE"""),3.0)</f>
        <v>3</v>
      </c>
      <c r="I661" s="13" t="str">
        <f>IFERROR(__xludf.DUMMYFUNCTION("""COMPUTED_VALUE"""),"Initmates")</f>
        <v>Initmates</v>
      </c>
      <c r="J661" s="13" t="str">
        <f>IFERROR(__xludf.DUMMYFUNCTION("""COMPUTED_VALUE"""),"Intimate")</f>
        <v>Intimate</v>
      </c>
      <c r="K661" s="13" t="str">
        <f>IFERROR(__xludf.DUMMYFUNCTION("""COMPUTED_VALUE"""),"Swim")</f>
        <v>Swim</v>
      </c>
      <c r="L661" s="13"/>
    </row>
    <row r="662">
      <c r="A662" s="13">
        <f>IFERROR(__xludf.DUMMYFUNCTION("""COMPUTED_VALUE"""),660.0)</f>
        <v>660</v>
      </c>
      <c r="B662" s="13">
        <f>IFERROR(__xludf.DUMMYFUNCTION("""COMPUTED_VALUE"""),838.0)</f>
        <v>838</v>
      </c>
      <c r="C662" s="13">
        <f>IFERROR(__xludf.DUMMYFUNCTION("""COMPUTED_VALUE"""),43.0)</f>
        <v>43</v>
      </c>
      <c r="D662" s="12" t="str">
        <f>IFERROR(__xludf.DUMMYFUNCTION("""COMPUTED_VALUE"""),"Uniform top")</f>
        <v>Uniform top</v>
      </c>
      <c r="E662" s="12" t="str">
        <f>IFERROR(__xludf.DUMMYFUNCTION("""COMPUTED_VALUE"""),"I don't normally try on tops like this but i liked the product shot so much that i wanted to repeat the outfit. i grabbed a large because it wasa shorter blouse. it was huge. i sized down to the medium and it was still loose but if i were to purchase, it "&amp;"would be that size. the red against the blue was very pretty but i didn't know if felt like a little kid in a uniform. the back did not lie flat, not sure if it was because of my 36d chest or because of the shirt design. it is well made and i th")</f>
        <v>I don't normally try on tops like this but i liked the product shot so much that i wanted to repeat the outfit. i grabbed a large because it wasa shorter blouse. it was huge. i sized down to the medium and it was still loose but if i were to purchase, it would be that size. the red against the blue was very pretty but i didn't know if felt like a little kid in a uniform. the back did not lie flat, not sure if it was because of my 36d chest or because of the shirt design. it is well made and i th</v>
      </c>
      <c r="F662" s="13">
        <f>IFERROR(__xludf.DUMMYFUNCTION("""COMPUTED_VALUE"""),5.0)</f>
        <v>5</v>
      </c>
      <c r="G662" s="13">
        <f>IFERROR(__xludf.DUMMYFUNCTION("""COMPUTED_VALUE"""),1.0)</f>
        <v>1</v>
      </c>
      <c r="H662" s="13">
        <f>IFERROR(__xludf.DUMMYFUNCTION("""COMPUTED_VALUE"""),10.0)</f>
        <v>10</v>
      </c>
      <c r="I662" s="13" t="str">
        <f>IFERROR(__xludf.DUMMYFUNCTION("""COMPUTED_VALUE"""),"General")</f>
        <v>General</v>
      </c>
      <c r="J662" s="13" t="str">
        <f>IFERROR(__xludf.DUMMYFUNCTION("""COMPUTED_VALUE"""),"Tops")</f>
        <v>Tops</v>
      </c>
      <c r="K662" s="13" t="str">
        <f>IFERROR(__xludf.DUMMYFUNCTION("""COMPUTED_VALUE"""),"Blouses")</f>
        <v>Blouses</v>
      </c>
      <c r="L662" s="13"/>
    </row>
    <row r="663">
      <c r="A663" s="13">
        <f>IFERROR(__xludf.DUMMYFUNCTION("""COMPUTED_VALUE"""),661.0)</f>
        <v>661</v>
      </c>
      <c r="B663" s="13">
        <f>IFERROR(__xludf.DUMMYFUNCTION("""COMPUTED_VALUE"""),1059.0)</f>
        <v>1059</v>
      </c>
      <c r="C663" s="13">
        <f>IFERROR(__xludf.DUMMYFUNCTION("""COMPUTED_VALUE"""),67.0)</f>
        <v>67</v>
      </c>
      <c r="D663" s="12" t="str">
        <f>IFERROR(__xludf.DUMMYFUNCTION("""COMPUTED_VALUE"""),"Perfect 24/7")</f>
        <v>Perfect 24/7</v>
      </c>
      <c r="E663" s="12" t="str">
        <f>IFERROR(__xludf.DUMMYFUNCTION("""COMPUTED_VALUE"""),"I love this ankle length pant. it is so comfortable wear it with a tunic or tee. i can wear this for 3 seasons!")</f>
        <v>I love this ankle length pant. it is so comfortable wear it with a tunic or tee. i can wear this for 3 seasons!</v>
      </c>
      <c r="F663" s="13">
        <f>IFERROR(__xludf.DUMMYFUNCTION("""COMPUTED_VALUE"""),5.0)</f>
        <v>5</v>
      </c>
      <c r="G663" s="13">
        <f>IFERROR(__xludf.DUMMYFUNCTION("""COMPUTED_VALUE"""),1.0)</f>
        <v>1</v>
      </c>
      <c r="H663" s="13">
        <f>IFERROR(__xludf.DUMMYFUNCTION("""COMPUTED_VALUE"""),4.0)</f>
        <v>4</v>
      </c>
      <c r="I663" s="13" t="str">
        <f>IFERROR(__xludf.DUMMYFUNCTION("""COMPUTED_VALUE"""),"General")</f>
        <v>General</v>
      </c>
      <c r="J663" s="13" t="str">
        <f>IFERROR(__xludf.DUMMYFUNCTION("""COMPUTED_VALUE"""),"Bottoms")</f>
        <v>Bottoms</v>
      </c>
      <c r="K663" s="13" t="str">
        <f>IFERROR(__xludf.DUMMYFUNCTION("""COMPUTED_VALUE"""),"Pants")</f>
        <v>Pants</v>
      </c>
      <c r="L663" s="13"/>
    </row>
    <row r="664">
      <c r="A664" s="13">
        <f>IFERROR(__xludf.DUMMYFUNCTION("""COMPUTED_VALUE"""),662.0)</f>
        <v>662</v>
      </c>
      <c r="B664" s="13">
        <f>IFERROR(__xludf.DUMMYFUNCTION("""COMPUTED_VALUE"""),1059.0)</f>
        <v>1059</v>
      </c>
      <c r="C664" s="13">
        <f>IFERROR(__xludf.DUMMYFUNCTION("""COMPUTED_VALUE"""),45.0)</f>
        <v>45</v>
      </c>
      <c r="D664" s="12" t="str">
        <f>IFERROR(__xludf.DUMMYFUNCTION("""COMPUTED_VALUE"""),"Super comfy and great fit!")</f>
        <v>Super comfy and great fit!</v>
      </c>
      <c r="E664" s="12" t="str">
        <f>IFERROR(__xludf.DUMMYFUNCTION("""COMPUTED_VALUE"""),"I think this is the first time i've successfully purchased pants online. i normally have to try a bunch of styles and sizes on before i find the right ones. i gave it a shot with these, and bingo! they are great! they are a bit longer on me than on the mo"&amp;"del, because i am 5'3"" and did not order a petite. i still like how they look, hitting just above my ankle. just the right blend of conservative and cool for lecturing in front of college undergrads.")</f>
        <v>I think this is the first time i've successfully purchased pants online. i normally have to try a bunch of styles and sizes on before i find the right ones. i gave it a shot with these, and bingo! they are great! they are a bit longer on me than on the model, because i am 5'3" and did not order a petite. i still like how they look, hitting just above my ankle. just the right blend of conservative and cool for lecturing in front of college undergrads.</v>
      </c>
      <c r="F664" s="13">
        <f>IFERROR(__xludf.DUMMYFUNCTION("""COMPUTED_VALUE"""),5.0)</f>
        <v>5</v>
      </c>
      <c r="G664" s="13">
        <f>IFERROR(__xludf.DUMMYFUNCTION("""COMPUTED_VALUE"""),1.0)</f>
        <v>1</v>
      </c>
      <c r="H664" s="13">
        <f>IFERROR(__xludf.DUMMYFUNCTION("""COMPUTED_VALUE"""),0.0)</f>
        <v>0</v>
      </c>
      <c r="I664" s="13" t="str">
        <f>IFERROR(__xludf.DUMMYFUNCTION("""COMPUTED_VALUE"""),"General")</f>
        <v>General</v>
      </c>
      <c r="J664" s="13" t="str">
        <f>IFERROR(__xludf.DUMMYFUNCTION("""COMPUTED_VALUE"""),"Bottoms")</f>
        <v>Bottoms</v>
      </c>
      <c r="K664" s="13" t="str">
        <f>IFERROR(__xludf.DUMMYFUNCTION("""COMPUTED_VALUE"""),"Pants")</f>
        <v>Pants</v>
      </c>
      <c r="L664" s="13"/>
    </row>
    <row r="665">
      <c r="A665" s="13">
        <f>IFERROR(__xludf.DUMMYFUNCTION("""COMPUTED_VALUE"""),663.0)</f>
        <v>663</v>
      </c>
      <c r="B665" s="13">
        <f>IFERROR(__xludf.DUMMYFUNCTION("""COMPUTED_VALUE"""),620.0)</f>
        <v>620</v>
      </c>
      <c r="C665" s="13">
        <f>IFERROR(__xludf.DUMMYFUNCTION("""COMPUTED_VALUE"""),42.0)</f>
        <v>42</v>
      </c>
      <c r="D665" s="12" t="str">
        <f>IFERROR(__xludf.DUMMYFUNCTION("""COMPUTED_VALUE"""),"Great shorts")</f>
        <v>Great shorts</v>
      </c>
      <c r="E665" s="12" t="str">
        <f>IFERROR(__xludf.DUMMYFUNCTION("""COMPUTED_VALUE"""),"Such cute, soft and comfortable shorts. can be worn as night wear or out and about.")</f>
        <v>Such cute, soft and comfortable shorts. can be worn as night wear or out and about.</v>
      </c>
      <c r="F665" s="13">
        <f>IFERROR(__xludf.DUMMYFUNCTION("""COMPUTED_VALUE"""),5.0)</f>
        <v>5</v>
      </c>
      <c r="G665" s="13">
        <f>IFERROR(__xludf.DUMMYFUNCTION("""COMPUTED_VALUE"""),1.0)</f>
        <v>1</v>
      </c>
      <c r="H665" s="13">
        <f>IFERROR(__xludf.DUMMYFUNCTION("""COMPUTED_VALUE"""),1.0)</f>
        <v>1</v>
      </c>
      <c r="I665" s="13" t="str">
        <f>IFERROR(__xludf.DUMMYFUNCTION("""COMPUTED_VALUE"""),"General")</f>
        <v>General</v>
      </c>
      <c r="J665" s="13" t="str">
        <f>IFERROR(__xludf.DUMMYFUNCTION("""COMPUTED_VALUE"""),"Bottoms")</f>
        <v>Bottoms</v>
      </c>
      <c r="K665" s="13" t="str">
        <f>IFERROR(__xludf.DUMMYFUNCTION("""COMPUTED_VALUE"""),"Shorts")</f>
        <v>Shorts</v>
      </c>
      <c r="L665" s="13"/>
    </row>
    <row r="666">
      <c r="A666" s="13">
        <f>IFERROR(__xludf.DUMMYFUNCTION("""COMPUTED_VALUE"""),664.0)</f>
        <v>664</v>
      </c>
      <c r="B666" s="13">
        <f>IFERROR(__xludf.DUMMYFUNCTION("""COMPUTED_VALUE"""),1059.0)</f>
        <v>1059</v>
      </c>
      <c r="C666" s="13">
        <f>IFERROR(__xludf.DUMMYFUNCTION("""COMPUTED_VALUE"""),58.0)</f>
        <v>58</v>
      </c>
      <c r="D666" s="12" t="str">
        <f>IFERROR(__xludf.DUMMYFUNCTION("""COMPUTED_VALUE"""),"Cute slim pants")</f>
        <v>Cute slim pants</v>
      </c>
      <c r="E666" s="12" t="str">
        <f>IFERROR(__xludf.DUMMYFUNCTION("""COMPUTED_VALUE"""),"I saw these in an email and immediately went to the web to look at them. they fit well and have nice slim look. the bottom of the legs seems to fit a little slimmer on me than in the picture, but they aren't too tight.")</f>
        <v>I saw these in an email and immediately went to the web to look at them. they fit well and have nice slim look. the bottom of the legs seems to fit a little slimmer on me than in the picture, but they aren't too tight.</v>
      </c>
      <c r="F666" s="13">
        <f>IFERROR(__xludf.DUMMYFUNCTION("""COMPUTED_VALUE"""),5.0)</f>
        <v>5</v>
      </c>
      <c r="G666" s="13">
        <f>IFERROR(__xludf.DUMMYFUNCTION("""COMPUTED_VALUE"""),1.0)</f>
        <v>1</v>
      </c>
      <c r="H666" s="13">
        <f>IFERROR(__xludf.DUMMYFUNCTION("""COMPUTED_VALUE"""),6.0)</f>
        <v>6</v>
      </c>
      <c r="I666" s="13" t="str">
        <f>IFERROR(__xludf.DUMMYFUNCTION("""COMPUTED_VALUE"""),"General")</f>
        <v>General</v>
      </c>
      <c r="J666" s="13" t="str">
        <f>IFERROR(__xludf.DUMMYFUNCTION("""COMPUTED_VALUE"""),"Bottoms")</f>
        <v>Bottoms</v>
      </c>
      <c r="K666" s="13" t="str">
        <f>IFERROR(__xludf.DUMMYFUNCTION("""COMPUTED_VALUE"""),"Pants")</f>
        <v>Pants</v>
      </c>
      <c r="L666" s="13"/>
    </row>
    <row r="667">
      <c r="A667" s="13">
        <f>IFERROR(__xludf.DUMMYFUNCTION("""COMPUTED_VALUE"""),665.0)</f>
        <v>665</v>
      </c>
      <c r="B667" s="13">
        <f>IFERROR(__xludf.DUMMYFUNCTION("""COMPUTED_VALUE"""),117.0)</f>
        <v>117</v>
      </c>
      <c r="C667" s="13">
        <f>IFERROR(__xludf.DUMMYFUNCTION("""COMPUTED_VALUE"""),52.0)</f>
        <v>52</v>
      </c>
      <c r="D667" s="12" t="str">
        <f>IFERROR(__xludf.DUMMYFUNCTION("""COMPUTED_VALUE"""),"Fabulous")</f>
        <v>Fabulous</v>
      </c>
      <c r="E667" s="12" t="str">
        <f>IFERROR(__xludf.DUMMYFUNCTION("""COMPUTED_VALUE"""),"Received many compliments the first day i wore them.. amazing fit. disagree with the other post. the
quality is amazing. i wish they had other colors. bought xs")</f>
        <v>Received many compliments the first day i wore them.. amazing fit. disagree with the other post. the
quality is amazing. i wish they had other colors. bought xs</v>
      </c>
      <c r="F667" s="13">
        <f>IFERROR(__xludf.DUMMYFUNCTION("""COMPUTED_VALUE"""),5.0)</f>
        <v>5</v>
      </c>
      <c r="G667" s="13">
        <f>IFERROR(__xludf.DUMMYFUNCTION("""COMPUTED_VALUE"""),1.0)</f>
        <v>1</v>
      </c>
      <c r="H667" s="13">
        <f>IFERROR(__xludf.DUMMYFUNCTION("""COMPUTED_VALUE"""),1.0)</f>
        <v>1</v>
      </c>
      <c r="I667" s="13" t="str">
        <f>IFERROR(__xludf.DUMMYFUNCTION("""COMPUTED_VALUE"""),"Initmates")</f>
        <v>Initmates</v>
      </c>
      <c r="J667" s="13" t="str">
        <f>IFERROR(__xludf.DUMMYFUNCTION("""COMPUTED_VALUE"""),"Intimate")</f>
        <v>Intimate</v>
      </c>
      <c r="K667" s="13" t="str">
        <f>IFERROR(__xludf.DUMMYFUNCTION("""COMPUTED_VALUE"""),"Legwear")</f>
        <v>Legwear</v>
      </c>
      <c r="L667" s="13"/>
    </row>
    <row r="668">
      <c r="A668" s="13">
        <f>IFERROR(__xludf.DUMMYFUNCTION("""COMPUTED_VALUE"""),666.0)</f>
        <v>666</v>
      </c>
      <c r="B668" s="13">
        <f>IFERROR(__xludf.DUMMYFUNCTION("""COMPUTED_VALUE"""),252.0)</f>
        <v>252</v>
      </c>
      <c r="C668" s="13">
        <f>IFERROR(__xludf.DUMMYFUNCTION("""COMPUTED_VALUE"""),25.0)</f>
        <v>25</v>
      </c>
      <c r="D668" s="12" t="str">
        <f>IFERROR(__xludf.DUMMYFUNCTION("""COMPUTED_VALUE"""),"Cute and comfortable swimsuit!")</f>
        <v>Cute and comfortable swimsuit!</v>
      </c>
      <c r="E668" s="12" t="str">
        <f>IFERROR(__xludf.DUMMYFUNCTION("""COMPUTED_VALUE"""),"This is one of the most comfortable swimsuits i own. i purchased it in the turquoise dots print and found that it was colorful and perfect for a beach getaway. the adjustable halter style makes it really comfortable, yet cute. i highly recommend this suit"&amp;" to those looking for a unique, yet whimsical swimsuit style.")</f>
        <v>This is one of the most comfortable swimsuits i own. i purchased it in the turquoise dots print and found that it was colorful and perfect for a beach getaway. the adjustable halter style makes it really comfortable, yet cute. i highly recommend this suit to those looking for a unique, yet whimsical swimsuit style.</v>
      </c>
      <c r="F668" s="13">
        <f>IFERROR(__xludf.DUMMYFUNCTION("""COMPUTED_VALUE"""),5.0)</f>
        <v>5</v>
      </c>
      <c r="G668" s="13">
        <f>IFERROR(__xludf.DUMMYFUNCTION("""COMPUTED_VALUE"""),1.0)</f>
        <v>1</v>
      </c>
      <c r="H668" s="13">
        <f>IFERROR(__xludf.DUMMYFUNCTION("""COMPUTED_VALUE"""),1.0)</f>
        <v>1</v>
      </c>
      <c r="I668" s="13" t="str">
        <f>IFERROR(__xludf.DUMMYFUNCTION("""COMPUTED_VALUE"""),"Initmates")</f>
        <v>Initmates</v>
      </c>
      <c r="J668" s="13" t="str">
        <f>IFERROR(__xludf.DUMMYFUNCTION("""COMPUTED_VALUE"""),"Intimate")</f>
        <v>Intimate</v>
      </c>
      <c r="K668" s="13" t="str">
        <f>IFERROR(__xludf.DUMMYFUNCTION("""COMPUTED_VALUE"""),"Swim")</f>
        <v>Swim</v>
      </c>
      <c r="L668" s="13"/>
    </row>
    <row r="669">
      <c r="A669" s="13">
        <f>IFERROR(__xludf.DUMMYFUNCTION("""COMPUTED_VALUE"""),667.0)</f>
        <v>667</v>
      </c>
      <c r="B669" s="13">
        <f>IFERROR(__xludf.DUMMYFUNCTION("""COMPUTED_VALUE"""),252.0)</f>
        <v>252</v>
      </c>
      <c r="C669" s="13">
        <f>IFERROR(__xludf.DUMMYFUNCTION("""COMPUTED_VALUE"""),35.0)</f>
        <v>35</v>
      </c>
      <c r="D669" s="12" t="str">
        <f>IFERROR(__xludf.DUMMYFUNCTION("""COMPUTED_VALUE"""),"Lacks support")</f>
        <v>Lacks support</v>
      </c>
      <c r="E669" s="12" t="str">
        <f>IFERROR(__xludf.DUMMYFUNCTION("""COMPUTED_VALUE"""),"Great swimsuit, love the fabric and pattern. the top lacks support.")</f>
        <v>Great swimsuit, love the fabric and pattern. the top lacks support.</v>
      </c>
      <c r="F669" s="13">
        <f>IFERROR(__xludf.DUMMYFUNCTION("""COMPUTED_VALUE"""),4.0)</f>
        <v>4</v>
      </c>
      <c r="G669" s="13">
        <f>IFERROR(__xludf.DUMMYFUNCTION("""COMPUTED_VALUE"""),1.0)</f>
        <v>1</v>
      </c>
      <c r="H669" s="13">
        <f>IFERROR(__xludf.DUMMYFUNCTION("""COMPUTED_VALUE"""),0.0)</f>
        <v>0</v>
      </c>
      <c r="I669" s="13" t="str">
        <f>IFERROR(__xludf.DUMMYFUNCTION("""COMPUTED_VALUE"""),"Initmates")</f>
        <v>Initmates</v>
      </c>
      <c r="J669" s="13" t="str">
        <f>IFERROR(__xludf.DUMMYFUNCTION("""COMPUTED_VALUE"""),"Intimate")</f>
        <v>Intimate</v>
      </c>
      <c r="K669" s="13" t="str">
        <f>IFERROR(__xludf.DUMMYFUNCTION("""COMPUTED_VALUE"""),"Swim")</f>
        <v>Swim</v>
      </c>
      <c r="L669" s="13"/>
    </row>
    <row r="670">
      <c r="A670" s="13">
        <f>IFERROR(__xludf.DUMMYFUNCTION("""COMPUTED_VALUE"""),668.0)</f>
        <v>668</v>
      </c>
      <c r="B670" s="13">
        <f>IFERROR(__xludf.DUMMYFUNCTION("""COMPUTED_VALUE"""),634.0)</f>
        <v>634</v>
      </c>
      <c r="C670" s="13">
        <f>IFERROR(__xludf.DUMMYFUNCTION("""COMPUTED_VALUE"""),37.0)</f>
        <v>37</v>
      </c>
      <c r="D670" s="12" t="str">
        <f>IFERROR(__xludf.DUMMYFUNCTION("""COMPUTED_VALUE"""),"Easy breezy")</f>
        <v>Easy breezy</v>
      </c>
      <c r="E670" s="12" t="str">
        <f>IFERROR(__xludf.DUMMYFUNCTION("""COMPUTED_VALUE"""),"This dress is the best casual find. goes with everything- flips flops, tennys, jean jacket. feels little sporty and the orange was a cool addition to my closet.")</f>
        <v>This dress is the best casual find. goes with everything- flips flops, tennys, jean jacket. feels little sporty and the orange was a cool addition to my closet.</v>
      </c>
      <c r="F670" s="13">
        <f>IFERROR(__xludf.DUMMYFUNCTION("""COMPUTED_VALUE"""),4.0)</f>
        <v>4</v>
      </c>
      <c r="G670" s="13">
        <f>IFERROR(__xludf.DUMMYFUNCTION("""COMPUTED_VALUE"""),1.0)</f>
        <v>1</v>
      </c>
      <c r="H670" s="13">
        <f>IFERROR(__xludf.DUMMYFUNCTION("""COMPUTED_VALUE"""),2.0)</f>
        <v>2</v>
      </c>
      <c r="I670" s="13" t="str">
        <f>IFERROR(__xludf.DUMMYFUNCTION("""COMPUTED_VALUE"""),"General Petite")</f>
        <v>General Petite</v>
      </c>
      <c r="J670" s="13" t="str">
        <f>IFERROR(__xludf.DUMMYFUNCTION("""COMPUTED_VALUE"""),"Intimate")</f>
        <v>Intimate</v>
      </c>
      <c r="K670" s="13" t="str">
        <f>IFERROR(__xludf.DUMMYFUNCTION("""COMPUTED_VALUE"""),"Lounge")</f>
        <v>Lounge</v>
      </c>
      <c r="L670" s="13"/>
    </row>
    <row r="671">
      <c r="A671" s="13">
        <f>IFERROR(__xludf.DUMMYFUNCTION("""COMPUTED_VALUE"""),669.0)</f>
        <v>669</v>
      </c>
      <c r="B671" s="13">
        <f>IFERROR(__xludf.DUMMYFUNCTION("""COMPUTED_VALUE"""),838.0)</f>
        <v>838</v>
      </c>
      <c r="C671" s="13">
        <f>IFERROR(__xludf.DUMMYFUNCTION("""COMPUTED_VALUE"""),29.0)</f>
        <v>29</v>
      </c>
      <c r="D671" s="12" t="str">
        <f>IFERROR(__xludf.DUMMYFUNCTION("""COMPUTED_VALUE"""),"Weird fit")</f>
        <v>Weird fit</v>
      </c>
      <c r="E671" s="12" t="str">
        <f>IFERROR(__xludf.DUMMYFUNCTION("""COMPUTED_VALUE"""),"I tried this on in the store and was disappointed because it looked so fresh and vibrant on the hanger. but it's basically cut for model-sized people only. it's short and wide, and if you have any boobs at all it'll make the back pucker. i can't imagine t"&amp;"his will look good on most women.")</f>
        <v>I tried this on in the store and was disappointed because it looked so fresh and vibrant on the hanger. but it's basically cut for model-sized people only. it's short and wide, and if you have any boobs at all it'll make the back pucker. i can't imagine this will look good on most women.</v>
      </c>
      <c r="F671" s="13">
        <f>IFERROR(__xludf.DUMMYFUNCTION("""COMPUTED_VALUE"""),2.0)</f>
        <v>2</v>
      </c>
      <c r="G671" s="13">
        <f>IFERROR(__xludf.DUMMYFUNCTION("""COMPUTED_VALUE"""),0.0)</f>
        <v>0</v>
      </c>
      <c r="H671" s="13">
        <f>IFERROR(__xludf.DUMMYFUNCTION("""COMPUTED_VALUE"""),7.0)</f>
        <v>7</v>
      </c>
      <c r="I671" s="13" t="str">
        <f>IFERROR(__xludf.DUMMYFUNCTION("""COMPUTED_VALUE"""),"General")</f>
        <v>General</v>
      </c>
      <c r="J671" s="13" t="str">
        <f>IFERROR(__xludf.DUMMYFUNCTION("""COMPUTED_VALUE"""),"Tops")</f>
        <v>Tops</v>
      </c>
      <c r="K671" s="13" t="str">
        <f>IFERROR(__xludf.DUMMYFUNCTION("""COMPUTED_VALUE"""),"Blouses")</f>
        <v>Blouses</v>
      </c>
      <c r="L671" s="13"/>
    </row>
    <row r="672">
      <c r="A672" s="13">
        <f>IFERROR(__xludf.DUMMYFUNCTION("""COMPUTED_VALUE"""),670.0)</f>
        <v>670</v>
      </c>
      <c r="B672" s="13">
        <f>IFERROR(__xludf.DUMMYFUNCTION("""COMPUTED_VALUE"""),1008.0)</f>
        <v>1008</v>
      </c>
      <c r="C672" s="13">
        <f>IFERROR(__xludf.DUMMYFUNCTION("""COMPUTED_VALUE"""),29.0)</f>
        <v>29</v>
      </c>
      <c r="D672" s="12" t="str">
        <f>IFERROR(__xludf.DUMMYFUNCTION("""COMPUTED_VALUE"""),"Cute but didn't work for me :(")</f>
        <v>Cute but didn't work for me :(</v>
      </c>
      <c r="E672" s="12" t="str">
        <f>IFERROR(__xludf.DUMMYFUNCTION("""COMPUTED_VALUE"""),"I really wanted this skirt to work but it didn't look very flattering on me. a great midi length and very cool pattern, so hopefully will work for others!")</f>
        <v>I really wanted this skirt to work but it didn't look very flattering on me. a great midi length and very cool pattern, so hopefully will work for others!</v>
      </c>
      <c r="F672" s="13">
        <f>IFERROR(__xludf.DUMMYFUNCTION("""COMPUTED_VALUE"""),3.0)</f>
        <v>3</v>
      </c>
      <c r="G672" s="13">
        <f>IFERROR(__xludf.DUMMYFUNCTION("""COMPUTED_VALUE"""),0.0)</f>
        <v>0</v>
      </c>
      <c r="H672" s="13">
        <f>IFERROR(__xludf.DUMMYFUNCTION("""COMPUTED_VALUE"""),0.0)</f>
        <v>0</v>
      </c>
      <c r="I672" s="13" t="str">
        <f>IFERROR(__xludf.DUMMYFUNCTION("""COMPUTED_VALUE"""),"General")</f>
        <v>General</v>
      </c>
      <c r="J672" s="13" t="str">
        <f>IFERROR(__xludf.DUMMYFUNCTION("""COMPUTED_VALUE"""),"Bottoms")</f>
        <v>Bottoms</v>
      </c>
      <c r="K672" s="13" t="str">
        <f>IFERROR(__xludf.DUMMYFUNCTION("""COMPUTED_VALUE"""),"Skirts")</f>
        <v>Skirts</v>
      </c>
      <c r="L672" s="13"/>
    </row>
    <row r="673">
      <c r="A673" s="13">
        <f>IFERROR(__xludf.DUMMYFUNCTION("""COMPUTED_VALUE"""),671.0)</f>
        <v>671</v>
      </c>
      <c r="B673" s="13">
        <f>IFERROR(__xludf.DUMMYFUNCTION("""COMPUTED_VALUE"""),1059.0)</f>
        <v>1059</v>
      </c>
      <c r="C673" s="13">
        <f>IFERROR(__xludf.DUMMYFUNCTION("""COMPUTED_VALUE"""),47.0)</f>
        <v>47</v>
      </c>
      <c r="D673" s="12" t="str">
        <f>IFERROR(__xludf.DUMMYFUNCTION("""COMPUTED_VALUE"""),"Cute pants")</f>
        <v>Cute pants</v>
      </c>
      <c r="E673" s="12" t="str">
        <f>IFERROR(__xludf.DUMMYFUNCTION("""COMPUTED_VALUE"""),"These are really cute. nice fabric. i love the rise...not to low, not too high. but they are going back. i'm a size 4. i got these in a 4. they fit fine in the waist and bum but they are tight around my calves. also, they were more like ""high waters"" on"&amp;" me than cropped so a petite in the length probably would have worked better for me had these fit.")</f>
        <v>These are really cute. nice fabric. i love the rise...not to low, not too high. but they are going back. i'm a size 4. i got these in a 4. they fit fine in the waist and bum but they are tight around my calves. also, they were more like "high waters" on me than cropped so a petite in the length probably would have worked better for me had these fit.</v>
      </c>
      <c r="F673" s="13">
        <f>IFERROR(__xludf.DUMMYFUNCTION("""COMPUTED_VALUE"""),4.0)</f>
        <v>4</v>
      </c>
      <c r="G673" s="13">
        <f>IFERROR(__xludf.DUMMYFUNCTION("""COMPUTED_VALUE"""),1.0)</f>
        <v>1</v>
      </c>
      <c r="H673" s="13">
        <f>IFERROR(__xludf.DUMMYFUNCTION("""COMPUTED_VALUE"""),0.0)</f>
        <v>0</v>
      </c>
      <c r="I673" s="13" t="str">
        <f>IFERROR(__xludf.DUMMYFUNCTION("""COMPUTED_VALUE"""),"General")</f>
        <v>General</v>
      </c>
      <c r="J673" s="13" t="str">
        <f>IFERROR(__xludf.DUMMYFUNCTION("""COMPUTED_VALUE"""),"Bottoms")</f>
        <v>Bottoms</v>
      </c>
      <c r="K673" s="13" t="str">
        <f>IFERROR(__xludf.DUMMYFUNCTION("""COMPUTED_VALUE"""),"Pants")</f>
        <v>Pants</v>
      </c>
      <c r="L673" s="13"/>
    </row>
    <row r="674">
      <c r="A674" s="13">
        <f>IFERROR(__xludf.DUMMYFUNCTION("""COMPUTED_VALUE"""),672.0)</f>
        <v>672</v>
      </c>
      <c r="B674" s="13">
        <f>IFERROR(__xludf.DUMMYFUNCTION("""COMPUTED_VALUE"""),838.0)</f>
        <v>838</v>
      </c>
      <c r="C674" s="13">
        <f>IFERROR(__xludf.DUMMYFUNCTION("""COMPUTED_VALUE"""),25.0)</f>
        <v>25</v>
      </c>
      <c r="D674" s="12"/>
      <c r="E674" s="12" t="str">
        <f>IFERROR(__xludf.DUMMYFUNCTION("""COMPUTED_VALUE"""),"This top is gorgeous! this is why i love retailer the quality is amazing. i just love how unique this top is. it's a light jean blue and white pin striped shirt with these beautiful red crochet sleeves. i'm a 34ddd i ordered the large and it's perfect. it"&amp;" is a bit shorter probably because of my chest but i was going to wear it with high waisted shorts anyways.  it's a must buy!")</f>
        <v>This top is gorgeous! this is why i love retailer the quality is amazing. i just love how unique this top is. it's a light jean blue and white pin striped shirt with these beautiful red crochet sleeves. i'm a 34ddd i ordered the large and it's perfect. it is a bit shorter probably because of my chest but i was going to wear it with high waisted shorts anyways.  it's a must buy!</v>
      </c>
      <c r="F674" s="13">
        <f>IFERROR(__xludf.DUMMYFUNCTION("""COMPUTED_VALUE"""),5.0)</f>
        <v>5</v>
      </c>
      <c r="G674" s="13">
        <f>IFERROR(__xludf.DUMMYFUNCTION("""COMPUTED_VALUE"""),1.0)</f>
        <v>1</v>
      </c>
      <c r="H674" s="13">
        <f>IFERROR(__xludf.DUMMYFUNCTION("""COMPUTED_VALUE"""),1.0)</f>
        <v>1</v>
      </c>
      <c r="I674" s="13" t="str">
        <f>IFERROR(__xludf.DUMMYFUNCTION("""COMPUTED_VALUE"""),"General")</f>
        <v>General</v>
      </c>
      <c r="J674" s="13" t="str">
        <f>IFERROR(__xludf.DUMMYFUNCTION("""COMPUTED_VALUE"""),"Tops")</f>
        <v>Tops</v>
      </c>
      <c r="K674" s="13" t="str">
        <f>IFERROR(__xludf.DUMMYFUNCTION("""COMPUTED_VALUE"""),"Blouses")</f>
        <v>Blouses</v>
      </c>
      <c r="L674" s="13"/>
    </row>
    <row r="675">
      <c r="A675" s="13">
        <f>IFERROR(__xludf.DUMMYFUNCTION("""COMPUTED_VALUE"""),673.0)</f>
        <v>673</v>
      </c>
      <c r="B675" s="13">
        <f>IFERROR(__xludf.DUMMYFUNCTION("""COMPUTED_VALUE"""),634.0)</f>
        <v>634</v>
      </c>
      <c r="C675" s="13">
        <f>IFERROR(__xludf.DUMMYFUNCTION("""COMPUTED_VALUE"""),39.0)</f>
        <v>39</v>
      </c>
      <c r="D675" s="12" t="str">
        <f>IFERROR(__xludf.DUMMYFUNCTION("""COMPUTED_VALUE"""),"Great price for")</f>
        <v>Great price for</v>
      </c>
      <c r="E675" s="12" t="str">
        <f>IFERROR(__xludf.DUMMYFUNCTION("""COMPUTED_VALUE"""),"Sale price is a great price for a cute cover-up.  so this is not a polite company dress.  this is a ""i want to show off my cute underwear/bikini/cross-fit bod while i go get a cold pressed juice in venice"" kind of dress.  or you can just wear it at home"&amp;" like i do.  runs small btw, so size up.")</f>
        <v>Sale price is a great price for a cute cover-up.  so this is not a polite company dress.  this is a "i want to show off my cute underwear/bikini/cross-fit bod while i go get a cold pressed juice in venice" kind of dress.  or you can just wear it at home like i do.  runs small btw, so size up.</v>
      </c>
      <c r="F675" s="13">
        <f>IFERROR(__xludf.DUMMYFUNCTION("""COMPUTED_VALUE"""),5.0)</f>
        <v>5</v>
      </c>
      <c r="G675" s="13">
        <f>IFERROR(__xludf.DUMMYFUNCTION("""COMPUTED_VALUE"""),1.0)</f>
        <v>1</v>
      </c>
      <c r="H675" s="13">
        <f>IFERROR(__xludf.DUMMYFUNCTION("""COMPUTED_VALUE"""),0.0)</f>
        <v>0</v>
      </c>
      <c r="I675" s="13" t="str">
        <f>IFERROR(__xludf.DUMMYFUNCTION("""COMPUTED_VALUE"""),"General Petite")</f>
        <v>General Petite</v>
      </c>
      <c r="J675" s="13" t="str">
        <f>IFERROR(__xludf.DUMMYFUNCTION("""COMPUTED_VALUE"""),"Intimate")</f>
        <v>Intimate</v>
      </c>
      <c r="K675" s="13" t="str">
        <f>IFERROR(__xludf.DUMMYFUNCTION("""COMPUTED_VALUE"""),"Lounge")</f>
        <v>Lounge</v>
      </c>
      <c r="L675" s="13"/>
    </row>
    <row r="676">
      <c r="A676" s="13">
        <f>IFERROR(__xludf.DUMMYFUNCTION("""COMPUTED_VALUE"""),674.0)</f>
        <v>674</v>
      </c>
      <c r="B676" s="13">
        <f>IFERROR(__xludf.DUMMYFUNCTION("""COMPUTED_VALUE"""),1059.0)</f>
        <v>1059</v>
      </c>
      <c r="C676" s="13">
        <f>IFERROR(__xludf.DUMMYFUNCTION("""COMPUTED_VALUE"""),30.0)</f>
        <v>30</v>
      </c>
      <c r="D676" s="12" t="str">
        <f>IFERROR(__xludf.DUMMYFUNCTION("""COMPUTED_VALUE"""),"Great fit")</f>
        <v>Great fit</v>
      </c>
      <c r="E676" s="12" t="str">
        <f>IFERROR(__xludf.DUMMYFUNCTION("""COMPUTED_VALUE"""),"These fit me really well. i tend to have a problem finding trousers that fit my more muscular legs and my waist. usually, if it fits my legs the waist is too big. the trousers have some stretch for a better fit. the only downside is that i had go them hem"&amp;"med (bought regular size).")</f>
        <v>These fit me really well. i tend to have a problem finding trousers that fit my more muscular legs and my waist. usually, if it fits my legs the waist is too big. the trousers have some stretch for a better fit. the only downside is that i had go them hemmed (bought regular size).</v>
      </c>
      <c r="F676" s="13">
        <f>IFERROR(__xludf.DUMMYFUNCTION("""COMPUTED_VALUE"""),5.0)</f>
        <v>5</v>
      </c>
      <c r="G676" s="13">
        <f>IFERROR(__xludf.DUMMYFUNCTION("""COMPUTED_VALUE"""),1.0)</f>
        <v>1</v>
      </c>
      <c r="H676" s="13">
        <f>IFERROR(__xludf.DUMMYFUNCTION("""COMPUTED_VALUE"""),0.0)</f>
        <v>0</v>
      </c>
      <c r="I676" s="13" t="str">
        <f>IFERROR(__xludf.DUMMYFUNCTION("""COMPUTED_VALUE"""),"General")</f>
        <v>General</v>
      </c>
      <c r="J676" s="13" t="str">
        <f>IFERROR(__xludf.DUMMYFUNCTION("""COMPUTED_VALUE"""),"Bottoms")</f>
        <v>Bottoms</v>
      </c>
      <c r="K676" s="13" t="str">
        <f>IFERROR(__xludf.DUMMYFUNCTION("""COMPUTED_VALUE"""),"Pants")</f>
        <v>Pants</v>
      </c>
      <c r="L676" s="13"/>
    </row>
    <row r="677">
      <c r="A677" s="13">
        <f>IFERROR(__xludf.DUMMYFUNCTION("""COMPUTED_VALUE"""),675.0)</f>
        <v>675</v>
      </c>
      <c r="B677" s="13">
        <f>IFERROR(__xludf.DUMMYFUNCTION("""COMPUTED_VALUE"""),1059.0)</f>
        <v>1059</v>
      </c>
      <c r="C677" s="13">
        <f>IFERROR(__xludf.DUMMYFUNCTION("""COMPUTED_VALUE"""),34.0)</f>
        <v>34</v>
      </c>
      <c r="D677" s="12" t="str">
        <f>IFERROR(__xludf.DUMMYFUNCTION("""COMPUTED_VALUE"""),"Stretches out")</f>
        <v>Stretches out</v>
      </c>
      <c r="E677" s="12" t="str">
        <f>IFERROR(__xludf.DUMMYFUNCTION("""COMPUTED_VALUE"""),"I am normally between a size 0 and 2, so i ordered these pants in both sizes to make sure i would have a nice pair of black crops to wear to work. the 0 seemed pretty tight all around, so i returned the 0 and kept the 2 even though there was a little bit "&amp;"of room in the waist. of course the size 2 after a few hours of wearing had completely stretched out, was bagging in the crotch area, sliding around on my waist and creasing badly behind the knees. i doubt i will wear these pants more than the o")</f>
        <v>I am normally between a size 0 and 2, so i ordered these pants in both sizes to make sure i would have a nice pair of black crops to wear to work. the 0 seemed pretty tight all around, so i returned the 0 and kept the 2 even though there was a little bit of room in the waist. of course the size 2 after a few hours of wearing had completely stretched out, was bagging in the crotch area, sliding around on my waist and creasing badly behind the knees. i doubt i will wear these pants more than the o</v>
      </c>
      <c r="F677" s="13">
        <f>IFERROR(__xludf.DUMMYFUNCTION("""COMPUTED_VALUE"""),2.0)</f>
        <v>2</v>
      </c>
      <c r="G677" s="13">
        <f>IFERROR(__xludf.DUMMYFUNCTION("""COMPUTED_VALUE"""),0.0)</f>
        <v>0</v>
      </c>
      <c r="H677" s="13">
        <f>IFERROR(__xludf.DUMMYFUNCTION("""COMPUTED_VALUE"""),17.0)</f>
        <v>17</v>
      </c>
      <c r="I677" s="13" t="str">
        <f>IFERROR(__xludf.DUMMYFUNCTION("""COMPUTED_VALUE"""),"General")</f>
        <v>General</v>
      </c>
      <c r="J677" s="13" t="str">
        <f>IFERROR(__xludf.DUMMYFUNCTION("""COMPUTED_VALUE"""),"Bottoms")</f>
        <v>Bottoms</v>
      </c>
      <c r="K677" s="13" t="str">
        <f>IFERROR(__xludf.DUMMYFUNCTION("""COMPUTED_VALUE"""),"Pants")</f>
        <v>Pants</v>
      </c>
      <c r="L677" s="13"/>
    </row>
    <row r="678">
      <c r="A678" s="13">
        <f>IFERROR(__xludf.DUMMYFUNCTION("""COMPUTED_VALUE"""),676.0)</f>
        <v>676</v>
      </c>
      <c r="B678" s="13">
        <f>IFERROR(__xludf.DUMMYFUNCTION("""COMPUTED_VALUE"""),1059.0)</f>
        <v>1059</v>
      </c>
      <c r="C678" s="13">
        <f>IFERROR(__xludf.DUMMYFUNCTION("""COMPUTED_VALUE"""),60.0)</f>
        <v>60</v>
      </c>
      <c r="D678" s="12" t="str">
        <f>IFERROR(__xludf.DUMMYFUNCTION("""COMPUTED_VALUE"""),"Great material, awkward length")</f>
        <v>Great material, awkward length</v>
      </c>
      <c r="E678" s="12" t="str">
        <f>IFERROR(__xludf.DUMMYFUNCTION("""COMPUTED_VALUE"""),"The material and construction of the pants are great, but the length is just plain awkward. i'm 5'4"" and the regular came to just above my ankles, and looked as though they had shrunk in the wash in a really bad way. a couple of inches longer and they wo"&amp;"uld've been fine, or i could've gotten them in petite and worn them as true ankle-length pants, but the regular just didn't do it for me. also i'm usually a size 6 (5'4"", 125lbs) and these were a little baggy around the waist and hips.")</f>
        <v>The material and construction of the pants are great, but the length is just plain awkward. i'm 5'4" and the regular came to just above my ankles, and looked as though they had shrunk in the wash in a really bad way. a couple of inches longer and they would've been fine, or i could've gotten them in petite and worn them as true ankle-length pants, but the regular just didn't do it for me. also i'm usually a size 6 (5'4", 125lbs) and these were a little baggy around the waist and hips.</v>
      </c>
      <c r="F678" s="13">
        <f>IFERROR(__xludf.DUMMYFUNCTION("""COMPUTED_VALUE"""),3.0)</f>
        <v>3</v>
      </c>
      <c r="G678" s="13">
        <f>IFERROR(__xludf.DUMMYFUNCTION("""COMPUTED_VALUE"""),0.0)</f>
        <v>0</v>
      </c>
      <c r="H678" s="13">
        <f>IFERROR(__xludf.DUMMYFUNCTION("""COMPUTED_VALUE"""),0.0)</f>
        <v>0</v>
      </c>
      <c r="I678" s="13" t="str">
        <f>IFERROR(__xludf.DUMMYFUNCTION("""COMPUTED_VALUE"""),"General")</f>
        <v>General</v>
      </c>
      <c r="J678" s="13" t="str">
        <f>IFERROR(__xludf.DUMMYFUNCTION("""COMPUTED_VALUE"""),"Bottoms")</f>
        <v>Bottoms</v>
      </c>
      <c r="K678" s="13" t="str">
        <f>IFERROR(__xludf.DUMMYFUNCTION("""COMPUTED_VALUE"""),"Pants")</f>
        <v>Pants</v>
      </c>
      <c r="L678" s="13"/>
    </row>
    <row r="679">
      <c r="A679" s="13">
        <f>IFERROR(__xludf.DUMMYFUNCTION("""COMPUTED_VALUE"""),677.0)</f>
        <v>677</v>
      </c>
      <c r="B679" s="13">
        <f>IFERROR(__xludf.DUMMYFUNCTION("""COMPUTED_VALUE"""),1059.0)</f>
        <v>1059</v>
      </c>
      <c r="C679" s="13">
        <f>IFERROR(__xludf.DUMMYFUNCTION("""COMPUTED_VALUE"""),45.0)</f>
        <v>45</v>
      </c>
      <c r="D679" s="12" t="str">
        <f>IFERROR(__xludf.DUMMYFUNCTION("""COMPUTED_VALUE"""),"Love these pants, highly recommend!")</f>
        <v>Love these pants, highly recommend!</v>
      </c>
      <c r="E679" s="12" t="str">
        <f>IFERROR(__xludf.DUMMYFUNCTION("""COMPUTED_VALUE"""),"I often find wearing anything described as 'slim' difficult, but these pants are absolutely wonderful. i bought in a size 12 regular length. they are perfect, both in fit and quality.")</f>
        <v>I often find wearing anything described as 'slim' difficult, but these pants are absolutely wonderful. i bought in a size 12 regular length. they are perfect, both in fit and quality.</v>
      </c>
      <c r="F679" s="13">
        <f>IFERROR(__xludf.DUMMYFUNCTION("""COMPUTED_VALUE"""),5.0)</f>
        <v>5</v>
      </c>
      <c r="G679" s="13">
        <f>IFERROR(__xludf.DUMMYFUNCTION("""COMPUTED_VALUE"""),1.0)</f>
        <v>1</v>
      </c>
      <c r="H679" s="13">
        <f>IFERROR(__xludf.DUMMYFUNCTION("""COMPUTED_VALUE"""),1.0)</f>
        <v>1</v>
      </c>
      <c r="I679" s="13" t="str">
        <f>IFERROR(__xludf.DUMMYFUNCTION("""COMPUTED_VALUE"""),"General")</f>
        <v>General</v>
      </c>
      <c r="J679" s="13" t="str">
        <f>IFERROR(__xludf.DUMMYFUNCTION("""COMPUTED_VALUE"""),"Bottoms")</f>
        <v>Bottoms</v>
      </c>
      <c r="K679" s="13" t="str">
        <f>IFERROR(__xludf.DUMMYFUNCTION("""COMPUTED_VALUE"""),"Pants")</f>
        <v>Pants</v>
      </c>
      <c r="L679" s="13"/>
    </row>
    <row r="680">
      <c r="A680" s="13">
        <f>IFERROR(__xludf.DUMMYFUNCTION("""COMPUTED_VALUE"""),678.0)</f>
        <v>678</v>
      </c>
      <c r="B680" s="13">
        <f>IFERROR(__xludf.DUMMYFUNCTION("""COMPUTED_VALUE"""),1008.0)</f>
        <v>1008</v>
      </c>
      <c r="C680" s="13">
        <f>IFERROR(__xludf.DUMMYFUNCTION("""COMPUTED_VALUE"""),55.0)</f>
        <v>55</v>
      </c>
      <c r="D680" s="12" t="str">
        <f>IFERROR(__xludf.DUMMYFUNCTION("""COMPUTED_VALUE"""),"Great skirt!")</f>
        <v>Great skirt!</v>
      </c>
      <c r="E680" s="12" t="str">
        <f>IFERROR(__xludf.DUMMYFUNCTION("""COMPUTED_VALUE"""),"This midi skirt has a really nice drape with great seasonal colors! can't wait to pair it with my wine color booties!")</f>
        <v>This midi skirt has a really nice drape with great seasonal colors! can't wait to pair it with my wine color booties!</v>
      </c>
      <c r="F680" s="13">
        <f>IFERROR(__xludf.DUMMYFUNCTION("""COMPUTED_VALUE"""),5.0)</f>
        <v>5</v>
      </c>
      <c r="G680" s="13">
        <f>IFERROR(__xludf.DUMMYFUNCTION("""COMPUTED_VALUE"""),1.0)</f>
        <v>1</v>
      </c>
      <c r="H680" s="13">
        <f>IFERROR(__xludf.DUMMYFUNCTION("""COMPUTED_VALUE"""),1.0)</f>
        <v>1</v>
      </c>
      <c r="I680" s="13" t="str">
        <f>IFERROR(__xludf.DUMMYFUNCTION("""COMPUTED_VALUE"""),"General")</f>
        <v>General</v>
      </c>
      <c r="J680" s="13" t="str">
        <f>IFERROR(__xludf.DUMMYFUNCTION("""COMPUTED_VALUE"""),"Bottoms")</f>
        <v>Bottoms</v>
      </c>
      <c r="K680" s="13" t="str">
        <f>IFERROR(__xludf.DUMMYFUNCTION("""COMPUTED_VALUE"""),"Skirts")</f>
        <v>Skirts</v>
      </c>
      <c r="L680" s="13"/>
    </row>
    <row r="681">
      <c r="A681" s="13">
        <f>IFERROR(__xludf.DUMMYFUNCTION("""COMPUTED_VALUE"""),679.0)</f>
        <v>679</v>
      </c>
      <c r="B681" s="13">
        <f>IFERROR(__xludf.DUMMYFUNCTION("""COMPUTED_VALUE"""),117.0)</f>
        <v>117</v>
      </c>
      <c r="C681" s="13">
        <f>IFERROR(__xludf.DUMMYFUNCTION("""COMPUTED_VALUE"""),34.0)</f>
        <v>34</v>
      </c>
      <c r="D681" s="12" t="str">
        <f>IFERROR(__xludf.DUMMYFUNCTION("""COMPUTED_VALUE"""),"Mixed feelings")</f>
        <v>Mixed feelings</v>
      </c>
      <c r="E681" s="12" t="str">
        <f>IFERROR(__xludf.DUMMYFUNCTION("""COMPUTED_VALUE"""),"I ordered these in a size small on sale, thinking that because of the material, they might not fit. they are actually very cute, and fit in the waist/legs, but in the crotch area, as another reviewer mentioned, they could fit a little better. they look fi"&amp;"ne with a longer top so i decided to keep them.")</f>
        <v>I ordered these in a size small on sale, thinking that because of the material, they might not fit. they are actually very cute, and fit in the waist/legs, but in the crotch area, as another reviewer mentioned, they could fit a little better. they look fine with a longer top so i decided to keep them.</v>
      </c>
      <c r="F681" s="13">
        <f>IFERROR(__xludf.DUMMYFUNCTION("""COMPUTED_VALUE"""),4.0)</f>
        <v>4</v>
      </c>
      <c r="G681" s="13">
        <f>IFERROR(__xludf.DUMMYFUNCTION("""COMPUTED_VALUE"""),1.0)</f>
        <v>1</v>
      </c>
      <c r="H681" s="13">
        <f>IFERROR(__xludf.DUMMYFUNCTION("""COMPUTED_VALUE"""),0.0)</f>
        <v>0</v>
      </c>
      <c r="I681" s="13" t="str">
        <f>IFERROR(__xludf.DUMMYFUNCTION("""COMPUTED_VALUE"""),"Initmates")</f>
        <v>Initmates</v>
      </c>
      <c r="J681" s="13" t="str">
        <f>IFERROR(__xludf.DUMMYFUNCTION("""COMPUTED_VALUE"""),"Intimate")</f>
        <v>Intimate</v>
      </c>
      <c r="K681" s="13" t="str">
        <f>IFERROR(__xludf.DUMMYFUNCTION("""COMPUTED_VALUE"""),"Legwear")</f>
        <v>Legwear</v>
      </c>
      <c r="L681" s="13"/>
    </row>
    <row r="682">
      <c r="A682" s="13">
        <f>IFERROR(__xludf.DUMMYFUNCTION("""COMPUTED_VALUE"""),680.0)</f>
        <v>680</v>
      </c>
      <c r="B682" s="13">
        <f>IFERROR(__xludf.DUMMYFUNCTION("""COMPUTED_VALUE"""),886.0)</f>
        <v>886</v>
      </c>
      <c r="C682" s="13">
        <f>IFERROR(__xludf.DUMMYFUNCTION("""COMPUTED_VALUE"""),36.0)</f>
        <v>36</v>
      </c>
      <c r="D682" s="12"/>
      <c r="E682" s="12" t="str">
        <f>IFERROR(__xludf.DUMMYFUNCTION("""COMPUTED_VALUE"""),"Unique design. love the collar and broad cuffs. the xs regular fits me better than the s petite, which is a bit short.")</f>
        <v>Unique design. love the collar and broad cuffs. the xs regular fits me better than the s petite, which is a bit short.</v>
      </c>
      <c r="F682" s="13">
        <f>IFERROR(__xludf.DUMMYFUNCTION("""COMPUTED_VALUE"""),4.0)</f>
        <v>4</v>
      </c>
      <c r="G682" s="13">
        <f>IFERROR(__xludf.DUMMYFUNCTION("""COMPUTED_VALUE"""),1.0)</f>
        <v>1</v>
      </c>
      <c r="H682" s="13">
        <f>IFERROR(__xludf.DUMMYFUNCTION("""COMPUTED_VALUE"""),1.0)</f>
        <v>1</v>
      </c>
      <c r="I682" s="13" t="str">
        <f>IFERROR(__xludf.DUMMYFUNCTION("""COMPUTED_VALUE"""),"General")</f>
        <v>General</v>
      </c>
      <c r="J682" s="13" t="str">
        <f>IFERROR(__xludf.DUMMYFUNCTION("""COMPUTED_VALUE"""),"Tops")</f>
        <v>Tops</v>
      </c>
      <c r="K682" s="13" t="str">
        <f>IFERROR(__xludf.DUMMYFUNCTION("""COMPUTED_VALUE"""),"Knits")</f>
        <v>Knits</v>
      </c>
      <c r="L682" s="13"/>
    </row>
    <row r="683">
      <c r="A683" s="13">
        <f>IFERROR(__xludf.DUMMYFUNCTION("""COMPUTED_VALUE"""),681.0)</f>
        <v>681</v>
      </c>
      <c r="B683" s="13">
        <f>IFERROR(__xludf.DUMMYFUNCTION("""COMPUTED_VALUE"""),1087.0)</f>
        <v>1087</v>
      </c>
      <c r="C683" s="13">
        <f>IFERROR(__xludf.DUMMYFUNCTION("""COMPUTED_VALUE"""),62.0)</f>
        <v>62</v>
      </c>
      <c r="D683" s="12" t="str">
        <f>IFERROR(__xludf.DUMMYFUNCTION("""COMPUTED_VALUE"""),"Simple but different.")</f>
        <v>Simple but different.</v>
      </c>
      <c r="E683" s="12" t="str">
        <f>IFERROR(__xludf.DUMMYFUNCTION("""COMPUTED_VALUE"""),"I bought this dress in the cream color. it was sold out online in most sizes but i stumbled upon it in person and immediately had to have it. i'm usually xs or small, and bought the small. they did not have an xs available so i can't compare, but the smal"&amp;"l was flattering and comfortable. i'm 5'5"" 120 (34c) and it falls perfectly at my ankles (no dragging) and looks great with simple, neutral sandals. as some reviewers have mentioned it has some weight to it, so it's probably not great for hot da")</f>
        <v>I bought this dress in the cream color. it was sold out online in most sizes but i stumbled upon it in person and immediately had to have it. i'm usually xs or small, and bought the small. they did not have an xs available so i can't compare, but the small was flattering and comfortable. i'm 5'5" 120 (34c) and it falls perfectly at my ankles (no dragging) and looks great with simple, neutral sandals. as some reviewers have mentioned it has some weight to it, so it's probably not great for hot da</v>
      </c>
      <c r="F683" s="13">
        <f>IFERROR(__xludf.DUMMYFUNCTION("""COMPUTED_VALUE"""),4.0)</f>
        <v>4</v>
      </c>
      <c r="G683" s="13">
        <f>IFERROR(__xludf.DUMMYFUNCTION("""COMPUTED_VALUE"""),1.0)</f>
        <v>1</v>
      </c>
      <c r="H683" s="13">
        <f>IFERROR(__xludf.DUMMYFUNCTION("""COMPUTED_VALUE"""),1.0)</f>
        <v>1</v>
      </c>
      <c r="I683" s="13" t="str">
        <f>IFERROR(__xludf.DUMMYFUNCTION("""COMPUTED_VALUE"""),"General")</f>
        <v>General</v>
      </c>
      <c r="J683" s="13" t="str">
        <f>IFERROR(__xludf.DUMMYFUNCTION("""COMPUTED_VALUE"""),"Dresses")</f>
        <v>Dresses</v>
      </c>
      <c r="K683" s="13" t="str">
        <f>IFERROR(__xludf.DUMMYFUNCTION("""COMPUTED_VALUE"""),"Dresses")</f>
        <v>Dresses</v>
      </c>
      <c r="L683" s="13"/>
    </row>
    <row r="684">
      <c r="A684" s="13">
        <f>IFERROR(__xludf.DUMMYFUNCTION("""COMPUTED_VALUE"""),682.0)</f>
        <v>682</v>
      </c>
      <c r="B684" s="13">
        <f>IFERROR(__xludf.DUMMYFUNCTION("""COMPUTED_VALUE"""),873.0)</f>
        <v>873</v>
      </c>
      <c r="C684" s="13">
        <f>IFERROR(__xludf.DUMMYFUNCTION("""COMPUTED_VALUE"""),57.0)</f>
        <v>57</v>
      </c>
      <c r="D684" s="12"/>
      <c r="E684" s="12" t="str">
        <f>IFERROR(__xludf.DUMMYFUNCTION("""COMPUTED_VALUE"""),"This is a fabulous style top! highly recommend this top. comfortable material. retailer is consistently tried and true to a classy style!")</f>
        <v>This is a fabulous style top! highly recommend this top. comfortable material. retailer is consistently tried and true to a classy style!</v>
      </c>
      <c r="F684" s="13">
        <f>IFERROR(__xludf.DUMMYFUNCTION("""COMPUTED_VALUE"""),5.0)</f>
        <v>5</v>
      </c>
      <c r="G684" s="13">
        <f>IFERROR(__xludf.DUMMYFUNCTION("""COMPUTED_VALUE"""),1.0)</f>
        <v>1</v>
      </c>
      <c r="H684" s="13">
        <f>IFERROR(__xludf.DUMMYFUNCTION("""COMPUTED_VALUE"""),1.0)</f>
        <v>1</v>
      </c>
      <c r="I684" s="13" t="str">
        <f>IFERROR(__xludf.DUMMYFUNCTION("""COMPUTED_VALUE"""),"General")</f>
        <v>General</v>
      </c>
      <c r="J684" s="13" t="str">
        <f>IFERROR(__xludf.DUMMYFUNCTION("""COMPUTED_VALUE"""),"Tops")</f>
        <v>Tops</v>
      </c>
      <c r="K684" s="13" t="str">
        <f>IFERROR(__xludf.DUMMYFUNCTION("""COMPUTED_VALUE"""),"Knits")</f>
        <v>Knits</v>
      </c>
      <c r="L684" s="13"/>
    </row>
    <row r="685">
      <c r="A685" s="13">
        <f>IFERROR(__xludf.DUMMYFUNCTION("""COMPUTED_VALUE"""),683.0)</f>
        <v>683</v>
      </c>
      <c r="B685" s="13">
        <f>IFERROR(__xludf.DUMMYFUNCTION("""COMPUTED_VALUE"""),1087.0)</f>
        <v>1087</v>
      </c>
      <c r="C685" s="13">
        <f>IFERROR(__xludf.DUMMYFUNCTION("""COMPUTED_VALUE"""),23.0)</f>
        <v>23</v>
      </c>
      <c r="D685" s="12" t="str">
        <f>IFERROR(__xludf.DUMMYFUNCTION("""COMPUTED_VALUE"""),"Too short")</f>
        <v>Too short</v>
      </c>
      <c r="E685" s="12" t="str">
        <f>IFERROR(__xludf.DUMMYFUNCTION("""COMPUTED_VALUE"""),"This dress is gorgeous, but i should warn all the tall ladies out there that it fits quite awkwardly. i'm 5'10"" and tried both the petite (thinking it would fall more like a midi), and the regular, hoping it would fit like a maxi should. both hit at a ve"&amp;"ry awkward spot on my mid-shin... as much as i loved and wanted it, it looked too weird to justify buying.")</f>
        <v>This dress is gorgeous, but i should warn all the tall ladies out there that it fits quite awkwardly. i'm 5'10" and tried both the petite (thinking it would fall more like a midi), and the regular, hoping it would fit like a maxi should. both hit at a very awkward spot on my mid-shin... as much as i loved and wanted it, it looked too weird to justify buying.</v>
      </c>
      <c r="F685" s="13">
        <f>IFERROR(__xludf.DUMMYFUNCTION("""COMPUTED_VALUE"""),5.0)</f>
        <v>5</v>
      </c>
      <c r="G685" s="13">
        <f>IFERROR(__xludf.DUMMYFUNCTION("""COMPUTED_VALUE"""),1.0)</f>
        <v>1</v>
      </c>
      <c r="H685" s="13">
        <f>IFERROR(__xludf.DUMMYFUNCTION("""COMPUTED_VALUE"""),0.0)</f>
        <v>0</v>
      </c>
      <c r="I685" s="13" t="str">
        <f>IFERROR(__xludf.DUMMYFUNCTION("""COMPUTED_VALUE"""),"General")</f>
        <v>General</v>
      </c>
      <c r="J685" s="13" t="str">
        <f>IFERROR(__xludf.DUMMYFUNCTION("""COMPUTED_VALUE"""),"Dresses")</f>
        <v>Dresses</v>
      </c>
      <c r="K685" s="13" t="str">
        <f>IFERROR(__xludf.DUMMYFUNCTION("""COMPUTED_VALUE"""),"Dresses")</f>
        <v>Dresses</v>
      </c>
      <c r="L685" s="13"/>
    </row>
    <row r="686">
      <c r="A686" s="13">
        <f>IFERROR(__xludf.DUMMYFUNCTION("""COMPUTED_VALUE"""),684.0)</f>
        <v>684</v>
      </c>
      <c r="B686" s="13">
        <f>IFERROR(__xludf.DUMMYFUNCTION("""COMPUTED_VALUE"""),886.0)</f>
        <v>886</v>
      </c>
      <c r="C686" s="13">
        <f>IFERROR(__xludf.DUMMYFUNCTION("""COMPUTED_VALUE"""),37.0)</f>
        <v>37</v>
      </c>
      <c r="D686" s="12"/>
      <c r="E686" s="12" t="str">
        <f>IFERROR(__xludf.DUMMYFUNCTION("""COMPUTED_VALUE"""),"Love the coral color - so pretty in person. it is slightly lower cut on the chest than i expected. 
this is a great top for the weekends!")</f>
        <v>Love the coral color - so pretty in person. it is slightly lower cut on the chest than i expected. 
this is a great top for the weekends!</v>
      </c>
      <c r="F686" s="13">
        <f>IFERROR(__xludf.DUMMYFUNCTION("""COMPUTED_VALUE"""),4.0)</f>
        <v>4</v>
      </c>
      <c r="G686" s="13">
        <f>IFERROR(__xludf.DUMMYFUNCTION("""COMPUTED_VALUE"""),1.0)</f>
        <v>1</v>
      </c>
      <c r="H686" s="13">
        <f>IFERROR(__xludf.DUMMYFUNCTION("""COMPUTED_VALUE"""),0.0)</f>
        <v>0</v>
      </c>
      <c r="I686" s="13" t="str">
        <f>IFERROR(__xludf.DUMMYFUNCTION("""COMPUTED_VALUE"""),"General")</f>
        <v>General</v>
      </c>
      <c r="J686" s="13" t="str">
        <f>IFERROR(__xludf.DUMMYFUNCTION("""COMPUTED_VALUE"""),"Tops")</f>
        <v>Tops</v>
      </c>
      <c r="K686" s="13" t="str">
        <f>IFERROR(__xludf.DUMMYFUNCTION("""COMPUTED_VALUE"""),"Knits")</f>
        <v>Knits</v>
      </c>
      <c r="L686" s="13"/>
    </row>
    <row r="687">
      <c r="A687" s="13">
        <f>IFERROR(__xludf.DUMMYFUNCTION("""COMPUTED_VALUE"""),685.0)</f>
        <v>685</v>
      </c>
      <c r="B687" s="13">
        <f>IFERROR(__xludf.DUMMYFUNCTION("""COMPUTED_VALUE"""),745.0)</f>
        <v>745</v>
      </c>
      <c r="C687" s="13">
        <f>IFERROR(__xludf.DUMMYFUNCTION("""COMPUTED_VALUE"""),68.0)</f>
        <v>68</v>
      </c>
      <c r="D687" s="12"/>
      <c r="E687" s="12" t="str">
        <f>IFERROR(__xludf.DUMMYFUNCTION("""COMPUTED_VALUE"""),"These are the perfect leggings. they're so soft, and they don't stretch and droop throughout a day of wearing them. i ordered the grey and moss, and they have different textures, which is fun.")</f>
        <v>These are the perfect leggings. they're so soft, and they don't stretch and droop throughout a day of wearing them. i ordered the grey and moss, and they have different textures, which is fun.</v>
      </c>
      <c r="F687" s="13">
        <f>IFERROR(__xludf.DUMMYFUNCTION("""COMPUTED_VALUE"""),5.0)</f>
        <v>5</v>
      </c>
      <c r="G687" s="13">
        <f>IFERROR(__xludf.DUMMYFUNCTION("""COMPUTED_VALUE"""),1.0)</f>
        <v>1</v>
      </c>
      <c r="H687" s="13">
        <f>IFERROR(__xludf.DUMMYFUNCTION("""COMPUTED_VALUE"""),0.0)</f>
        <v>0</v>
      </c>
      <c r="I687" s="13" t="str">
        <f>IFERROR(__xludf.DUMMYFUNCTION("""COMPUTED_VALUE"""),"Initmates")</f>
        <v>Initmates</v>
      </c>
      <c r="J687" s="13" t="str">
        <f>IFERROR(__xludf.DUMMYFUNCTION("""COMPUTED_VALUE"""),"Intimate")</f>
        <v>Intimate</v>
      </c>
      <c r="K687" s="13" t="str">
        <f>IFERROR(__xludf.DUMMYFUNCTION("""COMPUTED_VALUE"""),"Legwear")</f>
        <v>Legwear</v>
      </c>
      <c r="L687" s="13"/>
    </row>
    <row r="688">
      <c r="A688" s="13">
        <f>IFERROR(__xludf.DUMMYFUNCTION("""COMPUTED_VALUE"""),686.0)</f>
        <v>686</v>
      </c>
      <c r="B688" s="13">
        <f>IFERROR(__xludf.DUMMYFUNCTION("""COMPUTED_VALUE"""),886.0)</f>
        <v>886</v>
      </c>
      <c r="C688" s="13">
        <f>IFERROR(__xludf.DUMMYFUNCTION("""COMPUTED_VALUE"""),58.0)</f>
        <v>58</v>
      </c>
      <c r="D688" s="12"/>
      <c r="E688" s="12"/>
      <c r="F688" s="13">
        <f>IFERROR(__xludf.DUMMYFUNCTION("""COMPUTED_VALUE"""),5.0)</f>
        <v>5</v>
      </c>
      <c r="G688" s="13">
        <f>IFERROR(__xludf.DUMMYFUNCTION("""COMPUTED_VALUE"""),1.0)</f>
        <v>1</v>
      </c>
      <c r="H688" s="13">
        <f>IFERROR(__xludf.DUMMYFUNCTION("""COMPUTED_VALUE"""),0.0)</f>
        <v>0</v>
      </c>
      <c r="I688" s="13" t="str">
        <f>IFERROR(__xludf.DUMMYFUNCTION("""COMPUTED_VALUE"""),"General")</f>
        <v>General</v>
      </c>
      <c r="J688" s="13" t="str">
        <f>IFERROR(__xludf.DUMMYFUNCTION("""COMPUTED_VALUE"""),"Tops")</f>
        <v>Tops</v>
      </c>
      <c r="K688" s="13" t="str">
        <f>IFERROR(__xludf.DUMMYFUNCTION("""COMPUTED_VALUE"""),"Knits")</f>
        <v>Knits</v>
      </c>
      <c r="L688" s="13"/>
    </row>
    <row r="689">
      <c r="A689" s="13">
        <f>IFERROR(__xludf.DUMMYFUNCTION("""COMPUTED_VALUE"""),687.0)</f>
        <v>687</v>
      </c>
      <c r="B689" s="13">
        <f>IFERROR(__xludf.DUMMYFUNCTION("""COMPUTED_VALUE"""),937.0)</f>
        <v>937</v>
      </c>
      <c r="C689" s="13">
        <f>IFERROR(__xludf.DUMMYFUNCTION("""COMPUTED_VALUE"""),36.0)</f>
        <v>36</v>
      </c>
      <c r="D689" s="12" t="str">
        <f>IFERROR(__xludf.DUMMYFUNCTION("""COMPUTED_VALUE"""),"Itchy")</f>
        <v>Itchy</v>
      </c>
      <c r="E689" s="12" t="str">
        <f>IFERROR(__xludf.DUMMYFUNCTION("""COMPUTED_VALUE"""),"This cardigan is very cute in the picture and i really wanted to love it but it just didn't seem worth the price. the material is kind of itchy to me and i wasn't a huge fan of the wide edges in the front. the colour is very nice and feminine.")</f>
        <v>This cardigan is very cute in the picture and i really wanted to love it but it just didn't seem worth the price. the material is kind of itchy to me and i wasn't a huge fan of the wide edges in the front. the colour is very nice and feminine.</v>
      </c>
      <c r="F689" s="13">
        <f>IFERROR(__xludf.DUMMYFUNCTION("""COMPUTED_VALUE"""),3.0)</f>
        <v>3</v>
      </c>
      <c r="G689" s="13">
        <f>IFERROR(__xludf.DUMMYFUNCTION("""COMPUTED_VALUE"""),0.0)</f>
        <v>0</v>
      </c>
      <c r="H689" s="13">
        <f>IFERROR(__xludf.DUMMYFUNCTION("""COMPUTED_VALUE"""),1.0)</f>
        <v>1</v>
      </c>
      <c r="I689" s="13" t="str">
        <f>IFERROR(__xludf.DUMMYFUNCTION("""COMPUTED_VALUE"""),"General")</f>
        <v>General</v>
      </c>
      <c r="J689" s="13" t="str">
        <f>IFERROR(__xludf.DUMMYFUNCTION("""COMPUTED_VALUE"""),"Tops")</f>
        <v>Tops</v>
      </c>
      <c r="K689" s="13" t="str">
        <f>IFERROR(__xludf.DUMMYFUNCTION("""COMPUTED_VALUE"""),"Sweaters")</f>
        <v>Sweaters</v>
      </c>
      <c r="L689" s="13"/>
    </row>
    <row r="690">
      <c r="A690" s="13">
        <f>IFERROR(__xludf.DUMMYFUNCTION("""COMPUTED_VALUE"""),688.0)</f>
        <v>688</v>
      </c>
      <c r="B690" s="13">
        <f>IFERROR(__xludf.DUMMYFUNCTION("""COMPUTED_VALUE"""),1087.0)</f>
        <v>1087</v>
      </c>
      <c r="C690" s="13">
        <f>IFERROR(__xludf.DUMMYFUNCTION("""COMPUTED_VALUE"""),52.0)</f>
        <v>52</v>
      </c>
      <c r="D690" s="12" t="str">
        <f>IFERROR(__xludf.DUMMYFUNCTION("""COMPUTED_VALUE"""),"Worth it")</f>
        <v>Worth it</v>
      </c>
      <c r="E690" s="12" t="str">
        <f>IFERROR(__xludf.DUMMYFUNCTION("""COMPUTED_VALUE"""),"I never buy anything at retailer full price, but had to get this when i tried it at my local store, especially since it's back ordered for so long. it's very flattering, and super comfortable. fully lined, not see- through at all. elastic waist that's hid"&amp;"den under the sweater top. will be so easy to throw on and dress up for an evening out, or lounge in after a day at the pool or beach. looking at the model pics, i was concerned the arm pit holes came too low, but on me that is not the case. the t")</f>
        <v>I never buy anything at retailer full price, but had to get this when i tried it at my local store, especially since it's back ordered for so long. it's very flattering, and super comfortable. fully lined, not see- through at all. elastic waist that's hidden under the sweater top. will be so easy to throw on and dress up for an evening out, or lounge in after a day at the pool or beach. looking at the model pics, i was concerned the arm pit holes came too low, but on me that is not the case. the t</v>
      </c>
      <c r="F690" s="13">
        <f>IFERROR(__xludf.DUMMYFUNCTION("""COMPUTED_VALUE"""),5.0)</f>
        <v>5</v>
      </c>
      <c r="G690" s="13">
        <f>IFERROR(__xludf.DUMMYFUNCTION("""COMPUTED_VALUE"""),1.0)</f>
        <v>1</v>
      </c>
      <c r="H690" s="13">
        <f>IFERROR(__xludf.DUMMYFUNCTION("""COMPUTED_VALUE"""),84.0)</f>
        <v>84</v>
      </c>
      <c r="I690" s="13" t="str">
        <f>IFERROR(__xludf.DUMMYFUNCTION("""COMPUTED_VALUE"""),"General")</f>
        <v>General</v>
      </c>
      <c r="J690" s="13" t="str">
        <f>IFERROR(__xludf.DUMMYFUNCTION("""COMPUTED_VALUE"""),"Dresses")</f>
        <v>Dresses</v>
      </c>
      <c r="K690" s="13" t="str">
        <f>IFERROR(__xludf.DUMMYFUNCTION("""COMPUTED_VALUE"""),"Dresses")</f>
        <v>Dresses</v>
      </c>
      <c r="L690" s="13"/>
    </row>
    <row r="691">
      <c r="A691" s="13">
        <f>IFERROR(__xludf.DUMMYFUNCTION("""COMPUTED_VALUE"""),689.0)</f>
        <v>689</v>
      </c>
      <c r="B691" s="13">
        <f>IFERROR(__xludf.DUMMYFUNCTION("""COMPUTED_VALUE"""),937.0)</f>
        <v>937</v>
      </c>
      <c r="C691" s="13">
        <f>IFERROR(__xludf.DUMMYFUNCTION("""COMPUTED_VALUE"""),39.0)</f>
        <v>39</v>
      </c>
      <c r="D691" s="12" t="str">
        <f>IFERROR(__xludf.DUMMYFUNCTION("""COMPUTED_VALUE"""),"So many compliments")</f>
        <v>So many compliments</v>
      </c>
      <c r="E691" s="12" t="str">
        <f>IFERROR(__xludf.DUMMYFUNCTION("""COMPUTED_VALUE"""),"This sweater is unique and really pretty.  i got so many compliments and i felt really girlie wearing it - it is so fun.")</f>
        <v>This sweater is unique and really pretty.  i got so many compliments and i felt really girlie wearing it - it is so fun.</v>
      </c>
      <c r="F691" s="13">
        <f>IFERROR(__xludf.DUMMYFUNCTION("""COMPUTED_VALUE"""),5.0)</f>
        <v>5</v>
      </c>
      <c r="G691" s="13">
        <f>IFERROR(__xludf.DUMMYFUNCTION("""COMPUTED_VALUE"""),1.0)</f>
        <v>1</v>
      </c>
      <c r="H691" s="13">
        <f>IFERROR(__xludf.DUMMYFUNCTION("""COMPUTED_VALUE"""),0.0)</f>
        <v>0</v>
      </c>
      <c r="I691" s="13" t="str">
        <f>IFERROR(__xludf.DUMMYFUNCTION("""COMPUTED_VALUE"""),"General")</f>
        <v>General</v>
      </c>
      <c r="J691" s="13" t="str">
        <f>IFERROR(__xludf.DUMMYFUNCTION("""COMPUTED_VALUE"""),"Tops")</f>
        <v>Tops</v>
      </c>
      <c r="K691" s="13" t="str">
        <f>IFERROR(__xludf.DUMMYFUNCTION("""COMPUTED_VALUE"""),"Sweaters")</f>
        <v>Sweaters</v>
      </c>
      <c r="L691" s="13"/>
    </row>
    <row r="692">
      <c r="A692" s="13">
        <f>IFERROR(__xludf.DUMMYFUNCTION("""COMPUTED_VALUE"""),690.0)</f>
        <v>690</v>
      </c>
      <c r="B692" s="13">
        <f>IFERROR(__xludf.DUMMYFUNCTION("""COMPUTED_VALUE"""),937.0)</f>
        <v>937</v>
      </c>
      <c r="C692" s="13">
        <f>IFERROR(__xludf.DUMMYFUNCTION("""COMPUTED_VALUE"""),33.0)</f>
        <v>33</v>
      </c>
      <c r="D692" s="12" t="str">
        <f>IFERROR(__xludf.DUMMYFUNCTION("""COMPUTED_VALUE"""),"Great staple sweater!")</f>
        <v>Great staple sweater!</v>
      </c>
      <c r="E692" s="12" t="str">
        <f>IFERROR(__xludf.DUMMYFUNCTION("""COMPUTED_VALUE"""),"I just saw this in the store and loved it! it is shorter than pictured on the model, but it's not short. with a long shirt underneath, i'll wear it with leggings. the color is beautiful!! the size does run large - i normally wear a large at retailer, and "&amp;"i got this in a medium. i can't wait to wear it all fall and winter long!")</f>
        <v>I just saw this in the store and loved it! it is shorter than pictured on the model, but it's not short. with a long shirt underneath, i'll wear it with leggings. the color is beautiful!! the size does run large - i normally wear a large at retailer, and i got this in a medium. i can't wait to wear it all fall and winter long!</v>
      </c>
      <c r="F692" s="13">
        <f>IFERROR(__xludf.DUMMYFUNCTION("""COMPUTED_VALUE"""),5.0)</f>
        <v>5</v>
      </c>
      <c r="G692" s="13">
        <f>IFERROR(__xludf.DUMMYFUNCTION("""COMPUTED_VALUE"""),1.0)</f>
        <v>1</v>
      </c>
      <c r="H692" s="13">
        <f>IFERROR(__xludf.DUMMYFUNCTION("""COMPUTED_VALUE"""),0.0)</f>
        <v>0</v>
      </c>
      <c r="I692" s="13" t="str">
        <f>IFERROR(__xludf.DUMMYFUNCTION("""COMPUTED_VALUE"""),"General")</f>
        <v>General</v>
      </c>
      <c r="J692" s="13" t="str">
        <f>IFERROR(__xludf.DUMMYFUNCTION("""COMPUTED_VALUE"""),"Tops")</f>
        <v>Tops</v>
      </c>
      <c r="K692" s="13" t="str">
        <f>IFERROR(__xludf.DUMMYFUNCTION("""COMPUTED_VALUE"""),"Sweaters")</f>
        <v>Sweaters</v>
      </c>
      <c r="L692" s="13"/>
    </row>
    <row r="693">
      <c r="A693" s="13">
        <f>IFERROR(__xludf.DUMMYFUNCTION("""COMPUTED_VALUE"""),691.0)</f>
        <v>691</v>
      </c>
      <c r="B693" s="13">
        <f>IFERROR(__xludf.DUMMYFUNCTION("""COMPUTED_VALUE"""),1059.0)</f>
        <v>1059</v>
      </c>
      <c r="C693" s="13">
        <f>IFERROR(__xludf.DUMMYFUNCTION("""COMPUTED_VALUE"""),48.0)</f>
        <v>48</v>
      </c>
      <c r="D693" s="12" t="str">
        <f>IFERROR(__xludf.DUMMYFUNCTION("""COMPUTED_VALUE"""),"Unique and adorable")</f>
        <v>Unique and adorable</v>
      </c>
      <c r="E693" s="12" t="str">
        <f>IFERROR(__xludf.DUMMYFUNCTION("""COMPUTED_VALUE"""),"Very fun and comfortable pants that will bring you many compliments. they do fall open when you sit down, though they have liner shorts inside for coverage. they are not appropriate for work but will become a wardrobe favorite.")</f>
        <v>Very fun and comfortable pants that will bring you many compliments. they do fall open when you sit down, though they have liner shorts inside for coverage. they are not appropriate for work but will become a wardrobe favorite.</v>
      </c>
      <c r="F693" s="13">
        <f>IFERROR(__xludf.DUMMYFUNCTION("""COMPUTED_VALUE"""),5.0)</f>
        <v>5</v>
      </c>
      <c r="G693" s="13">
        <f>IFERROR(__xludf.DUMMYFUNCTION("""COMPUTED_VALUE"""),1.0)</f>
        <v>1</v>
      </c>
      <c r="H693" s="13">
        <f>IFERROR(__xludf.DUMMYFUNCTION("""COMPUTED_VALUE"""),2.0)</f>
        <v>2</v>
      </c>
      <c r="I693" s="13" t="str">
        <f>IFERROR(__xludf.DUMMYFUNCTION("""COMPUTED_VALUE"""),"General")</f>
        <v>General</v>
      </c>
      <c r="J693" s="13" t="str">
        <f>IFERROR(__xludf.DUMMYFUNCTION("""COMPUTED_VALUE"""),"Bottoms")</f>
        <v>Bottoms</v>
      </c>
      <c r="K693" s="13" t="str">
        <f>IFERROR(__xludf.DUMMYFUNCTION("""COMPUTED_VALUE"""),"Pants")</f>
        <v>Pants</v>
      </c>
      <c r="L693" s="13"/>
    </row>
    <row r="694">
      <c r="A694" s="13">
        <f>IFERROR(__xludf.DUMMYFUNCTION("""COMPUTED_VALUE"""),692.0)</f>
        <v>692</v>
      </c>
      <c r="B694" s="13">
        <f>IFERROR(__xludf.DUMMYFUNCTION("""COMPUTED_VALUE"""),1110.0)</f>
        <v>1110</v>
      </c>
      <c r="C694" s="13">
        <f>IFERROR(__xludf.DUMMYFUNCTION("""COMPUTED_VALUE"""),23.0)</f>
        <v>23</v>
      </c>
      <c r="D694" s="12" t="str">
        <f>IFERROR(__xludf.DUMMYFUNCTION("""COMPUTED_VALUE"""),"The worst")</f>
        <v>The worst</v>
      </c>
      <c r="E694" s="12" t="str">
        <f>IFERROR(__xludf.DUMMYFUNCTION("""COMPUTED_VALUE"""),"I don't typically write bad reviews, but this dress is so bad and i want to save someone else from buying it. i read the mostly bad reviews and still purchased anyway (my fault i know). the dress is super stiff ( i know denim can be that way and it is pos"&amp;"sible it would soften up after a few washes). i'm typically a 6/8 and the size small swallowed me, and the xs was big everywhere except through the bust (i ordered both sizes to try). i wouldn't recommend buying this if you are a size 8 or small")</f>
        <v>I don't typically write bad reviews, but this dress is so bad and i want to save someone else from buying it. i read the mostly bad reviews and still purchased anyway (my fault i know). the dress is super stiff ( i know denim can be that way and it is possible it would soften up after a few washes). i'm typically a 6/8 and the size small swallowed me, and the xs was big everywhere except through the bust (i ordered both sizes to try). i wouldn't recommend buying this if you are a size 8 or small</v>
      </c>
      <c r="F694" s="13">
        <f>IFERROR(__xludf.DUMMYFUNCTION("""COMPUTED_VALUE"""),1.0)</f>
        <v>1</v>
      </c>
      <c r="G694" s="13">
        <f>IFERROR(__xludf.DUMMYFUNCTION("""COMPUTED_VALUE"""),0.0)</f>
        <v>0</v>
      </c>
      <c r="H694" s="13">
        <f>IFERROR(__xludf.DUMMYFUNCTION("""COMPUTED_VALUE"""),2.0)</f>
        <v>2</v>
      </c>
      <c r="I694" s="13" t="str">
        <f>IFERROR(__xludf.DUMMYFUNCTION("""COMPUTED_VALUE"""),"General Petite")</f>
        <v>General Petite</v>
      </c>
      <c r="J694" s="13" t="str">
        <f>IFERROR(__xludf.DUMMYFUNCTION("""COMPUTED_VALUE"""),"Dresses")</f>
        <v>Dresses</v>
      </c>
      <c r="K694" s="13" t="str">
        <f>IFERROR(__xludf.DUMMYFUNCTION("""COMPUTED_VALUE"""),"Dresses")</f>
        <v>Dresses</v>
      </c>
      <c r="L694" s="13"/>
    </row>
    <row r="695">
      <c r="A695" s="13">
        <f>IFERROR(__xludf.DUMMYFUNCTION("""COMPUTED_VALUE"""),693.0)</f>
        <v>693</v>
      </c>
      <c r="B695" s="13">
        <f>IFERROR(__xludf.DUMMYFUNCTION("""COMPUTED_VALUE"""),1059.0)</f>
        <v>1059</v>
      </c>
      <c r="C695" s="13">
        <f>IFERROR(__xludf.DUMMYFUNCTION("""COMPUTED_VALUE"""),38.0)</f>
        <v>38</v>
      </c>
      <c r="D695" s="12" t="str">
        <f>IFERROR(__xludf.DUMMYFUNCTION("""COMPUTED_VALUE"""),"Fun, casual pant, perfect for summer and early fal")</f>
        <v>Fun, casual pant, perfect for summer and early fal</v>
      </c>
      <c r="E695" s="12" t="str">
        <f>IFERROR(__xludf.DUMMYFUNCTION("""COMPUTED_VALUE"""),"These pants! great casual pants, i've received so many compliments! mainly because they are flowy, and the open panels make them different! with the weather so hot, they are perfect for keeping you cool. very pleased with this purchase!")</f>
        <v>These pants! great casual pants, i've received so many compliments! mainly because they are flowy, and the open panels make them different! with the weather so hot, they are perfect for keeping you cool. very pleased with this purchase!</v>
      </c>
      <c r="F695" s="13">
        <f>IFERROR(__xludf.DUMMYFUNCTION("""COMPUTED_VALUE"""),5.0)</f>
        <v>5</v>
      </c>
      <c r="G695" s="13">
        <f>IFERROR(__xludf.DUMMYFUNCTION("""COMPUTED_VALUE"""),1.0)</f>
        <v>1</v>
      </c>
      <c r="H695" s="13">
        <f>IFERROR(__xludf.DUMMYFUNCTION("""COMPUTED_VALUE"""),1.0)</f>
        <v>1</v>
      </c>
      <c r="I695" s="13" t="str">
        <f>IFERROR(__xludf.DUMMYFUNCTION("""COMPUTED_VALUE"""),"General")</f>
        <v>General</v>
      </c>
      <c r="J695" s="13" t="str">
        <f>IFERROR(__xludf.DUMMYFUNCTION("""COMPUTED_VALUE"""),"Bottoms")</f>
        <v>Bottoms</v>
      </c>
      <c r="K695" s="13" t="str">
        <f>IFERROR(__xludf.DUMMYFUNCTION("""COMPUTED_VALUE"""),"Pants")</f>
        <v>Pants</v>
      </c>
      <c r="L695" s="13"/>
    </row>
    <row r="696">
      <c r="A696" s="13">
        <f>IFERROR(__xludf.DUMMYFUNCTION("""COMPUTED_VALUE"""),694.0)</f>
        <v>694</v>
      </c>
      <c r="B696" s="13">
        <f>IFERROR(__xludf.DUMMYFUNCTION("""COMPUTED_VALUE"""),1110.0)</f>
        <v>1110</v>
      </c>
      <c r="C696" s="13">
        <f>IFERROR(__xludf.DUMMYFUNCTION("""COMPUTED_VALUE"""),24.0)</f>
        <v>24</v>
      </c>
      <c r="D696" s="12" t="str">
        <f>IFERROR(__xludf.DUMMYFUNCTION("""COMPUTED_VALUE"""),"Beautiful dress, weird sizing")</f>
        <v>Beautiful dress, weird sizing</v>
      </c>
      <c r="E696" s="12" t="str">
        <f>IFERROR(__xludf.DUMMYFUNCTION("""COMPUTED_VALUE"""),"After reviewing the comments for this dress i was really hesitant about buying it online, so i finally went to the store and all of the reviews are 100% true. this dress is amazing in terms of quality, but the sizing makes zero sense. i'm normally a size "&amp;"12, but based on the reviews i initially tried on a medium. even that was huge, arm holes so long you could see my entire bra. so i tried on the small and that fit perfectly. unfortunately, unless you're normally an 8(maybe) or above in sizing,")</f>
        <v>After reviewing the comments for this dress i was really hesitant about buying it online, so i finally went to the store and all of the reviews are 100% true. this dress is amazing in terms of quality, but the sizing makes zero sense. i'm normally a size 12, but based on the reviews i initially tried on a medium. even that was huge, arm holes so long you could see my entire bra. so i tried on the small and that fit perfectly. unfortunately, unless you're normally an 8(maybe) or above in sizing,</v>
      </c>
      <c r="F696" s="13">
        <f>IFERROR(__xludf.DUMMYFUNCTION("""COMPUTED_VALUE"""),4.0)</f>
        <v>4</v>
      </c>
      <c r="G696" s="13">
        <f>IFERROR(__xludf.DUMMYFUNCTION("""COMPUTED_VALUE"""),1.0)</f>
        <v>1</v>
      </c>
      <c r="H696" s="13">
        <f>IFERROR(__xludf.DUMMYFUNCTION("""COMPUTED_VALUE"""),0.0)</f>
        <v>0</v>
      </c>
      <c r="I696" s="13" t="str">
        <f>IFERROR(__xludf.DUMMYFUNCTION("""COMPUTED_VALUE"""),"General Petite")</f>
        <v>General Petite</v>
      </c>
      <c r="J696" s="13" t="str">
        <f>IFERROR(__xludf.DUMMYFUNCTION("""COMPUTED_VALUE"""),"Dresses")</f>
        <v>Dresses</v>
      </c>
      <c r="K696" s="13" t="str">
        <f>IFERROR(__xludf.DUMMYFUNCTION("""COMPUTED_VALUE"""),"Dresses")</f>
        <v>Dresses</v>
      </c>
      <c r="L696" s="13"/>
    </row>
    <row r="697">
      <c r="A697" s="13">
        <f>IFERROR(__xludf.DUMMYFUNCTION("""COMPUTED_VALUE"""),695.0)</f>
        <v>695</v>
      </c>
      <c r="B697" s="13">
        <f>IFERROR(__xludf.DUMMYFUNCTION("""COMPUTED_VALUE"""),873.0)</f>
        <v>873</v>
      </c>
      <c r="C697" s="13">
        <f>IFERROR(__xludf.DUMMYFUNCTION("""COMPUTED_VALUE"""),38.0)</f>
        <v>38</v>
      </c>
      <c r="D697" s="12" t="str">
        <f>IFERROR(__xludf.DUMMYFUNCTION("""COMPUTED_VALUE"""),"Started out perfect")</f>
        <v>Started out perfect</v>
      </c>
      <c r="E697" s="12" t="str">
        <f>IFERROR(__xludf.DUMMYFUNCTION("""COMPUTED_VALUE"""),"Loved the style, ordered my normal m- fit tts though i thought i would potentially taper the sides to make less boxy (with a larger bust and shoulders, boxiness is unflattering). the slight boxiness looked perfect with stretchy, fitted business slacks. mi"&amp;"dday, i held my ipad up to my chest and the velcro from the cover pulled an entire lychnis delicate threads. not just snagged- i had to gently separate the threads from velcro grip. needless to say, it pulled the threads out by at least 1/2 an i")</f>
        <v>Loved the style, ordered my normal m- fit tts though i thought i would potentially taper the sides to make less boxy (with a larger bust and shoulders, boxiness is unflattering). the slight boxiness looked perfect with stretchy, fitted business slacks. midday, i held my ipad up to my chest and the velcro from the cover pulled an entire lychnis delicate threads. not just snagged- i had to gently separate the threads from velcro grip. needless to say, it pulled the threads out by at least 1/2 an i</v>
      </c>
      <c r="F697" s="13">
        <f>IFERROR(__xludf.DUMMYFUNCTION("""COMPUTED_VALUE"""),3.0)</f>
        <v>3</v>
      </c>
      <c r="G697" s="13">
        <f>IFERROR(__xludf.DUMMYFUNCTION("""COMPUTED_VALUE"""),0.0)</f>
        <v>0</v>
      </c>
      <c r="H697" s="13">
        <f>IFERROR(__xludf.DUMMYFUNCTION("""COMPUTED_VALUE"""),1.0)</f>
        <v>1</v>
      </c>
      <c r="I697" s="13" t="str">
        <f>IFERROR(__xludf.DUMMYFUNCTION("""COMPUTED_VALUE"""),"General")</f>
        <v>General</v>
      </c>
      <c r="J697" s="13" t="str">
        <f>IFERROR(__xludf.DUMMYFUNCTION("""COMPUTED_VALUE"""),"Tops")</f>
        <v>Tops</v>
      </c>
      <c r="K697" s="13" t="str">
        <f>IFERROR(__xludf.DUMMYFUNCTION("""COMPUTED_VALUE"""),"Knits")</f>
        <v>Knits</v>
      </c>
      <c r="L697" s="13"/>
    </row>
    <row r="698">
      <c r="A698" s="13">
        <f>IFERROR(__xludf.DUMMYFUNCTION("""COMPUTED_VALUE"""),696.0)</f>
        <v>696</v>
      </c>
      <c r="B698" s="13">
        <f>IFERROR(__xludf.DUMMYFUNCTION("""COMPUTED_VALUE"""),886.0)</f>
        <v>886</v>
      </c>
      <c r="C698" s="13">
        <f>IFERROR(__xludf.DUMMYFUNCTION("""COMPUTED_VALUE"""),52.0)</f>
        <v>52</v>
      </c>
      <c r="D698" s="12"/>
      <c r="E698" s="12" t="str">
        <f>IFERROR(__xludf.DUMMYFUNCTION("""COMPUTED_VALUE"""),"Nice basic top...i will get plenty of use out of this! love the neckline.")</f>
        <v>Nice basic top...i will get plenty of use out of this! love the neckline.</v>
      </c>
      <c r="F698" s="13">
        <f>IFERROR(__xludf.DUMMYFUNCTION("""COMPUTED_VALUE"""),5.0)</f>
        <v>5</v>
      </c>
      <c r="G698" s="13">
        <f>IFERROR(__xludf.DUMMYFUNCTION("""COMPUTED_VALUE"""),1.0)</f>
        <v>1</v>
      </c>
      <c r="H698" s="13">
        <f>IFERROR(__xludf.DUMMYFUNCTION("""COMPUTED_VALUE"""),0.0)</f>
        <v>0</v>
      </c>
      <c r="I698" s="13" t="str">
        <f>IFERROR(__xludf.DUMMYFUNCTION("""COMPUTED_VALUE"""),"General")</f>
        <v>General</v>
      </c>
      <c r="J698" s="13" t="str">
        <f>IFERROR(__xludf.DUMMYFUNCTION("""COMPUTED_VALUE"""),"Tops")</f>
        <v>Tops</v>
      </c>
      <c r="K698" s="13" t="str">
        <f>IFERROR(__xludf.DUMMYFUNCTION("""COMPUTED_VALUE"""),"Knits")</f>
        <v>Knits</v>
      </c>
      <c r="L698" s="13"/>
    </row>
    <row r="699">
      <c r="A699" s="13">
        <f>IFERROR(__xludf.DUMMYFUNCTION("""COMPUTED_VALUE"""),697.0)</f>
        <v>697</v>
      </c>
      <c r="B699" s="13">
        <f>IFERROR(__xludf.DUMMYFUNCTION("""COMPUTED_VALUE"""),1087.0)</f>
        <v>1087</v>
      </c>
      <c r="C699" s="13">
        <f>IFERROR(__xludf.DUMMYFUNCTION("""COMPUTED_VALUE"""),36.0)</f>
        <v>36</v>
      </c>
      <c r="D699" s="12" t="str">
        <f>IFERROR(__xludf.DUMMYFUNCTION("""COMPUTED_VALUE"""),"So beautiful!")</f>
        <v>So beautiful!</v>
      </c>
      <c r="E699" s="12" t="str">
        <f>IFERROR(__xludf.DUMMYFUNCTION("""COMPUTED_VALUE"""),"I'd been eyeing this dress since i first saw it in the dress catalog when it came out. when i saw it in person, it was just as beautiful as i remembered! i'm about 140 lbs and usually wear a size s or m, but i tried the s on and decided to size down to an"&amp;" xs, because the linen flowy fabric lays a bit wide when on the body; however, the s would have worked, too! i'd say size down if you prefer your clothes a tiny bit more fitted. the fabric is beautiful and lightweight, even though there is more")</f>
        <v>I'd been eyeing this dress since i first saw it in the dress catalog when it came out. when i saw it in person, it was just as beautiful as i remembered! i'm about 140 lbs and usually wear a size s or m, but i tried the s on and decided to size down to an xs, because the linen flowy fabric lays a bit wide when on the body; however, the s would have worked, too! i'd say size down if you prefer your clothes a tiny bit more fitted. the fabric is beautiful and lightweight, even though there is more</v>
      </c>
      <c r="F699" s="13">
        <f>IFERROR(__xludf.DUMMYFUNCTION("""COMPUTED_VALUE"""),5.0)</f>
        <v>5</v>
      </c>
      <c r="G699" s="13">
        <f>IFERROR(__xludf.DUMMYFUNCTION("""COMPUTED_VALUE"""),1.0)</f>
        <v>1</v>
      </c>
      <c r="H699" s="13">
        <f>IFERROR(__xludf.DUMMYFUNCTION("""COMPUTED_VALUE"""),12.0)</f>
        <v>12</v>
      </c>
      <c r="I699" s="13" t="str">
        <f>IFERROR(__xludf.DUMMYFUNCTION("""COMPUTED_VALUE"""),"General")</f>
        <v>General</v>
      </c>
      <c r="J699" s="13" t="str">
        <f>IFERROR(__xludf.DUMMYFUNCTION("""COMPUTED_VALUE"""),"Dresses")</f>
        <v>Dresses</v>
      </c>
      <c r="K699" s="13" t="str">
        <f>IFERROR(__xludf.DUMMYFUNCTION("""COMPUTED_VALUE"""),"Dresses")</f>
        <v>Dresses</v>
      </c>
      <c r="L699" s="13"/>
    </row>
    <row r="700">
      <c r="A700" s="13">
        <f>IFERROR(__xludf.DUMMYFUNCTION("""COMPUTED_VALUE"""),698.0)</f>
        <v>698</v>
      </c>
      <c r="B700" s="13">
        <f>IFERROR(__xludf.DUMMYFUNCTION("""COMPUTED_VALUE"""),937.0)</f>
        <v>937</v>
      </c>
      <c r="C700" s="13">
        <f>IFERROR(__xludf.DUMMYFUNCTION("""COMPUTED_VALUE"""),26.0)</f>
        <v>26</v>
      </c>
      <c r="D700" s="12" t="str">
        <f>IFERROR(__xludf.DUMMYFUNCTION("""COMPUTED_VALUE"""),"Perfect layering sweater")</f>
        <v>Perfect layering sweater</v>
      </c>
      <c r="E700" s="12" t="str">
        <f>IFERROR(__xludf.DUMMYFUNCTION("""COMPUTED_VALUE"""),"I have been searching for a pale pink sweater for fall. the color and fit is much prettier than the way it is photographed here. i think it will look great over denim, grey, or olive green dresses and shirts.")</f>
        <v>I have been searching for a pale pink sweater for fall. the color and fit is much prettier than the way it is photographed here. i think it will look great over denim, grey, or olive green dresses and shirts.</v>
      </c>
      <c r="F700" s="13">
        <f>IFERROR(__xludf.DUMMYFUNCTION("""COMPUTED_VALUE"""),5.0)</f>
        <v>5</v>
      </c>
      <c r="G700" s="13">
        <f>IFERROR(__xludf.DUMMYFUNCTION("""COMPUTED_VALUE"""),1.0)</f>
        <v>1</v>
      </c>
      <c r="H700" s="13">
        <f>IFERROR(__xludf.DUMMYFUNCTION("""COMPUTED_VALUE"""),1.0)</f>
        <v>1</v>
      </c>
      <c r="I700" s="13" t="str">
        <f>IFERROR(__xludf.DUMMYFUNCTION("""COMPUTED_VALUE"""),"General")</f>
        <v>General</v>
      </c>
      <c r="J700" s="13" t="str">
        <f>IFERROR(__xludf.DUMMYFUNCTION("""COMPUTED_VALUE"""),"Tops")</f>
        <v>Tops</v>
      </c>
      <c r="K700" s="13" t="str">
        <f>IFERROR(__xludf.DUMMYFUNCTION("""COMPUTED_VALUE"""),"Sweaters")</f>
        <v>Sweaters</v>
      </c>
      <c r="L700" s="13"/>
    </row>
    <row r="701">
      <c r="A701" s="13">
        <f>IFERROR(__xludf.DUMMYFUNCTION("""COMPUTED_VALUE"""),699.0)</f>
        <v>699</v>
      </c>
      <c r="B701" s="13">
        <f>IFERROR(__xludf.DUMMYFUNCTION("""COMPUTED_VALUE"""),1110.0)</f>
        <v>1110</v>
      </c>
      <c r="C701" s="13">
        <f>IFERROR(__xludf.DUMMYFUNCTION("""COMPUTED_VALUE"""),35.0)</f>
        <v>35</v>
      </c>
      <c r="D701" s="12" t="str">
        <f>IFERROR(__xludf.DUMMYFUNCTION("""COMPUTED_VALUE"""),"Runs very small")</f>
        <v>Runs very small</v>
      </c>
      <c r="E701" s="12" t="str">
        <f>IFERROR(__xludf.DUMMYFUNCTION("""COMPUTED_VALUE"""),"Don't buy this dress unless you are normally a medium or larger. order it one or two sizes smaller than your normal size. i ordered an xs and it's more like a medium or large.")</f>
        <v>Don't buy this dress unless you are normally a medium or larger. order it one or two sizes smaller than your normal size. i ordered an xs and it's more like a medium or large.</v>
      </c>
      <c r="F701" s="13">
        <f>IFERROR(__xludf.DUMMYFUNCTION("""COMPUTED_VALUE"""),2.0)</f>
        <v>2</v>
      </c>
      <c r="G701" s="13">
        <f>IFERROR(__xludf.DUMMYFUNCTION("""COMPUTED_VALUE"""),0.0)</f>
        <v>0</v>
      </c>
      <c r="H701" s="13">
        <f>IFERROR(__xludf.DUMMYFUNCTION("""COMPUTED_VALUE"""),11.0)</f>
        <v>11</v>
      </c>
      <c r="I701" s="13" t="str">
        <f>IFERROR(__xludf.DUMMYFUNCTION("""COMPUTED_VALUE"""),"General")</f>
        <v>General</v>
      </c>
      <c r="J701" s="13" t="str">
        <f>IFERROR(__xludf.DUMMYFUNCTION("""COMPUTED_VALUE"""),"Dresses")</f>
        <v>Dresses</v>
      </c>
      <c r="K701" s="13" t="str">
        <f>IFERROR(__xludf.DUMMYFUNCTION("""COMPUTED_VALUE"""),"Dresses")</f>
        <v>Dresses</v>
      </c>
      <c r="L701" s="13"/>
    </row>
    <row r="702">
      <c r="A702" s="13">
        <f>IFERROR(__xludf.DUMMYFUNCTION("""COMPUTED_VALUE"""),700.0)</f>
        <v>700</v>
      </c>
      <c r="B702" s="13">
        <f>IFERROR(__xludf.DUMMYFUNCTION("""COMPUTED_VALUE"""),886.0)</f>
        <v>886</v>
      </c>
      <c r="C702" s="13">
        <f>IFERROR(__xludf.DUMMYFUNCTION("""COMPUTED_VALUE"""),48.0)</f>
        <v>48</v>
      </c>
      <c r="D702" s="12" t="str">
        <f>IFERROR(__xludf.DUMMYFUNCTION("""COMPUTED_VALUE"""),"Great casual top")</f>
        <v>Great casual top</v>
      </c>
      <c r="E702" s="12" t="str">
        <f>IFERROR(__xludf.DUMMYFUNCTION("""COMPUTED_VALUE"""),"I got this in blue and also in white, both size medium. it's a very comfy casual top and i love the horseshoe neckline and front facing seaming which makes it just a bit different. however....i can't figure out why the blue color fits quite a bit smaller "&amp;"than the white. but it does, so consider this when you order, depending upon how you want it to fit. i'm keeping both but will wear the blue in a different way, definitely not with leggings.")</f>
        <v>I got this in blue and also in white, both size medium. it's a very comfy casual top and i love the horseshoe neckline and front facing seaming which makes it just a bit different. however....i can't figure out why the blue color fits quite a bit smaller than the white. but it does, so consider this when you order, depending upon how you want it to fit. i'm keeping both but will wear the blue in a different way, definitely not with leggings.</v>
      </c>
      <c r="F702" s="13">
        <f>IFERROR(__xludf.DUMMYFUNCTION("""COMPUTED_VALUE"""),5.0)</f>
        <v>5</v>
      </c>
      <c r="G702" s="13">
        <f>IFERROR(__xludf.DUMMYFUNCTION("""COMPUTED_VALUE"""),1.0)</f>
        <v>1</v>
      </c>
      <c r="H702" s="13">
        <f>IFERROR(__xludf.DUMMYFUNCTION("""COMPUTED_VALUE"""),9.0)</f>
        <v>9</v>
      </c>
      <c r="I702" s="13" t="str">
        <f>IFERROR(__xludf.DUMMYFUNCTION("""COMPUTED_VALUE"""),"General")</f>
        <v>General</v>
      </c>
      <c r="J702" s="13" t="str">
        <f>IFERROR(__xludf.DUMMYFUNCTION("""COMPUTED_VALUE"""),"Tops")</f>
        <v>Tops</v>
      </c>
      <c r="K702" s="13" t="str">
        <f>IFERROR(__xludf.DUMMYFUNCTION("""COMPUTED_VALUE"""),"Knits")</f>
        <v>Knits</v>
      </c>
      <c r="L702" s="13"/>
    </row>
    <row r="703">
      <c r="A703" s="13">
        <f>IFERROR(__xludf.DUMMYFUNCTION("""COMPUTED_VALUE"""),701.0)</f>
        <v>701</v>
      </c>
      <c r="B703" s="13">
        <f>IFERROR(__xludf.DUMMYFUNCTION("""COMPUTED_VALUE"""),937.0)</f>
        <v>937</v>
      </c>
      <c r="C703" s="13">
        <f>IFERROR(__xludf.DUMMYFUNCTION("""COMPUTED_VALUE"""),59.0)</f>
        <v>59</v>
      </c>
      <c r="D703" s="12" t="str">
        <f>IFERROR(__xludf.DUMMYFUNCTION("""COMPUTED_VALUE"""),"Great for travel")</f>
        <v>Great for travel</v>
      </c>
      <c r="E703" s="12" t="str">
        <f>IFERROR(__xludf.DUMMYFUNCTION("""COMPUTED_VALUE"""),"I think the model is wearing a larger size, per the first review. i am 5'2"" and 105 lbs and the xs fits about the same in length but not nearly voluminous. so you should order up if that is what you want. this will be perfect for some long summer flights"&amp;" instead of a wrap, since the sleeves will be more convenient and i always look schlumpy rather than elegant in a shawl! if it had some cashmere or another softer fiber i would be totally in love with it.")</f>
        <v>I think the model is wearing a larger size, per the first review. i am 5'2" and 105 lbs and the xs fits about the same in length but not nearly voluminous. so you should order up if that is what you want. this will be perfect for some long summer flights instead of a wrap, since the sleeves will be more convenient and i always look schlumpy rather than elegant in a shawl! if it had some cashmere or another softer fiber i would be totally in love with it.</v>
      </c>
      <c r="F703" s="13">
        <f>IFERROR(__xludf.DUMMYFUNCTION("""COMPUTED_VALUE"""),3.0)</f>
        <v>3</v>
      </c>
      <c r="G703" s="13">
        <f>IFERROR(__xludf.DUMMYFUNCTION("""COMPUTED_VALUE"""),1.0)</f>
        <v>1</v>
      </c>
      <c r="H703" s="13">
        <f>IFERROR(__xludf.DUMMYFUNCTION("""COMPUTED_VALUE"""),14.0)</f>
        <v>14</v>
      </c>
      <c r="I703" s="13" t="str">
        <f>IFERROR(__xludf.DUMMYFUNCTION("""COMPUTED_VALUE"""),"General")</f>
        <v>General</v>
      </c>
      <c r="J703" s="13" t="str">
        <f>IFERROR(__xludf.DUMMYFUNCTION("""COMPUTED_VALUE"""),"Tops")</f>
        <v>Tops</v>
      </c>
      <c r="K703" s="13" t="str">
        <f>IFERROR(__xludf.DUMMYFUNCTION("""COMPUTED_VALUE"""),"Sweaters")</f>
        <v>Sweaters</v>
      </c>
      <c r="L703" s="13"/>
    </row>
    <row r="704">
      <c r="A704" s="13">
        <f>IFERROR(__xludf.DUMMYFUNCTION("""COMPUTED_VALUE"""),702.0)</f>
        <v>702</v>
      </c>
      <c r="B704" s="13">
        <f>IFERROR(__xludf.DUMMYFUNCTION("""COMPUTED_VALUE"""),886.0)</f>
        <v>886</v>
      </c>
      <c r="C704" s="13">
        <f>IFERROR(__xludf.DUMMYFUNCTION("""COMPUTED_VALUE"""),46.0)</f>
        <v>46</v>
      </c>
      <c r="D704" s="12" t="str">
        <f>IFERROR(__xludf.DUMMYFUNCTION("""COMPUTED_VALUE"""),"Great neckline &amp; good xl fit")</f>
        <v>Great neckline &amp; good xl fit</v>
      </c>
      <c r="E704" s="12" t="str">
        <f>IFERROR(__xludf.DUMMYFUNCTION("""COMPUTED_VALUE"""),"I ordered the white solid &amp; the white w/blue stripes versions in size xl. both fit me true to size. the fit matches the model's photos. i got these on sale and they're worth that price. they're great basics to have. the white/blue striped one is my favori"&amp;"te. it such a pretty combo. i love the unique neckline too. fun details for a basic tee.")</f>
        <v>I ordered the white solid &amp; the white w/blue stripes versions in size xl. both fit me true to size. the fit matches the model's photos. i got these on sale and they're worth that price. they're great basics to have. the white/blue striped one is my favorite. it such a pretty combo. i love the unique neckline too. fun details for a basic tee.</v>
      </c>
      <c r="F704" s="13">
        <f>IFERROR(__xludf.DUMMYFUNCTION("""COMPUTED_VALUE"""),4.0)</f>
        <v>4</v>
      </c>
      <c r="G704" s="13">
        <f>IFERROR(__xludf.DUMMYFUNCTION("""COMPUTED_VALUE"""),1.0)</f>
        <v>1</v>
      </c>
      <c r="H704" s="13">
        <f>IFERROR(__xludf.DUMMYFUNCTION("""COMPUTED_VALUE"""),0.0)</f>
        <v>0</v>
      </c>
      <c r="I704" s="13" t="str">
        <f>IFERROR(__xludf.DUMMYFUNCTION("""COMPUTED_VALUE"""),"General")</f>
        <v>General</v>
      </c>
      <c r="J704" s="13" t="str">
        <f>IFERROR(__xludf.DUMMYFUNCTION("""COMPUTED_VALUE"""),"Tops")</f>
        <v>Tops</v>
      </c>
      <c r="K704" s="13" t="str">
        <f>IFERROR(__xludf.DUMMYFUNCTION("""COMPUTED_VALUE"""),"Knits")</f>
        <v>Knits</v>
      </c>
      <c r="L704" s="13"/>
    </row>
    <row r="705">
      <c r="A705" s="13">
        <f>IFERROR(__xludf.DUMMYFUNCTION("""COMPUTED_VALUE"""),703.0)</f>
        <v>703</v>
      </c>
      <c r="B705" s="13">
        <f>IFERROR(__xludf.DUMMYFUNCTION("""COMPUTED_VALUE"""),1137.0)</f>
        <v>1137</v>
      </c>
      <c r="C705" s="13">
        <f>IFERROR(__xludf.DUMMYFUNCTION("""COMPUTED_VALUE"""),49.0)</f>
        <v>49</v>
      </c>
      <c r="D705" s="12" t="str">
        <f>IFERROR(__xludf.DUMMYFUNCTION("""COMPUTED_VALUE"""),"Simple luxury")</f>
        <v>Simple luxury</v>
      </c>
      <c r="E705" s="12" t="str">
        <f>IFERROR(__xludf.DUMMYFUNCTION("""COMPUTED_VALUE"""),"I found this at my local store and ended up buying both colors. the fabric is thicker than a t-shirt. these will go with so many things....jeans to dressy skirts. i normally wear a small but ended up buying the medium (2). the small fit me but was a littl"&amp;"e too short (for reference i am 5'8""). these will be a staple in my wardrobe all year round. love!")</f>
        <v>I found this at my local store and ended up buying both colors. the fabric is thicker than a t-shirt. these will go with so many things....jeans to dressy skirts. i normally wear a small but ended up buying the medium (2). the small fit me but was a little too short (for reference i am 5'8"). these will be a staple in my wardrobe all year round. love!</v>
      </c>
      <c r="F705" s="13">
        <f>IFERROR(__xludf.DUMMYFUNCTION("""COMPUTED_VALUE"""),5.0)</f>
        <v>5</v>
      </c>
      <c r="G705" s="13">
        <f>IFERROR(__xludf.DUMMYFUNCTION("""COMPUTED_VALUE"""),1.0)</f>
        <v>1</v>
      </c>
      <c r="H705" s="13">
        <f>IFERROR(__xludf.DUMMYFUNCTION("""COMPUTED_VALUE"""),7.0)</f>
        <v>7</v>
      </c>
      <c r="I705" s="13" t="str">
        <f>IFERROR(__xludf.DUMMYFUNCTION("""COMPUTED_VALUE"""),"General")</f>
        <v>General</v>
      </c>
      <c r="J705" s="13" t="str">
        <f>IFERROR(__xludf.DUMMYFUNCTION("""COMPUTED_VALUE"""),"Trend")</f>
        <v>Trend</v>
      </c>
      <c r="K705" s="13" t="str">
        <f>IFERROR(__xludf.DUMMYFUNCTION("""COMPUTED_VALUE"""),"Trend")</f>
        <v>Trend</v>
      </c>
      <c r="L705" s="13"/>
    </row>
    <row r="706">
      <c r="A706" s="13">
        <f>IFERROR(__xludf.DUMMYFUNCTION("""COMPUTED_VALUE"""),704.0)</f>
        <v>704</v>
      </c>
      <c r="B706" s="13">
        <f>IFERROR(__xludf.DUMMYFUNCTION("""COMPUTED_VALUE"""),1165.0)</f>
        <v>1165</v>
      </c>
      <c r="C706" s="13">
        <f>IFERROR(__xludf.DUMMYFUNCTION("""COMPUTED_VALUE"""),31.0)</f>
        <v>31</v>
      </c>
      <c r="D706" s="12" t="str">
        <f>IFERROR(__xludf.DUMMYFUNCTION("""COMPUTED_VALUE"""),"Beautiful print, bad fit")</f>
        <v>Beautiful print, bad fit</v>
      </c>
      <c r="E706" s="12" t="str">
        <f>IFERROR(__xludf.DUMMYFUNCTION("""COMPUTED_VALUE"""),"The colors and print are absolutely beautiful and i'm quite heartbroken that this suit just doesn't fit. i don't have a long torso but the v was just so plunging that i wouldn't feel comfortable leaving the backyard lounge chair in this bathing suit. no m"&amp;"atter how much i tied the halter it still revealed a v halfway down to my naval. the strange thing is that there seemed to be too much fabric on top, lots of ruching and thicker straps than i would normally go for, and while i'm only around a b")</f>
        <v>The colors and print are absolutely beautiful and i'm quite heartbroken that this suit just doesn't fit. i don't have a long torso but the v was just so plunging that i wouldn't feel comfortable leaving the backyard lounge chair in this bathing suit. no matter how much i tied the halter it still revealed a v halfway down to my naval. the strange thing is that there seemed to be too much fabric on top, lots of ruching and thicker straps than i would normally go for, and while i'm only around a b</v>
      </c>
      <c r="F706" s="13">
        <f>IFERROR(__xludf.DUMMYFUNCTION("""COMPUTED_VALUE"""),3.0)</f>
        <v>3</v>
      </c>
      <c r="G706" s="13">
        <f>IFERROR(__xludf.DUMMYFUNCTION("""COMPUTED_VALUE"""),0.0)</f>
        <v>0</v>
      </c>
      <c r="H706" s="13">
        <f>IFERROR(__xludf.DUMMYFUNCTION("""COMPUTED_VALUE"""),0.0)</f>
        <v>0</v>
      </c>
      <c r="I706" s="13" t="str">
        <f>IFERROR(__xludf.DUMMYFUNCTION("""COMPUTED_VALUE"""),"Initmates")</f>
        <v>Initmates</v>
      </c>
      <c r="J706" s="13" t="str">
        <f>IFERROR(__xludf.DUMMYFUNCTION("""COMPUTED_VALUE"""),"Intimate")</f>
        <v>Intimate</v>
      </c>
      <c r="K706" s="13" t="str">
        <f>IFERROR(__xludf.DUMMYFUNCTION("""COMPUTED_VALUE"""),"Swim")</f>
        <v>Swim</v>
      </c>
      <c r="L706" s="13"/>
    </row>
    <row r="707">
      <c r="A707" s="13">
        <f>IFERROR(__xludf.DUMMYFUNCTION("""COMPUTED_VALUE"""),705.0)</f>
        <v>705</v>
      </c>
      <c r="B707" s="13">
        <f>IFERROR(__xludf.DUMMYFUNCTION("""COMPUTED_VALUE"""),937.0)</f>
        <v>937</v>
      </c>
      <c r="C707" s="13">
        <f>IFERROR(__xludf.DUMMYFUNCTION("""COMPUTED_VALUE"""),29.0)</f>
        <v>29</v>
      </c>
      <c r="D707" s="12" t="str">
        <f>IFERROR(__xludf.DUMMYFUNCTION("""COMPUTED_VALUE"""),"Great slouchy sweater, perfect color")</f>
        <v>Great slouchy sweater, perfect color</v>
      </c>
      <c r="E707" s="12" t="str">
        <f>IFERROR(__xludf.DUMMYFUNCTION("""COMPUTED_VALUE"""),"This sweater has the perfect slouchy shape for fall. i wish it were a little bit softer and heavier - the fabric is pretty lightweight - but it layers beautifully and will be a staple for me this season.")</f>
        <v>This sweater has the perfect slouchy shape for fall. i wish it were a little bit softer and heavier - the fabric is pretty lightweight - but it layers beautifully and will be a staple for me this season.</v>
      </c>
      <c r="F707" s="13">
        <f>IFERROR(__xludf.DUMMYFUNCTION("""COMPUTED_VALUE"""),5.0)</f>
        <v>5</v>
      </c>
      <c r="G707" s="13">
        <f>IFERROR(__xludf.DUMMYFUNCTION("""COMPUTED_VALUE"""),1.0)</f>
        <v>1</v>
      </c>
      <c r="H707" s="13">
        <f>IFERROR(__xludf.DUMMYFUNCTION("""COMPUTED_VALUE"""),0.0)</f>
        <v>0</v>
      </c>
      <c r="I707" s="13" t="str">
        <f>IFERROR(__xludf.DUMMYFUNCTION("""COMPUTED_VALUE"""),"General")</f>
        <v>General</v>
      </c>
      <c r="J707" s="13" t="str">
        <f>IFERROR(__xludf.DUMMYFUNCTION("""COMPUTED_VALUE"""),"Tops")</f>
        <v>Tops</v>
      </c>
      <c r="K707" s="13" t="str">
        <f>IFERROR(__xludf.DUMMYFUNCTION("""COMPUTED_VALUE"""),"Sweaters")</f>
        <v>Sweaters</v>
      </c>
      <c r="L707" s="13"/>
    </row>
    <row r="708">
      <c r="A708" s="13">
        <f>IFERROR(__xludf.DUMMYFUNCTION("""COMPUTED_VALUE"""),706.0)</f>
        <v>706</v>
      </c>
      <c r="B708" s="13">
        <f>IFERROR(__xludf.DUMMYFUNCTION("""COMPUTED_VALUE"""),1110.0)</f>
        <v>1110</v>
      </c>
      <c r="C708" s="13">
        <f>IFERROR(__xludf.DUMMYFUNCTION("""COMPUTED_VALUE"""),45.0)</f>
        <v>45</v>
      </c>
      <c r="D708" s="12" t="str">
        <f>IFERROR(__xludf.DUMMYFUNCTION("""COMPUTED_VALUE"""),"Huge dress")</f>
        <v>Huge dress</v>
      </c>
      <c r="E708" s="12" t="str">
        <f>IFERROR(__xludf.DUMMYFUNCTION("""COMPUTED_VALUE"""),"The overall styling was great, and the dress is super-cute, if a little thick (it's made of denim, after all). i ordered a size down from my normal, and even then, i was swimming in it. the worst part, and the aspect that will make me return it, is that t"&amp;"he arm holes hang down so low that i'd have to wear a tank top under the dress. i'm returning it, though it is really cute and i love this brand. the arm holes killed it for me.")</f>
        <v>The overall styling was great, and the dress is super-cute, if a little thick (it's made of denim, after all). i ordered a size down from my normal, and even then, i was swimming in it. the worst part, and the aspect that will make me return it, is that the arm holes hang down so low that i'd have to wear a tank top under the dress. i'm returning it, though it is really cute and i love this brand. the arm holes killed it for me.</v>
      </c>
      <c r="F708" s="13">
        <f>IFERROR(__xludf.DUMMYFUNCTION("""COMPUTED_VALUE"""),2.0)</f>
        <v>2</v>
      </c>
      <c r="G708" s="13">
        <f>IFERROR(__xludf.DUMMYFUNCTION("""COMPUTED_VALUE"""),0.0)</f>
        <v>0</v>
      </c>
      <c r="H708" s="13">
        <f>IFERROR(__xludf.DUMMYFUNCTION("""COMPUTED_VALUE"""),27.0)</f>
        <v>27</v>
      </c>
      <c r="I708" s="13" t="str">
        <f>IFERROR(__xludf.DUMMYFUNCTION("""COMPUTED_VALUE"""),"General")</f>
        <v>General</v>
      </c>
      <c r="J708" s="13" t="str">
        <f>IFERROR(__xludf.DUMMYFUNCTION("""COMPUTED_VALUE"""),"Dresses")</f>
        <v>Dresses</v>
      </c>
      <c r="K708" s="13" t="str">
        <f>IFERROR(__xludf.DUMMYFUNCTION("""COMPUTED_VALUE"""),"Dresses")</f>
        <v>Dresses</v>
      </c>
      <c r="L708" s="13"/>
    </row>
    <row r="709">
      <c r="A709" s="13">
        <f>IFERROR(__xludf.DUMMYFUNCTION("""COMPUTED_VALUE"""),707.0)</f>
        <v>707</v>
      </c>
      <c r="B709" s="13">
        <f>IFERROR(__xludf.DUMMYFUNCTION("""COMPUTED_VALUE"""),1087.0)</f>
        <v>1087</v>
      </c>
      <c r="C709" s="13">
        <f>IFERROR(__xludf.DUMMYFUNCTION("""COMPUTED_VALUE"""),32.0)</f>
        <v>32</v>
      </c>
      <c r="D709" s="12"/>
      <c r="E709" s="12"/>
      <c r="F709" s="13">
        <f>IFERROR(__xludf.DUMMYFUNCTION("""COMPUTED_VALUE"""),5.0)</f>
        <v>5</v>
      </c>
      <c r="G709" s="13">
        <f>IFERROR(__xludf.DUMMYFUNCTION("""COMPUTED_VALUE"""),1.0)</f>
        <v>1</v>
      </c>
      <c r="H709" s="13">
        <f>IFERROR(__xludf.DUMMYFUNCTION("""COMPUTED_VALUE"""),0.0)</f>
        <v>0</v>
      </c>
      <c r="I709" s="13" t="str">
        <f>IFERROR(__xludf.DUMMYFUNCTION("""COMPUTED_VALUE"""),"General")</f>
        <v>General</v>
      </c>
      <c r="J709" s="13" t="str">
        <f>IFERROR(__xludf.DUMMYFUNCTION("""COMPUTED_VALUE"""),"Dresses")</f>
        <v>Dresses</v>
      </c>
      <c r="K709" s="13" t="str">
        <f>IFERROR(__xludf.DUMMYFUNCTION("""COMPUTED_VALUE"""),"Dresses")</f>
        <v>Dresses</v>
      </c>
      <c r="L709" s="13"/>
    </row>
    <row r="710">
      <c r="A710" s="13">
        <f>IFERROR(__xludf.DUMMYFUNCTION("""COMPUTED_VALUE"""),708.0)</f>
        <v>708</v>
      </c>
      <c r="B710" s="13">
        <f>IFERROR(__xludf.DUMMYFUNCTION("""COMPUTED_VALUE"""),1059.0)</f>
        <v>1059</v>
      </c>
      <c r="C710" s="13">
        <f>IFERROR(__xludf.DUMMYFUNCTION("""COMPUTED_VALUE"""),40.0)</f>
        <v>40</v>
      </c>
      <c r="D710" s="12" t="str">
        <f>IFERROR(__xludf.DUMMYFUNCTION("""COMPUTED_VALUE"""),"Love these pants")</f>
        <v>Love these pants</v>
      </c>
      <c r="E710" s="12" t="str">
        <f>IFERROR(__xludf.DUMMYFUNCTION("""COMPUTED_VALUE"""),"Marking down one star because these pants do gape quite a bit when you sit down, though i appreciate the shorts underneath that prevent any indecent exposure. these could have done with a little stitch in the front or side somewhere on the leg to limit th"&amp;"at. that said, my other similar (non-retailer) pants that are much worse and are also are bulkier on top, which does not look great at my size/with my body shape. these are more flattering (i love the band on top) and comfortable. i am normally a")</f>
        <v>Marking down one star because these pants do gape quite a bit when you sit down, though i appreciate the shorts underneath that prevent any indecent exposure. these could have done with a little stitch in the front or side somewhere on the leg to limit that. that said, my other similar (non-retailer) pants that are much worse and are also are bulkier on top, which does not look great at my size/with my body shape. these are more flattering (i love the band on top) and comfortable. i am normally a</v>
      </c>
      <c r="F710" s="13">
        <f>IFERROR(__xludf.DUMMYFUNCTION("""COMPUTED_VALUE"""),5.0)</f>
        <v>5</v>
      </c>
      <c r="G710" s="13">
        <f>IFERROR(__xludf.DUMMYFUNCTION("""COMPUTED_VALUE"""),1.0)</f>
        <v>1</v>
      </c>
      <c r="H710" s="13">
        <f>IFERROR(__xludf.DUMMYFUNCTION("""COMPUTED_VALUE"""),14.0)</f>
        <v>14</v>
      </c>
      <c r="I710" s="13" t="str">
        <f>IFERROR(__xludf.DUMMYFUNCTION("""COMPUTED_VALUE"""),"General")</f>
        <v>General</v>
      </c>
      <c r="J710" s="13" t="str">
        <f>IFERROR(__xludf.DUMMYFUNCTION("""COMPUTED_VALUE"""),"Bottoms")</f>
        <v>Bottoms</v>
      </c>
      <c r="K710" s="13" t="str">
        <f>IFERROR(__xludf.DUMMYFUNCTION("""COMPUTED_VALUE"""),"Pants")</f>
        <v>Pants</v>
      </c>
      <c r="L710" s="13"/>
    </row>
    <row r="711">
      <c r="A711" s="13">
        <f>IFERROR(__xludf.DUMMYFUNCTION("""COMPUTED_VALUE"""),709.0)</f>
        <v>709</v>
      </c>
      <c r="B711" s="13">
        <f>IFERROR(__xludf.DUMMYFUNCTION("""COMPUTED_VALUE"""),1137.0)</f>
        <v>1137</v>
      </c>
      <c r="C711" s="13">
        <f>IFERROR(__xludf.DUMMYFUNCTION("""COMPUTED_VALUE"""),69.0)</f>
        <v>69</v>
      </c>
      <c r="D711" s="12" t="str">
        <f>IFERROR(__xludf.DUMMYFUNCTION("""COMPUTED_VALUE"""),"The tee i have always been looking for!")</f>
        <v>The tee i have always been looking for!</v>
      </c>
      <c r="E711" s="12" t="str">
        <f>IFERROR(__xludf.DUMMYFUNCTION("""COMPUTED_VALUE"""),"It is seldom that i write a review about a tee, but after receiving the jessa tee in the mail today, i just felt compelled to do so! the deal is, this tee is pricey for sure, but in my opinion, it is worth it! as another reviewer said, the cotton fabric i"&amp;"s hefty; in fact, it could also be called a ""lightweight sweater."" everything about this tee is perfect and classic: the elbow sleeves, the nice neckline, and the semi-boxy, semi-cropped fit. it will go with everything from jeans, to nice slacks")</f>
        <v>It is seldom that i write a review about a tee, but after receiving the jessa tee in the mail today, i just felt compelled to do so! the deal is, this tee is pricey for sure, but in my opinion, it is worth it! as another reviewer said, the cotton fabric is hefty; in fact, it could also be called a "lightweight sweater." everything about this tee is perfect and classic: the elbow sleeves, the nice neckline, and the semi-boxy, semi-cropped fit. it will go with everything from jeans, to nice slacks</v>
      </c>
      <c r="F711" s="13">
        <f>IFERROR(__xludf.DUMMYFUNCTION("""COMPUTED_VALUE"""),5.0)</f>
        <v>5</v>
      </c>
      <c r="G711" s="13">
        <f>IFERROR(__xludf.DUMMYFUNCTION("""COMPUTED_VALUE"""),1.0)</f>
        <v>1</v>
      </c>
      <c r="H711" s="13">
        <f>IFERROR(__xludf.DUMMYFUNCTION("""COMPUTED_VALUE"""),1.0)</f>
        <v>1</v>
      </c>
      <c r="I711" s="13" t="str">
        <f>IFERROR(__xludf.DUMMYFUNCTION("""COMPUTED_VALUE"""),"General")</f>
        <v>General</v>
      </c>
      <c r="J711" s="13" t="str">
        <f>IFERROR(__xludf.DUMMYFUNCTION("""COMPUTED_VALUE"""),"Trend")</f>
        <v>Trend</v>
      </c>
      <c r="K711" s="13" t="str">
        <f>IFERROR(__xludf.DUMMYFUNCTION("""COMPUTED_VALUE"""),"Trend")</f>
        <v>Trend</v>
      </c>
      <c r="L711" s="13"/>
    </row>
    <row r="712">
      <c r="A712" s="13">
        <f>IFERROR(__xludf.DUMMYFUNCTION("""COMPUTED_VALUE"""),710.0)</f>
        <v>710</v>
      </c>
      <c r="B712" s="13">
        <f>IFERROR(__xludf.DUMMYFUNCTION("""COMPUTED_VALUE"""),745.0)</f>
        <v>745</v>
      </c>
      <c r="C712" s="13">
        <f>IFERROR(__xludf.DUMMYFUNCTION("""COMPUTED_VALUE"""),28.0)</f>
        <v>28</v>
      </c>
      <c r="D712" s="12" t="str">
        <f>IFERROR(__xludf.DUMMYFUNCTION("""COMPUTED_VALUE"""),"The softest leggings")</f>
        <v>The softest leggings</v>
      </c>
      <c r="E712" s="12" t="str">
        <f>IFERROR(__xludf.DUMMYFUNCTION("""COMPUTED_VALUE"""),"These leggings are some of the softest i own. i ordered both the black and the moss and each has a distinct pattern. they are perfect for colder climates and fit me like a glove.")</f>
        <v>These leggings are some of the softest i own. i ordered both the black and the moss and each has a distinct pattern. they are perfect for colder climates and fit me like a glove.</v>
      </c>
      <c r="F712" s="13">
        <f>IFERROR(__xludf.DUMMYFUNCTION("""COMPUTED_VALUE"""),5.0)</f>
        <v>5</v>
      </c>
      <c r="G712" s="13">
        <f>IFERROR(__xludf.DUMMYFUNCTION("""COMPUTED_VALUE"""),1.0)</f>
        <v>1</v>
      </c>
      <c r="H712" s="13">
        <f>IFERROR(__xludf.DUMMYFUNCTION("""COMPUTED_VALUE"""),2.0)</f>
        <v>2</v>
      </c>
      <c r="I712" s="13" t="str">
        <f>IFERROR(__xludf.DUMMYFUNCTION("""COMPUTED_VALUE"""),"Initmates")</f>
        <v>Initmates</v>
      </c>
      <c r="J712" s="13" t="str">
        <f>IFERROR(__xludf.DUMMYFUNCTION("""COMPUTED_VALUE"""),"Intimate")</f>
        <v>Intimate</v>
      </c>
      <c r="K712" s="13" t="str">
        <f>IFERROR(__xludf.DUMMYFUNCTION("""COMPUTED_VALUE"""),"Legwear")</f>
        <v>Legwear</v>
      </c>
      <c r="L712" s="13"/>
    </row>
    <row r="713">
      <c r="A713" s="13">
        <f>IFERROR(__xludf.DUMMYFUNCTION("""COMPUTED_VALUE"""),711.0)</f>
        <v>711</v>
      </c>
      <c r="B713" s="13">
        <f>IFERROR(__xludf.DUMMYFUNCTION("""COMPUTED_VALUE"""),937.0)</f>
        <v>937</v>
      </c>
      <c r="C713" s="13">
        <f>IFERROR(__xludf.DUMMYFUNCTION("""COMPUTED_VALUE"""),74.0)</f>
        <v>74</v>
      </c>
      <c r="D713" s="12" t="str">
        <f>IFERROR(__xludf.DUMMYFUNCTION("""COMPUTED_VALUE"""),"Great fall sweater")</f>
        <v>Great fall sweater</v>
      </c>
      <c r="E713" s="12" t="str">
        <f>IFERROR(__xludf.DUMMYFUNCTION("""COMPUTED_VALUE"""),"I took this sweater on a recent vacation up north. i wore it 3 evenings because the weather changed from hot to cool. loved the feel of being wrapped in a warm blanket. cocoon cardigan is an apt name. wasn't sure about pink but it is exactly as pictured. "&amp;"this will become a go-to in my sweater wardrobe.")</f>
        <v>I took this sweater on a recent vacation up north. i wore it 3 evenings because the weather changed from hot to cool. loved the feel of being wrapped in a warm blanket. cocoon cardigan is an apt name. wasn't sure about pink but it is exactly as pictured. this will become a go-to in my sweater wardrobe.</v>
      </c>
      <c r="F713" s="13">
        <f>IFERROR(__xludf.DUMMYFUNCTION("""COMPUTED_VALUE"""),4.0)</f>
        <v>4</v>
      </c>
      <c r="G713" s="13">
        <f>IFERROR(__xludf.DUMMYFUNCTION("""COMPUTED_VALUE"""),1.0)</f>
        <v>1</v>
      </c>
      <c r="H713" s="13">
        <f>IFERROR(__xludf.DUMMYFUNCTION("""COMPUTED_VALUE"""),1.0)</f>
        <v>1</v>
      </c>
      <c r="I713" s="13" t="str">
        <f>IFERROR(__xludf.DUMMYFUNCTION("""COMPUTED_VALUE"""),"General")</f>
        <v>General</v>
      </c>
      <c r="J713" s="13" t="str">
        <f>IFERROR(__xludf.DUMMYFUNCTION("""COMPUTED_VALUE"""),"Tops")</f>
        <v>Tops</v>
      </c>
      <c r="K713" s="13" t="str">
        <f>IFERROR(__xludf.DUMMYFUNCTION("""COMPUTED_VALUE"""),"Sweaters")</f>
        <v>Sweaters</v>
      </c>
      <c r="L713" s="13"/>
    </row>
    <row r="714">
      <c r="A714" s="13">
        <f>IFERROR(__xludf.DUMMYFUNCTION("""COMPUTED_VALUE"""),712.0)</f>
        <v>712</v>
      </c>
      <c r="B714" s="13">
        <f>IFERROR(__xludf.DUMMYFUNCTION("""COMPUTED_VALUE"""),1110.0)</f>
        <v>1110</v>
      </c>
      <c r="C714" s="13">
        <f>IFERROR(__xludf.DUMMYFUNCTION("""COMPUTED_VALUE"""),48.0)</f>
        <v>48</v>
      </c>
      <c r="D714" s="12" t="str">
        <f>IFERROR(__xludf.DUMMYFUNCTION("""COMPUTED_VALUE"""),"Very hip")</f>
        <v>Very hip</v>
      </c>
      <c r="E714" s="12" t="str">
        <f>IFERROR(__xludf.DUMMYFUNCTION("""COMPUTED_VALUE"""),"I normally wear a size 2 so i ordered a small and an small petite, i will be keeping the small because the small petite looks like a shirt on me, my height is 5'4"". it runs very big underneath the arms as well. the design is so unique i will be keeping i"&amp;"t.")</f>
        <v>I normally wear a size 2 so i ordered a small and an small petite, i will be keeping the small because the small petite looks like a shirt on me, my height is 5'4". it runs very big underneath the arms as well. the design is so unique i will be keeping it.</v>
      </c>
      <c r="F714" s="13">
        <f>IFERROR(__xludf.DUMMYFUNCTION("""COMPUTED_VALUE"""),4.0)</f>
        <v>4</v>
      </c>
      <c r="G714" s="13">
        <f>IFERROR(__xludf.DUMMYFUNCTION("""COMPUTED_VALUE"""),1.0)</f>
        <v>1</v>
      </c>
      <c r="H714" s="13">
        <f>IFERROR(__xludf.DUMMYFUNCTION("""COMPUTED_VALUE"""),2.0)</f>
        <v>2</v>
      </c>
      <c r="I714" s="13" t="str">
        <f>IFERROR(__xludf.DUMMYFUNCTION("""COMPUTED_VALUE"""),"General")</f>
        <v>General</v>
      </c>
      <c r="J714" s="13" t="str">
        <f>IFERROR(__xludf.DUMMYFUNCTION("""COMPUTED_VALUE"""),"Dresses")</f>
        <v>Dresses</v>
      </c>
      <c r="K714" s="13" t="str">
        <f>IFERROR(__xludf.DUMMYFUNCTION("""COMPUTED_VALUE"""),"Dresses")</f>
        <v>Dresses</v>
      </c>
      <c r="L714" s="13"/>
    </row>
    <row r="715">
      <c r="A715" s="13">
        <f>IFERROR(__xludf.DUMMYFUNCTION("""COMPUTED_VALUE"""),713.0)</f>
        <v>713</v>
      </c>
      <c r="B715" s="13">
        <f>IFERROR(__xludf.DUMMYFUNCTION("""COMPUTED_VALUE"""),1110.0)</f>
        <v>1110</v>
      </c>
      <c r="C715" s="13">
        <f>IFERROR(__xludf.DUMMYFUNCTION("""COMPUTED_VALUE"""),35.0)</f>
        <v>35</v>
      </c>
      <c r="D715" s="12" t="str">
        <f>IFERROR(__xludf.DUMMYFUNCTION("""COMPUTED_VALUE"""),"Still cute despite...")</f>
        <v>Still cute despite...</v>
      </c>
      <c r="E715" s="12" t="str">
        <f>IFERROR(__xludf.DUMMYFUNCTION("""COMPUTED_VALUE"""),"This dress is still super cute despite its shortcomings. i agree with other reviewers that it definitely runs large, and very small petite/thinner ladies might feel it's overwhelming. it worked for me in my usual size l though. for reference i'm 5'3 and t"&amp;"his hit just above the knee. and while the dress is ""roomy,"" a smaller size would likely have been tighter or pulled on my fuller (36d) chest as there's not much give in that area. i agree that the armpit holes are ridiculous, but a thin camisol")</f>
        <v>This dress is still super cute despite its shortcomings. i agree with other reviewers that it definitely runs large, and very small petite/thinner ladies might feel it's overwhelming. it worked for me in my usual size l though. for reference i'm 5'3 and this hit just above the knee. and while the dress is "roomy," a smaller size would likely have been tighter or pulled on my fuller (36d) chest as there's not much give in that area. i agree that the armpit holes are ridiculous, but a thin camisol</v>
      </c>
      <c r="F715" s="13">
        <f>IFERROR(__xludf.DUMMYFUNCTION("""COMPUTED_VALUE"""),4.0)</f>
        <v>4</v>
      </c>
      <c r="G715" s="13">
        <f>IFERROR(__xludf.DUMMYFUNCTION("""COMPUTED_VALUE"""),1.0)</f>
        <v>1</v>
      </c>
      <c r="H715" s="13">
        <f>IFERROR(__xludf.DUMMYFUNCTION("""COMPUTED_VALUE"""),0.0)</f>
        <v>0</v>
      </c>
      <c r="I715" s="13" t="str">
        <f>IFERROR(__xludf.DUMMYFUNCTION("""COMPUTED_VALUE"""),"General")</f>
        <v>General</v>
      </c>
      <c r="J715" s="13" t="str">
        <f>IFERROR(__xludf.DUMMYFUNCTION("""COMPUTED_VALUE"""),"Dresses")</f>
        <v>Dresses</v>
      </c>
      <c r="K715" s="13" t="str">
        <f>IFERROR(__xludf.DUMMYFUNCTION("""COMPUTED_VALUE"""),"Dresses")</f>
        <v>Dresses</v>
      </c>
      <c r="L715" s="13"/>
    </row>
    <row r="716">
      <c r="A716" s="13">
        <f>IFERROR(__xludf.DUMMYFUNCTION("""COMPUTED_VALUE"""),714.0)</f>
        <v>714</v>
      </c>
      <c r="B716" s="13">
        <f>IFERROR(__xludf.DUMMYFUNCTION("""COMPUTED_VALUE"""),886.0)</f>
        <v>886</v>
      </c>
      <c r="C716" s="13">
        <f>IFERROR(__xludf.DUMMYFUNCTION("""COMPUTED_VALUE"""),50.0)</f>
        <v>50</v>
      </c>
      <c r="D716" s="12"/>
      <c r="E716" s="12" t="str">
        <f>IFERROR(__xludf.DUMMYFUNCTION("""COMPUTED_VALUE"""),"So comfy and stylish. love the color, i purchased the indigo/blue. nice fit, relaxed fit....not fitted. might have to get another color. it's fun to have a tee with a different design detail (neckline). i'm 5'7 145-150 lbs and ordered the medium. a smaill"&amp;" probably would have worked too, since my shoulders are a bit narrow. but mediumd is fine:)")</f>
        <v>So comfy and stylish. love the color, i purchased the indigo/blue. nice fit, relaxed fit....not fitted. might have to get another color. it's fun to have a tee with a different design detail (neckline). i'm 5'7 145-150 lbs and ordered the medium. a smaill probably would have worked too, since my shoulders are a bit narrow. but mediumd is fine:)</v>
      </c>
      <c r="F716" s="13">
        <f>IFERROR(__xludf.DUMMYFUNCTION("""COMPUTED_VALUE"""),5.0)</f>
        <v>5</v>
      </c>
      <c r="G716" s="13">
        <f>IFERROR(__xludf.DUMMYFUNCTION("""COMPUTED_VALUE"""),1.0)</f>
        <v>1</v>
      </c>
      <c r="H716" s="13">
        <f>IFERROR(__xludf.DUMMYFUNCTION("""COMPUTED_VALUE"""),0.0)</f>
        <v>0</v>
      </c>
      <c r="I716" s="13" t="str">
        <f>IFERROR(__xludf.DUMMYFUNCTION("""COMPUTED_VALUE"""),"General Petite")</f>
        <v>General Petite</v>
      </c>
      <c r="J716" s="13" t="str">
        <f>IFERROR(__xludf.DUMMYFUNCTION("""COMPUTED_VALUE"""),"Tops")</f>
        <v>Tops</v>
      </c>
      <c r="K716" s="13" t="str">
        <f>IFERROR(__xludf.DUMMYFUNCTION("""COMPUTED_VALUE"""),"Knits")</f>
        <v>Knits</v>
      </c>
      <c r="L716" s="13"/>
    </row>
    <row r="717">
      <c r="A717" s="13">
        <f>IFERROR(__xludf.DUMMYFUNCTION("""COMPUTED_VALUE"""),715.0)</f>
        <v>715</v>
      </c>
      <c r="B717" s="13">
        <f>IFERROR(__xludf.DUMMYFUNCTION("""COMPUTED_VALUE"""),937.0)</f>
        <v>937</v>
      </c>
      <c r="C717" s="13">
        <f>IFERROR(__xludf.DUMMYFUNCTION("""COMPUTED_VALUE"""),38.0)</f>
        <v>38</v>
      </c>
      <c r="D717" s="12" t="str">
        <f>IFERROR(__xludf.DUMMYFUNCTION("""COMPUTED_VALUE"""),"Love")</f>
        <v>Love</v>
      </c>
      <c r="E717" s="12" t="str">
        <f>IFERROR(__xludf.DUMMYFUNCTION("""COMPUTED_VALUE"""),"I love this sweater! it is true to size and not itchy at all. i am 5'5"" and i bought the small. other reviews said it wasn't as long as it looks pictures but it is the same length on me as it shows on the model. you can wear this with so many things! i c"&amp;"an't wait for fall so i can wear it.")</f>
        <v>I love this sweater! it is true to size and not itchy at all. i am 5'5" and i bought the small. other reviews said it wasn't as long as it looks pictures but it is the same length on me as it shows on the model. you can wear this with so many things! i can't wait for fall so i can wear it.</v>
      </c>
      <c r="F717" s="13">
        <f>IFERROR(__xludf.DUMMYFUNCTION("""COMPUTED_VALUE"""),5.0)</f>
        <v>5</v>
      </c>
      <c r="G717" s="13">
        <f>IFERROR(__xludf.DUMMYFUNCTION("""COMPUTED_VALUE"""),1.0)</f>
        <v>1</v>
      </c>
      <c r="H717" s="13">
        <f>IFERROR(__xludf.DUMMYFUNCTION("""COMPUTED_VALUE"""),1.0)</f>
        <v>1</v>
      </c>
      <c r="I717" s="13" t="str">
        <f>IFERROR(__xludf.DUMMYFUNCTION("""COMPUTED_VALUE"""),"General")</f>
        <v>General</v>
      </c>
      <c r="J717" s="13" t="str">
        <f>IFERROR(__xludf.DUMMYFUNCTION("""COMPUTED_VALUE"""),"Tops")</f>
        <v>Tops</v>
      </c>
      <c r="K717" s="13" t="str">
        <f>IFERROR(__xludf.DUMMYFUNCTION("""COMPUTED_VALUE"""),"Sweaters")</f>
        <v>Sweaters</v>
      </c>
      <c r="L717" s="13"/>
    </row>
    <row r="718">
      <c r="A718" s="13">
        <f>IFERROR(__xludf.DUMMYFUNCTION("""COMPUTED_VALUE"""),716.0)</f>
        <v>716</v>
      </c>
      <c r="B718" s="13">
        <f>IFERROR(__xludf.DUMMYFUNCTION("""COMPUTED_VALUE"""),886.0)</f>
        <v>886</v>
      </c>
      <c r="C718" s="13">
        <f>IFERROR(__xludf.DUMMYFUNCTION("""COMPUTED_VALUE"""),42.0)</f>
        <v>42</v>
      </c>
      <c r="D718" s="12" t="str">
        <f>IFERROR(__xludf.DUMMYFUNCTION("""COMPUTED_VALUE"""),"Great color!")</f>
        <v>Great color!</v>
      </c>
      <c r="E718" s="12" t="str">
        <f>IFERROR(__xludf.DUMMYFUNCTION("""COMPUTED_VALUE"""),"The coral is stunning. the shirt has a slight flare at the bottom that you can't see in the picture, it isn't a straight cut. the sewn edges are rough style making the shirt right for casual wear with jeans, or dressing down something fancier.")</f>
        <v>The coral is stunning. the shirt has a slight flare at the bottom that you can't see in the picture, it isn't a straight cut. the sewn edges are rough style making the shirt right for casual wear with jeans, or dressing down something fancier.</v>
      </c>
      <c r="F718" s="13">
        <f>IFERROR(__xludf.DUMMYFUNCTION("""COMPUTED_VALUE"""),5.0)</f>
        <v>5</v>
      </c>
      <c r="G718" s="13">
        <f>IFERROR(__xludf.DUMMYFUNCTION("""COMPUTED_VALUE"""),1.0)</f>
        <v>1</v>
      </c>
      <c r="H718" s="13">
        <f>IFERROR(__xludf.DUMMYFUNCTION("""COMPUTED_VALUE"""),0.0)</f>
        <v>0</v>
      </c>
      <c r="I718" s="13" t="str">
        <f>IFERROR(__xludf.DUMMYFUNCTION("""COMPUTED_VALUE"""),"General Petite")</f>
        <v>General Petite</v>
      </c>
      <c r="J718" s="13" t="str">
        <f>IFERROR(__xludf.DUMMYFUNCTION("""COMPUTED_VALUE"""),"Tops")</f>
        <v>Tops</v>
      </c>
      <c r="K718" s="13" t="str">
        <f>IFERROR(__xludf.DUMMYFUNCTION("""COMPUTED_VALUE"""),"Knits")</f>
        <v>Knits</v>
      </c>
      <c r="L718" s="13"/>
    </row>
    <row r="719">
      <c r="A719" s="13">
        <f>IFERROR(__xludf.DUMMYFUNCTION("""COMPUTED_VALUE"""),717.0)</f>
        <v>717</v>
      </c>
      <c r="B719" s="13">
        <f>IFERROR(__xludf.DUMMYFUNCTION("""COMPUTED_VALUE"""),937.0)</f>
        <v>937</v>
      </c>
      <c r="C719" s="13">
        <f>IFERROR(__xludf.DUMMYFUNCTION("""COMPUTED_VALUE"""),45.0)</f>
        <v>45</v>
      </c>
      <c r="D719" s="12" t="str">
        <f>IFERROR(__xludf.DUMMYFUNCTION("""COMPUTED_VALUE"""),"Nice surprise")</f>
        <v>Nice surprise</v>
      </c>
      <c r="E719" s="12" t="str">
        <f>IFERROR(__xludf.DUMMYFUNCTION("""COMPUTED_VALUE"""),"I received this sweater in last week, when i opened the package i thought for sure that this sweater was going to be itchy , it is not , the styling is great and very flattering for the price this is a great value.")</f>
        <v>I received this sweater in last week, when i opened the package i thought for sure that this sweater was going to be itchy , it is not , the styling is great and very flattering for the price this is a great value.</v>
      </c>
      <c r="F719" s="13">
        <f>IFERROR(__xludf.DUMMYFUNCTION("""COMPUTED_VALUE"""),5.0)</f>
        <v>5</v>
      </c>
      <c r="G719" s="13">
        <f>IFERROR(__xludf.DUMMYFUNCTION("""COMPUTED_VALUE"""),1.0)</f>
        <v>1</v>
      </c>
      <c r="H719" s="13">
        <f>IFERROR(__xludf.DUMMYFUNCTION("""COMPUTED_VALUE"""),8.0)</f>
        <v>8</v>
      </c>
      <c r="I719" s="13" t="str">
        <f>IFERROR(__xludf.DUMMYFUNCTION("""COMPUTED_VALUE"""),"General")</f>
        <v>General</v>
      </c>
      <c r="J719" s="13" t="str">
        <f>IFERROR(__xludf.DUMMYFUNCTION("""COMPUTED_VALUE"""),"Tops")</f>
        <v>Tops</v>
      </c>
      <c r="K719" s="13" t="str">
        <f>IFERROR(__xludf.DUMMYFUNCTION("""COMPUTED_VALUE"""),"Sweaters")</f>
        <v>Sweaters</v>
      </c>
      <c r="L719" s="13"/>
    </row>
    <row r="720">
      <c r="A720" s="13">
        <f>IFERROR(__xludf.DUMMYFUNCTION("""COMPUTED_VALUE"""),718.0)</f>
        <v>718</v>
      </c>
      <c r="B720" s="13">
        <f>IFERROR(__xludf.DUMMYFUNCTION("""COMPUTED_VALUE"""),937.0)</f>
        <v>937</v>
      </c>
      <c r="C720" s="13">
        <f>IFERROR(__xludf.DUMMYFUNCTION("""COMPUTED_VALUE"""),38.0)</f>
        <v>38</v>
      </c>
      <c r="D720" s="12" t="str">
        <f>IFERROR(__xludf.DUMMYFUNCTION("""COMPUTED_VALUE"""),"More colorways please =d")</f>
        <v>More colorways please =d</v>
      </c>
      <c r="E720" s="12" t="str">
        <f>IFERROR(__xludf.DUMMYFUNCTION("""COMPUTED_VALUE"""),"I'm a 110 lb, shorty with a short torso and long arms so the standard xs was huge. i had the opportunity to try on both the xxs petite and xs petite. the xxs petite was almost perfect but i wanted it more flowy - probably best for those that are even shor"&amp;"ter and more lightweight than me, othewise, it looks a little too boxy. the petite xs fit me the best and draped nicely, similar to the model in the pink. i had a sweater with this exact silhouette 5+ years ago and wore it to death even though i")</f>
        <v>I'm a 110 lb, shorty with a short torso and long arms so the standard xs was huge. i had the opportunity to try on both the xxs petite and xs petite. the xxs petite was almost perfect but i wanted it more flowy - probably best for those that are even shorter and more lightweight than me, othewise, it looks a little too boxy. the petite xs fit me the best and draped nicely, similar to the model in the pink. i had a sweater with this exact silhouette 5+ years ago and wore it to death even though i</v>
      </c>
      <c r="F720" s="13">
        <f>IFERROR(__xludf.DUMMYFUNCTION("""COMPUTED_VALUE"""),5.0)</f>
        <v>5</v>
      </c>
      <c r="G720" s="13">
        <f>IFERROR(__xludf.DUMMYFUNCTION("""COMPUTED_VALUE"""),1.0)</f>
        <v>1</v>
      </c>
      <c r="H720" s="13">
        <f>IFERROR(__xludf.DUMMYFUNCTION("""COMPUTED_VALUE"""),0.0)</f>
        <v>0</v>
      </c>
      <c r="I720" s="13" t="str">
        <f>IFERROR(__xludf.DUMMYFUNCTION("""COMPUTED_VALUE"""),"General")</f>
        <v>General</v>
      </c>
      <c r="J720" s="13" t="str">
        <f>IFERROR(__xludf.DUMMYFUNCTION("""COMPUTED_VALUE"""),"Tops")</f>
        <v>Tops</v>
      </c>
      <c r="K720" s="13" t="str">
        <f>IFERROR(__xludf.DUMMYFUNCTION("""COMPUTED_VALUE"""),"Sweaters")</f>
        <v>Sweaters</v>
      </c>
      <c r="L720" s="13"/>
    </row>
    <row r="721">
      <c r="A721" s="13">
        <f>IFERROR(__xludf.DUMMYFUNCTION("""COMPUTED_VALUE"""),719.0)</f>
        <v>719</v>
      </c>
      <c r="B721" s="13">
        <f>IFERROR(__xludf.DUMMYFUNCTION("""COMPUTED_VALUE"""),873.0)</f>
        <v>873</v>
      </c>
      <c r="C721" s="13">
        <f>IFERROR(__xludf.DUMMYFUNCTION("""COMPUTED_VALUE"""),51.0)</f>
        <v>51</v>
      </c>
      <c r="D721" s="12" t="str">
        <f>IFERROR(__xludf.DUMMYFUNCTION("""COMPUTED_VALUE"""),"Love this top!!")</f>
        <v>Love this top!!</v>
      </c>
      <c r="E721" s="12" t="str">
        <f>IFERROR(__xludf.DUMMYFUNCTION("""COMPUTED_VALUE"""),"I bought it in the cream color and loved it so much that i bought it in black too. super cute with jeans! can dress it up too. the only slight negative, if i had to find one, is that i feel like i have to pull it forward, at the neckline every once in a w"&amp;"hile...it doesn't choke me but just feels like it's heavier in the back so pulls a bit. worth it though! :)")</f>
        <v>I bought it in the cream color and loved it so much that i bought it in black too. super cute with jeans! can dress it up too. the only slight negative, if i had to find one, is that i feel like i have to pull it forward, at the neckline every once in a while...it doesn't choke me but just feels like it's heavier in the back so pulls a bit. worth it though! :)</v>
      </c>
      <c r="F721" s="13">
        <f>IFERROR(__xludf.DUMMYFUNCTION("""COMPUTED_VALUE"""),5.0)</f>
        <v>5</v>
      </c>
      <c r="G721" s="13">
        <f>IFERROR(__xludf.DUMMYFUNCTION("""COMPUTED_VALUE"""),1.0)</f>
        <v>1</v>
      </c>
      <c r="H721" s="13">
        <f>IFERROR(__xludf.DUMMYFUNCTION("""COMPUTED_VALUE"""),1.0)</f>
        <v>1</v>
      </c>
      <c r="I721" s="13" t="str">
        <f>IFERROR(__xludf.DUMMYFUNCTION("""COMPUTED_VALUE"""),"General")</f>
        <v>General</v>
      </c>
      <c r="J721" s="13" t="str">
        <f>IFERROR(__xludf.DUMMYFUNCTION("""COMPUTED_VALUE"""),"Tops")</f>
        <v>Tops</v>
      </c>
      <c r="K721" s="13" t="str">
        <f>IFERROR(__xludf.DUMMYFUNCTION("""COMPUTED_VALUE"""),"Knits")</f>
        <v>Knits</v>
      </c>
      <c r="L721" s="13"/>
    </row>
    <row r="722">
      <c r="A722" s="13">
        <f>IFERROR(__xludf.DUMMYFUNCTION("""COMPUTED_VALUE"""),720.0)</f>
        <v>720</v>
      </c>
      <c r="B722" s="13">
        <f>IFERROR(__xludf.DUMMYFUNCTION("""COMPUTED_VALUE"""),937.0)</f>
        <v>937</v>
      </c>
      <c r="C722" s="13">
        <f>IFERROR(__xludf.DUMMYFUNCTION("""COMPUTED_VALUE"""),38.0)</f>
        <v>38</v>
      </c>
      <c r="D722" s="12" t="str">
        <f>IFERROR(__xludf.DUMMYFUNCTION("""COMPUTED_VALUE"""),"New favorite")</f>
        <v>New favorite</v>
      </c>
      <c r="E722" s="12" t="str">
        <f>IFERROR(__xludf.DUMMYFUNCTION("""COMPUTED_VALUE"""),"This sweater is like a giant hug. i wore it today and received so many compliments.")</f>
        <v>This sweater is like a giant hug. i wore it today and received so many compliments.</v>
      </c>
      <c r="F722" s="13">
        <f>IFERROR(__xludf.DUMMYFUNCTION("""COMPUTED_VALUE"""),5.0)</f>
        <v>5</v>
      </c>
      <c r="G722" s="13">
        <f>IFERROR(__xludf.DUMMYFUNCTION("""COMPUTED_VALUE"""),1.0)</f>
        <v>1</v>
      </c>
      <c r="H722" s="13">
        <f>IFERROR(__xludf.DUMMYFUNCTION("""COMPUTED_VALUE"""),0.0)</f>
        <v>0</v>
      </c>
      <c r="I722" s="13" t="str">
        <f>IFERROR(__xludf.DUMMYFUNCTION("""COMPUTED_VALUE"""),"General")</f>
        <v>General</v>
      </c>
      <c r="J722" s="13" t="str">
        <f>IFERROR(__xludf.DUMMYFUNCTION("""COMPUTED_VALUE"""),"Tops")</f>
        <v>Tops</v>
      </c>
      <c r="K722" s="13" t="str">
        <f>IFERROR(__xludf.DUMMYFUNCTION("""COMPUTED_VALUE"""),"Sweaters")</f>
        <v>Sweaters</v>
      </c>
      <c r="L722" s="13"/>
    </row>
    <row r="723">
      <c r="A723" s="13">
        <f>IFERROR(__xludf.DUMMYFUNCTION("""COMPUTED_VALUE"""),721.0)</f>
        <v>721</v>
      </c>
      <c r="B723" s="13">
        <f>IFERROR(__xludf.DUMMYFUNCTION("""COMPUTED_VALUE"""),886.0)</f>
        <v>886</v>
      </c>
      <c r="C723" s="13">
        <f>IFERROR(__xludf.DUMMYFUNCTION("""COMPUTED_VALUE"""),46.0)</f>
        <v>46</v>
      </c>
      <c r="D723" s="12" t="str">
        <f>IFERROR(__xludf.DUMMYFUNCTION("""COMPUTED_VALUE"""),"Everyday winter t updated")</f>
        <v>Everyday winter t updated</v>
      </c>
      <c r="E723" s="12" t="str">
        <f>IFERROR(__xludf.DUMMYFUNCTION("""COMPUTED_VALUE"""),"This is a perfect saturday t shirt for the colder days. great fit; not form fitting with no elastic or rayon, soft cotton with great details. im 5'8 140 ish and the medium fit great. i bought a washed denimy blue in the store but may be coming back for mo"&amp;"re colors now! the white was to sheer for my taste though")</f>
        <v>This is a perfect saturday t shirt for the colder days. great fit; not form fitting with no elastic or rayon, soft cotton with great details. im 5'8 140 ish and the medium fit great. i bought a washed denimy blue in the store but may be coming back for more colors now! the white was to sheer for my taste though</v>
      </c>
      <c r="F723" s="13">
        <f>IFERROR(__xludf.DUMMYFUNCTION("""COMPUTED_VALUE"""),5.0)</f>
        <v>5</v>
      </c>
      <c r="G723" s="13">
        <f>IFERROR(__xludf.DUMMYFUNCTION("""COMPUTED_VALUE"""),1.0)</f>
        <v>1</v>
      </c>
      <c r="H723" s="13">
        <f>IFERROR(__xludf.DUMMYFUNCTION("""COMPUTED_VALUE"""),2.0)</f>
        <v>2</v>
      </c>
      <c r="I723" s="13" t="str">
        <f>IFERROR(__xludf.DUMMYFUNCTION("""COMPUTED_VALUE"""),"General Petite")</f>
        <v>General Petite</v>
      </c>
      <c r="J723" s="13" t="str">
        <f>IFERROR(__xludf.DUMMYFUNCTION("""COMPUTED_VALUE"""),"Tops")</f>
        <v>Tops</v>
      </c>
      <c r="K723" s="13" t="str">
        <f>IFERROR(__xludf.DUMMYFUNCTION("""COMPUTED_VALUE"""),"Knits")</f>
        <v>Knits</v>
      </c>
      <c r="L723" s="13"/>
    </row>
    <row r="724">
      <c r="A724" s="13">
        <f>IFERROR(__xludf.DUMMYFUNCTION("""COMPUTED_VALUE"""),722.0)</f>
        <v>722</v>
      </c>
      <c r="B724" s="13">
        <f>IFERROR(__xludf.DUMMYFUNCTION("""COMPUTED_VALUE"""),873.0)</f>
        <v>873</v>
      </c>
      <c r="C724" s="13">
        <f>IFERROR(__xludf.DUMMYFUNCTION("""COMPUTED_VALUE"""),30.0)</f>
        <v>30</v>
      </c>
      <c r="D724" s="12" t="str">
        <f>IFERROR(__xludf.DUMMYFUNCTION("""COMPUTED_VALUE"""),"Darling and sophisticated")</f>
        <v>Darling and sophisticated</v>
      </c>
      <c r="E724" s="12" t="str">
        <f>IFERROR(__xludf.DUMMYFUNCTION("""COMPUTED_VALUE"""),"I can never resist a peter pan collar, so i bought this top in the ivory. it's so cute! i wore it for the first time today and received many compliments. it's very comfortable, fits well, and looks expensive. highly recommend it!")</f>
        <v>I can never resist a peter pan collar, so i bought this top in the ivory. it's so cute! i wore it for the first time today and received many compliments. it's very comfortable, fits well, and looks expensive. highly recommend it!</v>
      </c>
      <c r="F724" s="13">
        <f>IFERROR(__xludf.DUMMYFUNCTION("""COMPUTED_VALUE"""),5.0)</f>
        <v>5</v>
      </c>
      <c r="G724" s="13">
        <f>IFERROR(__xludf.DUMMYFUNCTION("""COMPUTED_VALUE"""),1.0)</f>
        <v>1</v>
      </c>
      <c r="H724" s="13">
        <f>IFERROR(__xludf.DUMMYFUNCTION("""COMPUTED_VALUE"""),0.0)</f>
        <v>0</v>
      </c>
      <c r="I724" s="13" t="str">
        <f>IFERROR(__xludf.DUMMYFUNCTION("""COMPUTED_VALUE"""),"General")</f>
        <v>General</v>
      </c>
      <c r="J724" s="13" t="str">
        <f>IFERROR(__xludf.DUMMYFUNCTION("""COMPUTED_VALUE"""),"Tops")</f>
        <v>Tops</v>
      </c>
      <c r="K724" s="13" t="str">
        <f>IFERROR(__xludf.DUMMYFUNCTION("""COMPUTED_VALUE"""),"Knits")</f>
        <v>Knits</v>
      </c>
      <c r="L724" s="13"/>
    </row>
    <row r="725">
      <c r="A725" s="13">
        <f>IFERROR(__xludf.DUMMYFUNCTION("""COMPUTED_VALUE"""),723.0)</f>
        <v>723</v>
      </c>
      <c r="B725" s="13">
        <f>IFERROR(__xludf.DUMMYFUNCTION("""COMPUTED_VALUE"""),886.0)</f>
        <v>886</v>
      </c>
      <c r="C725" s="13">
        <f>IFERROR(__xludf.DUMMYFUNCTION("""COMPUTED_VALUE"""),45.0)</f>
        <v>45</v>
      </c>
      <c r="D725" s="12" t="str">
        <f>IFERROR(__xludf.DUMMYFUNCTION("""COMPUTED_VALUE"""),"Adorable t-shirt")</f>
        <v>Adorable t-shirt</v>
      </c>
      <c r="E725" s="12" t="str">
        <f>IFERROR(__xludf.DUMMYFUNCTION("""COMPUTED_VALUE"""),"This is absolutely adorable and so flattering! i have the patterned shirt, and i just purchased the white one and the orange one because i like it so much. i am 5 ft. 9"" and 155 lbs. and the medium fits nicely. hope this helps!")</f>
        <v>This is absolutely adorable and so flattering! i have the patterned shirt, and i just purchased the white one and the orange one because i like it so much. i am 5 ft. 9" and 155 lbs. and the medium fits nicely. hope this helps!</v>
      </c>
      <c r="F725" s="13">
        <f>IFERROR(__xludf.DUMMYFUNCTION("""COMPUTED_VALUE"""),5.0)</f>
        <v>5</v>
      </c>
      <c r="G725" s="13">
        <f>IFERROR(__xludf.DUMMYFUNCTION("""COMPUTED_VALUE"""),1.0)</f>
        <v>1</v>
      </c>
      <c r="H725" s="13">
        <f>IFERROR(__xludf.DUMMYFUNCTION("""COMPUTED_VALUE"""),43.0)</f>
        <v>43</v>
      </c>
      <c r="I725" s="13" t="str">
        <f>IFERROR(__xludf.DUMMYFUNCTION("""COMPUTED_VALUE"""),"General Petite")</f>
        <v>General Petite</v>
      </c>
      <c r="J725" s="13" t="str">
        <f>IFERROR(__xludf.DUMMYFUNCTION("""COMPUTED_VALUE"""),"Tops")</f>
        <v>Tops</v>
      </c>
      <c r="K725" s="13" t="str">
        <f>IFERROR(__xludf.DUMMYFUNCTION("""COMPUTED_VALUE"""),"Knits")</f>
        <v>Knits</v>
      </c>
      <c r="L725" s="13"/>
    </row>
    <row r="726">
      <c r="A726" s="13">
        <f>IFERROR(__xludf.DUMMYFUNCTION("""COMPUTED_VALUE"""),724.0)</f>
        <v>724</v>
      </c>
      <c r="B726" s="13">
        <f>IFERROR(__xludf.DUMMYFUNCTION("""COMPUTED_VALUE"""),245.0)</f>
        <v>245</v>
      </c>
      <c r="C726" s="13">
        <f>IFERROR(__xludf.DUMMYFUNCTION("""COMPUTED_VALUE"""),31.0)</f>
        <v>31</v>
      </c>
      <c r="D726" s="12" t="str">
        <f>IFERROR(__xludf.DUMMYFUNCTION("""COMPUTED_VALUE"""),"Love")</f>
        <v>Love</v>
      </c>
      <c r="E726" s="12" t="str">
        <f>IFERROR(__xludf.DUMMYFUNCTION("""COMPUTED_VALUE"""),"I love this dress. i'm 5'8"" and it fits me exactly like the model in the picture. i have slim hips and waist, so that helps. i don't think this would be as flattering on someone curvy. i wish it came in another color i like, i would absolutely buy in ano"&amp;"ther color. i got a medium and it fits like a glove.")</f>
        <v>I love this dress. i'm 5'8" and it fits me exactly like the model in the picture. i have slim hips and waist, so that helps. i don't think this would be as flattering on someone curvy. i wish it came in another color i like, i would absolutely buy in another color. i got a medium and it fits like a glove.</v>
      </c>
      <c r="F726" s="13">
        <f>IFERROR(__xludf.DUMMYFUNCTION("""COMPUTED_VALUE"""),5.0)</f>
        <v>5</v>
      </c>
      <c r="G726" s="13">
        <f>IFERROR(__xludf.DUMMYFUNCTION("""COMPUTED_VALUE"""),1.0)</f>
        <v>1</v>
      </c>
      <c r="H726" s="13">
        <f>IFERROR(__xludf.DUMMYFUNCTION("""COMPUTED_VALUE"""),1.0)</f>
        <v>1</v>
      </c>
      <c r="I726" s="13" t="str">
        <f>IFERROR(__xludf.DUMMYFUNCTION("""COMPUTED_VALUE"""),"Initmates")</f>
        <v>Initmates</v>
      </c>
      <c r="J726" s="13" t="str">
        <f>IFERROR(__xludf.DUMMYFUNCTION("""COMPUTED_VALUE"""),"Intimate")</f>
        <v>Intimate</v>
      </c>
      <c r="K726" s="13" t="str">
        <f>IFERROR(__xludf.DUMMYFUNCTION("""COMPUTED_VALUE"""),"Layering")</f>
        <v>Layering</v>
      </c>
      <c r="L726" s="13"/>
    </row>
    <row r="727">
      <c r="A727" s="13">
        <f>IFERROR(__xludf.DUMMYFUNCTION("""COMPUTED_VALUE"""),725.0)</f>
        <v>725</v>
      </c>
      <c r="B727" s="13">
        <f>IFERROR(__xludf.DUMMYFUNCTION("""COMPUTED_VALUE"""),886.0)</f>
        <v>886</v>
      </c>
      <c r="C727" s="13">
        <f>IFERROR(__xludf.DUMMYFUNCTION("""COMPUTED_VALUE"""),36.0)</f>
        <v>36</v>
      </c>
      <c r="D727" s="12" t="str">
        <f>IFERROR(__xludf.DUMMYFUNCTION("""COMPUTED_VALUE"""),"Great tee")</f>
        <v>Great tee</v>
      </c>
      <c r="E727" s="12" t="str">
        <f>IFERROR(__xludf.DUMMYFUNCTION("""COMPUTED_VALUE"""),"I bought this a little ago in the denim color. it has become a favorite so much that i bought another in white.")</f>
        <v>I bought this a little ago in the denim color. it has become a favorite so much that i bought another in white.</v>
      </c>
      <c r="F727" s="13">
        <f>IFERROR(__xludf.DUMMYFUNCTION("""COMPUTED_VALUE"""),5.0)</f>
        <v>5</v>
      </c>
      <c r="G727" s="13">
        <f>IFERROR(__xludf.DUMMYFUNCTION("""COMPUTED_VALUE"""),1.0)</f>
        <v>1</v>
      </c>
      <c r="H727" s="13">
        <f>IFERROR(__xludf.DUMMYFUNCTION("""COMPUTED_VALUE"""),1.0)</f>
        <v>1</v>
      </c>
      <c r="I727" s="13" t="str">
        <f>IFERROR(__xludf.DUMMYFUNCTION("""COMPUTED_VALUE"""),"General Petite")</f>
        <v>General Petite</v>
      </c>
      <c r="J727" s="13" t="str">
        <f>IFERROR(__xludf.DUMMYFUNCTION("""COMPUTED_VALUE"""),"Tops")</f>
        <v>Tops</v>
      </c>
      <c r="K727" s="13" t="str">
        <f>IFERROR(__xludf.DUMMYFUNCTION("""COMPUTED_VALUE"""),"Knits")</f>
        <v>Knits</v>
      </c>
      <c r="L727" s="13"/>
    </row>
    <row r="728">
      <c r="A728" s="13">
        <f>IFERROR(__xludf.DUMMYFUNCTION("""COMPUTED_VALUE"""),726.0)</f>
        <v>726</v>
      </c>
      <c r="B728" s="13">
        <f>IFERROR(__xludf.DUMMYFUNCTION("""COMPUTED_VALUE"""),886.0)</f>
        <v>886</v>
      </c>
      <c r="C728" s="13">
        <f>IFERROR(__xludf.DUMMYFUNCTION("""COMPUTED_VALUE"""),49.0)</f>
        <v>49</v>
      </c>
      <c r="D728" s="12" t="str">
        <f>IFERROR(__xludf.DUMMYFUNCTION("""COMPUTED_VALUE"""),"Casual comfort with style")</f>
        <v>Casual comfort with style</v>
      </c>
      <c r="E728" s="12" t="str">
        <f>IFERROR(__xludf.DUMMYFUNCTION("""COMPUTED_VALUE"""),"This is a cool relaxed style with the benefit of an open neckline to add a bit of femininity. i tried on the faded blue and striped colors in the store. the faded blue goes well with the style, but the stripe is cute too. the sleeves are quite long and to"&amp;"o tight to roll up, so if you are petite like me you will definitely want to order the petite size- and probably even those you who are in between petites and regular sizes. the sleeves may also be too narrow for some people.")</f>
        <v>This is a cool relaxed style with the benefit of an open neckline to add a bit of femininity. i tried on the faded blue and striped colors in the store. the faded blue goes well with the style, but the stripe is cute too. the sleeves are quite long and too tight to roll up, so if you are petite like me you will definitely want to order the petite size- and probably even those you who are in between petites and regular sizes. the sleeves may also be too narrow for some people.</v>
      </c>
      <c r="F728" s="13">
        <f>IFERROR(__xludf.DUMMYFUNCTION("""COMPUTED_VALUE"""),4.0)</f>
        <v>4</v>
      </c>
      <c r="G728" s="13">
        <f>IFERROR(__xludf.DUMMYFUNCTION("""COMPUTED_VALUE"""),1.0)</f>
        <v>1</v>
      </c>
      <c r="H728" s="13">
        <f>IFERROR(__xludf.DUMMYFUNCTION("""COMPUTED_VALUE"""),0.0)</f>
        <v>0</v>
      </c>
      <c r="I728" s="13" t="str">
        <f>IFERROR(__xludf.DUMMYFUNCTION("""COMPUTED_VALUE"""),"General Petite")</f>
        <v>General Petite</v>
      </c>
      <c r="J728" s="13" t="str">
        <f>IFERROR(__xludf.DUMMYFUNCTION("""COMPUTED_VALUE"""),"Tops")</f>
        <v>Tops</v>
      </c>
      <c r="K728" s="13" t="str">
        <f>IFERROR(__xludf.DUMMYFUNCTION("""COMPUTED_VALUE"""),"Knits")</f>
        <v>Knits</v>
      </c>
      <c r="L728" s="13"/>
    </row>
    <row r="729">
      <c r="A729" s="13">
        <f>IFERROR(__xludf.DUMMYFUNCTION("""COMPUTED_VALUE"""),727.0)</f>
        <v>727</v>
      </c>
      <c r="B729" s="13">
        <f>IFERROR(__xludf.DUMMYFUNCTION("""COMPUTED_VALUE"""),1087.0)</f>
        <v>1087</v>
      </c>
      <c r="C729" s="13">
        <f>IFERROR(__xludf.DUMMYFUNCTION("""COMPUTED_VALUE"""),39.0)</f>
        <v>39</v>
      </c>
      <c r="D729" s="12" t="str">
        <f>IFERROR(__xludf.DUMMYFUNCTION("""COMPUTED_VALUE"""),"Pretty dress, lots of fabric")</f>
        <v>Pretty dress, lots of fabric</v>
      </c>
      <c r="E729" s="12" t="str">
        <f>IFERROR(__xludf.DUMMYFUNCTION("""COMPUTED_VALUE"""),"This is a very pretty dress and looks just as it's pictured.  however, there is a lot of fabric - the lower half is very full and runs very large.")</f>
        <v>This is a very pretty dress and looks just as it's pictured.  however, there is a lot of fabric - the lower half is very full and runs very large.</v>
      </c>
      <c r="F729" s="13">
        <f>IFERROR(__xludf.DUMMYFUNCTION("""COMPUTED_VALUE"""),4.0)</f>
        <v>4</v>
      </c>
      <c r="G729" s="13">
        <f>IFERROR(__xludf.DUMMYFUNCTION("""COMPUTED_VALUE"""),1.0)</f>
        <v>1</v>
      </c>
      <c r="H729" s="13">
        <f>IFERROR(__xludf.DUMMYFUNCTION("""COMPUTED_VALUE"""),0.0)</f>
        <v>0</v>
      </c>
      <c r="I729" s="13" t="str">
        <f>IFERROR(__xludf.DUMMYFUNCTION("""COMPUTED_VALUE"""),"General")</f>
        <v>General</v>
      </c>
      <c r="J729" s="13" t="str">
        <f>IFERROR(__xludf.DUMMYFUNCTION("""COMPUTED_VALUE"""),"Dresses")</f>
        <v>Dresses</v>
      </c>
      <c r="K729" s="13" t="str">
        <f>IFERROR(__xludf.DUMMYFUNCTION("""COMPUTED_VALUE"""),"Dresses")</f>
        <v>Dresses</v>
      </c>
      <c r="L729" s="13"/>
    </row>
    <row r="730">
      <c r="A730" s="13">
        <f>IFERROR(__xludf.DUMMYFUNCTION("""COMPUTED_VALUE"""),728.0)</f>
        <v>728</v>
      </c>
      <c r="B730" s="13">
        <f>IFERROR(__xludf.DUMMYFUNCTION("""COMPUTED_VALUE"""),937.0)</f>
        <v>937</v>
      </c>
      <c r="C730" s="13">
        <f>IFERROR(__xludf.DUMMYFUNCTION("""COMPUTED_VALUE"""),48.0)</f>
        <v>48</v>
      </c>
      <c r="D730" s="12"/>
      <c r="E730" s="12"/>
      <c r="F730" s="13">
        <f>IFERROR(__xludf.DUMMYFUNCTION("""COMPUTED_VALUE"""),5.0)</f>
        <v>5</v>
      </c>
      <c r="G730" s="13">
        <f>IFERROR(__xludf.DUMMYFUNCTION("""COMPUTED_VALUE"""),1.0)</f>
        <v>1</v>
      </c>
      <c r="H730" s="13">
        <f>IFERROR(__xludf.DUMMYFUNCTION("""COMPUTED_VALUE"""),0.0)</f>
        <v>0</v>
      </c>
      <c r="I730" s="13" t="str">
        <f>IFERROR(__xludf.DUMMYFUNCTION("""COMPUTED_VALUE"""),"General")</f>
        <v>General</v>
      </c>
      <c r="J730" s="13" t="str">
        <f>IFERROR(__xludf.DUMMYFUNCTION("""COMPUTED_VALUE"""),"Tops")</f>
        <v>Tops</v>
      </c>
      <c r="K730" s="13" t="str">
        <f>IFERROR(__xludf.DUMMYFUNCTION("""COMPUTED_VALUE"""),"Sweaters")</f>
        <v>Sweaters</v>
      </c>
      <c r="L730" s="13"/>
    </row>
    <row r="731">
      <c r="A731" s="13">
        <f>IFERROR(__xludf.DUMMYFUNCTION("""COMPUTED_VALUE"""),729.0)</f>
        <v>729</v>
      </c>
      <c r="B731" s="13">
        <f>IFERROR(__xludf.DUMMYFUNCTION("""COMPUTED_VALUE"""),1087.0)</f>
        <v>1087</v>
      </c>
      <c r="C731" s="13">
        <f>IFERROR(__xludf.DUMMYFUNCTION("""COMPUTED_VALUE"""),55.0)</f>
        <v>55</v>
      </c>
      <c r="D731" s="12" t="str">
        <f>IFERROR(__xludf.DUMMYFUNCTION("""COMPUTED_VALUE"""),"Surprisingly heavy")</f>
        <v>Surprisingly heavy</v>
      </c>
      <c r="E731" s="12" t="str">
        <f>IFERROR(__xludf.DUMMYFUNCTION("""COMPUTED_VALUE"""),"I wanted to love this dress. the colors are heavenly and it looks light and airy. it isn't, it is very heavy, much too heavy for florida heat. the top layer is a beautiful sand color and while the fabric is nice, the heaviness of the top really weighs the"&amp;" whole dress down. i felt like it added ten pounds to my appearance, easily. back it went, boo hoo. if you are between sizes, i would size down, runs a bit big.")</f>
        <v>I wanted to love this dress. the colors are heavenly and it looks light and airy. it isn't, it is very heavy, much too heavy for florida heat. the top layer is a beautiful sand color and while the fabric is nice, the heaviness of the top really weighs the whole dress down. i felt like it added ten pounds to my appearance, easily. back it went, boo hoo. if you are between sizes, i would size down, runs a bit big.</v>
      </c>
      <c r="F731" s="13">
        <f>IFERROR(__xludf.DUMMYFUNCTION("""COMPUTED_VALUE"""),3.0)</f>
        <v>3</v>
      </c>
      <c r="G731" s="13">
        <f>IFERROR(__xludf.DUMMYFUNCTION("""COMPUTED_VALUE"""),0.0)</f>
        <v>0</v>
      </c>
      <c r="H731" s="13">
        <f>IFERROR(__xludf.DUMMYFUNCTION("""COMPUTED_VALUE"""),2.0)</f>
        <v>2</v>
      </c>
      <c r="I731" s="13" t="str">
        <f>IFERROR(__xludf.DUMMYFUNCTION("""COMPUTED_VALUE"""),"General")</f>
        <v>General</v>
      </c>
      <c r="J731" s="13" t="str">
        <f>IFERROR(__xludf.DUMMYFUNCTION("""COMPUTED_VALUE"""),"Dresses")</f>
        <v>Dresses</v>
      </c>
      <c r="K731" s="13" t="str">
        <f>IFERROR(__xludf.DUMMYFUNCTION("""COMPUTED_VALUE"""),"Dresses")</f>
        <v>Dresses</v>
      </c>
      <c r="L731" s="13"/>
    </row>
    <row r="732">
      <c r="A732" s="13">
        <f>IFERROR(__xludf.DUMMYFUNCTION("""COMPUTED_VALUE"""),730.0)</f>
        <v>730</v>
      </c>
      <c r="B732" s="13">
        <f>IFERROR(__xludf.DUMMYFUNCTION("""COMPUTED_VALUE"""),1087.0)</f>
        <v>1087</v>
      </c>
      <c r="C732" s="13">
        <f>IFERROR(__xludf.DUMMYFUNCTION("""COMPUTED_VALUE"""),36.0)</f>
        <v>36</v>
      </c>
      <c r="D732" s="12" t="str">
        <f>IFERROR(__xludf.DUMMYFUNCTION("""COMPUTED_VALUE"""),"Casual and comforable. i love it")</f>
        <v>Casual and comforable. i love it</v>
      </c>
      <c r="E732" s="12" t="str">
        <f>IFERROR(__xludf.DUMMYFUNCTION("""COMPUTED_VALUE"""),"I was not impressed with this dress online but when i tried it on at the store i fell in love. it's a great summer / fall dress. i love the sweater top and linen bottom. so many compliments on it!")</f>
        <v>I was not impressed with this dress online but when i tried it on at the store i fell in love. it's a great summer / fall dress. i love the sweater top and linen bottom. so many compliments on it!</v>
      </c>
      <c r="F732" s="13">
        <f>IFERROR(__xludf.DUMMYFUNCTION("""COMPUTED_VALUE"""),5.0)</f>
        <v>5</v>
      </c>
      <c r="G732" s="13">
        <f>IFERROR(__xludf.DUMMYFUNCTION("""COMPUTED_VALUE"""),1.0)</f>
        <v>1</v>
      </c>
      <c r="H732" s="13">
        <f>IFERROR(__xludf.DUMMYFUNCTION("""COMPUTED_VALUE"""),0.0)</f>
        <v>0</v>
      </c>
      <c r="I732" s="13" t="str">
        <f>IFERROR(__xludf.DUMMYFUNCTION("""COMPUTED_VALUE"""),"General")</f>
        <v>General</v>
      </c>
      <c r="J732" s="13" t="str">
        <f>IFERROR(__xludf.DUMMYFUNCTION("""COMPUTED_VALUE"""),"Dresses")</f>
        <v>Dresses</v>
      </c>
      <c r="K732" s="13" t="str">
        <f>IFERROR(__xludf.DUMMYFUNCTION("""COMPUTED_VALUE"""),"Dresses")</f>
        <v>Dresses</v>
      </c>
      <c r="L732" s="13"/>
    </row>
    <row r="733">
      <c r="A733" s="13">
        <f>IFERROR(__xludf.DUMMYFUNCTION("""COMPUTED_VALUE"""),731.0)</f>
        <v>731</v>
      </c>
      <c r="B733" s="13">
        <f>IFERROR(__xludf.DUMMYFUNCTION("""COMPUTED_VALUE"""),886.0)</f>
        <v>886</v>
      </c>
      <c r="C733" s="13">
        <f>IFERROR(__xludf.DUMMYFUNCTION("""COMPUTED_VALUE"""),25.0)</f>
        <v>25</v>
      </c>
      <c r="D733" s="12" t="str">
        <f>IFERROR(__xludf.DUMMYFUNCTION("""COMPUTED_VALUE"""),"Great casual shirt")</f>
        <v>Great casual shirt</v>
      </c>
      <c r="E733" s="12" t="str">
        <f>IFERROR(__xludf.DUMMYFUNCTION("""COMPUTED_VALUE"""),"Absolutely in love with this shirt. the neckline is extremely flattering, and the shirt naturally comes away from the body.")</f>
        <v>Absolutely in love with this shirt. the neckline is extremely flattering, and the shirt naturally comes away from the body.</v>
      </c>
      <c r="F733" s="13">
        <f>IFERROR(__xludf.DUMMYFUNCTION("""COMPUTED_VALUE"""),4.0)</f>
        <v>4</v>
      </c>
      <c r="G733" s="13">
        <f>IFERROR(__xludf.DUMMYFUNCTION("""COMPUTED_VALUE"""),1.0)</f>
        <v>1</v>
      </c>
      <c r="H733" s="13">
        <f>IFERROR(__xludf.DUMMYFUNCTION("""COMPUTED_VALUE"""),0.0)</f>
        <v>0</v>
      </c>
      <c r="I733" s="13" t="str">
        <f>IFERROR(__xludf.DUMMYFUNCTION("""COMPUTED_VALUE"""),"General Petite")</f>
        <v>General Petite</v>
      </c>
      <c r="J733" s="13" t="str">
        <f>IFERROR(__xludf.DUMMYFUNCTION("""COMPUTED_VALUE"""),"Tops")</f>
        <v>Tops</v>
      </c>
      <c r="K733" s="13" t="str">
        <f>IFERROR(__xludf.DUMMYFUNCTION("""COMPUTED_VALUE"""),"Knits")</f>
        <v>Knits</v>
      </c>
      <c r="L733" s="13"/>
    </row>
    <row r="734">
      <c r="A734" s="13">
        <f>IFERROR(__xludf.DUMMYFUNCTION("""COMPUTED_VALUE"""),732.0)</f>
        <v>732</v>
      </c>
      <c r="B734" s="13">
        <f>IFERROR(__xludf.DUMMYFUNCTION("""COMPUTED_VALUE"""),1110.0)</f>
        <v>1110</v>
      </c>
      <c r="C734" s="13">
        <f>IFERROR(__xludf.DUMMYFUNCTION("""COMPUTED_VALUE"""),47.0)</f>
        <v>47</v>
      </c>
      <c r="D734" s="12"/>
      <c r="E734" s="12"/>
      <c r="F734" s="13">
        <f>IFERROR(__xludf.DUMMYFUNCTION("""COMPUTED_VALUE"""),5.0)</f>
        <v>5</v>
      </c>
      <c r="G734" s="13">
        <f>IFERROR(__xludf.DUMMYFUNCTION("""COMPUTED_VALUE"""),1.0)</f>
        <v>1</v>
      </c>
      <c r="H734" s="13">
        <f>IFERROR(__xludf.DUMMYFUNCTION("""COMPUTED_VALUE"""),0.0)</f>
        <v>0</v>
      </c>
      <c r="I734" s="13" t="str">
        <f>IFERROR(__xludf.DUMMYFUNCTION("""COMPUTED_VALUE"""),"General Petite")</f>
        <v>General Petite</v>
      </c>
      <c r="J734" s="13" t="str">
        <f>IFERROR(__xludf.DUMMYFUNCTION("""COMPUTED_VALUE"""),"Dresses")</f>
        <v>Dresses</v>
      </c>
      <c r="K734" s="13" t="str">
        <f>IFERROR(__xludf.DUMMYFUNCTION("""COMPUTED_VALUE"""),"Dresses")</f>
        <v>Dresses</v>
      </c>
      <c r="L734" s="13"/>
    </row>
    <row r="735">
      <c r="A735" s="13">
        <f>IFERROR(__xludf.DUMMYFUNCTION("""COMPUTED_VALUE"""),733.0)</f>
        <v>733</v>
      </c>
      <c r="B735" s="13">
        <f>IFERROR(__xludf.DUMMYFUNCTION("""COMPUTED_VALUE"""),886.0)</f>
        <v>886</v>
      </c>
      <c r="C735" s="13">
        <f>IFERROR(__xludf.DUMMYFUNCTION("""COMPUTED_VALUE"""),41.0)</f>
        <v>41</v>
      </c>
      <c r="D735" s="12" t="str">
        <f>IFERROR(__xludf.DUMMYFUNCTION("""COMPUTED_VALUE"""),"Love the neckline")</f>
        <v>Love the neckline</v>
      </c>
      <c r="E735" s="12" t="str">
        <f>IFERROR(__xludf.DUMMYFUNCTION("""COMPUTED_VALUE"""),"I needed a tee refresher, i had a good feeling about this one so ordered all three colors when they were on a promo, and i'm not disappointed. the neckline is different and works great to emphasize your favorite necklace. the tee holds shape after washing"&amp;" and drying. my favorite is the blue which i like to wear with dark wash jeans as styled on the model. the white has a cream tinge to it and i'm able to wear it with a nude bra without looking indecent. there is a cute little button detail at th")</f>
        <v>I needed a tee refresher, i had a good feeling about this one so ordered all three colors when they were on a promo, and i'm not disappointed. the neckline is different and works great to emphasize your favorite necklace. the tee holds shape after washing and drying. my favorite is the blue which i like to wear with dark wash jeans as styled on the model. the white has a cream tinge to it and i'm able to wear it with a nude bra without looking indecent. there is a cute little button detail at th</v>
      </c>
      <c r="F735" s="13">
        <f>IFERROR(__xludf.DUMMYFUNCTION("""COMPUTED_VALUE"""),5.0)</f>
        <v>5</v>
      </c>
      <c r="G735" s="13">
        <f>IFERROR(__xludf.DUMMYFUNCTION("""COMPUTED_VALUE"""),1.0)</f>
        <v>1</v>
      </c>
      <c r="H735" s="13">
        <f>IFERROR(__xludf.DUMMYFUNCTION("""COMPUTED_VALUE"""),5.0)</f>
        <v>5</v>
      </c>
      <c r="I735" s="13" t="str">
        <f>IFERROR(__xludf.DUMMYFUNCTION("""COMPUTED_VALUE"""),"General Petite")</f>
        <v>General Petite</v>
      </c>
      <c r="J735" s="13" t="str">
        <f>IFERROR(__xludf.DUMMYFUNCTION("""COMPUTED_VALUE"""),"Tops")</f>
        <v>Tops</v>
      </c>
      <c r="K735" s="13" t="str">
        <f>IFERROR(__xludf.DUMMYFUNCTION("""COMPUTED_VALUE"""),"Knits")</f>
        <v>Knits</v>
      </c>
      <c r="L735" s="13"/>
    </row>
    <row r="736">
      <c r="A736" s="13">
        <f>IFERROR(__xludf.DUMMYFUNCTION("""COMPUTED_VALUE"""),734.0)</f>
        <v>734</v>
      </c>
      <c r="B736" s="13">
        <f>IFERROR(__xludf.DUMMYFUNCTION("""COMPUTED_VALUE"""),1110.0)</f>
        <v>1110</v>
      </c>
      <c r="C736" s="13">
        <f>IFERROR(__xludf.DUMMYFUNCTION("""COMPUTED_VALUE"""),38.0)</f>
        <v>38</v>
      </c>
      <c r="D736" s="12" t="str">
        <f>IFERROR(__xludf.DUMMYFUNCTION("""COMPUTED_VALUE"""),"Amazingly cute but runs huge!")</f>
        <v>Amazingly cute but runs huge!</v>
      </c>
      <c r="E736" s="12" t="str">
        <f>IFERROR(__xludf.DUMMYFUNCTION("""COMPUTED_VALUE"""),"The fabric and detailing of this dress is of superior quality, but unfortunately it runs huge-- you definitely need to wear a tank or cami underneath. i am 5'9 145lbs with massive shoulders/smaller bust and i got the xs petite!")</f>
        <v>The fabric and detailing of this dress is of superior quality, but unfortunately it runs huge-- you definitely need to wear a tank or cami underneath. i am 5'9 145lbs with massive shoulders/smaller bust and i got the xs petite!</v>
      </c>
      <c r="F736" s="13">
        <f>IFERROR(__xludf.DUMMYFUNCTION("""COMPUTED_VALUE"""),4.0)</f>
        <v>4</v>
      </c>
      <c r="G736" s="13">
        <f>IFERROR(__xludf.DUMMYFUNCTION("""COMPUTED_VALUE"""),1.0)</f>
        <v>1</v>
      </c>
      <c r="H736" s="13">
        <f>IFERROR(__xludf.DUMMYFUNCTION("""COMPUTED_VALUE"""),0.0)</f>
        <v>0</v>
      </c>
      <c r="I736" s="13" t="str">
        <f>IFERROR(__xludf.DUMMYFUNCTION("""COMPUTED_VALUE"""),"General Petite")</f>
        <v>General Petite</v>
      </c>
      <c r="J736" s="13" t="str">
        <f>IFERROR(__xludf.DUMMYFUNCTION("""COMPUTED_VALUE"""),"Dresses")</f>
        <v>Dresses</v>
      </c>
      <c r="K736" s="13" t="str">
        <f>IFERROR(__xludf.DUMMYFUNCTION("""COMPUTED_VALUE"""),"Dresses")</f>
        <v>Dresses</v>
      </c>
      <c r="L736" s="13"/>
    </row>
    <row r="737">
      <c r="A737" s="13">
        <f>IFERROR(__xludf.DUMMYFUNCTION("""COMPUTED_VALUE"""),735.0)</f>
        <v>735</v>
      </c>
      <c r="B737" s="13">
        <f>IFERROR(__xludf.DUMMYFUNCTION("""COMPUTED_VALUE"""),1165.0)</f>
        <v>1165</v>
      </c>
      <c r="C737" s="13">
        <f>IFERROR(__xludf.DUMMYFUNCTION("""COMPUTED_VALUE"""),29.0)</f>
        <v>29</v>
      </c>
      <c r="D737" s="12" t="str">
        <f>IFERROR(__xludf.DUMMYFUNCTION("""COMPUTED_VALUE"""),"Ok suit")</f>
        <v>Ok suit</v>
      </c>
      <c r="E737" s="12" t="str">
        <f>IFERROR(__xludf.DUMMYFUNCTION("""COMPUTED_VALUE"""),"I think in general it is just hard to buy a bathing suit online, but i really underestimated the v-neck of this suit. i read the reviews and noted it was not recommended for girls with larger size breast. as i'm basically an a cup, i figured i would be fi"&amp;"ne. the top portion basically has no coverage or hold. even when tied very tight, the top still opened making me feel exposed and like my entire breast would fall out of the suit. needless to say my fiancã© was not a fan of the suit either. even")</f>
        <v>I think in general it is just hard to buy a bathing suit online, but i really underestimated the v-neck of this suit. i read the reviews and noted it was not recommended for girls with larger size breast. as i'm basically an a cup, i figured i would be fine. the top portion basically has no coverage or hold. even when tied very tight, the top still opened making me feel exposed and like my entire breast would fall out of the suit. needless to say my fiancã© was not a fan of the suit either. even</v>
      </c>
      <c r="F737" s="13">
        <f>IFERROR(__xludf.DUMMYFUNCTION("""COMPUTED_VALUE"""),3.0)</f>
        <v>3</v>
      </c>
      <c r="G737" s="13">
        <f>IFERROR(__xludf.DUMMYFUNCTION("""COMPUTED_VALUE"""),0.0)</f>
        <v>0</v>
      </c>
      <c r="H737" s="13">
        <f>IFERROR(__xludf.DUMMYFUNCTION("""COMPUTED_VALUE"""),11.0)</f>
        <v>11</v>
      </c>
      <c r="I737" s="13" t="str">
        <f>IFERROR(__xludf.DUMMYFUNCTION("""COMPUTED_VALUE"""),"Initmates")</f>
        <v>Initmates</v>
      </c>
      <c r="J737" s="13" t="str">
        <f>IFERROR(__xludf.DUMMYFUNCTION("""COMPUTED_VALUE"""),"Intimate")</f>
        <v>Intimate</v>
      </c>
      <c r="K737" s="13" t="str">
        <f>IFERROR(__xludf.DUMMYFUNCTION("""COMPUTED_VALUE"""),"Swim")</f>
        <v>Swim</v>
      </c>
      <c r="L737" s="13"/>
    </row>
    <row r="738">
      <c r="A738" s="13">
        <f>IFERROR(__xludf.DUMMYFUNCTION("""COMPUTED_VALUE"""),736.0)</f>
        <v>736</v>
      </c>
      <c r="B738" s="13">
        <f>IFERROR(__xludf.DUMMYFUNCTION("""COMPUTED_VALUE"""),937.0)</f>
        <v>937</v>
      </c>
      <c r="C738" s="13">
        <f>IFERROR(__xludf.DUMMYFUNCTION("""COMPUTED_VALUE"""),34.0)</f>
        <v>34</v>
      </c>
      <c r="D738" s="12" t="str">
        <f>IFERROR(__xludf.DUMMYFUNCTION("""COMPUTED_VALUE"""),"Perfect for cool summer evenings")</f>
        <v>Perfect for cool summer evenings</v>
      </c>
      <c r="E738" s="12" t="str">
        <f>IFERROR(__xludf.DUMMYFUNCTION("""COMPUTED_VALUE"""),"I found this sweater to fit me just as pictured. i am 5'8'', 128lbs and ordered a small. it hits length wise the same as pictured and is just as flowy with a lot of fabric. super cute with a grey top, white skinnys and brown leather sandals. love it!")</f>
        <v>I found this sweater to fit me just as pictured. i am 5'8'', 128lbs and ordered a small. it hits length wise the same as pictured and is just as flowy with a lot of fabric. super cute with a grey top, white skinnys and brown leather sandals. love it!</v>
      </c>
      <c r="F738" s="13">
        <f>IFERROR(__xludf.DUMMYFUNCTION("""COMPUTED_VALUE"""),5.0)</f>
        <v>5</v>
      </c>
      <c r="G738" s="13">
        <f>IFERROR(__xludf.DUMMYFUNCTION("""COMPUTED_VALUE"""),1.0)</f>
        <v>1</v>
      </c>
      <c r="H738" s="13">
        <f>IFERROR(__xludf.DUMMYFUNCTION("""COMPUTED_VALUE"""),4.0)</f>
        <v>4</v>
      </c>
      <c r="I738" s="13" t="str">
        <f>IFERROR(__xludf.DUMMYFUNCTION("""COMPUTED_VALUE"""),"General")</f>
        <v>General</v>
      </c>
      <c r="J738" s="13" t="str">
        <f>IFERROR(__xludf.DUMMYFUNCTION("""COMPUTED_VALUE"""),"Tops")</f>
        <v>Tops</v>
      </c>
      <c r="K738" s="13" t="str">
        <f>IFERROR(__xludf.DUMMYFUNCTION("""COMPUTED_VALUE"""),"Sweaters")</f>
        <v>Sweaters</v>
      </c>
      <c r="L738" s="13"/>
    </row>
    <row r="739">
      <c r="A739" s="13">
        <f>IFERROR(__xludf.DUMMYFUNCTION("""COMPUTED_VALUE"""),737.0)</f>
        <v>737</v>
      </c>
      <c r="B739" s="13">
        <f>IFERROR(__xludf.DUMMYFUNCTION("""COMPUTED_VALUE"""),886.0)</f>
        <v>886</v>
      </c>
      <c r="C739" s="13">
        <f>IFERROR(__xludf.DUMMYFUNCTION("""COMPUTED_VALUE"""),33.0)</f>
        <v>33</v>
      </c>
      <c r="D739" s="12"/>
      <c r="E739" s="12"/>
      <c r="F739" s="13">
        <f>IFERROR(__xludf.DUMMYFUNCTION("""COMPUTED_VALUE"""),5.0)</f>
        <v>5</v>
      </c>
      <c r="G739" s="13">
        <f>IFERROR(__xludf.DUMMYFUNCTION("""COMPUTED_VALUE"""),1.0)</f>
        <v>1</v>
      </c>
      <c r="H739" s="13">
        <f>IFERROR(__xludf.DUMMYFUNCTION("""COMPUTED_VALUE"""),0.0)</f>
        <v>0</v>
      </c>
      <c r="I739" s="13" t="str">
        <f>IFERROR(__xludf.DUMMYFUNCTION("""COMPUTED_VALUE"""),"General Petite")</f>
        <v>General Petite</v>
      </c>
      <c r="J739" s="13" t="str">
        <f>IFERROR(__xludf.DUMMYFUNCTION("""COMPUTED_VALUE"""),"Tops")</f>
        <v>Tops</v>
      </c>
      <c r="K739" s="13" t="str">
        <f>IFERROR(__xludf.DUMMYFUNCTION("""COMPUTED_VALUE"""),"Knits")</f>
        <v>Knits</v>
      </c>
      <c r="L739" s="13"/>
    </row>
    <row r="740">
      <c r="A740" s="13">
        <f>IFERROR(__xludf.DUMMYFUNCTION("""COMPUTED_VALUE"""),738.0)</f>
        <v>738</v>
      </c>
      <c r="B740" s="13">
        <f>IFERROR(__xludf.DUMMYFUNCTION("""COMPUTED_VALUE"""),1137.0)</f>
        <v>1137</v>
      </c>
      <c r="C740" s="13">
        <f>IFERROR(__xludf.DUMMYFUNCTION("""COMPUTED_VALUE"""),66.0)</f>
        <v>66</v>
      </c>
      <c r="D740" s="12" t="str">
        <f>IFERROR(__xludf.DUMMYFUNCTION("""COMPUTED_VALUE"""),"Too cropped")</f>
        <v>Too cropped</v>
      </c>
      <c r="E740" s="12" t="str">
        <f>IFERROR(__xludf.DUMMYFUNCTION("""COMPUTED_VALUE"""),"This runs small, i got the size 3 which fits like a medium, not a large. its a bit of an aline shaped knit in a beautiful saturated navy. i loved the elbow length sleeves. i have a large 34g bust and although this fit, it came to the top of my waist and i"&amp;"'m short-waisted. it's a great basic for someone less busty or who likes a shorter length.")</f>
        <v>This runs small, i got the size 3 which fits like a medium, not a large. its a bit of an aline shaped knit in a beautiful saturated navy. i loved the elbow length sleeves. i have a large 34g bust and although this fit, it came to the top of my waist and i'm short-waisted. it's a great basic for someone less busty or who likes a shorter length.</v>
      </c>
      <c r="F740" s="13">
        <f>IFERROR(__xludf.DUMMYFUNCTION("""COMPUTED_VALUE"""),3.0)</f>
        <v>3</v>
      </c>
      <c r="G740" s="13">
        <f>IFERROR(__xludf.DUMMYFUNCTION("""COMPUTED_VALUE"""),1.0)</f>
        <v>1</v>
      </c>
      <c r="H740" s="13">
        <f>IFERROR(__xludf.DUMMYFUNCTION("""COMPUTED_VALUE"""),0.0)</f>
        <v>0</v>
      </c>
      <c r="I740" s="13" t="str">
        <f>IFERROR(__xludf.DUMMYFUNCTION("""COMPUTED_VALUE"""),"General")</f>
        <v>General</v>
      </c>
      <c r="J740" s="13" t="str">
        <f>IFERROR(__xludf.DUMMYFUNCTION("""COMPUTED_VALUE"""),"Trend")</f>
        <v>Trend</v>
      </c>
      <c r="K740" s="13" t="str">
        <f>IFERROR(__xludf.DUMMYFUNCTION("""COMPUTED_VALUE"""),"Trend")</f>
        <v>Trend</v>
      </c>
      <c r="L740" s="13"/>
    </row>
    <row r="741">
      <c r="A741" s="13">
        <f>IFERROR(__xludf.DUMMYFUNCTION("""COMPUTED_VALUE"""),739.0)</f>
        <v>739</v>
      </c>
      <c r="B741" s="13">
        <f>IFERROR(__xludf.DUMMYFUNCTION("""COMPUTED_VALUE"""),1087.0)</f>
        <v>1087</v>
      </c>
      <c r="C741" s="13">
        <f>IFERROR(__xludf.DUMMYFUNCTION("""COMPUTED_VALUE"""),29.0)</f>
        <v>29</v>
      </c>
      <c r="D741" s="12" t="str">
        <f>IFERROR(__xludf.DUMMYFUNCTION("""COMPUTED_VALUE"""),"Gorgeous")</f>
        <v>Gorgeous</v>
      </c>
      <c r="E741" s="12" t="str">
        <f>IFERROR(__xludf.DUMMYFUNCTION("""COMPUTED_VALUE"""),"This dress is everything. i'm 5'4, athletic build, 36d and the medium fit me perfectly. the colors are really understated and beautiful and can easily be dressed up or down. i wish the elastic around the waist fell a little lower but that's one of those t"&amp;"hings only i notice and definitely didn't keep me from falling in love and buying it. can't wait to wear it on vacation next week!")</f>
        <v>This dress is everything. i'm 5'4, athletic build, 36d and the medium fit me perfectly. the colors are really understated and beautiful and can easily be dressed up or down. i wish the elastic around the waist fell a little lower but that's one of those things only i notice and definitely didn't keep me from falling in love and buying it. can't wait to wear it on vacation next week!</v>
      </c>
      <c r="F741" s="13">
        <f>IFERROR(__xludf.DUMMYFUNCTION("""COMPUTED_VALUE"""),5.0)</f>
        <v>5</v>
      </c>
      <c r="G741" s="13">
        <f>IFERROR(__xludf.DUMMYFUNCTION("""COMPUTED_VALUE"""),1.0)</f>
        <v>1</v>
      </c>
      <c r="H741" s="13">
        <f>IFERROR(__xludf.DUMMYFUNCTION("""COMPUTED_VALUE"""),15.0)</f>
        <v>15</v>
      </c>
      <c r="I741" s="13" t="str">
        <f>IFERROR(__xludf.DUMMYFUNCTION("""COMPUTED_VALUE"""),"General")</f>
        <v>General</v>
      </c>
      <c r="J741" s="13" t="str">
        <f>IFERROR(__xludf.DUMMYFUNCTION("""COMPUTED_VALUE"""),"Dresses")</f>
        <v>Dresses</v>
      </c>
      <c r="K741" s="13" t="str">
        <f>IFERROR(__xludf.DUMMYFUNCTION("""COMPUTED_VALUE"""),"Dresses")</f>
        <v>Dresses</v>
      </c>
      <c r="L741" s="13"/>
    </row>
    <row r="742">
      <c r="A742" s="13">
        <f>IFERROR(__xludf.DUMMYFUNCTION("""COMPUTED_VALUE"""),740.0)</f>
        <v>740</v>
      </c>
      <c r="B742" s="13">
        <f>IFERROR(__xludf.DUMMYFUNCTION("""COMPUTED_VALUE"""),937.0)</f>
        <v>937</v>
      </c>
      <c r="C742" s="13">
        <f>IFERROR(__xludf.DUMMYFUNCTION("""COMPUTED_VALUE"""),44.0)</f>
        <v>44</v>
      </c>
      <c r="D742" s="12"/>
      <c r="E742" s="12" t="str">
        <f>IFERROR(__xludf.DUMMYFUNCTION("""COMPUTED_VALUE"""),"I love this cardigan! i ordered the pink and it's a really pretty color. i wish it didn't run so big but xs will be cozy all winter.")</f>
        <v>I love this cardigan! i ordered the pink and it's a really pretty color. i wish it didn't run so big but xs will be cozy all winter.</v>
      </c>
      <c r="F742" s="13">
        <f>IFERROR(__xludf.DUMMYFUNCTION("""COMPUTED_VALUE"""),5.0)</f>
        <v>5</v>
      </c>
      <c r="G742" s="13">
        <f>IFERROR(__xludf.DUMMYFUNCTION("""COMPUTED_VALUE"""),1.0)</f>
        <v>1</v>
      </c>
      <c r="H742" s="13">
        <f>IFERROR(__xludf.DUMMYFUNCTION("""COMPUTED_VALUE"""),1.0)</f>
        <v>1</v>
      </c>
      <c r="I742" s="13" t="str">
        <f>IFERROR(__xludf.DUMMYFUNCTION("""COMPUTED_VALUE"""),"General")</f>
        <v>General</v>
      </c>
      <c r="J742" s="13" t="str">
        <f>IFERROR(__xludf.DUMMYFUNCTION("""COMPUTED_VALUE"""),"Tops")</f>
        <v>Tops</v>
      </c>
      <c r="K742" s="13" t="str">
        <f>IFERROR(__xludf.DUMMYFUNCTION("""COMPUTED_VALUE"""),"Sweaters")</f>
        <v>Sweaters</v>
      </c>
      <c r="L742" s="13"/>
    </row>
    <row r="743">
      <c r="A743" s="13">
        <f>IFERROR(__xludf.DUMMYFUNCTION("""COMPUTED_VALUE"""),741.0)</f>
        <v>741</v>
      </c>
      <c r="B743" s="13">
        <f>IFERROR(__xludf.DUMMYFUNCTION("""COMPUTED_VALUE"""),886.0)</f>
        <v>886</v>
      </c>
      <c r="C743" s="13">
        <f>IFERROR(__xludf.DUMMYFUNCTION("""COMPUTED_VALUE"""),47.0)</f>
        <v>47</v>
      </c>
      <c r="D743" s="12"/>
      <c r="E743" s="12" t="str">
        <f>IFERROR(__xludf.DUMMYFUNCTION("""COMPUTED_VALUE"""),"I purchased in store to avoid shipping costs. my local stores don't carry xxs, so they are mailing it to me. i usually wear an xs, but it was roomier than i cared for and made it look a bit sloppy on me. this tee is more distressed looking in person than "&amp;"online, as well. i wish it were more refined because the neckline is very feminine &amp; interesting; i would have liked the ability to dress it up more. also, the solid blue and coral are lighter in color than they appear on my monitor. the blue st")</f>
        <v>I purchased in store to avoid shipping costs. my local stores don't carry xxs, so they are mailing it to me. i usually wear an xs, but it was roomier than i cared for and made it look a bit sloppy on me. this tee is more distressed looking in person than online, as well. i wish it were more refined because the neckline is very feminine &amp; interesting; i would have liked the ability to dress it up more. also, the solid blue and coral are lighter in color than they appear on my monitor. the blue st</v>
      </c>
      <c r="F743" s="13">
        <f>IFERROR(__xludf.DUMMYFUNCTION("""COMPUTED_VALUE"""),4.0)</f>
        <v>4</v>
      </c>
      <c r="G743" s="13">
        <f>IFERROR(__xludf.DUMMYFUNCTION("""COMPUTED_VALUE"""),1.0)</f>
        <v>1</v>
      </c>
      <c r="H743" s="13">
        <f>IFERROR(__xludf.DUMMYFUNCTION("""COMPUTED_VALUE"""),7.0)</f>
        <v>7</v>
      </c>
      <c r="I743" s="13" t="str">
        <f>IFERROR(__xludf.DUMMYFUNCTION("""COMPUTED_VALUE"""),"General Petite")</f>
        <v>General Petite</v>
      </c>
      <c r="J743" s="13" t="str">
        <f>IFERROR(__xludf.DUMMYFUNCTION("""COMPUTED_VALUE"""),"Tops")</f>
        <v>Tops</v>
      </c>
      <c r="K743" s="13" t="str">
        <f>IFERROR(__xludf.DUMMYFUNCTION("""COMPUTED_VALUE"""),"Knits")</f>
        <v>Knits</v>
      </c>
      <c r="L743" s="13"/>
    </row>
    <row r="744">
      <c r="A744" s="13">
        <f>IFERROR(__xludf.DUMMYFUNCTION("""COMPUTED_VALUE"""),742.0)</f>
        <v>742</v>
      </c>
      <c r="B744" s="13">
        <f>IFERROR(__xludf.DUMMYFUNCTION("""COMPUTED_VALUE"""),886.0)</f>
        <v>886</v>
      </c>
      <c r="C744" s="13">
        <f>IFERROR(__xludf.DUMMYFUNCTION("""COMPUTED_VALUE"""),39.0)</f>
        <v>39</v>
      </c>
      <c r="D744" s="12" t="str">
        <f>IFERROR(__xludf.DUMMYFUNCTION("""COMPUTED_VALUE"""),"Cute tee with fun neckline")</f>
        <v>Cute tee with fun neckline</v>
      </c>
      <c r="E744" s="12" t="str">
        <f>IFERROR(__xludf.DUMMYFUNCTION("""COMPUTED_VALUE"""),"Very soft and comfy tee. like the interesting neckline. wish the petite neckline was slightly higher, but sleeves are right length and have great cuffs.")</f>
        <v>Very soft and comfy tee. like the interesting neckline. wish the petite neckline was slightly higher, but sleeves are right length and have great cuffs.</v>
      </c>
      <c r="F744" s="13">
        <f>IFERROR(__xludf.DUMMYFUNCTION("""COMPUTED_VALUE"""),4.0)</f>
        <v>4</v>
      </c>
      <c r="G744" s="13">
        <f>IFERROR(__xludf.DUMMYFUNCTION("""COMPUTED_VALUE"""),1.0)</f>
        <v>1</v>
      </c>
      <c r="H744" s="13">
        <f>IFERROR(__xludf.DUMMYFUNCTION("""COMPUTED_VALUE"""),0.0)</f>
        <v>0</v>
      </c>
      <c r="I744" s="13" t="str">
        <f>IFERROR(__xludf.DUMMYFUNCTION("""COMPUTED_VALUE"""),"General Petite")</f>
        <v>General Petite</v>
      </c>
      <c r="J744" s="13" t="str">
        <f>IFERROR(__xludf.DUMMYFUNCTION("""COMPUTED_VALUE"""),"Tops")</f>
        <v>Tops</v>
      </c>
      <c r="K744" s="13" t="str">
        <f>IFERROR(__xludf.DUMMYFUNCTION("""COMPUTED_VALUE"""),"Knits")</f>
        <v>Knits</v>
      </c>
      <c r="L744" s="13"/>
    </row>
    <row r="745">
      <c r="A745" s="13">
        <f>IFERROR(__xludf.DUMMYFUNCTION("""COMPUTED_VALUE"""),743.0)</f>
        <v>743</v>
      </c>
      <c r="B745" s="13">
        <f>IFERROR(__xludf.DUMMYFUNCTION("""COMPUTED_VALUE"""),1087.0)</f>
        <v>1087</v>
      </c>
      <c r="C745" s="13">
        <f>IFERROR(__xludf.DUMMYFUNCTION("""COMPUTED_VALUE"""),44.0)</f>
        <v>44</v>
      </c>
      <c r="D745" s="12" t="str">
        <f>IFERROR(__xludf.DUMMYFUNCTION("""COMPUTED_VALUE"""),"Beautiful and unique but didn't work for me")</f>
        <v>Beautiful and unique but didn't work for me</v>
      </c>
      <c r="E745" s="12" t="str">
        <f>IFERROR(__xludf.DUMMYFUNCTION("""COMPUTED_VALUE"""),"Ordered the xsp (5'4"" about 118-120#, athletic build)...this was huge all over. big in the armholes, too much fabric hanging in the skirt (cream fabric) front and back, not flattering at all from the sides and as long on me as it shows on the model. i lo"&amp;"ve the idea of this and for the right body type (of course) this will be beautiful. it also would not be a very versatile piece for me...the top sweater part is quite thick (lovely) and heavy. in oklahoma this would not work for very many weeks..")</f>
        <v>Ordered the xsp (5'4" about 118-120#, athletic build)...this was huge all over. big in the armholes, too much fabric hanging in the skirt (cream fabric) front and back, not flattering at all from the sides and as long on me as it shows on the model. i love the idea of this and for the right body type (of course) this will be beautiful. it also would not be a very versatile piece for me...the top sweater part is quite thick (lovely) and heavy. in oklahoma this would not work for very many weeks..</v>
      </c>
      <c r="F745" s="13">
        <f>IFERROR(__xludf.DUMMYFUNCTION("""COMPUTED_VALUE"""),4.0)</f>
        <v>4</v>
      </c>
      <c r="G745" s="13">
        <f>IFERROR(__xludf.DUMMYFUNCTION("""COMPUTED_VALUE"""),1.0)</f>
        <v>1</v>
      </c>
      <c r="H745" s="13">
        <f>IFERROR(__xludf.DUMMYFUNCTION("""COMPUTED_VALUE"""),1.0)</f>
        <v>1</v>
      </c>
      <c r="I745" s="13" t="str">
        <f>IFERROR(__xludf.DUMMYFUNCTION("""COMPUTED_VALUE"""),"General")</f>
        <v>General</v>
      </c>
      <c r="J745" s="13" t="str">
        <f>IFERROR(__xludf.DUMMYFUNCTION("""COMPUTED_VALUE"""),"Dresses")</f>
        <v>Dresses</v>
      </c>
      <c r="K745" s="13" t="str">
        <f>IFERROR(__xludf.DUMMYFUNCTION("""COMPUTED_VALUE"""),"Dresses")</f>
        <v>Dresses</v>
      </c>
      <c r="L745" s="13"/>
    </row>
    <row r="746">
      <c r="A746" s="13">
        <f>IFERROR(__xludf.DUMMYFUNCTION("""COMPUTED_VALUE"""),744.0)</f>
        <v>744</v>
      </c>
      <c r="B746" s="13">
        <f>IFERROR(__xludf.DUMMYFUNCTION("""COMPUTED_VALUE"""),937.0)</f>
        <v>937</v>
      </c>
      <c r="C746" s="13">
        <f>IFERROR(__xludf.DUMMYFUNCTION("""COMPUTED_VALUE"""),40.0)</f>
        <v>40</v>
      </c>
      <c r="D746" s="12" t="str">
        <f>IFERROR(__xludf.DUMMYFUNCTION("""COMPUTED_VALUE"""),"Frumpy")</f>
        <v>Frumpy</v>
      </c>
      <c r="E746" s="12" t="str">
        <f>IFERROR(__xludf.DUMMYFUNCTION("""COMPUTED_VALUE"""),"Love the color, but the fit is just odd and frumpy. the sleeves are shorter than the should be. when i lift my arms, the entire sweater gets lifted. going back.")</f>
        <v>Love the color, but the fit is just odd and frumpy. the sleeves are shorter than the should be. when i lift my arms, the entire sweater gets lifted. going back.</v>
      </c>
      <c r="F746" s="13">
        <f>IFERROR(__xludf.DUMMYFUNCTION("""COMPUTED_VALUE"""),3.0)</f>
        <v>3</v>
      </c>
      <c r="G746" s="13">
        <f>IFERROR(__xludf.DUMMYFUNCTION("""COMPUTED_VALUE"""),0.0)</f>
        <v>0</v>
      </c>
      <c r="H746" s="13">
        <f>IFERROR(__xludf.DUMMYFUNCTION("""COMPUTED_VALUE"""),2.0)</f>
        <v>2</v>
      </c>
      <c r="I746" s="13" t="str">
        <f>IFERROR(__xludf.DUMMYFUNCTION("""COMPUTED_VALUE"""),"General")</f>
        <v>General</v>
      </c>
      <c r="J746" s="13" t="str">
        <f>IFERROR(__xludf.DUMMYFUNCTION("""COMPUTED_VALUE"""),"Tops")</f>
        <v>Tops</v>
      </c>
      <c r="K746" s="13" t="str">
        <f>IFERROR(__xludf.DUMMYFUNCTION("""COMPUTED_VALUE"""),"Sweaters")</f>
        <v>Sweaters</v>
      </c>
      <c r="L746" s="13"/>
    </row>
    <row r="747">
      <c r="A747" s="13">
        <f>IFERROR(__xludf.DUMMYFUNCTION("""COMPUTED_VALUE"""),745.0)</f>
        <v>745</v>
      </c>
      <c r="B747" s="13">
        <f>IFERROR(__xludf.DUMMYFUNCTION("""COMPUTED_VALUE"""),937.0)</f>
        <v>937</v>
      </c>
      <c r="C747" s="13">
        <f>IFERROR(__xludf.DUMMYFUNCTION("""COMPUTED_VALUE"""),39.0)</f>
        <v>39</v>
      </c>
      <c r="D747" s="12" t="str">
        <f>IFERROR(__xludf.DUMMYFUNCTION("""COMPUTED_VALUE"""),"Stinky sweater!")</f>
        <v>Stinky sweater!</v>
      </c>
      <c r="E747" s="12" t="str">
        <f>IFERROR(__xludf.DUMMYFUNCTION("""COMPUTED_VALUE"""),"Yikes!  quite a smell off of this one- like wet/hot wool.  the color was beautiful, but the sweater is enormous!  strange fit under the arms as well.  this one went back the same day.")</f>
        <v>Yikes!  quite a smell off of this one- like wet/hot wool.  the color was beautiful, but the sweater is enormous!  strange fit under the arms as well.  this one went back the same day.</v>
      </c>
      <c r="F747" s="13">
        <f>IFERROR(__xludf.DUMMYFUNCTION("""COMPUTED_VALUE"""),1.0)</f>
        <v>1</v>
      </c>
      <c r="G747" s="13">
        <f>IFERROR(__xludf.DUMMYFUNCTION("""COMPUTED_VALUE"""),0.0)</f>
        <v>0</v>
      </c>
      <c r="H747" s="13">
        <f>IFERROR(__xludf.DUMMYFUNCTION("""COMPUTED_VALUE"""),0.0)</f>
        <v>0</v>
      </c>
      <c r="I747" s="13" t="str">
        <f>IFERROR(__xludf.DUMMYFUNCTION("""COMPUTED_VALUE"""),"General")</f>
        <v>General</v>
      </c>
      <c r="J747" s="13" t="str">
        <f>IFERROR(__xludf.DUMMYFUNCTION("""COMPUTED_VALUE"""),"Tops")</f>
        <v>Tops</v>
      </c>
      <c r="K747" s="13" t="str">
        <f>IFERROR(__xludf.DUMMYFUNCTION("""COMPUTED_VALUE"""),"Sweaters")</f>
        <v>Sweaters</v>
      </c>
      <c r="L747" s="13"/>
    </row>
    <row r="748">
      <c r="A748" s="13">
        <f>IFERROR(__xludf.DUMMYFUNCTION("""COMPUTED_VALUE"""),746.0)</f>
        <v>746</v>
      </c>
      <c r="B748" s="13">
        <f>IFERROR(__xludf.DUMMYFUNCTION("""COMPUTED_VALUE"""),886.0)</f>
        <v>886</v>
      </c>
      <c r="C748" s="13">
        <f>IFERROR(__xludf.DUMMYFUNCTION("""COMPUTED_VALUE"""),50.0)</f>
        <v>50</v>
      </c>
      <c r="D748" s="12" t="str">
        <f>IFERROR(__xludf.DUMMYFUNCTION("""COMPUTED_VALUE"""),"Nice spin on an everyday t-shirt")</f>
        <v>Nice spin on an everyday t-shirt</v>
      </c>
      <c r="E748" s="12" t="str">
        <f>IFERROR(__xludf.DUMMYFUNCTION("""COMPUTED_VALUE"""),"I love the way this t-shirt fits. the horseshoe opening in front is deep enough to add interest, but not too revealing. will look great with layered, dainty necklaces. the sleeves are nice and long - and i have long arms. the length of the shirt itself co"&amp;"uld be an inch or two longer, but overall the design is nice. not too tight, not too loose. i'm 5' 5"" and 125 lbs - 34c and the small fits me well. fabric is medium weight - could be a little thicker. the brick color is nice and works great with")</f>
        <v>I love the way this t-shirt fits. the horseshoe opening in front is deep enough to add interest, but not too revealing. will look great with layered, dainty necklaces. the sleeves are nice and long - and i have long arms. the length of the shirt itself could be an inch or two longer, but overall the design is nice. not too tight, not too loose. i'm 5' 5" and 125 lbs - 34c and the small fits me well. fabric is medium weight - could be a little thicker. the brick color is nice and works great with</v>
      </c>
      <c r="F748" s="13">
        <f>IFERROR(__xludf.DUMMYFUNCTION("""COMPUTED_VALUE"""),4.0)</f>
        <v>4</v>
      </c>
      <c r="G748" s="13">
        <f>IFERROR(__xludf.DUMMYFUNCTION("""COMPUTED_VALUE"""),1.0)</f>
        <v>1</v>
      </c>
      <c r="H748" s="13">
        <f>IFERROR(__xludf.DUMMYFUNCTION("""COMPUTED_VALUE"""),0.0)</f>
        <v>0</v>
      </c>
      <c r="I748" s="13" t="str">
        <f>IFERROR(__xludf.DUMMYFUNCTION("""COMPUTED_VALUE"""),"General Petite")</f>
        <v>General Petite</v>
      </c>
      <c r="J748" s="13" t="str">
        <f>IFERROR(__xludf.DUMMYFUNCTION("""COMPUTED_VALUE"""),"Tops")</f>
        <v>Tops</v>
      </c>
      <c r="K748" s="13" t="str">
        <f>IFERROR(__xludf.DUMMYFUNCTION("""COMPUTED_VALUE"""),"Knits")</f>
        <v>Knits</v>
      </c>
      <c r="L748" s="13"/>
    </row>
    <row r="749">
      <c r="A749" s="13">
        <f>IFERROR(__xludf.DUMMYFUNCTION("""COMPUTED_VALUE"""),747.0)</f>
        <v>747</v>
      </c>
      <c r="B749" s="13">
        <f>IFERROR(__xludf.DUMMYFUNCTION("""COMPUTED_VALUE"""),1137.0)</f>
        <v>1137</v>
      </c>
      <c r="C749" s="13">
        <f>IFERROR(__xludf.DUMMYFUNCTION("""COMPUTED_VALUE"""),52.0)</f>
        <v>52</v>
      </c>
      <c r="D749" s="12" t="str">
        <f>IFERROR(__xludf.DUMMYFUNCTION("""COMPUTED_VALUE"""),"Elegant retro sweater tee")</f>
        <v>Elegant retro sweater tee</v>
      </c>
      <c r="E749" s="12" t="str">
        <f>IFERROR(__xludf.DUMMYFUNCTION("""COMPUTED_VALUE"""),"This sweater tee is made from a fine but substantial knit which hangs beautifully and flows over imperfections in your figure. the cut is very 1950's through the sleeves and neckline. it's a little cropped and boxy, just so that it hides your belly and ac"&amp;"centuates your hips. it looks phenomenal with a crinolined a-line skirt.")</f>
        <v>This sweater tee is made from a fine but substantial knit which hangs beautifully and flows over imperfections in your figure. the cut is very 1950's through the sleeves and neckline. it's a little cropped and boxy, just so that it hides your belly and accentuates your hips. it looks phenomenal with a crinolined a-line skirt.</v>
      </c>
      <c r="F749" s="13">
        <f>IFERROR(__xludf.DUMMYFUNCTION("""COMPUTED_VALUE"""),5.0)</f>
        <v>5</v>
      </c>
      <c r="G749" s="13">
        <f>IFERROR(__xludf.DUMMYFUNCTION("""COMPUTED_VALUE"""),1.0)</f>
        <v>1</v>
      </c>
      <c r="H749" s="13">
        <f>IFERROR(__xludf.DUMMYFUNCTION("""COMPUTED_VALUE"""),1.0)</f>
        <v>1</v>
      </c>
      <c r="I749" s="13" t="str">
        <f>IFERROR(__xludf.DUMMYFUNCTION("""COMPUTED_VALUE"""),"General")</f>
        <v>General</v>
      </c>
      <c r="J749" s="13" t="str">
        <f>IFERROR(__xludf.DUMMYFUNCTION("""COMPUTED_VALUE"""),"Trend")</f>
        <v>Trend</v>
      </c>
      <c r="K749" s="13" t="str">
        <f>IFERROR(__xludf.DUMMYFUNCTION("""COMPUTED_VALUE"""),"Trend")</f>
        <v>Trend</v>
      </c>
      <c r="L749" s="13"/>
    </row>
    <row r="750">
      <c r="A750" s="13">
        <f>IFERROR(__xludf.DUMMYFUNCTION("""COMPUTED_VALUE"""),748.0)</f>
        <v>748</v>
      </c>
      <c r="B750" s="13">
        <f>IFERROR(__xludf.DUMMYFUNCTION("""COMPUTED_VALUE"""),886.0)</f>
        <v>886</v>
      </c>
      <c r="C750" s="13">
        <f>IFERROR(__xludf.DUMMYFUNCTION("""COMPUTED_VALUE"""),54.0)</f>
        <v>54</v>
      </c>
      <c r="D750" s="12" t="str">
        <f>IFERROR(__xludf.DUMMYFUNCTION("""COMPUTED_VALUE"""),"Beautiful blue, but....")</f>
        <v>Beautiful blue, but....</v>
      </c>
      <c r="E750" s="12" t="str">
        <f>IFERROR(__xludf.DUMMYFUNCTION("""COMPUTED_VALUE"""),"The blue is a very flattering color. the fit is not. it does not lay in the back like in the photo on the model. instead, there is a lot of fabric that falls in horizontal folds because it does not fall straight because the sides at the bottom are narrowe"&amp;"r than the mid section. i think i'm going to return it. the neckline is very nice and faltering. the sleeve at the wrist is kind of constricting, though, and long. it doesn't run big at the chest section, just the mid section, then tapers in at")</f>
        <v>The blue is a very flattering color. the fit is not. it does not lay in the back like in the photo on the model. instead, there is a lot of fabric that falls in horizontal folds because it does not fall straight because the sides at the bottom are narrower than the mid section. i think i'm going to return it. the neckline is very nice and faltering. the sleeve at the wrist is kind of constricting, though, and long. it doesn't run big at the chest section, just the mid section, then tapers in at</v>
      </c>
      <c r="F750" s="13">
        <f>IFERROR(__xludf.DUMMYFUNCTION("""COMPUTED_VALUE"""),3.0)</f>
        <v>3</v>
      </c>
      <c r="G750" s="13">
        <f>IFERROR(__xludf.DUMMYFUNCTION("""COMPUTED_VALUE"""),1.0)</f>
        <v>1</v>
      </c>
      <c r="H750" s="13">
        <f>IFERROR(__xludf.DUMMYFUNCTION("""COMPUTED_VALUE"""),1.0)</f>
        <v>1</v>
      </c>
      <c r="I750" s="13" t="str">
        <f>IFERROR(__xludf.DUMMYFUNCTION("""COMPUTED_VALUE"""),"General Petite")</f>
        <v>General Petite</v>
      </c>
      <c r="J750" s="13" t="str">
        <f>IFERROR(__xludf.DUMMYFUNCTION("""COMPUTED_VALUE"""),"Tops")</f>
        <v>Tops</v>
      </c>
      <c r="K750" s="13" t="str">
        <f>IFERROR(__xludf.DUMMYFUNCTION("""COMPUTED_VALUE"""),"Knits")</f>
        <v>Knits</v>
      </c>
      <c r="L750" s="13"/>
    </row>
    <row r="751">
      <c r="A751" s="13">
        <f>IFERROR(__xludf.DUMMYFUNCTION("""COMPUTED_VALUE"""),749.0)</f>
        <v>749</v>
      </c>
      <c r="B751" s="13">
        <f>IFERROR(__xludf.DUMMYFUNCTION("""COMPUTED_VALUE"""),886.0)</f>
        <v>886</v>
      </c>
      <c r="C751" s="13">
        <f>IFERROR(__xludf.DUMMYFUNCTION("""COMPUTED_VALUE"""),34.0)</f>
        <v>34</v>
      </c>
      <c r="D751" s="12" t="str">
        <f>IFERROR(__xludf.DUMMYFUNCTION("""COMPUTED_VALUE"""),"Just perfect!")</f>
        <v>Just perfect!</v>
      </c>
      <c r="E751" s="12" t="str">
        <f>IFERROR(__xludf.DUMMYFUNCTION("""COMPUTED_VALUE"""),"This top has a comfy cozy feel while still being flattering. i especially like the generous neckline--adds a uniqueness to it. great shirt for dressing down, but still feeling feminine. i bought two! my husband always compliments me when i wear it.")</f>
        <v>This top has a comfy cozy feel while still being flattering. i especially like the generous neckline--adds a uniqueness to it. great shirt for dressing down, but still feeling feminine. i bought two! my husband always compliments me when i wear it.</v>
      </c>
      <c r="F751" s="13">
        <f>IFERROR(__xludf.DUMMYFUNCTION("""COMPUTED_VALUE"""),5.0)</f>
        <v>5</v>
      </c>
      <c r="G751" s="13">
        <f>IFERROR(__xludf.DUMMYFUNCTION("""COMPUTED_VALUE"""),1.0)</f>
        <v>1</v>
      </c>
      <c r="H751" s="13">
        <f>IFERROR(__xludf.DUMMYFUNCTION("""COMPUTED_VALUE"""),5.0)</f>
        <v>5</v>
      </c>
      <c r="I751" s="13" t="str">
        <f>IFERROR(__xludf.DUMMYFUNCTION("""COMPUTED_VALUE"""),"General Petite")</f>
        <v>General Petite</v>
      </c>
      <c r="J751" s="13" t="str">
        <f>IFERROR(__xludf.DUMMYFUNCTION("""COMPUTED_VALUE"""),"Tops")</f>
        <v>Tops</v>
      </c>
      <c r="K751" s="13" t="str">
        <f>IFERROR(__xludf.DUMMYFUNCTION("""COMPUTED_VALUE"""),"Knits")</f>
        <v>Knits</v>
      </c>
      <c r="L751" s="13"/>
    </row>
    <row r="752">
      <c r="A752" s="13">
        <f>IFERROR(__xludf.DUMMYFUNCTION("""COMPUTED_VALUE"""),750.0)</f>
        <v>750</v>
      </c>
      <c r="B752" s="13">
        <f>IFERROR(__xludf.DUMMYFUNCTION("""COMPUTED_VALUE"""),937.0)</f>
        <v>937</v>
      </c>
      <c r="C752" s="13">
        <f>IFERROR(__xludf.DUMMYFUNCTION("""COMPUTED_VALUE"""),60.0)</f>
        <v>60</v>
      </c>
      <c r="D752" s="12" t="str">
        <f>IFERROR(__xludf.DUMMYFUNCTION("""COMPUTED_VALUE"""),"Comfortable, fashionable, throw on over anything")</f>
        <v>Comfortable, fashionable, throw on over anything</v>
      </c>
      <c r="E752" s="12" t="str">
        <f>IFERROR(__xludf.DUMMYFUNCTION("""COMPUTED_VALUE"""),"I love this sweater. it has quickly become a staple in my wardrobe. i live in minnesota, so a fashionable throw-on-and-go sweater is essential. this sweater fits the bill. i love how soft and warm it is, the cocoon styling adds a fashionable element while"&amp;" the acrylic/nylon/wool material keep it functional (warm and cozy). i love anything with pockets, which this has. i somewhat disagree with the other reviewers who say this runs small or short. i did not find that to be true for me, and i ordere")</f>
        <v>I love this sweater. it has quickly become a staple in my wardrobe. i live in minnesota, so a fashionable throw-on-and-go sweater is essential. this sweater fits the bill. i love how soft and warm it is, the cocoon styling adds a fashionable element while the acrylic/nylon/wool material keep it functional (warm and cozy). i love anything with pockets, which this has. i somewhat disagree with the other reviewers who say this runs small or short. i did not find that to be true for me, and i ordere</v>
      </c>
      <c r="F752" s="13">
        <f>IFERROR(__xludf.DUMMYFUNCTION("""COMPUTED_VALUE"""),5.0)</f>
        <v>5</v>
      </c>
      <c r="G752" s="13">
        <f>IFERROR(__xludf.DUMMYFUNCTION("""COMPUTED_VALUE"""),1.0)</f>
        <v>1</v>
      </c>
      <c r="H752" s="13">
        <f>IFERROR(__xludf.DUMMYFUNCTION("""COMPUTED_VALUE"""),14.0)</f>
        <v>14</v>
      </c>
      <c r="I752" s="13" t="str">
        <f>IFERROR(__xludf.DUMMYFUNCTION("""COMPUTED_VALUE"""),"General")</f>
        <v>General</v>
      </c>
      <c r="J752" s="13" t="str">
        <f>IFERROR(__xludf.DUMMYFUNCTION("""COMPUTED_VALUE"""),"Tops")</f>
        <v>Tops</v>
      </c>
      <c r="K752" s="13" t="str">
        <f>IFERROR(__xludf.DUMMYFUNCTION("""COMPUTED_VALUE"""),"Sweaters")</f>
        <v>Sweaters</v>
      </c>
      <c r="L752" s="13"/>
    </row>
    <row r="753">
      <c r="A753" s="13">
        <f>IFERROR(__xludf.DUMMYFUNCTION("""COMPUTED_VALUE"""),751.0)</f>
        <v>751</v>
      </c>
      <c r="B753" s="13">
        <f>IFERROR(__xludf.DUMMYFUNCTION("""COMPUTED_VALUE"""),937.0)</f>
        <v>937</v>
      </c>
      <c r="C753" s="13">
        <f>IFERROR(__xludf.DUMMYFUNCTION("""COMPUTED_VALUE"""),22.0)</f>
        <v>22</v>
      </c>
      <c r="D753" s="12" t="str">
        <f>IFERROR(__xludf.DUMMYFUNCTION("""COMPUTED_VALUE"""),"Love it!")</f>
        <v>Love it!</v>
      </c>
      <c r="E753" s="12" t="str">
        <f>IFERROR(__xludf.DUMMYFUNCTION("""COMPUTED_VALUE"""),"Can be a bit itchy sometimes, i guess depending on your skin. haven't had a problem with the sweater up to now!")</f>
        <v>Can be a bit itchy sometimes, i guess depending on your skin. haven't had a problem with the sweater up to now!</v>
      </c>
      <c r="F753" s="13">
        <f>IFERROR(__xludf.DUMMYFUNCTION("""COMPUTED_VALUE"""),5.0)</f>
        <v>5</v>
      </c>
      <c r="G753" s="13">
        <f>IFERROR(__xludf.DUMMYFUNCTION("""COMPUTED_VALUE"""),1.0)</f>
        <v>1</v>
      </c>
      <c r="H753" s="13">
        <f>IFERROR(__xludf.DUMMYFUNCTION("""COMPUTED_VALUE"""),0.0)</f>
        <v>0</v>
      </c>
      <c r="I753" s="13" t="str">
        <f>IFERROR(__xludf.DUMMYFUNCTION("""COMPUTED_VALUE"""),"General")</f>
        <v>General</v>
      </c>
      <c r="J753" s="13" t="str">
        <f>IFERROR(__xludf.DUMMYFUNCTION("""COMPUTED_VALUE"""),"Tops")</f>
        <v>Tops</v>
      </c>
      <c r="K753" s="13" t="str">
        <f>IFERROR(__xludf.DUMMYFUNCTION("""COMPUTED_VALUE"""),"Sweaters")</f>
        <v>Sweaters</v>
      </c>
      <c r="L753" s="13"/>
    </row>
    <row r="754">
      <c r="A754" s="13">
        <f>IFERROR(__xludf.DUMMYFUNCTION("""COMPUTED_VALUE"""),752.0)</f>
        <v>752</v>
      </c>
      <c r="B754" s="13">
        <f>IFERROR(__xludf.DUMMYFUNCTION("""COMPUTED_VALUE"""),1087.0)</f>
        <v>1087</v>
      </c>
      <c r="C754" s="13">
        <f>IFERROR(__xludf.DUMMYFUNCTION("""COMPUTED_VALUE"""),58.0)</f>
        <v>58</v>
      </c>
      <c r="D754" s="12" t="str">
        <f>IFERROR(__xludf.DUMMYFUNCTION("""COMPUTED_VALUE"""),"Perfection")</f>
        <v>Perfection</v>
      </c>
      <c r="E754" s="12" t="str">
        <f>IFERROR(__xludf.DUMMYFUNCTION("""COMPUTED_VALUE"""),"This dress is perfect. i'm literally wearing it right now. it's crazy comfortable while still being flattering. it looks and feels high quality, and just barely doesn't hit the floor. it makes me feel like a goddess. plenty of room in the bust area, even "&amp;"for me (36dd), and doesn't show bra straps or underwear. highly recommended!")</f>
        <v>This dress is perfect. i'm literally wearing it right now. it's crazy comfortable while still being flattering. it looks and feels high quality, and just barely doesn't hit the floor. it makes me feel like a goddess. plenty of room in the bust area, even for me (36dd), and doesn't show bra straps or underwear. highly recommended!</v>
      </c>
      <c r="F754" s="13">
        <f>IFERROR(__xludf.DUMMYFUNCTION("""COMPUTED_VALUE"""),5.0)</f>
        <v>5</v>
      </c>
      <c r="G754" s="13">
        <f>IFERROR(__xludf.DUMMYFUNCTION("""COMPUTED_VALUE"""),1.0)</f>
        <v>1</v>
      </c>
      <c r="H754" s="13">
        <f>IFERROR(__xludf.DUMMYFUNCTION("""COMPUTED_VALUE"""),0.0)</f>
        <v>0</v>
      </c>
      <c r="I754" s="13" t="str">
        <f>IFERROR(__xludf.DUMMYFUNCTION("""COMPUTED_VALUE"""),"General")</f>
        <v>General</v>
      </c>
      <c r="J754" s="13" t="str">
        <f>IFERROR(__xludf.DUMMYFUNCTION("""COMPUTED_VALUE"""),"Dresses")</f>
        <v>Dresses</v>
      </c>
      <c r="K754" s="13" t="str">
        <f>IFERROR(__xludf.DUMMYFUNCTION("""COMPUTED_VALUE"""),"Dresses")</f>
        <v>Dresses</v>
      </c>
      <c r="L754" s="13"/>
    </row>
    <row r="755">
      <c r="A755" s="13">
        <f>IFERROR(__xludf.DUMMYFUNCTION("""COMPUTED_VALUE"""),753.0)</f>
        <v>753</v>
      </c>
      <c r="B755" s="13">
        <f>IFERROR(__xludf.DUMMYFUNCTION("""COMPUTED_VALUE"""),1087.0)</f>
        <v>1087</v>
      </c>
      <c r="C755" s="13">
        <f>IFERROR(__xludf.DUMMYFUNCTION("""COMPUTED_VALUE"""),55.0)</f>
        <v>55</v>
      </c>
      <c r="D755" s="12"/>
      <c r="E755" s="12"/>
      <c r="F755" s="13">
        <f>IFERROR(__xludf.DUMMYFUNCTION("""COMPUTED_VALUE"""),4.0)</f>
        <v>4</v>
      </c>
      <c r="G755" s="13">
        <f>IFERROR(__xludf.DUMMYFUNCTION("""COMPUTED_VALUE"""),1.0)</f>
        <v>1</v>
      </c>
      <c r="H755" s="13">
        <f>IFERROR(__xludf.DUMMYFUNCTION("""COMPUTED_VALUE"""),0.0)</f>
        <v>0</v>
      </c>
      <c r="I755" s="13" t="str">
        <f>IFERROR(__xludf.DUMMYFUNCTION("""COMPUTED_VALUE"""),"General")</f>
        <v>General</v>
      </c>
      <c r="J755" s="13" t="str">
        <f>IFERROR(__xludf.DUMMYFUNCTION("""COMPUTED_VALUE"""),"Dresses")</f>
        <v>Dresses</v>
      </c>
      <c r="K755" s="13" t="str">
        <f>IFERROR(__xludf.DUMMYFUNCTION("""COMPUTED_VALUE"""),"Dresses")</f>
        <v>Dresses</v>
      </c>
      <c r="L755" s="13"/>
    </row>
    <row r="756">
      <c r="A756" s="13">
        <f>IFERROR(__xludf.DUMMYFUNCTION("""COMPUTED_VALUE"""),754.0)</f>
        <v>754</v>
      </c>
      <c r="B756" s="13">
        <f>IFERROR(__xludf.DUMMYFUNCTION("""COMPUTED_VALUE"""),1087.0)</f>
        <v>1087</v>
      </c>
      <c r="C756" s="13">
        <f>IFERROR(__xludf.DUMMYFUNCTION("""COMPUTED_VALUE"""),62.0)</f>
        <v>62</v>
      </c>
      <c r="D756" s="12" t="str">
        <f>IFERROR(__xludf.DUMMYFUNCTION("""COMPUTED_VALUE"""),"Perfer beige over pink")</f>
        <v>Perfer beige over pink</v>
      </c>
      <c r="E756" s="12" t="str">
        <f>IFERROR(__xludf.DUMMYFUNCTION("""COMPUTED_VALUE"""),"I had tried this on in the beige &amp; loved it but could not find it in my size so i got it in the pink.
did not look at good as the beige.")</f>
        <v>I had tried this on in the beige &amp; loved it but could not find it in my size so i got it in the pink.
did not look at good as the beige.</v>
      </c>
      <c r="F756" s="13">
        <f>IFERROR(__xludf.DUMMYFUNCTION("""COMPUTED_VALUE"""),3.0)</f>
        <v>3</v>
      </c>
      <c r="G756" s="13">
        <f>IFERROR(__xludf.DUMMYFUNCTION("""COMPUTED_VALUE"""),0.0)</f>
        <v>0</v>
      </c>
      <c r="H756" s="13">
        <f>IFERROR(__xludf.DUMMYFUNCTION("""COMPUTED_VALUE"""),0.0)</f>
        <v>0</v>
      </c>
      <c r="I756" s="13" t="str">
        <f>IFERROR(__xludf.DUMMYFUNCTION("""COMPUTED_VALUE"""),"General")</f>
        <v>General</v>
      </c>
      <c r="J756" s="13" t="str">
        <f>IFERROR(__xludf.DUMMYFUNCTION("""COMPUTED_VALUE"""),"Dresses")</f>
        <v>Dresses</v>
      </c>
      <c r="K756" s="13" t="str">
        <f>IFERROR(__xludf.DUMMYFUNCTION("""COMPUTED_VALUE"""),"Dresses")</f>
        <v>Dresses</v>
      </c>
      <c r="L756" s="13"/>
    </row>
    <row r="757">
      <c r="A757" s="13">
        <f>IFERROR(__xludf.DUMMYFUNCTION("""COMPUTED_VALUE"""),755.0)</f>
        <v>755</v>
      </c>
      <c r="B757" s="13">
        <f>IFERROR(__xludf.DUMMYFUNCTION("""COMPUTED_VALUE"""),1087.0)</f>
        <v>1087</v>
      </c>
      <c r="C757" s="13">
        <f>IFERROR(__xludf.DUMMYFUNCTION("""COMPUTED_VALUE"""),43.0)</f>
        <v>43</v>
      </c>
      <c r="D757" s="12" t="str">
        <f>IFERROR(__xludf.DUMMYFUNCTION("""COMPUTED_VALUE"""),"So very disappointed")</f>
        <v>So very disappointed</v>
      </c>
      <c r="E757" s="12" t="str">
        <f>IFERROR(__xludf.DUMMYFUNCTION("""COMPUTED_VALUE"""),"I love retailer and fell in love as soon as i saw this dress online. being 5'10"" i love a quality maxi dress and this one did not disappoint. however, being 5'10"" also means the top sweater overlay hits me way short. it looks ridiculous. i also thought "&amp;"that this was very heavy for a maxi dress and could not imagine wearing it in 80 degree weather. unfortunately after waiting so long for it's arrival this is going back.")</f>
        <v>I love retailer and fell in love as soon as i saw this dress online. being 5'10" i love a quality maxi dress and this one did not disappoint. however, being 5'10" also means the top sweater overlay hits me way short. it looks ridiculous. i also thought that this was very heavy for a maxi dress and could not imagine wearing it in 80 degree weather. unfortunately after waiting so long for it's arrival this is going back.</v>
      </c>
      <c r="F757" s="13">
        <f>IFERROR(__xludf.DUMMYFUNCTION("""COMPUTED_VALUE"""),2.0)</f>
        <v>2</v>
      </c>
      <c r="G757" s="13">
        <f>IFERROR(__xludf.DUMMYFUNCTION("""COMPUTED_VALUE"""),0.0)</f>
        <v>0</v>
      </c>
      <c r="H757" s="13">
        <f>IFERROR(__xludf.DUMMYFUNCTION("""COMPUTED_VALUE"""),2.0)</f>
        <v>2</v>
      </c>
      <c r="I757" s="13" t="str">
        <f>IFERROR(__xludf.DUMMYFUNCTION("""COMPUTED_VALUE"""),"General")</f>
        <v>General</v>
      </c>
      <c r="J757" s="13" t="str">
        <f>IFERROR(__xludf.DUMMYFUNCTION("""COMPUTED_VALUE"""),"Dresses")</f>
        <v>Dresses</v>
      </c>
      <c r="K757" s="13" t="str">
        <f>IFERROR(__xludf.DUMMYFUNCTION("""COMPUTED_VALUE"""),"Dresses")</f>
        <v>Dresses</v>
      </c>
      <c r="L757" s="13"/>
    </row>
    <row r="758">
      <c r="A758" s="13">
        <f>IFERROR(__xludf.DUMMYFUNCTION("""COMPUTED_VALUE"""),756.0)</f>
        <v>756</v>
      </c>
      <c r="B758" s="13">
        <f>IFERROR(__xludf.DUMMYFUNCTION("""COMPUTED_VALUE"""),886.0)</f>
        <v>886</v>
      </c>
      <c r="C758" s="13">
        <f>IFERROR(__xludf.DUMMYFUNCTION("""COMPUTED_VALUE"""),26.0)</f>
        <v>26</v>
      </c>
      <c r="D758" s="12" t="str">
        <f>IFERROR(__xludf.DUMMYFUNCTION("""COMPUTED_VALUE"""),"Basic with a twist")</f>
        <v>Basic with a twist</v>
      </c>
      <c r="E758" s="12" t="str">
        <f>IFERROR(__xludf.DUMMYFUNCTION("""COMPUTED_VALUE"""),"I love this shirt. it would be a fairly basic tee but the neckline makes it fun. it's very soft and comfortable. i bought the white with blue pattern and will probably purchase additional colors.")</f>
        <v>I love this shirt. it would be a fairly basic tee but the neckline makes it fun. it's very soft and comfortable. i bought the white with blue pattern and will probably purchase additional colors.</v>
      </c>
      <c r="F758" s="13">
        <f>IFERROR(__xludf.DUMMYFUNCTION("""COMPUTED_VALUE"""),5.0)</f>
        <v>5</v>
      </c>
      <c r="G758" s="13">
        <f>IFERROR(__xludf.DUMMYFUNCTION("""COMPUTED_VALUE"""),1.0)</f>
        <v>1</v>
      </c>
      <c r="H758" s="13">
        <f>IFERROR(__xludf.DUMMYFUNCTION("""COMPUTED_VALUE"""),0.0)</f>
        <v>0</v>
      </c>
      <c r="I758" s="13" t="str">
        <f>IFERROR(__xludf.DUMMYFUNCTION("""COMPUTED_VALUE"""),"General Petite")</f>
        <v>General Petite</v>
      </c>
      <c r="J758" s="13" t="str">
        <f>IFERROR(__xludf.DUMMYFUNCTION("""COMPUTED_VALUE"""),"Tops")</f>
        <v>Tops</v>
      </c>
      <c r="K758" s="13" t="str">
        <f>IFERROR(__xludf.DUMMYFUNCTION("""COMPUTED_VALUE"""),"Knits")</f>
        <v>Knits</v>
      </c>
      <c r="L758" s="13"/>
    </row>
    <row r="759">
      <c r="A759" s="13">
        <f>IFERROR(__xludf.DUMMYFUNCTION("""COMPUTED_VALUE"""),757.0)</f>
        <v>757</v>
      </c>
      <c r="B759" s="13">
        <f>IFERROR(__xludf.DUMMYFUNCTION("""COMPUTED_VALUE"""),886.0)</f>
        <v>886</v>
      </c>
      <c r="C759" s="13">
        <f>IFERROR(__xludf.DUMMYFUNCTION("""COMPUTED_VALUE"""),37.0)</f>
        <v>37</v>
      </c>
      <c r="D759" s="12" t="str">
        <f>IFERROR(__xludf.DUMMYFUNCTION("""COMPUTED_VALUE"""),"Love this shirt!")</f>
        <v>Love this shirt!</v>
      </c>
      <c r="E759" s="12" t="str">
        <f>IFERROR(__xludf.DUMMYFUNCTION("""COMPUTED_VALUE"""),"I love this shirt. the neckline is flattering and the overall feel is very comfy.")</f>
        <v>I love this shirt. the neckline is flattering and the overall feel is very comfy.</v>
      </c>
      <c r="F759" s="13">
        <f>IFERROR(__xludf.DUMMYFUNCTION("""COMPUTED_VALUE"""),5.0)</f>
        <v>5</v>
      </c>
      <c r="G759" s="13">
        <f>IFERROR(__xludf.DUMMYFUNCTION("""COMPUTED_VALUE"""),1.0)</f>
        <v>1</v>
      </c>
      <c r="H759" s="13">
        <f>IFERROR(__xludf.DUMMYFUNCTION("""COMPUTED_VALUE"""),0.0)</f>
        <v>0</v>
      </c>
      <c r="I759" s="13" t="str">
        <f>IFERROR(__xludf.DUMMYFUNCTION("""COMPUTED_VALUE"""),"General Petite")</f>
        <v>General Petite</v>
      </c>
      <c r="J759" s="13" t="str">
        <f>IFERROR(__xludf.DUMMYFUNCTION("""COMPUTED_VALUE"""),"Tops")</f>
        <v>Tops</v>
      </c>
      <c r="K759" s="13" t="str">
        <f>IFERROR(__xludf.DUMMYFUNCTION("""COMPUTED_VALUE"""),"Knits")</f>
        <v>Knits</v>
      </c>
      <c r="L759" s="13"/>
    </row>
    <row r="760">
      <c r="A760" s="13">
        <f>IFERROR(__xludf.DUMMYFUNCTION("""COMPUTED_VALUE"""),758.0)</f>
        <v>758</v>
      </c>
      <c r="B760" s="13">
        <f>IFERROR(__xludf.DUMMYFUNCTION("""COMPUTED_VALUE"""),937.0)</f>
        <v>937</v>
      </c>
      <c r="C760" s="13">
        <f>IFERROR(__xludf.DUMMYFUNCTION("""COMPUTED_VALUE"""),32.0)</f>
        <v>32</v>
      </c>
      <c r="D760" s="12"/>
      <c r="E760" s="12"/>
      <c r="F760" s="13">
        <f>IFERROR(__xludf.DUMMYFUNCTION("""COMPUTED_VALUE"""),3.0)</f>
        <v>3</v>
      </c>
      <c r="G760" s="13">
        <f>IFERROR(__xludf.DUMMYFUNCTION("""COMPUTED_VALUE"""),1.0)</f>
        <v>1</v>
      </c>
      <c r="H760" s="13">
        <f>IFERROR(__xludf.DUMMYFUNCTION("""COMPUTED_VALUE"""),0.0)</f>
        <v>0</v>
      </c>
      <c r="I760" s="13" t="str">
        <f>IFERROR(__xludf.DUMMYFUNCTION("""COMPUTED_VALUE"""),"General")</f>
        <v>General</v>
      </c>
      <c r="J760" s="13" t="str">
        <f>IFERROR(__xludf.DUMMYFUNCTION("""COMPUTED_VALUE"""),"Tops")</f>
        <v>Tops</v>
      </c>
      <c r="K760" s="13" t="str">
        <f>IFERROR(__xludf.DUMMYFUNCTION("""COMPUTED_VALUE"""),"Sweaters")</f>
        <v>Sweaters</v>
      </c>
      <c r="L760" s="13"/>
    </row>
    <row r="761">
      <c r="A761" s="13">
        <f>IFERROR(__xludf.DUMMYFUNCTION("""COMPUTED_VALUE"""),759.0)</f>
        <v>759</v>
      </c>
      <c r="B761" s="13">
        <f>IFERROR(__xludf.DUMMYFUNCTION("""COMPUTED_VALUE"""),245.0)</f>
        <v>245</v>
      </c>
      <c r="C761" s="13">
        <f>IFERROR(__xludf.DUMMYFUNCTION("""COMPUTED_VALUE"""),33.0)</f>
        <v>33</v>
      </c>
      <c r="D761" s="12" t="str">
        <f>IFERROR(__xludf.DUMMYFUNCTION("""COMPUTED_VALUE"""),"Perfect dress")</f>
        <v>Perfect dress</v>
      </c>
      <c r="E761" s="12" t="str">
        <f>IFERROR(__xludf.DUMMYFUNCTION("""COMPUTED_VALUE"""),"I wasn't going to purchase this dress because it was given 1 star. however, i ordered it and i was so glad i did!!! i'm 5'1, 105lbs this dress fit me perfectly, it really compliment my petite body. i get so much compliments! it is not easy to order anythi"&amp;"ng for a petite frame but this dress really show off my body without showing too much.")</f>
        <v>I wasn't going to purchase this dress because it was given 1 star. however, i ordered it and i was so glad i did!!! i'm 5'1, 105lbs this dress fit me perfectly, it really compliment my petite body. i get so much compliments! it is not easy to order anything for a petite frame but this dress really show off my body without showing too much.</v>
      </c>
      <c r="F761" s="13">
        <f>IFERROR(__xludf.DUMMYFUNCTION("""COMPUTED_VALUE"""),5.0)</f>
        <v>5</v>
      </c>
      <c r="G761" s="13">
        <f>IFERROR(__xludf.DUMMYFUNCTION("""COMPUTED_VALUE"""),1.0)</f>
        <v>1</v>
      </c>
      <c r="H761" s="13">
        <f>IFERROR(__xludf.DUMMYFUNCTION("""COMPUTED_VALUE"""),4.0)</f>
        <v>4</v>
      </c>
      <c r="I761" s="13" t="str">
        <f>IFERROR(__xludf.DUMMYFUNCTION("""COMPUTED_VALUE"""),"Initmates")</f>
        <v>Initmates</v>
      </c>
      <c r="J761" s="13" t="str">
        <f>IFERROR(__xludf.DUMMYFUNCTION("""COMPUTED_VALUE"""),"Intimate")</f>
        <v>Intimate</v>
      </c>
      <c r="K761" s="13" t="str">
        <f>IFERROR(__xludf.DUMMYFUNCTION("""COMPUTED_VALUE"""),"Layering")</f>
        <v>Layering</v>
      </c>
      <c r="L761" s="13"/>
    </row>
    <row r="762">
      <c r="A762" s="13">
        <f>IFERROR(__xludf.DUMMYFUNCTION("""COMPUTED_VALUE"""),760.0)</f>
        <v>760</v>
      </c>
      <c r="B762" s="13">
        <f>IFERROR(__xludf.DUMMYFUNCTION("""COMPUTED_VALUE"""),937.0)</f>
        <v>937</v>
      </c>
      <c r="C762" s="13">
        <f>IFERROR(__xludf.DUMMYFUNCTION("""COMPUTED_VALUE"""),43.0)</f>
        <v>43</v>
      </c>
      <c r="D762" s="12" t="str">
        <f>IFERROR(__xludf.DUMMYFUNCTION("""COMPUTED_VALUE"""),"Nice, comfy sweater")</f>
        <v>Nice, comfy sweater</v>
      </c>
      <c r="E762" s="12" t="str">
        <f>IFERROR(__xludf.DUMMYFUNCTION("""COMPUTED_VALUE"""),"I tried this on in the store and had to have it. this is the kind of sweater that you just want to cozy up with on a nice fall or winter day with a cup of coffee in hand. i love the neutral pink color as it will go with everything. i'm a dress and skirt g"&amp;"irl and this will go well with those items. it will cover your bum and i love the dolman sleeves. i highly recommend it!!")</f>
        <v>I tried this on in the store and had to have it. this is the kind of sweater that you just want to cozy up with on a nice fall or winter day with a cup of coffee in hand. i love the neutral pink color as it will go with everything. i'm a dress and skirt girl and this will go well with those items. it will cover your bum and i love the dolman sleeves. i highly recommend it!!</v>
      </c>
      <c r="F762" s="13">
        <f>IFERROR(__xludf.DUMMYFUNCTION("""COMPUTED_VALUE"""),5.0)</f>
        <v>5</v>
      </c>
      <c r="G762" s="13">
        <f>IFERROR(__xludf.DUMMYFUNCTION("""COMPUTED_VALUE"""),1.0)</f>
        <v>1</v>
      </c>
      <c r="H762" s="13">
        <f>IFERROR(__xludf.DUMMYFUNCTION("""COMPUTED_VALUE"""),0.0)</f>
        <v>0</v>
      </c>
      <c r="I762" s="13" t="str">
        <f>IFERROR(__xludf.DUMMYFUNCTION("""COMPUTED_VALUE"""),"General")</f>
        <v>General</v>
      </c>
      <c r="J762" s="13" t="str">
        <f>IFERROR(__xludf.DUMMYFUNCTION("""COMPUTED_VALUE"""),"Tops")</f>
        <v>Tops</v>
      </c>
      <c r="K762" s="13" t="str">
        <f>IFERROR(__xludf.DUMMYFUNCTION("""COMPUTED_VALUE"""),"Sweaters")</f>
        <v>Sweaters</v>
      </c>
      <c r="L762" s="13"/>
    </row>
    <row r="763">
      <c r="A763" s="13">
        <f>IFERROR(__xludf.DUMMYFUNCTION("""COMPUTED_VALUE"""),761.0)</f>
        <v>761</v>
      </c>
      <c r="B763" s="13">
        <f>IFERROR(__xludf.DUMMYFUNCTION("""COMPUTED_VALUE"""),886.0)</f>
        <v>886</v>
      </c>
      <c r="C763" s="13">
        <f>IFERROR(__xludf.DUMMYFUNCTION("""COMPUTED_VALUE"""),44.0)</f>
        <v>44</v>
      </c>
      <c r="D763" s="12"/>
      <c r="E763" s="12" t="str">
        <f>IFERROR(__xludf.DUMMYFUNCTION("""COMPUTED_VALUE"""),"Bought this today - cant speak to wear - but overall design is so incredibly cute and flattering. i am usually a small or medium, but went with a medium. so different and wearable! white is sheer so opted for a denimy blue color that i dont see listed ava"&amp;"ilable online.")</f>
        <v>Bought this today - cant speak to wear - but overall design is so incredibly cute and flattering. i am usually a small or medium, but went with a medium. so different and wearable! white is sheer so opted for a denimy blue color that i dont see listed available online.</v>
      </c>
      <c r="F763" s="13">
        <f>IFERROR(__xludf.DUMMYFUNCTION("""COMPUTED_VALUE"""),5.0)</f>
        <v>5</v>
      </c>
      <c r="G763" s="13">
        <f>IFERROR(__xludf.DUMMYFUNCTION("""COMPUTED_VALUE"""),1.0)</f>
        <v>1</v>
      </c>
      <c r="H763" s="13">
        <f>IFERROR(__xludf.DUMMYFUNCTION("""COMPUTED_VALUE"""),21.0)</f>
        <v>21</v>
      </c>
      <c r="I763" s="13" t="str">
        <f>IFERROR(__xludf.DUMMYFUNCTION("""COMPUTED_VALUE"""),"General Petite")</f>
        <v>General Petite</v>
      </c>
      <c r="J763" s="13" t="str">
        <f>IFERROR(__xludf.DUMMYFUNCTION("""COMPUTED_VALUE"""),"Tops")</f>
        <v>Tops</v>
      </c>
      <c r="K763" s="13" t="str">
        <f>IFERROR(__xludf.DUMMYFUNCTION("""COMPUTED_VALUE"""),"Knits")</f>
        <v>Knits</v>
      </c>
      <c r="L763" s="13"/>
    </row>
    <row r="764">
      <c r="A764" s="13">
        <f>IFERROR(__xludf.DUMMYFUNCTION("""COMPUTED_VALUE"""),762.0)</f>
        <v>762</v>
      </c>
      <c r="B764" s="13">
        <f>IFERROR(__xludf.DUMMYFUNCTION("""COMPUTED_VALUE"""),937.0)</f>
        <v>937</v>
      </c>
      <c r="C764" s="13">
        <f>IFERROR(__xludf.DUMMYFUNCTION("""COMPUTED_VALUE"""),37.0)</f>
        <v>37</v>
      </c>
      <c r="D764" s="12" t="str">
        <f>IFERROR(__xludf.DUMMYFUNCTION("""COMPUTED_VALUE"""),"Scratchy")</f>
        <v>Scratchy</v>
      </c>
      <c r="E764" s="12" t="str">
        <f>IFERROR(__xludf.DUMMYFUNCTION("""COMPUTED_VALUE"""),"The sweater is cute, but scratchy.")</f>
        <v>The sweater is cute, but scratchy.</v>
      </c>
      <c r="F764" s="13">
        <f>IFERROR(__xludf.DUMMYFUNCTION("""COMPUTED_VALUE"""),3.0)</f>
        <v>3</v>
      </c>
      <c r="G764" s="13">
        <f>IFERROR(__xludf.DUMMYFUNCTION("""COMPUTED_VALUE"""),0.0)</f>
        <v>0</v>
      </c>
      <c r="H764" s="13">
        <f>IFERROR(__xludf.DUMMYFUNCTION("""COMPUTED_VALUE"""),1.0)</f>
        <v>1</v>
      </c>
      <c r="I764" s="13" t="str">
        <f>IFERROR(__xludf.DUMMYFUNCTION("""COMPUTED_VALUE"""),"General")</f>
        <v>General</v>
      </c>
      <c r="J764" s="13" t="str">
        <f>IFERROR(__xludf.DUMMYFUNCTION("""COMPUTED_VALUE"""),"Tops")</f>
        <v>Tops</v>
      </c>
      <c r="K764" s="13" t="str">
        <f>IFERROR(__xludf.DUMMYFUNCTION("""COMPUTED_VALUE"""),"Sweaters")</f>
        <v>Sweaters</v>
      </c>
      <c r="L764" s="13"/>
    </row>
    <row r="765">
      <c r="A765" s="13">
        <f>IFERROR(__xludf.DUMMYFUNCTION("""COMPUTED_VALUE"""),763.0)</f>
        <v>763</v>
      </c>
      <c r="B765" s="13">
        <f>IFERROR(__xludf.DUMMYFUNCTION("""COMPUTED_VALUE"""),937.0)</f>
        <v>937</v>
      </c>
      <c r="C765" s="13">
        <f>IFERROR(__xludf.DUMMYFUNCTION("""COMPUTED_VALUE"""),49.0)</f>
        <v>49</v>
      </c>
      <c r="D765" s="12" t="str">
        <f>IFERROR(__xludf.DUMMYFUNCTION("""COMPUTED_VALUE"""),"Cute, but didnt love")</f>
        <v>Cute, but didnt love</v>
      </c>
      <c r="E765" s="12" t="str">
        <f>IFERROR(__xludf.DUMMYFUNCTION("""COMPUTED_VALUE"""),"It was cute. i didn't keep it because it wasn't soft and hung a bit different than pictured. i thought it would be softer material. it was itchy")</f>
        <v>It was cute. i didn't keep it because it wasn't soft and hung a bit different than pictured. i thought it would be softer material. it was itchy</v>
      </c>
      <c r="F765" s="13">
        <f>IFERROR(__xludf.DUMMYFUNCTION("""COMPUTED_VALUE"""),3.0)</f>
        <v>3</v>
      </c>
      <c r="G765" s="13">
        <f>IFERROR(__xludf.DUMMYFUNCTION("""COMPUTED_VALUE"""),0.0)</f>
        <v>0</v>
      </c>
      <c r="H765" s="13">
        <f>IFERROR(__xludf.DUMMYFUNCTION("""COMPUTED_VALUE"""),0.0)</f>
        <v>0</v>
      </c>
      <c r="I765" s="13" t="str">
        <f>IFERROR(__xludf.DUMMYFUNCTION("""COMPUTED_VALUE"""),"General")</f>
        <v>General</v>
      </c>
      <c r="J765" s="13" t="str">
        <f>IFERROR(__xludf.DUMMYFUNCTION("""COMPUTED_VALUE"""),"Tops")</f>
        <v>Tops</v>
      </c>
      <c r="K765" s="13" t="str">
        <f>IFERROR(__xludf.DUMMYFUNCTION("""COMPUTED_VALUE"""),"Sweaters")</f>
        <v>Sweaters</v>
      </c>
      <c r="L765" s="13"/>
    </row>
    <row r="766">
      <c r="A766" s="13">
        <f>IFERROR(__xludf.DUMMYFUNCTION("""COMPUTED_VALUE"""),764.0)</f>
        <v>764</v>
      </c>
      <c r="B766" s="13">
        <f>IFERROR(__xludf.DUMMYFUNCTION("""COMPUTED_VALUE"""),1087.0)</f>
        <v>1087</v>
      </c>
      <c r="C766" s="13">
        <f>IFERROR(__xludf.DUMMYFUNCTION("""COMPUTED_VALUE"""),34.0)</f>
        <v>34</v>
      </c>
      <c r="D766" s="12" t="str">
        <f>IFERROR(__xludf.DUMMYFUNCTION("""COMPUTED_VALUE"""),"Great for hot summers")</f>
        <v>Great for hot summers</v>
      </c>
      <c r="E766" s="12" t="str">
        <f>IFERROR(__xludf.DUMMYFUNCTION("""COMPUTED_VALUE"""),"I am on the fence about this dress, as you'll see the reasons below, but it is really breathable fabric and extremely comfortable!
_________
pros:
- tons of stretch to the top part. i'm a 36c, so a lot of retailer tops are too snug for women with some bus"&amp;"t. however, i fit into a medium here without it being too snug. you could actually go down or up depending on how loose or tight you'd like it to be on you.
- the bottom half, the skirt, feels so nice on the skin. very breezy. it is layered an")</f>
        <v>I am on the fence about this dress, as you'll see the reasons below, but it is really breathable fabric and extremely comfortable!
_________
pros:
- tons of stretch to the top part. i'm a 36c, so a lot of retailer tops are too snug for women with some bust. however, i fit into a medium here without it being too snug. you could actually go down or up depending on how loose or tight you'd like it to be on you.
- the bottom half, the skirt, feels so nice on the skin. very breezy. it is layered an</v>
      </c>
      <c r="F766" s="13">
        <f>IFERROR(__xludf.DUMMYFUNCTION("""COMPUTED_VALUE"""),4.0)</f>
        <v>4</v>
      </c>
      <c r="G766" s="13">
        <f>IFERROR(__xludf.DUMMYFUNCTION("""COMPUTED_VALUE"""),1.0)</f>
        <v>1</v>
      </c>
      <c r="H766" s="13">
        <f>IFERROR(__xludf.DUMMYFUNCTION("""COMPUTED_VALUE"""),42.0)</f>
        <v>42</v>
      </c>
      <c r="I766" s="13" t="str">
        <f>IFERROR(__xludf.DUMMYFUNCTION("""COMPUTED_VALUE"""),"General")</f>
        <v>General</v>
      </c>
      <c r="J766" s="13" t="str">
        <f>IFERROR(__xludf.DUMMYFUNCTION("""COMPUTED_VALUE"""),"Dresses")</f>
        <v>Dresses</v>
      </c>
      <c r="K766" s="13" t="str">
        <f>IFERROR(__xludf.DUMMYFUNCTION("""COMPUTED_VALUE"""),"Dresses")</f>
        <v>Dresses</v>
      </c>
      <c r="L766" s="13"/>
    </row>
    <row r="767">
      <c r="A767" s="13">
        <f>IFERROR(__xludf.DUMMYFUNCTION("""COMPUTED_VALUE"""),765.0)</f>
        <v>765</v>
      </c>
      <c r="B767" s="13">
        <f>IFERROR(__xludf.DUMMYFUNCTION("""COMPUTED_VALUE"""),745.0)</f>
        <v>745</v>
      </c>
      <c r="C767" s="13">
        <f>IFERROR(__xludf.DUMMYFUNCTION("""COMPUTED_VALUE"""),40.0)</f>
        <v>40</v>
      </c>
      <c r="D767" s="12" t="str">
        <f>IFERROR(__xludf.DUMMYFUNCTION("""COMPUTED_VALUE"""),"Love!!")</f>
        <v>Love!!</v>
      </c>
      <c r="E767" s="12" t="str">
        <f>IFERROR(__xludf.DUMMYFUNCTION("""COMPUTED_VALUE"""),"I love these tights so much i almost want to buy another few pair and save them for when these wear out. the lining is like clouds on your calves. they're thick enough that you don't need to be totally covered by a tunic but slim enough that they don't ad"&amp;"d bulk. love, love them!")</f>
        <v>I love these tights so much i almost want to buy another few pair and save them for when these wear out. the lining is like clouds on your calves. they're thick enough that you don't need to be totally covered by a tunic but slim enough that they don't add bulk. love, love them!</v>
      </c>
      <c r="F767" s="13">
        <f>IFERROR(__xludf.DUMMYFUNCTION("""COMPUTED_VALUE"""),5.0)</f>
        <v>5</v>
      </c>
      <c r="G767" s="13">
        <f>IFERROR(__xludf.DUMMYFUNCTION("""COMPUTED_VALUE"""),1.0)</f>
        <v>1</v>
      </c>
      <c r="H767" s="13">
        <f>IFERROR(__xludf.DUMMYFUNCTION("""COMPUTED_VALUE"""),1.0)</f>
        <v>1</v>
      </c>
      <c r="I767" s="13" t="str">
        <f>IFERROR(__xludf.DUMMYFUNCTION("""COMPUTED_VALUE"""),"Initmates")</f>
        <v>Initmates</v>
      </c>
      <c r="J767" s="13" t="str">
        <f>IFERROR(__xludf.DUMMYFUNCTION("""COMPUTED_VALUE"""),"Intimate")</f>
        <v>Intimate</v>
      </c>
      <c r="K767" s="13" t="str">
        <f>IFERROR(__xludf.DUMMYFUNCTION("""COMPUTED_VALUE"""),"Legwear")</f>
        <v>Legwear</v>
      </c>
      <c r="L767" s="13"/>
    </row>
    <row r="768">
      <c r="A768" s="13">
        <f>IFERROR(__xludf.DUMMYFUNCTION("""COMPUTED_VALUE"""),766.0)</f>
        <v>766</v>
      </c>
      <c r="B768" s="13">
        <f>IFERROR(__xludf.DUMMYFUNCTION("""COMPUTED_VALUE"""),745.0)</f>
        <v>745</v>
      </c>
      <c r="C768" s="13">
        <f>IFERROR(__xludf.DUMMYFUNCTION("""COMPUTED_VALUE"""),42.0)</f>
        <v>42</v>
      </c>
      <c r="D768" s="12" t="str">
        <f>IFERROR(__xludf.DUMMYFUNCTION("""COMPUTED_VALUE"""),"Finally found nice leggings!")</f>
        <v>Finally found nice leggings!</v>
      </c>
      <c r="E768" s="12" t="str">
        <f>IFERROR(__xludf.DUMMYFUNCTION("""COMPUTED_VALUE"""),"I am a curvy woman and leggings are new to my world. i am sorry that i did not discover these leggings sooner because they are lovely. they are comfortable and cozy with a great fit. i am 150 lbs and 5'7 and the m/l fit perfectly. i have the black and plu"&amp;"m colors. great purchase!")</f>
        <v>I am a curvy woman and leggings are new to my world. i am sorry that i did not discover these leggings sooner because they are lovely. they are comfortable and cozy with a great fit. i am 150 lbs and 5'7 and the m/l fit perfectly. i have the black and plum colors. great purchase!</v>
      </c>
      <c r="F768" s="13">
        <f>IFERROR(__xludf.DUMMYFUNCTION("""COMPUTED_VALUE"""),4.0)</f>
        <v>4</v>
      </c>
      <c r="G768" s="13">
        <f>IFERROR(__xludf.DUMMYFUNCTION("""COMPUTED_VALUE"""),1.0)</f>
        <v>1</v>
      </c>
      <c r="H768" s="13">
        <f>IFERROR(__xludf.DUMMYFUNCTION("""COMPUTED_VALUE"""),1.0)</f>
        <v>1</v>
      </c>
      <c r="I768" s="13" t="str">
        <f>IFERROR(__xludf.DUMMYFUNCTION("""COMPUTED_VALUE"""),"Initmates")</f>
        <v>Initmates</v>
      </c>
      <c r="J768" s="13" t="str">
        <f>IFERROR(__xludf.DUMMYFUNCTION("""COMPUTED_VALUE"""),"Intimate")</f>
        <v>Intimate</v>
      </c>
      <c r="K768" s="13" t="str">
        <f>IFERROR(__xludf.DUMMYFUNCTION("""COMPUTED_VALUE"""),"Legwear")</f>
        <v>Legwear</v>
      </c>
      <c r="L768" s="13"/>
    </row>
    <row r="769">
      <c r="A769" s="13">
        <f>IFERROR(__xludf.DUMMYFUNCTION("""COMPUTED_VALUE"""),767.0)</f>
        <v>767</v>
      </c>
      <c r="B769" s="13">
        <f>IFERROR(__xludf.DUMMYFUNCTION("""COMPUTED_VALUE"""),1087.0)</f>
        <v>1087</v>
      </c>
      <c r="C769" s="13">
        <f>IFERROR(__xludf.DUMMYFUNCTION("""COMPUTED_VALUE"""),36.0)</f>
        <v>36</v>
      </c>
      <c r="D769" s="12" t="str">
        <f>IFERROR(__xludf.DUMMYFUNCTION("""COMPUTED_VALUE"""),"Gorgeous on the hanger but not for me")</f>
        <v>Gorgeous on the hanger but not for me</v>
      </c>
      <c r="E769" s="12" t="str">
        <f>IFERROR(__xludf.DUMMYFUNCTION("""COMPUTED_VALUE"""),"I was so in love with this dress when i saw it in the store but so disappointed when i put it on. i am 5'10"" with curves and usually buy a large in dresses. this dress looked like a sack on me. the top was way too big and loose making the dress a boxy cu"&amp;"t rather than a maxi cut like i was expecting. the dress is lovely to look at on the hanger and feels good on but i don't think it flatters hourglass figures. it was the right length for me unlike many other reviewers. 
obviously, based off the")</f>
        <v>I was so in love with this dress when i saw it in the store but so disappointed when i put it on. i am 5'10" with curves and usually buy a large in dresses. this dress looked like a sack on me. the top was way too big and loose making the dress a boxy cut rather than a maxi cut like i was expecting. the dress is lovely to look at on the hanger and feels good on but i don't think it flatters hourglass figures. it was the right length for me unlike many other reviewers. 
obviously, based off the</v>
      </c>
      <c r="F769" s="13">
        <f>IFERROR(__xludf.DUMMYFUNCTION("""COMPUTED_VALUE"""),3.0)</f>
        <v>3</v>
      </c>
      <c r="G769" s="13">
        <f>IFERROR(__xludf.DUMMYFUNCTION("""COMPUTED_VALUE"""),0.0)</f>
        <v>0</v>
      </c>
      <c r="H769" s="13">
        <f>IFERROR(__xludf.DUMMYFUNCTION("""COMPUTED_VALUE"""),2.0)</f>
        <v>2</v>
      </c>
      <c r="I769" s="13" t="str">
        <f>IFERROR(__xludf.DUMMYFUNCTION("""COMPUTED_VALUE"""),"General")</f>
        <v>General</v>
      </c>
      <c r="J769" s="13" t="str">
        <f>IFERROR(__xludf.DUMMYFUNCTION("""COMPUTED_VALUE"""),"Dresses")</f>
        <v>Dresses</v>
      </c>
      <c r="K769" s="13" t="str">
        <f>IFERROR(__xludf.DUMMYFUNCTION("""COMPUTED_VALUE"""),"Dresses")</f>
        <v>Dresses</v>
      </c>
      <c r="L769" s="13"/>
    </row>
    <row r="770">
      <c r="A770" s="13">
        <f>IFERROR(__xludf.DUMMYFUNCTION("""COMPUTED_VALUE"""),768.0)</f>
        <v>768</v>
      </c>
      <c r="B770" s="13">
        <f>IFERROR(__xludf.DUMMYFUNCTION("""COMPUTED_VALUE"""),937.0)</f>
        <v>937</v>
      </c>
      <c r="C770" s="13">
        <f>IFERROR(__xludf.DUMMYFUNCTION("""COMPUTED_VALUE"""),46.0)</f>
        <v>46</v>
      </c>
      <c r="D770" s="12" t="str">
        <f>IFERROR(__xludf.DUMMYFUNCTION("""COMPUTED_VALUE"""),"Primula cocoon cardi")</f>
        <v>Primula cocoon cardi</v>
      </c>
      <c r="E770" s="12" t="str">
        <f>IFERROR(__xludf.DUMMYFUNCTION("""COMPUTED_VALUE"""),"This is huge. i understand that's the style, but it looked like i was wearing my husband's size xxl. i tried to imagine a really cold day when all that extra fabric would be nice... but then it started to itch, and itch and itch!")</f>
        <v>This is huge. i understand that's the style, but it looked like i was wearing my husband's size xxl. i tried to imagine a really cold day when all that extra fabric would be nice... but then it started to itch, and itch and itch!</v>
      </c>
      <c r="F770" s="13">
        <f>IFERROR(__xludf.DUMMYFUNCTION("""COMPUTED_VALUE"""),2.0)</f>
        <v>2</v>
      </c>
      <c r="G770" s="13">
        <f>IFERROR(__xludf.DUMMYFUNCTION("""COMPUTED_VALUE"""),0.0)</f>
        <v>0</v>
      </c>
      <c r="H770" s="13">
        <f>IFERROR(__xludf.DUMMYFUNCTION("""COMPUTED_VALUE"""),4.0)</f>
        <v>4</v>
      </c>
      <c r="I770" s="13" t="str">
        <f>IFERROR(__xludf.DUMMYFUNCTION("""COMPUTED_VALUE"""),"General")</f>
        <v>General</v>
      </c>
      <c r="J770" s="13" t="str">
        <f>IFERROR(__xludf.DUMMYFUNCTION("""COMPUTED_VALUE"""),"Tops")</f>
        <v>Tops</v>
      </c>
      <c r="K770" s="13" t="str">
        <f>IFERROR(__xludf.DUMMYFUNCTION("""COMPUTED_VALUE"""),"Sweaters")</f>
        <v>Sweaters</v>
      </c>
      <c r="L770" s="13"/>
    </row>
    <row r="771">
      <c r="A771" s="13">
        <f>IFERROR(__xludf.DUMMYFUNCTION("""COMPUTED_VALUE"""),769.0)</f>
        <v>769</v>
      </c>
      <c r="B771" s="13">
        <f>IFERROR(__xludf.DUMMYFUNCTION("""COMPUTED_VALUE"""),937.0)</f>
        <v>937</v>
      </c>
      <c r="C771" s="13">
        <f>IFERROR(__xludf.DUMMYFUNCTION("""COMPUTED_VALUE"""),32.0)</f>
        <v>32</v>
      </c>
      <c r="D771" s="12" t="str">
        <f>IFERROR(__xludf.DUMMYFUNCTION("""COMPUTED_VALUE"""),"Not for me")</f>
        <v>Not for me</v>
      </c>
      <c r="E771" s="12" t="str">
        <f>IFERROR(__xludf.DUMMYFUNCTION("""COMPUTED_VALUE"""),"The fit is not as shown on the website. will be returning.")</f>
        <v>The fit is not as shown on the website. will be returning.</v>
      </c>
      <c r="F771" s="13">
        <f>IFERROR(__xludf.DUMMYFUNCTION("""COMPUTED_VALUE"""),1.0)</f>
        <v>1</v>
      </c>
      <c r="G771" s="13">
        <f>IFERROR(__xludf.DUMMYFUNCTION("""COMPUTED_VALUE"""),0.0)</f>
        <v>0</v>
      </c>
      <c r="H771" s="13">
        <f>IFERROR(__xludf.DUMMYFUNCTION("""COMPUTED_VALUE"""),0.0)</f>
        <v>0</v>
      </c>
      <c r="I771" s="13" t="str">
        <f>IFERROR(__xludf.DUMMYFUNCTION("""COMPUTED_VALUE"""),"General")</f>
        <v>General</v>
      </c>
      <c r="J771" s="13" t="str">
        <f>IFERROR(__xludf.DUMMYFUNCTION("""COMPUTED_VALUE"""),"Tops")</f>
        <v>Tops</v>
      </c>
      <c r="K771" s="13" t="str">
        <f>IFERROR(__xludf.DUMMYFUNCTION("""COMPUTED_VALUE"""),"Sweaters")</f>
        <v>Sweaters</v>
      </c>
      <c r="L771" s="13"/>
    </row>
    <row r="772">
      <c r="A772" s="13">
        <f>IFERROR(__xludf.DUMMYFUNCTION("""COMPUTED_VALUE"""),770.0)</f>
        <v>770</v>
      </c>
      <c r="B772" s="13">
        <f>IFERROR(__xludf.DUMMYFUNCTION("""COMPUTED_VALUE"""),1110.0)</f>
        <v>1110</v>
      </c>
      <c r="C772" s="13">
        <f>IFERROR(__xludf.DUMMYFUNCTION("""COMPUTED_VALUE"""),24.0)</f>
        <v>24</v>
      </c>
      <c r="D772" s="12" t="str">
        <f>IFERROR(__xludf.DUMMYFUNCTION("""COMPUTED_VALUE"""),"Beautiful, runs very large")</f>
        <v>Beautiful, runs very large</v>
      </c>
      <c r="E772" s="12" t="str">
        <f>IFERROR(__xludf.DUMMYFUNCTION("""COMPUTED_VALUE"""),"The detail on this dress is lovely -- it's unusual and well-made from soft fabric. it is big though -- i would usually wear a medium and ordered a petite small. to give you a sense of how large it is, i am currently 33 weeks pregnant, and bought this to w"&amp;"ear after the pregnancy. i can actually get it on now, over the considerable baby bump. it doesn't look good, but i can in fact get it on. hoping it won't be way too large post-pregnancy, but it seems to fit fine in the shoulders now. definitely")</f>
        <v>The detail on this dress is lovely -- it's unusual and well-made from soft fabric. it is big though -- i would usually wear a medium and ordered a petite small. to give you a sense of how large it is, i am currently 33 weeks pregnant, and bought this to wear after the pregnancy. i can actually get it on now, over the considerable baby bump. it doesn't look good, but i can in fact get it on. hoping it won't be way too large post-pregnancy, but it seems to fit fine in the shoulders now. definitely</v>
      </c>
      <c r="F772" s="13">
        <f>IFERROR(__xludf.DUMMYFUNCTION("""COMPUTED_VALUE"""),4.0)</f>
        <v>4</v>
      </c>
      <c r="G772" s="13">
        <f>IFERROR(__xludf.DUMMYFUNCTION("""COMPUTED_VALUE"""),1.0)</f>
        <v>1</v>
      </c>
      <c r="H772" s="13">
        <f>IFERROR(__xludf.DUMMYFUNCTION("""COMPUTED_VALUE"""),1.0)</f>
        <v>1</v>
      </c>
      <c r="I772" s="13" t="str">
        <f>IFERROR(__xludf.DUMMYFUNCTION("""COMPUTED_VALUE"""),"General Petite")</f>
        <v>General Petite</v>
      </c>
      <c r="J772" s="13" t="str">
        <f>IFERROR(__xludf.DUMMYFUNCTION("""COMPUTED_VALUE"""),"Dresses")</f>
        <v>Dresses</v>
      </c>
      <c r="K772" s="13" t="str">
        <f>IFERROR(__xludf.DUMMYFUNCTION("""COMPUTED_VALUE"""),"Dresses")</f>
        <v>Dresses</v>
      </c>
      <c r="L772" s="13"/>
    </row>
    <row r="773">
      <c r="A773" s="13">
        <f>IFERROR(__xludf.DUMMYFUNCTION("""COMPUTED_VALUE"""),771.0)</f>
        <v>771</v>
      </c>
      <c r="B773" s="13">
        <f>IFERROR(__xludf.DUMMYFUNCTION("""COMPUTED_VALUE"""),1087.0)</f>
        <v>1087</v>
      </c>
      <c r="C773" s="13">
        <f>IFERROR(__xludf.DUMMYFUNCTION("""COMPUTED_VALUE"""),44.0)</f>
        <v>44</v>
      </c>
      <c r="D773" s="12"/>
      <c r="E773" s="12" t="str">
        <f>IFERROR(__xludf.DUMMYFUNCTION("""COMPUTED_VALUE"""),"I saw the cream color in size regular small in the ""only one left"" section at my local store. i had my heart set on this dress all summer but it was sold out, so i was super excited to see it. the color is true cream, like linen color. i was surprised t"&amp;"hat the dress is very heavy, as heavy as a medium sized coat. i can't understand why it's so heavy because the top is sleeveless and the dress part is pretty sheer. the dress is about 2"" pass my feet which i wouldn't mind having it hemmed, but the")</f>
        <v>I saw the cream color in size regular small in the "only one left" section at my local store. i had my heart set on this dress all summer but it was sold out, so i was super excited to see it. the color is true cream, like linen color. i was surprised that the dress is very heavy, as heavy as a medium sized coat. i can't understand why it's so heavy because the top is sleeveless and the dress part is pretty sheer. the dress is about 2" pass my feet which i wouldn't mind having it hemmed, but the</v>
      </c>
      <c r="F773" s="13">
        <f>IFERROR(__xludf.DUMMYFUNCTION("""COMPUTED_VALUE"""),4.0)</f>
        <v>4</v>
      </c>
      <c r="G773" s="13">
        <f>IFERROR(__xludf.DUMMYFUNCTION("""COMPUTED_VALUE"""),1.0)</f>
        <v>1</v>
      </c>
      <c r="H773" s="13">
        <f>IFERROR(__xludf.DUMMYFUNCTION("""COMPUTED_VALUE"""),0.0)</f>
        <v>0</v>
      </c>
      <c r="I773" s="13" t="str">
        <f>IFERROR(__xludf.DUMMYFUNCTION("""COMPUTED_VALUE"""),"General")</f>
        <v>General</v>
      </c>
      <c r="J773" s="13" t="str">
        <f>IFERROR(__xludf.DUMMYFUNCTION("""COMPUTED_VALUE"""),"Dresses")</f>
        <v>Dresses</v>
      </c>
      <c r="K773" s="13" t="str">
        <f>IFERROR(__xludf.DUMMYFUNCTION("""COMPUTED_VALUE"""),"Dresses")</f>
        <v>Dresses</v>
      </c>
      <c r="L773" s="13"/>
    </row>
    <row r="774">
      <c r="A774" s="13">
        <f>IFERROR(__xludf.DUMMYFUNCTION("""COMPUTED_VALUE"""),772.0)</f>
        <v>772</v>
      </c>
      <c r="B774" s="13">
        <f>IFERROR(__xludf.DUMMYFUNCTION("""COMPUTED_VALUE"""),745.0)</f>
        <v>745</v>
      </c>
      <c r="C774" s="13">
        <f>IFERROR(__xludf.DUMMYFUNCTION("""COMPUTED_VALUE"""),33.0)</f>
        <v>33</v>
      </c>
      <c r="D774" s="12" t="str">
        <f>IFERROR(__xludf.DUMMYFUNCTION("""COMPUTED_VALUE"""),"Super soft and comfortable")</f>
        <v>Super soft and comfortable</v>
      </c>
      <c r="E774" s="12" t="str">
        <f>IFERROR(__xludf.DUMMYFUNCTION("""COMPUTED_VALUE"""),"There's are just what i was looking for! these are perfect in texture and thickness...not too thick but not too thin. super soft fleece on the inside. i both both the black and green...i will most likely but the grey soon enough.")</f>
        <v>There's are just what i was looking for! these are perfect in texture and thickness...not too thick but not too thin. super soft fleece on the inside. i both both the black and green...i will most likely but the grey soon enough.</v>
      </c>
      <c r="F774" s="13">
        <f>IFERROR(__xludf.DUMMYFUNCTION("""COMPUTED_VALUE"""),5.0)</f>
        <v>5</v>
      </c>
      <c r="G774" s="13">
        <f>IFERROR(__xludf.DUMMYFUNCTION("""COMPUTED_VALUE"""),1.0)</f>
        <v>1</v>
      </c>
      <c r="H774" s="13">
        <f>IFERROR(__xludf.DUMMYFUNCTION("""COMPUTED_VALUE"""),0.0)</f>
        <v>0</v>
      </c>
      <c r="I774" s="13" t="str">
        <f>IFERROR(__xludf.DUMMYFUNCTION("""COMPUTED_VALUE"""),"Initmates")</f>
        <v>Initmates</v>
      </c>
      <c r="J774" s="13" t="str">
        <f>IFERROR(__xludf.DUMMYFUNCTION("""COMPUTED_VALUE"""),"Intimate")</f>
        <v>Intimate</v>
      </c>
      <c r="K774" s="13" t="str">
        <f>IFERROR(__xludf.DUMMYFUNCTION("""COMPUTED_VALUE"""),"Legwear")</f>
        <v>Legwear</v>
      </c>
      <c r="L774" s="13"/>
    </row>
    <row r="775">
      <c r="A775" s="13">
        <f>IFERROR(__xludf.DUMMYFUNCTION("""COMPUTED_VALUE"""),773.0)</f>
        <v>773</v>
      </c>
      <c r="B775" s="13">
        <f>IFERROR(__xludf.DUMMYFUNCTION("""COMPUTED_VALUE"""),1087.0)</f>
        <v>1087</v>
      </c>
      <c r="C775" s="13">
        <f>IFERROR(__xludf.DUMMYFUNCTION("""COMPUTED_VALUE"""),38.0)</f>
        <v>38</v>
      </c>
      <c r="D775" s="12" t="str">
        <f>IFERROR(__xludf.DUMMYFUNCTION("""COMPUTED_VALUE"""),"Awful if you have any sort of curves!")</f>
        <v>Awful if you have any sort of curves!</v>
      </c>
      <c r="E775" s="12" t="str">
        <f>IFERROR(__xludf.DUMMYFUNCTION("""COMPUTED_VALUE"""),"I am floored by the amount of positive reviews on this dress! when i received it, it looked nothing like it does on the model. the bottom looked like dirty sand and was completely wrinkled. if you have anything above a c cup, the top looks completely unfl"&amp;"attering. i looked so top heavy in this dress! definitely not worth the price. so disappointed.")</f>
        <v>I am floored by the amount of positive reviews on this dress! when i received it, it looked nothing like it does on the model. the bottom looked like dirty sand and was completely wrinkled. if you have anything above a c cup, the top looks completely unflattering. i looked so top heavy in this dress! definitely not worth the price. so disappointed.</v>
      </c>
      <c r="F775" s="13">
        <f>IFERROR(__xludf.DUMMYFUNCTION("""COMPUTED_VALUE"""),2.0)</f>
        <v>2</v>
      </c>
      <c r="G775" s="13">
        <f>IFERROR(__xludf.DUMMYFUNCTION("""COMPUTED_VALUE"""),0.0)</f>
        <v>0</v>
      </c>
      <c r="H775" s="13">
        <f>IFERROR(__xludf.DUMMYFUNCTION("""COMPUTED_VALUE"""),2.0)</f>
        <v>2</v>
      </c>
      <c r="I775" s="13" t="str">
        <f>IFERROR(__xludf.DUMMYFUNCTION("""COMPUTED_VALUE"""),"General")</f>
        <v>General</v>
      </c>
      <c r="J775" s="13" t="str">
        <f>IFERROR(__xludf.DUMMYFUNCTION("""COMPUTED_VALUE"""),"Dresses")</f>
        <v>Dresses</v>
      </c>
      <c r="K775" s="13" t="str">
        <f>IFERROR(__xludf.DUMMYFUNCTION("""COMPUTED_VALUE"""),"Dresses")</f>
        <v>Dresses</v>
      </c>
      <c r="L775" s="13"/>
    </row>
    <row r="776">
      <c r="A776" s="13">
        <f>IFERROR(__xludf.DUMMYFUNCTION("""COMPUTED_VALUE"""),774.0)</f>
        <v>774</v>
      </c>
      <c r="B776" s="13">
        <f>IFERROR(__xludf.DUMMYFUNCTION("""COMPUTED_VALUE"""),1110.0)</f>
        <v>1110</v>
      </c>
      <c r="C776" s="13">
        <f>IFERROR(__xludf.DUMMYFUNCTION("""COMPUTED_VALUE"""),42.0)</f>
        <v>42</v>
      </c>
      <c r="D776" s="12"/>
      <c r="E776" s="12" t="str">
        <f>IFERROR(__xludf.DUMMYFUNCTION("""COMPUTED_VALUE"""),"Adorable, comfortable dress. the denim is super soft with a bit of stretch. please be advised this dress runs very large, especially through the hips. i normally wear a size 12 and the large was swimming on me. i will definitely be exchanging it for a sma"&amp;"ller size.")</f>
        <v>Adorable, comfortable dress. the denim is super soft with a bit of stretch. please be advised this dress runs very large, especially through the hips. i normally wear a size 12 and the large was swimming on me. i will definitely be exchanging it for a smaller size.</v>
      </c>
      <c r="F776" s="13">
        <f>IFERROR(__xludf.DUMMYFUNCTION("""COMPUTED_VALUE"""),5.0)</f>
        <v>5</v>
      </c>
      <c r="G776" s="13">
        <f>IFERROR(__xludf.DUMMYFUNCTION("""COMPUTED_VALUE"""),1.0)</f>
        <v>1</v>
      </c>
      <c r="H776" s="13">
        <f>IFERROR(__xludf.DUMMYFUNCTION("""COMPUTED_VALUE"""),29.0)</f>
        <v>29</v>
      </c>
      <c r="I776" s="13" t="str">
        <f>IFERROR(__xludf.DUMMYFUNCTION("""COMPUTED_VALUE"""),"General Petite")</f>
        <v>General Petite</v>
      </c>
      <c r="J776" s="13" t="str">
        <f>IFERROR(__xludf.DUMMYFUNCTION("""COMPUTED_VALUE"""),"Dresses")</f>
        <v>Dresses</v>
      </c>
      <c r="K776" s="13" t="str">
        <f>IFERROR(__xludf.DUMMYFUNCTION("""COMPUTED_VALUE"""),"Dresses")</f>
        <v>Dresses</v>
      </c>
      <c r="L776" s="13"/>
    </row>
    <row r="777">
      <c r="A777" s="13">
        <f>IFERROR(__xludf.DUMMYFUNCTION("""COMPUTED_VALUE"""),775.0)</f>
        <v>775</v>
      </c>
      <c r="B777" s="13">
        <f>IFERROR(__xludf.DUMMYFUNCTION("""COMPUTED_VALUE"""),1110.0)</f>
        <v>1110</v>
      </c>
      <c r="C777" s="13">
        <f>IFERROR(__xludf.DUMMYFUNCTION("""COMPUTED_VALUE"""),35.0)</f>
        <v>35</v>
      </c>
      <c r="D777" s="12" t="str">
        <f>IFERROR(__xludf.DUMMYFUNCTION("""COMPUTED_VALUE"""),"Armholes huge")</f>
        <v>Armholes huge</v>
      </c>
      <c r="E777" s="12" t="str">
        <f>IFERROR(__xludf.DUMMYFUNCTION("""COMPUTED_VALUE"""),"This didn't work for me. im normally a m (8/10). got this in xs. that was the correct size for me, i believe. however, the armholes were huge. husband said the top of the dress looked like the autobots symbol from transformers and he wanted me to keep it."&amp;" but, i sent it back.")</f>
        <v>This didn't work for me. im normally a m (8/10). got this in xs. that was the correct size for me, i believe. however, the armholes were huge. husband said the top of the dress looked like the autobots symbol from transformers and he wanted me to keep it. but, i sent it back.</v>
      </c>
      <c r="F777" s="13">
        <f>IFERROR(__xludf.DUMMYFUNCTION("""COMPUTED_VALUE"""),2.0)</f>
        <v>2</v>
      </c>
      <c r="G777" s="13">
        <f>IFERROR(__xludf.DUMMYFUNCTION("""COMPUTED_VALUE"""),0.0)</f>
        <v>0</v>
      </c>
      <c r="H777" s="13">
        <f>IFERROR(__xludf.DUMMYFUNCTION("""COMPUTED_VALUE"""),0.0)</f>
        <v>0</v>
      </c>
      <c r="I777" s="13" t="str">
        <f>IFERROR(__xludf.DUMMYFUNCTION("""COMPUTED_VALUE"""),"General Petite")</f>
        <v>General Petite</v>
      </c>
      <c r="J777" s="13" t="str">
        <f>IFERROR(__xludf.DUMMYFUNCTION("""COMPUTED_VALUE"""),"Dresses")</f>
        <v>Dresses</v>
      </c>
      <c r="K777" s="13" t="str">
        <f>IFERROR(__xludf.DUMMYFUNCTION("""COMPUTED_VALUE"""),"Dresses")</f>
        <v>Dresses</v>
      </c>
      <c r="L777" s="13"/>
    </row>
    <row r="778">
      <c r="A778" s="13">
        <f>IFERROR(__xludf.DUMMYFUNCTION("""COMPUTED_VALUE"""),776.0)</f>
        <v>776</v>
      </c>
      <c r="B778" s="13">
        <f>IFERROR(__xludf.DUMMYFUNCTION("""COMPUTED_VALUE"""),873.0)</f>
        <v>873</v>
      </c>
      <c r="C778" s="13">
        <f>IFERROR(__xludf.DUMMYFUNCTION("""COMPUTED_VALUE"""),52.0)</f>
        <v>52</v>
      </c>
      <c r="D778" s="12" t="str">
        <f>IFERROR(__xludf.DUMMYFUNCTION("""COMPUTED_VALUE"""),"Modern take on 1950's vibe")</f>
        <v>Modern take on 1950's vibe</v>
      </c>
      <c r="E778" s="12" t="str">
        <f>IFERROR(__xludf.DUMMYFUNCTION("""COMPUTED_VALUE"""),"I am long waisted and 5' 120 lbs. 34c. that being said, i purchased a size s regular and it fit perfectly. a petite would have been far too short. so i would recommend a regular size if you're a petite. also i have a big chest and this was very flattering"&amp;". because of my chest size i usually do best with a v neck, but this classic peter pan collar looks great! i purchased the black. i agree with one of the reviewers who said that the nude color looked like a mess of a weave. the black and white o")</f>
        <v>I am long waisted and 5' 120 lbs. 34c. that being said, i purchased a size s regular and it fit perfectly. a petite would have been far too short. so i would recommend a regular size if you're a petite. also i have a big chest and this was very flattering. because of my chest size i usually do best with a v neck, but this classic peter pan collar looks great! i purchased the black. i agree with one of the reviewers who said that the nude color looked like a mess of a weave. the black and white o</v>
      </c>
      <c r="F778" s="13">
        <f>IFERROR(__xludf.DUMMYFUNCTION("""COMPUTED_VALUE"""),5.0)</f>
        <v>5</v>
      </c>
      <c r="G778" s="13">
        <f>IFERROR(__xludf.DUMMYFUNCTION("""COMPUTED_VALUE"""),1.0)</f>
        <v>1</v>
      </c>
      <c r="H778" s="13">
        <f>IFERROR(__xludf.DUMMYFUNCTION("""COMPUTED_VALUE"""),1.0)</f>
        <v>1</v>
      </c>
      <c r="I778" s="13" t="str">
        <f>IFERROR(__xludf.DUMMYFUNCTION("""COMPUTED_VALUE"""),"General")</f>
        <v>General</v>
      </c>
      <c r="J778" s="13" t="str">
        <f>IFERROR(__xludf.DUMMYFUNCTION("""COMPUTED_VALUE"""),"Tops")</f>
        <v>Tops</v>
      </c>
      <c r="K778" s="13" t="str">
        <f>IFERROR(__xludf.DUMMYFUNCTION("""COMPUTED_VALUE"""),"Knits")</f>
        <v>Knits</v>
      </c>
      <c r="L778" s="13"/>
    </row>
    <row r="779">
      <c r="A779" s="13">
        <f>IFERROR(__xludf.DUMMYFUNCTION("""COMPUTED_VALUE"""),777.0)</f>
        <v>777</v>
      </c>
      <c r="B779" s="13">
        <f>IFERROR(__xludf.DUMMYFUNCTION("""COMPUTED_VALUE"""),895.0)</f>
        <v>895</v>
      </c>
      <c r="C779" s="13">
        <f>IFERROR(__xludf.DUMMYFUNCTION("""COMPUTED_VALUE"""),38.0)</f>
        <v>38</v>
      </c>
      <c r="D779" s="12" t="str">
        <f>IFERROR(__xludf.DUMMYFUNCTION("""COMPUTED_VALUE"""),"Most beautiful sweater that i own!")</f>
        <v>Most beautiful sweater that i own!</v>
      </c>
      <c r="E779" s="12" t="str">
        <f>IFERROR(__xludf.DUMMYFUNCTION("""COMPUTED_VALUE"""),"This is a bit pricey, but it's the most beautiful sweater that i own. it fits beautifully, and the material is soft, not itchy, which is important for a sweater with a cowl neck. the cowl sits beautifully, no matter how you ""fold"" it. and, the pattern b"&amp;"oth at the neck and the bottom is vibrant and bright, and is just lovely. i ordered a small and it covers my butt, which is perfect for leggings, or even with tights and boots. it's not shapeless, but seems to graze your thighs, and has a mild tur")</f>
        <v>This is a bit pricey, but it's the most beautiful sweater that i own. it fits beautifully, and the material is soft, not itchy, which is important for a sweater with a cowl neck. the cowl sits beautifully, no matter how you "fold" it. and, the pattern both at the neck and the bottom is vibrant and bright, and is just lovely. i ordered a small and it covers my butt, which is perfect for leggings, or even with tights and boots. it's not shapeless, but seems to graze your thighs, and has a mild tur</v>
      </c>
      <c r="F779" s="13">
        <f>IFERROR(__xludf.DUMMYFUNCTION("""COMPUTED_VALUE"""),5.0)</f>
        <v>5</v>
      </c>
      <c r="G779" s="13">
        <f>IFERROR(__xludf.DUMMYFUNCTION("""COMPUTED_VALUE"""),1.0)</f>
        <v>1</v>
      </c>
      <c r="H779" s="13">
        <f>IFERROR(__xludf.DUMMYFUNCTION("""COMPUTED_VALUE"""),3.0)</f>
        <v>3</v>
      </c>
      <c r="I779" s="13" t="str">
        <f>IFERROR(__xludf.DUMMYFUNCTION("""COMPUTED_VALUE"""),"General")</f>
        <v>General</v>
      </c>
      <c r="J779" s="13" t="str">
        <f>IFERROR(__xludf.DUMMYFUNCTION("""COMPUTED_VALUE"""),"Tops")</f>
        <v>Tops</v>
      </c>
      <c r="K779" s="13" t="str">
        <f>IFERROR(__xludf.DUMMYFUNCTION("""COMPUTED_VALUE"""),"Fine gauge")</f>
        <v>Fine gauge</v>
      </c>
      <c r="L779" s="13"/>
    </row>
    <row r="780">
      <c r="A780" s="13">
        <f>IFERROR(__xludf.DUMMYFUNCTION("""COMPUTED_VALUE"""),778.0)</f>
        <v>778</v>
      </c>
      <c r="B780" s="13">
        <f>IFERROR(__xludf.DUMMYFUNCTION("""COMPUTED_VALUE"""),895.0)</f>
        <v>895</v>
      </c>
      <c r="C780" s="13">
        <f>IFERROR(__xludf.DUMMYFUNCTION("""COMPUTED_VALUE"""),25.0)</f>
        <v>25</v>
      </c>
      <c r="D780" s="12" t="str">
        <f>IFERROR(__xludf.DUMMYFUNCTION("""COMPUTED_VALUE"""),"Perfect")</f>
        <v>Perfect</v>
      </c>
      <c r="E780" s="12" t="str">
        <f>IFERROR(__xludf.DUMMYFUNCTION("""COMPUTED_VALUE"""),"This product i better than the pic. nice fit and a nice throw on with boots nap glad i took a chance one it")</f>
        <v>This product i better than the pic. nice fit and a nice throw on with boots nap glad i took a chance one it</v>
      </c>
      <c r="F780" s="13">
        <f>IFERROR(__xludf.DUMMYFUNCTION("""COMPUTED_VALUE"""),5.0)</f>
        <v>5</v>
      </c>
      <c r="G780" s="13">
        <f>IFERROR(__xludf.DUMMYFUNCTION("""COMPUTED_VALUE"""),1.0)</f>
        <v>1</v>
      </c>
      <c r="H780" s="13">
        <f>IFERROR(__xludf.DUMMYFUNCTION("""COMPUTED_VALUE"""),1.0)</f>
        <v>1</v>
      </c>
      <c r="I780" s="13" t="str">
        <f>IFERROR(__xludf.DUMMYFUNCTION("""COMPUTED_VALUE"""),"General")</f>
        <v>General</v>
      </c>
      <c r="J780" s="13" t="str">
        <f>IFERROR(__xludf.DUMMYFUNCTION("""COMPUTED_VALUE"""),"Tops")</f>
        <v>Tops</v>
      </c>
      <c r="K780" s="13" t="str">
        <f>IFERROR(__xludf.DUMMYFUNCTION("""COMPUTED_VALUE"""),"Fine gauge")</f>
        <v>Fine gauge</v>
      </c>
      <c r="L780" s="13"/>
    </row>
    <row r="781">
      <c r="A781" s="13">
        <f>IFERROR(__xludf.DUMMYFUNCTION("""COMPUTED_VALUE"""),779.0)</f>
        <v>779</v>
      </c>
      <c r="B781" s="13">
        <f>IFERROR(__xludf.DUMMYFUNCTION("""COMPUTED_VALUE"""),895.0)</f>
        <v>895</v>
      </c>
      <c r="C781" s="13">
        <f>IFERROR(__xludf.DUMMYFUNCTION("""COMPUTED_VALUE"""),56.0)</f>
        <v>56</v>
      </c>
      <c r="D781" s="12" t="str">
        <f>IFERROR(__xludf.DUMMYFUNCTION("""COMPUTED_VALUE"""),"Imperial garden")</f>
        <v>Imperial garden</v>
      </c>
      <c r="E781" s="12" t="str">
        <f>IFERROR(__xludf.DUMMYFUNCTION("""COMPUTED_VALUE"""),"I bought this a month ago and returned it. but kept thinking about it so ordered it. it arrived on wed and i wore it on thursday as a dress with tights. i got so many compliments on it. it was perfect for the cool weather and was not too warm.
this knitt"&amp;"er thinks the quality of the jacquard knit is excellent. yarn used is top notch.")</f>
        <v>I bought this a month ago and returned it. but kept thinking about it so ordered it. it arrived on wed and i wore it on thursday as a dress with tights. i got so many compliments on it. it was perfect for the cool weather and was not too warm.
this knitter thinks the quality of the jacquard knit is excellent. yarn used is top notch.</v>
      </c>
      <c r="F781" s="13">
        <f>IFERROR(__xludf.DUMMYFUNCTION("""COMPUTED_VALUE"""),5.0)</f>
        <v>5</v>
      </c>
      <c r="G781" s="13">
        <f>IFERROR(__xludf.DUMMYFUNCTION("""COMPUTED_VALUE"""),1.0)</f>
        <v>1</v>
      </c>
      <c r="H781" s="13">
        <f>IFERROR(__xludf.DUMMYFUNCTION("""COMPUTED_VALUE"""),1.0)</f>
        <v>1</v>
      </c>
      <c r="I781" s="13" t="str">
        <f>IFERROR(__xludf.DUMMYFUNCTION("""COMPUTED_VALUE"""),"General")</f>
        <v>General</v>
      </c>
      <c r="J781" s="13" t="str">
        <f>IFERROR(__xludf.DUMMYFUNCTION("""COMPUTED_VALUE"""),"Tops")</f>
        <v>Tops</v>
      </c>
      <c r="K781" s="13" t="str">
        <f>IFERROR(__xludf.DUMMYFUNCTION("""COMPUTED_VALUE"""),"Fine gauge")</f>
        <v>Fine gauge</v>
      </c>
      <c r="L781" s="13"/>
    </row>
    <row r="782">
      <c r="A782" s="13">
        <f>IFERROR(__xludf.DUMMYFUNCTION("""COMPUTED_VALUE"""),780.0)</f>
        <v>780</v>
      </c>
      <c r="B782" s="13">
        <f>IFERROR(__xludf.DUMMYFUNCTION("""COMPUTED_VALUE"""),1072.0)</f>
        <v>1072</v>
      </c>
      <c r="C782" s="13">
        <f>IFERROR(__xludf.DUMMYFUNCTION("""COMPUTED_VALUE"""),56.0)</f>
        <v>56</v>
      </c>
      <c r="D782" s="12" t="str">
        <f>IFERROR(__xludf.DUMMYFUNCTION("""COMPUTED_VALUE"""),"No slip and totally sheer dress")</f>
        <v>No slip and totally sheer dress</v>
      </c>
      <c r="E782" s="12" t="str">
        <f>IFERROR(__xludf.DUMMYFUNCTION("""COMPUTED_VALUE"""),"I just received this in the mail today. first of all there was no slip included and the fabric is totally sheer. the description says ""viscose lining"" so i assume there was a slip and from the picture it looks like it was a beige color. second of all, i"&amp;"t was obviously sent from a store where they lost the slip and it was squished into the smallest possible retailer envelope. the fabric is beautiful but the dress is humongous like the previous reviewers said. i ordered a size smaller than us")</f>
        <v>I just received this in the mail today. first of all there was no slip included and the fabric is totally sheer. the description says "viscose lining" so i assume there was a slip and from the picture it looks like it was a beige color. second of all, it was obviously sent from a store where they lost the slip and it was squished into the smallest possible retailer envelope. the fabric is beautiful but the dress is humongous like the previous reviewers said. i ordered a size smaller than us</v>
      </c>
      <c r="F782" s="13">
        <f>IFERROR(__xludf.DUMMYFUNCTION("""COMPUTED_VALUE"""),2.0)</f>
        <v>2</v>
      </c>
      <c r="G782" s="13">
        <f>IFERROR(__xludf.DUMMYFUNCTION("""COMPUTED_VALUE"""),0.0)</f>
        <v>0</v>
      </c>
      <c r="H782" s="13">
        <f>IFERROR(__xludf.DUMMYFUNCTION("""COMPUTED_VALUE"""),0.0)</f>
        <v>0</v>
      </c>
      <c r="I782" s="13" t="str">
        <f>IFERROR(__xludf.DUMMYFUNCTION("""COMPUTED_VALUE"""),"General")</f>
        <v>General</v>
      </c>
      <c r="J782" s="13" t="str">
        <f>IFERROR(__xludf.DUMMYFUNCTION("""COMPUTED_VALUE"""),"Dresses")</f>
        <v>Dresses</v>
      </c>
      <c r="K782" s="13" t="str">
        <f>IFERROR(__xludf.DUMMYFUNCTION("""COMPUTED_VALUE"""),"Dresses")</f>
        <v>Dresses</v>
      </c>
      <c r="L782" s="13"/>
    </row>
    <row r="783">
      <c r="A783" s="13">
        <f>IFERROR(__xludf.DUMMYFUNCTION("""COMPUTED_VALUE"""),781.0)</f>
        <v>781</v>
      </c>
      <c r="B783" s="13">
        <f>IFERROR(__xludf.DUMMYFUNCTION("""COMPUTED_VALUE"""),895.0)</f>
        <v>895</v>
      </c>
      <c r="C783" s="13">
        <f>IFERROR(__xludf.DUMMYFUNCTION("""COMPUTED_VALUE"""),23.0)</f>
        <v>23</v>
      </c>
      <c r="D783" s="12" t="str">
        <f>IFERROR(__xludf.DUMMYFUNCTION("""COMPUTED_VALUE"""),"Amazing")</f>
        <v>Amazing</v>
      </c>
      <c r="E783" s="12" t="str">
        <f>IFERROR(__xludf.DUMMYFUNCTION("""COMPUTED_VALUE"""),"I am six feet tall so this will definitely be a tunic with jeans or leggings but if you are shorter it could easily be a dress. lovely pattern with soft cozy fabric. nice weight and hangs well. definitely a keeper!")</f>
        <v>I am six feet tall so this will definitely be a tunic with jeans or leggings but if you are shorter it could easily be a dress. lovely pattern with soft cozy fabric. nice weight and hangs well. definitely a keeper!</v>
      </c>
      <c r="F783" s="13">
        <f>IFERROR(__xludf.DUMMYFUNCTION("""COMPUTED_VALUE"""),5.0)</f>
        <v>5</v>
      </c>
      <c r="G783" s="13">
        <f>IFERROR(__xludf.DUMMYFUNCTION("""COMPUTED_VALUE"""),1.0)</f>
        <v>1</v>
      </c>
      <c r="H783" s="13">
        <f>IFERROR(__xludf.DUMMYFUNCTION("""COMPUTED_VALUE"""),0.0)</f>
        <v>0</v>
      </c>
      <c r="I783" s="13" t="str">
        <f>IFERROR(__xludf.DUMMYFUNCTION("""COMPUTED_VALUE"""),"General")</f>
        <v>General</v>
      </c>
      <c r="J783" s="13" t="str">
        <f>IFERROR(__xludf.DUMMYFUNCTION("""COMPUTED_VALUE"""),"Tops")</f>
        <v>Tops</v>
      </c>
      <c r="K783" s="13" t="str">
        <f>IFERROR(__xludf.DUMMYFUNCTION("""COMPUTED_VALUE"""),"Fine gauge")</f>
        <v>Fine gauge</v>
      </c>
      <c r="L783" s="13"/>
    </row>
    <row r="784">
      <c r="A784" s="13">
        <f>IFERROR(__xludf.DUMMYFUNCTION("""COMPUTED_VALUE"""),782.0)</f>
        <v>782</v>
      </c>
      <c r="B784" s="13">
        <f>IFERROR(__xludf.DUMMYFUNCTION("""COMPUTED_VALUE"""),945.0)</f>
        <v>945</v>
      </c>
      <c r="C784" s="13">
        <f>IFERROR(__xludf.DUMMYFUNCTION("""COMPUTED_VALUE"""),53.0)</f>
        <v>53</v>
      </c>
      <c r="D784" s="12" t="str">
        <f>IFERROR(__xludf.DUMMYFUNCTION("""COMPUTED_VALUE"""),"Ordinary for the price")</f>
        <v>Ordinary for the price</v>
      </c>
      <c r="E784" s="12" t="str">
        <f>IFERROR(__xludf.DUMMYFUNCTION("""COMPUTED_VALUE"""),"I was so excited to order this sweater but was so disappointed when it came. the knit is somewhat stiff and the sleeves are not as bell shaped as pictured on the model. overall i would of kept it if it were much less money, for the price it is just an ord"&amp;"inary sweater with no style.")</f>
        <v>I was so excited to order this sweater but was so disappointed when it came. the knit is somewhat stiff and the sleeves are not as bell shaped as pictured on the model. overall i would of kept it if it were much less money, for the price it is just an ordinary sweater with no style.</v>
      </c>
      <c r="F784" s="13">
        <f>IFERROR(__xludf.DUMMYFUNCTION("""COMPUTED_VALUE"""),1.0)</f>
        <v>1</v>
      </c>
      <c r="G784" s="13">
        <f>IFERROR(__xludf.DUMMYFUNCTION("""COMPUTED_VALUE"""),0.0)</f>
        <v>0</v>
      </c>
      <c r="H784" s="13">
        <f>IFERROR(__xludf.DUMMYFUNCTION("""COMPUTED_VALUE"""),12.0)</f>
        <v>12</v>
      </c>
      <c r="I784" s="13" t="str">
        <f>IFERROR(__xludf.DUMMYFUNCTION("""COMPUTED_VALUE"""),"General")</f>
        <v>General</v>
      </c>
      <c r="J784" s="13" t="str">
        <f>IFERROR(__xludf.DUMMYFUNCTION("""COMPUTED_VALUE"""),"Tops")</f>
        <v>Tops</v>
      </c>
      <c r="K784" s="13" t="str">
        <f>IFERROR(__xludf.DUMMYFUNCTION("""COMPUTED_VALUE"""),"Sweaters")</f>
        <v>Sweaters</v>
      </c>
      <c r="L784" s="13"/>
    </row>
    <row r="785">
      <c r="A785" s="13">
        <f>IFERROR(__xludf.DUMMYFUNCTION("""COMPUTED_VALUE"""),783.0)</f>
        <v>783</v>
      </c>
      <c r="B785" s="13">
        <f>IFERROR(__xludf.DUMMYFUNCTION("""COMPUTED_VALUE"""),895.0)</f>
        <v>895</v>
      </c>
      <c r="C785" s="13">
        <f>IFERROR(__xludf.DUMMYFUNCTION("""COMPUTED_VALUE"""),47.0)</f>
        <v>47</v>
      </c>
      <c r="D785" s="12" t="str">
        <f>IFERROR(__xludf.DUMMYFUNCTION("""COMPUTED_VALUE"""),"Didn't work on my pear shape")</f>
        <v>Didn't work on my pear shape</v>
      </c>
      <c r="E785" s="12" t="str">
        <f>IFERROR(__xludf.DUMMYFUNCTION("""COMPUTED_VALUE"""),"After reading the reviews i decided to give this a try, but it just didn't work on me. i'm 5'8, smaller on top, and usually wear m in retailer sizes. this was ok in the shoulder and arm area but a little too snug for me in the hips. also, the diagonal str"&amp;"iping made my boobs disappear and the pattern at the bottom emphasized my tummy and rear. not exactly the look i was going for. back it goes.")</f>
        <v>After reading the reviews i decided to give this a try, but it just didn't work on me. i'm 5'8, smaller on top, and usually wear m in retailer sizes. this was ok in the shoulder and arm area but a little too snug for me in the hips. also, the diagonal striping made my boobs disappear and the pattern at the bottom emphasized my tummy and rear. not exactly the look i was going for. back it goes.</v>
      </c>
      <c r="F785" s="13">
        <f>IFERROR(__xludf.DUMMYFUNCTION("""COMPUTED_VALUE"""),3.0)</f>
        <v>3</v>
      </c>
      <c r="G785" s="13">
        <f>IFERROR(__xludf.DUMMYFUNCTION("""COMPUTED_VALUE"""),0.0)</f>
        <v>0</v>
      </c>
      <c r="H785" s="13">
        <f>IFERROR(__xludf.DUMMYFUNCTION("""COMPUTED_VALUE"""),0.0)</f>
        <v>0</v>
      </c>
      <c r="I785" s="13" t="str">
        <f>IFERROR(__xludf.DUMMYFUNCTION("""COMPUTED_VALUE"""),"General")</f>
        <v>General</v>
      </c>
      <c r="J785" s="13" t="str">
        <f>IFERROR(__xludf.DUMMYFUNCTION("""COMPUTED_VALUE"""),"Tops")</f>
        <v>Tops</v>
      </c>
      <c r="K785" s="13" t="str">
        <f>IFERROR(__xludf.DUMMYFUNCTION("""COMPUTED_VALUE"""),"Fine gauge")</f>
        <v>Fine gauge</v>
      </c>
      <c r="L785" s="13"/>
    </row>
    <row r="786">
      <c r="A786" s="13">
        <f>IFERROR(__xludf.DUMMYFUNCTION("""COMPUTED_VALUE"""),784.0)</f>
        <v>784</v>
      </c>
      <c r="B786" s="13">
        <f>IFERROR(__xludf.DUMMYFUNCTION("""COMPUTED_VALUE"""),850.0)</f>
        <v>850</v>
      </c>
      <c r="C786" s="13">
        <f>IFERROR(__xludf.DUMMYFUNCTION("""COMPUTED_VALUE"""),45.0)</f>
        <v>45</v>
      </c>
      <c r="D786" s="12" t="str">
        <f>IFERROR(__xludf.DUMMYFUNCTION("""COMPUTED_VALUE"""),"Good basic - but sheer")</f>
        <v>Good basic - but sheer</v>
      </c>
      <c r="E786" s="12" t="str">
        <f>IFERROR(__xludf.DUMMYFUNCTION("""COMPUTED_VALUE"""),"I loved this in the store, but had to order my size. it is true to size - a great length - but the material is very thin and very sheer. i don't think it will carry over into fall - it is more of a summer weight fabric. it is also a little pricey for that"&amp;" same reason - still - its a great basic and i will keep my eye out for it to go on sale.")</f>
        <v>I loved this in the store, but had to order my size. it is true to size - a great length - but the material is very thin and very sheer. i don't think it will carry over into fall - it is more of a summer weight fabric. it is also a little pricey for that same reason - still - its a great basic and i will keep my eye out for it to go on sale.</v>
      </c>
      <c r="F786" s="13">
        <f>IFERROR(__xludf.DUMMYFUNCTION("""COMPUTED_VALUE"""),4.0)</f>
        <v>4</v>
      </c>
      <c r="G786" s="13">
        <f>IFERROR(__xludf.DUMMYFUNCTION("""COMPUTED_VALUE"""),1.0)</f>
        <v>1</v>
      </c>
      <c r="H786" s="13">
        <f>IFERROR(__xludf.DUMMYFUNCTION("""COMPUTED_VALUE"""),0.0)</f>
        <v>0</v>
      </c>
      <c r="I786" s="13" t="str">
        <f>IFERROR(__xludf.DUMMYFUNCTION("""COMPUTED_VALUE"""),"General")</f>
        <v>General</v>
      </c>
      <c r="J786" s="13" t="str">
        <f>IFERROR(__xludf.DUMMYFUNCTION("""COMPUTED_VALUE"""),"Tops")</f>
        <v>Tops</v>
      </c>
      <c r="K786" s="13" t="str">
        <f>IFERROR(__xludf.DUMMYFUNCTION("""COMPUTED_VALUE"""),"Blouses")</f>
        <v>Blouses</v>
      </c>
      <c r="L786" s="13"/>
    </row>
    <row r="787">
      <c r="A787" s="13">
        <f>IFERROR(__xludf.DUMMYFUNCTION("""COMPUTED_VALUE"""),785.0)</f>
        <v>785</v>
      </c>
      <c r="B787" s="13">
        <f>IFERROR(__xludf.DUMMYFUNCTION("""COMPUTED_VALUE"""),945.0)</f>
        <v>945</v>
      </c>
      <c r="C787" s="13">
        <f>IFERROR(__xludf.DUMMYFUNCTION("""COMPUTED_VALUE"""),33.0)</f>
        <v>33</v>
      </c>
      <c r="D787" s="12" t="str">
        <f>IFERROR(__xludf.DUMMYFUNCTION("""COMPUTED_VALUE"""),"Effortlessly chic!")</f>
        <v>Effortlessly chic!</v>
      </c>
      <c r="E787" s="12" t="str">
        <f>IFERROR(__xludf.DUMMYFUNCTION("""COMPUTED_VALUE"""),"I absolutely love this sweater! first of all, it's extremely comfortable. i have been wearing it around the house all day and have no desire to take it off. it's cute as a casual around the house top, but also adorable dressed up with jeans and boots. it "&amp;"drapes beautifully for an effortless chic look. the color is pretty close to the photo and very nice in person. the possibilities are endless for colors to accessorize and match with. this sweater is definitely cropped in length, which i normall")</f>
        <v>I absolutely love this sweater! first of all, it's extremely comfortable. i have been wearing it around the house all day and have no desire to take it off. it's cute as a casual around the house top, but also adorable dressed up with jeans and boots. it drapes beautifully for an effortless chic look. the color is pretty close to the photo and very nice in person. the possibilities are endless for colors to accessorize and match with. this sweater is definitely cropped in length, which i normall</v>
      </c>
      <c r="F787" s="13">
        <f>IFERROR(__xludf.DUMMYFUNCTION("""COMPUTED_VALUE"""),5.0)</f>
        <v>5</v>
      </c>
      <c r="G787" s="13">
        <f>IFERROR(__xludf.DUMMYFUNCTION("""COMPUTED_VALUE"""),1.0)</f>
        <v>1</v>
      </c>
      <c r="H787" s="13">
        <f>IFERROR(__xludf.DUMMYFUNCTION("""COMPUTED_VALUE"""),0.0)</f>
        <v>0</v>
      </c>
      <c r="I787" s="13" t="str">
        <f>IFERROR(__xludf.DUMMYFUNCTION("""COMPUTED_VALUE"""),"General")</f>
        <v>General</v>
      </c>
      <c r="J787" s="13" t="str">
        <f>IFERROR(__xludf.DUMMYFUNCTION("""COMPUTED_VALUE"""),"Tops")</f>
        <v>Tops</v>
      </c>
      <c r="K787" s="13" t="str">
        <f>IFERROR(__xludf.DUMMYFUNCTION("""COMPUTED_VALUE"""),"Sweaters")</f>
        <v>Sweaters</v>
      </c>
      <c r="L787" s="13"/>
    </row>
    <row r="788">
      <c r="A788" s="13">
        <f>IFERROR(__xludf.DUMMYFUNCTION("""COMPUTED_VALUE"""),786.0)</f>
        <v>786</v>
      </c>
      <c r="B788" s="13">
        <f>IFERROR(__xludf.DUMMYFUNCTION("""COMPUTED_VALUE"""),895.0)</f>
        <v>895</v>
      </c>
      <c r="C788" s="13">
        <f>IFERROR(__xludf.DUMMYFUNCTION("""COMPUTED_VALUE"""),56.0)</f>
        <v>56</v>
      </c>
      <c r="D788" s="12" t="str">
        <f>IFERROR(__xludf.DUMMYFUNCTION("""COMPUTED_VALUE"""),"Don't trust anyone")</f>
        <v>Don't trust anyone</v>
      </c>
      <c r="E788" s="12" t="str">
        <f>IFERROR(__xludf.DUMMYFUNCTION("""COMPUTED_VALUE"""),"Haha, the unifying theme in these reviews seems to be don't trust the picture! i was misled by the neckline, i thought i saw a structured kind of asian-inspired mockneck/funnel thing and instead the top has a foldover cowl which, with my full bust underne"&amp;"ath it, refuses to pose as a mockneck for me. overall there isn't much structure here at all. but the print is beautiful and the sweater cozy without being itchy.")</f>
        <v>Haha, the unifying theme in these reviews seems to be don't trust the picture! i was misled by the neckline, i thought i saw a structured kind of asian-inspired mockneck/funnel thing and instead the top has a foldover cowl which, with my full bust underneath it, refuses to pose as a mockneck for me. overall there isn't much structure here at all. but the print is beautiful and the sweater cozy without being itchy.</v>
      </c>
      <c r="F788" s="13">
        <f>IFERROR(__xludf.DUMMYFUNCTION("""COMPUTED_VALUE"""),4.0)</f>
        <v>4</v>
      </c>
      <c r="G788" s="13">
        <f>IFERROR(__xludf.DUMMYFUNCTION("""COMPUTED_VALUE"""),1.0)</f>
        <v>1</v>
      </c>
      <c r="H788" s="13">
        <f>IFERROR(__xludf.DUMMYFUNCTION("""COMPUTED_VALUE"""),1.0)</f>
        <v>1</v>
      </c>
      <c r="I788" s="13" t="str">
        <f>IFERROR(__xludf.DUMMYFUNCTION("""COMPUTED_VALUE"""),"General")</f>
        <v>General</v>
      </c>
      <c r="J788" s="13" t="str">
        <f>IFERROR(__xludf.DUMMYFUNCTION("""COMPUTED_VALUE"""),"Tops")</f>
        <v>Tops</v>
      </c>
      <c r="K788" s="13" t="str">
        <f>IFERROR(__xludf.DUMMYFUNCTION("""COMPUTED_VALUE"""),"Fine gauge")</f>
        <v>Fine gauge</v>
      </c>
      <c r="L788" s="13"/>
    </row>
    <row r="789">
      <c r="A789" s="13">
        <f>IFERROR(__xludf.DUMMYFUNCTION("""COMPUTED_VALUE"""),787.0)</f>
        <v>787</v>
      </c>
      <c r="B789" s="13">
        <f>IFERROR(__xludf.DUMMYFUNCTION("""COMPUTED_VALUE"""),805.0)</f>
        <v>805</v>
      </c>
      <c r="C789" s="13">
        <f>IFERROR(__xludf.DUMMYFUNCTION("""COMPUTED_VALUE"""),43.0)</f>
        <v>43</v>
      </c>
      <c r="D789" s="12" t="str">
        <f>IFERROR(__xludf.DUMMYFUNCTION("""COMPUTED_VALUE"""),"Sheet")</f>
        <v>Sheet</v>
      </c>
      <c r="E789" s="12" t="str">
        <f>IFERROR(__xludf.DUMMYFUNCTION("""COMPUTED_VALUE"""),"Love the shape and cut of this top but it is so sheer you could see my belly button through it. if it was a dark color i would buy it. wore my regular size small. i'm 5'5""130lbs  and 32dd.")</f>
        <v>Love the shape and cut of this top but it is so sheer you could see my belly button through it. if it was a dark color i would buy it. wore my regular size small. i'm 5'5"130lbs  and 32dd.</v>
      </c>
      <c r="F789" s="13">
        <f>IFERROR(__xludf.DUMMYFUNCTION("""COMPUTED_VALUE"""),3.0)</f>
        <v>3</v>
      </c>
      <c r="G789" s="13">
        <f>IFERROR(__xludf.DUMMYFUNCTION("""COMPUTED_VALUE"""),0.0)</f>
        <v>0</v>
      </c>
      <c r="H789" s="13">
        <f>IFERROR(__xludf.DUMMYFUNCTION("""COMPUTED_VALUE"""),2.0)</f>
        <v>2</v>
      </c>
      <c r="I789" s="13" t="str">
        <f>IFERROR(__xludf.DUMMYFUNCTION("""COMPUTED_VALUE"""),"Initmates")</f>
        <v>Initmates</v>
      </c>
      <c r="J789" s="13" t="str">
        <f>IFERROR(__xludf.DUMMYFUNCTION("""COMPUTED_VALUE"""),"Intimate")</f>
        <v>Intimate</v>
      </c>
      <c r="K789" s="13" t="str">
        <f>IFERROR(__xludf.DUMMYFUNCTION("""COMPUTED_VALUE"""),"Lounge")</f>
        <v>Lounge</v>
      </c>
      <c r="L789" s="13"/>
    </row>
    <row r="790">
      <c r="A790" s="13">
        <f>IFERROR(__xludf.DUMMYFUNCTION("""COMPUTED_VALUE"""),788.0)</f>
        <v>788</v>
      </c>
      <c r="B790" s="13">
        <f>IFERROR(__xludf.DUMMYFUNCTION("""COMPUTED_VALUE"""),850.0)</f>
        <v>850</v>
      </c>
      <c r="C790" s="13">
        <f>IFERROR(__xludf.DUMMYFUNCTION("""COMPUTED_VALUE"""),49.0)</f>
        <v>49</v>
      </c>
      <c r="D790" s="12" t="str">
        <f>IFERROR(__xludf.DUMMYFUNCTION("""COMPUTED_VALUE"""),"Happyinpdx")</f>
        <v>Happyinpdx</v>
      </c>
      <c r="E790" s="12" t="str">
        <f>IFERROR(__xludf.DUMMYFUNCTION("""COMPUTED_VALUE"""),"Has quickly become one of my 'go to' tops. comfortable, cute, looks just like the picture.")</f>
        <v>Has quickly become one of my 'go to' tops. comfortable, cute, looks just like the picture.</v>
      </c>
      <c r="F790" s="13">
        <f>IFERROR(__xludf.DUMMYFUNCTION("""COMPUTED_VALUE"""),5.0)</f>
        <v>5</v>
      </c>
      <c r="G790" s="13">
        <f>IFERROR(__xludf.DUMMYFUNCTION("""COMPUTED_VALUE"""),1.0)</f>
        <v>1</v>
      </c>
      <c r="H790" s="13">
        <f>IFERROR(__xludf.DUMMYFUNCTION("""COMPUTED_VALUE"""),1.0)</f>
        <v>1</v>
      </c>
      <c r="I790" s="13" t="str">
        <f>IFERROR(__xludf.DUMMYFUNCTION("""COMPUTED_VALUE"""),"General")</f>
        <v>General</v>
      </c>
      <c r="J790" s="13" t="str">
        <f>IFERROR(__xludf.DUMMYFUNCTION("""COMPUTED_VALUE"""),"Tops")</f>
        <v>Tops</v>
      </c>
      <c r="K790" s="13" t="str">
        <f>IFERROR(__xludf.DUMMYFUNCTION("""COMPUTED_VALUE"""),"Blouses")</f>
        <v>Blouses</v>
      </c>
      <c r="L790" s="13"/>
    </row>
    <row r="791">
      <c r="A791" s="13">
        <f>IFERROR(__xludf.DUMMYFUNCTION("""COMPUTED_VALUE"""),789.0)</f>
        <v>789</v>
      </c>
      <c r="B791" s="13">
        <f>IFERROR(__xludf.DUMMYFUNCTION("""COMPUTED_VALUE"""),850.0)</f>
        <v>850</v>
      </c>
      <c r="C791" s="13">
        <f>IFERROR(__xludf.DUMMYFUNCTION("""COMPUTED_VALUE"""),36.0)</f>
        <v>36</v>
      </c>
      <c r="D791" s="12" t="str">
        <f>IFERROR(__xludf.DUMMYFUNCTION("""COMPUTED_VALUE"""),"Great shirt")</f>
        <v>Great shirt</v>
      </c>
      <c r="E791" s="12" t="str">
        <f>IFERROR(__xludf.DUMMYFUNCTION("""COMPUTED_VALUE"""),"It is the perfect top to wear in the summer, it is nice and you can be somewhat dressy or super casual. i don't like anything too tight around my stomach and this has a nice flow with just the right amount of material.")</f>
        <v>It is the perfect top to wear in the summer, it is nice and you can be somewhat dressy or super casual. i don't like anything too tight around my stomach and this has a nice flow with just the right amount of material.</v>
      </c>
      <c r="F791" s="13">
        <f>IFERROR(__xludf.DUMMYFUNCTION("""COMPUTED_VALUE"""),4.0)</f>
        <v>4</v>
      </c>
      <c r="G791" s="13">
        <f>IFERROR(__xludf.DUMMYFUNCTION("""COMPUTED_VALUE"""),1.0)</f>
        <v>1</v>
      </c>
      <c r="H791" s="13">
        <f>IFERROR(__xludf.DUMMYFUNCTION("""COMPUTED_VALUE"""),0.0)</f>
        <v>0</v>
      </c>
      <c r="I791" s="13" t="str">
        <f>IFERROR(__xludf.DUMMYFUNCTION("""COMPUTED_VALUE"""),"General")</f>
        <v>General</v>
      </c>
      <c r="J791" s="13" t="str">
        <f>IFERROR(__xludf.DUMMYFUNCTION("""COMPUTED_VALUE"""),"Tops")</f>
        <v>Tops</v>
      </c>
      <c r="K791" s="13" t="str">
        <f>IFERROR(__xludf.DUMMYFUNCTION("""COMPUTED_VALUE"""),"Blouses")</f>
        <v>Blouses</v>
      </c>
      <c r="L791" s="13"/>
    </row>
    <row r="792">
      <c r="A792" s="13">
        <f>IFERROR(__xludf.DUMMYFUNCTION("""COMPUTED_VALUE"""),790.0)</f>
        <v>790</v>
      </c>
      <c r="B792" s="13">
        <f>IFERROR(__xludf.DUMMYFUNCTION("""COMPUTED_VALUE"""),895.0)</f>
        <v>895</v>
      </c>
      <c r="C792" s="13">
        <f>IFERROR(__xludf.DUMMYFUNCTION("""COMPUTED_VALUE"""),58.0)</f>
        <v>58</v>
      </c>
      <c r="D792" s="12" t="str">
        <f>IFERROR(__xludf.DUMMYFUNCTION("""COMPUTED_VALUE"""),"Couldn't get past the itch factor")</f>
        <v>Couldn't get past the itch factor</v>
      </c>
      <c r="E792" s="12" t="str">
        <f>IFERROR(__xludf.DUMMYFUNCTION("""COMPUTED_VALUE"""),"This is a beautiful tunic. i wanted it to work so much but i couldn't get past the itch factor. also, the sleeves were shorter than i expected. when i wore a light tee underneath, it didn't move well and looked bulky so sadly it went back to the store. if"&amp;" the material doesn't bother you, buy this. would look great w/ tights/leggings and boots.")</f>
        <v>This is a beautiful tunic. i wanted it to work so much but i couldn't get past the itch factor. also, the sleeves were shorter than i expected. when i wore a light tee underneath, it didn't move well and looked bulky so sadly it went back to the store. if the material doesn't bother you, buy this. would look great w/ tights/leggings and boots.</v>
      </c>
      <c r="F792" s="13">
        <f>IFERROR(__xludf.DUMMYFUNCTION("""COMPUTED_VALUE"""),3.0)</f>
        <v>3</v>
      </c>
      <c r="G792" s="13">
        <f>IFERROR(__xludf.DUMMYFUNCTION("""COMPUTED_VALUE"""),1.0)</f>
        <v>1</v>
      </c>
      <c r="H792" s="13">
        <f>IFERROR(__xludf.DUMMYFUNCTION("""COMPUTED_VALUE"""),1.0)</f>
        <v>1</v>
      </c>
      <c r="I792" s="13" t="str">
        <f>IFERROR(__xludf.DUMMYFUNCTION("""COMPUTED_VALUE"""),"General")</f>
        <v>General</v>
      </c>
      <c r="J792" s="13" t="str">
        <f>IFERROR(__xludf.DUMMYFUNCTION("""COMPUTED_VALUE"""),"Tops")</f>
        <v>Tops</v>
      </c>
      <c r="K792" s="13" t="str">
        <f>IFERROR(__xludf.DUMMYFUNCTION("""COMPUTED_VALUE"""),"Fine gauge")</f>
        <v>Fine gauge</v>
      </c>
      <c r="L792" s="13"/>
    </row>
    <row r="793">
      <c r="A793" s="13">
        <f>IFERROR(__xludf.DUMMYFUNCTION("""COMPUTED_VALUE"""),791.0)</f>
        <v>791</v>
      </c>
      <c r="B793" s="13">
        <f>IFERROR(__xludf.DUMMYFUNCTION("""COMPUTED_VALUE"""),1072.0)</f>
        <v>1072</v>
      </c>
      <c r="C793" s="13">
        <f>IFERROR(__xludf.DUMMYFUNCTION("""COMPUTED_VALUE"""),35.0)</f>
        <v>35</v>
      </c>
      <c r="D793" s="12" t="str">
        <f>IFERROR(__xludf.DUMMYFUNCTION("""COMPUTED_VALUE"""),"Stunning! just buy a belt with it.")</f>
        <v>Stunning! just buy a belt with it.</v>
      </c>
      <c r="E793" s="12" t="str">
        <f>IFERROR(__xludf.DUMMYFUNCTION("""COMPUTED_VALUE"""),"I saw this dress in the window at the portland store, and had to try it on. i was a bit horrified at how huge it was once i got it on--sort of like wearing a tent. no shape at all. one of the awesome dressing room attendants brought me a belt, and suddenl"&amp;"y it was the most beautiful dress i've ever had on. it's romantic, elegant, feminine... the fabric is so lovely and the flowy sleeves with the lower scooped back just look fantastic. i can't say enough about how amazing it makes me feel. i wore")</f>
        <v>I saw this dress in the window at the portland store, and had to try it on. i was a bit horrified at how huge it was once i got it on--sort of like wearing a tent. no shape at all. one of the awesome dressing room attendants brought me a belt, and suddenly it was the most beautiful dress i've ever had on. it's romantic, elegant, feminine... the fabric is so lovely and the flowy sleeves with the lower scooped back just look fantastic. i can't say enough about how amazing it makes me feel. i wore</v>
      </c>
      <c r="F793" s="13">
        <f>IFERROR(__xludf.DUMMYFUNCTION("""COMPUTED_VALUE"""),5.0)</f>
        <v>5</v>
      </c>
      <c r="G793" s="13">
        <f>IFERROR(__xludf.DUMMYFUNCTION("""COMPUTED_VALUE"""),1.0)</f>
        <v>1</v>
      </c>
      <c r="H793" s="13">
        <f>IFERROR(__xludf.DUMMYFUNCTION("""COMPUTED_VALUE"""),3.0)</f>
        <v>3</v>
      </c>
      <c r="I793" s="13" t="str">
        <f>IFERROR(__xludf.DUMMYFUNCTION("""COMPUTED_VALUE"""),"General")</f>
        <v>General</v>
      </c>
      <c r="J793" s="13" t="str">
        <f>IFERROR(__xludf.DUMMYFUNCTION("""COMPUTED_VALUE"""),"Dresses")</f>
        <v>Dresses</v>
      </c>
      <c r="K793" s="13" t="str">
        <f>IFERROR(__xludf.DUMMYFUNCTION("""COMPUTED_VALUE"""),"Dresses")</f>
        <v>Dresses</v>
      </c>
      <c r="L793" s="13"/>
    </row>
    <row r="794">
      <c r="A794" s="13">
        <f>IFERROR(__xludf.DUMMYFUNCTION("""COMPUTED_VALUE"""),792.0)</f>
        <v>792</v>
      </c>
      <c r="B794" s="13">
        <f>IFERROR(__xludf.DUMMYFUNCTION("""COMPUTED_VALUE"""),805.0)</f>
        <v>805</v>
      </c>
      <c r="C794" s="13">
        <f>IFERROR(__xludf.DUMMYFUNCTION("""COMPUTED_VALUE"""),66.0)</f>
        <v>66</v>
      </c>
      <c r="D794" s="12" t="str">
        <f>IFERROR(__xludf.DUMMYFUNCTION("""COMPUTED_VALUE"""),"Runs big")</f>
        <v>Runs big</v>
      </c>
      <c r="E794" s="12" t="str">
        <f>IFERROR(__xludf.DUMMYFUNCTION("""COMPUTED_VALUE"""),"I ordered size large and find it too boxy and long. love the hem, although the top is too long in this size so it's a bit hard to judge how it'll look in the right size. the sleeves are cute and different, a bit wide and flowing. be warned, it's sheer whi"&amp;"ch is more apparent from the side view. i could clearly see the garment cleaning instruction tag through the bottom side hem. has potential but not enough for me to reorder in a smaller size.")</f>
        <v>I ordered size large and find it too boxy and long. love the hem, although the top is too long in this size so it's a bit hard to judge how it'll look in the right size. the sleeves are cute and different, a bit wide and flowing. be warned, it's sheer which is more apparent from the side view. i could clearly see the garment cleaning instruction tag through the bottom side hem. has potential but not enough for me to reorder in a smaller size.</v>
      </c>
      <c r="F794" s="13">
        <f>IFERROR(__xludf.DUMMYFUNCTION("""COMPUTED_VALUE"""),4.0)</f>
        <v>4</v>
      </c>
      <c r="G794" s="13">
        <f>IFERROR(__xludf.DUMMYFUNCTION("""COMPUTED_VALUE"""),1.0)</f>
        <v>1</v>
      </c>
      <c r="H794" s="13">
        <f>IFERROR(__xludf.DUMMYFUNCTION("""COMPUTED_VALUE"""),3.0)</f>
        <v>3</v>
      </c>
      <c r="I794" s="13" t="str">
        <f>IFERROR(__xludf.DUMMYFUNCTION("""COMPUTED_VALUE"""),"Initmates")</f>
        <v>Initmates</v>
      </c>
      <c r="J794" s="13" t="str">
        <f>IFERROR(__xludf.DUMMYFUNCTION("""COMPUTED_VALUE"""),"Intimate")</f>
        <v>Intimate</v>
      </c>
      <c r="K794" s="13" t="str">
        <f>IFERROR(__xludf.DUMMYFUNCTION("""COMPUTED_VALUE"""),"Lounge")</f>
        <v>Lounge</v>
      </c>
      <c r="L794" s="13"/>
    </row>
    <row r="795">
      <c r="A795" s="13">
        <f>IFERROR(__xludf.DUMMYFUNCTION("""COMPUTED_VALUE"""),793.0)</f>
        <v>793</v>
      </c>
      <c r="B795" s="13">
        <f>IFERROR(__xludf.DUMMYFUNCTION("""COMPUTED_VALUE"""),945.0)</f>
        <v>945</v>
      </c>
      <c r="C795" s="13">
        <f>IFERROR(__xludf.DUMMYFUNCTION("""COMPUTED_VALUE"""),43.0)</f>
        <v>43</v>
      </c>
      <c r="D795" s="12" t="str">
        <f>IFERROR(__xludf.DUMMYFUNCTION("""COMPUTED_VALUE"""),"If only it looked like the photo.....")</f>
        <v>If only it looked like the photo.....</v>
      </c>
      <c r="E795" s="12" t="str">
        <f>IFERROR(__xludf.DUMMYFUNCTION("""COMPUTED_VALUE"""),"This sweater was a big let down. i am 5'2"" so i ordered it in a petite. it was so short that if i lifted my arms, you'd see my bra!! there is no way i could wear it without something under it- even with high waisted bottoms. and the bell sleeves look not"&amp;"hing like the pic. the entire sleeve is just wide, and it continues with little increase into the cuff. it is just short and boxy. it is going back for sure.")</f>
        <v>This sweater was a big let down. i am 5'2" so i ordered it in a petite. it was so short that if i lifted my arms, you'd see my bra!! there is no way i could wear it without something under it- even with high waisted bottoms. and the bell sleeves look nothing like the pic. the entire sleeve is just wide, and it continues with little increase into the cuff. it is just short and boxy. it is going back for sure.</v>
      </c>
      <c r="F795" s="13">
        <f>IFERROR(__xludf.DUMMYFUNCTION("""COMPUTED_VALUE"""),1.0)</f>
        <v>1</v>
      </c>
      <c r="G795" s="13">
        <f>IFERROR(__xludf.DUMMYFUNCTION("""COMPUTED_VALUE"""),0.0)</f>
        <v>0</v>
      </c>
      <c r="H795" s="13">
        <f>IFERROR(__xludf.DUMMYFUNCTION("""COMPUTED_VALUE"""),8.0)</f>
        <v>8</v>
      </c>
      <c r="I795" s="13" t="str">
        <f>IFERROR(__xludf.DUMMYFUNCTION("""COMPUTED_VALUE"""),"General")</f>
        <v>General</v>
      </c>
      <c r="J795" s="13" t="str">
        <f>IFERROR(__xludf.DUMMYFUNCTION("""COMPUTED_VALUE"""),"Tops")</f>
        <v>Tops</v>
      </c>
      <c r="K795" s="13" t="str">
        <f>IFERROR(__xludf.DUMMYFUNCTION("""COMPUTED_VALUE"""),"Sweaters")</f>
        <v>Sweaters</v>
      </c>
      <c r="L795" s="13"/>
    </row>
    <row r="796">
      <c r="A796" s="13">
        <f>IFERROR(__xludf.DUMMYFUNCTION("""COMPUTED_VALUE"""),794.0)</f>
        <v>794</v>
      </c>
      <c r="B796" s="13">
        <f>IFERROR(__xludf.DUMMYFUNCTION("""COMPUTED_VALUE"""),833.0)</f>
        <v>833</v>
      </c>
      <c r="C796" s="13">
        <f>IFERROR(__xludf.DUMMYFUNCTION("""COMPUTED_VALUE"""),42.0)</f>
        <v>42</v>
      </c>
      <c r="D796" s="12" t="str">
        <f>IFERROR(__xludf.DUMMYFUNCTION("""COMPUTED_VALUE"""),"Not as pretty in person")</f>
        <v>Not as pretty in person</v>
      </c>
      <c r="E796" s="12" t="str">
        <f>IFERROR(__xludf.DUMMYFUNCTION("""COMPUTED_VALUE"""),"I was excited to see this top in person, but once i got a close up look at it (and also tried it on) i was disappointed. first, the color is much more persimmon orangey in person and that's a hard color to pull off for a lot of people. it just pulls any p"&amp;"ink or red in your skin and highlights it. 
second, the top was poorly finished. i had to pick up two to try on because the lace was wonky across the front of the first one i grabbed. so much so that the lace was puckered because it had been")</f>
        <v>I was excited to see this top in person, but once i got a close up look at it (and also tried it on) i was disappointed. first, the color is much more persimmon orangey in person and that's a hard color to pull off for a lot of people. it just pulls any pink or red in your skin and highlights it. 
second, the top was poorly finished. i had to pick up two to try on because the lace was wonky across the front of the first one i grabbed. so much so that the lace was puckered because it had been</v>
      </c>
      <c r="F796" s="13">
        <f>IFERROR(__xludf.DUMMYFUNCTION("""COMPUTED_VALUE"""),3.0)</f>
        <v>3</v>
      </c>
      <c r="G796" s="13">
        <f>IFERROR(__xludf.DUMMYFUNCTION("""COMPUTED_VALUE"""),0.0)</f>
        <v>0</v>
      </c>
      <c r="H796" s="13">
        <f>IFERROR(__xludf.DUMMYFUNCTION("""COMPUTED_VALUE"""),12.0)</f>
        <v>12</v>
      </c>
      <c r="I796" s="13" t="str">
        <f>IFERROR(__xludf.DUMMYFUNCTION("""COMPUTED_VALUE"""),"General Petite")</f>
        <v>General Petite</v>
      </c>
      <c r="J796" s="13" t="str">
        <f>IFERROR(__xludf.DUMMYFUNCTION("""COMPUTED_VALUE"""),"Tops")</f>
        <v>Tops</v>
      </c>
      <c r="K796" s="13" t="str">
        <f>IFERROR(__xludf.DUMMYFUNCTION("""COMPUTED_VALUE"""),"Blouses")</f>
        <v>Blouses</v>
      </c>
      <c r="L796" s="13"/>
    </row>
    <row r="797">
      <c r="A797" s="13">
        <f>IFERROR(__xludf.DUMMYFUNCTION("""COMPUTED_VALUE"""),795.0)</f>
        <v>795</v>
      </c>
      <c r="B797" s="13">
        <f>IFERROR(__xludf.DUMMYFUNCTION("""COMPUTED_VALUE"""),833.0)</f>
        <v>833</v>
      </c>
      <c r="C797" s="13">
        <f>IFERROR(__xludf.DUMMYFUNCTION("""COMPUTED_VALUE"""),43.0)</f>
        <v>43</v>
      </c>
      <c r="D797" s="12" t="str">
        <f>IFERROR(__xludf.DUMMYFUNCTION("""COMPUTED_VALUE"""),"Feminine and tts")</f>
        <v>Feminine and tts</v>
      </c>
      <c r="E797" s="12" t="str">
        <f>IFERROR(__xludf.DUMMYFUNCTION("""COMPUTED_VALUE"""),"Love this blouse! the top is true to size...i'm generally a m and decided to try a pl which fit great. the pm was just a bit snug...looked fine but i felt a little constricted in the bust area and thought the pl was better for me. i'm 5'1"" for reference "&amp;"and curvier on top than on bottom. i wore a nude bra when trying on and it totally worked with this blouse. the lace detail is a bit sheer in some parts near the bust line but nothing too inappropriate. i can't wait to wear it down to dinner for")</f>
        <v>Love this blouse! the top is true to size...i'm generally a m and decided to try a pl which fit great. the pm was just a bit snug...looked fine but i felt a little constricted in the bust area and thought the pl was better for me. i'm 5'1" for reference and curvier on top than on bottom. i wore a nude bra when trying on and it totally worked with this blouse. the lace detail is a bit sheer in some parts near the bust line but nothing too inappropriate. i can't wait to wear it down to dinner for</v>
      </c>
      <c r="F797" s="13">
        <f>IFERROR(__xludf.DUMMYFUNCTION("""COMPUTED_VALUE"""),5.0)</f>
        <v>5</v>
      </c>
      <c r="G797" s="13">
        <f>IFERROR(__xludf.DUMMYFUNCTION("""COMPUTED_VALUE"""),1.0)</f>
        <v>1</v>
      </c>
      <c r="H797" s="13">
        <f>IFERROR(__xludf.DUMMYFUNCTION("""COMPUTED_VALUE"""),3.0)</f>
        <v>3</v>
      </c>
      <c r="I797" s="13" t="str">
        <f>IFERROR(__xludf.DUMMYFUNCTION("""COMPUTED_VALUE"""),"General Petite")</f>
        <v>General Petite</v>
      </c>
      <c r="J797" s="13" t="str">
        <f>IFERROR(__xludf.DUMMYFUNCTION("""COMPUTED_VALUE"""),"Tops")</f>
        <v>Tops</v>
      </c>
      <c r="K797" s="13" t="str">
        <f>IFERROR(__xludf.DUMMYFUNCTION("""COMPUTED_VALUE"""),"Blouses")</f>
        <v>Blouses</v>
      </c>
      <c r="L797" s="13"/>
    </row>
    <row r="798">
      <c r="A798" s="13">
        <f>IFERROR(__xludf.DUMMYFUNCTION("""COMPUTED_VALUE"""),796.0)</f>
        <v>796</v>
      </c>
      <c r="B798" s="13">
        <f>IFERROR(__xludf.DUMMYFUNCTION("""COMPUTED_VALUE"""),833.0)</f>
        <v>833</v>
      </c>
      <c r="C798" s="13">
        <f>IFERROR(__xludf.DUMMYFUNCTION("""COMPUTED_VALUE"""),54.0)</f>
        <v>54</v>
      </c>
      <c r="D798" s="12" t="str">
        <f>IFERROR(__xludf.DUMMYFUNCTION("""COMPUTED_VALUE"""),"Beautiful blouse")</f>
        <v>Beautiful blouse</v>
      </c>
      <c r="E798" s="12" t="str">
        <f>IFERROR(__xludf.DUMMYFUNCTION("""COMPUTED_VALUE"""),"This is a beautiful and fashionable blouse. it feels good on as it is made of viscose, it is pretty and feminine. color is great, of course it needs to be your color. i love it and recommend it!!")</f>
        <v>This is a beautiful and fashionable blouse. it feels good on as it is made of viscose, it is pretty and feminine. color is great, of course it needs to be your color. i love it and recommend it!!</v>
      </c>
      <c r="F798" s="13">
        <f>IFERROR(__xludf.DUMMYFUNCTION("""COMPUTED_VALUE"""),5.0)</f>
        <v>5</v>
      </c>
      <c r="G798" s="13">
        <f>IFERROR(__xludf.DUMMYFUNCTION("""COMPUTED_VALUE"""),1.0)</f>
        <v>1</v>
      </c>
      <c r="H798" s="13">
        <f>IFERROR(__xludf.DUMMYFUNCTION("""COMPUTED_VALUE"""),0.0)</f>
        <v>0</v>
      </c>
      <c r="I798" s="13" t="str">
        <f>IFERROR(__xludf.DUMMYFUNCTION("""COMPUTED_VALUE"""),"General Petite")</f>
        <v>General Petite</v>
      </c>
      <c r="J798" s="13" t="str">
        <f>IFERROR(__xludf.DUMMYFUNCTION("""COMPUTED_VALUE"""),"Tops")</f>
        <v>Tops</v>
      </c>
      <c r="K798" s="13" t="str">
        <f>IFERROR(__xludf.DUMMYFUNCTION("""COMPUTED_VALUE"""),"Blouses")</f>
        <v>Blouses</v>
      </c>
      <c r="L798" s="13"/>
    </row>
    <row r="799">
      <c r="A799" s="13">
        <f>IFERROR(__xludf.DUMMYFUNCTION("""COMPUTED_VALUE"""),797.0)</f>
        <v>797</v>
      </c>
      <c r="B799" s="13">
        <f>IFERROR(__xludf.DUMMYFUNCTION("""COMPUTED_VALUE"""),850.0)</f>
        <v>850</v>
      </c>
      <c r="C799" s="13">
        <f>IFERROR(__xludf.DUMMYFUNCTION("""COMPUTED_VALUE"""),36.0)</f>
        <v>36</v>
      </c>
      <c r="D799" s="12"/>
      <c r="E799" s="12"/>
      <c r="F799" s="13">
        <f>IFERROR(__xludf.DUMMYFUNCTION("""COMPUTED_VALUE"""),5.0)</f>
        <v>5</v>
      </c>
      <c r="G799" s="13">
        <f>IFERROR(__xludf.DUMMYFUNCTION("""COMPUTED_VALUE"""),1.0)</f>
        <v>1</v>
      </c>
      <c r="H799" s="13">
        <f>IFERROR(__xludf.DUMMYFUNCTION("""COMPUTED_VALUE"""),0.0)</f>
        <v>0</v>
      </c>
      <c r="I799" s="13" t="str">
        <f>IFERROR(__xludf.DUMMYFUNCTION("""COMPUTED_VALUE"""),"General")</f>
        <v>General</v>
      </c>
      <c r="J799" s="13" t="str">
        <f>IFERROR(__xludf.DUMMYFUNCTION("""COMPUTED_VALUE"""),"Tops")</f>
        <v>Tops</v>
      </c>
      <c r="K799" s="13" t="str">
        <f>IFERROR(__xludf.DUMMYFUNCTION("""COMPUTED_VALUE"""),"Blouses")</f>
        <v>Blouses</v>
      </c>
      <c r="L799" s="13"/>
    </row>
    <row r="800">
      <c r="A800" s="13">
        <f>IFERROR(__xludf.DUMMYFUNCTION("""COMPUTED_VALUE"""),798.0)</f>
        <v>798</v>
      </c>
      <c r="B800" s="13">
        <f>IFERROR(__xludf.DUMMYFUNCTION("""COMPUTED_VALUE"""),833.0)</f>
        <v>833</v>
      </c>
      <c r="C800" s="13">
        <f>IFERROR(__xludf.DUMMYFUNCTION("""COMPUTED_VALUE"""),43.0)</f>
        <v>43</v>
      </c>
      <c r="D800" s="12" t="str">
        <f>IFERROR(__xludf.DUMMYFUNCTION("""COMPUTED_VALUE"""),"Pretty top")</f>
        <v>Pretty top</v>
      </c>
      <c r="E800" s="12" t="str">
        <f>IFERROR(__xludf.DUMMYFUNCTION("""COMPUTED_VALUE"""),"I fell in love with this top when i tried it on at the store. it's a great fall piece. it is see-through around the bust, so a nude bra or any color camisole would have to be worn. my only thing is that it seems a little dressy, so i'm wondering how much "&amp;"i'll wear it. i work from home so everything has to be somewhat casual. so, i do recommend it, but i'm undecided as to if i'm going to keep it. for reference, i'm a 34d with a thin upper body and took a size medium.")</f>
        <v>I fell in love with this top when i tried it on at the store. it's a great fall piece. it is see-through around the bust, so a nude bra or any color camisole would have to be worn. my only thing is that it seems a little dressy, so i'm wondering how much i'll wear it. i work from home so everything has to be somewhat casual. so, i do recommend it, but i'm undecided as to if i'm going to keep it. for reference, i'm a 34d with a thin upper body and took a size medium.</v>
      </c>
      <c r="F800" s="13">
        <f>IFERROR(__xludf.DUMMYFUNCTION("""COMPUTED_VALUE"""),4.0)</f>
        <v>4</v>
      </c>
      <c r="G800" s="13">
        <f>IFERROR(__xludf.DUMMYFUNCTION("""COMPUTED_VALUE"""),1.0)</f>
        <v>1</v>
      </c>
      <c r="H800" s="13">
        <f>IFERROR(__xludf.DUMMYFUNCTION("""COMPUTED_VALUE"""),0.0)</f>
        <v>0</v>
      </c>
      <c r="I800" s="13" t="str">
        <f>IFERROR(__xludf.DUMMYFUNCTION("""COMPUTED_VALUE"""),"General Petite")</f>
        <v>General Petite</v>
      </c>
      <c r="J800" s="13" t="str">
        <f>IFERROR(__xludf.DUMMYFUNCTION("""COMPUTED_VALUE"""),"Tops")</f>
        <v>Tops</v>
      </c>
      <c r="K800" s="13" t="str">
        <f>IFERROR(__xludf.DUMMYFUNCTION("""COMPUTED_VALUE"""),"Blouses")</f>
        <v>Blouses</v>
      </c>
      <c r="L800" s="13"/>
    </row>
    <row r="801">
      <c r="A801" s="13">
        <f>IFERROR(__xludf.DUMMYFUNCTION("""COMPUTED_VALUE"""),799.0)</f>
        <v>799</v>
      </c>
      <c r="B801" s="13">
        <f>IFERROR(__xludf.DUMMYFUNCTION("""COMPUTED_VALUE"""),1072.0)</f>
        <v>1072</v>
      </c>
      <c r="C801" s="13">
        <f>IFERROR(__xludf.DUMMYFUNCTION("""COMPUTED_VALUE"""),68.0)</f>
        <v>68</v>
      </c>
      <c r="D801" s="12" t="str">
        <f>IFERROR(__xludf.DUMMYFUNCTION("""COMPUTED_VALUE"""),"Size down - loose,, flowing material - love it!")</f>
        <v>Size down - loose,, flowing material - love it!</v>
      </c>
      <c r="E801" s="12" t="str">
        <f>IFERROR(__xludf.DUMMYFUNCTION("""COMPUTED_VALUE"""),"This dress is light, airy easy and comfortable to wear. i love the colors and pattern. it looks wonderful with or without a belt. i sized down from a 6 to a 4. i position the front of the dress material closer to the neck so it flows longer at the back. a"&amp;"lthough i am a size 6 the under slip fits perfectly in a size 4. i prefer the dress without a belt but it also looks good with a belt or a jacket or long cardigan. 
this dress is a keeper!")</f>
        <v>This dress is light, airy easy and comfortable to wear. i love the colors and pattern. it looks wonderful with or without a belt. i sized down from a 6 to a 4. i position the front of the dress material closer to the neck so it flows longer at the back. although i am a size 6 the under slip fits perfectly in a size 4. i prefer the dress without a belt but it also looks good with a belt or a jacket or long cardigan. 
this dress is a keeper!</v>
      </c>
      <c r="F801" s="13">
        <f>IFERROR(__xludf.DUMMYFUNCTION("""COMPUTED_VALUE"""),5.0)</f>
        <v>5</v>
      </c>
      <c r="G801" s="13">
        <f>IFERROR(__xludf.DUMMYFUNCTION("""COMPUTED_VALUE"""),1.0)</f>
        <v>1</v>
      </c>
      <c r="H801" s="13">
        <f>IFERROR(__xludf.DUMMYFUNCTION("""COMPUTED_VALUE"""),3.0)</f>
        <v>3</v>
      </c>
      <c r="I801" s="13" t="str">
        <f>IFERROR(__xludf.DUMMYFUNCTION("""COMPUTED_VALUE"""),"General")</f>
        <v>General</v>
      </c>
      <c r="J801" s="13" t="str">
        <f>IFERROR(__xludf.DUMMYFUNCTION("""COMPUTED_VALUE"""),"Dresses")</f>
        <v>Dresses</v>
      </c>
      <c r="K801" s="13" t="str">
        <f>IFERROR(__xludf.DUMMYFUNCTION("""COMPUTED_VALUE"""),"Dresses")</f>
        <v>Dresses</v>
      </c>
      <c r="L801" s="13"/>
    </row>
    <row r="802">
      <c r="A802" s="13">
        <f>IFERROR(__xludf.DUMMYFUNCTION("""COMPUTED_VALUE"""),800.0)</f>
        <v>800</v>
      </c>
      <c r="B802" s="13">
        <f>IFERROR(__xludf.DUMMYFUNCTION("""COMPUTED_VALUE"""),895.0)</f>
        <v>895</v>
      </c>
      <c r="C802" s="13">
        <f>IFERROR(__xludf.DUMMYFUNCTION("""COMPUTED_VALUE"""),60.0)</f>
        <v>60</v>
      </c>
      <c r="D802" s="12" t="str">
        <f>IFERROR(__xludf.DUMMYFUNCTION("""COMPUTED_VALUE"""),"Warm and chic")</f>
        <v>Warm and chic</v>
      </c>
      <c r="E802" s="12" t="str">
        <f>IFERROR(__xludf.DUMMYFUNCTION("""COMPUTED_VALUE"""),"Very attractive and easy to wear. i wore it the night it arrived and wore it again the next night! i love the colors, the pattern and design. this is a stylish tunic sweater. the sleeves are not full length, which i prefer. the sweater is dense - the weav"&amp;"e is tight, making the sweater quite warm, but not too warm.")</f>
        <v>Very attractive and easy to wear. i wore it the night it arrived and wore it again the next night! i love the colors, the pattern and design. this is a stylish tunic sweater. the sleeves are not full length, which i prefer. the sweater is dense - the weave is tight, making the sweater quite warm, but not too warm.</v>
      </c>
      <c r="F802" s="13">
        <f>IFERROR(__xludf.DUMMYFUNCTION("""COMPUTED_VALUE"""),4.0)</f>
        <v>4</v>
      </c>
      <c r="G802" s="13">
        <f>IFERROR(__xludf.DUMMYFUNCTION("""COMPUTED_VALUE"""),1.0)</f>
        <v>1</v>
      </c>
      <c r="H802" s="13">
        <f>IFERROR(__xludf.DUMMYFUNCTION("""COMPUTED_VALUE"""),0.0)</f>
        <v>0</v>
      </c>
      <c r="I802" s="13" t="str">
        <f>IFERROR(__xludf.DUMMYFUNCTION("""COMPUTED_VALUE"""),"General")</f>
        <v>General</v>
      </c>
      <c r="J802" s="13" t="str">
        <f>IFERROR(__xludf.DUMMYFUNCTION("""COMPUTED_VALUE"""),"Tops")</f>
        <v>Tops</v>
      </c>
      <c r="K802" s="13" t="str">
        <f>IFERROR(__xludf.DUMMYFUNCTION("""COMPUTED_VALUE"""),"Fine gauge")</f>
        <v>Fine gauge</v>
      </c>
      <c r="L802" s="13"/>
    </row>
    <row r="803">
      <c r="A803" s="13">
        <f>IFERROR(__xludf.DUMMYFUNCTION("""COMPUTED_VALUE"""),801.0)</f>
        <v>801</v>
      </c>
      <c r="B803" s="13">
        <f>IFERROR(__xludf.DUMMYFUNCTION("""COMPUTED_VALUE"""),850.0)</f>
        <v>850</v>
      </c>
      <c r="C803" s="13">
        <f>IFERROR(__xludf.DUMMYFUNCTION("""COMPUTED_VALUE"""),32.0)</f>
        <v>32</v>
      </c>
      <c r="D803" s="12" t="str">
        <f>IFERROR(__xludf.DUMMYFUNCTION("""COMPUTED_VALUE"""),"Perfect tank to be dressed up or down")</f>
        <v>Perfect tank to be dressed up or down</v>
      </c>
      <c r="E803" s="12" t="str">
        <f>IFERROR(__xludf.DUMMYFUNCTION("""COMPUTED_VALUE"""),"Great tank to wear to work or a night out. fits true to size.")</f>
        <v>Great tank to wear to work or a night out. fits true to size.</v>
      </c>
      <c r="F803" s="13">
        <f>IFERROR(__xludf.DUMMYFUNCTION("""COMPUTED_VALUE"""),5.0)</f>
        <v>5</v>
      </c>
      <c r="G803" s="13">
        <f>IFERROR(__xludf.DUMMYFUNCTION("""COMPUTED_VALUE"""),1.0)</f>
        <v>1</v>
      </c>
      <c r="H803" s="13">
        <f>IFERROR(__xludf.DUMMYFUNCTION("""COMPUTED_VALUE"""),0.0)</f>
        <v>0</v>
      </c>
      <c r="I803" s="13" t="str">
        <f>IFERROR(__xludf.DUMMYFUNCTION("""COMPUTED_VALUE"""),"General")</f>
        <v>General</v>
      </c>
      <c r="J803" s="13" t="str">
        <f>IFERROR(__xludf.DUMMYFUNCTION("""COMPUTED_VALUE"""),"Tops")</f>
        <v>Tops</v>
      </c>
      <c r="K803" s="13" t="str">
        <f>IFERROR(__xludf.DUMMYFUNCTION("""COMPUTED_VALUE"""),"Blouses")</f>
        <v>Blouses</v>
      </c>
      <c r="L803" s="13"/>
    </row>
    <row r="804">
      <c r="A804" s="13">
        <f>IFERROR(__xludf.DUMMYFUNCTION("""COMPUTED_VALUE"""),802.0)</f>
        <v>802</v>
      </c>
      <c r="B804" s="13">
        <f>IFERROR(__xludf.DUMMYFUNCTION("""COMPUTED_VALUE"""),833.0)</f>
        <v>833</v>
      </c>
      <c r="C804" s="13">
        <f>IFERROR(__xludf.DUMMYFUNCTION("""COMPUTED_VALUE"""),55.0)</f>
        <v>55</v>
      </c>
      <c r="D804" s="12" t="str">
        <f>IFERROR(__xludf.DUMMYFUNCTION("""COMPUTED_VALUE"""),"Pretty and feminine")</f>
        <v>Pretty and feminine</v>
      </c>
      <c r="E804" s="12" t="str">
        <f>IFERROR(__xludf.DUMMYFUNCTION("""COMPUTED_VALUE"""),"Stylist at my local retailer recommended i try on this top. as soon as i put it on, i was amazed at how pretty it is. i'm 5'3"" and curvy size medium and the fit is true to size. i would say if you are between sizes, you may want to size down. i didn't ha"&amp;"ve any issues with the lace and the slight v-neck falls perfectly on me. no need to wear any cami. 
my only concern was how wrinkled the top was. i requested to have the blouse steamed before i left the store so that i could see if all of the wrin")</f>
        <v>Stylist at my local retailer recommended i try on this top. as soon as i put it on, i was amazed at how pretty it is. i'm 5'3" and curvy size medium and the fit is true to size. i would say if you are between sizes, you may want to size down. i didn't have any issues with the lace and the slight v-neck falls perfectly on me. no need to wear any cami. 
my only concern was how wrinkled the top was. i requested to have the blouse steamed before i left the store so that i could see if all of the wrin</v>
      </c>
      <c r="F804" s="13">
        <f>IFERROR(__xludf.DUMMYFUNCTION("""COMPUTED_VALUE"""),5.0)</f>
        <v>5</v>
      </c>
      <c r="G804" s="13">
        <f>IFERROR(__xludf.DUMMYFUNCTION("""COMPUTED_VALUE"""),1.0)</f>
        <v>1</v>
      </c>
      <c r="H804" s="13">
        <f>IFERROR(__xludf.DUMMYFUNCTION("""COMPUTED_VALUE"""),2.0)</f>
        <v>2</v>
      </c>
      <c r="I804" s="13" t="str">
        <f>IFERROR(__xludf.DUMMYFUNCTION("""COMPUTED_VALUE"""),"General Petite")</f>
        <v>General Petite</v>
      </c>
      <c r="J804" s="13" t="str">
        <f>IFERROR(__xludf.DUMMYFUNCTION("""COMPUTED_VALUE"""),"Tops")</f>
        <v>Tops</v>
      </c>
      <c r="K804" s="13" t="str">
        <f>IFERROR(__xludf.DUMMYFUNCTION("""COMPUTED_VALUE"""),"Blouses")</f>
        <v>Blouses</v>
      </c>
      <c r="L804" s="13"/>
    </row>
    <row r="805">
      <c r="A805" s="13">
        <f>IFERROR(__xludf.DUMMYFUNCTION("""COMPUTED_VALUE"""),803.0)</f>
        <v>803</v>
      </c>
      <c r="B805" s="13">
        <f>IFERROR(__xludf.DUMMYFUNCTION("""COMPUTED_VALUE"""),895.0)</f>
        <v>895</v>
      </c>
      <c r="C805" s="13">
        <f>IFERROR(__xludf.DUMMYFUNCTION("""COMPUTED_VALUE"""),39.0)</f>
        <v>39</v>
      </c>
      <c r="D805" s="12" t="str">
        <f>IFERROR(__xludf.DUMMYFUNCTION("""COMPUTED_VALUE"""),"Perfect")</f>
        <v>Perfect</v>
      </c>
      <c r="E805" s="12" t="str">
        <f>IFERROR(__xludf.DUMMYFUNCTION("""COMPUTED_VALUE"""),"Not only a beautiful knit but can be worn as both tunic and dress on my short frame. it does not look like a sack tent when worn. very soft and flattering. collar is styled well and can be shaped different ways. pattern and color combo is the similar to t"&amp;"he exquisite eira dress. i am 5'3"" and i chose the regular over petite. i only wish the sleeves were longer.")</f>
        <v>Not only a beautiful knit but can be worn as both tunic and dress on my short frame. it does not look like a sack tent when worn. very soft and flattering. collar is styled well and can be shaped different ways. pattern and color combo is the similar to the exquisite eira dress. i am 5'3" and i chose the regular over petite. i only wish the sleeves were longer.</v>
      </c>
      <c r="F805" s="13">
        <f>IFERROR(__xludf.DUMMYFUNCTION("""COMPUTED_VALUE"""),5.0)</f>
        <v>5</v>
      </c>
      <c r="G805" s="13">
        <f>IFERROR(__xludf.DUMMYFUNCTION("""COMPUTED_VALUE"""),1.0)</f>
        <v>1</v>
      </c>
      <c r="H805" s="13">
        <f>IFERROR(__xludf.DUMMYFUNCTION("""COMPUTED_VALUE"""),0.0)</f>
        <v>0</v>
      </c>
      <c r="I805" s="13" t="str">
        <f>IFERROR(__xludf.DUMMYFUNCTION("""COMPUTED_VALUE"""),"General")</f>
        <v>General</v>
      </c>
      <c r="J805" s="13" t="str">
        <f>IFERROR(__xludf.DUMMYFUNCTION("""COMPUTED_VALUE"""),"Tops")</f>
        <v>Tops</v>
      </c>
      <c r="K805" s="13" t="str">
        <f>IFERROR(__xludf.DUMMYFUNCTION("""COMPUTED_VALUE"""),"Fine gauge")</f>
        <v>Fine gauge</v>
      </c>
      <c r="L805" s="13"/>
    </row>
    <row r="806">
      <c r="A806" s="13">
        <f>IFERROR(__xludf.DUMMYFUNCTION("""COMPUTED_VALUE"""),804.0)</f>
        <v>804</v>
      </c>
      <c r="B806" s="13">
        <f>IFERROR(__xludf.DUMMYFUNCTION("""COMPUTED_VALUE"""),895.0)</f>
        <v>895</v>
      </c>
      <c r="C806" s="13">
        <f>IFERROR(__xludf.DUMMYFUNCTION("""COMPUTED_VALUE"""),60.0)</f>
        <v>60</v>
      </c>
      <c r="D806" s="12" t="str">
        <f>IFERROR(__xludf.DUMMYFUNCTION("""COMPUTED_VALUE"""),"Beautiful sweater!")</f>
        <v>Beautiful sweater!</v>
      </c>
      <c r="E806" s="12" t="str">
        <f>IFERROR(__xludf.DUMMYFUNCTION("""COMPUTED_VALUE"""),"As others have said, this is even prettier in person. beautifully made, colors are really pretty. it's unique and special. in sweaters i go between sizes small and medium, depending on the cut. i went with the small here because the medium had a bit too m"&amp;"uch fabric around the hips where i don't need it. it doesn't run large, it's just that i wanted it to be closer fit as i'll wear it with skinny jeans or leggings.")</f>
        <v>As others have said, this is even prettier in person. beautifully made, colors are really pretty. it's unique and special. in sweaters i go between sizes small and medium, depending on the cut. i went with the small here because the medium had a bit too much fabric around the hips where i don't need it. it doesn't run large, it's just that i wanted it to be closer fit as i'll wear it with skinny jeans or leggings.</v>
      </c>
      <c r="F806" s="13">
        <f>IFERROR(__xludf.DUMMYFUNCTION("""COMPUTED_VALUE"""),5.0)</f>
        <v>5</v>
      </c>
      <c r="G806" s="13">
        <f>IFERROR(__xludf.DUMMYFUNCTION("""COMPUTED_VALUE"""),1.0)</f>
        <v>1</v>
      </c>
      <c r="H806" s="13">
        <f>IFERROR(__xludf.DUMMYFUNCTION("""COMPUTED_VALUE"""),1.0)</f>
        <v>1</v>
      </c>
      <c r="I806" s="13" t="str">
        <f>IFERROR(__xludf.DUMMYFUNCTION("""COMPUTED_VALUE"""),"General")</f>
        <v>General</v>
      </c>
      <c r="J806" s="13" t="str">
        <f>IFERROR(__xludf.DUMMYFUNCTION("""COMPUTED_VALUE"""),"Tops")</f>
        <v>Tops</v>
      </c>
      <c r="K806" s="13" t="str">
        <f>IFERROR(__xludf.DUMMYFUNCTION("""COMPUTED_VALUE"""),"Fine gauge")</f>
        <v>Fine gauge</v>
      </c>
      <c r="L806" s="13"/>
    </row>
    <row r="807">
      <c r="A807" s="13">
        <f>IFERROR(__xludf.DUMMYFUNCTION("""COMPUTED_VALUE"""),805.0)</f>
        <v>805</v>
      </c>
      <c r="B807" s="13">
        <f>IFERROR(__xludf.DUMMYFUNCTION("""COMPUTED_VALUE"""),833.0)</f>
        <v>833</v>
      </c>
      <c r="C807" s="13">
        <f>IFERROR(__xludf.DUMMYFUNCTION("""COMPUTED_VALUE"""),42.0)</f>
        <v>42</v>
      </c>
      <c r="D807" s="12"/>
      <c r="E807" s="12"/>
      <c r="F807" s="13">
        <f>IFERROR(__xludf.DUMMYFUNCTION("""COMPUTED_VALUE"""),4.0)</f>
        <v>4</v>
      </c>
      <c r="G807" s="13">
        <f>IFERROR(__xludf.DUMMYFUNCTION("""COMPUTED_VALUE"""),1.0)</f>
        <v>1</v>
      </c>
      <c r="H807" s="13">
        <f>IFERROR(__xludf.DUMMYFUNCTION("""COMPUTED_VALUE"""),0.0)</f>
        <v>0</v>
      </c>
      <c r="I807" s="13" t="str">
        <f>IFERROR(__xludf.DUMMYFUNCTION("""COMPUTED_VALUE"""),"General Petite")</f>
        <v>General Petite</v>
      </c>
      <c r="J807" s="13" t="str">
        <f>IFERROR(__xludf.DUMMYFUNCTION("""COMPUTED_VALUE"""),"Tops")</f>
        <v>Tops</v>
      </c>
      <c r="K807" s="13" t="str">
        <f>IFERROR(__xludf.DUMMYFUNCTION("""COMPUTED_VALUE"""),"Blouses")</f>
        <v>Blouses</v>
      </c>
      <c r="L807" s="13"/>
    </row>
    <row r="808">
      <c r="A808" s="13">
        <f>IFERROR(__xludf.DUMMYFUNCTION("""COMPUTED_VALUE"""),806.0)</f>
        <v>806</v>
      </c>
      <c r="B808" s="13">
        <f>IFERROR(__xludf.DUMMYFUNCTION("""COMPUTED_VALUE"""),895.0)</f>
        <v>895</v>
      </c>
      <c r="C808" s="13">
        <f>IFERROR(__xludf.DUMMYFUNCTION("""COMPUTED_VALUE"""),50.0)</f>
        <v>50</v>
      </c>
      <c r="D808" s="12" t="str">
        <f>IFERROR(__xludf.DUMMYFUNCTION("""COMPUTED_VALUE"""),"Wanted to love it - but . . .")</f>
        <v>Wanted to love it - but . . .</v>
      </c>
      <c r="E808" s="12" t="str">
        <f>IFERROR(__xludf.DUMMYFUNCTION("""COMPUTED_VALUE"""),"I wanted to love this. however, the fit was funky and the colors were muted. this is definitely something you must try on in the store. too risky to buy online due to weird fit.")</f>
        <v>I wanted to love this. however, the fit was funky and the colors were muted. this is definitely something you must try on in the store. too risky to buy online due to weird fit.</v>
      </c>
      <c r="F808" s="13">
        <f>IFERROR(__xludf.DUMMYFUNCTION("""COMPUTED_VALUE"""),2.0)</f>
        <v>2</v>
      </c>
      <c r="G808" s="13">
        <f>IFERROR(__xludf.DUMMYFUNCTION("""COMPUTED_VALUE"""),0.0)</f>
        <v>0</v>
      </c>
      <c r="H808" s="13">
        <f>IFERROR(__xludf.DUMMYFUNCTION("""COMPUTED_VALUE"""),0.0)</f>
        <v>0</v>
      </c>
      <c r="I808" s="13" t="str">
        <f>IFERROR(__xludf.DUMMYFUNCTION("""COMPUTED_VALUE"""),"General")</f>
        <v>General</v>
      </c>
      <c r="J808" s="13" t="str">
        <f>IFERROR(__xludf.DUMMYFUNCTION("""COMPUTED_VALUE"""),"Tops")</f>
        <v>Tops</v>
      </c>
      <c r="K808" s="13" t="str">
        <f>IFERROR(__xludf.DUMMYFUNCTION("""COMPUTED_VALUE"""),"Fine gauge")</f>
        <v>Fine gauge</v>
      </c>
      <c r="L808" s="13"/>
    </row>
    <row r="809">
      <c r="A809" s="13">
        <f>IFERROR(__xludf.DUMMYFUNCTION("""COMPUTED_VALUE"""),807.0)</f>
        <v>807</v>
      </c>
      <c r="B809" s="13">
        <f>IFERROR(__xludf.DUMMYFUNCTION("""COMPUTED_VALUE"""),886.0)</f>
        <v>886</v>
      </c>
      <c r="C809" s="13">
        <f>IFERROR(__xludf.DUMMYFUNCTION("""COMPUTED_VALUE"""),23.0)</f>
        <v>23</v>
      </c>
      <c r="D809" s="12" t="str">
        <f>IFERROR(__xludf.DUMMYFUNCTION("""COMPUTED_VALUE"""),"Shrinks!!!")</f>
        <v>Shrinks!!!</v>
      </c>
      <c r="E809" s="12" t="str">
        <f>IFERROR(__xludf.DUMMYFUNCTION("""COMPUTED_VALUE"""),"Ladies this top shrinks!!! i am very disappointed, i was in love with this top and the first time i washed it it shrunk a significant amount. i did not use a dryer, i laid this piece out to dry as i do with the majority of my knit tops and it shrunk. it i"&amp;"s a lot shorter and much tighter, especially in my arms. if you love this top i might suggest buying a size up and washing it to fit.")</f>
        <v>Ladies this top shrinks!!! i am very disappointed, i was in love with this top and the first time i washed it it shrunk a significant amount. i did not use a dryer, i laid this piece out to dry as i do with the majority of my knit tops and it shrunk. it is a lot shorter and much tighter, especially in my arms. if you love this top i might suggest buying a size up and washing it to fit.</v>
      </c>
      <c r="F809" s="13">
        <f>IFERROR(__xludf.DUMMYFUNCTION("""COMPUTED_VALUE"""),2.0)</f>
        <v>2</v>
      </c>
      <c r="G809" s="13">
        <f>IFERROR(__xludf.DUMMYFUNCTION("""COMPUTED_VALUE"""),0.0)</f>
        <v>0</v>
      </c>
      <c r="H809" s="13">
        <f>IFERROR(__xludf.DUMMYFUNCTION("""COMPUTED_VALUE"""),14.0)</f>
        <v>14</v>
      </c>
      <c r="I809" s="13" t="str">
        <f>IFERROR(__xludf.DUMMYFUNCTION("""COMPUTED_VALUE"""),"General Petite")</f>
        <v>General Petite</v>
      </c>
      <c r="J809" s="13" t="str">
        <f>IFERROR(__xludf.DUMMYFUNCTION("""COMPUTED_VALUE"""),"Tops")</f>
        <v>Tops</v>
      </c>
      <c r="K809" s="13" t="str">
        <f>IFERROR(__xludf.DUMMYFUNCTION("""COMPUTED_VALUE"""),"Knits")</f>
        <v>Knits</v>
      </c>
      <c r="L809" s="13"/>
    </row>
    <row r="810">
      <c r="A810" s="13">
        <f>IFERROR(__xludf.DUMMYFUNCTION("""COMPUTED_VALUE"""),808.0)</f>
        <v>808</v>
      </c>
      <c r="B810" s="13">
        <f>IFERROR(__xludf.DUMMYFUNCTION("""COMPUTED_VALUE"""),886.0)</f>
        <v>886</v>
      </c>
      <c r="C810" s="13">
        <f>IFERROR(__xludf.DUMMYFUNCTION("""COMPUTED_VALUE"""),39.0)</f>
        <v>39</v>
      </c>
      <c r="D810" s="12"/>
      <c r="E810" s="12" t="str">
        <f>IFERROR(__xludf.DUMMYFUNCTION("""COMPUTED_VALUE"""),"I bought this in black. it's a great long length. i have long arms so the sleeve length is great. it's really soft. only issue is seems to sag a little in the middle instead of being flowy. overall a good tunic.")</f>
        <v>I bought this in black. it's a great long length. i have long arms so the sleeve length is great. it's really soft. only issue is seems to sag a little in the middle instead of being flowy. overall a good tunic.</v>
      </c>
      <c r="F810" s="13">
        <f>IFERROR(__xludf.DUMMYFUNCTION("""COMPUTED_VALUE"""),3.0)</f>
        <v>3</v>
      </c>
      <c r="G810" s="13">
        <f>IFERROR(__xludf.DUMMYFUNCTION("""COMPUTED_VALUE"""),1.0)</f>
        <v>1</v>
      </c>
      <c r="H810" s="13">
        <f>IFERROR(__xludf.DUMMYFUNCTION("""COMPUTED_VALUE"""),0.0)</f>
        <v>0</v>
      </c>
      <c r="I810" s="13" t="str">
        <f>IFERROR(__xludf.DUMMYFUNCTION("""COMPUTED_VALUE"""),"General Petite")</f>
        <v>General Petite</v>
      </c>
      <c r="J810" s="13" t="str">
        <f>IFERROR(__xludf.DUMMYFUNCTION("""COMPUTED_VALUE"""),"Tops")</f>
        <v>Tops</v>
      </c>
      <c r="K810" s="13" t="str">
        <f>IFERROR(__xludf.DUMMYFUNCTION("""COMPUTED_VALUE"""),"Knits")</f>
        <v>Knits</v>
      </c>
      <c r="L810" s="13"/>
    </row>
    <row r="811">
      <c r="A811" s="13">
        <f>IFERROR(__xludf.DUMMYFUNCTION("""COMPUTED_VALUE"""),809.0)</f>
        <v>809</v>
      </c>
      <c r="B811" s="13">
        <f>IFERROR(__xludf.DUMMYFUNCTION("""COMPUTED_VALUE"""),886.0)</f>
        <v>886</v>
      </c>
      <c r="C811" s="13">
        <f>IFERROR(__xludf.DUMMYFUNCTION("""COMPUTED_VALUE"""),32.0)</f>
        <v>32</v>
      </c>
      <c r="D811" s="12" t="str">
        <f>IFERROR(__xludf.DUMMYFUNCTION("""COMPUTED_VALUE"""),"Love, love, love!")</f>
        <v>Love, love, love!</v>
      </c>
      <c r="E811" s="12" t="str">
        <f>IFERROR(__xludf.DUMMYFUNCTION("""COMPUTED_VALUE"""),"I love this top! the sizing was great, and i have already worn it so many times, and received so many compliments! it is great to dress up or down! such a great purchase!")</f>
        <v>I love this top! the sizing was great, and i have already worn it so many times, and received so many compliments! it is great to dress up or down! such a great purchase!</v>
      </c>
      <c r="F811" s="13">
        <f>IFERROR(__xludf.DUMMYFUNCTION("""COMPUTED_VALUE"""),5.0)</f>
        <v>5</v>
      </c>
      <c r="G811" s="13">
        <f>IFERROR(__xludf.DUMMYFUNCTION("""COMPUTED_VALUE"""),1.0)</f>
        <v>1</v>
      </c>
      <c r="H811" s="13">
        <f>IFERROR(__xludf.DUMMYFUNCTION("""COMPUTED_VALUE"""),0.0)</f>
        <v>0</v>
      </c>
      <c r="I811" s="13" t="str">
        <f>IFERROR(__xludf.DUMMYFUNCTION("""COMPUTED_VALUE"""),"General Petite")</f>
        <v>General Petite</v>
      </c>
      <c r="J811" s="13" t="str">
        <f>IFERROR(__xludf.DUMMYFUNCTION("""COMPUTED_VALUE"""),"Tops")</f>
        <v>Tops</v>
      </c>
      <c r="K811" s="13" t="str">
        <f>IFERROR(__xludf.DUMMYFUNCTION("""COMPUTED_VALUE"""),"Knits")</f>
        <v>Knits</v>
      </c>
      <c r="L811" s="13"/>
    </row>
    <row r="812">
      <c r="A812" s="13">
        <f>IFERROR(__xludf.DUMMYFUNCTION("""COMPUTED_VALUE"""),810.0)</f>
        <v>810</v>
      </c>
      <c r="B812" s="13">
        <f>IFERROR(__xludf.DUMMYFUNCTION("""COMPUTED_VALUE"""),886.0)</f>
        <v>886</v>
      </c>
      <c r="C812" s="13">
        <f>IFERROR(__xludf.DUMMYFUNCTION("""COMPUTED_VALUE"""),56.0)</f>
        <v>56</v>
      </c>
      <c r="D812" s="12" t="str">
        <f>IFERROR(__xludf.DUMMYFUNCTION("""COMPUTED_VALUE"""),"Loved this top")</f>
        <v>Loved this top</v>
      </c>
      <c r="E812" s="12" t="str">
        <f>IFERROR(__xludf.DUMMYFUNCTION("""COMPUTED_VALUE"""),"Purchased in the blue. the color is a little darker than it shows. more of a slate blue. loved the fit. i am tall so it covered perfectly.")</f>
        <v>Purchased in the blue. the color is a little darker than it shows. more of a slate blue. loved the fit. i am tall so it covered perfectly.</v>
      </c>
      <c r="F812" s="13">
        <f>IFERROR(__xludf.DUMMYFUNCTION("""COMPUTED_VALUE"""),5.0)</f>
        <v>5</v>
      </c>
      <c r="G812" s="13">
        <f>IFERROR(__xludf.DUMMYFUNCTION("""COMPUTED_VALUE"""),1.0)</f>
        <v>1</v>
      </c>
      <c r="H812" s="13">
        <f>IFERROR(__xludf.DUMMYFUNCTION("""COMPUTED_VALUE"""),0.0)</f>
        <v>0</v>
      </c>
      <c r="I812" s="13" t="str">
        <f>IFERROR(__xludf.DUMMYFUNCTION("""COMPUTED_VALUE"""),"General Petite")</f>
        <v>General Petite</v>
      </c>
      <c r="J812" s="13" t="str">
        <f>IFERROR(__xludf.DUMMYFUNCTION("""COMPUTED_VALUE"""),"Tops")</f>
        <v>Tops</v>
      </c>
      <c r="K812" s="13" t="str">
        <f>IFERROR(__xludf.DUMMYFUNCTION("""COMPUTED_VALUE"""),"Knits")</f>
        <v>Knits</v>
      </c>
      <c r="L812" s="13"/>
    </row>
    <row r="813">
      <c r="A813" s="13">
        <f>IFERROR(__xludf.DUMMYFUNCTION("""COMPUTED_VALUE"""),811.0)</f>
        <v>811</v>
      </c>
      <c r="B813" s="13">
        <f>IFERROR(__xludf.DUMMYFUNCTION("""COMPUTED_VALUE"""),1078.0)</f>
        <v>1078</v>
      </c>
      <c r="C813" s="13">
        <f>IFERROR(__xludf.DUMMYFUNCTION("""COMPUTED_VALUE"""),61.0)</f>
        <v>61</v>
      </c>
      <c r="D813" s="12" t="str">
        <f>IFERROR(__xludf.DUMMYFUNCTION("""COMPUTED_VALUE"""),"Flattering")</f>
        <v>Flattering</v>
      </c>
      <c r="E813" s="12" t="str">
        <f>IFERROR(__xludf.DUMMYFUNCTION("""COMPUTED_VALUE"""),"Very slimming, lovely dress.
a nice addition to your fall/ winter wardrobe.
the embroidery is lovely, fabric soft and comfortable. sized perfectly. 
so happy with this beautiful black dress!!!")</f>
        <v>Very slimming, lovely dress.
a nice addition to your fall/ winter wardrobe.
the embroidery is lovely, fabric soft and comfortable. sized perfectly. 
so happy with this beautiful black dress!!!</v>
      </c>
      <c r="F813" s="13">
        <f>IFERROR(__xludf.DUMMYFUNCTION("""COMPUTED_VALUE"""),5.0)</f>
        <v>5</v>
      </c>
      <c r="G813" s="13">
        <f>IFERROR(__xludf.DUMMYFUNCTION("""COMPUTED_VALUE"""),1.0)</f>
        <v>1</v>
      </c>
      <c r="H813" s="13">
        <f>IFERROR(__xludf.DUMMYFUNCTION("""COMPUTED_VALUE"""),7.0)</f>
        <v>7</v>
      </c>
      <c r="I813" s="13" t="str">
        <f>IFERROR(__xludf.DUMMYFUNCTION("""COMPUTED_VALUE"""),"General Petite")</f>
        <v>General Petite</v>
      </c>
      <c r="J813" s="13" t="str">
        <f>IFERROR(__xludf.DUMMYFUNCTION("""COMPUTED_VALUE"""),"Dresses")</f>
        <v>Dresses</v>
      </c>
      <c r="K813" s="13" t="str">
        <f>IFERROR(__xludf.DUMMYFUNCTION("""COMPUTED_VALUE"""),"Dresses")</f>
        <v>Dresses</v>
      </c>
      <c r="L813" s="13"/>
    </row>
    <row r="814">
      <c r="A814" s="13">
        <f>IFERROR(__xludf.DUMMYFUNCTION("""COMPUTED_VALUE"""),812.0)</f>
        <v>812</v>
      </c>
      <c r="B814" s="13">
        <f>IFERROR(__xludf.DUMMYFUNCTION("""COMPUTED_VALUE"""),1089.0)</f>
        <v>1089</v>
      </c>
      <c r="C814" s="13">
        <f>IFERROR(__xludf.DUMMYFUNCTION("""COMPUTED_VALUE"""),34.0)</f>
        <v>34</v>
      </c>
      <c r="D814" s="12" t="str">
        <f>IFERROR(__xludf.DUMMYFUNCTION("""COMPUTED_VALUE"""),"Love")</f>
        <v>Love</v>
      </c>
      <c r="E814" s="12" t="str">
        <f>IFERROR(__xludf.DUMMYFUNCTION("""COMPUTED_VALUE"""),"New fav lbd. i am 5 months postpartum and this dress makes me feel like my old self again. it fits right above the waist, with a bow to cinch the waist. love the fit and flare. the top is warm, great for a cold evening out. and the taffeta really dresses "&amp;"it up. love")</f>
        <v>New fav lbd. i am 5 months postpartum and this dress makes me feel like my old self again. it fits right above the waist, with a bow to cinch the waist. love the fit and flare. the top is warm, great for a cold evening out. and the taffeta really dresses it up. love</v>
      </c>
      <c r="F814" s="13">
        <f>IFERROR(__xludf.DUMMYFUNCTION("""COMPUTED_VALUE"""),5.0)</f>
        <v>5</v>
      </c>
      <c r="G814" s="13">
        <f>IFERROR(__xludf.DUMMYFUNCTION("""COMPUTED_VALUE"""),1.0)</f>
        <v>1</v>
      </c>
      <c r="H814" s="13">
        <f>IFERROR(__xludf.DUMMYFUNCTION("""COMPUTED_VALUE"""),0.0)</f>
        <v>0</v>
      </c>
      <c r="I814" s="13" t="str">
        <f>IFERROR(__xludf.DUMMYFUNCTION("""COMPUTED_VALUE"""),"General Petite")</f>
        <v>General Petite</v>
      </c>
      <c r="J814" s="13" t="str">
        <f>IFERROR(__xludf.DUMMYFUNCTION("""COMPUTED_VALUE"""),"Dresses")</f>
        <v>Dresses</v>
      </c>
      <c r="K814" s="13" t="str">
        <f>IFERROR(__xludf.DUMMYFUNCTION("""COMPUTED_VALUE"""),"Dresses")</f>
        <v>Dresses</v>
      </c>
      <c r="L814" s="13"/>
    </row>
    <row r="815">
      <c r="A815" s="13">
        <f>IFERROR(__xludf.DUMMYFUNCTION("""COMPUTED_VALUE"""),813.0)</f>
        <v>813</v>
      </c>
      <c r="B815" s="13">
        <f>IFERROR(__xludf.DUMMYFUNCTION("""COMPUTED_VALUE"""),895.0)</f>
        <v>895</v>
      </c>
      <c r="C815" s="13">
        <f>IFERROR(__xludf.DUMMYFUNCTION("""COMPUTED_VALUE"""),48.0)</f>
        <v>48</v>
      </c>
      <c r="D815" s="12" t="str">
        <f>IFERROR(__xludf.DUMMYFUNCTION("""COMPUTED_VALUE"""),"Very plain on the front")</f>
        <v>Very plain on the front</v>
      </c>
      <c r="E815" s="12" t="str">
        <f>IFERROR(__xludf.DUMMYFUNCTION("""COMPUTED_VALUE"""),"This sweater looks soft and flowy on the model, but in the store it is rather stiff lace in the back and very plain in the front. i did not like the ribbing on the front bottom of the sweater because it pulled in places and didn't lie flat. way too expens"&amp;"ive for what you are getting.")</f>
        <v>This sweater looks soft and flowy on the model, but in the store it is rather stiff lace in the back and very plain in the front. i did not like the ribbing on the front bottom of the sweater because it pulled in places and didn't lie flat. way too expensive for what you are getting.</v>
      </c>
      <c r="F815" s="13">
        <f>IFERROR(__xludf.DUMMYFUNCTION("""COMPUTED_VALUE"""),3.0)</f>
        <v>3</v>
      </c>
      <c r="G815" s="13">
        <f>IFERROR(__xludf.DUMMYFUNCTION("""COMPUTED_VALUE"""),0.0)</f>
        <v>0</v>
      </c>
      <c r="H815" s="13">
        <f>IFERROR(__xludf.DUMMYFUNCTION("""COMPUTED_VALUE"""),2.0)</f>
        <v>2</v>
      </c>
      <c r="I815" s="13" t="str">
        <f>IFERROR(__xludf.DUMMYFUNCTION("""COMPUTED_VALUE"""),"General")</f>
        <v>General</v>
      </c>
      <c r="J815" s="13" t="str">
        <f>IFERROR(__xludf.DUMMYFUNCTION("""COMPUTED_VALUE"""),"Tops")</f>
        <v>Tops</v>
      </c>
      <c r="K815" s="13" t="str">
        <f>IFERROR(__xludf.DUMMYFUNCTION("""COMPUTED_VALUE"""),"Fine gauge")</f>
        <v>Fine gauge</v>
      </c>
      <c r="L815" s="13"/>
    </row>
    <row r="816">
      <c r="A816" s="13">
        <f>IFERROR(__xludf.DUMMYFUNCTION("""COMPUTED_VALUE"""),814.0)</f>
        <v>814</v>
      </c>
      <c r="B816" s="13">
        <f>IFERROR(__xludf.DUMMYFUNCTION("""COMPUTED_VALUE"""),886.0)</f>
        <v>886</v>
      </c>
      <c r="C816" s="13">
        <f>IFERROR(__xludf.DUMMYFUNCTION("""COMPUTED_VALUE"""),34.0)</f>
        <v>34</v>
      </c>
      <c r="D816" s="12" t="str">
        <f>IFERROR(__xludf.DUMMYFUNCTION("""COMPUTED_VALUE"""),"Might be great if you have a bun in the oven!")</f>
        <v>Might be great if you have a bun in the oven!</v>
      </c>
      <c r="E816" s="12" t="str">
        <f>IFERROR(__xludf.DUMMYFUNCTION("""COMPUTED_VALUE"""),"Again, bought this while wearing my retailer colored glasses. i loved the flowiness and color of the dark pink, and was convinced in the dressing room that this top made me look like a chic goddess, mid-vacation on the amalfi coast. i tried it on at home,"&amp;" and it straight up looked like i was wearing a maternity top. since i'm not with child, this one's going back!")</f>
        <v>Again, bought this while wearing my retailer colored glasses. i loved the flowiness and color of the dark pink, and was convinced in the dressing room that this top made me look like a chic goddess, mid-vacation on the amalfi coast. i tried it on at home, and it straight up looked like i was wearing a maternity top. since i'm not with child, this one's going back!</v>
      </c>
      <c r="F816" s="13">
        <f>IFERROR(__xludf.DUMMYFUNCTION("""COMPUTED_VALUE"""),2.0)</f>
        <v>2</v>
      </c>
      <c r="G816" s="13">
        <f>IFERROR(__xludf.DUMMYFUNCTION("""COMPUTED_VALUE"""),0.0)</f>
        <v>0</v>
      </c>
      <c r="H816" s="13">
        <f>IFERROR(__xludf.DUMMYFUNCTION("""COMPUTED_VALUE"""),0.0)</f>
        <v>0</v>
      </c>
      <c r="I816" s="13" t="str">
        <f>IFERROR(__xludf.DUMMYFUNCTION("""COMPUTED_VALUE"""),"General Petite")</f>
        <v>General Petite</v>
      </c>
      <c r="J816" s="13" t="str">
        <f>IFERROR(__xludf.DUMMYFUNCTION("""COMPUTED_VALUE"""),"Tops")</f>
        <v>Tops</v>
      </c>
      <c r="K816" s="13" t="str">
        <f>IFERROR(__xludf.DUMMYFUNCTION("""COMPUTED_VALUE"""),"Knits")</f>
        <v>Knits</v>
      </c>
      <c r="L816" s="13"/>
    </row>
    <row r="817">
      <c r="A817" s="13">
        <f>IFERROR(__xludf.DUMMYFUNCTION("""COMPUTED_VALUE"""),815.0)</f>
        <v>815</v>
      </c>
      <c r="B817" s="13">
        <f>IFERROR(__xludf.DUMMYFUNCTION("""COMPUTED_VALUE"""),895.0)</f>
        <v>895</v>
      </c>
      <c r="C817" s="13">
        <f>IFERROR(__xludf.DUMMYFUNCTION("""COMPUTED_VALUE"""),42.0)</f>
        <v>42</v>
      </c>
      <c r="D817" s="12" t="str">
        <f>IFERROR(__xludf.DUMMYFUNCTION("""COMPUTED_VALUE"""),"Pretty but just okay when worn.")</f>
        <v>Pretty but just okay when worn.</v>
      </c>
      <c r="E817" s="12" t="str">
        <f>IFERROR(__xludf.DUMMYFUNCTION("""COMPUTED_VALUE"""),"I love the back detail but doesn't feel that comfortable on. i bought in green. it's fitted so get size larger if you plan to layer up. i'm 107 and bought xs size. i should have ordered the s.")</f>
        <v>I love the back detail but doesn't feel that comfortable on. i bought in green. it's fitted so get size larger if you plan to layer up. i'm 107 and bought xs size. i should have ordered the s.</v>
      </c>
      <c r="F817" s="13">
        <f>IFERROR(__xludf.DUMMYFUNCTION("""COMPUTED_VALUE"""),3.0)</f>
        <v>3</v>
      </c>
      <c r="G817" s="13">
        <f>IFERROR(__xludf.DUMMYFUNCTION("""COMPUTED_VALUE"""),0.0)</f>
        <v>0</v>
      </c>
      <c r="H817" s="13">
        <f>IFERROR(__xludf.DUMMYFUNCTION("""COMPUTED_VALUE"""),0.0)</f>
        <v>0</v>
      </c>
      <c r="I817" s="13" t="str">
        <f>IFERROR(__xludf.DUMMYFUNCTION("""COMPUTED_VALUE"""),"General")</f>
        <v>General</v>
      </c>
      <c r="J817" s="13" t="str">
        <f>IFERROR(__xludf.DUMMYFUNCTION("""COMPUTED_VALUE"""),"Tops")</f>
        <v>Tops</v>
      </c>
      <c r="K817" s="13" t="str">
        <f>IFERROR(__xludf.DUMMYFUNCTION("""COMPUTED_VALUE"""),"Fine gauge")</f>
        <v>Fine gauge</v>
      </c>
      <c r="L817" s="13"/>
    </row>
    <row r="818">
      <c r="A818" s="13">
        <f>IFERROR(__xludf.DUMMYFUNCTION("""COMPUTED_VALUE"""),816.0)</f>
        <v>816</v>
      </c>
      <c r="B818" s="13">
        <f>IFERROR(__xludf.DUMMYFUNCTION("""COMPUTED_VALUE"""),1105.0)</f>
        <v>1105</v>
      </c>
      <c r="C818" s="13">
        <f>IFERROR(__xludf.DUMMYFUNCTION("""COMPUTED_VALUE"""),49.0)</f>
        <v>49</v>
      </c>
      <c r="D818" s="12" t="str">
        <f>IFERROR(__xludf.DUMMYFUNCTION("""COMPUTED_VALUE"""),"Very versatile")</f>
        <v>Very versatile</v>
      </c>
      <c r="E818" s="12" t="str">
        <f>IFERROR(__xludf.DUMMYFUNCTION("""COMPUTED_VALUE"""),"I was on the fence about this jumpsuit at first.  i feel the pockets in the back are a little high on my bum.  kind of an unnatural placement.  i sized up so it wasn't so tight fitting at the waist and hips so it made the placement of the back pockets a l"&amp;"ittle better.")</f>
        <v>I was on the fence about this jumpsuit at first.  i feel the pockets in the back are a little high on my bum.  kind of an unnatural placement.  i sized up so it wasn't so tight fitting at the waist and hips so it made the placement of the back pockets a little better.</v>
      </c>
      <c r="F818" s="13">
        <f>IFERROR(__xludf.DUMMYFUNCTION("""COMPUTED_VALUE"""),4.0)</f>
        <v>4</v>
      </c>
      <c r="G818" s="13">
        <f>IFERROR(__xludf.DUMMYFUNCTION("""COMPUTED_VALUE"""),1.0)</f>
        <v>1</v>
      </c>
      <c r="H818" s="13">
        <f>IFERROR(__xludf.DUMMYFUNCTION("""COMPUTED_VALUE"""),0.0)</f>
        <v>0</v>
      </c>
      <c r="I818" s="13" t="str">
        <f>IFERROR(__xludf.DUMMYFUNCTION("""COMPUTED_VALUE"""),"General")</f>
        <v>General</v>
      </c>
      <c r="J818" s="13" t="str">
        <f>IFERROR(__xludf.DUMMYFUNCTION("""COMPUTED_VALUE"""),"Dresses")</f>
        <v>Dresses</v>
      </c>
      <c r="K818" s="13" t="str">
        <f>IFERROR(__xludf.DUMMYFUNCTION("""COMPUTED_VALUE"""),"Dresses")</f>
        <v>Dresses</v>
      </c>
      <c r="L818" s="13"/>
    </row>
    <row r="819">
      <c r="A819" s="13">
        <f>IFERROR(__xludf.DUMMYFUNCTION("""COMPUTED_VALUE"""),817.0)</f>
        <v>817</v>
      </c>
      <c r="B819" s="13">
        <f>IFERROR(__xludf.DUMMYFUNCTION("""COMPUTED_VALUE"""),886.0)</f>
        <v>886</v>
      </c>
      <c r="C819" s="13">
        <f>IFERROR(__xludf.DUMMYFUNCTION("""COMPUTED_VALUE"""),29.0)</f>
        <v>29</v>
      </c>
      <c r="D819" s="12" t="str">
        <f>IFERROR(__xludf.DUMMYFUNCTION("""COMPUTED_VALUE"""),"Great winter tunic")</f>
        <v>Great winter tunic</v>
      </c>
      <c r="E819" s="12" t="str">
        <f>IFERROR(__xludf.DUMMYFUNCTION("""COMPUTED_VALUE"""),"Great for layering and staying warm in the winter. definitely stay on the larger size, the fabric has very little give but is comfortable.")</f>
        <v>Great for layering and staying warm in the winter. definitely stay on the larger size, the fabric has very little give but is comfortable.</v>
      </c>
      <c r="F819" s="13">
        <f>IFERROR(__xludf.DUMMYFUNCTION("""COMPUTED_VALUE"""),4.0)</f>
        <v>4</v>
      </c>
      <c r="G819" s="13">
        <f>IFERROR(__xludf.DUMMYFUNCTION("""COMPUTED_VALUE"""),1.0)</f>
        <v>1</v>
      </c>
      <c r="H819" s="13">
        <f>IFERROR(__xludf.DUMMYFUNCTION("""COMPUTED_VALUE"""),0.0)</f>
        <v>0</v>
      </c>
      <c r="I819" s="13" t="str">
        <f>IFERROR(__xludf.DUMMYFUNCTION("""COMPUTED_VALUE"""),"General Petite")</f>
        <v>General Petite</v>
      </c>
      <c r="J819" s="13" t="str">
        <f>IFERROR(__xludf.DUMMYFUNCTION("""COMPUTED_VALUE"""),"Tops")</f>
        <v>Tops</v>
      </c>
      <c r="K819" s="13" t="str">
        <f>IFERROR(__xludf.DUMMYFUNCTION("""COMPUTED_VALUE"""),"Knits")</f>
        <v>Knits</v>
      </c>
      <c r="L819" s="13"/>
    </row>
    <row r="820">
      <c r="A820" s="13">
        <f>IFERROR(__xludf.DUMMYFUNCTION("""COMPUTED_VALUE"""),818.0)</f>
        <v>818</v>
      </c>
      <c r="B820" s="13">
        <f>IFERROR(__xludf.DUMMYFUNCTION("""COMPUTED_VALUE"""),886.0)</f>
        <v>886</v>
      </c>
      <c r="C820" s="13">
        <f>IFERROR(__xludf.DUMMYFUNCTION("""COMPUTED_VALUE"""),43.0)</f>
        <v>43</v>
      </c>
      <c r="D820" s="12" t="str">
        <f>IFERROR(__xludf.DUMMYFUNCTION("""COMPUTED_VALUE"""),"Not a great design")</f>
        <v>Not a great design</v>
      </c>
      <c r="E820" s="12" t="str">
        <f>IFERROR(__xludf.DUMMYFUNCTION("""COMPUTED_VALUE"""),"This shirt is not a good look for a gal with hips. the fit at the top is tight (i ordered a small) but there is so much material at the bottom and if you are a little taller (i am 5'7), it hits at a place that is not flattering. i was hoping for something"&amp;" that hung straight down and would be good with leggings. this is not it...also the material is a little stiffer then i was expecting.")</f>
        <v>This shirt is not a good look for a gal with hips. the fit at the top is tight (i ordered a small) but there is so much material at the bottom and if you are a little taller (i am 5'7), it hits at a place that is not flattering. i was hoping for something that hung straight down and would be good with leggings. this is not it...also the material is a little stiffer then i was expecting.</v>
      </c>
      <c r="F820" s="13">
        <f>IFERROR(__xludf.DUMMYFUNCTION("""COMPUTED_VALUE"""),2.0)</f>
        <v>2</v>
      </c>
      <c r="G820" s="13">
        <f>IFERROR(__xludf.DUMMYFUNCTION("""COMPUTED_VALUE"""),0.0)</f>
        <v>0</v>
      </c>
      <c r="H820" s="13">
        <f>IFERROR(__xludf.DUMMYFUNCTION("""COMPUTED_VALUE"""),0.0)</f>
        <v>0</v>
      </c>
      <c r="I820" s="13" t="str">
        <f>IFERROR(__xludf.DUMMYFUNCTION("""COMPUTED_VALUE"""),"General Petite")</f>
        <v>General Petite</v>
      </c>
      <c r="J820" s="13" t="str">
        <f>IFERROR(__xludf.DUMMYFUNCTION("""COMPUTED_VALUE"""),"Tops")</f>
        <v>Tops</v>
      </c>
      <c r="K820" s="13" t="str">
        <f>IFERROR(__xludf.DUMMYFUNCTION("""COMPUTED_VALUE"""),"Knits")</f>
        <v>Knits</v>
      </c>
      <c r="L820" s="13"/>
    </row>
    <row r="821">
      <c r="A821" s="13">
        <f>IFERROR(__xludf.DUMMYFUNCTION("""COMPUTED_VALUE"""),819.0)</f>
        <v>819</v>
      </c>
      <c r="B821" s="13">
        <f>IFERROR(__xludf.DUMMYFUNCTION("""COMPUTED_VALUE"""),886.0)</f>
        <v>886</v>
      </c>
      <c r="C821" s="13">
        <f>IFERROR(__xludf.DUMMYFUNCTION("""COMPUTED_VALUE"""),63.0)</f>
        <v>63</v>
      </c>
      <c r="D821" s="12" t="str">
        <f>IFERROR(__xludf.DUMMYFUNCTION("""COMPUTED_VALUE"""),"V-neck t")</f>
        <v>V-neck t</v>
      </c>
      <c r="E821" s="12" t="str">
        <f>IFERROR(__xludf.DUMMYFUNCTION("""COMPUTED_VALUE"""),"Way to v necked- other than that would be a nice go to top. needs a cami.")</f>
        <v>Way to v necked- other than that would be a nice go to top. needs a cami.</v>
      </c>
      <c r="F821" s="13">
        <f>IFERROR(__xludf.DUMMYFUNCTION("""COMPUTED_VALUE"""),3.0)</f>
        <v>3</v>
      </c>
      <c r="G821" s="13">
        <f>IFERROR(__xludf.DUMMYFUNCTION("""COMPUTED_VALUE"""),1.0)</f>
        <v>1</v>
      </c>
      <c r="H821" s="13">
        <f>IFERROR(__xludf.DUMMYFUNCTION("""COMPUTED_VALUE"""),1.0)</f>
        <v>1</v>
      </c>
      <c r="I821" s="13" t="str">
        <f>IFERROR(__xludf.DUMMYFUNCTION("""COMPUTED_VALUE"""),"General Petite")</f>
        <v>General Petite</v>
      </c>
      <c r="J821" s="13" t="str">
        <f>IFERROR(__xludf.DUMMYFUNCTION("""COMPUTED_VALUE"""),"Tops")</f>
        <v>Tops</v>
      </c>
      <c r="K821" s="13" t="str">
        <f>IFERROR(__xludf.DUMMYFUNCTION("""COMPUTED_VALUE"""),"Knits")</f>
        <v>Knits</v>
      </c>
      <c r="L821" s="13"/>
    </row>
    <row r="822">
      <c r="A822" s="13">
        <f>IFERROR(__xludf.DUMMYFUNCTION("""COMPUTED_VALUE"""),820.0)</f>
        <v>820</v>
      </c>
      <c r="B822" s="13">
        <f>IFERROR(__xludf.DUMMYFUNCTION("""COMPUTED_VALUE"""),969.0)</f>
        <v>969</v>
      </c>
      <c r="C822" s="13">
        <f>IFERROR(__xludf.DUMMYFUNCTION("""COMPUTED_VALUE"""),34.0)</f>
        <v>34</v>
      </c>
      <c r="D822" s="12" t="str">
        <f>IFERROR(__xludf.DUMMYFUNCTION("""COMPUTED_VALUE"""),"Super cute- order a size down")</f>
        <v>Super cute- order a size down</v>
      </c>
      <c r="E822" s="12" t="str">
        <f>IFERROR(__xludf.DUMMYFUNCTION("""COMPUTED_VALUE"""),"After reading the reviews, i was hesitant to purchase, but glad i did. i'm usually an xs or s depending on the brand, but i got this in a xxs. it fits perfectly and is so cute. does not look like a bathrobe at all. i love it because it's almost like a car"&amp;"digan blazer...looks like a blazer but feels like a cardigan!")</f>
        <v>After reading the reviews, i was hesitant to purchase, but glad i did. i'm usually an xs or s depending on the brand, but i got this in a xxs. it fits perfectly and is so cute. does not look like a bathrobe at all. i love it because it's almost like a cardigan blazer...looks like a blazer but feels like a cardigan!</v>
      </c>
      <c r="F822" s="13">
        <f>IFERROR(__xludf.DUMMYFUNCTION("""COMPUTED_VALUE"""),5.0)</f>
        <v>5</v>
      </c>
      <c r="G822" s="13">
        <f>IFERROR(__xludf.DUMMYFUNCTION("""COMPUTED_VALUE"""),1.0)</f>
        <v>1</v>
      </c>
      <c r="H822" s="13">
        <f>IFERROR(__xludf.DUMMYFUNCTION("""COMPUTED_VALUE"""),0.0)</f>
        <v>0</v>
      </c>
      <c r="I822" s="13" t="str">
        <f>IFERROR(__xludf.DUMMYFUNCTION("""COMPUTED_VALUE"""),"General")</f>
        <v>General</v>
      </c>
      <c r="J822" s="13" t="str">
        <f>IFERROR(__xludf.DUMMYFUNCTION("""COMPUTED_VALUE"""),"Jackets")</f>
        <v>Jackets</v>
      </c>
      <c r="K822" s="13" t="str">
        <f>IFERROR(__xludf.DUMMYFUNCTION("""COMPUTED_VALUE"""),"Jackets")</f>
        <v>Jackets</v>
      </c>
      <c r="L822" s="13"/>
    </row>
    <row r="823">
      <c r="A823" s="13">
        <f>IFERROR(__xludf.DUMMYFUNCTION("""COMPUTED_VALUE"""),821.0)</f>
        <v>821</v>
      </c>
      <c r="B823" s="13">
        <f>IFERROR(__xludf.DUMMYFUNCTION("""COMPUTED_VALUE"""),886.0)</f>
        <v>886</v>
      </c>
      <c r="C823" s="13">
        <f>IFERROR(__xludf.DUMMYFUNCTION("""COMPUTED_VALUE"""),60.0)</f>
        <v>60</v>
      </c>
      <c r="D823" s="12" t="str">
        <f>IFERROR(__xludf.DUMMYFUNCTION("""COMPUTED_VALUE"""),"Nice tunic")</f>
        <v>Nice tunic</v>
      </c>
      <c r="E823" s="12" t="str">
        <f>IFERROR(__xludf.DUMMYFUNCTION("""COMPUTED_VALUE"""),"I tried this tunic on in my local retailer store. they do not carry petites, so i tried on a regular small (i'm 5'2"", 130lb). the proportions were a bit off. the v-neck fell way too low and there was extra material puckering across the bodice. i definite"&amp;"ly think a petite would work better for my height. alas, no petites in-store or online in the color(s) i would purchase. i didn't find the shirt too thin, as some have commented. it's essentially a midweight t-shirt material (but rayon, so beware o")</f>
        <v>I tried this tunic on in my local retailer store. they do not carry petites, so i tried on a regular small (i'm 5'2", 130lb). the proportions were a bit off. the v-neck fell way too low and there was extra material puckering across the bodice. i definitely think a petite would work better for my height. alas, no petites in-store or online in the color(s) i would purchase. i didn't find the shirt too thin, as some have commented. it's essentially a midweight t-shirt material (but rayon, so beware o</v>
      </c>
      <c r="F823" s="13">
        <f>IFERROR(__xludf.DUMMYFUNCTION("""COMPUTED_VALUE"""),4.0)</f>
        <v>4</v>
      </c>
      <c r="G823" s="13">
        <f>IFERROR(__xludf.DUMMYFUNCTION("""COMPUTED_VALUE"""),1.0)</f>
        <v>1</v>
      </c>
      <c r="H823" s="13">
        <f>IFERROR(__xludf.DUMMYFUNCTION("""COMPUTED_VALUE"""),2.0)</f>
        <v>2</v>
      </c>
      <c r="I823" s="13" t="str">
        <f>IFERROR(__xludf.DUMMYFUNCTION("""COMPUTED_VALUE"""),"General Petite")</f>
        <v>General Petite</v>
      </c>
      <c r="J823" s="13" t="str">
        <f>IFERROR(__xludf.DUMMYFUNCTION("""COMPUTED_VALUE"""),"Tops")</f>
        <v>Tops</v>
      </c>
      <c r="K823" s="13" t="str">
        <f>IFERROR(__xludf.DUMMYFUNCTION("""COMPUTED_VALUE"""),"Knits")</f>
        <v>Knits</v>
      </c>
      <c r="L823" s="13"/>
    </row>
    <row r="824">
      <c r="A824" s="13">
        <f>IFERROR(__xludf.DUMMYFUNCTION("""COMPUTED_VALUE"""),822.0)</f>
        <v>822</v>
      </c>
      <c r="B824" s="13">
        <f>IFERROR(__xludf.DUMMYFUNCTION("""COMPUTED_VALUE"""),1078.0)</f>
        <v>1078</v>
      </c>
      <c r="C824" s="13">
        <f>IFERROR(__xludf.DUMMYFUNCTION("""COMPUTED_VALUE"""),39.0)</f>
        <v>39</v>
      </c>
      <c r="D824" s="12" t="str">
        <f>IFERROR(__xludf.DUMMYFUNCTION("""COMPUTED_VALUE"""),"Nice casual tunic-dress")</f>
        <v>Nice casual tunic-dress</v>
      </c>
      <c r="E824" s="12" t="str">
        <f>IFERROR(__xludf.DUMMYFUNCTION("""COMPUTED_VALUE"""),"Comfortable,t eh fabric is very soft. the embroidery adds a little to the otherwise plain black tunic. lace up neck on trend too. 
i ordered the xxs p, as it is likely loose... that was just fine for me, xs p would have been not as flattering. theo nly p"&amp;"roblem with that is the sleeves then became a little more snug (workout arms). not too snug that i can't wear the dress, but decided not to keep it only because there are way too many things i like at retailer! (and have to pick). in my wish lis")</f>
        <v>Comfortable,t eh fabric is very soft. the embroidery adds a little to the otherwise plain black tunic. lace up neck on trend too. 
i ordered the xxs p, as it is likely loose... that was just fine for me, xs p would have been not as flattering. theo nly problem with that is the sleeves then became a little more snug (workout arms). not too snug that i can't wear the dress, but decided not to keep it only because there are way too many things i like at retailer! (and have to pick). in my wish lis</v>
      </c>
      <c r="F824" s="13">
        <f>IFERROR(__xludf.DUMMYFUNCTION("""COMPUTED_VALUE"""),5.0)</f>
        <v>5</v>
      </c>
      <c r="G824" s="13">
        <f>IFERROR(__xludf.DUMMYFUNCTION("""COMPUTED_VALUE"""),1.0)</f>
        <v>1</v>
      </c>
      <c r="H824" s="13">
        <f>IFERROR(__xludf.DUMMYFUNCTION("""COMPUTED_VALUE"""),2.0)</f>
        <v>2</v>
      </c>
      <c r="I824" s="13" t="str">
        <f>IFERROR(__xludf.DUMMYFUNCTION("""COMPUTED_VALUE"""),"General Petite")</f>
        <v>General Petite</v>
      </c>
      <c r="J824" s="13" t="str">
        <f>IFERROR(__xludf.DUMMYFUNCTION("""COMPUTED_VALUE"""),"Dresses")</f>
        <v>Dresses</v>
      </c>
      <c r="K824" s="13" t="str">
        <f>IFERROR(__xludf.DUMMYFUNCTION("""COMPUTED_VALUE"""),"Dresses")</f>
        <v>Dresses</v>
      </c>
      <c r="L824" s="13"/>
    </row>
    <row r="825">
      <c r="A825" s="13">
        <f>IFERROR(__xludf.DUMMYFUNCTION("""COMPUTED_VALUE"""),823.0)</f>
        <v>823</v>
      </c>
      <c r="B825" s="13">
        <f>IFERROR(__xludf.DUMMYFUNCTION("""COMPUTED_VALUE"""),1060.0)</f>
        <v>1060</v>
      </c>
      <c r="C825" s="13">
        <f>IFERROR(__xludf.DUMMYFUNCTION("""COMPUTED_VALUE"""),39.0)</f>
        <v>39</v>
      </c>
      <c r="D825" s="12" t="str">
        <f>IFERROR(__xludf.DUMMYFUNCTION("""COMPUTED_VALUE"""),"Not as bad as previously reviewed")</f>
        <v>Not as bad as previously reviewed</v>
      </c>
      <c r="E825" s="12" t="str">
        <f>IFERROR(__xludf.DUMMYFUNCTION("""COMPUTED_VALUE"""),"I do think the fabric could be a little more substantial for the price, and was disappoitned that even petites, were again, too long... the color is nice enough (neutral), and they definitely look like work pants. they are true to sice, but i could do the"&amp;" low end of my size range.")</f>
        <v>I do think the fabric could be a little more substantial for the price, and was disappoitned that even petites, were again, too long... the color is nice enough (neutral), and they definitely look like work pants. they are true to sice, but i could do the low end of my size range.</v>
      </c>
      <c r="F825" s="13">
        <f>IFERROR(__xludf.DUMMYFUNCTION("""COMPUTED_VALUE"""),4.0)</f>
        <v>4</v>
      </c>
      <c r="G825" s="13">
        <f>IFERROR(__xludf.DUMMYFUNCTION("""COMPUTED_VALUE"""),1.0)</f>
        <v>1</v>
      </c>
      <c r="H825" s="13">
        <f>IFERROR(__xludf.DUMMYFUNCTION("""COMPUTED_VALUE"""),7.0)</f>
        <v>7</v>
      </c>
      <c r="I825" s="13" t="str">
        <f>IFERROR(__xludf.DUMMYFUNCTION("""COMPUTED_VALUE"""),"General Petite")</f>
        <v>General Petite</v>
      </c>
      <c r="J825" s="13" t="str">
        <f>IFERROR(__xludf.DUMMYFUNCTION("""COMPUTED_VALUE"""),"Bottoms")</f>
        <v>Bottoms</v>
      </c>
      <c r="K825" s="13" t="str">
        <f>IFERROR(__xludf.DUMMYFUNCTION("""COMPUTED_VALUE"""),"Pants")</f>
        <v>Pants</v>
      </c>
      <c r="L825" s="13"/>
    </row>
    <row r="826">
      <c r="A826" s="13">
        <f>IFERROR(__xludf.DUMMYFUNCTION("""COMPUTED_VALUE"""),824.0)</f>
        <v>824</v>
      </c>
      <c r="B826" s="13">
        <f>IFERROR(__xludf.DUMMYFUNCTION("""COMPUTED_VALUE"""),886.0)</f>
        <v>886</v>
      </c>
      <c r="C826" s="13">
        <f>IFERROR(__xludf.DUMMYFUNCTION("""COMPUTED_VALUE"""),32.0)</f>
        <v>32</v>
      </c>
      <c r="D826" s="12" t="str">
        <f>IFERROR(__xludf.DUMMYFUNCTION("""COMPUTED_VALUE"""),"Love the black")</f>
        <v>Love the black</v>
      </c>
      <c r="E826" s="12" t="str">
        <f>IFERROR(__xludf.DUMMYFUNCTION("""COMPUTED_VALUE"""),"I bought this in black and it did require me to wear a shirt underneath as it was a little sheer/see through. i usually wear an xs and i wore the same in this top. the black is very pretty and goes well with some skinny jeans.")</f>
        <v>I bought this in black and it did require me to wear a shirt underneath as it was a little sheer/see through. i usually wear an xs and i wore the same in this top. the black is very pretty and goes well with some skinny jeans.</v>
      </c>
      <c r="F826" s="13">
        <f>IFERROR(__xludf.DUMMYFUNCTION("""COMPUTED_VALUE"""),5.0)</f>
        <v>5</v>
      </c>
      <c r="G826" s="13">
        <f>IFERROR(__xludf.DUMMYFUNCTION("""COMPUTED_VALUE"""),1.0)</f>
        <v>1</v>
      </c>
      <c r="H826" s="13">
        <f>IFERROR(__xludf.DUMMYFUNCTION("""COMPUTED_VALUE"""),24.0)</f>
        <v>24</v>
      </c>
      <c r="I826" s="13" t="str">
        <f>IFERROR(__xludf.DUMMYFUNCTION("""COMPUTED_VALUE"""),"General Petite")</f>
        <v>General Petite</v>
      </c>
      <c r="J826" s="13" t="str">
        <f>IFERROR(__xludf.DUMMYFUNCTION("""COMPUTED_VALUE"""),"Tops")</f>
        <v>Tops</v>
      </c>
      <c r="K826" s="13" t="str">
        <f>IFERROR(__xludf.DUMMYFUNCTION("""COMPUTED_VALUE"""),"Knits")</f>
        <v>Knits</v>
      </c>
      <c r="L826" s="13"/>
    </row>
    <row r="827">
      <c r="A827" s="13">
        <f>IFERROR(__xludf.DUMMYFUNCTION("""COMPUTED_VALUE"""),825.0)</f>
        <v>825</v>
      </c>
      <c r="B827" s="13">
        <f>IFERROR(__xludf.DUMMYFUNCTION("""COMPUTED_VALUE"""),886.0)</f>
        <v>886</v>
      </c>
      <c r="C827" s="13">
        <f>IFERROR(__xludf.DUMMYFUNCTION("""COMPUTED_VALUE"""),39.0)</f>
        <v>39</v>
      </c>
      <c r="D827" s="12" t="str">
        <f>IFERROR(__xludf.DUMMYFUNCTION("""COMPUTED_VALUE"""),"Weird shape.")</f>
        <v>Weird shape.</v>
      </c>
      <c r="E827" s="12" t="str">
        <f>IFERROR(__xludf.DUMMYFUNCTION("""COMPUTED_VALUE"""),"After seeing this on anthto's facebook page i was so excited to order. i ended up going to a store and trying on. i couldn't believe it was the same shirts when i first saw it. i thought this ran quite big. and the shape was odd. lots of material in the m"&amp;"iddle. i am a mom of 3 young kids and didn't want people to think #4 was on the way.")</f>
        <v>After seeing this on anthto's facebook page i was so excited to order. i ended up going to a store and trying on. i couldn't believe it was the same shirts when i first saw it. i thought this ran quite big. and the shape was odd. lots of material in the middle. i am a mom of 3 young kids and didn't want people to think #4 was on the way.</v>
      </c>
      <c r="F827" s="13">
        <f>IFERROR(__xludf.DUMMYFUNCTION("""COMPUTED_VALUE"""),2.0)</f>
        <v>2</v>
      </c>
      <c r="G827" s="13">
        <f>IFERROR(__xludf.DUMMYFUNCTION("""COMPUTED_VALUE"""),0.0)</f>
        <v>0</v>
      </c>
      <c r="H827" s="13">
        <f>IFERROR(__xludf.DUMMYFUNCTION("""COMPUTED_VALUE"""),15.0)</f>
        <v>15</v>
      </c>
      <c r="I827" s="13" t="str">
        <f>IFERROR(__xludf.DUMMYFUNCTION("""COMPUTED_VALUE"""),"General Petite")</f>
        <v>General Petite</v>
      </c>
      <c r="J827" s="13" t="str">
        <f>IFERROR(__xludf.DUMMYFUNCTION("""COMPUTED_VALUE"""),"Tops")</f>
        <v>Tops</v>
      </c>
      <c r="K827" s="13" t="str">
        <f>IFERROR(__xludf.DUMMYFUNCTION("""COMPUTED_VALUE"""),"Knits")</f>
        <v>Knits</v>
      </c>
      <c r="L827" s="13"/>
    </row>
    <row r="828">
      <c r="A828" s="13">
        <f>IFERROR(__xludf.DUMMYFUNCTION("""COMPUTED_VALUE"""),826.0)</f>
        <v>826</v>
      </c>
      <c r="B828" s="13">
        <f>IFERROR(__xludf.DUMMYFUNCTION("""COMPUTED_VALUE"""),895.0)</f>
        <v>895</v>
      </c>
      <c r="C828" s="13">
        <f>IFERROR(__xludf.DUMMYFUNCTION("""COMPUTED_VALUE"""),54.0)</f>
        <v>54</v>
      </c>
      <c r="D828" s="12" t="str">
        <f>IFERROR(__xludf.DUMMYFUNCTION("""COMPUTED_VALUE"""),"Boxy")</f>
        <v>Boxy</v>
      </c>
      <c r="E828" s="12" t="str">
        <f>IFERROR(__xludf.DUMMYFUNCTION("""COMPUTED_VALUE"""),"I ordered this sweater in black and thought it was a pretty design and something different in a cardigan. when i tried it on, it was an odd fit and very boxy and unflattering. i wanted to like it and keep it, but i knew i would not wear it so, unfortunate"&amp;"ly, it went back.")</f>
        <v>I ordered this sweater in black and thought it was a pretty design and something different in a cardigan. when i tried it on, it was an odd fit and very boxy and unflattering. i wanted to like it and keep it, but i knew i would not wear it so, unfortunately, it went back.</v>
      </c>
      <c r="F828" s="13">
        <f>IFERROR(__xludf.DUMMYFUNCTION("""COMPUTED_VALUE"""),3.0)</f>
        <v>3</v>
      </c>
      <c r="G828" s="13">
        <f>IFERROR(__xludf.DUMMYFUNCTION("""COMPUTED_VALUE"""),0.0)</f>
        <v>0</v>
      </c>
      <c r="H828" s="13">
        <f>IFERROR(__xludf.DUMMYFUNCTION("""COMPUTED_VALUE"""),0.0)</f>
        <v>0</v>
      </c>
      <c r="I828" s="13" t="str">
        <f>IFERROR(__xludf.DUMMYFUNCTION("""COMPUTED_VALUE"""),"General")</f>
        <v>General</v>
      </c>
      <c r="J828" s="13" t="str">
        <f>IFERROR(__xludf.DUMMYFUNCTION("""COMPUTED_VALUE"""),"Tops")</f>
        <v>Tops</v>
      </c>
      <c r="K828" s="13" t="str">
        <f>IFERROR(__xludf.DUMMYFUNCTION("""COMPUTED_VALUE"""),"Fine gauge")</f>
        <v>Fine gauge</v>
      </c>
      <c r="L828" s="13"/>
    </row>
    <row r="829">
      <c r="A829" s="13">
        <f>IFERROR(__xludf.DUMMYFUNCTION("""COMPUTED_VALUE"""),827.0)</f>
        <v>827</v>
      </c>
      <c r="B829" s="13">
        <f>IFERROR(__xludf.DUMMYFUNCTION("""COMPUTED_VALUE"""),895.0)</f>
        <v>895</v>
      </c>
      <c r="C829" s="13">
        <f>IFERROR(__xludf.DUMMYFUNCTION("""COMPUTED_VALUE"""),71.0)</f>
        <v>71</v>
      </c>
      <c r="D829" s="12" t="str">
        <f>IFERROR(__xludf.DUMMYFUNCTION("""COMPUTED_VALUE"""),"Cute but short")</f>
        <v>Cute but short</v>
      </c>
      <c r="E829" s="12" t="str">
        <f>IFERROR(__xludf.DUMMYFUNCTION("""COMPUTED_VALUE"""),"I ordered the green, black and ivory because i thought they were so cute. the sweater is short but still cute. the ivory one i will return though. it has sparkle that's not noticeable in the online picture plus when it arrived it had a huge snag in the fa"&amp;"bric. i'm actually quite surprised they sent it to me in such poor condition.")</f>
        <v>I ordered the green, black and ivory because i thought they were so cute. the sweater is short but still cute. the ivory one i will return though. it has sparkle that's not noticeable in the online picture plus when it arrived it had a huge snag in the fabric. i'm actually quite surprised they sent it to me in such poor condition.</v>
      </c>
      <c r="F829" s="13">
        <f>IFERROR(__xludf.DUMMYFUNCTION("""COMPUTED_VALUE"""),4.0)</f>
        <v>4</v>
      </c>
      <c r="G829" s="13">
        <f>IFERROR(__xludf.DUMMYFUNCTION("""COMPUTED_VALUE"""),1.0)</f>
        <v>1</v>
      </c>
      <c r="H829" s="13">
        <f>IFERROR(__xludf.DUMMYFUNCTION("""COMPUTED_VALUE"""),0.0)</f>
        <v>0</v>
      </c>
      <c r="I829" s="13" t="str">
        <f>IFERROR(__xludf.DUMMYFUNCTION("""COMPUTED_VALUE"""),"General")</f>
        <v>General</v>
      </c>
      <c r="J829" s="13" t="str">
        <f>IFERROR(__xludf.DUMMYFUNCTION("""COMPUTED_VALUE"""),"Tops")</f>
        <v>Tops</v>
      </c>
      <c r="K829" s="13" t="str">
        <f>IFERROR(__xludf.DUMMYFUNCTION("""COMPUTED_VALUE"""),"Fine gauge")</f>
        <v>Fine gauge</v>
      </c>
      <c r="L829" s="13"/>
    </row>
    <row r="830">
      <c r="A830" s="13">
        <f>IFERROR(__xludf.DUMMYFUNCTION("""COMPUTED_VALUE"""),828.0)</f>
        <v>828</v>
      </c>
      <c r="B830" s="13">
        <f>IFERROR(__xludf.DUMMYFUNCTION("""COMPUTED_VALUE"""),886.0)</f>
        <v>886</v>
      </c>
      <c r="C830" s="13">
        <f>IFERROR(__xludf.DUMMYFUNCTION("""COMPUTED_VALUE"""),46.0)</f>
        <v>46</v>
      </c>
      <c r="D830" s="12" t="str">
        <f>IFERROR(__xludf.DUMMYFUNCTION("""COMPUTED_VALUE"""),"Too long, poor quality")</f>
        <v>Too long, poor quality</v>
      </c>
      <c r="E830" s="12" t="str">
        <f>IFERROR(__xludf.DUMMYFUNCTION("""COMPUTED_VALUE"""),"I ordered the pink in size xl. the color was pretty. the problem is the material was too thin and tight. it ran at least a size smaller than shown in the photos online.")</f>
        <v>I ordered the pink in size xl. the color was pretty. the problem is the material was too thin and tight. it ran at least a size smaller than shown in the photos online.</v>
      </c>
      <c r="F830" s="13">
        <f>IFERROR(__xludf.DUMMYFUNCTION("""COMPUTED_VALUE"""),3.0)</f>
        <v>3</v>
      </c>
      <c r="G830" s="13">
        <f>IFERROR(__xludf.DUMMYFUNCTION("""COMPUTED_VALUE"""),0.0)</f>
        <v>0</v>
      </c>
      <c r="H830" s="13">
        <f>IFERROR(__xludf.DUMMYFUNCTION("""COMPUTED_VALUE"""),0.0)</f>
        <v>0</v>
      </c>
      <c r="I830" s="13" t="str">
        <f>IFERROR(__xludf.DUMMYFUNCTION("""COMPUTED_VALUE"""),"General Petite")</f>
        <v>General Petite</v>
      </c>
      <c r="J830" s="13" t="str">
        <f>IFERROR(__xludf.DUMMYFUNCTION("""COMPUTED_VALUE"""),"Tops")</f>
        <v>Tops</v>
      </c>
      <c r="K830" s="13" t="str">
        <f>IFERROR(__xludf.DUMMYFUNCTION("""COMPUTED_VALUE"""),"Knits")</f>
        <v>Knits</v>
      </c>
      <c r="L830" s="13"/>
    </row>
    <row r="831">
      <c r="A831" s="13">
        <f>IFERROR(__xludf.DUMMYFUNCTION("""COMPUTED_VALUE"""),829.0)</f>
        <v>829</v>
      </c>
      <c r="B831" s="13">
        <f>IFERROR(__xludf.DUMMYFUNCTION("""COMPUTED_VALUE"""),895.0)</f>
        <v>895</v>
      </c>
      <c r="C831" s="13">
        <f>IFERROR(__xludf.DUMMYFUNCTION("""COMPUTED_VALUE"""),30.0)</f>
        <v>30</v>
      </c>
      <c r="D831" s="12" t="str">
        <f>IFERROR(__xludf.DUMMYFUNCTION("""COMPUTED_VALUE"""),"Sent to me damaged")</f>
        <v>Sent to me damaged</v>
      </c>
      <c r="E831" s="12" t="str">
        <f>IFERROR(__xludf.DUMMYFUNCTION("""COMPUTED_VALUE"""),"I ordered the in the emerald green and it was sent to me with a dime size hole in the sleeve. i am very disappointed, because i love the sweater. by the time it arrived, it was sold out in my size. now, i cannot exchange it for one that is not damaged. if"&amp;" the sweater was not damaged, i would recommend this product.")</f>
        <v>I ordered the in the emerald green and it was sent to me with a dime size hole in the sleeve. i am very disappointed, because i love the sweater. by the time it arrived, it was sold out in my size. now, i cannot exchange it for one that is not damaged. if the sweater was not damaged, i would recommend this product.</v>
      </c>
      <c r="F831" s="13">
        <f>IFERROR(__xludf.DUMMYFUNCTION("""COMPUTED_VALUE"""),2.0)</f>
        <v>2</v>
      </c>
      <c r="G831" s="13">
        <f>IFERROR(__xludf.DUMMYFUNCTION("""COMPUTED_VALUE"""),1.0)</f>
        <v>1</v>
      </c>
      <c r="H831" s="13">
        <f>IFERROR(__xludf.DUMMYFUNCTION("""COMPUTED_VALUE"""),0.0)</f>
        <v>0</v>
      </c>
      <c r="I831" s="13" t="str">
        <f>IFERROR(__xludf.DUMMYFUNCTION("""COMPUTED_VALUE"""),"General")</f>
        <v>General</v>
      </c>
      <c r="J831" s="13" t="str">
        <f>IFERROR(__xludf.DUMMYFUNCTION("""COMPUTED_VALUE"""),"Tops")</f>
        <v>Tops</v>
      </c>
      <c r="K831" s="13" t="str">
        <f>IFERROR(__xludf.DUMMYFUNCTION("""COMPUTED_VALUE"""),"Fine gauge")</f>
        <v>Fine gauge</v>
      </c>
      <c r="L831" s="13"/>
    </row>
    <row r="832">
      <c r="A832" s="13">
        <f>IFERROR(__xludf.DUMMYFUNCTION("""COMPUTED_VALUE"""),830.0)</f>
        <v>830</v>
      </c>
      <c r="B832" s="13">
        <f>IFERROR(__xludf.DUMMYFUNCTION("""COMPUTED_VALUE"""),895.0)</f>
        <v>895</v>
      </c>
      <c r="C832" s="13">
        <f>IFERROR(__xludf.DUMMYFUNCTION("""COMPUTED_VALUE"""),59.0)</f>
        <v>59</v>
      </c>
      <c r="D832" s="12" t="str">
        <f>IFERROR(__xludf.DUMMYFUNCTION("""COMPUTED_VALUE"""),"Gold thread")</f>
        <v>Gold thread</v>
      </c>
      <c r="E832" s="12" t="str">
        <f>IFERROR(__xludf.DUMMYFUNCTION("""COMPUTED_VALUE"""),"This is a very pretty sweater, a bit boxy and short but cute. i am 5'1"" and ordered the regular xs in black. the thing i did not like about this sweater was the gold thread through the back lace. i would have kept this if it was plain black lace. just di"&amp;"d not like that look.")</f>
        <v>This is a very pretty sweater, a bit boxy and short but cute. i am 5'1" and ordered the regular xs in black. the thing i did not like about this sweater was the gold thread through the back lace. i would have kept this if it was plain black lace. just did not like that look.</v>
      </c>
      <c r="F832" s="13">
        <f>IFERROR(__xludf.DUMMYFUNCTION("""COMPUTED_VALUE"""),2.0)</f>
        <v>2</v>
      </c>
      <c r="G832" s="13">
        <f>IFERROR(__xludf.DUMMYFUNCTION("""COMPUTED_VALUE"""),0.0)</f>
        <v>0</v>
      </c>
      <c r="H832" s="13">
        <f>IFERROR(__xludf.DUMMYFUNCTION("""COMPUTED_VALUE"""),2.0)</f>
        <v>2</v>
      </c>
      <c r="I832" s="13" t="str">
        <f>IFERROR(__xludf.DUMMYFUNCTION("""COMPUTED_VALUE"""),"General")</f>
        <v>General</v>
      </c>
      <c r="J832" s="13" t="str">
        <f>IFERROR(__xludf.DUMMYFUNCTION("""COMPUTED_VALUE"""),"Tops")</f>
        <v>Tops</v>
      </c>
      <c r="K832" s="13" t="str">
        <f>IFERROR(__xludf.DUMMYFUNCTION("""COMPUTED_VALUE"""),"Fine gauge")</f>
        <v>Fine gauge</v>
      </c>
      <c r="L832" s="13"/>
    </row>
    <row r="833">
      <c r="A833" s="13">
        <f>IFERROR(__xludf.DUMMYFUNCTION("""COMPUTED_VALUE"""),831.0)</f>
        <v>831</v>
      </c>
      <c r="B833" s="13">
        <f>IFERROR(__xludf.DUMMYFUNCTION("""COMPUTED_VALUE"""),1089.0)</f>
        <v>1089</v>
      </c>
      <c r="C833" s="13">
        <f>IFERROR(__xludf.DUMMYFUNCTION("""COMPUTED_VALUE"""),26.0)</f>
        <v>26</v>
      </c>
      <c r="D833" s="12" t="str">
        <f>IFERROR(__xludf.DUMMYFUNCTION("""COMPUTED_VALUE"""),"Not for me")</f>
        <v>Not for me</v>
      </c>
      <c r="E833" s="12" t="str">
        <f>IFERROR(__xludf.DUMMYFUNCTION("""COMPUTED_VALUE"""),"I was obsessed with this dress from the moment i saw it online and was so excited to buy it for my company christmas party. i'm 5'4"", 36c, 145lbs and i ordered a 6. the size was great but the whole cut of the dress was completely off for me. i have a fai"&amp;"rly short torso but the top portion of the dress (which is a sweater-like material) hit me far too low on my waist to be flattering; the petite may have fixed it, but then the skirt would've been too short. the pleats were cute but flared out too")</f>
        <v>I was obsessed with this dress from the moment i saw it online and was so excited to buy it for my company christmas party. i'm 5'4", 36c, 145lbs and i ordered a 6. the size was great but the whole cut of the dress was completely off for me. i have a fairly short torso but the top portion of the dress (which is a sweater-like material) hit me far too low on my waist to be flattering; the petite may have fixed it, but then the skirt would've been too short. the pleats were cute but flared out too</v>
      </c>
      <c r="F833" s="13">
        <f>IFERROR(__xludf.DUMMYFUNCTION("""COMPUTED_VALUE"""),3.0)</f>
        <v>3</v>
      </c>
      <c r="G833" s="13">
        <f>IFERROR(__xludf.DUMMYFUNCTION("""COMPUTED_VALUE"""),1.0)</f>
        <v>1</v>
      </c>
      <c r="H833" s="13">
        <f>IFERROR(__xludf.DUMMYFUNCTION("""COMPUTED_VALUE"""),2.0)</f>
        <v>2</v>
      </c>
      <c r="I833" s="13" t="str">
        <f>IFERROR(__xludf.DUMMYFUNCTION("""COMPUTED_VALUE"""),"General Petite")</f>
        <v>General Petite</v>
      </c>
      <c r="J833" s="13" t="str">
        <f>IFERROR(__xludf.DUMMYFUNCTION("""COMPUTED_VALUE"""),"Dresses")</f>
        <v>Dresses</v>
      </c>
      <c r="K833" s="13" t="str">
        <f>IFERROR(__xludf.DUMMYFUNCTION("""COMPUTED_VALUE"""),"Dresses")</f>
        <v>Dresses</v>
      </c>
      <c r="L833" s="13"/>
    </row>
    <row r="834">
      <c r="A834" s="13">
        <f>IFERROR(__xludf.DUMMYFUNCTION("""COMPUTED_VALUE"""),832.0)</f>
        <v>832</v>
      </c>
      <c r="B834" s="13">
        <f>IFERROR(__xludf.DUMMYFUNCTION("""COMPUTED_VALUE"""),886.0)</f>
        <v>886</v>
      </c>
      <c r="C834" s="13">
        <f>IFERROR(__xludf.DUMMYFUNCTION("""COMPUTED_VALUE"""),46.0)</f>
        <v>46</v>
      </c>
      <c r="D834" s="12" t="str">
        <f>IFERROR(__xludf.DUMMYFUNCTION("""COMPUTED_VALUE"""),"Great tunic")</f>
        <v>Great tunic</v>
      </c>
      <c r="E834" s="12" t="str">
        <f>IFERROR(__xludf.DUMMYFUNCTION("""COMPUTED_VALUE"""),"This tunic is very pretty in black. it is lighter weight than the picture appears and drapes nicely. i'm 5'2 so i ordered the petite, but would have been ok with the extra length of the regular for when worn with leggings, with jeans the petite length wil"&amp;"l work well. i recommend using the size chart provided. i general wear an xs, but ordered the s, based on the size chart, it's a perfect fit.")</f>
        <v>This tunic is very pretty in black. it is lighter weight than the picture appears and drapes nicely. i'm 5'2 so i ordered the petite, but would have been ok with the extra length of the regular for when worn with leggings, with jeans the petite length will work well. i recommend using the size chart provided. i general wear an xs, but ordered the s, based on the size chart, it's a perfect fit.</v>
      </c>
      <c r="F834" s="13">
        <f>IFERROR(__xludf.DUMMYFUNCTION("""COMPUTED_VALUE"""),5.0)</f>
        <v>5</v>
      </c>
      <c r="G834" s="13">
        <f>IFERROR(__xludf.DUMMYFUNCTION("""COMPUTED_VALUE"""),1.0)</f>
        <v>1</v>
      </c>
      <c r="H834" s="13">
        <f>IFERROR(__xludf.DUMMYFUNCTION("""COMPUTED_VALUE"""),37.0)</f>
        <v>37</v>
      </c>
      <c r="I834" s="13" t="str">
        <f>IFERROR(__xludf.DUMMYFUNCTION("""COMPUTED_VALUE"""),"General Petite")</f>
        <v>General Petite</v>
      </c>
      <c r="J834" s="13" t="str">
        <f>IFERROR(__xludf.DUMMYFUNCTION("""COMPUTED_VALUE"""),"Tops")</f>
        <v>Tops</v>
      </c>
      <c r="K834" s="13" t="str">
        <f>IFERROR(__xludf.DUMMYFUNCTION("""COMPUTED_VALUE"""),"Knits")</f>
        <v>Knits</v>
      </c>
      <c r="L834" s="13"/>
    </row>
    <row r="835">
      <c r="A835" s="13">
        <f>IFERROR(__xludf.DUMMYFUNCTION("""COMPUTED_VALUE"""),833.0)</f>
        <v>833</v>
      </c>
      <c r="B835" s="13">
        <f>IFERROR(__xludf.DUMMYFUNCTION("""COMPUTED_VALUE"""),895.0)</f>
        <v>895</v>
      </c>
      <c r="C835" s="13">
        <f>IFERROR(__xludf.DUMMYFUNCTION("""COMPUTED_VALUE"""),31.0)</f>
        <v>31</v>
      </c>
      <c r="D835" s="12"/>
      <c r="E835" s="12" t="str">
        <f>IFERROR(__xludf.DUMMYFUNCTION("""COMPUTED_VALUE"""),"Great, special cardigan. fits like a shrug and a little short but is perfect over a tight fitting sheath. great for broad shoulders.")</f>
        <v>Great, special cardigan. fits like a shrug and a little short but is perfect over a tight fitting sheath. great for broad shoulders.</v>
      </c>
      <c r="F835" s="13">
        <f>IFERROR(__xludf.DUMMYFUNCTION("""COMPUTED_VALUE"""),4.0)</f>
        <v>4</v>
      </c>
      <c r="G835" s="13">
        <f>IFERROR(__xludf.DUMMYFUNCTION("""COMPUTED_VALUE"""),1.0)</f>
        <v>1</v>
      </c>
      <c r="H835" s="13">
        <f>IFERROR(__xludf.DUMMYFUNCTION("""COMPUTED_VALUE"""),0.0)</f>
        <v>0</v>
      </c>
      <c r="I835" s="13" t="str">
        <f>IFERROR(__xludf.DUMMYFUNCTION("""COMPUTED_VALUE"""),"General")</f>
        <v>General</v>
      </c>
      <c r="J835" s="13" t="str">
        <f>IFERROR(__xludf.DUMMYFUNCTION("""COMPUTED_VALUE"""),"Tops")</f>
        <v>Tops</v>
      </c>
      <c r="K835" s="13" t="str">
        <f>IFERROR(__xludf.DUMMYFUNCTION("""COMPUTED_VALUE"""),"Fine gauge")</f>
        <v>Fine gauge</v>
      </c>
      <c r="L835" s="13"/>
    </row>
    <row r="836">
      <c r="A836" s="13">
        <f>IFERROR(__xludf.DUMMYFUNCTION("""COMPUTED_VALUE"""),834.0)</f>
        <v>834</v>
      </c>
      <c r="B836" s="13">
        <f>IFERROR(__xludf.DUMMYFUNCTION("""COMPUTED_VALUE"""),868.0)</f>
        <v>868</v>
      </c>
      <c r="C836" s="13">
        <f>IFERROR(__xludf.DUMMYFUNCTION("""COMPUTED_VALUE"""),46.0)</f>
        <v>46</v>
      </c>
      <c r="D836" s="12"/>
      <c r="E836" s="12" t="str">
        <f>IFERROR(__xludf.DUMMYFUNCTION("""COMPUTED_VALUE"""),"Cute cute. simple tank with a little something to add interest.")</f>
        <v>Cute cute. simple tank with a little something to add interest.</v>
      </c>
      <c r="F836" s="13">
        <f>IFERROR(__xludf.DUMMYFUNCTION("""COMPUTED_VALUE"""),4.0)</f>
        <v>4</v>
      </c>
      <c r="G836" s="13">
        <f>IFERROR(__xludf.DUMMYFUNCTION("""COMPUTED_VALUE"""),1.0)</f>
        <v>1</v>
      </c>
      <c r="H836" s="13">
        <f>IFERROR(__xludf.DUMMYFUNCTION("""COMPUTED_VALUE"""),0.0)</f>
        <v>0</v>
      </c>
      <c r="I836" s="13" t="str">
        <f>IFERROR(__xludf.DUMMYFUNCTION("""COMPUTED_VALUE"""),"General")</f>
        <v>General</v>
      </c>
      <c r="J836" s="13" t="str">
        <f>IFERROR(__xludf.DUMMYFUNCTION("""COMPUTED_VALUE"""),"Tops")</f>
        <v>Tops</v>
      </c>
      <c r="K836" s="13" t="str">
        <f>IFERROR(__xludf.DUMMYFUNCTION("""COMPUTED_VALUE"""),"Knits")</f>
        <v>Knits</v>
      </c>
      <c r="L836" s="13"/>
    </row>
    <row r="837">
      <c r="A837" s="13">
        <f>IFERROR(__xludf.DUMMYFUNCTION("""COMPUTED_VALUE"""),835.0)</f>
        <v>835</v>
      </c>
      <c r="B837" s="13">
        <f>IFERROR(__xludf.DUMMYFUNCTION("""COMPUTED_VALUE"""),895.0)</f>
        <v>895</v>
      </c>
      <c r="C837" s="13">
        <f>IFERROR(__xludf.DUMMYFUNCTION("""COMPUTED_VALUE"""),35.0)</f>
        <v>35</v>
      </c>
      <c r="D837" s="12" t="str">
        <f>IFERROR(__xludf.DUMMYFUNCTION("""COMPUTED_VALUE"""),"Not for tall ladies")</f>
        <v>Not for tall ladies</v>
      </c>
      <c r="E837" s="12" t="str">
        <f>IFERROR(__xludf.DUMMYFUNCTION("""COMPUTED_VALUE"""),"This sweater is a cute design but did not work for me. i am 5'9"" and this is way to short/cropped and looks awkward. the quality was so so, it looked stretched out in the front. it's getting returned.")</f>
        <v>This sweater is a cute design but did not work for me. i am 5'9" and this is way to short/cropped and looks awkward. the quality was so so, it looked stretched out in the front. it's getting returned.</v>
      </c>
      <c r="F837" s="13">
        <f>IFERROR(__xludf.DUMMYFUNCTION("""COMPUTED_VALUE"""),2.0)</f>
        <v>2</v>
      </c>
      <c r="G837" s="13">
        <f>IFERROR(__xludf.DUMMYFUNCTION("""COMPUTED_VALUE"""),0.0)</f>
        <v>0</v>
      </c>
      <c r="H837" s="13">
        <f>IFERROR(__xludf.DUMMYFUNCTION("""COMPUTED_VALUE"""),1.0)</f>
        <v>1</v>
      </c>
      <c r="I837" s="13" t="str">
        <f>IFERROR(__xludf.DUMMYFUNCTION("""COMPUTED_VALUE"""),"General")</f>
        <v>General</v>
      </c>
      <c r="J837" s="13" t="str">
        <f>IFERROR(__xludf.DUMMYFUNCTION("""COMPUTED_VALUE"""),"Tops")</f>
        <v>Tops</v>
      </c>
      <c r="K837" s="13" t="str">
        <f>IFERROR(__xludf.DUMMYFUNCTION("""COMPUTED_VALUE"""),"Fine gauge")</f>
        <v>Fine gauge</v>
      </c>
      <c r="L837" s="13"/>
    </row>
    <row r="838">
      <c r="A838" s="13">
        <f>IFERROR(__xludf.DUMMYFUNCTION("""COMPUTED_VALUE"""),836.0)</f>
        <v>836</v>
      </c>
      <c r="B838" s="13">
        <f>IFERROR(__xludf.DUMMYFUNCTION("""COMPUTED_VALUE"""),886.0)</f>
        <v>886</v>
      </c>
      <c r="C838" s="13">
        <f>IFERROR(__xludf.DUMMYFUNCTION("""COMPUTED_VALUE"""),61.0)</f>
        <v>61</v>
      </c>
      <c r="D838" s="12" t="str">
        <f>IFERROR(__xludf.DUMMYFUNCTION("""COMPUTED_VALUE"""),"Lokka tunic")</f>
        <v>Lokka tunic</v>
      </c>
      <c r="E838" s="12" t="str">
        <f>IFERROR(__xludf.DUMMYFUNCTION("""COMPUTED_VALUE"""),"Beautiful top, loved the color but shoulders were totally messed up and not sure if it was from
hanging at store or the way it was sewn.")</f>
        <v>Beautiful top, loved the color but shoulders were totally messed up and not sure if it was from
hanging at store or the way it was sewn.</v>
      </c>
      <c r="F838" s="13">
        <f>IFERROR(__xludf.DUMMYFUNCTION("""COMPUTED_VALUE"""),2.0)</f>
        <v>2</v>
      </c>
      <c r="G838" s="13">
        <f>IFERROR(__xludf.DUMMYFUNCTION("""COMPUTED_VALUE"""),0.0)</f>
        <v>0</v>
      </c>
      <c r="H838" s="13">
        <f>IFERROR(__xludf.DUMMYFUNCTION("""COMPUTED_VALUE"""),0.0)</f>
        <v>0</v>
      </c>
      <c r="I838" s="13" t="str">
        <f>IFERROR(__xludf.DUMMYFUNCTION("""COMPUTED_VALUE"""),"General Petite")</f>
        <v>General Petite</v>
      </c>
      <c r="J838" s="13" t="str">
        <f>IFERROR(__xludf.DUMMYFUNCTION("""COMPUTED_VALUE"""),"Tops")</f>
        <v>Tops</v>
      </c>
      <c r="K838" s="13" t="str">
        <f>IFERROR(__xludf.DUMMYFUNCTION("""COMPUTED_VALUE"""),"Knits")</f>
        <v>Knits</v>
      </c>
      <c r="L838" s="13"/>
    </row>
    <row r="839">
      <c r="A839" s="13">
        <f>IFERROR(__xludf.DUMMYFUNCTION("""COMPUTED_VALUE"""),837.0)</f>
        <v>837</v>
      </c>
      <c r="B839" s="13">
        <f>IFERROR(__xludf.DUMMYFUNCTION("""COMPUTED_VALUE"""),886.0)</f>
        <v>886</v>
      </c>
      <c r="C839" s="13">
        <f>IFERROR(__xludf.DUMMYFUNCTION("""COMPUTED_VALUE"""),34.0)</f>
        <v>34</v>
      </c>
      <c r="D839" s="12"/>
      <c r="E839" s="12" t="str">
        <f>IFERROR(__xludf.DUMMYFUNCTION("""COMPUTED_VALUE"""),"I ordered this in two colors, in my regular size. i washed and laid flat to dry....it shrunk like crazy. i held the one i washed up to the other unworn/unwashed one and it was at least two inches shorter. they may both be going back. i am so sad.")</f>
        <v>I ordered this in two colors, in my regular size. i washed and laid flat to dry....it shrunk like crazy. i held the one i washed up to the other unworn/unwashed one and it was at least two inches shorter. they may both be going back. i am so sad.</v>
      </c>
      <c r="F839" s="13">
        <f>IFERROR(__xludf.DUMMYFUNCTION("""COMPUTED_VALUE"""),4.0)</f>
        <v>4</v>
      </c>
      <c r="G839" s="13">
        <f>IFERROR(__xludf.DUMMYFUNCTION("""COMPUTED_VALUE"""),0.0)</f>
        <v>0</v>
      </c>
      <c r="H839" s="13">
        <f>IFERROR(__xludf.DUMMYFUNCTION("""COMPUTED_VALUE"""),6.0)</f>
        <v>6</v>
      </c>
      <c r="I839" s="13" t="str">
        <f>IFERROR(__xludf.DUMMYFUNCTION("""COMPUTED_VALUE"""),"General Petite")</f>
        <v>General Petite</v>
      </c>
      <c r="J839" s="13" t="str">
        <f>IFERROR(__xludf.DUMMYFUNCTION("""COMPUTED_VALUE"""),"Tops")</f>
        <v>Tops</v>
      </c>
      <c r="K839" s="13" t="str">
        <f>IFERROR(__xludf.DUMMYFUNCTION("""COMPUTED_VALUE"""),"Knits")</f>
        <v>Knits</v>
      </c>
      <c r="L839" s="13"/>
    </row>
    <row r="840">
      <c r="A840" s="13">
        <f>IFERROR(__xludf.DUMMYFUNCTION("""COMPUTED_VALUE"""),838.0)</f>
        <v>838</v>
      </c>
      <c r="B840" s="13">
        <f>IFERROR(__xludf.DUMMYFUNCTION("""COMPUTED_VALUE"""),886.0)</f>
        <v>886</v>
      </c>
      <c r="C840" s="13">
        <f>IFERROR(__xludf.DUMMYFUNCTION("""COMPUTED_VALUE"""),55.0)</f>
        <v>55</v>
      </c>
      <c r="D840" s="12"/>
      <c r="E840" s="12" t="str">
        <f>IFERROR(__xludf.DUMMYFUNCTION("""COMPUTED_VALUE"""),"I purchased this top in blue and liked it so i ordered the red color. i hated the way the second one fit. i'm concerned the blue will not wear well after seeing the way the second one looked!")</f>
        <v>I purchased this top in blue and liked it so i ordered the red color. i hated the way the second one fit. i'm concerned the blue will not wear well after seeing the way the second one looked!</v>
      </c>
      <c r="F840" s="13">
        <f>IFERROR(__xludf.DUMMYFUNCTION("""COMPUTED_VALUE"""),2.0)</f>
        <v>2</v>
      </c>
      <c r="G840" s="13">
        <f>IFERROR(__xludf.DUMMYFUNCTION("""COMPUTED_VALUE"""),0.0)</f>
        <v>0</v>
      </c>
      <c r="H840" s="13">
        <f>IFERROR(__xludf.DUMMYFUNCTION("""COMPUTED_VALUE"""),0.0)</f>
        <v>0</v>
      </c>
      <c r="I840" s="13" t="str">
        <f>IFERROR(__xludf.DUMMYFUNCTION("""COMPUTED_VALUE"""),"General Petite")</f>
        <v>General Petite</v>
      </c>
      <c r="J840" s="13" t="str">
        <f>IFERROR(__xludf.DUMMYFUNCTION("""COMPUTED_VALUE"""),"Tops")</f>
        <v>Tops</v>
      </c>
      <c r="K840" s="13" t="str">
        <f>IFERROR(__xludf.DUMMYFUNCTION("""COMPUTED_VALUE"""),"Knits")</f>
        <v>Knits</v>
      </c>
      <c r="L840" s="13"/>
    </row>
    <row r="841">
      <c r="A841" s="13">
        <f>IFERROR(__xludf.DUMMYFUNCTION("""COMPUTED_VALUE"""),839.0)</f>
        <v>839</v>
      </c>
      <c r="B841" s="13">
        <f>IFERROR(__xludf.DUMMYFUNCTION("""COMPUTED_VALUE"""),1089.0)</f>
        <v>1089</v>
      </c>
      <c r="C841" s="13">
        <f>IFERROR(__xludf.DUMMYFUNCTION("""COMPUTED_VALUE"""),36.0)</f>
        <v>36</v>
      </c>
      <c r="D841" s="12"/>
      <c r="E841" s="12" t="str">
        <f>IFERROR(__xludf.DUMMYFUNCTION("""COMPUTED_VALUE"""),"It is so simple but elegant and beautiful! i am 5'3 and 120 lb and extra small fits me perfectly")</f>
        <v>It is so simple but elegant and beautiful! i am 5'3 and 120 lb and extra small fits me perfectly</v>
      </c>
      <c r="F841" s="13">
        <f>IFERROR(__xludf.DUMMYFUNCTION("""COMPUTED_VALUE"""),5.0)</f>
        <v>5</v>
      </c>
      <c r="G841" s="13">
        <f>IFERROR(__xludf.DUMMYFUNCTION("""COMPUTED_VALUE"""),1.0)</f>
        <v>1</v>
      </c>
      <c r="H841" s="13">
        <f>IFERROR(__xludf.DUMMYFUNCTION("""COMPUTED_VALUE"""),6.0)</f>
        <v>6</v>
      </c>
      <c r="I841" s="13" t="str">
        <f>IFERROR(__xludf.DUMMYFUNCTION("""COMPUTED_VALUE"""),"General Petite")</f>
        <v>General Petite</v>
      </c>
      <c r="J841" s="13" t="str">
        <f>IFERROR(__xludf.DUMMYFUNCTION("""COMPUTED_VALUE"""),"Dresses")</f>
        <v>Dresses</v>
      </c>
      <c r="K841" s="13" t="str">
        <f>IFERROR(__xludf.DUMMYFUNCTION("""COMPUTED_VALUE"""),"Dresses")</f>
        <v>Dresses</v>
      </c>
      <c r="L841" s="13"/>
    </row>
    <row r="842">
      <c r="A842" s="13">
        <f>IFERROR(__xludf.DUMMYFUNCTION("""COMPUTED_VALUE"""),840.0)</f>
        <v>840</v>
      </c>
      <c r="B842" s="13">
        <f>IFERROR(__xludf.DUMMYFUNCTION("""COMPUTED_VALUE"""),1078.0)</f>
        <v>1078</v>
      </c>
      <c r="C842" s="13">
        <f>IFERROR(__xludf.DUMMYFUNCTION("""COMPUTED_VALUE"""),46.0)</f>
        <v>46</v>
      </c>
      <c r="D842" s="12" t="str">
        <f>IFERROR(__xludf.DUMMYFUNCTION("""COMPUTED_VALUE"""),"I'm in love!")</f>
        <v>I'm in love!</v>
      </c>
      <c r="E842" s="12" t="str">
        <f>IFERROR(__xludf.DUMMYFUNCTION("""COMPUTED_VALUE"""),"I love this shirtdress. the lace and collar design pops off the black. super comfortable and love that it has pockets! a keeper, this one not going back ever. i am 5'9 and 140 lbs and the 6 fits perfect. the length comes above my knee, so most likely i wi"&amp;"ll be wearing tights or skinny's underneath.")</f>
        <v>I love this shirtdress. the lace and collar design pops off the black. super comfortable and love that it has pockets! a keeper, this one not going back ever. i am 5'9 and 140 lbs and the 6 fits perfect. the length comes above my knee, so most likely i will be wearing tights or skinny's underneath.</v>
      </c>
      <c r="F842" s="13">
        <f>IFERROR(__xludf.DUMMYFUNCTION("""COMPUTED_VALUE"""),5.0)</f>
        <v>5</v>
      </c>
      <c r="G842" s="13">
        <f>IFERROR(__xludf.DUMMYFUNCTION("""COMPUTED_VALUE"""),1.0)</f>
        <v>1</v>
      </c>
      <c r="H842" s="13">
        <f>IFERROR(__xludf.DUMMYFUNCTION("""COMPUTED_VALUE"""),0.0)</f>
        <v>0</v>
      </c>
      <c r="I842" s="13" t="str">
        <f>IFERROR(__xludf.DUMMYFUNCTION("""COMPUTED_VALUE"""),"General Petite")</f>
        <v>General Petite</v>
      </c>
      <c r="J842" s="13" t="str">
        <f>IFERROR(__xludf.DUMMYFUNCTION("""COMPUTED_VALUE"""),"Dresses")</f>
        <v>Dresses</v>
      </c>
      <c r="K842" s="13" t="str">
        <f>IFERROR(__xludf.DUMMYFUNCTION("""COMPUTED_VALUE"""),"Dresses")</f>
        <v>Dresses</v>
      </c>
      <c r="L842" s="13"/>
    </row>
    <row r="843">
      <c r="A843" s="13">
        <f>IFERROR(__xludf.DUMMYFUNCTION("""COMPUTED_VALUE"""),841.0)</f>
        <v>841</v>
      </c>
      <c r="B843" s="13">
        <f>IFERROR(__xludf.DUMMYFUNCTION("""COMPUTED_VALUE"""),895.0)</f>
        <v>895</v>
      </c>
      <c r="C843" s="13">
        <f>IFERROR(__xludf.DUMMYFUNCTION("""COMPUTED_VALUE"""),49.0)</f>
        <v>49</v>
      </c>
      <c r="D843" s="12" t="str">
        <f>IFERROR(__xludf.DUMMYFUNCTION("""COMPUTED_VALUE"""),"Pretty cropped cardigan.")</f>
        <v>Pretty cropped cardigan.</v>
      </c>
      <c r="E843" s="12" t="str">
        <f>IFERROR(__xludf.DUMMYFUNCTION("""COMPUTED_VALUE"""),"This cardigan is nice and the lace at the back is pretty. just be aware that it's definitely a cropped length, which is good for wearing over a dress that you don't want to cover up too much. size up if you want room to layer. the one i tried on at the st"&amp;"ore had the top button almost falling off, so i didn't buy it.")</f>
        <v>This cardigan is nice and the lace at the back is pretty. just be aware that it's definitely a cropped length, which is good for wearing over a dress that you don't want to cover up too much. size up if you want room to layer. the one i tried on at the store had the top button almost falling off, so i didn't buy it.</v>
      </c>
      <c r="F843" s="13">
        <f>IFERROR(__xludf.DUMMYFUNCTION("""COMPUTED_VALUE"""),4.0)</f>
        <v>4</v>
      </c>
      <c r="G843" s="13">
        <f>IFERROR(__xludf.DUMMYFUNCTION("""COMPUTED_VALUE"""),1.0)</f>
        <v>1</v>
      </c>
      <c r="H843" s="13">
        <f>IFERROR(__xludf.DUMMYFUNCTION("""COMPUTED_VALUE"""),0.0)</f>
        <v>0</v>
      </c>
      <c r="I843" s="13" t="str">
        <f>IFERROR(__xludf.DUMMYFUNCTION("""COMPUTED_VALUE"""),"General")</f>
        <v>General</v>
      </c>
      <c r="J843" s="13" t="str">
        <f>IFERROR(__xludf.DUMMYFUNCTION("""COMPUTED_VALUE"""),"Tops")</f>
        <v>Tops</v>
      </c>
      <c r="K843" s="13" t="str">
        <f>IFERROR(__xludf.DUMMYFUNCTION("""COMPUTED_VALUE"""),"Fine gauge")</f>
        <v>Fine gauge</v>
      </c>
      <c r="L843" s="13"/>
    </row>
    <row r="844">
      <c r="A844" s="13">
        <f>IFERROR(__xludf.DUMMYFUNCTION("""COMPUTED_VALUE"""),842.0)</f>
        <v>842</v>
      </c>
      <c r="B844" s="13">
        <f>IFERROR(__xludf.DUMMYFUNCTION("""COMPUTED_VALUE"""),975.0)</f>
        <v>975</v>
      </c>
      <c r="C844" s="13">
        <f>IFERROR(__xludf.DUMMYFUNCTION("""COMPUTED_VALUE"""),28.0)</f>
        <v>28</v>
      </c>
      <c r="D844" s="12" t="str">
        <f>IFERROR(__xludf.DUMMYFUNCTION("""COMPUTED_VALUE"""),"Love but poorly made")</f>
        <v>Love but poorly made</v>
      </c>
      <c r="E844" s="12" t="str">
        <f>IFERROR(__xludf.DUMMYFUNCTION("""COMPUTED_VALUE"""),"You guys, i love this so much! however, within one hour of wearing it, the back seam completely ripped. it fit me perfectly... sadly i&amp;#39;ll have to return the damaged item. really sad it&amp;#39;s all sold out too!")</f>
        <v>You guys, i love this so much! however, within one hour of wearing it, the back seam completely ripped. it fit me perfectly... sadly i&amp;#39;ll have to return the damaged item. really sad it&amp;#39;s all sold out too!</v>
      </c>
      <c r="F844" s="13">
        <f>IFERROR(__xludf.DUMMYFUNCTION("""COMPUTED_VALUE"""),3.0)</f>
        <v>3</v>
      </c>
      <c r="G844" s="13">
        <f>IFERROR(__xludf.DUMMYFUNCTION("""COMPUTED_VALUE"""),0.0)</f>
        <v>0</v>
      </c>
      <c r="H844" s="13">
        <f>IFERROR(__xludf.DUMMYFUNCTION("""COMPUTED_VALUE"""),0.0)</f>
        <v>0</v>
      </c>
      <c r="I844" s="13" t="str">
        <f>IFERROR(__xludf.DUMMYFUNCTION("""COMPUTED_VALUE"""),"General")</f>
        <v>General</v>
      </c>
      <c r="J844" s="13" t="str">
        <f>IFERROR(__xludf.DUMMYFUNCTION("""COMPUTED_VALUE"""),"Jackets")</f>
        <v>Jackets</v>
      </c>
      <c r="K844" s="13" t="str">
        <f>IFERROR(__xludf.DUMMYFUNCTION("""COMPUTED_VALUE"""),"Jackets")</f>
        <v>Jackets</v>
      </c>
      <c r="L844" s="13"/>
    </row>
    <row r="845">
      <c r="A845" s="13">
        <f>IFERROR(__xludf.DUMMYFUNCTION("""COMPUTED_VALUE"""),843.0)</f>
        <v>843</v>
      </c>
      <c r="B845" s="13">
        <f>IFERROR(__xludf.DUMMYFUNCTION("""COMPUTED_VALUE"""),975.0)</f>
        <v>975</v>
      </c>
      <c r="C845" s="13">
        <f>IFERROR(__xludf.DUMMYFUNCTION("""COMPUTED_VALUE"""),74.0)</f>
        <v>74</v>
      </c>
      <c r="D845" s="12" t="str">
        <f>IFERROR(__xludf.DUMMYFUNCTION("""COMPUTED_VALUE"""),"This velvet has swagger!")</f>
        <v>This velvet has swagger!</v>
      </c>
      <c r="E845" s="12" t="str">
        <f>IFERROR(__xludf.DUMMYFUNCTION("""COMPUTED_VALUE"""),"I love the soft, slouchy feel of this draped yet constructed jacket. don't expect a crisp fit. i'm not a fan of the menswear look so this jacket is the boho answer to a classic blazer. the one-button closure is easy to wear; the hem curves for a more femi"&amp;"nine look. i hesitated before ordering (hoping it would turn up at my local retailer). by the time i was ready to order, the green version had sold out. as it turns out, the copper is even better. it was 86 degrees today, but i wore it anyway!")</f>
        <v>I love the soft, slouchy feel of this draped yet constructed jacket. don't expect a crisp fit. i'm not a fan of the menswear look so this jacket is the boho answer to a classic blazer. the one-button closure is easy to wear; the hem curves for a more feminine look. i hesitated before ordering (hoping it would turn up at my local retailer). by the time i was ready to order, the green version had sold out. as it turns out, the copper is even better. it was 86 degrees today, but i wore it anyway!</v>
      </c>
      <c r="F845" s="13">
        <f>IFERROR(__xludf.DUMMYFUNCTION("""COMPUTED_VALUE"""),5.0)</f>
        <v>5</v>
      </c>
      <c r="G845" s="13">
        <f>IFERROR(__xludf.DUMMYFUNCTION("""COMPUTED_VALUE"""),1.0)</f>
        <v>1</v>
      </c>
      <c r="H845" s="13">
        <f>IFERROR(__xludf.DUMMYFUNCTION("""COMPUTED_VALUE"""),2.0)</f>
        <v>2</v>
      </c>
      <c r="I845" s="13" t="str">
        <f>IFERROR(__xludf.DUMMYFUNCTION("""COMPUTED_VALUE"""),"General")</f>
        <v>General</v>
      </c>
      <c r="J845" s="13" t="str">
        <f>IFERROR(__xludf.DUMMYFUNCTION("""COMPUTED_VALUE"""),"Jackets")</f>
        <v>Jackets</v>
      </c>
      <c r="K845" s="13" t="str">
        <f>IFERROR(__xludf.DUMMYFUNCTION("""COMPUTED_VALUE"""),"Jackets")</f>
        <v>Jackets</v>
      </c>
      <c r="L845" s="13"/>
    </row>
    <row r="846">
      <c r="A846" s="13">
        <f>IFERROR(__xludf.DUMMYFUNCTION("""COMPUTED_VALUE"""),844.0)</f>
        <v>844</v>
      </c>
      <c r="B846" s="13">
        <f>IFERROR(__xludf.DUMMYFUNCTION("""COMPUTED_VALUE"""),886.0)</f>
        <v>886</v>
      </c>
      <c r="C846" s="13">
        <f>IFERROR(__xludf.DUMMYFUNCTION("""COMPUTED_VALUE"""),37.0)</f>
        <v>37</v>
      </c>
      <c r="D846" s="12"/>
      <c r="E846" s="12" t="str">
        <f>IFERROR(__xludf.DUMMYFUNCTION("""COMPUTED_VALUE"""),"Love this shirt with leggings. if you are in between sizes- size down")</f>
        <v>Love this shirt with leggings. if you are in between sizes- size down</v>
      </c>
      <c r="F846" s="13">
        <f>IFERROR(__xludf.DUMMYFUNCTION("""COMPUTED_VALUE"""),4.0)</f>
        <v>4</v>
      </c>
      <c r="G846" s="13">
        <f>IFERROR(__xludf.DUMMYFUNCTION("""COMPUTED_VALUE"""),1.0)</f>
        <v>1</v>
      </c>
      <c r="H846" s="13">
        <f>IFERROR(__xludf.DUMMYFUNCTION("""COMPUTED_VALUE"""),0.0)</f>
        <v>0</v>
      </c>
      <c r="I846" s="13" t="str">
        <f>IFERROR(__xludf.DUMMYFUNCTION("""COMPUTED_VALUE"""),"General Petite")</f>
        <v>General Petite</v>
      </c>
      <c r="J846" s="13" t="str">
        <f>IFERROR(__xludf.DUMMYFUNCTION("""COMPUTED_VALUE"""),"Tops")</f>
        <v>Tops</v>
      </c>
      <c r="K846" s="13" t="str">
        <f>IFERROR(__xludf.DUMMYFUNCTION("""COMPUTED_VALUE"""),"Knits")</f>
        <v>Knits</v>
      </c>
      <c r="L846" s="13"/>
    </row>
    <row r="847">
      <c r="A847" s="13">
        <f>IFERROR(__xludf.DUMMYFUNCTION("""COMPUTED_VALUE"""),845.0)</f>
        <v>845</v>
      </c>
      <c r="B847" s="13">
        <f>IFERROR(__xludf.DUMMYFUNCTION("""COMPUTED_VALUE"""),548.0)</f>
        <v>548</v>
      </c>
      <c r="C847" s="13">
        <f>IFERROR(__xludf.DUMMYFUNCTION("""COMPUTED_VALUE"""),38.0)</f>
        <v>38</v>
      </c>
      <c r="D847" s="12"/>
      <c r="E847" s="12" t="str">
        <f>IFERROR(__xludf.DUMMYFUNCTION("""COMPUTED_VALUE"""),"Unusual color. expensive even on sale.")</f>
        <v>Unusual color. expensive even on sale.</v>
      </c>
      <c r="F847" s="13">
        <f>IFERROR(__xludf.DUMMYFUNCTION("""COMPUTED_VALUE"""),5.0)</f>
        <v>5</v>
      </c>
      <c r="G847" s="13">
        <f>IFERROR(__xludf.DUMMYFUNCTION("""COMPUTED_VALUE"""),1.0)</f>
        <v>1</v>
      </c>
      <c r="H847" s="13">
        <f>IFERROR(__xludf.DUMMYFUNCTION("""COMPUTED_VALUE"""),0.0)</f>
        <v>0</v>
      </c>
      <c r="I847" s="13" t="str">
        <f>IFERROR(__xludf.DUMMYFUNCTION("""COMPUTED_VALUE"""),"General")</f>
        <v>General</v>
      </c>
      <c r="J847" s="13" t="str">
        <f>IFERROR(__xludf.DUMMYFUNCTION("""COMPUTED_VALUE"""),"Trend")</f>
        <v>Trend</v>
      </c>
      <c r="K847" s="13" t="str">
        <f>IFERROR(__xludf.DUMMYFUNCTION("""COMPUTED_VALUE"""),"Trend")</f>
        <v>Trend</v>
      </c>
      <c r="L847" s="13"/>
    </row>
    <row r="848">
      <c r="A848" s="13">
        <f>IFERROR(__xludf.DUMMYFUNCTION("""COMPUTED_VALUE"""),846.0)</f>
        <v>846</v>
      </c>
      <c r="B848" s="13">
        <f>IFERROR(__xludf.DUMMYFUNCTION("""COMPUTED_VALUE"""),1078.0)</f>
        <v>1078</v>
      </c>
      <c r="C848" s="13">
        <f>IFERROR(__xludf.DUMMYFUNCTION("""COMPUTED_VALUE"""),82.0)</f>
        <v>82</v>
      </c>
      <c r="D848" s="12" t="str">
        <f>IFERROR(__xludf.DUMMYFUNCTION("""COMPUTED_VALUE"""),"Great dress!!")</f>
        <v>Great dress!!</v>
      </c>
      <c r="E848" s="12" t="str">
        <f>IFERROR(__xludf.DUMMYFUNCTION("""COMPUTED_VALUE"""),"I am 5'4"" 140 pounds and ordered the 8 petite. it fits perfectly and is very flattering. the embroidery and lace up neckline thing is really awesome. it gives the dress some character... i am also a fan of the roll-up sleeves. i wish it came in other col"&amp;"ors because i would certainly order more than one. the one and only potentially negative aspect, and i say potential because i'm not sure if its an issue or not as i haven't worn/washed it yet is it appears to be something that i may have to iron")</f>
        <v>I am 5'4" 140 pounds and ordered the 8 petite. it fits perfectly and is very flattering. the embroidery and lace up neckline thing is really awesome. it gives the dress some character... i am also a fan of the roll-up sleeves. i wish it came in other colors because i would certainly order more than one. the one and only potentially negative aspect, and i say potential because i'm not sure if its an issue or not as i haven't worn/washed it yet is it appears to be something that i may have to iron</v>
      </c>
      <c r="F848" s="13">
        <f>IFERROR(__xludf.DUMMYFUNCTION("""COMPUTED_VALUE"""),5.0)</f>
        <v>5</v>
      </c>
      <c r="G848" s="13">
        <f>IFERROR(__xludf.DUMMYFUNCTION("""COMPUTED_VALUE"""),1.0)</f>
        <v>1</v>
      </c>
      <c r="H848" s="13">
        <f>IFERROR(__xludf.DUMMYFUNCTION("""COMPUTED_VALUE"""),5.0)</f>
        <v>5</v>
      </c>
      <c r="I848" s="13" t="str">
        <f>IFERROR(__xludf.DUMMYFUNCTION("""COMPUTED_VALUE"""),"General Petite")</f>
        <v>General Petite</v>
      </c>
      <c r="J848" s="13" t="str">
        <f>IFERROR(__xludf.DUMMYFUNCTION("""COMPUTED_VALUE"""),"Dresses")</f>
        <v>Dresses</v>
      </c>
      <c r="K848" s="13" t="str">
        <f>IFERROR(__xludf.DUMMYFUNCTION("""COMPUTED_VALUE"""),"Dresses")</f>
        <v>Dresses</v>
      </c>
      <c r="L848" s="13"/>
    </row>
    <row r="849">
      <c r="A849" s="13">
        <f>IFERROR(__xludf.DUMMYFUNCTION("""COMPUTED_VALUE"""),847.0)</f>
        <v>847</v>
      </c>
      <c r="B849" s="13">
        <f>IFERROR(__xludf.DUMMYFUNCTION("""COMPUTED_VALUE"""),1060.0)</f>
        <v>1060</v>
      </c>
      <c r="C849" s="13">
        <f>IFERROR(__xludf.DUMMYFUNCTION("""COMPUTED_VALUE"""),49.0)</f>
        <v>49</v>
      </c>
      <c r="D849" s="12"/>
      <c r="E849" s="12" t="str">
        <f>IFERROR(__xludf.DUMMYFUNCTION("""COMPUTED_VALUE"""),"Oh elevenses, i love your pants..the fabrics, the details, the length. i've found elevenses to be classic work pants. reliable, professional, well made. these are none of those things. the cardinal trousers are thin and the rise feels much higher that's i"&amp;"t appears in the picture. the red pair are thin, stretchy and cheap. both pairs have to go back. i'm truly sad.")</f>
        <v>Oh elevenses, i love your pants..the fabrics, the details, the length. i've found elevenses to be classic work pants. reliable, professional, well made. these are none of those things. the cardinal trousers are thin and the rise feels much higher that's it appears in the picture. the red pair are thin, stretchy and cheap. both pairs have to go back. i'm truly sad.</v>
      </c>
      <c r="F849" s="13">
        <f>IFERROR(__xludf.DUMMYFUNCTION("""COMPUTED_VALUE"""),1.0)</f>
        <v>1</v>
      </c>
      <c r="G849" s="13">
        <f>IFERROR(__xludf.DUMMYFUNCTION("""COMPUTED_VALUE"""),0.0)</f>
        <v>0</v>
      </c>
      <c r="H849" s="13">
        <f>IFERROR(__xludf.DUMMYFUNCTION("""COMPUTED_VALUE"""),7.0)</f>
        <v>7</v>
      </c>
      <c r="I849" s="13" t="str">
        <f>IFERROR(__xludf.DUMMYFUNCTION("""COMPUTED_VALUE"""),"General Petite")</f>
        <v>General Petite</v>
      </c>
      <c r="J849" s="13" t="str">
        <f>IFERROR(__xludf.DUMMYFUNCTION("""COMPUTED_VALUE"""),"Bottoms")</f>
        <v>Bottoms</v>
      </c>
      <c r="K849" s="13" t="str">
        <f>IFERROR(__xludf.DUMMYFUNCTION("""COMPUTED_VALUE"""),"Pants")</f>
        <v>Pants</v>
      </c>
      <c r="L849" s="13"/>
    </row>
    <row r="850">
      <c r="A850" s="13">
        <f>IFERROR(__xludf.DUMMYFUNCTION("""COMPUTED_VALUE"""),848.0)</f>
        <v>848</v>
      </c>
      <c r="B850" s="13">
        <f>IFERROR(__xludf.DUMMYFUNCTION("""COMPUTED_VALUE"""),886.0)</f>
        <v>886</v>
      </c>
      <c r="C850" s="13">
        <f>IFERROR(__xludf.DUMMYFUNCTION("""COMPUTED_VALUE"""),41.0)</f>
        <v>41</v>
      </c>
      <c r="D850" s="12" t="str">
        <f>IFERROR(__xludf.DUMMYFUNCTION("""COMPUTED_VALUE"""),"Cute basic")</f>
        <v>Cute basic</v>
      </c>
      <c r="E850" s="12" t="str">
        <f>IFERROR(__xludf.DUMMYFUNCTION("""COMPUTED_VALUE"""),"I can understand the concerns of another reviewer about shrinkage. i have a few retailer tops made of similar fabric and they have shrunk a bit. this too fits very well, but once i wash it, it will likely get a bit smaller. i ordered a small, but plan to "&amp;"size up to a medium. for ref. 32ddd bust, and the small fit perfectly with a camo underneath...the shoulders seem to be cut small. so if you are busty like me, size up.")</f>
        <v>I can understand the concerns of another reviewer about shrinkage. i have a few retailer tops made of similar fabric and they have shrunk a bit. this too fits very well, but once i wash it, it will likely get a bit smaller. i ordered a small, but plan to size up to a medium. for ref. 32ddd bust, and the small fit perfectly with a camo underneath...the shoulders seem to be cut small. so if you are busty like me, size up.</v>
      </c>
      <c r="F850" s="13">
        <f>IFERROR(__xludf.DUMMYFUNCTION("""COMPUTED_VALUE"""),4.0)</f>
        <v>4</v>
      </c>
      <c r="G850" s="13">
        <f>IFERROR(__xludf.DUMMYFUNCTION("""COMPUTED_VALUE"""),1.0)</f>
        <v>1</v>
      </c>
      <c r="H850" s="13">
        <f>IFERROR(__xludf.DUMMYFUNCTION("""COMPUTED_VALUE"""),0.0)</f>
        <v>0</v>
      </c>
      <c r="I850" s="13" t="str">
        <f>IFERROR(__xludf.DUMMYFUNCTION("""COMPUTED_VALUE"""),"General Petite")</f>
        <v>General Petite</v>
      </c>
      <c r="J850" s="13" t="str">
        <f>IFERROR(__xludf.DUMMYFUNCTION("""COMPUTED_VALUE"""),"Tops")</f>
        <v>Tops</v>
      </c>
      <c r="K850" s="13" t="str">
        <f>IFERROR(__xludf.DUMMYFUNCTION("""COMPUTED_VALUE"""),"Knits")</f>
        <v>Knits</v>
      </c>
      <c r="L850" s="13"/>
    </row>
    <row r="851">
      <c r="A851" s="13">
        <f>IFERROR(__xludf.DUMMYFUNCTION("""COMPUTED_VALUE"""),849.0)</f>
        <v>849</v>
      </c>
      <c r="B851" s="13">
        <f>IFERROR(__xludf.DUMMYFUNCTION("""COMPUTED_VALUE"""),886.0)</f>
        <v>886</v>
      </c>
      <c r="C851" s="13">
        <f>IFERROR(__xludf.DUMMYFUNCTION("""COMPUTED_VALUE"""),35.0)</f>
        <v>35</v>
      </c>
      <c r="D851" s="12" t="str">
        <f>IFERROR(__xludf.DUMMYFUNCTION("""COMPUTED_VALUE"""),"Lokka is lovely")</f>
        <v>Lokka is lovely</v>
      </c>
      <c r="E851" s="12" t="str">
        <f>IFERROR(__xludf.DUMMYFUNCTION("""COMPUTED_VALUE"""),"The lokka tunic is a perfect go-to top for casual days or nights! pair it with skinny jeans or leggings and you are set! the long sleeves are fitted and long-so they can be bunched at the wrist. i ordered it in both the black and the the pale grey/blue sh"&amp;"ade. it is a winner.")</f>
        <v>The lokka tunic is a perfect go-to top for casual days or nights! pair it with skinny jeans or leggings and you are set! the long sleeves are fitted and long-so they can be bunched at the wrist. i ordered it in both the black and the the pale grey/blue shade. it is a winner.</v>
      </c>
      <c r="F851" s="13">
        <f>IFERROR(__xludf.DUMMYFUNCTION("""COMPUTED_VALUE"""),5.0)</f>
        <v>5</v>
      </c>
      <c r="G851" s="13">
        <f>IFERROR(__xludf.DUMMYFUNCTION("""COMPUTED_VALUE"""),1.0)</f>
        <v>1</v>
      </c>
      <c r="H851" s="13">
        <f>IFERROR(__xludf.DUMMYFUNCTION("""COMPUTED_VALUE"""),0.0)</f>
        <v>0</v>
      </c>
      <c r="I851" s="13" t="str">
        <f>IFERROR(__xludf.DUMMYFUNCTION("""COMPUTED_VALUE"""),"General Petite")</f>
        <v>General Petite</v>
      </c>
      <c r="J851" s="13" t="str">
        <f>IFERROR(__xludf.DUMMYFUNCTION("""COMPUTED_VALUE"""),"Tops")</f>
        <v>Tops</v>
      </c>
      <c r="K851" s="13" t="str">
        <f>IFERROR(__xludf.DUMMYFUNCTION("""COMPUTED_VALUE"""),"Knits")</f>
        <v>Knits</v>
      </c>
      <c r="L851" s="13"/>
    </row>
    <row r="852">
      <c r="A852" s="13">
        <f>IFERROR(__xludf.DUMMYFUNCTION("""COMPUTED_VALUE"""),850.0)</f>
        <v>850</v>
      </c>
      <c r="B852" s="13">
        <f>IFERROR(__xludf.DUMMYFUNCTION("""COMPUTED_VALUE"""),886.0)</f>
        <v>886</v>
      </c>
      <c r="C852" s="13">
        <f>IFERROR(__xludf.DUMMYFUNCTION("""COMPUTED_VALUE"""),23.0)</f>
        <v>23</v>
      </c>
      <c r="D852" s="12"/>
      <c r="E852" s="12" t="str">
        <f>IFERROR(__xludf.DUMMYFUNCTION("""COMPUTED_VALUE"""),"I got two of these when they went on sale because i hate paying $68 for a basic top like this.. but for the sale price they are great! comfortable, lightweight, and flattering. the black is a little sheer, but nothing a tank underneath can't solve. a good"&amp;" buy!")</f>
        <v>I got two of these when they went on sale because i hate paying $68 for a basic top like this.. but for the sale price they are great! comfortable, lightweight, and flattering. the black is a little sheer, but nothing a tank underneath can't solve. a good buy!</v>
      </c>
      <c r="F852" s="13">
        <f>IFERROR(__xludf.DUMMYFUNCTION("""COMPUTED_VALUE"""),5.0)</f>
        <v>5</v>
      </c>
      <c r="G852" s="13">
        <f>IFERROR(__xludf.DUMMYFUNCTION("""COMPUTED_VALUE"""),1.0)</f>
        <v>1</v>
      </c>
      <c r="H852" s="13">
        <f>IFERROR(__xludf.DUMMYFUNCTION("""COMPUTED_VALUE"""),0.0)</f>
        <v>0</v>
      </c>
      <c r="I852" s="13" t="str">
        <f>IFERROR(__xludf.DUMMYFUNCTION("""COMPUTED_VALUE"""),"General Petite")</f>
        <v>General Petite</v>
      </c>
      <c r="J852" s="13" t="str">
        <f>IFERROR(__xludf.DUMMYFUNCTION("""COMPUTED_VALUE"""),"Tops")</f>
        <v>Tops</v>
      </c>
      <c r="K852" s="13" t="str">
        <f>IFERROR(__xludf.DUMMYFUNCTION("""COMPUTED_VALUE"""),"Knits")</f>
        <v>Knits</v>
      </c>
      <c r="L852" s="13"/>
    </row>
    <row r="853">
      <c r="A853" s="13">
        <f>IFERROR(__xludf.DUMMYFUNCTION("""COMPUTED_VALUE"""),851.0)</f>
        <v>851</v>
      </c>
      <c r="B853" s="13">
        <f>IFERROR(__xludf.DUMMYFUNCTION("""COMPUTED_VALUE"""),886.0)</f>
        <v>886</v>
      </c>
      <c r="C853" s="13">
        <f>IFERROR(__xludf.DUMMYFUNCTION("""COMPUTED_VALUE"""),37.0)</f>
        <v>37</v>
      </c>
      <c r="D853" s="12" t="str">
        <f>IFERROR(__xludf.DUMMYFUNCTION("""COMPUTED_VALUE"""),"Great shirt")</f>
        <v>Great shirt</v>
      </c>
      <c r="E853" s="12" t="str">
        <f>IFERROR(__xludf.DUMMYFUNCTION("""COMPUTED_VALUE"""),"I bought this in my usual medium and it fits great (fitted at the shoulder, loose below). it looks great with skinny jeans and can be worn casually or dressed up with accessories.")</f>
        <v>I bought this in my usual medium and it fits great (fitted at the shoulder, loose below). it looks great with skinny jeans and can be worn casually or dressed up with accessories.</v>
      </c>
      <c r="F853" s="13">
        <f>IFERROR(__xludf.DUMMYFUNCTION("""COMPUTED_VALUE"""),5.0)</f>
        <v>5</v>
      </c>
      <c r="G853" s="13">
        <f>IFERROR(__xludf.DUMMYFUNCTION("""COMPUTED_VALUE"""),1.0)</f>
        <v>1</v>
      </c>
      <c r="H853" s="13">
        <f>IFERROR(__xludf.DUMMYFUNCTION("""COMPUTED_VALUE"""),0.0)</f>
        <v>0</v>
      </c>
      <c r="I853" s="13" t="str">
        <f>IFERROR(__xludf.DUMMYFUNCTION("""COMPUTED_VALUE"""),"General Petite")</f>
        <v>General Petite</v>
      </c>
      <c r="J853" s="13" t="str">
        <f>IFERROR(__xludf.DUMMYFUNCTION("""COMPUTED_VALUE"""),"Tops")</f>
        <v>Tops</v>
      </c>
      <c r="K853" s="13" t="str">
        <f>IFERROR(__xludf.DUMMYFUNCTION("""COMPUTED_VALUE"""),"Knits")</f>
        <v>Knits</v>
      </c>
      <c r="L853" s="13"/>
    </row>
    <row r="854">
      <c r="A854" s="13">
        <f>IFERROR(__xludf.DUMMYFUNCTION("""COMPUTED_VALUE"""),852.0)</f>
        <v>852</v>
      </c>
      <c r="B854" s="13">
        <f>IFERROR(__xludf.DUMMYFUNCTION("""COMPUTED_VALUE"""),1078.0)</f>
        <v>1078</v>
      </c>
      <c r="C854" s="13">
        <f>IFERROR(__xludf.DUMMYFUNCTION("""COMPUTED_VALUE"""),41.0)</f>
        <v>41</v>
      </c>
      <c r="D854" s="12" t="str">
        <f>IFERROR(__xludf.DUMMYFUNCTION("""COMPUTED_VALUE"""),"The perfect fall dress")</f>
        <v>The perfect fall dress</v>
      </c>
      <c r="E854" s="12" t="str">
        <f>IFERROR(__xludf.DUMMYFUNCTION("""COMPUTED_VALUE"""),"Ordered this dress online and wasn't sure about the criss-cross neckline feature but i love it! it's absolutely adorable and unbelievably comfortable. the fabric is very soft and lays nicely without feeling too ""baggy"" or frumpy. the embroidery is beaut"&amp;"iful. i'm wearing it to a fall event in october and pairing it with my favorite cowboy boots, but it would also look great with flats, heels or booties. totally in love with this dress!")</f>
        <v>Ordered this dress online and wasn't sure about the criss-cross neckline feature but i love it! it's absolutely adorable and unbelievably comfortable. the fabric is very soft and lays nicely without feeling too "baggy" or frumpy. the embroidery is beautiful. i'm wearing it to a fall event in october and pairing it with my favorite cowboy boots, but it would also look great with flats, heels or booties. totally in love with this dress!</v>
      </c>
      <c r="F854" s="13">
        <f>IFERROR(__xludf.DUMMYFUNCTION("""COMPUTED_VALUE"""),5.0)</f>
        <v>5</v>
      </c>
      <c r="G854" s="13">
        <f>IFERROR(__xludf.DUMMYFUNCTION("""COMPUTED_VALUE"""),1.0)</f>
        <v>1</v>
      </c>
      <c r="H854" s="13">
        <f>IFERROR(__xludf.DUMMYFUNCTION("""COMPUTED_VALUE"""),5.0)</f>
        <v>5</v>
      </c>
      <c r="I854" s="13" t="str">
        <f>IFERROR(__xludf.DUMMYFUNCTION("""COMPUTED_VALUE"""),"General")</f>
        <v>General</v>
      </c>
      <c r="J854" s="13" t="str">
        <f>IFERROR(__xludf.DUMMYFUNCTION("""COMPUTED_VALUE"""),"Dresses")</f>
        <v>Dresses</v>
      </c>
      <c r="K854" s="13" t="str">
        <f>IFERROR(__xludf.DUMMYFUNCTION("""COMPUTED_VALUE"""),"Dresses")</f>
        <v>Dresses</v>
      </c>
      <c r="L854" s="13"/>
    </row>
    <row r="855">
      <c r="A855" s="13">
        <f>IFERROR(__xludf.DUMMYFUNCTION("""COMPUTED_VALUE"""),853.0)</f>
        <v>853</v>
      </c>
      <c r="B855" s="13">
        <f>IFERROR(__xludf.DUMMYFUNCTION("""COMPUTED_VALUE"""),1078.0)</f>
        <v>1078</v>
      </c>
      <c r="C855" s="13">
        <f>IFERROR(__xludf.DUMMYFUNCTION("""COMPUTED_VALUE"""),56.0)</f>
        <v>56</v>
      </c>
      <c r="D855" s="12" t="str">
        <f>IFERROR(__xludf.DUMMYFUNCTION("""COMPUTED_VALUE"""),"Adorable, comfortable, flattering; this has it all")</f>
        <v>Adorable, comfortable, flattering; this has it all</v>
      </c>
      <c r="E855" s="12" t="str">
        <f>IFERROR(__xludf.DUMMYFUNCTION("""COMPUTED_VALUE"""),"I was not shopping for a dress and somehow came home with this. in person the material and embroidery are just so stunning that i found myself picking it up. i was sold after trying it on. the material is very soft, both feels and looks extremely high qua"&amp;"lity. and for a basic shirtdress, it is amazingly flattering. follows curves without clinging to them. i'm 5'4"", 123 lbs, usually wear a small in tops/dresses &amp; purchased the size 4, which fit perfectly. i'm slightly chesty (34d) so sometimes ha")</f>
        <v>I was not shopping for a dress and somehow came home with this. in person the material and embroidery are just so stunning that i found myself picking it up. i was sold after trying it on. the material is very soft, both feels and looks extremely high quality. and for a basic shirtdress, it is amazingly flattering. follows curves without clinging to them. i'm 5'4", 123 lbs, usually wear a small in tops/dresses &amp; purchased the size 4, which fit perfectly. i'm slightly chesty (34d) so sometimes ha</v>
      </c>
      <c r="F855" s="13">
        <f>IFERROR(__xludf.DUMMYFUNCTION("""COMPUTED_VALUE"""),5.0)</f>
        <v>5</v>
      </c>
      <c r="G855" s="13">
        <f>IFERROR(__xludf.DUMMYFUNCTION("""COMPUTED_VALUE"""),1.0)</f>
        <v>1</v>
      </c>
      <c r="H855" s="13">
        <f>IFERROR(__xludf.DUMMYFUNCTION("""COMPUTED_VALUE"""),6.0)</f>
        <v>6</v>
      </c>
      <c r="I855" s="13" t="str">
        <f>IFERROR(__xludf.DUMMYFUNCTION("""COMPUTED_VALUE"""),"General")</f>
        <v>General</v>
      </c>
      <c r="J855" s="13" t="str">
        <f>IFERROR(__xludf.DUMMYFUNCTION("""COMPUTED_VALUE"""),"Dresses")</f>
        <v>Dresses</v>
      </c>
      <c r="K855" s="13" t="str">
        <f>IFERROR(__xludf.DUMMYFUNCTION("""COMPUTED_VALUE"""),"Dresses")</f>
        <v>Dresses</v>
      </c>
      <c r="L855" s="13"/>
    </row>
    <row r="856">
      <c r="A856" s="13">
        <f>IFERROR(__xludf.DUMMYFUNCTION("""COMPUTED_VALUE"""),854.0)</f>
        <v>854</v>
      </c>
      <c r="B856" s="13">
        <f>IFERROR(__xludf.DUMMYFUNCTION("""COMPUTED_VALUE"""),1078.0)</f>
        <v>1078</v>
      </c>
      <c r="C856" s="13">
        <f>IFERROR(__xludf.DUMMYFUNCTION("""COMPUTED_VALUE"""),42.0)</f>
        <v>42</v>
      </c>
      <c r="D856" s="12"/>
      <c r="E856" s="12" t="str">
        <f>IFERROR(__xludf.DUMMYFUNCTION("""COMPUTED_VALUE"""),"Love this dress! it is super-flattering, and the embroidery is beautiful.")</f>
        <v>Love this dress! it is super-flattering, and the embroidery is beautiful.</v>
      </c>
      <c r="F856" s="13">
        <f>IFERROR(__xludf.DUMMYFUNCTION("""COMPUTED_VALUE"""),5.0)</f>
        <v>5</v>
      </c>
      <c r="G856" s="13">
        <f>IFERROR(__xludf.DUMMYFUNCTION("""COMPUTED_VALUE"""),1.0)</f>
        <v>1</v>
      </c>
      <c r="H856" s="13">
        <f>IFERROR(__xludf.DUMMYFUNCTION("""COMPUTED_VALUE"""),1.0)</f>
        <v>1</v>
      </c>
      <c r="I856" s="13" t="str">
        <f>IFERROR(__xludf.DUMMYFUNCTION("""COMPUTED_VALUE"""),"General")</f>
        <v>General</v>
      </c>
      <c r="J856" s="13" t="str">
        <f>IFERROR(__xludf.DUMMYFUNCTION("""COMPUTED_VALUE"""),"Dresses")</f>
        <v>Dresses</v>
      </c>
      <c r="K856" s="13" t="str">
        <f>IFERROR(__xludf.DUMMYFUNCTION("""COMPUTED_VALUE"""),"Dresses")</f>
        <v>Dresses</v>
      </c>
      <c r="L856" s="13"/>
    </row>
    <row r="857">
      <c r="A857" s="13">
        <f>IFERROR(__xludf.DUMMYFUNCTION("""COMPUTED_VALUE"""),855.0)</f>
        <v>855</v>
      </c>
      <c r="B857" s="13">
        <f>IFERROR(__xludf.DUMMYFUNCTION("""COMPUTED_VALUE"""),895.0)</f>
        <v>895</v>
      </c>
      <c r="C857" s="13">
        <f>IFERROR(__xludf.DUMMYFUNCTION("""COMPUTED_VALUE"""),30.0)</f>
        <v>30</v>
      </c>
      <c r="D857" s="12" t="str">
        <f>IFERROR(__xludf.DUMMYFUNCTION("""COMPUTED_VALUE"""),"Cute!!")</f>
        <v>Cute!!</v>
      </c>
      <c r="E857" s="12" t="str">
        <f>IFERROR(__xludf.DUMMYFUNCTION("""COMPUTED_VALUE"""),"I am going to disagree with reviewers who say this runs small. i found it very short and wide. that being said, it is meant to be cropped. i ordered a size small and it fit perfectly, albeit a little short. for reference, i am usually a size 6/medium in r"&amp;"etailer shirts and dresses.")</f>
        <v>I am going to disagree with reviewers who say this runs small. i found it very short and wide. that being said, it is meant to be cropped. i ordered a size small and it fit perfectly, albeit a little short. for reference, i am usually a size 6/medium in retailer shirts and dresses.</v>
      </c>
      <c r="F857" s="13">
        <f>IFERROR(__xludf.DUMMYFUNCTION("""COMPUTED_VALUE"""),5.0)</f>
        <v>5</v>
      </c>
      <c r="G857" s="13">
        <f>IFERROR(__xludf.DUMMYFUNCTION("""COMPUTED_VALUE"""),1.0)</f>
        <v>1</v>
      </c>
      <c r="H857" s="13">
        <f>IFERROR(__xludf.DUMMYFUNCTION("""COMPUTED_VALUE"""),0.0)</f>
        <v>0</v>
      </c>
      <c r="I857" s="13" t="str">
        <f>IFERROR(__xludf.DUMMYFUNCTION("""COMPUTED_VALUE"""),"General")</f>
        <v>General</v>
      </c>
      <c r="J857" s="13" t="str">
        <f>IFERROR(__xludf.DUMMYFUNCTION("""COMPUTED_VALUE"""),"Tops")</f>
        <v>Tops</v>
      </c>
      <c r="K857" s="13" t="str">
        <f>IFERROR(__xludf.DUMMYFUNCTION("""COMPUTED_VALUE"""),"Fine gauge")</f>
        <v>Fine gauge</v>
      </c>
      <c r="L857" s="13"/>
    </row>
    <row r="858">
      <c r="A858" s="13">
        <f>IFERROR(__xludf.DUMMYFUNCTION("""COMPUTED_VALUE"""),856.0)</f>
        <v>856</v>
      </c>
      <c r="B858" s="13">
        <f>IFERROR(__xludf.DUMMYFUNCTION("""COMPUTED_VALUE"""),886.0)</f>
        <v>886</v>
      </c>
      <c r="C858" s="13">
        <f>IFERROR(__xludf.DUMMYFUNCTION("""COMPUTED_VALUE"""),52.0)</f>
        <v>52</v>
      </c>
      <c r="D858" s="12"/>
      <c r="E858" s="12" t="str">
        <f>IFERROR(__xludf.DUMMYFUNCTION("""COMPUTED_VALUE"""),"Beautiful sweater but the material is a bit thinner than i was expecting. but it hangs nicely and the sleeves are nice and long!")</f>
        <v>Beautiful sweater but the material is a bit thinner than i was expecting. but it hangs nicely and the sleeves are nice and long!</v>
      </c>
      <c r="F858" s="13">
        <f>IFERROR(__xludf.DUMMYFUNCTION("""COMPUTED_VALUE"""),4.0)</f>
        <v>4</v>
      </c>
      <c r="G858" s="13">
        <f>IFERROR(__xludf.DUMMYFUNCTION("""COMPUTED_VALUE"""),1.0)</f>
        <v>1</v>
      </c>
      <c r="H858" s="13">
        <f>IFERROR(__xludf.DUMMYFUNCTION("""COMPUTED_VALUE"""),1.0)</f>
        <v>1</v>
      </c>
      <c r="I858" s="13" t="str">
        <f>IFERROR(__xludf.DUMMYFUNCTION("""COMPUTED_VALUE"""),"General Petite")</f>
        <v>General Petite</v>
      </c>
      <c r="J858" s="13" t="str">
        <f>IFERROR(__xludf.DUMMYFUNCTION("""COMPUTED_VALUE"""),"Tops")</f>
        <v>Tops</v>
      </c>
      <c r="K858" s="13" t="str">
        <f>IFERROR(__xludf.DUMMYFUNCTION("""COMPUTED_VALUE"""),"Knits")</f>
        <v>Knits</v>
      </c>
      <c r="L858" s="13"/>
    </row>
    <row r="859">
      <c r="A859" s="13">
        <f>IFERROR(__xludf.DUMMYFUNCTION("""COMPUTED_VALUE"""),857.0)</f>
        <v>857</v>
      </c>
      <c r="B859" s="13">
        <f>IFERROR(__xludf.DUMMYFUNCTION("""COMPUTED_VALUE"""),594.0)</f>
        <v>594</v>
      </c>
      <c r="C859" s="13">
        <f>IFERROR(__xludf.DUMMYFUNCTION("""COMPUTED_VALUE"""),43.0)</f>
        <v>43</v>
      </c>
      <c r="D859" s="12"/>
      <c r="E859" s="12" t="str">
        <f>IFERROR(__xludf.DUMMYFUNCTION("""COMPUTED_VALUE"""),"Absolutely gorgeous skirt! so feminine and curve hugging. wish i hadn't found this so late! want it in every imaginable color, but i will settle for the off white.
please bring this style back!")</f>
        <v>Absolutely gorgeous skirt! so feminine and curve hugging. wish i hadn't found this so late! want it in every imaginable color, but i will settle for the off white.
please bring this style back!</v>
      </c>
      <c r="F859" s="13">
        <f>IFERROR(__xludf.DUMMYFUNCTION("""COMPUTED_VALUE"""),5.0)</f>
        <v>5</v>
      </c>
      <c r="G859" s="13">
        <f>IFERROR(__xludf.DUMMYFUNCTION("""COMPUTED_VALUE"""),1.0)</f>
        <v>1</v>
      </c>
      <c r="H859" s="13">
        <f>IFERROR(__xludf.DUMMYFUNCTION("""COMPUTED_VALUE"""),1.0)</f>
        <v>1</v>
      </c>
      <c r="I859" s="13" t="str">
        <f>IFERROR(__xludf.DUMMYFUNCTION("""COMPUTED_VALUE"""),"Initmates")</f>
        <v>Initmates</v>
      </c>
      <c r="J859" s="13" t="str">
        <f>IFERROR(__xludf.DUMMYFUNCTION("""COMPUTED_VALUE"""),"Intimate")</f>
        <v>Intimate</v>
      </c>
      <c r="K859" s="13" t="str">
        <f>IFERROR(__xludf.DUMMYFUNCTION("""COMPUTED_VALUE"""),"Lounge")</f>
        <v>Lounge</v>
      </c>
      <c r="L859" s="13"/>
    </row>
    <row r="860">
      <c r="A860" s="13">
        <f>IFERROR(__xludf.DUMMYFUNCTION("""COMPUTED_VALUE"""),858.0)</f>
        <v>858</v>
      </c>
      <c r="B860" s="13">
        <f>IFERROR(__xludf.DUMMYFUNCTION("""COMPUTED_VALUE"""),895.0)</f>
        <v>895</v>
      </c>
      <c r="C860" s="13">
        <f>IFERROR(__xludf.DUMMYFUNCTION("""COMPUTED_VALUE"""),29.0)</f>
        <v>29</v>
      </c>
      <c r="D860" s="12" t="str">
        <f>IFERROR(__xludf.DUMMYFUNCTION("""COMPUTED_VALUE"""),"Funky seams")</f>
        <v>Funky seams</v>
      </c>
      <c r="E860" s="12" t="str">
        <f>IFERROR(__xludf.DUMMYFUNCTION("""COMPUTED_VALUE"""),"Love the design and the gold color, but the seams between knit and lace were a little weird and bunched/weren't smooth. maybe the one i tried on just needed to be ironed or something...")</f>
        <v>Love the design and the gold color, but the seams between knit and lace were a little weird and bunched/weren't smooth. maybe the one i tried on just needed to be ironed or something...</v>
      </c>
      <c r="F860" s="13">
        <f>IFERROR(__xludf.DUMMYFUNCTION("""COMPUTED_VALUE"""),3.0)</f>
        <v>3</v>
      </c>
      <c r="G860" s="13">
        <f>IFERROR(__xludf.DUMMYFUNCTION("""COMPUTED_VALUE"""),0.0)</f>
        <v>0</v>
      </c>
      <c r="H860" s="13">
        <f>IFERROR(__xludf.DUMMYFUNCTION("""COMPUTED_VALUE"""),1.0)</f>
        <v>1</v>
      </c>
      <c r="I860" s="13" t="str">
        <f>IFERROR(__xludf.DUMMYFUNCTION("""COMPUTED_VALUE"""),"General Petite")</f>
        <v>General Petite</v>
      </c>
      <c r="J860" s="13" t="str">
        <f>IFERROR(__xludf.DUMMYFUNCTION("""COMPUTED_VALUE"""),"Tops")</f>
        <v>Tops</v>
      </c>
      <c r="K860" s="13" t="str">
        <f>IFERROR(__xludf.DUMMYFUNCTION("""COMPUTED_VALUE"""),"Fine gauge")</f>
        <v>Fine gauge</v>
      </c>
      <c r="L860" s="13"/>
    </row>
    <row r="861">
      <c r="A861" s="13">
        <f>IFERROR(__xludf.DUMMYFUNCTION("""COMPUTED_VALUE"""),859.0)</f>
        <v>859</v>
      </c>
      <c r="B861" s="13">
        <f>IFERROR(__xludf.DUMMYFUNCTION("""COMPUTED_VALUE"""),886.0)</f>
        <v>886</v>
      </c>
      <c r="C861" s="13">
        <f>IFERROR(__xludf.DUMMYFUNCTION("""COMPUTED_VALUE"""),27.0)</f>
        <v>27</v>
      </c>
      <c r="D861" s="12"/>
      <c r="E861" s="12" t="str">
        <f>IFERROR(__xludf.DUMMYFUNCTION("""COMPUTED_VALUE"""),"Great style!")</f>
        <v>Great style!</v>
      </c>
      <c r="F861" s="13">
        <f>IFERROR(__xludf.DUMMYFUNCTION("""COMPUTED_VALUE"""),5.0)</f>
        <v>5</v>
      </c>
      <c r="G861" s="13">
        <f>IFERROR(__xludf.DUMMYFUNCTION("""COMPUTED_VALUE"""),1.0)</f>
        <v>1</v>
      </c>
      <c r="H861" s="13">
        <f>IFERROR(__xludf.DUMMYFUNCTION("""COMPUTED_VALUE"""),1.0)</f>
        <v>1</v>
      </c>
      <c r="I861" s="13" t="str">
        <f>IFERROR(__xludf.DUMMYFUNCTION("""COMPUTED_VALUE"""),"General Petite")</f>
        <v>General Petite</v>
      </c>
      <c r="J861" s="13" t="str">
        <f>IFERROR(__xludf.DUMMYFUNCTION("""COMPUTED_VALUE"""),"Tops")</f>
        <v>Tops</v>
      </c>
      <c r="K861" s="13" t="str">
        <f>IFERROR(__xludf.DUMMYFUNCTION("""COMPUTED_VALUE"""),"Knits")</f>
        <v>Knits</v>
      </c>
      <c r="L861" s="13"/>
    </row>
    <row r="862">
      <c r="A862" s="13">
        <f>IFERROR(__xludf.DUMMYFUNCTION("""COMPUTED_VALUE"""),860.0)</f>
        <v>860</v>
      </c>
      <c r="B862" s="13">
        <f>IFERROR(__xludf.DUMMYFUNCTION("""COMPUTED_VALUE"""),886.0)</f>
        <v>886</v>
      </c>
      <c r="C862" s="13">
        <f>IFERROR(__xludf.DUMMYFUNCTION("""COMPUTED_VALUE"""),26.0)</f>
        <v>26</v>
      </c>
      <c r="D862" s="12" t="str">
        <f>IFERROR(__xludf.DUMMYFUNCTION("""COMPUTED_VALUE"""),"Perfect!")</f>
        <v>Perfect!</v>
      </c>
      <c r="E862" s="12" t="str">
        <f>IFERROR(__xludf.DUMMYFUNCTION("""COMPUTED_VALUE"""),"This top is great - lightweight and flattering.
i can wear it to work with skinny white pants or to the grocery store with jeans. 
i purchased another color because i love the first i got so much.")</f>
        <v>This top is great - lightweight and flattering.
i can wear it to work with skinny white pants or to the grocery store with jeans. 
i purchased another color because i love the first i got so much.</v>
      </c>
      <c r="F862" s="13">
        <f>IFERROR(__xludf.DUMMYFUNCTION("""COMPUTED_VALUE"""),5.0)</f>
        <v>5</v>
      </c>
      <c r="G862" s="13">
        <f>IFERROR(__xludf.DUMMYFUNCTION("""COMPUTED_VALUE"""),1.0)</f>
        <v>1</v>
      </c>
      <c r="H862" s="13">
        <f>IFERROR(__xludf.DUMMYFUNCTION("""COMPUTED_VALUE"""),0.0)</f>
        <v>0</v>
      </c>
      <c r="I862" s="13" t="str">
        <f>IFERROR(__xludf.DUMMYFUNCTION("""COMPUTED_VALUE"""),"General Petite")</f>
        <v>General Petite</v>
      </c>
      <c r="J862" s="13" t="str">
        <f>IFERROR(__xludf.DUMMYFUNCTION("""COMPUTED_VALUE"""),"Tops")</f>
        <v>Tops</v>
      </c>
      <c r="K862" s="13" t="str">
        <f>IFERROR(__xludf.DUMMYFUNCTION("""COMPUTED_VALUE"""),"Knits")</f>
        <v>Knits</v>
      </c>
      <c r="L862" s="13"/>
    </row>
    <row r="863">
      <c r="A863" s="13">
        <f>IFERROR(__xludf.DUMMYFUNCTION("""COMPUTED_VALUE"""),861.0)</f>
        <v>861</v>
      </c>
      <c r="B863" s="13">
        <f>IFERROR(__xludf.DUMMYFUNCTION("""COMPUTED_VALUE"""),1089.0)</f>
        <v>1089</v>
      </c>
      <c r="C863" s="13">
        <f>IFERROR(__xludf.DUMMYFUNCTION("""COMPUTED_VALUE"""),28.0)</f>
        <v>28</v>
      </c>
      <c r="D863" s="12" t="str">
        <f>IFERROR(__xludf.DUMMYFUNCTION("""COMPUTED_VALUE"""),"Beautiful dress!")</f>
        <v>Beautiful dress!</v>
      </c>
      <c r="E863" s="12" t="str">
        <f>IFERROR(__xludf.DUMMYFUNCTION("""COMPUTED_VALUE"""),"Can be dressed up or down. the top part is tight, while the bottom has a beautiful skirt. i'm slightly busty and about 5'6"" and the size 6 is perfect for me.")</f>
        <v>Can be dressed up or down. the top part is tight, while the bottom has a beautiful skirt. i'm slightly busty and about 5'6" and the size 6 is perfect for me.</v>
      </c>
      <c r="F863" s="13">
        <f>IFERROR(__xludf.DUMMYFUNCTION("""COMPUTED_VALUE"""),5.0)</f>
        <v>5</v>
      </c>
      <c r="G863" s="13">
        <f>IFERROR(__xludf.DUMMYFUNCTION("""COMPUTED_VALUE"""),1.0)</f>
        <v>1</v>
      </c>
      <c r="H863" s="13">
        <f>IFERROR(__xludf.DUMMYFUNCTION("""COMPUTED_VALUE"""),2.0)</f>
        <v>2</v>
      </c>
      <c r="I863" s="13" t="str">
        <f>IFERROR(__xludf.DUMMYFUNCTION("""COMPUTED_VALUE"""),"General Petite")</f>
        <v>General Petite</v>
      </c>
      <c r="J863" s="13" t="str">
        <f>IFERROR(__xludf.DUMMYFUNCTION("""COMPUTED_VALUE"""),"Dresses")</f>
        <v>Dresses</v>
      </c>
      <c r="K863" s="13" t="str">
        <f>IFERROR(__xludf.DUMMYFUNCTION("""COMPUTED_VALUE"""),"Dresses")</f>
        <v>Dresses</v>
      </c>
      <c r="L863" s="13"/>
    </row>
    <row r="864">
      <c r="A864" s="13">
        <f>IFERROR(__xludf.DUMMYFUNCTION("""COMPUTED_VALUE"""),862.0)</f>
        <v>862</v>
      </c>
      <c r="B864" s="13">
        <f>IFERROR(__xludf.DUMMYFUNCTION("""COMPUTED_VALUE"""),975.0)</f>
        <v>975</v>
      </c>
      <c r="C864" s="13">
        <f>IFERROR(__xludf.DUMMYFUNCTION("""COMPUTED_VALUE"""),45.0)</f>
        <v>45</v>
      </c>
      <c r="D864" s="12" t="str">
        <f>IFERROR(__xludf.DUMMYFUNCTION("""COMPUTED_VALUE"""),"Not enough structure fo rme")</f>
        <v>Not enough structure fo rme</v>
      </c>
      <c r="E864" s="12" t="str">
        <f>IFERROR(__xludf.DUMMYFUNCTION("""COMPUTED_VALUE"""),"The fabric is beautiful, even the lining is lovely. i ordered the green color in a large, as i'm curvy and have long arms. but it just doesn't lay correctly at all - the collar has no structure, even though it's a lapel, and the side vents just pop out - "&amp;"the jacket added about 10lbs, and just looked frumpy. it looks much more tailored on the model. too bad, as i have been looking for a velvet blazer in the color for a long time.")</f>
        <v>The fabric is beautiful, even the lining is lovely. i ordered the green color in a large, as i'm curvy and have long arms. but it just doesn't lay correctly at all - the collar has no structure, even though it's a lapel, and the side vents just pop out - the jacket added about 10lbs, and just looked frumpy. it looks much more tailored on the model. too bad, as i have been looking for a velvet blazer in the color for a long time.</v>
      </c>
      <c r="F864" s="13">
        <f>IFERROR(__xludf.DUMMYFUNCTION("""COMPUTED_VALUE"""),3.0)</f>
        <v>3</v>
      </c>
      <c r="G864" s="13">
        <f>IFERROR(__xludf.DUMMYFUNCTION("""COMPUTED_VALUE"""),1.0)</f>
        <v>1</v>
      </c>
      <c r="H864" s="13">
        <f>IFERROR(__xludf.DUMMYFUNCTION("""COMPUTED_VALUE"""),13.0)</f>
        <v>13</v>
      </c>
      <c r="I864" s="13" t="str">
        <f>IFERROR(__xludf.DUMMYFUNCTION("""COMPUTED_VALUE"""),"General")</f>
        <v>General</v>
      </c>
      <c r="J864" s="13" t="str">
        <f>IFERROR(__xludf.DUMMYFUNCTION("""COMPUTED_VALUE"""),"Jackets")</f>
        <v>Jackets</v>
      </c>
      <c r="K864" s="13" t="str">
        <f>IFERROR(__xludf.DUMMYFUNCTION("""COMPUTED_VALUE"""),"Jackets")</f>
        <v>Jackets</v>
      </c>
      <c r="L864" s="13"/>
    </row>
    <row r="865">
      <c r="A865" s="13">
        <f>IFERROR(__xludf.DUMMYFUNCTION("""COMPUTED_VALUE"""),863.0)</f>
        <v>863</v>
      </c>
      <c r="B865" s="13">
        <f>IFERROR(__xludf.DUMMYFUNCTION("""COMPUTED_VALUE"""),886.0)</f>
        <v>886</v>
      </c>
      <c r="C865" s="13">
        <f>IFERROR(__xludf.DUMMYFUNCTION("""COMPUTED_VALUE"""),29.0)</f>
        <v>29</v>
      </c>
      <c r="D865" s="12" t="str">
        <f>IFERROR(__xludf.DUMMYFUNCTION("""COMPUTED_VALUE"""),"Comfortable")</f>
        <v>Comfortable</v>
      </c>
      <c r="E865" s="12" t="str">
        <f>IFERROR(__xludf.DUMMYFUNCTION("""COMPUTED_VALUE"""),"Love this shirt! i bought the light blue color and its amazing, fits well i love that its long in the back. very comfortable and loose. thinking of buying it in both pinks.")</f>
        <v>Love this shirt! i bought the light blue color and its amazing, fits well i love that its long in the back. very comfortable and loose. thinking of buying it in both pinks.</v>
      </c>
      <c r="F865" s="13">
        <f>IFERROR(__xludf.DUMMYFUNCTION("""COMPUTED_VALUE"""),5.0)</f>
        <v>5</v>
      </c>
      <c r="G865" s="13">
        <f>IFERROR(__xludf.DUMMYFUNCTION("""COMPUTED_VALUE"""),1.0)</f>
        <v>1</v>
      </c>
      <c r="H865" s="13">
        <f>IFERROR(__xludf.DUMMYFUNCTION("""COMPUTED_VALUE"""),0.0)</f>
        <v>0</v>
      </c>
      <c r="I865" s="13" t="str">
        <f>IFERROR(__xludf.DUMMYFUNCTION("""COMPUTED_VALUE"""),"General Petite")</f>
        <v>General Petite</v>
      </c>
      <c r="J865" s="13" t="str">
        <f>IFERROR(__xludf.DUMMYFUNCTION("""COMPUTED_VALUE"""),"Tops")</f>
        <v>Tops</v>
      </c>
      <c r="K865" s="13" t="str">
        <f>IFERROR(__xludf.DUMMYFUNCTION("""COMPUTED_VALUE"""),"Knits")</f>
        <v>Knits</v>
      </c>
      <c r="L865" s="13"/>
    </row>
    <row r="866">
      <c r="A866" s="13">
        <f>IFERROR(__xludf.DUMMYFUNCTION("""COMPUTED_VALUE"""),864.0)</f>
        <v>864</v>
      </c>
      <c r="B866" s="13">
        <f>IFERROR(__xludf.DUMMYFUNCTION("""COMPUTED_VALUE"""),1078.0)</f>
        <v>1078</v>
      </c>
      <c r="C866" s="13">
        <f>IFERROR(__xludf.DUMMYFUNCTION("""COMPUTED_VALUE"""),47.0)</f>
        <v>47</v>
      </c>
      <c r="D866" s="12" t="str">
        <f>IFERROR(__xludf.DUMMYFUNCTION("""COMPUTED_VALUE"""),"Could be a bit shorter")</f>
        <v>Could be a bit shorter</v>
      </c>
      <c r="E866" s="12" t="str">
        <f>IFERROR(__xludf.DUMMYFUNCTION("""COMPUTED_VALUE"""),"Great material. a bit loose in the middle / lower half. doesn't belt well. it could be 3"" shorter, considering alterations. i'm 5'7"" the model is 5'10"", so yeah 3"" shorter would be cute!")</f>
        <v>Great material. a bit loose in the middle / lower half. doesn't belt well. it could be 3" shorter, considering alterations. i'm 5'7" the model is 5'10", so yeah 3" shorter would be cute!</v>
      </c>
      <c r="F866" s="13">
        <f>IFERROR(__xludf.DUMMYFUNCTION("""COMPUTED_VALUE"""),4.0)</f>
        <v>4</v>
      </c>
      <c r="G866" s="13">
        <f>IFERROR(__xludf.DUMMYFUNCTION("""COMPUTED_VALUE"""),1.0)</f>
        <v>1</v>
      </c>
      <c r="H866" s="13">
        <f>IFERROR(__xludf.DUMMYFUNCTION("""COMPUTED_VALUE"""),0.0)</f>
        <v>0</v>
      </c>
      <c r="I866" s="13" t="str">
        <f>IFERROR(__xludf.DUMMYFUNCTION("""COMPUTED_VALUE"""),"General")</f>
        <v>General</v>
      </c>
      <c r="J866" s="13" t="str">
        <f>IFERROR(__xludf.DUMMYFUNCTION("""COMPUTED_VALUE"""),"Dresses")</f>
        <v>Dresses</v>
      </c>
      <c r="K866" s="13" t="str">
        <f>IFERROR(__xludf.DUMMYFUNCTION("""COMPUTED_VALUE"""),"Dresses")</f>
        <v>Dresses</v>
      </c>
      <c r="L866" s="13"/>
    </row>
    <row r="867">
      <c r="A867" s="13">
        <f>IFERROR(__xludf.DUMMYFUNCTION("""COMPUTED_VALUE"""),865.0)</f>
        <v>865</v>
      </c>
      <c r="B867" s="13">
        <f>IFERROR(__xludf.DUMMYFUNCTION("""COMPUTED_VALUE"""),895.0)</f>
        <v>895</v>
      </c>
      <c r="C867" s="13">
        <f>IFERROR(__xludf.DUMMYFUNCTION("""COMPUTED_VALUE"""),28.0)</f>
        <v>28</v>
      </c>
      <c r="D867" s="12" t="str">
        <f>IFERROR(__xludf.DUMMYFUNCTION("""COMPUTED_VALUE"""),"Great cardigan")</f>
        <v>Great cardigan</v>
      </c>
      <c r="E867" s="12" t="str">
        <f>IFERROR(__xludf.DUMMYFUNCTION("""COMPUTED_VALUE"""),"Love this cardigan. fits just as i expected. very structured in the front with a bit of flair in the back.")</f>
        <v>Love this cardigan. fits just as i expected. very structured in the front with a bit of flair in the back.</v>
      </c>
      <c r="F867" s="13">
        <f>IFERROR(__xludf.DUMMYFUNCTION("""COMPUTED_VALUE"""),5.0)</f>
        <v>5</v>
      </c>
      <c r="G867" s="13">
        <f>IFERROR(__xludf.DUMMYFUNCTION("""COMPUTED_VALUE"""),1.0)</f>
        <v>1</v>
      </c>
      <c r="H867" s="13">
        <f>IFERROR(__xludf.DUMMYFUNCTION("""COMPUTED_VALUE"""),0.0)</f>
        <v>0</v>
      </c>
      <c r="I867" s="13" t="str">
        <f>IFERROR(__xludf.DUMMYFUNCTION("""COMPUTED_VALUE"""),"General Petite")</f>
        <v>General Petite</v>
      </c>
      <c r="J867" s="13" t="str">
        <f>IFERROR(__xludf.DUMMYFUNCTION("""COMPUTED_VALUE"""),"Tops")</f>
        <v>Tops</v>
      </c>
      <c r="K867" s="13" t="str">
        <f>IFERROR(__xludf.DUMMYFUNCTION("""COMPUTED_VALUE"""),"Fine gauge")</f>
        <v>Fine gauge</v>
      </c>
      <c r="L867" s="13"/>
    </row>
    <row r="868">
      <c r="A868" s="13">
        <f>IFERROR(__xludf.DUMMYFUNCTION("""COMPUTED_VALUE"""),866.0)</f>
        <v>866</v>
      </c>
      <c r="B868" s="13">
        <f>IFERROR(__xludf.DUMMYFUNCTION("""COMPUTED_VALUE"""),1060.0)</f>
        <v>1060</v>
      </c>
      <c r="C868" s="13">
        <f>IFERROR(__xludf.DUMMYFUNCTION("""COMPUTED_VALUE"""),38.0)</f>
        <v>38</v>
      </c>
      <c r="D868" s="12" t="str">
        <f>IFERROR(__xludf.DUMMYFUNCTION("""COMPUTED_VALUE"""),"Not worth the $$")</f>
        <v>Not worth the $$</v>
      </c>
      <c r="E868" s="12" t="str">
        <f>IFERROR(__xludf.DUMMYFUNCTION("""COMPUTED_VALUE"""),"I loved the cut of these pants and the button accent on the pockets. however, the material was quite thin and the quality was not great- there were multiple snags along the seams. additionally, at 5'8, 130lbs i was swimming in the size 4. i would have tri"&amp;"ed sizing down if the quality was better.")</f>
        <v>I loved the cut of these pants and the button accent on the pockets. however, the material was quite thin and the quality was not great- there were multiple snags along the seams. additionally, at 5'8, 130lbs i was swimming in the size 4. i would have tried sizing down if the quality was better.</v>
      </c>
      <c r="F868" s="13">
        <f>IFERROR(__xludf.DUMMYFUNCTION("""COMPUTED_VALUE"""),2.0)</f>
        <v>2</v>
      </c>
      <c r="G868" s="13">
        <f>IFERROR(__xludf.DUMMYFUNCTION("""COMPUTED_VALUE"""),0.0)</f>
        <v>0</v>
      </c>
      <c r="H868" s="13">
        <f>IFERROR(__xludf.DUMMYFUNCTION("""COMPUTED_VALUE"""),17.0)</f>
        <v>17</v>
      </c>
      <c r="I868" s="13" t="str">
        <f>IFERROR(__xludf.DUMMYFUNCTION("""COMPUTED_VALUE"""),"General Petite")</f>
        <v>General Petite</v>
      </c>
      <c r="J868" s="13" t="str">
        <f>IFERROR(__xludf.DUMMYFUNCTION("""COMPUTED_VALUE"""),"Bottoms")</f>
        <v>Bottoms</v>
      </c>
      <c r="K868" s="13" t="str">
        <f>IFERROR(__xludf.DUMMYFUNCTION("""COMPUTED_VALUE"""),"Pants")</f>
        <v>Pants</v>
      </c>
      <c r="L868" s="13"/>
    </row>
    <row r="869">
      <c r="A869" s="13">
        <f>IFERROR(__xludf.DUMMYFUNCTION("""COMPUTED_VALUE"""),867.0)</f>
        <v>867</v>
      </c>
      <c r="B869" s="13">
        <f>IFERROR(__xludf.DUMMYFUNCTION("""COMPUTED_VALUE"""),895.0)</f>
        <v>895</v>
      </c>
      <c r="C869" s="13">
        <f>IFERROR(__xludf.DUMMYFUNCTION("""COMPUTED_VALUE"""),64.0)</f>
        <v>64</v>
      </c>
      <c r="D869" s="12" t="str">
        <f>IFERROR(__xludf.DUMMYFUNCTION("""COMPUTED_VALUE"""),"Pretty")</f>
        <v>Pretty</v>
      </c>
      <c r="E869" s="12" t="str">
        <f>IFERROR(__xludf.DUMMYFUNCTION("""COMPUTED_VALUE"""),"This is a pretty sweater. i ordered the red and it is a plum color, not close to red, but it will work well with black, gray and denim. i found the sweater looks boxy from the front but the back is spectacular. it is very well made. no raw edges or seams "&amp;"that are threatening to unravel. this will be nice for casual holiday dressing. i found a longer tank in white works well under this.")</f>
        <v>This is a pretty sweater. i ordered the red and it is a plum color, not close to red, but it will work well with black, gray and denim. i found the sweater looks boxy from the front but the back is spectacular. it is very well made. no raw edges or seams that are threatening to unravel. this will be nice for casual holiday dressing. i found a longer tank in white works well under this.</v>
      </c>
      <c r="F869" s="13">
        <f>IFERROR(__xludf.DUMMYFUNCTION("""COMPUTED_VALUE"""),5.0)</f>
        <v>5</v>
      </c>
      <c r="G869" s="13">
        <f>IFERROR(__xludf.DUMMYFUNCTION("""COMPUTED_VALUE"""),1.0)</f>
        <v>1</v>
      </c>
      <c r="H869" s="13">
        <f>IFERROR(__xludf.DUMMYFUNCTION("""COMPUTED_VALUE"""),1.0)</f>
        <v>1</v>
      </c>
      <c r="I869" s="13" t="str">
        <f>IFERROR(__xludf.DUMMYFUNCTION("""COMPUTED_VALUE"""),"General Petite")</f>
        <v>General Petite</v>
      </c>
      <c r="J869" s="13" t="str">
        <f>IFERROR(__xludf.DUMMYFUNCTION("""COMPUTED_VALUE"""),"Tops")</f>
        <v>Tops</v>
      </c>
      <c r="K869" s="13" t="str">
        <f>IFERROR(__xludf.DUMMYFUNCTION("""COMPUTED_VALUE"""),"Fine gauge")</f>
        <v>Fine gauge</v>
      </c>
      <c r="L869" s="13"/>
    </row>
    <row r="870">
      <c r="A870" s="13">
        <f>IFERROR(__xludf.DUMMYFUNCTION("""COMPUTED_VALUE"""),868.0)</f>
        <v>868</v>
      </c>
      <c r="B870" s="13">
        <f>IFERROR(__xludf.DUMMYFUNCTION("""COMPUTED_VALUE"""),975.0)</f>
        <v>975</v>
      </c>
      <c r="C870" s="13">
        <f>IFERROR(__xludf.DUMMYFUNCTION("""COMPUTED_VALUE"""),64.0)</f>
        <v>64</v>
      </c>
      <c r="D870" s="12" t="str">
        <f>IFERROR(__xludf.DUMMYFUNCTION("""COMPUTED_VALUE"""),"Well...it is green")</f>
        <v>Well...it is green</v>
      </c>
      <c r="E870" s="12" t="str">
        <f>IFERROR(__xludf.DUMMYFUNCTION("""COMPUTED_VALUE"""),"This is silly, but the moss is not brown as pictured but olive green. with that ""said,"" i am going more casual, and i love the ""flex"" of this coat. the shape is beautiful and the lining is fun. i waited two months to get this in close to my size 00. f"&amp;"or my style it is a keeper, but this back order situation is not acceptable. don't know whose fault that is?")</f>
        <v>This is silly, but the moss is not brown as pictured but olive green. with that "said," i am going more casual, and i love the "flex" of this coat. the shape is beautiful and the lining is fun. i waited two months to get this in close to my size 00. for my style it is a keeper, but this back order situation is not acceptable. don't know whose fault that is?</v>
      </c>
      <c r="F870" s="13">
        <f>IFERROR(__xludf.DUMMYFUNCTION("""COMPUTED_VALUE"""),4.0)</f>
        <v>4</v>
      </c>
      <c r="G870" s="13">
        <f>IFERROR(__xludf.DUMMYFUNCTION("""COMPUTED_VALUE"""),1.0)</f>
        <v>1</v>
      </c>
      <c r="H870" s="13">
        <f>IFERROR(__xludf.DUMMYFUNCTION("""COMPUTED_VALUE"""),3.0)</f>
        <v>3</v>
      </c>
      <c r="I870" s="13" t="str">
        <f>IFERROR(__xludf.DUMMYFUNCTION("""COMPUTED_VALUE"""),"General")</f>
        <v>General</v>
      </c>
      <c r="J870" s="13" t="str">
        <f>IFERROR(__xludf.DUMMYFUNCTION("""COMPUTED_VALUE"""),"Jackets")</f>
        <v>Jackets</v>
      </c>
      <c r="K870" s="13" t="str">
        <f>IFERROR(__xludf.DUMMYFUNCTION("""COMPUTED_VALUE"""),"Jackets")</f>
        <v>Jackets</v>
      </c>
      <c r="L870" s="13"/>
    </row>
    <row r="871">
      <c r="A871" s="13">
        <f>IFERROR(__xludf.DUMMYFUNCTION("""COMPUTED_VALUE"""),869.0)</f>
        <v>869</v>
      </c>
      <c r="B871" s="13">
        <f>IFERROR(__xludf.DUMMYFUNCTION("""COMPUTED_VALUE"""),886.0)</f>
        <v>886</v>
      </c>
      <c r="C871" s="13">
        <f>IFERROR(__xludf.DUMMYFUNCTION("""COMPUTED_VALUE"""),52.0)</f>
        <v>52</v>
      </c>
      <c r="D871" s="12"/>
      <c r="E871" s="12" t="str">
        <f>IFERROR(__xludf.DUMMYFUNCTION("""COMPUTED_VALUE"""),"I bought this tunic in black and am seriously considering buying it in more colors. it is so comfortable and very flattering. i am 5'11"", so many tunics are more like shirts on me, but this one is the perfect length to wear with leggings or pants. the v "&amp;"neck is a nice, feminine touch and i love the change in material around the edges.")</f>
        <v>I bought this tunic in black and am seriously considering buying it in more colors. it is so comfortable and very flattering. i am 5'11", so many tunics are more like shirts on me, but this one is the perfect length to wear with leggings or pants. the v neck is a nice, feminine touch and i love the change in material around the edges.</v>
      </c>
      <c r="F871" s="13">
        <f>IFERROR(__xludf.DUMMYFUNCTION("""COMPUTED_VALUE"""),5.0)</f>
        <v>5</v>
      </c>
      <c r="G871" s="13">
        <f>IFERROR(__xludf.DUMMYFUNCTION("""COMPUTED_VALUE"""),1.0)</f>
        <v>1</v>
      </c>
      <c r="H871" s="13">
        <f>IFERROR(__xludf.DUMMYFUNCTION("""COMPUTED_VALUE"""),6.0)</f>
        <v>6</v>
      </c>
      <c r="I871" s="13" t="str">
        <f>IFERROR(__xludf.DUMMYFUNCTION("""COMPUTED_VALUE"""),"General Petite")</f>
        <v>General Petite</v>
      </c>
      <c r="J871" s="13" t="str">
        <f>IFERROR(__xludf.DUMMYFUNCTION("""COMPUTED_VALUE"""),"Tops")</f>
        <v>Tops</v>
      </c>
      <c r="K871" s="13" t="str">
        <f>IFERROR(__xludf.DUMMYFUNCTION("""COMPUTED_VALUE"""),"Knits")</f>
        <v>Knits</v>
      </c>
      <c r="L871" s="13"/>
    </row>
    <row r="872">
      <c r="A872" s="13">
        <f>IFERROR(__xludf.DUMMYFUNCTION("""COMPUTED_VALUE"""),870.0)</f>
        <v>870</v>
      </c>
      <c r="B872" s="13">
        <f>IFERROR(__xludf.DUMMYFUNCTION("""COMPUTED_VALUE"""),975.0)</f>
        <v>975</v>
      </c>
      <c r="C872" s="13">
        <f>IFERROR(__xludf.DUMMYFUNCTION("""COMPUTED_VALUE"""),52.0)</f>
        <v>52</v>
      </c>
      <c r="D872" s="12" t="str">
        <f>IFERROR(__xludf.DUMMYFUNCTION("""COMPUTED_VALUE"""),"Feminine blazer")</f>
        <v>Feminine blazer</v>
      </c>
      <c r="E872" s="12" t="str">
        <f>IFERROR(__xludf.DUMMYFUNCTION("""COMPUTED_VALUE"""),"I am 5 feet and 120. i ordered a petite small in moss. i have posted a photo below. it's a pretty green. the lining is pretty. the reason i deducted a star is because the lining is very thin and ""slips"" a little when putting the jacket on. but it doesn'"&amp;"t effect the way the jacket falls and i wear it comfortably. it's floppy, but not sloppy. i was surprised that each side the fabric is like a tulip. it was a nice surprise. i'm curvy and busty. i have zero problem with it being unflattering. the s")</f>
        <v>I am 5 feet and 120. i ordered a petite small in moss. i have posted a photo below. it's a pretty green. the lining is pretty. the reason i deducted a star is because the lining is very thin and "slips" a little when putting the jacket on. but it doesn't effect the way the jacket falls and i wear it comfortably. it's floppy, but not sloppy. i was surprised that each side the fabric is like a tulip. it was a nice surprise. i'm curvy and busty. i have zero problem with it being unflattering. the s</v>
      </c>
      <c r="F872" s="13">
        <f>IFERROR(__xludf.DUMMYFUNCTION("""COMPUTED_VALUE"""),5.0)</f>
        <v>5</v>
      </c>
      <c r="G872" s="13">
        <f>IFERROR(__xludf.DUMMYFUNCTION("""COMPUTED_VALUE"""),1.0)</f>
        <v>1</v>
      </c>
      <c r="H872" s="13">
        <f>IFERROR(__xludf.DUMMYFUNCTION("""COMPUTED_VALUE"""),3.0)</f>
        <v>3</v>
      </c>
      <c r="I872" s="13" t="str">
        <f>IFERROR(__xludf.DUMMYFUNCTION("""COMPUTED_VALUE"""),"General")</f>
        <v>General</v>
      </c>
      <c r="J872" s="13" t="str">
        <f>IFERROR(__xludf.DUMMYFUNCTION("""COMPUTED_VALUE"""),"Jackets")</f>
        <v>Jackets</v>
      </c>
      <c r="K872" s="13" t="str">
        <f>IFERROR(__xludf.DUMMYFUNCTION("""COMPUTED_VALUE"""),"Jackets")</f>
        <v>Jackets</v>
      </c>
      <c r="L872" s="13"/>
    </row>
    <row r="873">
      <c r="A873" s="13">
        <f>IFERROR(__xludf.DUMMYFUNCTION("""COMPUTED_VALUE"""),871.0)</f>
        <v>871</v>
      </c>
      <c r="B873" s="13">
        <f>IFERROR(__xludf.DUMMYFUNCTION("""COMPUTED_VALUE"""),815.0)</f>
        <v>815</v>
      </c>
      <c r="C873" s="13">
        <f>IFERROR(__xludf.DUMMYFUNCTION("""COMPUTED_VALUE"""),72.0)</f>
        <v>72</v>
      </c>
      <c r="D873" s="12" t="str">
        <f>IFERROR(__xludf.DUMMYFUNCTION("""COMPUTED_VALUE"""),"Adorable top, a little pricey")</f>
        <v>Adorable top, a little pricey</v>
      </c>
      <c r="E873" s="12" t="str">
        <f>IFERROR(__xludf.DUMMYFUNCTION("""COMPUTED_VALUE"""),"I ordered this shirt to wear with a pair of pants that i had to return - which is one reason the top went back as well. it really is cute and i like the exaggerated key hole in the back. i certainly could have found other things to pair with this top, but"&amp;" it came down to the price. i just didn't think it said $118. hopefully its still around when it goes on sale. its very cute. fits true to size.")</f>
        <v>I ordered this shirt to wear with a pair of pants that i had to return - which is one reason the top went back as well. it really is cute and i like the exaggerated key hole in the back. i certainly could have found other things to pair with this top, but it came down to the price. i just didn't think it said $118. hopefully its still around when it goes on sale. its very cute. fits true to size.</v>
      </c>
      <c r="F873" s="13">
        <f>IFERROR(__xludf.DUMMYFUNCTION("""COMPUTED_VALUE"""),4.0)</f>
        <v>4</v>
      </c>
      <c r="G873" s="13">
        <f>IFERROR(__xludf.DUMMYFUNCTION("""COMPUTED_VALUE"""),1.0)</f>
        <v>1</v>
      </c>
      <c r="H873" s="13">
        <f>IFERROR(__xludf.DUMMYFUNCTION("""COMPUTED_VALUE"""),2.0)</f>
        <v>2</v>
      </c>
      <c r="I873" s="13" t="str">
        <f>IFERROR(__xludf.DUMMYFUNCTION("""COMPUTED_VALUE"""),"General Petite")</f>
        <v>General Petite</v>
      </c>
      <c r="J873" s="13" t="str">
        <f>IFERROR(__xludf.DUMMYFUNCTION("""COMPUTED_VALUE"""),"Tops")</f>
        <v>Tops</v>
      </c>
      <c r="K873" s="13" t="str">
        <f>IFERROR(__xludf.DUMMYFUNCTION("""COMPUTED_VALUE"""),"Blouses")</f>
        <v>Blouses</v>
      </c>
      <c r="L873" s="13"/>
    </row>
    <row r="874">
      <c r="A874" s="13">
        <f>IFERROR(__xludf.DUMMYFUNCTION("""COMPUTED_VALUE"""),872.0)</f>
        <v>872</v>
      </c>
      <c r="B874" s="13">
        <f>IFERROR(__xludf.DUMMYFUNCTION("""COMPUTED_VALUE"""),1026.0)</f>
        <v>1026</v>
      </c>
      <c r="C874" s="13">
        <f>IFERROR(__xludf.DUMMYFUNCTION("""COMPUTED_VALUE"""),43.0)</f>
        <v>43</v>
      </c>
      <c r="D874" s="12" t="str">
        <f>IFERROR(__xludf.DUMMYFUNCTION("""COMPUTED_VALUE"""),"So comfortable")</f>
        <v>So comfortable</v>
      </c>
      <c r="E874" s="12" t="str">
        <f>IFERROR(__xludf.DUMMYFUNCTION("""COMPUTED_VALUE"""),"These leggings are soft, comfortable and go with everything. love the way they feel.")</f>
        <v>These leggings are soft, comfortable and go with everything. love the way they feel.</v>
      </c>
      <c r="F874" s="13">
        <f>IFERROR(__xludf.DUMMYFUNCTION("""COMPUTED_VALUE"""),5.0)</f>
        <v>5</v>
      </c>
      <c r="G874" s="13">
        <f>IFERROR(__xludf.DUMMYFUNCTION("""COMPUTED_VALUE"""),1.0)</f>
        <v>1</v>
      </c>
      <c r="H874" s="13">
        <f>IFERROR(__xludf.DUMMYFUNCTION("""COMPUTED_VALUE"""),1.0)</f>
        <v>1</v>
      </c>
      <c r="I874" s="13" t="str">
        <f>IFERROR(__xludf.DUMMYFUNCTION("""COMPUTED_VALUE"""),"General Petite")</f>
        <v>General Petite</v>
      </c>
      <c r="J874" s="13" t="str">
        <f>IFERROR(__xludf.DUMMYFUNCTION("""COMPUTED_VALUE"""),"Bottoms")</f>
        <v>Bottoms</v>
      </c>
      <c r="K874" s="13" t="str">
        <f>IFERROR(__xludf.DUMMYFUNCTION("""COMPUTED_VALUE"""),"Jeans")</f>
        <v>Jeans</v>
      </c>
      <c r="L874" s="13"/>
    </row>
    <row r="875">
      <c r="A875" s="13">
        <f>IFERROR(__xludf.DUMMYFUNCTION("""COMPUTED_VALUE"""),873.0)</f>
        <v>873</v>
      </c>
      <c r="B875" s="13">
        <f>IFERROR(__xludf.DUMMYFUNCTION("""COMPUTED_VALUE"""),823.0)</f>
        <v>823</v>
      </c>
      <c r="C875" s="13">
        <f>IFERROR(__xludf.DUMMYFUNCTION("""COMPUTED_VALUE"""),39.0)</f>
        <v>39</v>
      </c>
      <c r="D875" s="12" t="str">
        <f>IFERROR(__xludf.DUMMYFUNCTION("""COMPUTED_VALUE"""),"Huge arm holes")</f>
        <v>Huge arm holes</v>
      </c>
      <c r="E875" s="12" t="str">
        <f>IFERROR(__xludf.DUMMYFUNCTION("""COMPUTED_VALUE"""),"Why is it so difficult to find a shirt that doesn't expose half of my bra if i lift my arm? 
this is cute (beyond the arm hole issue) but overpriced. going back.")</f>
        <v>Why is it so difficult to find a shirt that doesn't expose half of my bra if i lift my arm? 
this is cute (beyond the arm hole issue) but overpriced. going back.</v>
      </c>
      <c r="F875" s="13">
        <f>IFERROR(__xludf.DUMMYFUNCTION("""COMPUTED_VALUE"""),2.0)</f>
        <v>2</v>
      </c>
      <c r="G875" s="13">
        <f>IFERROR(__xludf.DUMMYFUNCTION("""COMPUTED_VALUE"""),0.0)</f>
        <v>0</v>
      </c>
      <c r="H875" s="13">
        <f>IFERROR(__xludf.DUMMYFUNCTION("""COMPUTED_VALUE"""),11.0)</f>
        <v>11</v>
      </c>
      <c r="I875" s="13" t="str">
        <f>IFERROR(__xludf.DUMMYFUNCTION("""COMPUTED_VALUE"""),"General Petite")</f>
        <v>General Petite</v>
      </c>
      <c r="J875" s="13" t="str">
        <f>IFERROR(__xludf.DUMMYFUNCTION("""COMPUTED_VALUE"""),"Tops")</f>
        <v>Tops</v>
      </c>
      <c r="K875" s="13" t="str">
        <f>IFERROR(__xludf.DUMMYFUNCTION("""COMPUTED_VALUE"""),"Blouses")</f>
        <v>Blouses</v>
      </c>
      <c r="L875" s="13"/>
    </row>
    <row r="876">
      <c r="A876" s="13">
        <f>IFERROR(__xludf.DUMMYFUNCTION("""COMPUTED_VALUE"""),874.0)</f>
        <v>874</v>
      </c>
      <c r="B876" s="13">
        <f>IFERROR(__xludf.DUMMYFUNCTION("""COMPUTED_VALUE"""),1055.0)</f>
        <v>1055</v>
      </c>
      <c r="C876" s="13">
        <f>IFERROR(__xludf.DUMMYFUNCTION("""COMPUTED_VALUE"""),29.0)</f>
        <v>29</v>
      </c>
      <c r="D876" s="12" t="str">
        <f>IFERROR(__xludf.DUMMYFUNCTION("""COMPUTED_VALUE"""),"Looks can be deceiving")</f>
        <v>Looks can be deceiving</v>
      </c>
      <c r="E876" s="12" t="str">
        <f>IFERROR(__xludf.DUMMYFUNCTION("""COMPUTED_VALUE"""),"I wanted these culottes to work so much! the fabric is gorgeous, but the size i ordered didn't fit. i'm normally a size 28 in pants, and i ordered a size 8. it was way too tight and made me look like i had a pooch in the zipper area. not what i wanted it "&amp;"to be. had to return them unfortunately.")</f>
        <v>I wanted these culottes to work so much! the fabric is gorgeous, but the size i ordered didn't fit. i'm normally a size 28 in pants, and i ordered a size 8. it was way too tight and made me look like i had a pooch in the zipper area. not what i wanted it to be. had to return them unfortunately.</v>
      </c>
      <c r="F876" s="13">
        <f>IFERROR(__xludf.DUMMYFUNCTION("""COMPUTED_VALUE"""),2.0)</f>
        <v>2</v>
      </c>
      <c r="G876" s="13">
        <f>IFERROR(__xludf.DUMMYFUNCTION("""COMPUTED_VALUE"""),0.0)</f>
        <v>0</v>
      </c>
      <c r="H876" s="13">
        <f>IFERROR(__xludf.DUMMYFUNCTION("""COMPUTED_VALUE"""),0.0)</f>
        <v>0</v>
      </c>
      <c r="I876" s="13" t="str">
        <f>IFERROR(__xludf.DUMMYFUNCTION("""COMPUTED_VALUE"""),"General Petite")</f>
        <v>General Petite</v>
      </c>
      <c r="J876" s="13" t="str">
        <f>IFERROR(__xludf.DUMMYFUNCTION("""COMPUTED_VALUE"""),"Bottoms")</f>
        <v>Bottoms</v>
      </c>
      <c r="K876" s="13" t="str">
        <f>IFERROR(__xludf.DUMMYFUNCTION("""COMPUTED_VALUE"""),"Pants")</f>
        <v>Pants</v>
      </c>
      <c r="L876" s="13"/>
    </row>
    <row r="877">
      <c r="A877" s="13">
        <f>IFERROR(__xludf.DUMMYFUNCTION("""COMPUTED_VALUE"""),875.0)</f>
        <v>875</v>
      </c>
      <c r="B877" s="13">
        <f>IFERROR(__xludf.DUMMYFUNCTION("""COMPUTED_VALUE"""),1081.0)</f>
        <v>1081</v>
      </c>
      <c r="C877" s="13">
        <f>IFERROR(__xludf.DUMMYFUNCTION("""COMPUTED_VALUE"""),47.0)</f>
        <v>47</v>
      </c>
      <c r="D877" s="12" t="str">
        <f>IFERROR(__xludf.DUMMYFUNCTION("""COMPUTED_VALUE"""),"Not as pictured")</f>
        <v>Not as pictured</v>
      </c>
      <c r="E877" s="12" t="str">
        <f>IFERROR(__xludf.DUMMYFUNCTION("""COMPUTED_VALUE"""),"This dress is most definitely not a maxi! barely goes below the knees. also you do not get the cute detail shown on bodice. there are no folds which were an added plus on picture. waist is higher, not at natural waist. very pretty silk though and still cu"&amp;"te. just not as pictured.")</f>
        <v>This dress is most definitely not a maxi! barely goes below the knees. also you do not get the cute detail shown on bodice. there are no folds which were an added plus on picture. waist is higher, not at natural waist. very pretty silk though and still cute. just not as pictured.</v>
      </c>
      <c r="F877" s="13">
        <f>IFERROR(__xludf.DUMMYFUNCTION("""COMPUTED_VALUE"""),3.0)</f>
        <v>3</v>
      </c>
      <c r="G877" s="13">
        <f>IFERROR(__xludf.DUMMYFUNCTION("""COMPUTED_VALUE"""),1.0)</f>
        <v>1</v>
      </c>
      <c r="H877" s="13">
        <f>IFERROR(__xludf.DUMMYFUNCTION("""COMPUTED_VALUE"""),9.0)</f>
        <v>9</v>
      </c>
      <c r="I877" s="13" t="str">
        <f>IFERROR(__xludf.DUMMYFUNCTION("""COMPUTED_VALUE"""),"General")</f>
        <v>General</v>
      </c>
      <c r="J877" s="13" t="str">
        <f>IFERROR(__xludf.DUMMYFUNCTION("""COMPUTED_VALUE"""),"Dresses")</f>
        <v>Dresses</v>
      </c>
      <c r="K877" s="13" t="str">
        <f>IFERROR(__xludf.DUMMYFUNCTION("""COMPUTED_VALUE"""),"Dresses")</f>
        <v>Dresses</v>
      </c>
      <c r="L877" s="13"/>
    </row>
    <row r="878">
      <c r="A878" s="13">
        <f>IFERROR(__xludf.DUMMYFUNCTION("""COMPUTED_VALUE"""),876.0)</f>
        <v>876</v>
      </c>
      <c r="B878" s="13">
        <f>IFERROR(__xludf.DUMMYFUNCTION("""COMPUTED_VALUE"""),2.0)</f>
        <v>2</v>
      </c>
      <c r="C878" s="13">
        <f>IFERROR(__xludf.DUMMYFUNCTION("""COMPUTED_VALUE"""),28.0)</f>
        <v>28</v>
      </c>
      <c r="D878" s="12" t="str">
        <f>IFERROR(__xludf.DUMMYFUNCTION("""COMPUTED_VALUE"""),"Gorgeous top, straps way too long")</f>
        <v>Gorgeous top, straps way too long</v>
      </c>
      <c r="E878" s="12" t="str">
        <f>IFERROR(__xludf.DUMMYFUNCTION("""COMPUTED_VALUE"""),"I just adore this top! it is so comfy and stylish. i wear it with a little purple cardigan and feel like an iris in bloom. like other reviewers have mentioned though, the straps are way too long. i had to cut them down and re-sew to make it wearable. befo"&amp;"re that it just slouched in front and looked sloppy and awful. i tried layering under it, which looked absurd.")</f>
        <v>I just adore this top! it is so comfy and stylish. i wear it with a little purple cardigan and feel like an iris in bloom. like other reviewers have mentioned though, the straps are way too long. i had to cut them down and re-sew to make it wearable. before that it just slouched in front and looked sloppy and awful. i tried layering under it, which looked absurd.</v>
      </c>
      <c r="F878" s="13">
        <f>IFERROR(__xludf.DUMMYFUNCTION("""COMPUTED_VALUE"""),4.0)</f>
        <v>4</v>
      </c>
      <c r="G878" s="13">
        <f>IFERROR(__xludf.DUMMYFUNCTION("""COMPUTED_VALUE"""),1.0)</f>
        <v>1</v>
      </c>
      <c r="H878" s="13">
        <f>IFERROR(__xludf.DUMMYFUNCTION("""COMPUTED_VALUE"""),0.0)</f>
        <v>0</v>
      </c>
      <c r="I878" s="13" t="str">
        <f>IFERROR(__xludf.DUMMYFUNCTION("""COMPUTED_VALUE"""),"General")</f>
        <v>General</v>
      </c>
      <c r="J878" s="13" t="str">
        <f>IFERROR(__xludf.DUMMYFUNCTION("""COMPUTED_VALUE"""),"Tops")</f>
        <v>Tops</v>
      </c>
      <c r="K878" s="13" t="str">
        <f>IFERROR(__xludf.DUMMYFUNCTION("""COMPUTED_VALUE"""),"Knits")</f>
        <v>Knits</v>
      </c>
      <c r="L878" s="13"/>
    </row>
    <row r="879">
      <c r="A879" s="13">
        <f>IFERROR(__xludf.DUMMYFUNCTION("""COMPUTED_VALUE"""),877.0)</f>
        <v>877</v>
      </c>
      <c r="B879" s="13">
        <f>IFERROR(__xludf.DUMMYFUNCTION("""COMPUTED_VALUE"""),1081.0)</f>
        <v>1081</v>
      </c>
      <c r="C879" s="13">
        <f>IFERROR(__xludf.DUMMYFUNCTION("""COMPUTED_VALUE"""),51.0)</f>
        <v>51</v>
      </c>
      <c r="D879" s="12" t="str">
        <f>IFERROR(__xludf.DUMMYFUNCTION("""COMPUTED_VALUE"""),"Still awesome")</f>
        <v>Still awesome</v>
      </c>
      <c r="E879" s="12" t="str">
        <f>IFERROR(__xludf.DUMMYFUNCTION("""COMPUTED_VALUE"""),"I read the reviews prior to purchasing but loved the pattern so much i had to have it. i was not disappointed however, had i not read the reviews i would have been. it is true the top of the dress is flat and does not have the detail as shown on the model"&amp;". it also appears to be disproportionate. i am 5'1 and curvy the bottom fits well but the top is large however rectified by wearing a padded bra. since i ordered the petite i was surprised the dress was above the ankle (usually their items are l")</f>
        <v>I read the reviews prior to purchasing but loved the pattern so much i had to have it. i was not disappointed however, had i not read the reviews i would have been. it is true the top of the dress is flat and does not have the detail as shown on the model. it also appears to be disproportionate. i am 5'1 and curvy the bottom fits well but the top is large however rectified by wearing a padded bra. since i ordered the petite i was surprised the dress was above the ankle (usually their items are l</v>
      </c>
      <c r="F879" s="13">
        <f>IFERROR(__xludf.DUMMYFUNCTION("""COMPUTED_VALUE"""),5.0)</f>
        <v>5</v>
      </c>
      <c r="G879" s="13">
        <f>IFERROR(__xludf.DUMMYFUNCTION("""COMPUTED_VALUE"""),1.0)</f>
        <v>1</v>
      </c>
      <c r="H879" s="13">
        <f>IFERROR(__xludf.DUMMYFUNCTION("""COMPUTED_VALUE"""),0.0)</f>
        <v>0</v>
      </c>
      <c r="I879" s="13" t="str">
        <f>IFERROR(__xludf.DUMMYFUNCTION("""COMPUTED_VALUE"""),"General")</f>
        <v>General</v>
      </c>
      <c r="J879" s="13" t="str">
        <f>IFERROR(__xludf.DUMMYFUNCTION("""COMPUTED_VALUE"""),"Dresses")</f>
        <v>Dresses</v>
      </c>
      <c r="K879" s="13" t="str">
        <f>IFERROR(__xludf.DUMMYFUNCTION("""COMPUTED_VALUE"""),"Dresses")</f>
        <v>Dresses</v>
      </c>
      <c r="L879" s="13"/>
    </row>
    <row r="880">
      <c r="A880" s="13">
        <f>IFERROR(__xludf.DUMMYFUNCTION("""COMPUTED_VALUE"""),878.0)</f>
        <v>878</v>
      </c>
      <c r="B880" s="13">
        <f>IFERROR(__xludf.DUMMYFUNCTION("""COMPUTED_VALUE"""),936.0)</f>
        <v>936</v>
      </c>
      <c r="C880" s="13">
        <f>IFERROR(__xludf.DUMMYFUNCTION("""COMPUTED_VALUE"""),35.0)</f>
        <v>35</v>
      </c>
      <c r="D880" s="12" t="str">
        <f>IFERROR(__xludf.DUMMYFUNCTION("""COMPUTED_VALUE"""),"Perfect for any season")</f>
        <v>Perfect for any season</v>
      </c>
      <c r="E880" s="12" t="str">
        <f>IFERROR(__xludf.DUMMYFUNCTION("""COMPUTED_VALUE"""),"This is more beautiful in person. i love the detail and color. i usually don't like ponchos but this one's shape with the square front definitely sets this apart.")</f>
        <v>This is more beautiful in person. i love the detail and color. i usually don't like ponchos but this one's shape with the square front definitely sets this apart.</v>
      </c>
      <c r="F880" s="13">
        <f>IFERROR(__xludf.DUMMYFUNCTION("""COMPUTED_VALUE"""),5.0)</f>
        <v>5</v>
      </c>
      <c r="G880" s="13">
        <f>IFERROR(__xludf.DUMMYFUNCTION("""COMPUTED_VALUE"""),1.0)</f>
        <v>1</v>
      </c>
      <c r="H880" s="13">
        <f>IFERROR(__xludf.DUMMYFUNCTION("""COMPUTED_VALUE"""),9.0)</f>
        <v>9</v>
      </c>
      <c r="I880" s="13" t="str">
        <f>IFERROR(__xludf.DUMMYFUNCTION("""COMPUTED_VALUE"""),"General Petite")</f>
        <v>General Petite</v>
      </c>
      <c r="J880" s="13" t="str">
        <f>IFERROR(__xludf.DUMMYFUNCTION("""COMPUTED_VALUE"""),"Tops")</f>
        <v>Tops</v>
      </c>
      <c r="K880" s="13" t="str">
        <f>IFERROR(__xludf.DUMMYFUNCTION("""COMPUTED_VALUE"""),"Sweaters")</f>
        <v>Sweaters</v>
      </c>
      <c r="L880" s="13"/>
    </row>
    <row r="881">
      <c r="A881" s="13">
        <f>IFERROR(__xludf.DUMMYFUNCTION("""COMPUTED_VALUE"""),879.0)</f>
        <v>879</v>
      </c>
      <c r="B881" s="13">
        <f>IFERROR(__xludf.DUMMYFUNCTION("""COMPUTED_VALUE"""),1026.0)</f>
        <v>1026</v>
      </c>
      <c r="C881" s="13">
        <f>IFERROR(__xludf.DUMMYFUNCTION("""COMPUTED_VALUE"""),66.0)</f>
        <v>66</v>
      </c>
      <c r="D881" s="12" t="str">
        <f>IFERROR(__xludf.DUMMYFUNCTION("""COMPUTED_VALUE"""),"Super cute pants")</f>
        <v>Super cute pants</v>
      </c>
      <c r="E881" s="12" t="str">
        <f>IFERROR(__xludf.DUMMYFUNCTION("""COMPUTED_VALUE"""),"I rarely write reviews but had to comment on these pants. these pilcro pants are my favorite for the fall and winter. they fit beautifully and are a great alternative to jeans. the pants are so comfortable and flattering. love the print and they are so ve"&amp;"rsatile as they can be worn as very casual pants and can be dressed up. i am in my 60's and am always looking for clothes that are stylish without being too young looking for a woman my age. retailer is my favorite store!")</f>
        <v>I rarely write reviews but had to comment on these pants. these pilcro pants are my favorite for the fall and winter. they fit beautifully and are a great alternative to jeans. the pants are so comfortable and flattering. love the print and they are so versatile as they can be worn as very casual pants and can be dressed up. i am in my 60's and am always looking for clothes that are stylish without being too young looking for a woman my age. retailer is my favorite store!</v>
      </c>
      <c r="F881" s="13">
        <f>IFERROR(__xludf.DUMMYFUNCTION("""COMPUTED_VALUE"""),5.0)</f>
        <v>5</v>
      </c>
      <c r="G881" s="13">
        <f>IFERROR(__xludf.DUMMYFUNCTION("""COMPUTED_VALUE"""),1.0)</f>
        <v>1</v>
      </c>
      <c r="H881" s="13">
        <f>IFERROR(__xludf.DUMMYFUNCTION("""COMPUTED_VALUE"""),1.0)</f>
        <v>1</v>
      </c>
      <c r="I881" s="13" t="str">
        <f>IFERROR(__xludf.DUMMYFUNCTION("""COMPUTED_VALUE"""),"General Petite")</f>
        <v>General Petite</v>
      </c>
      <c r="J881" s="13" t="str">
        <f>IFERROR(__xludf.DUMMYFUNCTION("""COMPUTED_VALUE"""),"Bottoms")</f>
        <v>Bottoms</v>
      </c>
      <c r="K881" s="13" t="str">
        <f>IFERROR(__xludf.DUMMYFUNCTION("""COMPUTED_VALUE"""),"Jeans")</f>
        <v>Jeans</v>
      </c>
      <c r="L881" s="13"/>
    </row>
    <row r="882">
      <c r="A882" s="13">
        <f>IFERROR(__xludf.DUMMYFUNCTION("""COMPUTED_VALUE"""),880.0)</f>
        <v>880</v>
      </c>
      <c r="B882" s="13">
        <f>IFERROR(__xludf.DUMMYFUNCTION("""COMPUTED_VALUE"""),1081.0)</f>
        <v>1081</v>
      </c>
      <c r="C882" s="13">
        <f>IFERROR(__xludf.DUMMYFUNCTION("""COMPUTED_VALUE"""),50.0)</f>
        <v>50</v>
      </c>
      <c r="D882" s="12" t="str">
        <f>IFERROR(__xludf.DUMMYFUNCTION("""COMPUTED_VALUE"""),"So wanted to love it...")</f>
        <v>So wanted to love it...</v>
      </c>
      <c r="E882" s="12" t="str">
        <f>IFERROR(__xludf.DUMMYFUNCTION("""COMPUTED_VALUE"""),"Ditto what the first reviewer said, unfortunately. i was so looking forward to receiving this dress but the one received is not the one in the photos. the graphics are fantastic - still love the boats- but the top is not the same and they've added a fabri"&amp;"c belt to the finished dress. the fit was perfect except for gapping under the arms (similar, i suspect, to what the first reviewer reported). i was also surprised by the fabric. based on the photos i was expecting something light and semi trans")</f>
        <v>Ditto what the first reviewer said, unfortunately. i was so looking forward to receiving this dress but the one received is not the one in the photos. the graphics are fantastic - still love the boats- but the top is not the same and they've added a fabric belt to the finished dress. the fit was perfect except for gapping under the arms (similar, i suspect, to what the first reviewer reported). i was also surprised by the fabric. based on the photos i was expecting something light and semi trans</v>
      </c>
      <c r="F882" s="13">
        <f>IFERROR(__xludf.DUMMYFUNCTION("""COMPUTED_VALUE"""),2.0)</f>
        <v>2</v>
      </c>
      <c r="G882" s="13">
        <f>IFERROR(__xludf.DUMMYFUNCTION("""COMPUTED_VALUE"""),0.0)</f>
        <v>0</v>
      </c>
      <c r="H882" s="13">
        <f>IFERROR(__xludf.DUMMYFUNCTION("""COMPUTED_VALUE"""),4.0)</f>
        <v>4</v>
      </c>
      <c r="I882" s="13" t="str">
        <f>IFERROR(__xludf.DUMMYFUNCTION("""COMPUTED_VALUE"""),"General")</f>
        <v>General</v>
      </c>
      <c r="J882" s="13" t="str">
        <f>IFERROR(__xludf.DUMMYFUNCTION("""COMPUTED_VALUE"""),"Dresses")</f>
        <v>Dresses</v>
      </c>
      <c r="K882" s="13" t="str">
        <f>IFERROR(__xludf.DUMMYFUNCTION("""COMPUTED_VALUE"""),"Dresses")</f>
        <v>Dresses</v>
      </c>
      <c r="L882" s="13"/>
    </row>
    <row r="883">
      <c r="A883" s="13">
        <f>IFERROR(__xludf.DUMMYFUNCTION("""COMPUTED_VALUE"""),881.0)</f>
        <v>881</v>
      </c>
      <c r="B883" s="13">
        <f>IFERROR(__xludf.DUMMYFUNCTION("""COMPUTED_VALUE"""),299.0)</f>
        <v>299</v>
      </c>
      <c r="C883" s="13">
        <f>IFERROR(__xludf.DUMMYFUNCTION("""COMPUTED_VALUE"""),37.0)</f>
        <v>37</v>
      </c>
      <c r="D883" s="12" t="str">
        <f>IFERROR(__xludf.DUMMYFUNCTION("""COMPUTED_VALUE"""),"Cute casual shorts")</f>
        <v>Cute casual shorts</v>
      </c>
      <c r="E883" s="12" t="str">
        <f>IFERROR(__xludf.DUMMYFUNCTION("""COMPUTED_VALUE"""),"I ordered these in both the grey and moss, and i love both. they are very soft, very easy, loose fitting casual shorts. i wear them a bit lower on my waist than pictured, so they hit lower on my leg than on the model, which i prefer in these. i am 5'3, 10"&amp;"5 lbs, ordered xs. the dark grey ones feel more versatile, like you could throw on anything with them and go. the moss look cute with white/cream summery tops. they washed well (machine, cold, laid flat to dry), touched up with light steam from")</f>
        <v>I ordered these in both the grey and moss, and i love both. they are very soft, very easy, loose fitting casual shorts. i wear them a bit lower on my waist than pictured, so they hit lower on my leg than on the model, which i prefer in these. i am 5'3, 105 lbs, ordered xs. the dark grey ones feel more versatile, like you could throw on anything with them and go. the moss look cute with white/cream summery tops. they washed well (machine, cold, laid flat to dry), touched up with light steam from</v>
      </c>
      <c r="F883" s="13">
        <f>IFERROR(__xludf.DUMMYFUNCTION("""COMPUTED_VALUE"""),5.0)</f>
        <v>5</v>
      </c>
      <c r="G883" s="13">
        <f>IFERROR(__xludf.DUMMYFUNCTION("""COMPUTED_VALUE"""),1.0)</f>
        <v>1</v>
      </c>
      <c r="H883" s="13">
        <f>IFERROR(__xludf.DUMMYFUNCTION("""COMPUTED_VALUE"""),3.0)</f>
        <v>3</v>
      </c>
      <c r="I883" s="13" t="str">
        <f>IFERROR(__xludf.DUMMYFUNCTION("""COMPUTED_VALUE"""),"General")</f>
        <v>General</v>
      </c>
      <c r="J883" s="13" t="str">
        <f>IFERROR(__xludf.DUMMYFUNCTION("""COMPUTED_VALUE"""),"Bottoms")</f>
        <v>Bottoms</v>
      </c>
      <c r="K883" s="13" t="str">
        <f>IFERROR(__xludf.DUMMYFUNCTION("""COMPUTED_VALUE"""),"Shorts")</f>
        <v>Shorts</v>
      </c>
      <c r="L883" s="13"/>
    </row>
    <row r="884">
      <c r="A884" s="13">
        <f>IFERROR(__xludf.DUMMYFUNCTION("""COMPUTED_VALUE"""),882.0)</f>
        <v>882</v>
      </c>
      <c r="B884" s="13">
        <f>IFERROR(__xludf.DUMMYFUNCTION("""COMPUTED_VALUE"""),1055.0)</f>
        <v>1055</v>
      </c>
      <c r="C884" s="13">
        <f>IFERROR(__xludf.DUMMYFUNCTION("""COMPUTED_VALUE"""),36.0)</f>
        <v>36</v>
      </c>
      <c r="D884" s="12" t="str">
        <f>IFERROR(__xludf.DUMMYFUNCTION("""COMPUTED_VALUE"""),"Adorable culottes!")</f>
        <v>Adorable culottes!</v>
      </c>
      <c r="E884" s="12" t="str">
        <f>IFERROR(__xludf.DUMMYFUNCTION("""COMPUTED_VALUE"""),"These culottes are adorable on....if you order up two whole sizes! they run extremely small. fabric is thick, high quality and a beautiful color.")</f>
        <v>These culottes are adorable on....if you order up two whole sizes! they run extremely small. fabric is thick, high quality and a beautiful color.</v>
      </c>
      <c r="F884" s="13">
        <f>IFERROR(__xludf.DUMMYFUNCTION("""COMPUTED_VALUE"""),4.0)</f>
        <v>4</v>
      </c>
      <c r="G884" s="13">
        <f>IFERROR(__xludf.DUMMYFUNCTION("""COMPUTED_VALUE"""),1.0)</f>
        <v>1</v>
      </c>
      <c r="H884" s="13">
        <f>IFERROR(__xludf.DUMMYFUNCTION("""COMPUTED_VALUE"""),4.0)</f>
        <v>4</v>
      </c>
      <c r="I884" s="13" t="str">
        <f>IFERROR(__xludf.DUMMYFUNCTION("""COMPUTED_VALUE"""),"General Petite")</f>
        <v>General Petite</v>
      </c>
      <c r="J884" s="13" t="str">
        <f>IFERROR(__xludf.DUMMYFUNCTION("""COMPUTED_VALUE"""),"Bottoms")</f>
        <v>Bottoms</v>
      </c>
      <c r="K884" s="13" t="str">
        <f>IFERROR(__xludf.DUMMYFUNCTION("""COMPUTED_VALUE"""),"Pants")</f>
        <v>Pants</v>
      </c>
      <c r="L884" s="13"/>
    </row>
    <row r="885">
      <c r="A885" s="13">
        <f>IFERROR(__xludf.DUMMYFUNCTION("""COMPUTED_VALUE"""),883.0)</f>
        <v>883</v>
      </c>
      <c r="B885" s="13">
        <f>IFERROR(__xludf.DUMMYFUNCTION("""COMPUTED_VALUE"""),1055.0)</f>
        <v>1055</v>
      </c>
      <c r="C885" s="13">
        <f>IFERROR(__xludf.DUMMYFUNCTION("""COMPUTED_VALUE"""),43.0)</f>
        <v>43</v>
      </c>
      <c r="D885" s="12" t="str">
        <f>IFERROR(__xludf.DUMMYFUNCTION("""COMPUTED_VALUE"""),"Not for big girls :(")</f>
        <v>Not for big girls :(</v>
      </c>
      <c r="E885" s="12" t="str">
        <f>IFERROR(__xludf.DUMMYFUNCTION("""COMPUTED_VALUE"""),"Quality is fantastic but i feel like a 14 would have barely made it's way around one leg! this pant is way small in terms of sizing and not a style fit for anyone over a 6. a lot of fabric in the legs. nice pant but not for this girl!")</f>
        <v>Quality is fantastic but i feel like a 14 would have barely made it's way around one leg! this pant is way small in terms of sizing and not a style fit for anyone over a 6. a lot of fabric in the legs. nice pant but not for this girl!</v>
      </c>
      <c r="F885" s="13">
        <f>IFERROR(__xludf.DUMMYFUNCTION("""COMPUTED_VALUE"""),2.0)</f>
        <v>2</v>
      </c>
      <c r="G885" s="13">
        <f>IFERROR(__xludf.DUMMYFUNCTION("""COMPUTED_VALUE"""),0.0)</f>
        <v>0</v>
      </c>
      <c r="H885" s="13">
        <f>IFERROR(__xludf.DUMMYFUNCTION("""COMPUTED_VALUE"""),11.0)</f>
        <v>11</v>
      </c>
      <c r="I885" s="13" t="str">
        <f>IFERROR(__xludf.DUMMYFUNCTION("""COMPUTED_VALUE"""),"General Petite")</f>
        <v>General Petite</v>
      </c>
      <c r="J885" s="13" t="str">
        <f>IFERROR(__xludf.DUMMYFUNCTION("""COMPUTED_VALUE"""),"Bottoms")</f>
        <v>Bottoms</v>
      </c>
      <c r="K885" s="13" t="str">
        <f>IFERROR(__xludf.DUMMYFUNCTION("""COMPUTED_VALUE"""),"Pants")</f>
        <v>Pants</v>
      </c>
      <c r="L885" s="13"/>
    </row>
    <row r="886">
      <c r="A886" s="13">
        <f>IFERROR(__xludf.DUMMYFUNCTION("""COMPUTED_VALUE"""),884.0)</f>
        <v>884</v>
      </c>
      <c r="B886" s="13">
        <f>IFERROR(__xludf.DUMMYFUNCTION("""COMPUTED_VALUE"""),1026.0)</f>
        <v>1026</v>
      </c>
      <c r="C886" s="13">
        <f>IFERROR(__xludf.DUMMYFUNCTION("""COMPUTED_VALUE"""),42.0)</f>
        <v>42</v>
      </c>
      <c r="D886" s="12" t="str">
        <f>IFERROR(__xludf.DUMMYFUNCTION("""COMPUTED_VALUE"""),"Perfect fit")</f>
        <v>Perfect fit</v>
      </c>
      <c r="E886" s="12" t="str">
        <f>IFERROR(__xludf.DUMMYFUNCTION("""COMPUTED_VALUE"""),"Love these pants. corduroy leggings that fit like a skinny pant. comfortable. not too stretchy. maintains shape, even with multiple wears between cleaning. pairs nicely with black, neutral, or buttery yellow tops. fun print. received compliments first tim"&amp;"e i wore them. sizing is just right also. i'm 5'3. usually wear 26 in denim but have to go up a size for super skinny so i ordered a 27p which fits me just fine.")</f>
        <v>Love these pants. corduroy leggings that fit like a skinny pant. comfortable. not too stretchy. maintains shape, even with multiple wears between cleaning. pairs nicely with black, neutral, or buttery yellow tops. fun print. received compliments first time i wore them. sizing is just right also. i'm 5'3. usually wear 26 in denim but have to go up a size for super skinny so i ordered a 27p which fits me just fine.</v>
      </c>
      <c r="F886" s="13">
        <f>IFERROR(__xludf.DUMMYFUNCTION("""COMPUTED_VALUE"""),5.0)</f>
        <v>5</v>
      </c>
      <c r="G886" s="13">
        <f>IFERROR(__xludf.DUMMYFUNCTION("""COMPUTED_VALUE"""),1.0)</f>
        <v>1</v>
      </c>
      <c r="H886" s="13">
        <f>IFERROR(__xludf.DUMMYFUNCTION("""COMPUTED_VALUE"""),0.0)</f>
        <v>0</v>
      </c>
      <c r="I886" s="13" t="str">
        <f>IFERROR(__xludf.DUMMYFUNCTION("""COMPUTED_VALUE"""),"General Petite")</f>
        <v>General Petite</v>
      </c>
      <c r="J886" s="13" t="str">
        <f>IFERROR(__xludf.DUMMYFUNCTION("""COMPUTED_VALUE"""),"Bottoms")</f>
        <v>Bottoms</v>
      </c>
      <c r="K886" s="13" t="str">
        <f>IFERROR(__xludf.DUMMYFUNCTION("""COMPUTED_VALUE"""),"Jeans")</f>
        <v>Jeans</v>
      </c>
      <c r="L886" s="13"/>
    </row>
    <row r="887">
      <c r="A887" s="13">
        <f>IFERROR(__xludf.DUMMYFUNCTION("""COMPUTED_VALUE"""),885.0)</f>
        <v>885</v>
      </c>
      <c r="B887" s="13">
        <f>IFERROR(__xludf.DUMMYFUNCTION("""COMPUTED_VALUE"""),1010.0)</f>
        <v>1010</v>
      </c>
      <c r="C887" s="13">
        <f>IFERROR(__xludf.DUMMYFUNCTION("""COMPUTED_VALUE"""),60.0)</f>
        <v>60</v>
      </c>
      <c r="D887" s="12" t="str">
        <f>IFERROR(__xludf.DUMMYFUNCTION("""COMPUTED_VALUE"""),"A little 'hip-y""")</f>
        <v>A little 'hip-y"</v>
      </c>
      <c r="E887" s="12" t="str">
        <f>IFERROR(__xludf.DUMMYFUNCTION("""COMPUTED_VALUE"""),"Skirt in med fit fine, cute,lightweight, swingy, flirty, fun, almost knee length
i am typically a 10-12
but the pattern which swings up, across, and down made me look wide in the hips as opposed to other clothes i own already
more petite, less curvy girls"&amp;" enjoy!
its going back,sorry!")</f>
        <v>Skirt in med fit fine, cute,lightweight, swingy, flirty, fun, almost knee length
i am typically a 10-12
but the pattern which swings up, across, and down made me look wide in the hips as opposed to other clothes i own already
more petite, less curvy girls enjoy!
its going back,sorry!</v>
      </c>
      <c r="F887" s="13">
        <f>IFERROR(__xludf.DUMMYFUNCTION("""COMPUTED_VALUE"""),4.0)</f>
        <v>4</v>
      </c>
      <c r="G887" s="13">
        <f>IFERROR(__xludf.DUMMYFUNCTION("""COMPUTED_VALUE"""),1.0)</f>
        <v>1</v>
      </c>
      <c r="H887" s="13">
        <f>IFERROR(__xludf.DUMMYFUNCTION("""COMPUTED_VALUE"""),1.0)</f>
        <v>1</v>
      </c>
      <c r="I887" s="13" t="str">
        <f>IFERROR(__xludf.DUMMYFUNCTION("""COMPUTED_VALUE"""),"General Petite")</f>
        <v>General Petite</v>
      </c>
      <c r="J887" s="13" t="str">
        <f>IFERROR(__xludf.DUMMYFUNCTION("""COMPUTED_VALUE"""),"Bottoms")</f>
        <v>Bottoms</v>
      </c>
      <c r="K887" s="13" t="str">
        <f>IFERROR(__xludf.DUMMYFUNCTION("""COMPUTED_VALUE"""),"Skirts")</f>
        <v>Skirts</v>
      </c>
      <c r="L887" s="13"/>
    </row>
    <row r="888">
      <c r="A888" s="13">
        <f>IFERROR(__xludf.DUMMYFUNCTION("""COMPUTED_VALUE"""),886.0)</f>
        <v>886</v>
      </c>
      <c r="B888" s="13">
        <f>IFERROR(__xludf.DUMMYFUNCTION("""COMPUTED_VALUE"""),1086.0)</f>
        <v>1086</v>
      </c>
      <c r="C888" s="13">
        <f>IFERROR(__xludf.DUMMYFUNCTION("""COMPUTED_VALUE"""),44.0)</f>
        <v>44</v>
      </c>
      <c r="D888" s="12" t="str">
        <f>IFERROR(__xludf.DUMMYFUNCTION("""COMPUTED_VALUE"""),"Maybe one i got it's not right?")</f>
        <v>Maybe one i got it's not right?</v>
      </c>
      <c r="E888" s="12" t="str">
        <f>IFERROR(__xludf.DUMMYFUNCTION("""COMPUTED_VALUE"""),"Got the small petite. length is perfect, love the color, super comfy, very pretty. the problem is that you cannot wear a bra because under the armpits is so low that either shows your bra (a lot) or if u wear sans bra you may show your breasts (it's loose"&amp;" all around on top, so very easy to show everything. if i adjust the straps it works but then the waist goes up and it looks like i have a belly. i'm taking to a seamstress to see if she can take in under armpits, if not it's going back. i'm 5',")</f>
        <v>Got the small petite. length is perfect, love the color, super comfy, very pretty. the problem is that you cannot wear a bra because under the armpits is so low that either shows your bra (a lot) or if u wear sans bra you may show your breasts (it's loose all around on top, so very easy to show everything. if i adjust the straps it works but then the waist goes up and it looks like i have a belly. i'm taking to a seamstress to see if she can take in under armpits, if not it's going back. i'm 5',</v>
      </c>
      <c r="F888" s="13">
        <f>IFERROR(__xludf.DUMMYFUNCTION("""COMPUTED_VALUE"""),4.0)</f>
        <v>4</v>
      </c>
      <c r="G888" s="13">
        <f>IFERROR(__xludf.DUMMYFUNCTION("""COMPUTED_VALUE"""),0.0)</f>
        <v>0</v>
      </c>
      <c r="H888" s="13">
        <f>IFERROR(__xludf.DUMMYFUNCTION("""COMPUTED_VALUE"""),3.0)</f>
        <v>3</v>
      </c>
      <c r="I888" s="13" t="str">
        <f>IFERROR(__xludf.DUMMYFUNCTION("""COMPUTED_VALUE"""),"General")</f>
        <v>General</v>
      </c>
      <c r="J888" s="13" t="str">
        <f>IFERROR(__xludf.DUMMYFUNCTION("""COMPUTED_VALUE"""),"Dresses")</f>
        <v>Dresses</v>
      </c>
      <c r="K888" s="13" t="str">
        <f>IFERROR(__xludf.DUMMYFUNCTION("""COMPUTED_VALUE"""),"Dresses")</f>
        <v>Dresses</v>
      </c>
      <c r="L888" s="13"/>
    </row>
    <row r="889">
      <c r="A889" s="13">
        <f>IFERROR(__xludf.DUMMYFUNCTION("""COMPUTED_VALUE"""),887.0)</f>
        <v>887</v>
      </c>
      <c r="B889" s="13">
        <f>IFERROR(__xludf.DUMMYFUNCTION("""COMPUTED_VALUE"""),1055.0)</f>
        <v>1055</v>
      </c>
      <c r="C889" s="13">
        <f>IFERROR(__xludf.DUMMYFUNCTION("""COMPUTED_VALUE"""),63.0)</f>
        <v>63</v>
      </c>
      <c r="D889" s="12"/>
      <c r="E889" s="12" t="str">
        <f>IFERROR(__xludf.DUMMYFUNCTION("""COMPUTED_VALUE"""),"These run small (i am 110 and got a size 4), they were a tad tight on top. the waist fit but felt a little too snug, short from waist to crotch and then bloomed out in a nice but stiff ish material. they are a dark blue animal print. i felt like bozo the "&amp;"clown goes to the jungle. they looked so silly i had to laugh. even with the 20% off, these are going back. not even comfortable to lounge around the house in never mind being seen by anyone in person!")</f>
        <v>These run small (i am 110 and got a size 4), they were a tad tight on top. the waist fit but felt a little too snug, short from waist to crotch and then bloomed out in a nice but stiff ish material. they are a dark blue animal print. i felt like bozo the clown goes to the jungle. they looked so silly i had to laugh. even with the 20% off, these are going back. not even comfortable to lounge around the house in never mind being seen by anyone in person!</v>
      </c>
      <c r="F889" s="13">
        <f>IFERROR(__xludf.DUMMYFUNCTION("""COMPUTED_VALUE"""),2.0)</f>
        <v>2</v>
      </c>
      <c r="G889" s="13">
        <f>IFERROR(__xludf.DUMMYFUNCTION("""COMPUTED_VALUE"""),0.0)</f>
        <v>0</v>
      </c>
      <c r="H889" s="13">
        <f>IFERROR(__xludf.DUMMYFUNCTION("""COMPUTED_VALUE"""),0.0)</f>
        <v>0</v>
      </c>
      <c r="I889" s="13" t="str">
        <f>IFERROR(__xludf.DUMMYFUNCTION("""COMPUTED_VALUE"""),"General Petite")</f>
        <v>General Petite</v>
      </c>
      <c r="J889" s="13" t="str">
        <f>IFERROR(__xludf.DUMMYFUNCTION("""COMPUTED_VALUE"""),"Bottoms")</f>
        <v>Bottoms</v>
      </c>
      <c r="K889" s="13" t="str">
        <f>IFERROR(__xludf.DUMMYFUNCTION("""COMPUTED_VALUE"""),"Pants")</f>
        <v>Pants</v>
      </c>
      <c r="L889" s="13"/>
    </row>
    <row r="890">
      <c r="A890" s="13">
        <f>IFERROR(__xludf.DUMMYFUNCTION("""COMPUTED_VALUE"""),888.0)</f>
        <v>888</v>
      </c>
      <c r="B890" s="13">
        <f>IFERROR(__xludf.DUMMYFUNCTION("""COMPUTED_VALUE"""),1026.0)</f>
        <v>1026</v>
      </c>
      <c r="C890" s="13">
        <f>IFERROR(__xludf.DUMMYFUNCTION("""COMPUTED_VALUE"""),26.0)</f>
        <v>26</v>
      </c>
      <c r="D890" s="12" t="str">
        <f>IFERROR(__xludf.DUMMYFUNCTION("""COMPUTED_VALUE"""),"Buy these now.")</f>
        <v>Buy these now.</v>
      </c>
      <c r="E890" s="12" t="str">
        <f>IFERROR(__xludf.DUMMYFUNCTION("""COMPUTED_VALUE"""),"These cords are seriously fantastic. worth the price indeed. they are very comfy, have a lot of stretch but do not loose shape! the fun yet muted color design allows an average outfit to have a fun pop. they do run big, i got a 26 and i'm usually a 27. th"&amp;"ey are also very long! nothing a little trip to tailors can't fix. overall, highly recommended.")</f>
        <v>These cords are seriously fantastic. worth the price indeed. they are very comfy, have a lot of stretch but do not loose shape! the fun yet muted color design allows an average outfit to have a fun pop. they do run big, i got a 26 and i'm usually a 27. they are also very long! nothing a little trip to tailors can't fix. overall, highly recommended.</v>
      </c>
      <c r="F890" s="13">
        <f>IFERROR(__xludf.DUMMYFUNCTION("""COMPUTED_VALUE"""),5.0)</f>
        <v>5</v>
      </c>
      <c r="G890" s="13">
        <f>IFERROR(__xludf.DUMMYFUNCTION("""COMPUTED_VALUE"""),1.0)</f>
        <v>1</v>
      </c>
      <c r="H890" s="13">
        <f>IFERROR(__xludf.DUMMYFUNCTION("""COMPUTED_VALUE"""),0.0)</f>
        <v>0</v>
      </c>
      <c r="I890" s="13" t="str">
        <f>IFERROR(__xludf.DUMMYFUNCTION("""COMPUTED_VALUE"""),"General Petite")</f>
        <v>General Petite</v>
      </c>
      <c r="J890" s="13" t="str">
        <f>IFERROR(__xludf.DUMMYFUNCTION("""COMPUTED_VALUE"""),"Bottoms")</f>
        <v>Bottoms</v>
      </c>
      <c r="K890" s="13" t="str">
        <f>IFERROR(__xludf.DUMMYFUNCTION("""COMPUTED_VALUE"""),"Jeans")</f>
        <v>Jeans</v>
      </c>
      <c r="L890" s="13"/>
    </row>
    <row r="891">
      <c r="A891" s="13">
        <f>IFERROR(__xludf.DUMMYFUNCTION("""COMPUTED_VALUE"""),889.0)</f>
        <v>889</v>
      </c>
      <c r="B891" s="13">
        <f>IFERROR(__xludf.DUMMYFUNCTION("""COMPUTED_VALUE"""),1081.0)</f>
        <v>1081</v>
      </c>
      <c r="C891" s="13">
        <f>IFERROR(__xludf.DUMMYFUNCTION("""COMPUTED_VALUE"""),42.0)</f>
        <v>42</v>
      </c>
      <c r="D891" s="12" t="str">
        <f>IFERROR(__xludf.DUMMYFUNCTION("""COMPUTED_VALUE"""),"Different dresses")</f>
        <v>Different dresses</v>
      </c>
      <c r="E891" s="12" t="str">
        <f>IFERROR(__xludf.DUMMYFUNCTION("""COMPUTED_VALUE"""),"I loved the photo of this dress. upon examination of the dress (and trying it on) after receiving in the mail, the dress shown online is nothing like the dress i received save for the pattern. the dress i received has a side zip as well as a belt and no p"&amp;"leats on the top. the bottom is also cut straight across not as it appears in the photo. turns out it is not as flattering as it should appear.")</f>
        <v>I loved the photo of this dress. upon examination of the dress (and trying it on) after receiving in the mail, the dress shown online is nothing like the dress i received save for the pattern. the dress i received has a side zip as well as a belt and no pleats on the top. the bottom is also cut straight across not as it appears in the photo. turns out it is not as flattering as it should appear.</v>
      </c>
      <c r="F891" s="13">
        <f>IFERROR(__xludf.DUMMYFUNCTION("""COMPUTED_VALUE"""),1.0)</f>
        <v>1</v>
      </c>
      <c r="G891" s="13">
        <f>IFERROR(__xludf.DUMMYFUNCTION("""COMPUTED_VALUE"""),0.0)</f>
        <v>0</v>
      </c>
      <c r="H891" s="13">
        <f>IFERROR(__xludf.DUMMYFUNCTION("""COMPUTED_VALUE"""),4.0)</f>
        <v>4</v>
      </c>
      <c r="I891" s="13" t="str">
        <f>IFERROR(__xludf.DUMMYFUNCTION("""COMPUTED_VALUE"""),"General")</f>
        <v>General</v>
      </c>
      <c r="J891" s="13" t="str">
        <f>IFERROR(__xludf.DUMMYFUNCTION("""COMPUTED_VALUE"""),"Dresses")</f>
        <v>Dresses</v>
      </c>
      <c r="K891" s="13" t="str">
        <f>IFERROR(__xludf.DUMMYFUNCTION("""COMPUTED_VALUE"""),"Dresses")</f>
        <v>Dresses</v>
      </c>
      <c r="L891" s="13"/>
    </row>
    <row r="892">
      <c r="A892" s="13">
        <f>IFERROR(__xludf.DUMMYFUNCTION("""COMPUTED_VALUE"""),890.0)</f>
        <v>890</v>
      </c>
      <c r="B892" s="13">
        <f>IFERROR(__xludf.DUMMYFUNCTION("""COMPUTED_VALUE"""),754.0)</f>
        <v>754</v>
      </c>
      <c r="C892" s="13">
        <f>IFERROR(__xludf.DUMMYFUNCTION("""COMPUTED_VALUE"""),48.0)</f>
        <v>48</v>
      </c>
      <c r="D892" s="12" t="str">
        <f>IFERROR(__xludf.DUMMYFUNCTION("""COMPUTED_VALUE"""),"Classic with a twist")</f>
        <v>Classic with a twist</v>
      </c>
      <c r="E892" s="12" t="str">
        <f>IFERROR(__xludf.DUMMYFUNCTION("""COMPUTED_VALUE"""),"Beautiful pajama bottoms. i purchased these as a special treat for myself. luckily, i found a review on another site, stating that these run small, before pirchasing. no one wants tight pjs. order a size up! also, i'm 5'8"" tall and the length is just rig"&amp;"ht. if you are taller, you may find this style too short. i haven't ordered the top, because i'm not sure of the fit, but i'm guessing it also runs small, based on the photo.")</f>
        <v>Beautiful pajama bottoms. i purchased these as a special treat for myself. luckily, i found a review on another site, stating that these run small, before pirchasing. no one wants tight pjs. order a size up! also, i'm 5'8" tall and the length is just right. if you are taller, you may find this style too short. i haven't ordered the top, because i'm not sure of the fit, but i'm guessing it also runs small, based on the photo.</v>
      </c>
      <c r="F892" s="13">
        <f>IFERROR(__xludf.DUMMYFUNCTION("""COMPUTED_VALUE"""),5.0)</f>
        <v>5</v>
      </c>
      <c r="G892" s="13">
        <f>IFERROR(__xludf.DUMMYFUNCTION("""COMPUTED_VALUE"""),1.0)</f>
        <v>1</v>
      </c>
      <c r="H892" s="13">
        <f>IFERROR(__xludf.DUMMYFUNCTION("""COMPUTED_VALUE"""),0.0)</f>
        <v>0</v>
      </c>
      <c r="I892" s="13" t="str">
        <f>IFERROR(__xludf.DUMMYFUNCTION("""COMPUTED_VALUE"""),"Initmates")</f>
        <v>Initmates</v>
      </c>
      <c r="J892" s="13" t="str">
        <f>IFERROR(__xludf.DUMMYFUNCTION("""COMPUTED_VALUE"""),"Intimate")</f>
        <v>Intimate</v>
      </c>
      <c r="K892" s="13" t="str">
        <f>IFERROR(__xludf.DUMMYFUNCTION("""COMPUTED_VALUE"""),"Intimates")</f>
        <v>Intimates</v>
      </c>
      <c r="L892" s="13"/>
    </row>
    <row r="893">
      <c r="A893" s="13">
        <f>IFERROR(__xludf.DUMMYFUNCTION("""COMPUTED_VALUE"""),891.0)</f>
        <v>891</v>
      </c>
      <c r="B893" s="13">
        <f>IFERROR(__xludf.DUMMYFUNCTION("""COMPUTED_VALUE"""),815.0)</f>
        <v>815</v>
      </c>
      <c r="C893" s="13">
        <f>IFERROR(__xludf.DUMMYFUNCTION("""COMPUTED_VALUE"""),34.0)</f>
        <v>34</v>
      </c>
      <c r="D893" s="12"/>
      <c r="E893" s="12" t="str">
        <f>IFERROR(__xludf.DUMMYFUNCTION("""COMPUTED_VALUE"""),"I bought this top in my usual size in a small. i'm a 34 d 26 waist. i absolutely love it. i pair it with a red cardigan. very cute.")</f>
        <v>I bought this top in my usual size in a small. i'm a 34 d 26 waist. i absolutely love it. i pair it with a red cardigan. very cute.</v>
      </c>
      <c r="F893" s="13">
        <f>IFERROR(__xludf.DUMMYFUNCTION("""COMPUTED_VALUE"""),5.0)</f>
        <v>5</v>
      </c>
      <c r="G893" s="13">
        <f>IFERROR(__xludf.DUMMYFUNCTION("""COMPUTED_VALUE"""),1.0)</f>
        <v>1</v>
      </c>
      <c r="H893" s="13">
        <f>IFERROR(__xludf.DUMMYFUNCTION("""COMPUTED_VALUE"""),3.0)</f>
        <v>3</v>
      </c>
      <c r="I893" s="13" t="str">
        <f>IFERROR(__xludf.DUMMYFUNCTION("""COMPUTED_VALUE"""),"General Petite")</f>
        <v>General Petite</v>
      </c>
      <c r="J893" s="13" t="str">
        <f>IFERROR(__xludf.DUMMYFUNCTION("""COMPUTED_VALUE"""),"Tops")</f>
        <v>Tops</v>
      </c>
      <c r="K893" s="13" t="str">
        <f>IFERROR(__xludf.DUMMYFUNCTION("""COMPUTED_VALUE"""),"Blouses")</f>
        <v>Blouses</v>
      </c>
      <c r="L893" s="13"/>
    </row>
    <row r="894">
      <c r="A894" s="13">
        <f>IFERROR(__xludf.DUMMYFUNCTION("""COMPUTED_VALUE"""),892.0)</f>
        <v>892</v>
      </c>
      <c r="B894" s="13">
        <f>IFERROR(__xludf.DUMMYFUNCTION("""COMPUTED_VALUE"""),1164.0)</f>
        <v>1164</v>
      </c>
      <c r="C894" s="13">
        <f>IFERROR(__xludf.DUMMYFUNCTION("""COMPUTED_VALUE"""),32.0)</f>
        <v>32</v>
      </c>
      <c r="D894" s="12"/>
      <c r="E894" s="12"/>
      <c r="F894" s="13">
        <f>IFERROR(__xludf.DUMMYFUNCTION("""COMPUTED_VALUE"""),5.0)</f>
        <v>5</v>
      </c>
      <c r="G894" s="13">
        <f>IFERROR(__xludf.DUMMYFUNCTION("""COMPUTED_VALUE"""),1.0)</f>
        <v>1</v>
      </c>
      <c r="H894" s="13">
        <f>IFERROR(__xludf.DUMMYFUNCTION("""COMPUTED_VALUE"""),0.0)</f>
        <v>0</v>
      </c>
      <c r="I894" s="13" t="str">
        <f>IFERROR(__xludf.DUMMYFUNCTION("""COMPUTED_VALUE"""),"Initmates")</f>
        <v>Initmates</v>
      </c>
      <c r="J894" s="13" t="str">
        <f>IFERROR(__xludf.DUMMYFUNCTION("""COMPUTED_VALUE"""),"Intimate")</f>
        <v>Intimate</v>
      </c>
      <c r="K894" s="13" t="str">
        <f>IFERROR(__xludf.DUMMYFUNCTION("""COMPUTED_VALUE"""),"Layering")</f>
        <v>Layering</v>
      </c>
      <c r="L894" s="13"/>
    </row>
    <row r="895">
      <c r="A895" s="13">
        <f>IFERROR(__xludf.DUMMYFUNCTION("""COMPUTED_VALUE"""),893.0)</f>
        <v>893</v>
      </c>
      <c r="B895" s="13">
        <f>IFERROR(__xludf.DUMMYFUNCTION("""COMPUTED_VALUE"""),860.0)</f>
        <v>860</v>
      </c>
      <c r="C895" s="13">
        <f>IFERROR(__xludf.DUMMYFUNCTION("""COMPUTED_VALUE"""),30.0)</f>
        <v>30</v>
      </c>
      <c r="D895" s="12"/>
      <c r="E895" s="12"/>
      <c r="F895" s="13">
        <f>IFERROR(__xludf.DUMMYFUNCTION("""COMPUTED_VALUE"""),5.0)</f>
        <v>5</v>
      </c>
      <c r="G895" s="13">
        <f>IFERROR(__xludf.DUMMYFUNCTION("""COMPUTED_VALUE"""),1.0)</f>
        <v>1</v>
      </c>
      <c r="H895" s="13">
        <f>IFERROR(__xludf.DUMMYFUNCTION("""COMPUTED_VALUE"""),0.0)</f>
        <v>0</v>
      </c>
      <c r="I895" s="13" t="str">
        <f>IFERROR(__xludf.DUMMYFUNCTION("""COMPUTED_VALUE"""),"General Petite")</f>
        <v>General Petite</v>
      </c>
      <c r="J895" s="13" t="str">
        <f>IFERROR(__xludf.DUMMYFUNCTION("""COMPUTED_VALUE"""),"Tops")</f>
        <v>Tops</v>
      </c>
      <c r="K895" s="13" t="str">
        <f>IFERROR(__xludf.DUMMYFUNCTION("""COMPUTED_VALUE"""),"Knits")</f>
        <v>Knits</v>
      </c>
      <c r="L895" s="13"/>
    </row>
    <row r="896">
      <c r="A896" s="13">
        <f>IFERROR(__xludf.DUMMYFUNCTION("""COMPUTED_VALUE"""),894.0)</f>
        <v>894</v>
      </c>
      <c r="B896" s="13">
        <f>IFERROR(__xludf.DUMMYFUNCTION("""COMPUTED_VALUE"""),952.0)</f>
        <v>952</v>
      </c>
      <c r="C896" s="13">
        <f>IFERROR(__xludf.DUMMYFUNCTION("""COMPUTED_VALUE"""),43.0)</f>
        <v>43</v>
      </c>
      <c r="D896" s="12" t="str">
        <f>IFERROR(__xludf.DUMMYFUNCTION("""COMPUTED_VALUE"""),"So beautiful!!")</f>
        <v>So beautiful!!</v>
      </c>
      <c r="E896" s="12" t="str">
        <f>IFERROR(__xludf.DUMMYFUNCTION("""COMPUTED_VALUE"""),"I love this sweater combo! as a larger woman, i am always looking for flattering tops. the draping in front covers all the right areas! i wish they made them in more colors!")</f>
        <v>I love this sweater combo! as a larger woman, i am always looking for flattering tops. the draping in front covers all the right areas! i wish they made them in more colors!</v>
      </c>
      <c r="F896" s="13">
        <f>IFERROR(__xludf.DUMMYFUNCTION("""COMPUTED_VALUE"""),5.0)</f>
        <v>5</v>
      </c>
      <c r="G896" s="13">
        <f>IFERROR(__xludf.DUMMYFUNCTION("""COMPUTED_VALUE"""),1.0)</f>
        <v>1</v>
      </c>
      <c r="H896" s="13">
        <f>IFERROR(__xludf.DUMMYFUNCTION("""COMPUTED_VALUE"""),0.0)</f>
        <v>0</v>
      </c>
      <c r="I896" s="13" t="str">
        <f>IFERROR(__xludf.DUMMYFUNCTION("""COMPUTED_VALUE"""),"General Petite")</f>
        <v>General Petite</v>
      </c>
      <c r="J896" s="13" t="str">
        <f>IFERROR(__xludf.DUMMYFUNCTION("""COMPUTED_VALUE"""),"Tops")</f>
        <v>Tops</v>
      </c>
      <c r="K896" s="13" t="str">
        <f>IFERROR(__xludf.DUMMYFUNCTION("""COMPUTED_VALUE"""),"Sweaters")</f>
        <v>Sweaters</v>
      </c>
      <c r="L896" s="13"/>
    </row>
    <row r="897">
      <c r="A897" s="13">
        <f>IFERROR(__xludf.DUMMYFUNCTION("""COMPUTED_VALUE"""),895.0)</f>
        <v>895</v>
      </c>
      <c r="B897" s="13">
        <f>IFERROR(__xludf.DUMMYFUNCTION("""COMPUTED_VALUE"""),952.0)</f>
        <v>952</v>
      </c>
      <c r="C897" s="13">
        <f>IFERROR(__xludf.DUMMYFUNCTION("""COMPUTED_VALUE"""),59.0)</f>
        <v>59</v>
      </c>
      <c r="D897" s="12" t="str">
        <f>IFERROR(__xludf.DUMMYFUNCTION("""COMPUTED_VALUE"""),"Great yarn texture and colors, look closely though")</f>
        <v>Great yarn texture and colors, look closely though</v>
      </c>
      <c r="E897" s="12" t="str">
        <f>IFERROR(__xludf.DUMMYFUNCTION("""COMPUTED_VALUE"""),"I did not realize that this knitted vest had an attached gauzy under-layer. i can see it now in the photo, but i just thought it wasn't part of the actual vest. when the vest arrived i realized sadly that this flowing under-layer was part of the design. i"&amp;" don't know why because the yarn and vest are lovely without it. in my opinion, the under-layer takes away from the beautiful vest. i guess i could have spent some time and removed it, but at that price i just sent it back. too bad because the m")</f>
        <v>I did not realize that this knitted vest had an attached gauzy under-layer. i can see it now in the photo, but i just thought it wasn't part of the actual vest. when the vest arrived i realized sadly that this flowing under-layer was part of the design. i don't know why because the yarn and vest are lovely without it. in my opinion, the under-layer takes away from the beautiful vest. i guess i could have spent some time and removed it, but at that price i just sent it back. too bad because the m</v>
      </c>
      <c r="F897" s="13">
        <f>IFERROR(__xludf.DUMMYFUNCTION("""COMPUTED_VALUE"""),3.0)</f>
        <v>3</v>
      </c>
      <c r="G897" s="13">
        <f>IFERROR(__xludf.DUMMYFUNCTION("""COMPUTED_VALUE"""),1.0)</f>
        <v>1</v>
      </c>
      <c r="H897" s="13">
        <f>IFERROR(__xludf.DUMMYFUNCTION("""COMPUTED_VALUE"""),2.0)</f>
        <v>2</v>
      </c>
      <c r="I897" s="13" t="str">
        <f>IFERROR(__xludf.DUMMYFUNCTION("""COMPUTED_VALUE"""),"General Petite")</f>
        <v>General Petite</v>
      </c>
      <c r="J897" s="13" t="str">
        <f>IFERROR(__xludf.DUMMYFUNCTION("""COMPUTED_VALUE"""),"Tops")</f>
        <v>Tops</v>
      </c>
      <c r="K897" s="13" t="str">
        <f>IFERROR(__xludf.DUMMYFUNCTION("""COMPUTED_VALUE"""),"Sweaters")</f>
        <v>Sweaters</v>
      </c>
      <c r="L897" s="13"/>
    </row>
    <row r="898">
      <c r="A898" s="13">
        <f>IFERROR(__xludf.DUMMYFUNCTION("""COMPUTED_VALUE"""),896.0)</f>
        <v>896</v>
      </c>
      <c r="B898" s="13">
        <f>IFERROR(__xludf.DUMMYFUNCTION("""COMPUTED_VALUE"""),861.0)</f>
        <v>861</v>
      </c>
      <c r="C898" s="13">
        <f>IFERROR(__xludf.DUMMYFUNCTION("""COMPUTED_VALUE"""),36.0)</f>
        <v>36</v>
      </c>
      <c r="D898" s="12" t="str">
        <f>IFERROR(__xludf.DUMMYFUNCTION("""COMPUTED_VALUE"""),"So cute")</f>
        <v>So cute</v>
      </c>
      <c r="E898" s="12" t="str">
        <f>IFERROR(__xludf.DUMMYFUNCTION("""COMPUTED_VALUE"""),"This is a perfect fit! i was worried that it would be too short and or boxy. i usually  wear an xs. i have a slightly longer waist though and often xs tops run short or they are overwhelming! this was perfect! it is roomy and long enough without swallowin"&amp;"g my frame. it looks nice enough to dress up and wear out and about. great value at the sale price as well!! it is well made and doesn't just look like a run of the mill pullover.")</f>
        <v>This is a perfect fit! i was worried that it would be too short and or boxy. i usually  wear an xs. i have a slightly longer waist though and often xs tops run short or they are overwhelming! this was perfect! it is roomy and long enough without swallowing my frame. it looks nice enough to dress up and wear out and about. great value at the sale price as well!! it is well made and doesn't just look like a run of the mill pullover.</v>
      </c>
      <c r="F898" s="13">
        <f>IFERROR(__xludf.DUMMYFUNCTION("""COMPUTED_VALUE"""),5.0)</f>
        <v>5</v>
      </c>
      <c r="G898" s="13">
        <f>IFERROR(__xludf.DUMMYFUNCTION("""COMPUTED_VALUE"""),1.0)</f>
        <v>1</v>
      </c>
      <c r="H898" s="13">
        <f>IFERROR(__xludf.DUMMYFUNCTION("""COMPUTED_VALUE"""),0.0)</f>
        <v>0</v>
      </c>
      <c r="I898" s="13" t="str">
        <f>IFERROR(__xludf.DUMMYFUNCTION("""COMPUTED_VALUE"""),"General")</f>
        <v>General</v>
      </c>
      <c r="J898" s="13" t="str">
        <f>IFERROR(__xludf.DUMMYFUNCTION("""COMPUTED_VALUE"""),"Tops")</f>
        <v>Tops</v>
      </c>
      <c r="K898" s="13" t="str">
        <f>IFERROR(__xludf.DUMMYFUNCTION("""COMPUTED_VALUE"""),"Knits")</f>
        <v>Knits</v>
      </c>
      <c r="L898" s="13"/>
    </row>
    <row r="899">
      <c r="A899" s="13">
        <f>IFERROR(__xludf.DUMMYFUNCTION("""COMPUTED_VALUE"""),897.0)</f>
        <v>897</v>
      </c>
      <c r="B899" s="13">
        <f>IFERROR(__xludf.DUMMYFUNCTION("""COMPUTED_VALUE"""),1008.0)</f>
        <v>1008</v>
      </c>
      <c r="C899" s="13">
        <f>IFERROR(__xludf.DUMMYFUNCTION("""COMPUTED_VALUE"""),66.0)</f>
        <v>66</v>
      </c>
      <c r="D899" s="12" t="str">
        <f>IFERROR(__xludf.DUMMYFUNCTION("""COMPUTED_VALUE"""),"Great for tall ladies")</f>
        <v>Great for tall ladies</v>
      </c>
      <c r="E899" s="12" t="str">
        <f>IFERROR(__xludf.DUMMYFUNCTION("""COMPUTED_VALUE"""),"I like the skirt. that said it is going to the tailor to have some of the fullness taken out. just a lot of material going on, and heavier than you might have imagined. i will wear it fall &amp; winter with white &amp; navy cardigans.")</f>
        <v>I like the skirt. that said it is going to the tailor to have some of the fullness taken out. just a lot of material going on, and heavier than you might have imagined. i will wear it fall &amp; winter with white &amp; navy cardigans.</v>
      </c>
      <c r="F899" s="13">
        <f>IFERROR(__xludf.DUMMYFUNCTION("""COMPUTED_VALUE"""),4.0)</f>
        <v>4</v>
      </c>
      <c r="G899" s="13">
        <f>IFERROR(__xludf.DUMMYFUNCTION("""COMPUTED_VALUE"""),1.0)</f>
        <v>1</v>
      </c>
      <c r="H899" s="13">
        <f>IFERROR(__xludf.DUMMYFUNCTION("""COMPUTED_VALUE"""),0.0)</f>
        <v>0</v>
      </c>
      <c r="I899" s="13" t="str">
        <f>IFERROR(__xludf.DUMMYFUNCTION("""COMPUTED_VALUE"""),"General Petite")</f>
        <v>General Petite</v>
      </c>
      <c r="J899" s="13" t="str">
        <f>IFERROR(__xludf.DUMMYFUNCTION("""COMPUTED_VALUE"""),"Bottoms")</f>
        <v>Bottoms</v>
      </c>
      <c r="K899" s="13" t="str">
        <f>IFERROR(__xludf.DUMMYFUNCTION("""COMPUTED_VALUE"""),"Skirts")</f>
        <v>Skirts</v>
      </c>
      <c r="L899" s="13"/>
    </row>
    <row r="900">
      <c r="A900" s="13">
        <f>IFERROR(__xludf.DUMMYFUNCTION("""COMPUTED_VALUE"""),898.0)</f>
        <v>898</v>
      </c>
      <c r="B900" s="13">
        <f>IFERROR(__xludf.DUMMYFUNCTION("""COMPUTED_VALUE"""),952.0)</f>
        <v>952</v>
      </c>
      <c r="C900" s="13">
        <f>IFERROR(__xludf.DUMMYFUNCTION("""COMPUTED_VALUE"""),39.0)</f>
        <v>39</v>
      </c>
      <c r="D900" s="12" t="str">
        <f>IFERROR(__xludf.DUMMYFUNCTION("""COMPUTED_VALUE"""),"Kind of calssic retailer")</f>
        <v>Kind of calssic retailer</v>
      </c>
      <c r="E900" s="12" t="str">
        <f>IFERROR(__xludf.DUMMYFUNCTION("""COMPUTED_VALUE"""),"I think this may almost make it back to the more classic pieces retailer used to have. i tried on the xs in store so i ordered the xxs and xs petite... i felt the usual xs was a little big (again, i think retailer is making things bigger...) my verdict is"&amp;" iliked the length on the regular size better and the xxs fit well. but not much difference (the xs petite was a similar size be the arm hole was higher).
colors are very neutral and warm. i like the addition of the inner layer to make this more wh")</f>
        <v>I think this may almost make it back to the more classic pieces retailer used to have. i tried on the xs in store so i ordered the xxs and xs petite... i felt the usual xs was a little big (again, i think retailer is making things bigger...) my verdict is iliked the length on the regular size better and the xxs fit well. but not much difference (the xs petite was a similar size be the arm hole was higher).
colors are very neutral and warm. i like the addition of the inner layer to make this more wh</v>
      </c>
      <c r="F900" s="13">
        <f>IFERROR(__xludf.DUMMYFUNCTION("""COMPUTED_VALUE"""),4.0)</f>
        <v>4</v>
      </c>
      <c r="G900" s="13">
        <f>IFERROR(__xludf.DUMMYFUNCTION("""COMPUTED_VALUE"""),1.0)</f>
        <v>1</v>
      </c>
      <c r="H900" s="13">
        <f>IFERROR(__xludf.DUMMYFUNCTION("""COMPUTED_VALUE"""),7.0)</f>
        <v>7</v>
      </c>
      <c r="I900" s="13" t="str">
        <f>IFERROR(__xludf.DUMMYFUNCTION("""COMPUTED_VALUE"""),"General Petite")</f>
        <v>General Petite</v>
      </c>
      <c r="J900" s="13" t="str">
        <f>IFERROR(__xludf.DUMMYFUNCTION("""COMPUTED_VALUE"""),"Tops")</f>
        <v>Tops</v>
      </c>
      <c r="K900" s="13" t="str">
        <f>IFERROR(__xludf.DUMMYFUNCTION("""COMPUTED_VALUE"""),"Sweaters")</f>
        <v>Sweaters</v>
      </c>
      <c r="L900" s="13"/>
    </row>
    <row r="901">
      <c r="A901" s="13">
        <f>IFERROR(__xludf.DUMMYFUNCTION("""COMPUTED_VALUE"""),899.0)</f>
        <v>899</v>
      </c>
      <c r="B901" s="13">
        <f>IFERROR(__xludf.DUMMYFUNCTION("""COMPUTED_VALUE"""),1066.0)</f>
        <v>1066</v>
      </c>
      <c r="C901" s="13">
        <f>IFERROR(__xludf.DUMMYFUNCTION("""COMPUTED_VALUE"""),48.0)</f>
        <v>48</v>
      </c>
      <c r="D901" s="12"/>
      <c r="E901" s="12" t="str">
        <f>IFERROR(__xludf.DUMMYFUNCTION("""COMPUTED_VALUE"""),"I ordered these in my usual pilcro petite size 6. they were impossible to button, which is interesting 'cause i also ordered the pilcro wide leg chinos in the same size and they fit perfectly, as usual. but it ended up being ok because i don't care for th"&amp;"e speckled, slightly rough material or the contrasting piping. back they go!")</f>
        <v>I ordered these in my usual pilcro petite size 6. they were impossible to button, which is interesting 'cause i also ordered the pilcro wide leg chinos in the same size and they fit perfectly, as usual. but it ended up being ok because i don't care for the speckled, slightly rough material or the contrasting piping. back they go!</v>
      </c>
      <c r="F901" s="13">
        <f>IFERROR(__xludf.DUMMYFUNCTION("""COMPUTED_VALUE"""),4.0)</f>
        <v>4</v>
      </c>
      <c r="G901" s="13">
        <f>IFERROR(__xludf.DUMMYFUNCTION("""COMPUTED_VALUE"""),0.0)</f>
        <v>0</v>
      </c>
      <c r="H901" s="13">
        <f>IFERROR(__xludf.DUMMYFUNCTION("""COMPUTED_VALUE"""),2.0)</f>
        <v>2</v>
      </c>
      <c r="I901" s="13" t="str">
        <f>IFERROR(__xludf.DUMMYFUNCTION("""COMPUTED_VALUE"""),"General")</f>
        <v>General</v>
      </c>
      <c r="J901" s="13" t="str">
        <f>IFERROR(__xludf.DUMMYFUNCTION("""COMPUTED_VALUE"""),"Bottoms")</f>
        <v>Bottoms</v>
      </c>
      <c r="K901" s="13" t="str">
        <f>IFERROR(__xludf.DUMMYFUNCTION("""COMPUTED_VALUE"""),"Pants")</f>
        <v>Pants</v>
      </c>
      <c r="L901" s="13"/>
    </row>
    <row r="902">
      <c r="A902" s="13">
        <f>IFERROR(__xludf.DUMMYFUNCTION("""COMPUTED_VALUE"""),900.0)</f>
        <v>900</v>
      </c>
      <c r="B902" s="13">
        <f>IFERROR(__xludf.DUMMYFUNCTION("""COMPUTED_VALUE"""),1008.0)</f>
        <v>1008</v>
      </c>
      <c r="C902" s="13">
        <f>IFERROR(__xludf.DUMMYFUNCTION("""COMPUTED_VALUE"""),52.0)</f>
        <v>52</v>
      </c>
      <c r="D902" s="12" t="str">
        <f>IFERROR(__xludf.DUMMYFUNCTION("""COMPUTED_VALUE"""),"Nice skirt!")</f>
        <v>Nice skirt!</v>
      </c>
      <c r="E902" s="12" t="str">
        <f>IFERROR(__xludf.DUMMYFUNCTION("""COMPUTED_VALUE"""),"When i saw this online, i thought it was going to be a thin, summery kind of skirt with a fall pattern to it. it is not thin and wispy, but lined with a nicely weighted navy material and the fabric of the skirt is kind of a thick cotton with a nice swing "&amp;"to it. definitely would work for the fall and cool days or evenings. the zipper pockets look cool too, would definitely recommend!")</f>
        <v>When i saw this online, i thought it was going to be a thin, summery kind of skirt with a fall pattern to it. it is not thin and wispy, but lined with a nicely weighted navy material and the fabric of the skirt is kind of a thick cotton with a nice swing to it. definitely would work for the fall and cool days or evenings. the zipper pockets look cool too, would definitely recommend!</v>
      </c>
      <c r="F902" s="13">
        <f>IFERROR(__xludf.DUMMYFUNCTION("""COMPUTED_VALUE"""),5.0)</f>
        <v>5</v>
      </c>
      <c r="G902" s="13">
        <f>IFERROR(__xludf.DUMMYFUNCTION("""COMPUTED_VALUE"""),1.0)</f>
        <v>1</v>
      </c>
      <c r="H902" s="13">
        <f>IFERROR(__xludf.DUMMYFUNCTION("""COMPUTED_VALUE"""),11.0)</f>
        <v>11</v>
      </c>
      <c r="I902" s="13" t="str">
        <f>IFERROR(__xludf.DUMMYFUNCTION("""COMPUTED_VALUE"""),"General Petite")</f>
        <v>General Petite</v>
      </c>
      <c r="J902" s="13" t="str">
        <f>IFERROR(__xludf.DUMMYFUNCTION("""COMPUTED_VALUE"""),"Bottoms")</f>
        <v>Bottoms</v>
      </c>
      <c r="K902" s="13" t="str">
        <f>IFERROR(__xludf.DUMMYFUNCTION("""COMPUTED_VALUE"""),"Skirts")</f>
        <v>Skirts</v>
      </c>
      <c r="L902" s="13"/>
    </row>
    <row r="903">
      <c r="A903" s="13">
        <f>IFERROR(__xludf.DUMMYFUNCTION("""COMPUTED_VALUE"""),901.0)</f>
        <v>901</v>
      </c>
      <c r="B903" s="13">
        <f>IFERROR(__xludf.DUMMYFUNCTION("""COMPUTED_VALUE"""),1025.0)</f>
        <v>1025</v>
      </c>
      <c r="C903" s="13">
        <f>IFERROR(__xludf.DUMMYFUNCTION("""COMPUTED_VALUE"""),30.0)</f>
        <v>30</v>
      </c>
      <c r="D903" s="12" t="str">
        <f>IFERROR(__xludf.DUMMYFUNCTION("""COMPUTED_VALUE"""),"Not petite inseam...")</f>
        <v>Not petite inseam...</v>
      </c>
      <c r="E903" s="12" t="str">
        <f>IFERROR(__xludf.DUMMYFUNCTION("""COMPUTED_VALUE"""),"I was excited to see these jeans since they came in petite sizes and had a short inseam... unfortunately after ordering/returning several pairs, i found out that these are actually not petite jeans. please beware that if you are ordering these for the sho"&amp;"rter inseam, they are actually 28 in... not 24 in as in the description. other than the inseam issues, they fit like typical paige denim.")</f>
        <v>I was excited to see these jeans since they came in petite sizes and had a short inseam... unfortunately after ordering/returning several pairs, i found out that these are actually not petite jeans. please beware that if you are ordering these for the shorter inseam, they are actually 28 in... not 24 in as in the description. other than the inseam issues, they fit like typical paige denim.</v>
      </c>
      <c r="F903" s="13">
        <f>IFERROR(__xludf.DUMMYFUNCTION("""COMPUTED_VALUE"""),1.0)</f>
        <v>1</v>
      </c>
      <c r="G903" s="13">
        <f>IFERROR(__xludf.DUMMYFUNCTION("""COMPUTED_VALUE"""),0.0)</f>
        <v>0</v>
      </c>
      <c r="H903" s="13">
        <f>IFERROR(__xludf.DUMMYFUNCTION("""COMPUTED_VALUE"""),1.0)</f>
        <v>1</v>
      </c>
      <c r="I903" s="13" t="str">
        <f>IFERROR(__xludf.DUMMYFUNCTION("""COMPUTED_VALUE"""),"General")</f>
        <v>General</v>
      </c>
      <c r="J903" s="13" t="str">
        <f>IFERROR(__xludf.DUMMYFUNCTION("""COMPUTED_VALUE"""),"Bottoms")</f>
        <v>Bottoms</v>
      </c>
      <c r="K903" s="13" t="str">
        <f>IFERROR(__xludf.DUMMYFUNCTION("""COMPUTED_VALUE"""),"Jeans")</f>
        <v>Jeans</v>
      </c>
      <c r="L903" s="13"/>
    </row>
    <row r="904">
      <c r="A904" s="13">
        <f>IFERROR(__xludf.DUMMYFUNCTION("""COMPUTED_VALUE"""),902.0)</f>
        <v>902</v>
      </c>
      <c r="B904" s="13">
        <f>IFERROR(__xludf.DUMMYFUNCTION("""COMPUTED_VALUE"""),832.0)</f>
        <v>832</v>
      </c>
      <c r="C904" s="13">
        <f>IFERROR(__xludf.DUMMYFUNCTION("""COMPUTED_VALUE"""),40.0)</f>
        <v>40</v>
      </c>
      <c r="D904" s="12" t="str">
        <f>IFERROR(__xludf.DUMMYFUNCTION("""COMPUTED_VALUE"""),"Frayed bottom hem.....")</f>
        <v>Frayed bottom hem.....</v>
      </c>
      <c r="E904" s="12" t="str">
        <f>IFERROR(__xludf.DUMMYFUNCTION("""COMPUTED_VALUE"""),"This top is super cute, however the bottom hem is all frayed....couldn't really tell that from the pictures. the ""flutter"" sleeves are too big...looks funny with the fraying...runs a little large as well. loved the color! perfect with white denim!")</f>
        <v>This top is super cute, however the bottom hem is all frayed....couldn't really tell that from the pictures. the "flutter" sleeves are too big...looks funny with the fraying...runs a little large as well. loved the color! perfect with white denim!</v>
      </c>
      <c r="F904" s="13">
        <f>IFERROR(__xludf.DUMMYFUNCTION("""COMPUTED_VALUE"""),3.0)</f>
        <v>3</v>
      </c>
      <c r="G904" s="13">
        <f>IFERROR(__xludf.DUMMYFUNCTION("""COMPUTED_VALUE"""),0.0)</f>
        <v>0</v>
      </c>
      <c r="H904" s="13">
        <f>IFERROR(__xludf.DUMMYFUNCTION("""COMPUTED_VALUE"""),3.0)</f>
        <v>3</v>
      </c>
      <c r="I904" s="13" t="str">
        <f>IFERROR(__xludf.DUMMYFUNCTION("""COMPUTED_VALUE"""),"General")</f>
        <v>General</v>
      </c>
      <c r="J904" s="13" t="str">
        <f>IFERROR(__xludf.DUMMYFUNCTION("""COMPUTED_VALUE"""),"Tops")</f>
        <v>Tops</v>
      </c>
      <c r="K904" s="13" t="str">
        <f>IFERROR(__xludf.DUMMYFUNCTION("""COMPUTED_VALUE"""),"Blouses")</f>
        <v>Blouses</v>
      </c>
      <c r="L904" s="13"/>
    </row>
    <row r="905">
      <c r="A905" s="13">
        <f>IFERROR(__xludf.DUMMYFUNCTION("""COMPUTED_VALUE"""),903.0)</f>
        <v>903</v>
      </c>
      <c r="B905" s="13">
        <f>IFERROR(__xludf.DUMMYFUNCTION("""COMPUTED_VALUE"""),861.0)</f>
        <v>861</v>
      </c>
      <c r="C905" s="13">
        <f>IFERROR(__xludf.DUMMYFUNCTION("""COMPUTED_VALUE"""),48.0)</f>
        <v>48</v>
      </c>
      <c r="D905" s="12" t="str">
        <f>IFERROR(__xludf.DUMMYFUNCTION("""COMPUTED_VALUE"""),"This is not red!")</f>
        <v>This is not red!</v>
      </c>
      <c r="E905" s="12" t="str">
        <f>IFERROR(__xludf.DUMMYFUNCTION("""COMPUTED_VALUE"""),"I was looking for a shirt of this style. i thought it was very cute, but it is not ""red' as advertised. it is really a brick orange-y color, which is definitely not what i wanted. very disappointed. sent it right back.")</f>
        <v>I was looking for a shirt of this style. i thought it was very cute, but it is not "red' as advertised. it is really a brick orange-y color, which is definitely not what i wanted. very disappointed. sent it right back.</v>
      </c>
      <c r="F905" s="13">
        <f>IFERROR(__xludf.DUMMYFUNCTION("""COMPUTED_VALUE"""),3.0)</f>
        <v>3</v>
      </c>
      <c r="G905" s="13">
        <f>IFERROR(__xludf.DUMMYFUNCTION("""COMPUTED_VALUE"""),0.0)</f>
        <v>0</v>
      </c>
      <c r="H905" s="13">
        <f>IFERROR(__xludf.DUMMYFUNCTION("""COMPUTED_VALUE"""),0.0)</f>
        <v>0</v>
      </c>
      <c r="I905" s="13" t="str">
        <f>IFERROR(__xludf.DUMMYFUNCTION("""COMPUTED_VALUE"""),"General")</f>
        <v>General</v>
      </c>
      <c r="J905" s="13" t="str">
        <f>IFERROR(__xludf.DUMMYFUNCTION("""COMPUTED_VALUE"""),"Tops")</f>
        <v>Tops</v>
      </c>
      <c r="K905" s="13" t="str">
        <f>IFERROR(__xludf.DUMMYFUNCTION("""COMPUTED_VALUE"""),"Knits")</f>
        <v>Knits</v>
      </c>
      <c r="L905" s="13"/>
    </row>
    <row r="906">
      <c r="A906" s="13">
        <f>IFERROR(__xludf.DUMMYFUNCTION("""COMPUTED_VALUE"""),904.0)</f>
        <v>904</v>
      </c>
      <c r="B906" s="13">
        <f>IFERROR(__xludf.DUMMYFUNCTION("""COMPUTED_VALUE"""),1066.0)</f>
        <v>1066</v>
      </c>
      <c r="C906" s="13">
        <f>IFERROR(__xludf.DUMMYFUNCTION("""COMPUTED_VALUE"""),53.0)</f>
        <v>53</v>
      </c>
      <c r="D906" s="12" t="str">
        <f>IFERROR(__xludf.DUMMYFUNCTION("""COMPUTED_VALUE"""),"Unfortunately for me but good for someone else...")</f>
        <v>Unfortunately for me but good for someone else...</v>
      </c>
      <c r="E906" s="12" t="str">
        <f>IFERROR(__xludf.DUMMYFUNCTION("""COMPUTED_VALUE"""),"These lightweight, wide leg pilcro summer jeans are really cute, but did not look good on me. i love the fabric-a slightly 'nubby' no stretch chambray that is perfect for hot weather. the waist was a bit large and there was fabric to spare in the hip area"&amp;". the legs are very wide, adding to the comfort factor of these! the details are really cute-contrasting fabric at the slash front and rear pockets. i got a size ten in these and they were big-i can imagine they will stretch out with wear so it")</f>
        <v>These lightweight, wide leg pilcro summer jeans are really cute, but did not look good on me. i love the fabric-a slightly 'nubby' no stretch chambray that is perfect for hot weather. the waist was a bit large and there was fabric to spare in the hip area. the legs are very wide, adding to the comfort factor of these! the details are really cute-contrasting fabric at the slash front and rear pockets. i got a size ten in these and they were big-i can imagine they will stretch out with wear so it</v>
      </c>
      <c r="F906" s="13">
        <f>IFERROR(__xludf.DUMMYFUNCTION("""COMPUTED_VALUE"""),3.0)</f>
        <v>3</v>
      </c>
      <c r="G906" s="13">
        <f>IFERROR(__xludf.DUMMYFUNCTION("""COMPUTED_VALUE"""),1.0)</f>
        <v>1</v>
      </c>
      <c r="H906" s="13">
        <f>IFERROR(__xludf.DUMMYFUNCTION("""COMPUTED_VALUE"""),1.0)</f>
        <v>1</v>
      </c>
      <c r="I906" s="13" t="str">
        <f>IFERROR(__xludf.DUMMYFUNCTION("""COMPUTED_VALUE"""),"General")</f>
        <v>General</v>
      </c>
      <c r="J906" s="13" t="str">
        <f>IFERROR(__xludf.DUMMYFUNCTION("""COMPUTED_VALUE"""),"Bottoms")</f>
        <v>Bottoms</v>
      </c>
      <c r="K906" s="13" t="str">
        <f>IFERROR(__xludf.DUMMYFUNCTION("""COMPUTED_VALUE"""),"Pants")</f>
        <v>Pants</v>
      </c>
      <c r="L906" s="13"/>
    </row>
    <row r="907">
      <c r="A907" s="13">
        <f>IFERROR(__xludf.DUMMYFUNCTION("""COMPUTED_VALUE"""),905.0)</f>
        <v>905</v>
      </c>
      <c r="B907" s="13">
        <f>IFERROR(__xludf.DUMMYFUNCTION("""COMPUTED_VALUE"""),1008.0)</f>
        <v>1008</v>
      </c>
      <c r="C907" s="13">
        <f>IFERROR(__xludf.DUMMYFUNCTION("""COMPUTED_VALUE"""),29.0)</f>
        <v>29</v>
      </c>
      <c r="D907" s="12" t="str">
        <f>IFERROR(__xludf.DUMMYFUNCTION("""COMPUTED_VALUE"""),"Great for dressing up or down")</f>
        <v>Great for dressing up or down</v>
      </c>
      <c r="E907" s="12" t="str">
        <f>IFERROR(__xludf.DUMMYFUNCTION("""COMPUTED_VALUE"""),"This is a great skirt that could be worn to a wedding or worn more casually with a cool tshirt. it is not too puffy and the inner skirt is stretchy and more fitted. i had to size 1 size down. really nice.")</f>
        <v>This is a great skirt that could be worn to a wedding or worn more casually with a cool tshirt. it is not too puffy and the inner skirt is stretchy and more fitted. i had to size 1 size down. really nice.</v>
      </c>
      <c r="F907" s="13">
        <f>IFERROR(__xludf.DUMMYFUNCTION("""COMPUTED_VALUE"""),5.0)</f>
        <v>5</v>
      </c>
      <c r="G907" s="13">
        <f>IFERROR(__xludf.DUMMYFUNCTION("""COMPUTED_VALUE"""),1.0)</f>
        <v>1</v>
      </c>
      <c r="H907" s="13">
        <f>IFERROR(__xludf.DUMMYFUNCTION("""COMPUTED_VALUE"""),0.0)</f>
        <v>0</v>
      </c>
      <c r="I907" s="13" t="str">
        <f>IFERROR(__xludf.DUMMYFUNCTION("""COMPUTED_VALUE"""),"General Petite")</f>
        <v>General Petite</v>
      </c>
      <c r="J907" s="13" t="str">
        <f>IFERROR(__xludf.DUMMYFUNCTION("""COMPUTED_VALUE"""),"Bottoms")</f>
        <v>Bottoms</v>
      </c>
      <c r="K907" s="13" t="str">
        <f>IFERROR(__xludf.DUMMYFUNCTION("""COMPUTED_VALUE"""),"Skirts")</f>
        <v>Skirts</v>
      </c>
      <c r="L907" s="13"/>
    </row>
    <row r="908">
      <c r="A908" s="13">
        <f>IFERROR(__xludf.DUMMYFUNCTION("""COMPUTED_VALUE"""),906.0)</f>
        <v>906</v>
      </c>
      <c r="B908" s="13">
        <f>IFERROR(__xludf.DUMMYFUNCTION("""COMPUTED_VALUE"""),1015.0)</f>
        <v>1015</v>
      </c>
      <c r="C908" s="13">
        <f>IFERROR(__xludf.DUMMYFUNCTION("""COMPUTED_VALUE"""),46.0)</f>
        <v>46</v>
      </c>
      <c r="D908" s="12" t="str">
        <f>IFERROR(__xludf.DUMMYFUNCTION("""COMPUTED_VALUE"""),"Wow!")</f>
        <v>Wow!</v>
      </c>
      <c r="E908" s="12" t="str">
        <f>IFERROR(__xludf.DUMMYFUNCTION("""COMPUTED_VALUE"""),"Wow, i can't believe there were some sizes left at my local store. it was on sale and i maxed out with additional discount for black friday week-end. the size 6 fit perfect and i can't wait to wear. this is a gorgeous skirt and will sell out for sure.")</f>
        <v>Wow, i can't believe there were some sizes left at my local store. it was on sale and i maxed out with additional discount for black friday week-end. the size 6 fit perfect and i can't wait to wear. this is a gorgeous skirt and will sell out for sure.</v>
      </c>
      <c r="F908" s="13">
        <f>IFERROR(__xludf.DUMMYFUNCTION("""COMPUTED_VALUE"""),5.0)</f>
        <v>5</v>
      </c>
      <c r="G908" s="13">
        <f>IFERROR(__xludf.DUMMYFUNCTION("""COMPUTED_VALUE"""),1.0)</f>
        <v>1</v>
      </c>
      <c r="H908" s="13">
        <f>IFERROR(__xludf.DUMMYFUNCTION("""COMPUTED_VALUE"""),0.0)</f>
        <v>0</v>
      </c>
      <c r="I908" s="13" t="str">
        <f>IFERROR(__xludf.DUMMYFUNCTION("""COMPUTED_VALUE"""),"General")</f>
        <v>General</v>
      </c>
      <c r="J908" s="13" t="str">
        <f>IFERROR(__xludf.DUMMYFUNCTION("""COMPUTED_VALUE"""),"Bottoms")</f>
        <v>Bottoms</v>
      </c>
      <c r="K908" s="13" t="str">
        <f>IFERROR(__xludf.DUMMYFUNCTION("""COMPUTED_VALUE"""),"Skirts")</f>
        <v>Skirts</v>
      </c>
      <c r="L908" s="13"/>
    </row>
    <row r="909">
      <c r="A909" s="13">
        <f>IFERROR(__xludf.DUMMYFUNCTION("""COMPUTED_VALUE"""),907.0)</f>
        <v>907</v>
      </c>
      <c r="B909" s="13">
        <f>IFERROR(__xludf.DUMMYFUNCTION("""COMPUTED_VALUE"""),1008.0)</f>
        <v>1008</v>
      </c>
      <c r="C909" s="13">
        <f>IFERROR(__xludf.DUMMYFUNCTION("""COMPUTED_VALUE"""),46.0)</f>
        <v>46</v>
      </c>
      <c r="D909" s="12" t="str">
        <f>IFERROR(__xludf.DUMMYFUNCTION("""COMPUTED_VALUE"""),"Georgeous skirt")</f>
        <v>Georgeous skirt</v>
      </c>
      <c r="E909" s="12" t="str">
        <f>IFERROR(__xludf.DUMMYFUNCTION("""COMPUTED_VALUE"""),"I love the fabric, since it's fall wasn't expecting it to be light. but its not heavy either. just the right balance.
this is one of those classics. i love the collage like pattern of the fabric.
the fit is true to size and looks great with bootie/boots. "&amp;"(dressed up or down).")</f>
        <v>I love the fabric, since it's fall wasn't expecting it to be light. but its not heavy either. just the right balance.
this is one of those classics. i love the collage like pattern of the fabric.
the fit is true to size and looks great with bootie/boots. (dressed up or down).</v>
      </c>
      <c r="F909" s="13">
        <f>IFERROR(__xludf.DUMMYFUNCTION("""COMPUTED_VALUE"""),5.0)</f>
        <v>5</v>
      </c>
      <c r="G909" s="13">
        <f>IFERROR(__xludf.DUMMYFUNCTION("""COMPUTED_VALUE"""),1.0)</f>
        <v>1</v>
      </c>
      <c r="H909" s="13">
        <f>IFERROR(__xludf.DUMMYFUNCTION("""COMPUTED_VALUE"""),2.0)</f>
        <v>2</v>
      </c>
      <c r="I909" s="13" t="str">
        <f>IFERROR(__xludf.DUMMYFUNCTION("""COMPUTED_VALUE"""),"General Petite")</f>
        <v>General Petite</v>
      </c>
      <c r="J909" s="13" t="str">
        <f>IFERROR(__xludf.DUMMYFUNCTION("""COMPUTED_VALUE"""),"Bottoms")</f>
        <v>Bottoms</v>
      </c>
      <c r="K909" s="13" t="str">
        <f>IFERROR(__xludf.DUMMYFUNCTION("""COMPUTED_VALUE"""),"Skirts")</f>
        <v>Skirts</v>
      </c>
      <c r="L909" s="13"/>
    </row>
    <row r="910">
      <c r="A910" s="13">
        <f>IFERROR(__xludf.DUMMYFUNCTION("""COMPUTED_VALUE"""),908.0)</f>
        <v>908</v>
      </c>
      <c r="B910" s="13">
        <f>IFERROR(__xludf.DUMMYFUNCTION("""COMPUTED_VALUE"""),862.0)</f>
        <v>862</v>
      </c>
      <c r="C910" s="13">
        <f>IFERROR(__xludf.DUMMYFUNCTION("""COMPUTED_VALUE"""),40.0)</f>
        <v>40</v>
      </c>
      <c r="D910" s="12" t="str">
        <f>IFERROR(__xludf.DUMMYFUNCTION("""COMPUTED_VALUE"""),"Love at first wear")</f>
        <v>Love at first wear</v>
      </c>
      <c r="E910" s="12" t="str">
        <f>IFERROR(__xludf.DUMMYFUNCTION("""COMPUTED_VALUE"""),"This is one of those 'i need one in every color' kind of shirts. need - not simply want. it is very well constructed. the fabric is the perfect weight and is sooooooo comfortable. the raspberry is a little more dusty rose than pictured online, but it work"&amp;"s. i've only had the shirt a couple of day. in addition to wanting to wear it every day, the fabric has not pilled. i'm short-waisted, and i have not had any issue with the high-low hem or cropped length.")</f>
        <v>This is one of those 'i need one in every color' kind of shirts. need - not simply want. it is very well constructed. the fabric is the perfect weight and is sooooooo comfortable. the raspberry is a little more dusty rose than pictured online, but it works. i've only had the shirt a couple of day. in addition to wanting to wear it every day, the fabric has not pilled. i'm short-waisted, and i have not had any issue with the high-low hem or cropped length.</v>
      </c>
      <c r="F910" s="13">
        <f>IFERROR(__xludf.DUMMYFUNCTION("""COMPUTED_VALUE"""),5.0)</f>
        <v>5</v>
      </c>
      <c r="G910" s="13">
        <f>IFERROR(__xludf.DUMMYFUNCTION("""COMPUTED_VALUE"""),1.0)</f>
        <v>1</v>
      </c>
      <c r="H910" s="13">
        <f>IFERROR(__xludf.DUMMYFUNCTION("""COMPUTED_VALUE"""),0.0)</f>
        <v>0</v>
      </c>
      <c r="I910" s="13" t="str">
        <f>IFERROR(__xludf.DUMMYFUNCTION("""COMPUTED_VALUE"""),"General")</f>
        <v>General</v>
      </c>
      <c r="J910" s="13" t="str">
        <f>IFERROR(__xludf.DUMMYFUNCTION("""COMPUTED_VALUE"""),"Tops")</f>
        <v>Tops</v>
      </c>
      <c r="K910" s="13" t="str">
        <f>IFERROR(__xludf.DUMMYFUNCTION("""COMPUTED_VALUE"""),"Knits")</f>
        <v>Knits</v>
      </c>
      <c r="L910" s="13"/>
    </row>
    <row r="911">
      <c r="A911" s="13">
        <f>IFERROR(__xludf.DUMMYFUNCTION("""COMPUTED_VALUE"""),909.0)</f>
        <v>909</v>
      </c>
      <c r="B911" s="13">
        <f>IFERROR(__xludf.DUMMYFUNCTION("""COMPUTED_VALUE"""),1008.0)</f>
        <v>1008</v>
      </c>
      <c r="C911" s="13">
        <f>IFERROR(__xludf.DUMMYFUNCTION("""COMPUTED_VALUE"""),44.0)</f>
        <v>44</v>
      </c>
      <c r="D911" s="12" t="str">
        <f>IFERROR(__xludf.DUMMYFUNCTION("""COMPUTED_VALUE"""),"Lovely and colorful")</f>
        <v>Lovely and colorful</v>
      </c>
      <c r="E911" s="12" t="str">
        <f>IFERROR(__xludf.DUMMYFUNCTION("""COMPUTED_VALUE"""),"I really like this skirt - so colorful! the interesting pattern and multiple colors will make this a great fall skirt. i can wear it with pink, burgundy, gray, white, black, and probably many more. can't wait for the temps to drop!")</f>
        <v>I really like this skirt - so colorful! the interesting pattern and multiple colors will make this a great fall skirt. i can wear it with pink, burgundy, gray, white, black, and probably many more. can't wait for the temps to drop!</v>
      </c>
      <c r="F911" s="13">
        <f>IFERROR(__xludf.DUMMYFUNCTION("""COMPUTED_VALUE"""),4.0)</f>
        <v>4</v>
      </c>
      <c r="G911" s="13">
        <f>IFERROR(__xludf.DUMMYFUNCTION("""COMPUTED_VALUE"""),1.0)</f>
        <v>1</v>
      </c>
      <c r="H911" s="13">
        <f>IFERROR(__xludf.DUMMYFUNCTION("""COMPUTED_VALUE"""),2.0)</f>
        <v>2</v>
      </c>
      <c r="I911" s="13" t="str">
        <f>IFERROR(__xludf.DUMMYFUNCTION("""COMPUTED_VALUE"""),"General Petite")</f>
        <v>General Petite</v>
      </c>
      <c r="J911" s="13" t="str">
        <f>IFERROR(__xludf.DUMMYFUNCTION("""COMPUTED_VALUE"""),"Bottoms")</f>
        <v>Bottoms</v>
      </c>
      <c r="K911" s="13" t="str">
        <f>IFERROR(__xludf.DUMMYFUNCTION("""COMPUTED_VALUE"""),"Skirts")</f>
        <v>Skirts</v>
      </c>
      <c r="L911" s="13"/>
    </row>
    <row r="912">
      <c r="A912" s="13">
        <f>IFERROR(__xludf.DUMMYFUNCTION("""COMPUTED_VALUE"""),910.0)</f>
        <v>910</v>
      </c>
      <c r="B912" s="13">
        <f>IFERROR(__xludf.DUMMYFUNCTION("""COMPUTED_VALUE"""),952.0)</f>
        <v>952</v>
      </c>
      <c r="C912" s="13">
        <f>IFERROR(__xludf.DUMMYFUNCTION("""COMPUTED_VALUE"""),56.0)</f>
        <v>56</v>
      </c>
      <c r="D912" s="12"/>
      <c r="E912" s="12" t="str">
        <f>IFERROR(__xludf.DUMMYFUNCTION("""COMPUTED_VALUE"""),"This was on display when walked into my local retailer, it's just a beautiful in person. my mistake was trying it on, instant love! i tried on my usual size small &amp; it fit perfectly. i would usually wait for something in this price range to go on sale, bu"&amp;"t i just had to have this. worth the splurge!")</f>
        <v>This was on display when walked into my local retailer, it's just a beautiful in person. my mistake was trying it on, instant love! i tried on my usual size small &amp; it fit perfectly. i would usually wait for something in this price range to go on sale, but i just had to have this. worth the splurge!</v>
      </c>
      <c r="F912" s="13">
        <f>IFERROR(__xludf.DUMMYFUNCTION("""COMPUTED_VALUE"""),5.0)</f>
        <v>5</v>
      </c>
      <c r="G912" s="13">
        <f>IFERROR(__xludf.DUMMYFUNCTION("""COMPUTED_VALUE"""),1.0)</f>
        <v>1</v>
      </c>
      <c r="H912" s="13">
        <f>IFERROR(__xludf.DUMMYFUNCTION("""COMPUTED_VALUE"""),3.0)</f>
        <v>3</v>
      </c>
      <c r="I912" s="13" t="str">
        <f>IFERROR(__xludf.DUMMYFUNCTION("""COMPUTED_VALUE"""),"General Petite")</f>
        <v>General Petite</v>
      </c>
      <c r="J912" s="13" t="str">
        <f>IFERROR(__xludf.DUMMYFUNCTION("""COMPUTED_VALUE"""),"Tops")</f>
        <v>Tops</v>
      </c>
      <c r="K912" s="13" t="str">
        <f>IFERROR(__xludf.DUMMYFUNCTION("""COMPUTED_VALUE"""),"Sweaters")</f>
        <v>Sweaters</v>
      </c>
      <c r="L912" s="13"/>
    </row>
    <row r="913">
      <c r="A913" s="13">
        <f>IFERROR(__xludf.DUMMYFUNCTION("""COMPUTED_VALUE"""),911.0)</f>
        <v>911</v>
      </c>
      <c r="B913" s="13">
        <f>IFERROR(__xludf.DUMMYFUNCTION("""COMPUTED_VALUE"""),1025.0)</f>
        <v>1025</v>
      </c>
      <c r="C913" s="13">
        <f>IFERROR(__xludf.DUMMYFUNCTION("""COMPUTED_VALUE"""),69.0)</f>
        <v>69</v>
      </c>
      <c r="D913" s="12" t="str">
        <f>IFERROR(__xludf.DUMMYFUNCTION("""COMPUTED_VALUE"""),"Fantastic fit!")</f>
        <v>Fantastic fit!</v>
      </c>
      <c r="E913" s="12" t="str">
        <f>IFERROR(__xludf.DUMMYFUNCTION("""COMPUTED_VALUE"""),"These are the best fitting jeans i've ever owned! no puckering near the crotch, and i don't need to have the waistband taken in. they probably run small.")</f>
        <v>These are the best fitting jeans i've ever owned! no puckering near the crotch, and i don't need to have the waistband taken in. they probably run small.</v>
      </c>
      <c r="F913" s="13">
        <f>IFERROR(__xludf.DUMMYFUNCTION("""COMPUTED_VALUE"""),5.0)</f>
        <v>5</v>
      </c>
      <c r="G913" s="13">
        <f>IFERROR(__xludf.DUMMYFUNCTION("""COMPUTED_VALUE"""),1.0)</f>
        <v>1</v>
      </c>
      <c r="H913" s="13">
        <f>IFERROR(__xludf.DUMMYFUNCTION("""COMPUTED_VALUE"""),0.0)</f>
        <v>0</v>
      </c>
      <c r="I913" s="13" t="str">
        <f>IFERROR(__xludf.DUMMYFUNCTION("""COMPUTED_VALUE"""),"General")</f>
        <v>General</v>
      </c>
      <c r="J913" s="13" t="str">
        <f>IFERROR(__xludf.DUMMYFUNCTION("""COMPUTED_VALUE"""),"Bottoms")</f>
        <v>Bottoms</v>
      </c>
      <c r="K913" s="13" t="str">
        <f>IFERROR(__xludf.DUMMYFUNCTION("""COMPUTED_VALUE"""),"Jeans")</f>
        <v>Jeans</v>
      </c>
      <c r="L913" s="13"/>
    </row>
    <row r="914">
      <c r="A914" s="13">
        <f>IFERROR(__xludf.DUMMYFUNCTION("""COMPUTED_VALUE"""),912.0)</f>
        <v>912</v>
      </c>
      <c r="B914" s="13">
        <f>IFERROR(__xludf.DUMMYFUNCTION("""COMPUTED_VALUE"""),1111.0)</f>
        <v>1111</v>
      </c>
      <c r="C914" s="13">
        <f>IFERROR(__xludf.DUMMYFUNCTION("""COMPUTED_VALUE"""),47.0)</f>
        <v>47</v>
      </c>
      <c r="D914" s="12" t="str">
        <f>IFERROR(__xludf.DUMMYFUNCTION("""COMPUTED_VALUE"""),"Flirty cocktail dress")</f>
        <v>Flirty cocktail dress</v>
      </c>
      <c r="E914" s="12" t="str">
        <f>IFERROR(__xludf.DUMMYFUNCTION("""COMPUTED_VALUE"""),"This dress is so beautiful, the color is even more vibrant in person, a stunning emerald green. it is well made and doesn't go too low under your arm, which sometimes happens with halters. the halter material is a thicker band that gives nice support. the"&amp;" skirt does a little poof near your hips at the top, look at the back view photo online, you can see it there. at first i was surprised by it because i didn't see that on the front view, but then i decided it was fun and flirty. i received numer")</f>
        <v>This dress is so beautiful, the color is even more vibrant in person, a stunning emerald green. it is well made and doesn't go too low under your arm, which sometimes happens with halters. the halter material is a thicker band that gives nice support. the skirt does a little poof near your hips at the top, look at the back view photo online, you can see it there. at first i was surprised by it because i didn't see that on the front view, but then i decided it was fun and flirty. i received numer</v>
      </c>
      <c r="F914" s="13">
        <f>IFERROR(__xludf.DUMMYFUNCTION("""COMPUTED_VALUE"""),5.0)</f>
        <v>5</v>
      </c>
      <c r="G914" s="13">
        <f>IFERROR(__xludf.DUMMYFUNCTION("""COMPUTED_VALUE"""),1.0)</f>
        <v>1</v>
      </c>
      <c r="H914" s="13">
        <f>IFERROR(__xludf.DUMMYFUNCTION("""COMPUTED_VALUE"""),3.0)</f>
        <v>3</v>
      </c>
      <c r="I914" s="13" t="str">
        <f>IFERROR(__xludf.DUMMYFUNCTION("""COMPUTED_VALUE"""),"General Petite")</f>
        <v>General Petite</v>
      </c>
      <c r="J914" s="13" t="str">
        <f>IFERROR(__xludf.DUMMYFUNCTION("""COMPUTED_VALUE"""),"Dresses")</f>
        <v>Dresses</v>
      </c>
      <c r="K914" s="13" t="str">
        <f>IFERROR(__xludf.DUMMYFUNCTION("""COMPUTED_VALUE"""),"Dresses")</f>
        <v>Dresses</v>
      </c>
      <c r="L914" s="13"/>
    </row>
    <row r="915">
      <c r="A915" s="13">
        <f>IFERROR(__xludf.DUMMYFUNCTION("""COMPUTED_VALUE"""),913.0)</f>
        <v>913</v>
      </c>
      <c r="B915" s="13">
        <f>IFERROR(__xludf.DUMMYFUNCTION("""COMPUTED_VALUE"""),1066.0)</f>
        <v>1066</v>
      </c>
      <c r="C915" s="13">
        <f>IFERROR(__xludf.DUMMYFUNCTION("""COMPUTED_VALUE"""),21.0)</f>
        <v>21</v>
      </c>
      <c r="D915" s="12" t="str">
        <f>IFERROR(__xludf.DUMMYFUNCTION("""COMPUTED_VALUE"""),"What a dream!!!")</f>
        <v>What a dream!!!</v>
      </c>
      <c r="E915" s="12" t="str">
        <f>IFERROR(__xludf.DUMMYFUNCTION("""COMPUTED_VALUE"""),"These pants are perfect!!! they are exactly what i was looking for, and worth every penny! the fabric is more lightweight than any other sort of denim, but still i think i could wear these any season. they look so cute with simple heels and a classic blou"&amp;"se, but they can be dressed down with nice sneakers and a plain white t! so excited to have these in my closet!! love a good pair of fun pants.")</f>
        <v>These pants are perfect!!! they are exactly what i was looking for, and worth every penny! the fabric is more lightweight than any other sort of denim, but still i think i could wear these any season. they look so cute with simple heels and a classic blouse, but they can be dressed down with nice sneakers and a plain white t! so excited to have these in my closet!! love a good pair of fun pants.</v>
      </c>
      <c r="F915" s="13">
        <f>IFERROR(__xludf.DUMMYFUNCTION("""COMPUTED_VALUE"""),5.0)</f>
        <v>5</v>
      </c>
      <c r="G915" s="13">
        <f>IFERROR(__xludf.DUMMYFUNCTION("""COMPUTED_VALUE"""),1.0)</f>
        <v>1</v>
      </c>
      <c r="H915" s="13">
        <f>IFERROR(__xludf.DUMMYFUNCTION("""COMPUTED_VALUE"""),0.0)</f>
        <v>0</v>
      </c>
      <c r="I915" s="13" t="str">
        <f>IFERROR(__xludf.DUMMYFUNCTION("""COMPUTED_VALUE"""),"General")</f>
        <v>General</v>
      </c>
      <c r="J915" s="13" t="str">
        <f>IFERROR(__xludf.DUMMYFUNCTION("""COMPUTED_VALUE"""),"Bottoms")</f>
        <v>Bottoms</v>
      </c>
      <c r="K915" s="13" t="str">
        <f>IFERROR(__xludf.DUMMYFUNCTION("""COMPUTED_VALUE"""),"Pants")</f>
        <v>Pants</v>
      </c>
      <c r="L915" s="13"/>
    </row>
    <row r="916">
      <c r="A916" s="13">
        <f>IFERROR(__xludf.DUMMYFUNCTION("""COMPUTED_VALUE"""),914.0)</f>
        <v>914</v>
      </c>
      <c r="B916" s="13">
        <f>IFERROR(__xludf.DUMMYFUNCTION("""COMPUTED_VALUE"""),80.0)</f>
        <v>80</v>
      </c>
      <c r="C916" s="13">
        <f>IFERROR(__xludf.DUMMYFUNCTION("""COMPUTED_VALUE"""),47.0)</f>
        <v>47</v>
      </c>
      <c r="D916" s="12" t="str">
        <f>IFERROR(__xludf.DUMMYFUNCTION("""COMPUTED_VALUE"""),"Size and function")</f>
        <v>Size and function</v>
      </c>
      <c r="E916" s="12" t="str">
        <f>IFERROR(__xludf.DUMMYFUNCTION("""COMPUTED_VALUE"""),"Too big and it's not secure enough to wear for swimming.")</f>
        <v>Too big and it's not secure enough to wear for swimming.</v>
      </c>
      <c r="F916" s="13">
        <f>IFERROR(__xludf.DUMMYFUNCTION("""COMPUTED_VALUE"""),2.0)</f>
        <v>2</v>
      </c>
      <c r="G916" s="13">
        <f>IFERROR(__xludf.DUMMYFUNCTION("""COMPUTED_VALUE"""),0.0)</f>
        <v>0</v>
      </c>
      <c r="H916" s="13">
        <f>IFERROR(__xludf.DUMMYFUNCTION("""COMPUTED_VALUE"""),0.0)</f>
        <v>0</v>
      </c>
      <c r="I916" s="13" t="str">
        <f>IFERROR(__xludf.DUMMYFUNCTION("""COMPUTED_VALUE"""),"Initmates")</f>
        <v>Initmates</v>
      </c>
      <c r="J916" s="13" t="str">
        <f>IFERROR(__xludf.DUMMYFUNCTION("""COMPUTED_VALUE"""),"Intimate")</f>
        <v>Intimate</v>
      </c>
      <c r="K916" s="13" t="str">
        <f>IFERROR(__xludf.DUMMYFUNCTION("""COMPUTED_VALUE"""),"Swim")</f>
        <v>Swim</v>
      </c>
      <c r="L916" s="13"/>
    </row>
    <row r="917">
      <c r="A917" s="13">
        <f>IFERROR(__xludf.DUMMYFUNCTION("""COMPUTED_VALUE"""),915.0)</f>
        <v>915</v>
      </c>
      <c r="B917" s="13">
        <f>IFERROR(__xludf.DUMMYFUNCTION("""COMPUTED_VALUE"""),1008.0)</f>
        <v>1008</v>
      </c>
      <c r="C917" s="13">
        <f>IFERROR(__xludf.DUMMYFUNCTION("""COMPUTED_VALUE"""),67.0)</f>
        <v>67</v>
      </c>
      <c r="D917" s="12" t="str">
        <f>IFERROR(__xludf.DUMMYFUNCTION("""COMPUTED_VALUE"""),"Looks better on line")</f>
        <v>Looks better on line</v>
      </c>
      <c r="E917" s="12" t="str">
        <f>IFERROR(__xludf.DUMMYFUNCTION("""COMPUTED_VALUE"""),"I received this skirt today and was very disappointed. i don't know what i expected but it is not as i thought. even though the quality is very good and the fit is true to size, i may return it. the fabric of the skirt is just too busy, at least for me. i"&amp;" am just uncertain and even though i have many tops, the colors are just not matching. white looks better than any colored top with this particular print. i am going to try it on one more time and make a definite decision.")</f>
        <v>I received this skirt today and was very disappointed. i don't know what i expected but it is not as i thought. even though the quality is very good and the fit is true to size, i may return it. the fabric of the skirt is just too busy, at least for me. i am just uncertain and even though i have many tops, the colors are just not matching. white looks better than any colored top with this particular print. i am going to try it on one more time and make a definite decision.</v>
      </c>
      <c r="F917" s="13">
        <f>IFERROR(__xludf.DUMMYFUNCTION("""COMPUTED_VALUE"""),3.0)</f>
        <v>3</v>
      </c>
      <c r="G917" s="13">
        <f>IFERROR(__xludf.DUMMYFUNCTION("""COMPUTED_VALUE"""),0.0)</f>
        <v>0</v>
      </c>
      <c r="H917" s="13">
        <f>IFERROR(__xludf.DUMMYFUNCTION("""COMPUTED_VALUE"""),1.0)</f>
        <v>1</v>
      </c>
      <c r="I917" s="13" t="str">
        <f>IFERROR(__xludf.DUMMYFUNCTION("""COMPUTED_VALUE"""),"General Petite")</f>
        <v>General Petite</v>
      </c>
      <c r="J917" s="13" t="str">
        <f>IFERROR(__xludf.DUMMYFUNCTION("""COMPUTED_VALUE"""),"Bottoms")</f>
        <v>Bottoms</v>
      </c>
      <c r="K917" s="13" t="str">
        <f>IFERROR(__xludf.DUMMYFUNCTION("""COMPUTED_VALUE"""),"Skirts")</f>
        <v>Skirts</v>
      </c>
      <c r="L917" s="13"/>
    </row>
    <row r="918">
      <c r="A918" s="13">
        <f>IFERROR(__xludf.DUMMYFUNCTION("""COMPUTED_VALUE"""),916.0)</f>
        <v>916</v>
      </c>
      <c r="B918" s="13">
        <f>IFERROR(__xludf.DUMMYFUNCTION("""COMPUTED_VALUE"""),861.0)</f>
        <v>861</v>
      </c>
      <c r="C918" s="13">
        <f>IFERROR(__xludf.DUMMYFUNCTION("""COMPUTED_VALUE"""),66.0)</f>
        <v>66</v>
      </c>
      <c r="D918" s="12" t="str">
        <f>IFERROR(__xludf.DUMMYFUNCTION("""COMPUTED_VALUE"""),"Sporty and chic")</f>
        <v>Sporty and chic</v>
      </c>
      <c r="E918" s="12" t="str">
        <f>IFERROR(__xludf.DUMMYFUNCTION("""COMPUTED_VALUE"""),"This top will be perfect for autumn and even winter down in the southeast. i purchased the ""red"" and hoped that it was more of a rust color-lucked in! the material is very soft and more on the thinner side for layering-which is alway a plus. i have spar"&amp;"e tires in my belly area and this does not grab aholed of them,in fact the stripes do the work and disguise! and the lace up nautical feel brings the attention to my money maker! you won't be disappointed")</f>
        <v>This top will be perfect for autumn and even winter down in the southeast. i purchased the "red" and hoped that it was more of a rust color-lucked in! the material is very soft and more on the thinner side for layering-which is alway a plus. i have spare tires in my belly area and this does not grab aholed of them,in fact the stripes do the work and disguise! and the lace up nautical feel brings the attention to my money maker! you won't be disappointed</v>
      </c>
      <c r="F918" s="13">
        <f>IFERROR(__xludf.DUMMYFUNCTION("""COMPUTED_VALUE"""),5.0)</f>
        <v>5</v>
      </c>
      <c r="G918" s="13">
        <f>IFERROR(__xludf.DUMMYFUNCTION("""COMPUTED_VALUE"""),1.0)</f>
        <v>1</v>
      </c>
      <c r="H918" s="13">
        <f>IFERROR(__xludf.DUMMYFUNCTION("""COMPUTED_VALUE"""),1.0)</f>
        <v>1</v>
      </c>
      <c r="I918" s="13" t="str">
        <f>IFERROR(__xludf.DUMMYFUNCTION("""COMPUTED_VALUE"""),"General")</f>
        <v>General</v>
      </c>
      <c r="J918" s="13" t="str">
        <f>IFERROR(__xludf.DUMMYFUNCTION("""COMPUTED_VALUE"""),"Tops")</f>
        <v>Tops</v>
      </c>
      <c r="K918" s="13" t="str">
        <f>IFERROR(__xludf.DUMMYFUNCTION("""COMPUTED_VALUE"""),"Knits")</f>
        <v>Knits</v>
      </c>
      <c r="L918" s="13"/>
    </row>
    <row r="919">
      <c r="A919" s="13">
        <f>IFERROR(__xludf.DUMMYFUNCTION("""COMPUTED_VALUE"""),917.0)</f>
        <v>917</v>
      </c>
      <c r="B919" s="13">
        <f>IFERROR(__xludf.DUMMYFUNCTION("""COMPUTED_VALUE"""),862.0)</f>
        <v>862</v>
      </c>
      <c r="C919" s="13">
        <f>IFERROR(__xludf.DUMMYFUNCTION("""COMPUTED_VALUE"""),51.0)</f>
        <v>51</v>
      </c>
      <c r="D919" s="12" t="str">
        <f>IFERROR(__xludf.DUMMYFUNCTION("""COMPUTED_VALUE"""),"Great little top")</f>
        <v>Great little top</v>
      </c>
      <c r="E919" s="12" t="str">
        <f>IFERROR(__xludf.DUMMYFUNCTION("""COMPUTED_VALUE"""),"I ordered this on a whim during retailer days sale and i'm glad i did. it's now one of those shirts that calls my name every morning. i've worn it with denim skinnies and a knee length black knit pencil skirt. so soft and flattering. i got it in the red, "&amp;"but am tempted by the blue!")</f>
        <v>I ordered this on a whim during retailer days sale and i'm glad i did. it's now one of those shirts that calls my name every morning. i've worn it with denim skinnies and a knee length black knit pencil skirt. so soft and flattering. i got it in the red, but am tempted by the blue!</v>
      </c>
      <c r="F919" s="13">
        <f>IFERROR(__xludf.DUMMYFUNCTION("""COMPUTED_VALUE"""),5.0)</f>
        <v>5</v>
      </c>
      <c r="G919" s="13">
        <f>IFERROR(__xludf.DUMMYFUNCTION("""COMPUTED_VALUE"""),1.0)</f>
        <v>1</v>
      </c>
      <c r="H919" s="13">
        <f>IFERROR(__xludf.DUMMYFUNCTION("""COMPUTED_VALUE"""),3.0)</f>
        <v>3</v>
      </c>
      <c r="I919" s="13" t="str">
        <f>IFERROR(__xludf.DUMMYFUNCTION("""COMPUTED_VALUE"""),"General")</f>
        <v>General</v>
      </c>
      <c r="J919" s="13" t="str">
        <f>IFERROR(__xludf.DUMMYFUNCTION("""COMPUTED_VALUE"""),"Tops")</f>
        <v>Tops</v>
      </c>
      <c r="K919" s="13" t="str">
        <f>IFERROR(__xludf.DUMMYFUNCTION("""COMPUTED_VALUE"""),"Knits")</f>
        <v>Knits</v>
      </c>
      <c r="L919" s="13"/>
    </row>
    <row r="920">
      <c r="A920" s="13">
        <f>IFERROR(__xludf.DUMMYFUNCTION("""COMPUTED_VALUE"""),918.0)</f>
        <v>918</v>
      </c>
      <c r="B920" s="13">
        <f>IFERROR(__xludf.DUMMYFUNCTION("""COMPUTED_VALUE"""),1066.0)</f>
        <v>1066</v>
      </c>
      <c r="C920" s="13">
        <f>IFERROR(__xludf.DUMMYFUNCTION("""COMPUTED_VALUE"""),35.0)</f>
        <v>35</v>
      </c>
      <c r="D920" s="12" t="str">
        <f>IFERROR(__xludf.DUMMYFUNCTION("""COMPUTED_VALUE"""),"Comfortable, stylish, 70's relived.")</f>
        <v>Comfortable, stylish, 70's relived.</v>
      </c>
      <c r="E920" s="12" t="str">
        <f>IFERROR(__xludf.DUMMYFUNCTION("""COMPUTED_VALUE"""),"These pants are 100% true to size (whatever that means anymore...i'm a 26 in paige and ag.  i'm 5''6, weigh around 115, have long legs and i ordered the 0p.  the zero petite are still a little long, with a slight heel they're perfect.  they don't have str"&amp;"etch in them, but do to the fit and fabric...the material does expand, because they're thin and breezy.  i absolutely love them.  can't wait to order other colors of the same style.  these are my new favorite pants.")</f>
        <v>These pants are 100% true to size (whatever that means anymore...i'm a 26 in paige and ag.  i'm 5''6, weigh around 115, have long legs and i ordered the 0p.  the zero petite are still a little long, with a slight heel they're perfect.  they don't have stretch in them, but do to the fit and fabric...the material does expand, because they're thin and breezy.  i absolutely love them.  can't wait to order other colors of the same style.  these are my new favorite pants.</v>
      </c>
      <c r="F920" s="13">
        <f>IFERROR(__xludf.DUMMYFUNCTION("""COMPUTED_VALUE"""),5.0)</f>
        <v>5</v>
      </c>
      <c r="G920" s="13">
        <f>IFERROR(__xludf.DUMMYFUNCTION("""COMPUTED_VALUE"""),1.0)</f>
        <v>1</v>
      </c>
      <c r="H920" s="13">
        <f>IFERROR(__xludf.DUMMYFUNCTION("""COMPUTED_VALUE"""),1.0)</f>
        <v>1</v>
      </c>
      <c r="I920" s="13" t="str">
        <f>IFERROR(__xludf.DUMMYFUNCTION("""COMPUTED_VALUE"""),"General")</f>
        <v>General</v>
      </c>
      <c r="J920" s="13" t="str">
        <f>IFERROR(__xludf.DUMMYFUNCTION("""COMPUTED_VALUE"""),"Bottoms")</f>
        <v>Bottoms</v>
      </c>
      <c r="K920" s="13" t="str">
        <f>IFERROR(__xludf.DUMMYFUNCTION("""COMPUTED_VALUE"""),"Pants")</f>
        <v>Pants</v>
      </c>
      <c r="L920" s="13"/>
    </row>
    <row r="921">
      <c r="A921" s="13">
        <f>IFERROR(__xludf.DUMMYFUNCTION("""COMPUTED_VALUE"""),919.0)</f>
        <v>919</v>
      </c>
      <c r="B921" s="13">
        <f>IFERROR(__xludf.DUMMYFUNCTION("""COMPUTED_VALUE"""),1008.0)</f>
        <v>1008</v>
      </c>
      <c r="C921" s="13">
        <f>IFERROR(__xludf.DUMMYFUNCTION("""COMPUTED_VALUE"""),41.0)</f>
        <v>41</v>
      </c>
      <c r="D921" s="12" t="str">
        <f>IFERROR(__xludf.DUMMYFUNCTION("""COMPUTED_VALUE"""),"Wonderful skirt")</f>
        <v>Wonderful skirt</v>
      </c>
      <c r="E921" s="12" t="str">
        <f>IFERROR(__xludf.DUMMYFUNCTION("""COMPUTED_VALUE"""),"I ordered this skirt online in a size 8 but returned for a 10 so it could sit a bit lower.
the fabric is so beautiful and a bit heavier so it can be worn all year long.
so glad i made this purchase.")</f>
        <v>I ordered this skirt online in a size 8 but returned for a 10 so it could sit a bit lower.
the fabric is so beautiful and a bit heavier so it can be worn all year long.
so glad i made this purchase.</v>
      </c>
      <c r="F921" s="13">
        <f>IFERROR(__xludf.DUMMYFUNCTION("""COMPUTED_VALUE"""),5.0)</f>
        <v>5</v>
      </c>
      <c r="G921" s="13">
        <f>IFERROR(__xludf.DUMMYFUNCTION("""COMPUTED_VALUE"""),1.0)</f>
        <v>1</v>
      </c>
      <c r="H921" s="13">
        <f>IFERROR(__xludf.DUMMYFUNCTION("""COMPUTED_VALUE"""),1.0)</f>
        <v>1</v>
      </c>
      <c r="I921" s="13" t="str">
        <f>IFERROR(__xludf.DUMMYFUNCTION("""COMPUTED_VALUE"""),"General Petite")</f>
        <v>General Petite</v>
      </c>
      <c r="J921" s="13" t="str">
        <f>IFERROR(__xludf.DUMMYFUNCTION("""COMPUTED_VALUE"""),"Bottoms")</f>
        <v>Bottoms</v>
      </c>
      <c r="K921" s="13" t="str">
        <f>IFERROR(__xludf.DUMMYFUNCTION("""COMPUTED_VALUE"""),"Skirts")</f>
        <v>Skirts</v>
      </c>
      <c r="L921" s="13"/>
    </row>
    <row r="922">
      <c r="A922" s="13">
        <f>IFERROR(__xludf.DUMMYFUNCTION("""COMPUTED_VALUE"""),920.0)</f>
        <v>920</v>
      </c>
      <c r="B922" s="13">
        <f>IFERROR(__xludf.DUMMYFUNCTION("""COMPUTED_VALUE"""),1066.0)</f>
        <v>1066</v>
      </c>
      <c r="C922" s="13">
        <f>IFERROR(__xludf.DUMMYFUNCTION("""COMPUTED_VALUE"""),46.0)</f>
        <v>46</v>
      </c>
      <c r="D922" s="12" t="str">
        <f>IFERROR(__xludf.DUMMYFUNCTION("""COMPUTED_VALUE"""),"Long pocket equals short leg")</f>
        <v>Long pocket equals short leg</v>
      </c>
      <c r="E922" s="12" t="str">
        <f>IFERROR(__xludf.DUMMYFUNCTION("""COMPUTED_VALUE"""),"The wide leg was fun, not too wide, but the long pocket seem to shorten leg so i returned. great for a taller person. bottom &amp; trim cute")</f>
        <v>The wide leg was fun, not too wide, but the long pocket seem to shorten leg so i returned. great for a taller person. bottom &amp; trim cute</v>
      </c>
      <c r="F922" s="13">
        <f>IFERROR(__xludf.DUMMYFUNCTION("""COMPUTED_VALUE"""),4.0)</f>
        <v>4</v>
      </c>
      <c r="G922" s="13">
        <f>IFERROR(__xludf.DUMMYFUNCTION("""COMPUTED_VALUE"""),1.0)</f>
        <v>1</v>
      </c>
      <c r="H922" s="13">
        <f>IFERROR(__xludf.DUMMYFUNCTION("""COMPUTED_VALUE"""),0.0)</f>
        <v>0</v>
      </c>
      <c r="I922" s="13" t="str">
        <f>IFERROR(__xludf.DUMMYFUNCTION("""COMPUTED_VALUE"""),"General")</f>
        <v>General</v>
      </c>
      <c r="J922" s="13" t="str">
        <f>IFERROR(__xludf.DUMMYFUNCTION("""COMPUTED_VALUE"""),"Bottoms")</f>
        <v>Bottoms</v>
      </c>
      <c r="K922" s="13" t="str">
        <f>IFERROR(__xludf.DUMMYFUNCTION("""COMPUTED_VALUE"""),"Pants")</f>
        <v>Pants</v>
      </c>
      <c r="L922" s="13"/>
    </row>
    <row r="923">
      <c r="A923" s="13">
        <f>IFERROR(__xludf.DUMMYFUNCTION("""COMPUTED_VALUE"""),921.0)</f>
        <v>921</v>
      </c>
      <c r="B923" s="13">
        <f>IFERROR(__xludf.DUMMYFUNCTION("""COMPUTED_VALUE"""),1066.0)</f>
        <v>1066</v>
      </c>
      <c r="C923" s="13">
        <f>IFERROR(__xludf.DUMMYFUNCTION("""COMPUTED_VALUE"""),43.0)</f>
        <v>43</v>
      </c>
      <c r="D923" s="12" t="str">
        <f>IFERROR(__xludf.DUMMYFUNCTION("""COMPUTED_VALUE"""),"Better than in the photo")</f>
        <v>Better than in the photo</v>
      </c>
      <c r="E923" s="12" t="str">
        <f>IFERROR(__xludf.DUMMYFUNCTION("""COMPUTED_VALUE"""),"Don't pay attention to the less-than-flattering photo. these jeans are super cute and very flattering. they are actually long, not ankle length as the photo implies. high waisted with a 70s bell bottom vibe. nice light denim for year round wear. they fit "&amp;"like a dream.")</f>
        <v>Don't pay attention to the less-than-flattering photo. these jeans are super cute and very flattering. they are actually long, not ankle length as the photo implies. high waisted with a 70s bell bottom vibe. nice light denim for year round wear. they fit like a dream.</v>
      </c>
      <c r="F923" s="13">
        <f>IFERROR(__xludf.DUMMYFUNCTION("""COMPUTED_VALUE"""),5.0)</f>
        <v>5</v>
      </c>
      <c r="G923" s="13">
        <f>IFERROR(__xludf.DUMMYFUNCTION("""COMPUTED_VALUE"""),1.0)</f>
        <v>1</v>
      </c>
      <c r="H923" s="13">
        <f>IFERROR(__xludf.DUMMYFUNCTION("""COMPUTED_VALUE"""),0.0)</f>
        <v>0</v>
      </c>
      <c r="I923" s="13" t="str">
        <f>IFERROR(__xludf.DUMMYFUNCTION("""COMPUTED_VALUE"""),"General")</f>
        <v>General</v>
      </c>
      <c r="J923" s="13" t="str">
        <f>IFERROR(__xludf.DUMMYFUNCTION("""COMPUTED_VALUE"""),"Bottoms")</f>
        <v>Bottoms</v>
      </c>
      <c r="K923" s="13" t="str">
        <f>IFERROR(__xludf.DUMMYFUNCTION("""COMPUTED_VALUE"""),"Pants")</f>
        <v>Pants</v>
      </c>
      <c r="L923" s="13"/>
    </row>
    <row r="924">
      <c r="A924" s="13">
        <f>IFERROR(__xludf.DUMMYFUNCTION("""COMPUTED_VALUE"""),922.0)</f>
        <v>922</v>
      </c>
      <c r="B924" s="13">
        <f>IFERROR(__xludf.DUMMYFUNCTION("""COMPUTED_VALUE"""),1008.0)</f>
        <v>1008</v>
      </c>
      <c r="C924" s="13">
        <f>IFERROR(__xludf.DUMMYFUNCTION("""COMPUTED_VALUE"""),43.0)</f>
        <v>43</v>
      </c>
      <c r="D924" s="12" t="str">
        <f>IFERROR(__xludf.DUMMYFUNCTION("""COMPUTED_VALUE"""),"Very pretty")</f>
        <v>Very pretty</v>
      </c>
      <c r="E924" s="12" t="str">
        <f>IFERROR(__xludf.DUMMYFUNCTION("""COMPUTED_VALUE"""),"I got this skirt in the dove grey, which is a lovely shade of light grey and silver. it has one layer underneath that is a sparkly silver netting which is really pretty that you can't see in the photo. the other layer is the grey netting. it has a very so"&amp;"ft light grey silky cotton liner. i got the petite xs and it fits just as it should. i'm 5'3, 102. the skirt looks just as it is pictured, i think it can be dressy or dressed down a bit. very very pretty and well made. i'm happy with the purchas")</f>
        <v>I got this skirt in the dove grey, which is a lovely shade of light grey and silver. it has one layer underneath that is a sparkly silver netting which is really pretty that you can't see in the photo. the other layer is the grey netting. it has a very soft light grey silky cotton liner. i got the petite xs and it fits just as it should. i'm 5'3, 102. the skirt looks just as it is pictured, i think it can be dressy or dressed down a bit. very very pretty and well made. i'm happy with the purchas</v>
      </c>
      <c r="F924" s="13">
        <f>IFERROR(__xludf.DUMMYFUNCTION("""COMPUTED_VALUE"""),5.0)</f>
        <v>5</v>
      </c>
      <c r="G924" s="13">
        <f>IFERROR(__xludf.DUMMYFUNCTION("""COMPUTED_VALUE"""),1.0)</f>
        <v>1</v>
      </c>
      <c r="H924" s="13">
        <f>IFERROR(__xludf.DUMMYFUNCTION("""COMPUTED_VALUE"""),10.0)</f>
        <v>10</v>
      </c>
      <c r="I924" s="13" t="str">
        <f>IFERROR(__xludf.DUMMYFUNCTION("""COMPUTED_VALUE"""),"General Petite")</f>
        <v>General Petite</v>
      </c>
      <c r="J924" s="13" t="str">
        <f>IFERROR(__xludf.DUMMYFUNCTION("""COMPUTED_VALUE"""),"Bottoms")</f>
        <v>Bottoms</v>
      </c>
      <c r="K924" s="13" t="str">
        <f>IFERROR(__xludf.DUMMYFUNCTION("""COMPUTED_VALUE"""),"Skirts")</f>
        <v>Skirts</v>
      </c>
      <c r="L924" s="13"/>
    </row>
    <row r="925">
      <c r="A925" s="13">
        <f>IFERROR(__xludf.DUMMYFUNCTION("""COMPUTED_VALUE"""),923.0)</f>
        <v>923</v>
      </c>
      <c r="B925" s="13">
        <f>IFERROR(__xludf.DUMMYFUNCTION("""COMPUTED_VALUE"""),861.0)</f>
        <v>861</v>
      </c>
      <c r="C925" s="13">
        <f>IFERROR(__xludf.DUMMYFUNCTION("""COMPUTED_VALUE"""),36.0)</f>
        <v>36</v>
      </c>
      <c r="D925" s="12" t="str">
        <f>IFERROR(__xludf.DUMMYFUNCTION("""COMPUTED_VALUE"""),"Great, great top")</f>
        <v>Great, great top</v>
      </c>
      <c r="E925" s="12" t="str">
        <f>IFERROR(__xludf.DUMMYFUNCTION("""COMPUTED_VALUE"""),"Really loved this - so soft and snuggly. was unsure about ordering shirt size - (s) or jacket size for layering (m). ordered a small. fits perfect! definitely wouldn't have wanted the medium. 5'4, 135 lbs for reference. love this one!!! great find.")</f>
        <v>Really loved this - so soft and snuggly. was unsure about ordering shirt size - (s) or jacket size for layering (m). ordered a small. fits perfect! definitely wouldn't have wanted the medium. 5'4, 135 lbs for reference. love this one!!! great find.</v>
      </c>
      <c r="F925" s="13">
        <f>IFERROR(__xludf.DUMMYFUNCTION("""COMPUTED_VALUE"""),5.0)</f>
        <v>5</v>
      </c>
      <c r="G925" s="13">
        <f>IFERROR(__xludf.DUMMYFUNCTION("""COMPUTED_VALUE"""),1.0)</f>
        <v>1</v>
      </c>
      <c r="H925" s="13">
        <f>IFERROR(__xludf.DUMMYFUNCTION("""COMPUTED_VALUE"""),8.0)</f>
        <v>8</v>
      </c>
      <c r="I925" s="13" t="str">
        <f>IFERROR(__xludf.DUMMYFUNCTION("""COMPUTED_VALUE"""),"General")</f>
        <v>General</v>
      </c>
      <c r="J925" s="13" t="str">
        <f>IFERROR(__xludf.DUMMYFUNCTION("""COMPUTED_VALUE"""),"Tops")</f>
        <v>Tops</v>
      </c>
      <c r="K925" s="13" t="str">
        <f>IFERROR(__xludf.DUMMYFUNCTION("""COMPUTED_VALUE"""),"Knits")</f>
        <v>Knits</v>
      </c>
      <c r="L925" s="13"/>
    </row>
    <row r="926">
      <c r="A926" s="13">
        <f>IFERROR(__xludf.DUMMYFUNCTION("""COMPUTED_VALUE"""),924.0)</f>
        <v>924</v>
      </c>
      <c r="B926" s="13">
        <f>IFERROR(__xludf.DUMMYFUNCTION("""COMPUTED_VALUE"""),1028.0)</f>
        <v>1028</v>
      </c>
      <c r="C926" s="13">
        <f>IFERROR(__xludf.DUMMYFUNCTION("""COMPUTED_VALUE"""),41.0)</f>
        <v>41</v>
      </c>
      <c r="D926" s="12"/>
      <c r="E926" s="12" t="str">
        <f>IFERROR(__xludf.DUMMYFUNCTION("""COMPUTED_VALUE"""),"Love these jeans! they are the perfect relaxed fit; not too baggy, and a straight style. i did size down, because i wanted to wear them as shown. i was afraid that they would ride too low on my hips. glad i did! i usually wear size 29/6 and took a 28 in t"&amp;"his pair. the color and denim weight is also great.")</f>
        <v>Love these jeans! they are the perfect relaxed fit; not too baggy, and a straight style. i did size down, because i wanted to wear them as shown. i was afraid that they would ride too low on my hips. glad i did! i usually wear size 29/6 and took a 28 in this pair. the color and denim weight is also great.</v>
      </c>
      <c r="F926" s="13">
        <f>IFERROR(__xludf.DUMMYFUNCTION("""COMPUTED_VALUE"""),5.0)</f>
        <v>5</v>
      </c>
      <c r="G926" s="13">
        <f>IFERROR(__xludf.DUMMYFUNCTION("""COMPUTED_VALUE"""),1.0)</f>
        <v>1</v>
      </c>
      <c r="H926" s="13">
        <f>IFERROR(__xludf.DUMMYFUNCTION("""COMPUTED_VALUE"""),12.0)</f>
        <v>12</v>
      </c>
      <c r="I926" s="13" t="str">
        <f>IFERROR(__xludf.DUMMYFUNCTION("""COMPUTED_VALUE"""),"General Petite")</f>
        <v>General Petite</v>
      </c>
      <c r="J926" s="13" t="str">
        <f>IFERROR(__xludf.DUMMYFUNCTION("""COMPUTED_VALUE"""),"Bottoms")</f>
        <v>Bottoms</v>
      </c>
      <c r="K926" s="13" t="str">
        <f>IFERROR(__xludf.DUMMYFUNCTION("""COMPUTED_VALUE"""),"Jeans")</f>
        <v>Jeans</v>
      </c>
      <c r="L926" s="13"/>
    </row>
    <row r="927">
      <c r="A927" s="13">
        <f>IFERROR(__xludf.DUMMYFUNCTION("""COMPUTED_VALUE"""),925.0)</f>
        <v>925</v>
      </c>
      <c r="B927" s="13">
        <f>IFERROR(__xludf.DUMMYFUNCTION("""COMPUTED_VALUE"""),1080.0)</f>
        <v>1080</v>
      </c>
      <c r="C927" s="13">
        <f>IFERROR(__xludf.DUMMYFUNCTION("""COMPUTED_VALUE"""),55.0)</f>
        <v>55</v>
      </c>
      <c r="D927" s="12" t="str">
        <f>IFERROR(__xludf.DUMMYFUNCTION("""COMPUTED_VALUE"""),"Fabulous")</f>
        <v>Fabulous</v>
      </c>
      <c r="E927" s="12" t="str">
        <f>IFERROR(__xludf.DUMMYFUNCTION("""COMPUTED_VALUE"""),"I ordered this dress for my daughter. she wore it to a wedding and it was beautiful. looks just as it does in photo. fabric is a nice weight and hangs great. my daughter had her hair done and look right out of an retailer catalog. well made true to size b"&amp;"eautiful dress!!!!!!!")</f>
        <v>I ordered this dress for my daughter. she wore it to a wedding and it was beautiful. looks just as it does in photo. fabric is a nice weight and hangs great. my daughter had her hair done and look right out of an retailer catalog. well made true to size beautiful dress!!!!!!!</v>
      </c>
      <c r="F927" s="13">
        <f>IFERROR(__xludf.DUMMYFUNCTION("""COMPUTED_VALUE"""),5.0)</f>
        <v>5</v>
      </c>
      <c r="G927" s="13">
        <f>IFERROR(__xludf.DUMMYFUNCTION("""COMPUTED_VALUE"""),1.0)</f>
        <v>1</v>
      </c>
      <c r="H927" s="13">
        <f>IFERROR(__xludf.DUMMYFUNCTION("""COMPUTED_VALUE"""),0.0)</f>
        <v>0</v>
      </c>
      <c r="I927" s="13" t="str">
        <f>IFERROR(__xludf.DUMMYFUNCTION("""COMPUTED_VALUE"""),"General Petite")</f>
        <v>General Petite</v>
      </c>
      <c r="J927" s="13" t="str">
        <f>IFERROR(__xludf.DUMMYFUNCTION("""COMPUTED_VALUE"""),"Dresses")</f>
        <v>Dresses</v>
      </c>
      <c r="K927" s="13" t="str">
        <f>IFERROR(__xludf.DUMMYFUNCTION("""COMPUTED_VALUE"""),"Dresses")</f>
        <v>Dresses</v>
      </c>
      <c r="L927" s="13"/>
    </row>
    <row r="928">
      <c r="A928" s="13">
        <f>IFERROR(__xludf.DUMMYFUNCTION("""COMPUTED_VALUE"""),926.0)</f>
        <v>926</v>
      </c>
      <c r="B928" s="13">
        <f>IFERROR(__xludf.DUMMYFUNCTION("""COMPUTED_VALUE"""),1008.0)</f>
        <v>1008</v>
      </c>
      <c r="C928" s="13">
        <f>IFERROR(__xludf.DUMMYFUNCTION("""COMPUTED_VALUE"""),52.0)</f>
        <v>52</v>
      </c>
      <c r="D928" s="12" t="str">
        <f>IFERROR(__xludf.DUMMYFUNCTION("""COMPUTED_VALUE"""),"Love love love")</f>
        <v>Love love love</v>
      </c>
      <c r="E928" s="12" t="str">
        <f>IFERROR(__xludf.DUMMYFUNCTION("""COMPUTED_VALUE"""),"Layered this with a chunky sweater and a pair of kicks. it can be low key or dressed up with a pair of heels, multi-functionality not just occasional. it&amp;#39;s feminine, funky, and fabulous!! i bought the last one in the store!")</f>
        <v>Layered this with a chunky sweater and a pair of kicks. it can be low key or dressed up with a pair of heels, multi-functionality not just occasional. it&amp;#39;s feminine, funky, and fabulous!! i bought the last one in the store!</v>
      </c>
      <c r="F928" s="13">
        <f>IFERROR(__xludf.DUMMYFUNCTION("""COMPUTED_VALUE"""),5.0)</f>
        <v>5</v>
      </c>
      <c r="G928" s="13">
        <f>IFERROR(__xludf.DUMMYFUNCTION("""COMPUTED_VALUE"""),1.0)</f>
        <v>1</v>
      </c>
      <c r="H928" s="13">
        <f>IFERROR(__xludf.DUMMYFUNCTION("""COMPUTED_VALUE"""),0.0)</f>
        <v>0</v>
      </c>
      <c r="I928" s="13" t="str">
        <f>IFERROR(__xludf.DUMMYFUNCTION("""COMPUTED_VALUE"""),"General Petite")</f>
        <v>General Petite</v>
      </c>
      <c r="J928" s="13" t="str">
        <f>IFERROR(__xludf.DUMMYFUNCTION("""COMPUTED_VALUE"""),"Bottoms")</f>
        <v>Bottoms</v>
      </c>
      <c r="K928" s="13" t="str">
        <f>IFERROR(__xludf.DUMMYFUNCTION("""COMPUTED_VALUE"""),"Skirts")</f>
        <v>Skirts</v>
      </c>
      <c r="L928" s="13"/>
    </row>
    <row r="929">
      <c r="A929" s="13">
        <f>IFERROR(__xludf.DUMMYFUNCTION("""COMPUTED_VALUE"""),927.0)</f>
        <v>927</v>
      </c>
      <c r="B929" s="13">
        <f>IFERROR(__xludf.DUMMYFUNCTION("""COMPUTED_VALUE"""),1008.0)</f>
        <v>1008</v>
      </c>
      <c r="C929" s="13">
        <f>IFERROR(__xludf.DUMMYFUNCTION("""COMPUTED_VALUE"""),50.0)</f>
        <v>50</v>
      </c>
      <c r="D929" s="12" t="str">
        <f>IFERROR(__xludf.DUMMYFUNCTION("""COMPUTED_VALUE"""),"Lovely prints")</f>
        <v>Lovely prints</v>
      </c>
      <c r="E929" s="12" t="str">
        <f>IFERROR(__xludf.DUMMYFUNCTION("""COMPUTED_VALUE"""),"I saw this skirt online and went to the store immediately to try on. i was a bit disappointed. the size is tts but the prints were prettier online. the material is ok. the regular is long so probably won't look good on a shorter person
if it is still avai"&amp;"lable when the price comes down, i might buy it.")</f>
        <v>I saw this skirt online and went to the store immediately to try on. i was a bit disappointed. the size is tts but the prints were prettier online. the material is ok. the regular is long so probably won't look good on a shorter person
if it is still available when the price comes down, i might buy it.</v>
      </c>
      <c r="F929" s="13">
        <f>IFERROR(__xludf.DUMMYFUNCTION("""COMPUTED_VALUE"""),3.0)</f>
        <v>3</v>
      </c>
      <c r="G929" s="13">
        <f>IFERROR(__xludf.DUMMYFUNCTION("""COMPUTED_VALUE"""),0.0)</f>
        <v>0</v>
      </c>
      <c r="H929" s="13">
        <f>IFERROR(__xludf.DUMMYFUNCTION("""COMPUTED_VALUE"""),0.0)</f>
        <v>0</v>
      </c>
      <c r="I929" s="13" t="str">
        <f>IFERROR(__xludf.DUMMYFUNCTION("""COMPUTED_VALUE"""),"General Petite")</f>
        <v>General Petite</v>
      </c>
      <c r="J929" s="13" t="str">
        <f>IFERROR(__xludf.DUMMYFUNCTION("""COMPUTED_VALUE"""),"Bottoms")</f>
        <v>Bottoms</v>
      </c>
      <c r="K929" s="13" t="str">
        <f>IFERROR(__xludf.DUMMYFUNCTION("""COMPUTED_VALUE"""),"Skirts")</f>
        <v>Skirts</v>
      </c>
      <c r="L929" s="13"/>
    </row>
    <row r="930">
      <c r="A930" s="13">
        <f>IFERROR(__xludf.DUMMYFUNCTION("""COMPUTED_VALUE"""),928.0)</f>
        <v>928</v>
      </c>
      <c r="B930" s="13">
        <f>IFERROR(__xludf.DUMMYFUNCTION("""COMPUTED_VALUE"""),952.0)</f>
        <v>952</v>
      </c>
      <c r="C930" s="13">
        <f>IFERROR(__xludf.DUMMYFUNCTION("""COMPUTED_VALUE"""),77.0)</f>
        <v>77</v>
      </c>
      <c r="D930" s="12" t="str">
        <f>IFERROR(__xludf.DUMMYFUNCTION("""COMPUTED_VALUE"""),"Great colors!")</f>
        <v>Great colors!</v>
      </c>
      <c r="E930" s="12" t="str">
        <f>IFERROR(__xludf.DUMMYFUNCTION("""COMPUTED_VALUE"""),"The colors are richer than shown- very vibrant. this piece is very unique and everthing that i love about retailer! i usually wear a medium in jackets and vest. i tried the small and there was very little difference from the small or the medium fit, so i "&amp;"went a size up, just for a looser look. it is very flattering and will be a great addition to my fall wardrobe!")</f>
        <v>The colors are richer than shown- very vibrant. this piece is very unique and everthing that i love about retailer! i usually wear a medium in jackets and vest. i tried the small and there was very little difference from the small or the medium fit, so i went a size up, just for a looser look. it is very flattering and will be a great addition to my fall wardrobe!</v>
      </c>
      <c r="F930" s="13">
        <f>IFERROR(__xludf.DUMMYFUNCTION("""COMPUTED_VALUE"""),5.0)</f>
        <v>5</v>
      </c>
      <c r="G930" s="13">
        <f>IFERROR(__xludf.DUMMYFUNCTION("""COMPUTED_VALUE"""),1.0)</f>
        <v>1</v>
      </c>
      <c r="H930" s="13">
        <f>IFERROR(__xludf.DUMMYFUNCTION("""COMPUTED_VALUE"""),1.0)</f>
        <v>1</v>
      </c>
      <c r="I930" s="13" t="str">
        <f>IFERROR(__xludf.DUMMYFUNCTION("""COMPUTED_VALUE"""),"General Petite")</f>
        <v>General Petite</v>
      </c>
      <c r="J930" s="13" t="str">
        <f>IFERROR(__xludf.DUMMYFUNCTION("""COMPUTED_VALUE"""),"Tops")</f>
        <v>Tops</v>
      </c>
      <c r="K930" s="13" t="str">
        <f>IFERROR(__xludf.DUMMYFUNCTION("""COMPUTED_VALUE"""),"Sweaters")</f>
        <v>Sweaters</v>
      </c>
      <c r="L930" s="13"/>
    </row>
    <row r="931">
      <c r="A931" s="13">
        <f>IFERROR(__xludf.DUMMYFUNCTION("""COMPUTED_VALUE"""),929.0)</f>
        <v>929</v>
      </c>
      <c r="B931" s="13">
        <f>IFERROR(__xludf.DUMMYFUNCTION("""COMPUTED_VALUE"""),952.0)</f>
        <v>952</v>
      </c>
      <c r="C931" s="13">
        <f>IFERROR(__xludf.DUMMYFUNCTION("""COMPUTED_VALUE"""),39.0)</f>
        <v>39</v>
      </c>
      <c r="D931" s="12" t="str">
        <f>IFERROR(__xludf.DUMMYFUNCTION("""COMPUTED_VALUE"""),"Layer cake")</f>
        <v>Layer cake</v>
      </c>
      <c r="E931" s="12" t="str">
        <f>IFERROR(__xludf.DUMMYFUNCTION("""COMPUTED_VALUE"""),"An interesting design in a high-quality garment.  fits true to size on me and is great for layering.  very soft knit with the drapey attachment and a collar you can adjust to look the way you want. i feel lucky that i got this on sale but i would've gladl"&amp;"y paid full price since this is a three season piece.")</f>
        <v>An interesting design in a high-quality garment.  fits true to size on me and is great for layering.  very soft knit with the drapey attachment and a collar you can adjust to look the way you want. i feel lucky that i got this on sale but i would've gladly paid full price since this is a three season piece.</v>
      </c>
      <c r="F931" s="13">
        <f>IFERROR(__xludf.DUMMYFUNCTION("""COMPUTED_VALUE"""),5.0)</f>
        <v>5</v>
      </c>
      <c r="G931" s="13">
        <f>IFERROR(__xludf.DUMMYFUNCTION("""COMPUTED_VALUE"""),1.0)</f>
        <v>1</v>
      </c>
      <c r="H931" s="13">
        <f>IFERROR(__xludf.DUMMYFUNCTION("""COMPUTED_VALUE"""),0.0)</f>
        <v>0</v>
      </c>
      <c r="I931" s="13" t="str">
        <f>IFERROR(__xludf.DUMMYFUNCTION("""COMPUTED_VALUE"""),"General Petite")</f>
        <v>General Petite</v>
      </c>
      <c r="J931" s="13" t="str">
        <f>IFERROR(__xludf.DUMMYFUNCTION("""COMPUTED_VALUE"""),"Tops")</f>
        <v>Tops</v>
      </c>
      <c r="K931" s="13" t="str">
        <f>IFERROR(__xludf.DUMMYFUNCTION("""COMPUTED_VALUE"""),"Sweaters")</f>
        <v>Sweaters</v>
      </c>
      <c r="L931" s="13"/>
    </row>
    <row r="932">
      <c r="A932" s="13">
        <f>IFERROR(__xludf.DUMMYFUNCTION("""COMPUTED_VALUE"""),930.0)</f>
        <v>930</v>
      </c>
      <c r="B932" s="13">
        <f>IFERROR(__xludf.DUMMYFUNCTION("""COMPUTED_VALUE"""),1066.0)</f>
        <v>1066</v>
      </c>
      <c r="C932" s="13">
        <f>IFERROR(__xludf.DUMMYFUNCTION("""COMPUTED_VALUE"""),57.0)</f>
        <v>57</v>
      </c>
      <c r="D932" s="12" t="str">
        <f>IFERROR(__xludf.DUMMYFUNCTION("""COMPUTED_VALUE"""),"Great quality but...")</f>
        <v>Great quality but...</v>
      </c>
      <c r="E932" s="12" t="str">
        <f>IFERROR(__xludf.DUMMYFUNCTION("""COMPUTED_VALUE"""),"I was so excited to receive these jeans. typically, wide leg jeans are a no brainer for me--super flattering and in chambray, i thought, they would be stylish and comfortable. but i found these to be verging on mom jean. something about them seems not so "&amp;"cool. maybe the color of the wash, the weight of the fabric? not sure, but they don't lend themselves to current looks. sadly, i will be sending them back.")</f>
        <v>I was so excited to receive these jeans. typically, wide leg jeans are a no brainer for me--super flattering and in chambray, i thought, they would be stylish and comfortable. but i found these to be verging on mom jean. something about them seems not so cool. maybe the color of the wash, the weight of the fabric? not sure, but they don't lend themselves to current looks. sadly, i will be sending them back.</v>
      </c>
      <c r="F932" s="13">
        <f>IFERROR(__xludf.DUMMYFUNCTION("""COMPUTED_VALUE"""),4.0)</f>
        <v>4</v>
      </c>
      <c r="G932" s="13">
        <f>IFERROR(__xludf.DUMMYFUNCTION("""COMPUTED_VALUE"""),1.0)</f>
        <v>1</v>
      </c>
      <c r="H932" s="13">
        <f>IFERROR(__xludf.DUMMYFUNCTION("""COMPUTED_VALUE"""),1.0)</f>
        <v>1</v>
      </c>
      <c r="I932" s="13" t="str">
        <f>IFERROR(__xludf.DUMMYFUNCTION("""COMPUTED_VALUE"""),"General")</f>
        <v>General</v>
      </c>
      <c r="J932" s="13" t="str">
        <f>IFERROR(__xludf.DUMMYFUNCTION("""COMPUTED_VALUE"""),"Bottoms")</f>
        <v>Bottoms</v>
      </c>
      <c r="K932" s="13" t="str">
        <f>IFERROR(__xludf.DUMMYFUNCTION("""COMPUTED_VALUE"""),"Pants")</f>
        <v>Pants</v>
      </c>
      <c r="L932" s="13"/>
    </row>
    <row r="933">
      <c r="A933" s="13">
        <f>IFERROR(__xludf.DUMMYFUNCTION("""COMPUTED_VALUE"""),931.0)</f>
        <v>931</v>
      </c>
      <c r="B933" s="13">
        <f>IFERROR(__xludf.DUMMYFUNCTION("""COMPUTED_VALUE"""),862.0)</f>
        <v>862</v>
      </c>
      <c r="C933" s="13">
        <f>IFERROR(__xludf.DUMMYFUNCTION("""COMPUTED_VALUE"""),65.0)</f>
        <v>65</v>
      </c>
      <c r="D933" s="12" t="str">
        <f>IFERROR(__xludf.DUMMYFUNCTION("""COMPUTED_VALUE"""),"Perfect tee!")</f>
        <v>Perfect tee!</v>
      </c>
      <c r="E933" s="12" t="str">
        <f>IFERROR(__xludf.DUMMYFUNCTION("""COMPUTED_VALUE"""),"I bought this tee in all 3 colors, and wish there were more!  fabulous quality, material and style.  can dress up or down; wear with jeans, pants or skirts.  wear alone or layer.  don't miss out on this addition to your wardrobe!")</f>
        <v>I bought this tee in all 3 colors, and wish there were more!  fabulous quality, material and style.  can dress up or down; wear with jeans, pants or skirts.  wear alone or layer.  don't miss out on this addition to your wardrobe!</v>
      </c>
      <c r="F933" s="13">
        <f>IFERROR(__xludf.DUMMYFUNCTION("""COMPUTED_VALUE"""),5.0)</f>
        <v>5</v>
      </c>
      <c r="G933" s="13">
        <f>IFERROR(__xludf.DUMMYFUNCTION("""COMPUTED_VALUE"""),1.0)</f>
        <v>1</v>
      </c>
      <c r="H933" s="13">
        <f>IFERROR(__xludf.DUMMYFUNCTION("""COMPUTED_VALUE"""),0.0)</f>
        <v>0</v>
      </c>
      <c r="I933" s="13" t="str">
        <f>IFERROR(__xludf.DUMMYFUNCTION("""COMPUTED_VALUE"""),"General")</f>
        <v>General</v>
      </c>
      <c r="J933" s="13" t="str">
        <f>IFERROR(__xludf.DUMMYFUNCTION("""COMPUTED_VALUE"""),"Tops")</f>
        <v>Tops</v>
      </c>
      <c r="K933" s="13" t="str">
        <f>IFERROR(__xludf.DUMMYFUNCTION("""COMPUTED_VALUE"""),"Knits")</f>
        <v>Knits</v>
      </c>
      <c r="L933" s="13"/>
    </row>
    <row r="934">
      <c r="A934" s="13">
        <f>IFERROR(__xludf.DUMMYFUNCTION("""COMPUTED_VALUE"""),932.0)</f>
        <v>932</v>
      </c>
      <c r="B934" s="13">
        <f>IFERROR(__xludf.DUMMYFUNCTION("""COMPUTED_VALUE"""),1015.0)</f>
        <v>1015</v>
      </c>
      <c r="C934" s="13">
        <f>IFERROR(__xludf.DUMMYFUNCTION("""COMPUTED_VALUE"""),44.0)</f>
        <v>44</v>
      </c>
      <c r="D934" s="12" t="str">
        <f>IFERROR(__xludf.DUMMYFUNCTION("""COMPUTED_VALUE"""),"Chic and classy")</f>
        <v>Chic and classy</v>
      </c>
      <c r="E934" s="12" t="str">
        <f>IFERROR(__xludf.DUMMYFUNCTION("""COMPUTED_VALUE"""),"I'm very short and thus not usually into maxi skirts since most of them make me look frumpy, but i ordered this skirt based upon all the great reviews. this skirt is more amazing in person. at first, the material feels a bit stiff and the gold is a lot mo"&amp;"re shiny in person. but, as usual, moulinette knows how to put things together. when worn, everything comes together, the pleats and the length flow beautifully and the gold shimmers in a subtle way. the skirt runs large (i'm 34b, 26 waist, 36 h")</f>
        <v>I'm very short and thus not usually into maxi skirts since most of them make me look frumpy, but i ordered this skirt based upon all the great reviews. this skirt is more amazing in person. at first, the material feels a bit stiff and the gold is a lot more shiny in person. but, as usual, moulinette knows how to put things together. when worn, everything comes together, the pleats and the length flow beautifully and the gold shimmers in a subtle way. the skirt runs large (i'm 34b, 26 waist, 36 h</v>
      </c>
      <c r="F934" s="13">
        <f>IFERROR(__xludf.DUMMYFUNCTION("""COMPUTED_VALUE"""),5.0)</f>
        <v>5</v>
      </c>
      <c r="G934" s="13">
        <f>IFERROR(__xludf.DUMMYFUNCTION("""COMPUTED_VALUE"""),1.0)</f>
        <v>1</v>
      </c>
      <c r="H934" s="13">
        <f>IFERROR(__xludf.DUMMYFUNCTION("""COMPUTED_VALUE"""),1.0)</f>
        <v>1</v>
      </c>
      <c r="I934" s="13" t="str">
        <f>IFERROR(__xludf.DUMMYFUNCTION("""COMPUTED_VALUE"""),"General")</f>
        <v>General</v>
      </c>
      <c r="J934" s="13" t="str">
        <f>IFERROR(__xludf.DUMMYFUNCTION("""COMPUTED_VALUE"""),"Bottoms")</f>
        <v>Bottoms</v>
      </c>
      <c r="K934" s="13" t="str">
        <f>IFERROR(__xludf.DUMMYFUNCTION("""COMPUTED_VALUE"""),"Skirts")</f>
        <v>Skirts</v>
      </c>
      <c r="L934" s="13"/>
    </row>
    <row r="935">
      <c r="A935" s="13">
        <f>IFERROR(__xludf.DUMMYFUNCTION("""COMPUTED_VALUE"""),933.0)</f>
        <v>933</v>
      </c>
      <c r="B935" s="13">
        <f>IFERROR(__xludf.DUMMYFUNCTION("""COMPUTED_VALUE"""),1066.0)</f>
        <v>1066</v>
      </c>
      <c r="C935" s="13">
        <f>IFERROR(__xludf.DUMMYFUNCTION("""COMPUTED_VALUE"""),45.0)</f>
        <v>45</v>
      </c>
      <c r="D935" s="12" t="str">
        <f>IFERROR(__xludf.DUMMYFUNCTION("""COMPUTED_VALUE"""),"Very nice")</f>
        <v>Very nice</v>
      </c>
      <c r="E935" s="12" t="str">
        <f>IFERROR(__xludf.DUMMYFUNCTION("""COMPUTED_VALUE"""),"Sits at waist, length is perfect for petite, quality is very good, looks very nice on me, very recommend")</f>
        <v>Sits at waist, length is perfect for petite, quality is very good, looks very nice on me, very recommend</v>
      </c>
      <c r="F935" s="13">
        <f>IFERROR(__xludf.DUMMYFUNCTION("""COMPUTED_VALUE"""),5.0)</f>
        <v>5</v>
      </c>
      <c r="G935" s="13">
        <f>IFERROR(__xludf.DUMMYFUNCTION("""COMPUTED_VALUE"""),1.0)</f>
        <v>1</v>
      </c>
      <c r="H935" s="13">
        <f>IFERROR(__xludf.DUMMYFUNCTION("""COMPUTED_VALUE"""),12.0)</f>
        <v>12</v>
      </c>
      <c r="I935" s="13" t="str">
        <f>IFERROR(__xludf.DUMMYFUNCTION("""COMPUTED_VALUE"""),"General")</f>
        <v>General</v>
      </c>
      <c r="J935" s="13" t="str">
        <f>IFERROR(__xludf.DUMMYFUNCTION("""COMPUTED_VALUE"""),"Bottoms")</f>
        <v>Bottoms</v>
      </c>
      <c r="K935" s="13" t="str">
        <f>IFERROR(__xludf.DUMMYFUNCTION("""COMPUTED_VALUE"""),"Pants")</f>
        <v>Pants</v>
      </c>
      <c r="L935" s="13"/>
    </row>
    <row r="936">
      <c r="A936" s="13">
        <f>IFERROR(__xludf.DUMMYFUNCTION("""COMPUTED_VALUE"""),934.0)</f>
        <v>934</v>
      </c>
      <c r="B936" s="13">
        <f>IFERROR(__xludf.DUMMYFUNCTION("""COMPUTED_VALUE"""),1066.0)</f>
        <v>1066</v>
      </c>
      <c r="C936" s="13">
        <f>IFERROR(__xludf.DUMMYFUNCTION("""COMPUTED_VALUE"""),60.0)</f>
        <v>60</v>
      </c>
      <c r="D936" s="12" t="str">
        <f>IFERROR(__xludf.DUMMYFUNCTION("""COMPUTED_VALUE"""),"Funky fit")</f>
        <v>Funky fit</v>
      </c>
      <c r="E936" s="12" t="str">
        <f>IFERROR(__xludf.DUMMYFUNCTION("""COMPUTED_VALUE"""),"I found these to fit odd. i am also use to wearing the skinny jeans so trying a wide leg was a bit weird anyway. the placement of the pockets and the way it hit my waist was awkward and not flattering. i am usually a 8/10 and the 8 fit but just did not lo"&amp;"ok good.")</f>
        <v>I found these to fit odd. i am also use to wearing the skinny jeans so trying a wide leg was a bit weird anyway. the placement of the pockets and the way it hit my waist was awkward and not flattering. i am usually a 8/10 and the 8 fit but just did not look good.</v>
      </c>
      <c r="F936" s="13">
        <f>IFERROR(__xludf.DUMMYFUNCTION("""COMPUTED_VALUE"""),3.0)</f>
        <v>3</v>
      </c>
      <c r="G936" s="13">
        <f>IFERROR(__xludf.DUMMYFUNCTION("""COMPUTED_VALUE"""),0.0)</f>
        <v>0</v>
      </c>
      <c r="H936" s="13">
        <f>IFERROR(__xludf.DUMMYFUNCTION("""COMPUTED_VALUE"""),0.0)</f>
        <v>0</v>
      </c>
      <c r="I936" s="13" t="str">
        <f>IFERROR(__xludf.DUMMYFUNCTION("""COMPUTED_VALUE"""),"General")</f>
        <v>General</v>
      </c>
      <c r="J936" s="13" t="str">
        <f>IFERROR(__xludf.DUMMYFUNCTION("""COMPUTED_VALUE"""),"Bottoms")</f>
        <v>Bottoms</v>
      </c>
      <c r="K936" s="13" t="str">
        <f>IFERROR(__xludf.DUMMYFUNCTION("""COMPUTED_VALUE"""),"Pants")</f>
        <v>Pants</v>
      </c>
      <c r="L936" s="13"/>
    </row>
    <row r="937">
      <c r="A937" s="13">
        <f>IFERROR(__xludf.DUMMYFUNCTION("""COMPUTED_VALUE"""),935.0)</f>
        <v>935</v>
      </c>
      <c r="B937" s="13">
        <f>IFERROR(__xludf.DUMMYFUNCTION("""COMPUTED_VALUE"""),1066.0)</f>
        <v>1066</v>
      </c>
      <c r="C937" s="13">
        <f>IFERROR(__xludf.DUMMYFUNCTION("""COMPUTED_VALUE"""),35.0)</f>
        <v>35</v>
      </c>
      <c r="D937" s="12"/>
      <c r="E937" s="12" t="str">
        <f>IFERROR(__xludf.DUMMYFUNCTION("""COMPUTED_VALUE"""),"Cute jeans! flattering and slimming. tts. the cut of the top makes my butt look flat, but oh well, they are super comfy. they are not as short on me as they look on the model. i'm 5;9""")</f>
        <v>Cute jeans! flattering and slimming. tts. the cut of the top makes my butt look flat, but oh well, they are super comfy. they are not as short on me as they look on the model. i'm 5;9"</v>
      </c>
      <c r="F937" s="13">
        <f>IFERROR(__xludf.DUMMYFUNCTION("""COMPUTED_VALUE"""),5.0)</f>
        <v>5</v>
      </c>
      <c r="G937" s="13">
        <f>IFERROR(__xludf.DUMMYFUNCTION("""COMPUTED_VALUE"""),1.0)</f>
        <v>1</v>
      </c>
      <c r="H937" s="13">
        <f>IFERROR(__xludf.DUMMYFUNCTION("""COMPUTED_VALUE"""),0.0)</f>
        <v>0</v>
      </c>
      <c r="I937" s="13" t="str">
        <f>IFERROR(__xludf.DUMMYFUNCTION("""COMPUTED_VALUE"""),"General")</f>
        <v>General</v>
      </c>
      <c r="J937" s="13" t="str">
        <f>IFERROR(__xludf.DUMMYFUNCTION("""COMPUTED_VALUE"""),"Bottoms")</f>
        <v>Bottoms</v>
      </c>
      <c r="K937" s="13" t="str">
        <f>IFERROR(__xludf.DUMMYFUNCTION("""COMPUTED_VALUE"""),"Pants")</f>
        <v>Pants</v>
      </c>
      <c r="L937" s="13"/>
    </row>
    <row r="938">
      <c r="A938" s="13">
        <f>IFERROR(__xludf.DUMMYFUNCTION("""COMPUTED_VALUE"""),936.0)</f>
        <v>936</v>
      </c>
      <c r="B938" s="13">
        <f>IFERROR(__xludf.DUMMYFUNCTION("""COMPUTED_VALUE"""),1047.0)</f>
        <v>1047</v>
      </c>
      <c r="C938" s="13">
        <f>IFERROR(__xludf.DUMMYFUNCTION("""COMPUTED_VALUE"""),46.0)</f>
        <v>46</v>
      </c>
      <c r="D938" s="12" t="str">
        <f>IFERROR(__xludf.DUMMYFUNCTION("""COMPUTED_VALUE"""),"Stunning!")</f>
        <v>Stunning!</v>
      </c>
      <c r="E938" s="12" t="str">
        <f>IFERROR(__xludf.DUMMYFUNCTION("""COMPUTED_VALUE"""),"Love it! the pants is absolutely beautiful, rich material, it's not your cheap jogger!
i am really considering buying a second pair just in case i used my a little to much.
fits perfect, i am 5'4"" 114lbs and purchase the regular small.")</f>
        <v>Love it! the pants is absolutely beautiful, rich material, it's not your cheap jogger!
i am really considering buying a second pair just in case i used my a little to much.
fits perfect, i am 5'4" 114lbs and purchase the regular small.</v>
      </c>
      <c r="F938" s="13">
        <f>IFERROR(__xludf.DUMMYFUNCTION("""COMPUTED_VALUE"""),5.0)</f>
        <v>5</v>
      </c>
      <c r="G938" s="13">
        <f>IFERROR(__xludf.DUMMYFUNCTION("""COMPUTED_VALUE"""),1.0)</f>
        <v>1</v>
      </c>
      <c r="H938" s="13">
        <f>IFERROR(__xludf.DUMMYFUNCTION("""COMPUTED_VALUE"""),0.0)</f>
        <v>0</v>
      </c>
      <c r="I938" s="13" t="str">
        <f>IFERROR(__xludf.DUMMYFUNCTION("""COMPUTED_VALUE"""),"General")</f>
        <v>General</v>
      </c>
      <c r="J938" s="13" t="str">
        <f>IFERROR(__xludf.DUMMYFUNCTION("""COMPUTED_VALUE"""),"Bottoms")</f>
        <v>Bottoms</v>
      </c>
      <c r="K938" s="13" t="str">
        <f>IFERROR(__xludf.DUMMYFUNCTION("""COMPUTED_VALUE"""),"Pants")</f>
        <v>Pants</v>
      </c>
      <c r="L938" s="13"/>
    </row>
    <row r="939">
      <c r="A939" s="13">
        <f>IFERROR(__xludf.DUMMYFUNCTION("""COMPUTED_VALUE"""),937.0)</f>
        <v>937</v>
      </c>
      <c r="B939" s="13">
        <f>IFERROR(__xludf.DUMMYFUNCTION("""COMPUTED_VALUE"""),1094.0)</f>
        <v>1094</v>
      </c>
      <c r="C939" s="13">
        <f>IFERROR(__xludf.DUMMYFUNCTION("""COMPUTED_VALUE"""),27.0)</f>
        <v>27</v>
      </c>
      <c r="D939" s="12" t="str">
        <f>IFERROR(__xludf.DUMMYFUNCTION("""COMPUTED_VALUE"""),"Pretty, but already piling")</f>
        <v>Pretty, but already piling</v>
      </c>
      <c r="E939" s="12" t="str">
        <f>IFERROR(__xludf.DUMMYFUNCTION("""COMPUTED_VALUE"""),"I loved this dress and it fit great on me: 5'7, 115 lbs, wore an xs. it was a little tighter than i wish, but the s would have been too loose. unfortunately, when i received the dress the arms were already pilling. it is made of a mix of polyester, and wh"&amp;"ile it's machine washable (yay), i can imagine this dress would be pilling very easily, and i wish the fabric was a higher quality for the price, so i returned it.")</f>
        <v>I loved this dress and it fit great on me: 5'7, 115 lbs, wore an xs. it was a little tighter than i wish, but the s would have been too loose. unfortunately, when i received the dress the arms were already pilling. it is made of a mix of polyester, and while it's machine washable (yay), i can imagine this dress would be pilling very easily, and i wish the fabric was a higher quality for the price, so i returned it.</v>
      </c>
      <c r="F939" s="13">
        <f>IFERROR(__xludf.DUMMYFUNCTION("""COMPUTED_VALUE"""),3.0)</f>
        <v>3</v>
      </c>
      <c r="G939" s="13">
        <f>IFERROR(__xludf.DUMMYFUNCTION("""COMPUTED_VALUE"""),0.0)</f>
        <v>0</v>
      </c>
      <c r="H939" s="13">
        <f>IFERROR(__xludf.DUMMYFUNCTION("""COMPUTED_VALUE"""),0.0)</f>
        <v>0</v>
      </c>
      <c r="I939" s="13" t="str">
        <f>IFERROR(__xludf.DUMMYFUNCTION("""COMPUTED_VALUE"""),"General")</f>
        <v>General</v>
      </c>
      <c r="J939" s="13" t="str">
        <f>IFERROR(__xludf.DUMMYFUNCTION("""COMPUTED_VALUE"""),"Dresses")</f>
        <v>Dresses</v>
      </c>
      <c r="K939" s="13" t="str">
        <f>IFERROR(__xludf.DUMMYFUNCTION("""COMPUTED_VALUE"""),"Dresses")</f>
        <v>Dresses</v>
      </c>
      <c r="L939" s="13"/>
    </row>
    <row r="940">
      <c r="A940" s="13">
        <f>IFERROR(__xludf.DUMMYFUNCTION("""COMPUTED_VALUE"""),938.0)</f>
        <v>938</v>
      </c>
      <c r="B940" s="13">
        <f>IFERROR(__xludf.DUMMYFUNCTION("""COMPUTED_VALUE"""),936.0)</f>
        <v>936</v>
      </c>
      <c r="C940" s="13">
        <f>IFERROR(__xludf.DUMMYFUNCTION("""COMPUTED_VALUE"""),30.0)</f>
        <v>30</v>
      </c>
      <c r="D940" s="12"/>
      <c r="E940" s="12" t="str">
        <f>IFERROR(__xludf.DUMMYFUNCTION("""COMPUTED_VALUE"""),"This coat is gorgeous but it runs huge! i am typically a s so that is the size i purchased and it was swimming on me. i sadly had to return for an xs so fingers crossed it fits. the coral color is gorgeous and looks nice with my olive skin. very unique co"&amp;"at and as long as the xs fits i will be one happy lady.")</f>
        <v>This coat is gorgeous but it runs huge! i am typically a s so that is the size i purchased and it was swimming on me. i sadly had to return for an xs so fingers crossed it fits. the coral color is gorgeous and looks nice with my olive skin. very unique coat and as long as the xs fits i will be one happy lady.</v>
      </c>
      <c r="F940" s="13">
        <f>IFERROR(__xludf.DUMMYFUNCTION("""COMPUTED_VALUE"""),4.0)</f>
        <v>4</v>
      </c>
      <c r="G940" s="13">
        <f>IFERROR(__xludf.DUMMYFUNCTION("""COMPUTED_VALUE"""),1.0)</f>
        <v>1</v>
      </c>
      <c r="H940" s="13">
        <f>IFERROR(__xludf.DUMMYFUNCTION("""COMPUTED_VALUE"""),0.0)</f>
        <v>0</v>
      </c>
      <c r="I940" s="13" t="str">
        <f>IFERROR(__xludf.DUMMYFUNCTION("""COMPUTED_VALUE"""),"General")</f>
        <v>General</v>
      </c>
      <c r="J940" s="13" t="str">
        <f>IFERROR(__xludf.DUMMYFUNCTION("""COMPUTED_VALUE"""),"Tops")</f>
        <v>Tops</v>
      </c>
      <c r="K940" s="13" t="str">
        <f>IFERROR(__xludf.DUMMYFUNCTION("""COMPUTED_VALUE"""),"Sweaters")</f>
        <v>Sweaters</v>
      </c>
      <c r="L940" s="13"/>
    </row>
    <row r="941">
      <c r="A941" s="13">
        <f>IFERROR(__xludf.DUMMYFUNCTION("""COMPUTED_VALUE"""),939.0)</f>
        <v>939</v>
      </c>
      <c r="B941" s="13">
        <f>IFERROR(__xludf.DUMMYFUNCTION("""COMPUTED_VALUE"""),1033.0)</f>
        <v>1033</v>
      </c>
      <c r="C941" s="13">
        <f>IFERROR(__xludf.DUMMYFUNCTION("""COMPUTED_VALUE"""),20.0)</f>
        <v>20</v>
      </c>
      <c r="D941" s="12" t="str">
        <f>IFERROR(__xludf.DUMMYFUNCTION("""COMPUTED_VALUE"""),"Great jeans")</f>
        <v>Great jeans</v>
      </c>
      <c r="E941" s="12" t="str">
        <f>IFERROR(__xludf.DUMMYFUNCTION("""COMPUTED_VALUE"""),"Purchased these jeans in a 27 and i am usually a 28 in skinny jeans. i got the 26's on but they were snug. these jeans are so comfy and sit higher on the waist. great jeans!")</f>
        <v>Purchased these jeans in a 27 and i am usually a 28 in skinny jeans. i got the 26's on but they were snug. these jeans are so comfy and sit higher on the waist. great jeans!</v>
      </c>
      <c r="F941" s="13">
        <f>IFERROR(__xludf.DUMMYFUNCTION("""COMPUTED_VALUE"""),5.0)</f>
        <v>5</v>
      </c>
      <c r="G941" s="13">
        <f>IFERROR(__xludf.DUMMYFUNCTION("""COMPUTED_VALUE"""),1.0)</f>
        <v>1</v>
      </c>
      <c r="H941" s="13">
        <f>IFERROR(__xludf.DUMMYFUNCTION("""COMPUTED_VALUE"""),12.0)</f>
        <v>12</v>
      </c>
      <c r="I941" s="13" t="str">
        <f>IFERROR(__xludf.DUMMYFUNCTION("""COMPUTED_VALUE"""),"General Petite")</f>
        <v>General Petite</v>
      </c>
      <c r="J941" s="13" t="str">
        <f>IFERROR(__xludf.DUMMYFUNCTION("""COMPUTED_VALUE"""),"Bottoms")</f>
        <v>Bottoms</v>
      </c>
      <c r="K941" s="13" t="str">
        <f>IFERROR(__xludf.DUMMYFUNCTION("""COMPUTED_VALUE"""),"Jeans")</f>
        <v>Jeans</v>
      </c>
      <c r="L941" s="13"/>
    </row>
    <row r="942">
      <c r="A942" s="13">
        <f>IFERROR(__xludf.DUMMYFUNCTION("""COMPUTED_VALUE"""),940.0)</f>
        <v>940</v>
      </c>
      <c r="B942" s="13">
        <f>IFERROR(__xludf.DUMMYFUNCTION("""COMPUTED_VALUE"""),936.0)</f>
        <v>936</v>
      </c>
      <c r="C942" s="13">
        <f>IFERROR(__xludf.DUMMYFUNCTION("""COMPUTED_VALUE"""),51.0)</f>
        <v>51</v>
      </c>
      <c r="D942" s="12" t="str">
        <f>IFERROR(__xludf.DUMMYFUNCTION("""COMPUTED_VALUE"""),"Gorgeous!!")</f>
        <v>Gorgeous!!</v>
      </c>
      <c r="E942" s="12" t="str">
        <f>IFERROR(__xludf.DUMMYFUNCTION("""COMPUTED_VALUE"""),"I purchased the coral version, and the color is wonderful and vibrant. it fit my daughter beautifully, and she is 5'10"". i think she will be wearing this coat often, she loves it!!! she is 23 years old and has a professional job, so she will look the par"&amp;"t.")</f>
        <v>I purchased the coral version, and the color is wonderful and vibrant. it fit my daughter beautifully, and she is 5'10". i think she will be wearing this coat often, she loves it!!! she is 23 years old and has a professional job, so she will look the part.</v>
      </c>
      <c r="F942" s="13">
        <f>IFERROR(__xludf.DUMMYFUNCTION("""COMPUTED_VALUE"""),5.0)</f>
        <v>5</v>
      </c>
      <c r="G942" s="13">
        <f>IFERROR(__xludf.DUMMYFUNCTION("""COMPUTED_VALUE"""),1.0)</f>
        <v>1</v>
      </c>
      <c r="H942" s="13">
        <f>IFERROR(__xludf.DUMMYFUNCTION("""COMPUTED_VALUE"""),0.0)</f>
        <v>0</v>
      </c>
      <c r="I942" s="13" t="str">
        <f>IFERROR(__xludf.DUMMYFUNCTION("""COMPUTED_VALUE"""),"General")</f>
        <v>General</v>
      </c>
      <c r="J942" s="13" t="str">
        <f>IFERROR(__xludf.DUMMYFUNCTION("""COMPUTED_VALUE"""),"Tops")</f>
        <v>Tops</v>
      </c>
      <c r="K942" s="13" t="str">
        <f>IFERROR(__xludf.DUMMYFUNCTION("""COMPUTED_VALUE"""),"Sweaters")</f>
        <v>Sweaters</v>
      </c>
      <c r="L942" s="13"/>
    </row>
    <row r="943">
      <c r="A943" s="13">
        <f>IFERROR(__xludf.DUMMYFUNCTION("""COMPUTED_VALUE"""),941.0)</f>
        <v>941</v>
      </c>
      <c r="B943" s="13">
        <f>IFERROR(__xludf.DUMMYFUNCTION("""COMPUTED_VALUE"""),1094.0)</f>
        <v>1094</v>
      </c>
      <c r="C943" s="13">
        <f>IFERROR(__xludf.DUMMYFUNCTION("""COMPUTED_VALUE"""),35.0)</f>
        <v>35</v>
      </c>
      <c r="D943" s="12"/>
      <c r="E943" s="12" t="str">
        <f>IFERROR(__xludf.DUMMYFUNCTION("""COMPUTED_VALUE"""),"I'm in love, i'm in love.
this dress was gifted to me, because i was gawking at it so often. i love it!!! i am petite, 5'3"" 118 pounds and i could do either the small or extra small. the small was a little more comfortable, because the extra small was a"&amp;" bit tight in the arms-but i went with the extra small anyway. in both cases the neckline showed a small amount of tasteful cleavage and i felt like a model with how many people complimented me on it. many people even took the extra step in compl")</f>
        <v>I'm in love, i'm in love.
this dress was gifted to me, because i was gawking at it so often. i love it!!! i am petite, 5'3" 118 pounds and i could do either the small or extra small. the small was a little more comfortable, because the extra small was a bit tight in the arms-but i went with the extra small anyway. in both cases the neckline showed a small amount of tasteful cleavage and i felt like a model with how many people complimented me on it. many people even took the extra step in compl</v>
      </c>
      <c r="F943" s="13">
        <f>IFERROR(__xludf.DUMMYFUNCTION("""COMPUTED_VALUE"""),5.0)</f>
        <v>5</v>
      </c>
      <c r="G943" s="13">
        <f>IFERROR(__xludf.DUMMYFUNCTION("""COMPUTED_VALUE"""),1.0)</f>
        <v>1</v>
      </c>
      <c r="H943" s="13">
        <f>IFERROR(__xludf.DUMMYFUNCTION("""COMPUTED_VALUE"""),6.0)</f>
        <v>6</v>
      </c>
      <c r="I943" s="13" t="str">
        <f>IFERROR(__xludf.DUMMYFUNCTION("""COMPUTED_VALUE"""),"General")</f>
        <v>General</v>
      </c>
      <c r="J943" s="13" t="str">
        <f>IFERROR(__xludf.DUMMYFUNCTION("""COMPUTED_VALUE"""),"Dresses")</f>
        <v>Dresses</v>
      </c>
      <c r="K943" s="13" t="str">
        <f>IFERROR(__xludf.DUMMYFUNCTION("""COMPUTED_VALUE"""),"Dresses")</f>
        <v>Dresses</v>
      </c>
      <c r="L943" s="13"/>
    </row>
    <row r="944">
      <c r="A944" s="13">
        <f>IFERROR(__xludf.DUMMYFUNCTION("""COMPUTED_VALUE"""),942.0)</f>
        <v>942</v>
      </c>
      <c r="B944" s="13">
        <f>IFERROR(__xludf.DUMMYFUNCTION("""COMPUTED_VALUE"""),1094.0)</f>
        <v>1094</v>
      </c>
      <c r="C944" s="13">
        <f>IFERROR(__xludf.DUMMYFUNCTION("""COMPUTED_VALUE"""),46.0)</f>
        <v>46</v>
      </c>
      <c r="D944" s="12" t="str">
        <f>IFERROR(__xludf.DUMMYFUNCTION("""COMPUTED_VALUE"""),"Cute, but no sale")</f>
        <v>Cute, but no sale</v>
      </c>
      <c r="E944" s="12" t="str">
        <f>IFERROR(__xludf.DUMMYFUNCTION("""COMPUTED_VALUE"""),"The dress arrived with a few snags and the fabric already pilling. the fabric will only get worse with wear. return. cute concept; poor fabric quality.")</f>
        <v>The dress arrived with a few snags and the fabric already pilling. the fabric will only get worse with wear. return. cute concept; poor fabric quality.</v>
      </c>
      <c r="F944" s="13">
        <f>IFERROR(__xludf.DUMMYFUNCTION("""COMPUTED_VALUE"""),2.0)</f>
        <v>2</v>
      </c>
      <c r="G944" s="13">
        <f>IFERROR(__xludf.DUMMYFUNCTION("""COMPUTED_VALUE"""),0.0)</f>
        <v>0</v>
      </c>
      <c r="H944" s="13">
        <f>IFERROR(__xludf.DUMMYFUNCTION("""COMPUTED_VALUE"""),0.0)</f>
        <v>0</v>
      </c>
      <c r="I944" s="13" t="str">
        <f>IFERROR(__xludf.DUMMYFUNCTION("""COMPUTED_VALUE"""),"General")</f>
        <v>General</v>
      </c>
      <c r="J944" s="13" t="str">
        <f>IFERROR(__xludf.DUMMYFUNCTION("""COMPUTED_VALUE"""),"Dresses")</f>
        <v>Dresses</v>
      </c>
      <c r="K944" s="13" t="str">
        <f>IFERROR(__xludf.DUMMYFUNCTION("""COMPUTED_VALUE"""),"Dresses")</f>
        <v>Dresses</v>
      </c>
      <c r="L944" s="13"/>
    </row>
    <row r="945">
      <c r="A945" s="13">
        <f>IFERROR(__xludf.DUMMYFUNCTION("""COMPUTED_VALUE"""),943.0)</f>
        <v>943</v>
      </c>
      <c r="B945" s="13">
        <f>IFERROR(__xludf.DUMMYFUNCTION("""COMPUTED_VALUE"""),154.0)</f>
        <v>154</v>
      </c>
      <c r="C945" s="13">
        <f>IFERROR(__xludf.DUMMYFUNCTION("""COMPUTED_VALUE"""),35.0)</f>
        <v>35</v>
      </c>
      <c r="D945" s="12" t="str">
        <f>IFERROR(__xludf.DUMMYFUNCTION("""COMPUTED_VALUE"""),"Pretty pattern, weird texture")</f>
        <v>Pretty pattern, weird texture</v>
      </c>
      <c r="E945" s="12" t="str">
        <f>IFERROR(__xludf.DUMMYFUNCTION("""COMPUTED_VALUE"""),"I love the design and pattern of this top. it runs big so an xs was roomy on me but still cute. the neck is wide. i returned it bc the material of the top isn't for me. the texture is too soft.")</f>
        <v>I love the design and pattern of this top. it runs big so an xs was roomy on me but still cute. the neck is wide. i returned it bc the material of the top isn't for me. the texture is too soft.</v>
      </c>
      <c r="F945" s="13">
        <f>IFERROR(__xludf.DUMMYFUNCTION("""COMPUTED_VALUE"""),4.0)</f>
        <v>4</v>
      </c>
      <c r="G945" s="13">
        <f>IFERROR(__xludf.DUMMYFUNCTION("""COMPUTED_VALUE"""),0.0)</f>
        <v>0</v>
      </c>
      <c r="H945" s="13">
        <f>IFERROR(__xludf.DUMMYFUNCTION("""COMPUTED_VALUE"""),0.0)</f>
        <v>0</v>
      </c>
      <c r="I945" s="13" t="str">
        <f>IFERROR(__xludf.DUMMYFUNCTION("""COMPUTED_VALUE"""),"Initmates")</f>
        <v>Initmates</v>
      </c>
      <c r="J945" s="13" t="str">
        <f>IFERROR(__xludf.DUMMYFUNCTION("""COMPUTED_VALUE"""),"Intimate")</f>
        <v>Intimate</v>
      </c>
      <c r="K945" s="13" t="str">
        <f>IFERROR(__xludf.DUMMYFUNCTION("""COMPUTED_VALUE"""),"Sleep")</f>
        <v>Sleep</v>
      </c>
      <c r="L945" s="13"/>
    </row>
    <row r="946">
      <c r="A946" s="13">
        <f>IFERROR(__xludf.DUMMYFUNCTION("""COMPUTED_VALUE"""),944.0)</f>
        <v>944</v>
      </c>
      <c r="B946" s="13">
        <f>IFERROR(__xludf.DUMMYFUNCTION("""COMPUTED_VALUE"""),1094.0)</f>
        <v>1094</v>
      </c>
      <c r="C946" s="13">
        <f>IFERROR(__xludf.DUMMYFUNCTION("""COMPUTED_VALUE"""),41.0)</f>
        <v>41</v>
      </c>
      <c r="D946" s="12" t="str">
        <f>IFERROR(__xludf.DUMMYFUNCTION("""COMPUTED_VALUE"""),"Lovely and flattering")</f>
        <v>Lovely and flattering</v>
      </c>
      <c r="E946" s="12" t="str">
        <f>IFERROR(__xludf.DUMMYFUNCTION("""COMPUTED_VALUE"""),"Very comfortable dress, with a gorgeous pattern. it comes with a self liner in navy that is very smoothing - i was worried a figure hugging sweater knit would be unflattering. cut is perfect. i'm a size 10/12 on top and 12/14 on bottom, and the m was the "&amp;"best fit. the neckline is a deep scoop so if you are not busty it may come down too far for comfort.")</f>
        <v>Very comfortable dress, with a gorgeous pattern. it comes with a self liner in navy that is very smoothing - i was worried a figure hugging sweater knit would be unflattering. cut is perfect. i'm a size 10/12 on top and 12/14 on bottom, and the m was the best fit. the neckline is a deep scoop so if you are not busty it may come down too far for comfort.</v>
      </c>
      <c r="F946" s="13">
        <f>IFERROR(__xludf.DUMMYFUNCTION("""COMPUTED_VALUE"""),5.0)</f>
        <v>5</v>
      </c>
      <c r="G946" s="13">
        <f>IFERROR(__xludf.DUMMYFUNCTION("""COMPUTED_VALUE"""),1.0)</f>
        <v>1</v>
      </c>
      <c r="H946" s="13">
        <f>IFERROR(__xludf.DUMMYFUNCTION("""COMPUTED_VALUE"""),10.0)</f>
        <v>10</v>
      </c>
      <c r="I946" s="13" t="str">
        <f>IFERROR(__xludf.DUMMYFUNCTION("""COMPUTED_VALUE"""),"General")</f>
        <v>General</v>
      </c>
      <c r="J946" s="13" t="str">
        <f>IFERROR(__xludf.DUMMYFUNCTION("""COMPUTED_VALUE"""),"Dresses")</f>
        <v>Dresses</v>
      </c>
      <c r="K946" s="13" t="str">
        <f>IFERROR(__xludf.DUMMYFUNCTION("""COMPUTED_VALUE"""),"Dresses")</f>
        <v>Dresses</v>
      </c>
      <c r="L946" s="13"/>
    </row>
    <row r="947">
      <c r="A947" s="13">
        <f>IFERROR(__xludf.DUMMYFUNCTION("""COMPUTED_VALUE"""),945.0)</f>
        <v>945</v>
      </c>
      <c r="B947" s="13">
        <f>IFERROR(__xludf.DUMMYFUNCTION("""COMPUTED_VALUE"""),1094.0)</f>
        <v>1094</v>
      </c>
      <c r="C947" s="13">
        <f>IFERROR(__xludf.DUMMYFUNCTION("""COMPUTED_VALUE"""),39.0)</f>
        <v>39</v>
      </c>
      <c r="D947" s="12" t="str">
        <f>IFERROR(__xludf.DUMMYFUNCTION("""COMPUTED_VALUE"""),"Not flattering on")</f>
        <v>Not flattering on</v>
      </c>
      <c r="E947" s="12" t="str">
        <f>IFERROR(__xludf.DUMMYFUNCTION("""COMPUTED_VALUE"""),"I was so excited when this dress went on sale.  it is very soft and the print is so distinctive.  it is super comfy but not slimming or flattering at all.  i am a curvy girl,  wear a medium 8/10 and this made me look so wide!  the skirt is quit full,  a s"&amp;"mall would have fit but the top was tight.  so disappointing.")</f>
        <v>I was so excited when this dress went on sale.  it is very soft and the print is so distinctive.  it is super comfy but not slimming or flattering at all.  i am a curvy girl,  wear a medium 8/10 and this made me look so wide!  the skirt is quit full,  a small would have fit but the top was tight.  so disappointing.</v>
      </c>
      <c r="F947" s="13">
        <f>IFERROR(__xludf.DUMMYFUNCTION("""COMPUTED_VALUE"""),3.0)</f>
        <v>3</v>
      </c>
      <c r="G947" s="13">
        <f>IFERROR(__xludf.DUMMYFUNCTION("""COMPUTED_VALUE"""),0.0)</f>
        <v>0</v>
      </c>
      <c r="H947" s="13">
        <f>IFERROR(__xludf.DUMMYFUNCTION("""COMPUTED_VALUE"""),0.0)</f>
        <v>0</v>
      </c>
      <c r="I947" s="13" t="str">
        <f>IFERROR(__xludf.DUMMYFUNCTION("""COMPUTED_VALUE"""),"General")</f>
        <v>General</v>
      </c>
      <c r="J947" s="13" t="str">
        <f>IFERROR(__xludf.DUMMYFUNCTION("""COMPUTED_VALUE"""),"Dresses")</f>
        <v>Dresses</v>
      </c>
      <c r="K947" s="13" t="str">
        <f>IFERROR(__xludf.DUMMYFUNCTION("""COMPUTED_VALUE"""),"Dresses")</f>
        <v>Dresses</v>
      </c>
      <c r="L947" s="13"/>
    </row>
    <row r="948">
      <c r="A948" s="13">
        <f>IFERROR(__xludf.DUMMYFUNCTION("""COMPUTED_VALUE"""),946.0)</f>
        <v>946</v>
      </c>
      <c r="B948" s="13">
        <f>IFERROR(__xludf.DUMMYFUNCTION("""COMPUTED_VALUE"""),154.0)</f>
        <v>154</v>
      </c>
      <c r="C948" s="13">
        <f>IFERROR(__xludf.DUMMYFUNCTION("""COMPUTED_VALUE"""),40.0)</f>
        <v>40</v>
      </c>
      <c r="D948" s="12"/>
      <c r="E948" s="12" t="str">
        <f>IFERROR(__xludf.DUMMYFUNCTION("""COMPUTED_VALUE"""),"This top is stunning. the colors are vivid and it is extremely cozy and soft. however it seems delicate and would need to only be worn once in a while. it is not an everyday top. the material has a cotton candy like appearance. it really is unique and one"&amp;" of a kind.")</f>
        <v>This top is stunning. the colors are vivid and it is extremely cozy and soft. however it seems delicate and would need to only be worn once in a while. it is not an everyday top. the material has a cotton candy like appearance. it really is unique and one of a kind.</v>
      </c>
      <c r="F948" s="13">
        <f>IFERROR(__xludf.DUMMYFUNCTION("""COMPUTED_VALUE"""),4.0)</f>
        <v>4</v>
      </c>
      <c r="G948" s="13">
        <f>IFERROR(__xludf.DUMMYFUNCTION("""COMPUTED_VALUE"""),1.0)</f>
        <v>1</v>
      </c>
      <c r="H948" s="13">
        <f>IFERROR(__xludf.DUMMYFUNCTION("""COMPUTED_VALUE"""),0.0)</f>
        <v>0</v>
      </c>
      <c r="I948" s="13" t="str">
        <f>IFERROR(__xludf.DUMMYFUNCTION("""COMPUTED_VALUE"""),"Initmates")</f>
        <v>Initmates</v>
      </c>
      <c r="J948" s="13" t="str">
        <f>IFERROR(__xludf.DUMMYFUNCTION("""COMPUTED_VALUE"""),"Intimate")</f>
        <v>Intimate</v>
      </c>
      <c r="K948" s="13" t="str">
        <f>IFERROR(__xludf.DUMMYFUNCTION("""COMPUTED_VALUE"""),"Sleep")</f>
        <v>Sleep</v>
      </c>
      <c r="L948" s="13"/>
    </row>
    <row r="949">
      <c r="A949" s="13">
        <f>IFERROR(__xludf.DUMMYFUNCTION("""COMPUTED_VALUE"""),947.0)</f>
        <v>947</v>
      </c>
      <c r="B949" s="13">
        <f>IFERROR(__xludf.DUMMYFUNCTION("""COMPUTED_VALUE"""),1140.0)</f>
        <v>1140</v>
      </c>
      <c r="C949" s="13">
        <f>IFERROR(__xludf.DUMMYFUNCTION("""COMPUTED_VALUE"""),27.0)</f>
        <v>27</v>
      </c>
      <c r="D949" s="12" t="str">
        <f>IFERROR(__xludf.DUMMYFUNCTION("""COMPUTED_VALUE"""),"Awesome skirt")</f>
        <v>Awesome skirt</v>
      </c>
      <c r="E949" s="12" t="str">
        <f>IFERROR(__xludf.DUMMYFUNCTION("""COMPUTED_VALUE"""),"I love this skirt. i was happy with the quality of the fabric and style. i originally ordered a small, but returned and exchanged for a medium, which fits great. (i typically wear a size 6-8 in pants). i look forward to wearing this skirt to work this fal"&amp;"l.")</f>
        <v>I love this skirt. i was happy with the quality of the fabric and style. i originally ordered a small, but returned and exchanged for a medium, which fits great. (i typically wear a size 6-8 in pants). i look forward to wearing this skirt to work this fall.</v>
      </c>
      <c r="F949" s="13">
        <f>IFERROR(__xludf.DUMMYFUNCTION("""COMPUTED_VALUE"""),5.0)</f>
        <v>5</v>
      </c>
      <c r="G949" s="13">
        <f>IFERROR(__xludf.DUMMYFUNCTION("""COMPUTED_VALUE"""),1.0)</f>
        <v>1</v>
      </c>
      <c r="H949" s="13">
        <f>IFERROR(__xludf.DUMMYFUNCTION("""COMPUTED_VALUE"""),0.0)</f>
        <v>0</v>
      </c>
      <c r="I949" s="13" t="str">
        <f>IFERROR(__xludf.DUMMYFUNCTION("""COMPUTED_VALUE"""),"General Petite")</f>
        <v>General Petite</v>
      </c>
      <c r="J949" s="13" t="str">
        <f>IFERROR(__xludf.DUMMYFUNCTION("""COMPUTED_VALUE"""),"Trend")</f>
        <v>Trend</v>
      </c>
      <c r="K949" s="13" t="str">
        <f>IFERROR(__xludf.DUMMYFUNCTION("""COMPUTED_VALUE"""),"Trend")</f>
        <v>Trend</v>
      </c>
      <c r="L949" s="13"/>
    </row>
    <row r="950">
      <c r="A950" s="13">
        <f>IFERROR(__xludf.DUMMYFUNCTION("""COMPUTED_VALUE"""),948.0)</f>
        <v>948</v>
      </c>
      <c r="B950" s="13">
        <f>IFERROR(__xludf.DUMMYFUNCTION("""COMPUTED_VALUE"""),154.0)</f>
        <v>154</v>
      </c>
      <c r="C950" s="13">
        <f>IFERROR(__xludf.DUMMYFUNCTION("""COMPUTED_VALUE"""),40.0)</f>
        <v>40</v>
      </c>
      <c r="D950" s="12" t="str">
        <f>IFERROR(__xludf.DUMMYFUNCTION("""COMPUTED_VALUE"""),"Shorter than expected")</f>
        <v>Shorter than expected</v>
      </c>
      <c r="E950" s="12" t="str">
        <f>IFERROR(__xludf.DUMMYFUNCTION("""COMPUTED_VALUE"""),"After reading the reviews i placed an order because it was the only top that caught my eye on the entire price downs. lately all my usual l/10 sizes from retailer turn out huge so i ordered a size smaller from what i usually wear. all would have been ok i"&amp;"f the top wasn't so darn short. for reference i'm 6 ft tall, 160 lb. it's weird that this top looks completely the opposite of the model on the photo, from a loose looking fit with longer sleeves looking like a stylized sweatshirt that is not what")</f>
        <v>After reading the reviews i placed an order because it was the only top that caught my eye on the entire price downs. lately all my usual l/10 sizes from retailer turn out huge so i ordered a size smaller from what i usually wear. all would have been ok if the top wasn't so darn short. for reference i'm 6 ft tall, 160 lb. it's weird that this top looks completely the opposite of the model on the photo, from a loose looking fit with longer sleeves looking like a stylized sweatshirt that is not what</v>
      </c>
      <c r="F950" s="13">
        <f>IFERROR(__xludf.DUMMYFUNCTION("""COMPUTED_VALUE"""),2.0)</f>
        <v>2</v>
      </c>
      <c r="G950" s="13">
        <f>IFERROR(__xludf.DUMMYFUNCTION("""COMPUTED_VALUE"""),0.0)</f>
        <v>0</v>
      </c>
      <c r="H950" s="13">
        <f>IFERROR(__xludf.DUMMYFUNCTION("""COMPUTED_VALUE"""),4.0)</f>
        <v>4</v>
      </c>
      <c r="I950" s="13" t="str">
        <f>IFERROR(__xludf.DUMMYFUNCTION("""COMPUTED_VALUE"""),"Initmates")</f>
        <v>Initmates</v>
      </c>
      <c r="J950" s="13" t="str">
        <f>IFERROR(__xludf.DUMMYFUNCTION("""COMPUTED_VALUE"""),"Intimate")</f>
        <v>Intimate</v>
      </c>
      <c r="K950" s="13" t="str">
        <f>IFERROR(__xludf.DUMMYFUNCTION("""COMPUTED_VALUE"""),"Sleep")</f>
        <v>Sleep</v>
      </c>
      <c r="L950" s="13"/>
    </row>
    <row r="951">
      <c r="A951" s="13">
        <f>IFERROR(__xludf.DUMMYFUNCTION("""COMPUTED_VALUE"""),949.0)</f>
        <v>949</v>
      </c>
      <c r="B951" s="13">
        <f>IFERROR(__xludf.DUMMYFUNCTION("""COMPUTED_VALUE"""),936.0)</f>
        <v>936</v>
      </c>
      <c r="C951" s="13">
        <f>IFERROR(__xludf.DUMMYFUNCTION("""COMPUTED_VALUE"""),36.0)</f>
        <v>36</v>
      </c>
      <c r="D951" s="12" t="str">
        <f>IFERROR(__xludf.DUMMYFUNCTION("""COMPUTED_VALUE"""),"Little green riding hood")</f>
        <v>Little green riding hood</v>
      </c>
      <c r="E951" s="12" t="str">
        <f>IFERROR(__xludf.DUMMYFUNCTION("""COMPUTED_VALUE"""),"Was looking for a replacement coat and saw this lovely. tried on large but was more roomy than needed, even for a coat. tried petite version but found it too short for my taste. decided on medium in green and cannot complain. comfy &amp; stylish. more car coa"&amp;"t than main winter coat. have been wearing it daily over light layers so far in our mildish nw winter.")</f>
        <v>Was looking for a replacement coat and saw this lovely. tried on large but was more roomy than needed, even for a coat. tried petite version but found it too short for my taste. decided on medium in green and cannot complain. comfy &amp; stylish. more car coat than main winter coat. have been wearing it daily over light layers so far in our mildish nw winter.</v>
      </c>
      <c r="F951" s="13">
        <f>IFERROR(__xludf.DUMMYFUNCTION("""COMPUTED_VALUE"""),4.0)</f>
        <v>4</v>
      </c>
      <c r="G951" s="13">
        <f>IFERROR(__xludf.DUMMYFUNCTION("""COMPUTED_VALUE"""),1.0)</f>
        <v>1</v>
      </c>
      <c r="H951" s="13">
        <f>IFERROR(__xludf.DUMMYFUNCTION("""COMPUTED_VALUE"""),0.0)</f>
        <v>0</v>
      </c>
      <c r="I951" s="13" t="str">
        <f>IFERROR(__xludf.DUMMYFUNCTION("""COMPUTED_VALUE"""),"General")</f>
        <v>General</v>
      </c>
      <c r="J951" s="13" t="str">
        <f>IFERROR(__xludf.DUMMYFUNCTION("""COMPUTED_VALUE"""),"Tops")</f>
        <v>Tops</v>
      </c>
      <c r="K951" s="13" t="str">
        <f>IFERROR(__xludf.DUMMYFUNCTION("""COMPUTED_VALUE"""),"Sweaters")</f>
        <v>Sweaters</v>
      </c>
      <c r="L951" s="13"/>
    </row>
    <row r="952">
      <c r="A952" s="13">
        <f>IFERROR(__xludf.DUMMYFUNCTION("""COMPUTED_VALUE"""),950.0)</f>
        <v>950</v>
      </c>
      <c r="B952" s="13">
        <f>IFERROR(__xludf.DUMMYFUNCTION("""COMPUTED_VALUE"""),1094.0)</f>
        <v>1094</v>
      </c>
      <c r="C952" s="13">
        <f>IFERROR(__xludf.DUMMYFUNCTION("""COMPUTED_VALUE"""),35.0)</f>
        <v>35</v>
      </c>
      <c r="D952" s="12" t="str">
        <f>IFERROR(__xludf.DUMMYFUNCTION("""COMPUTED_VALUE"""),"Great dress for all occasions")</f>
        <v>Great dress for all occasions</v>
      </c>
      <c r="E952" s="12" t="str">
        <f>IFERROR(__xludf.DUMMYFUNCTION("""COMPUTED_VALUE"""),"Another great dress by retailer. i've worn it with tall boots with heels, riding boots and booties...all look really good. i've also added a cream/beige cardigan and even a fuzzy/furry vest. very versatile. the only few things that i would have liked even"&amp;" more is that design of the dress be actual stitching and not just a flat print and also the material does shrink a tat when you wash it. it's a staple and keeper.")</f>
        <v>Another great dress by retailer. i've worn it with tall boots with heels, riding boots and booties...all look really good. i've also added a cream/beige cardigan and even a fuzzy/furry vest. very versatile. the only few things that i would have liked even more is that design of the dress be actual stitching and not just a flat print and also the material does shrink a tat when you wash it. it's a staple and keeper.</v>
      </c>
      <c r="F952" s="13">
        <f>IFERROR(__xludf.DUMMYFUNCTION("""COMPUTED_VALUE"""),4.0)</f>
        <v>4</v>
      </c>
      <c r="G952" s="13">
        <f>IFERROR(__xludf.DUMMYFUNCTION("""COMPUTED_VALUE"""),1.0)</f>
        <v>1</v>
      </c>
      <c r="H952" s="13">
        <f>IFERROR(__xludf.DUMMYFUNCTION("""COMPUTED_VALUE"""),0.0)</f>
        <v>0</v>
      </c>
      <c r="I952" s="13" t="str">
        <f>IFERROR(__xludf.DUMMYFUNCTION("""COMPUTED_VALUE"""),"General")</f>
        <v>General</v>
      </c>
      <c r="J952" s="13" t="str">
        <f>IFERROR(__xludf.DUMMYFUNCTION("""COMPUTED_VALUE"""),"Dresses")</f>
        <v>Dresses</v>
      </c>
      <c r="K952" s="13" t="str">
        <f>IFERROR(__xludf.DUMMYFUNCTION("""COMPUTED_VALUE"""),"Dresses")</f>
        <v>Dresses</v>
      </c>
      <c r="L952" s="13"/>
    </row>
    <row r="953">
      <c r="A953" s="13">
        <f>IFERROR(__xludf.DUMMYFUNCTION("""COMPUTED_VALUE"""),951.0)</f>
        <v>951</v>
      </c>
      <c r="B953" s="13">
        <f>IFERROR(__xludf.DUMMYFUNCTION("""COMPUTED_VALUE"""),158.0)</f>
        <v>158</v>
      </c>
      <c r="C953" s="13">
        <f>IFERROR(__xludf.DUMMYFUNCTION("""COMPUTED_VALUE"""),25.0)</f>
        <v>25</v>
      </c>
      <c r="D953" s="12" t="str">
        <f>IFERROR(__xludf.DUMMYFUNCTION("""COMPUTED_VALUE"""),"Love these for fall!")</f>
        <v>Love these for fall!</v>
      </c>
      <c r="E953" s="12" t="str">
        <f>IFERROR(__xludf.DUMMYFUNCTION("""COMPUTED_VALUE"""),"These are both adorable and practical?they're versatile enough to dress up or down, and they are just warm enough for fall temperatures. these will definitely be my go-to tights this season.")</f>
        <v>These are both adorable and practical?they're versatile enough to dress up or down, and they are just warm enough for fall temperatures. these will definitely be my go-to tights this season.</v>
      </c>
      <c r="F953" s="13">
        <f>IFERROR(__xludf.DUMMYFUNCTION("""COMPUTED_VALUE"""),5.0)</f>
        <v>5</v>
      </c>
      <c r="G953" s="13">
        <f>IFERROR(__xludf.DUMMYFUNCTION("""COMPUTED_VALUE"""),1.0)</f>
        <v>1</v>
      </c>
      <c r="H953" s="13">
        <f>IFERROR(__xludf.DUMMYFUNCTION("""COMPUTED_VALUE"""),1.0)</f>
        <v>1</v>
      </c>
      <c r="I953" s="13" t="str">
        <f>IFERROR(__xludf.DUMMYFUNCTION("""COMPUTED_VALUE"""),"Initmates")</f>
        <v>Initmates</v>
      </c>
      <c r="J953" s="13" t="str">
        <f>IFERROR(__xludf.DUMMYFUNCTION("""COMPUTED_VALUE"""),"Intimate")</f>
        <v>Intimate</v>
      </c>
      <c r="K953" s="13" t="str">
        <f>IFERROR(__xludf.DUMMYFUNCTION("""COMPUTED_VALUE"""),"Legwear")</f>
        <v>Legwear</v>
      </c>
      <c r="L953" s="13"/>
    </row>
    <row r="954">
      <c r="A954" s="13">
        <f>IFERROR(__xludf.DUMMYFUNCTION("""COMPUTED_VALUE"""),952.0)</f>
        <v>952</v>
      </c>
      <c r="B954" s="13">
        <f>IFERROR(__xludf.DUMMYFUNCTION("""COMPUTED_VALUE"""),1033.0)</f>
        <v>1033</v>
      </c>
      <c r="C954" s="13">
        <f>IFERROR(__xludf.DUMMYFUNCTION("""COMPUTED_VALUE"""),37.0)</f>
        <v>37</v>
      </c>
      <c r="D954" s="12" t="str">
        <f>IFERROR(__xludf.DUMMYFUNCTION("""COMPUTED_VALUE"""),"Luv! so comfy")</f>
        <v>Luv! so comfy</v>
      </c>
      <c r="E954" s="12" t="str">
        <f>IFERROR(__xludf.DUMMYFUNCTION("""COMPUTED_VALUE"""),"Luv these jeans! they felt so comfy the first time i put them on. it's like butter! i'm a 26 but went down a size and wear a belt. they said they r high rise but i can't see how - but no complaints as i can breathe in them :)")</f>
        <v>Luv these jeans! they felt so comfy the first time i put them on. it's like butter! i'm a 26 but went down a size and wear a belt. they said they r high rise but i can't see how - but no complaints as i can breathe in them :)</v>
      </c>
      <c r="F954" s="13">
        <f>IFERROR(__xludf.DUMMYFUNCTION("""COMPUTED_VALUE"""),4.0)</f>
        <v>4</v>
      </c>
      <c r="G954" s="13">
        <f>IFERROR(__xludf.DUMMYFUNCTION("""COMPUTED_VALUE"""),1.0)</f>
        <v>1</v>
      </c>
      <c r="H954" s="13">
        <f>IFERROR(__xludf.DUMMYFUNCTION("""COMPUTED_VALUE"""),2.0)</f>
        <v>2</v>
      </c>
      <c r="I954" s="13" t="str">
        <f>IFERROR(__xludf.DUMMYFUNCTION("""COMPUTED_VALUE"""),"General Petite")</f>
        <v>General Petite</v>
      </c>
      <c r="J954" s="13" t="str">
        <f>IFERROR(__xludf.DUMMYFUNCTION("""COMPUTED_VALUE"""),"Bottoms")</f>
        <v>Bottoms</v>
      </c>
      <c r="K954" s="13" t="str">
        <f>IFERROR(__xludf.DUMMYFUNCTION("""COMPUTED_VALUE"""),"Jeans")</f>
        <v>Jeans</v>
      </c>
      <c r="L954" s="13"/>
    </row>
    <row r="955">
      <c r="A955" s="13">
        <f>IFERROR(__xludf.DUMMYFUNCTION("""COMPUTED_VALUE"""),953.0)</f>
        <v>953</v>
      </c>
      <c r="B955" s="13">
        <f>IFERROR(__xludf.DUMMYFUNCTION("""COMPUTED_VALUE"""),154.0)</f>
        <v>154</v>
      </c>
      <c r="C955" s="13">
        <f>IFERROR(__xludf.DUMMYFUNCTION("""COMPUTED_VALUE"""),29.0)</f>
        <v>29</v>
      </c>
      <c r="D955" s="12" t="str">
        <f>IFERROR(__xludf.DUMMYFUNCTION("""COMPUTED_VALUE"""),"Soft and unique but short sleeves")</f>
        <v>Soft and unique but short sleeves</v>
      </c>
      <c r="E955" s="12" t="str">
        <f>IFERROR(__xludf.DUMMYFUNCTION("""COMPUTED_VALUE"""),"Love this! easy to dress up and down, has a great length on the torso but the sleeves are about 2-3 inches from my wrist bone, i see why the model has them pushed/rolled up- which is how i wear the shirt now too. but then it's hard to layer under a coat.")</f>
        <v>Love this! easy to dress up and down, has a great length on the torso but the sleeves are about 2-3 inches from my wrist bone, i see why the model has them pushed/rolled up- which is how i wear the shirt now too. but then it's hard to layer under a coat.</v>
      </c>
      <c r="F955" s="13">
        <f>IFERROR(__xludf.DUMMYFUNCTION("""COMPUTED_VALUE"""),4.0)</f>
        <v>4</v>
      </c>
      <c r="G955" s="13">
        <f>IFERROR(__xludf.DUMMYFUNCTION("""COMPUTED_VALUE"""),1.0)</f>
        <v>1</v>
      </c>
      <c r="H955" s="13">
        <f>IFERROR(__xludf.DUMMYFUNCTION("""COMPUTED_VALUE"""),1.0)</f>
        <v>1</v>
      </c>
      <c r="I955" s="13" t="str">
        <f>IFERROR(__xludf.DUMMYFUNCTION("""COMPUTED_VALUE"""),"Initmates")</f>
        <v>Initmates</v>
      </c>
      <c r="J955" s="13" t="str">
        <f>IFERROR(__xludf.DUMMYFUNCTION("""COMPUTED_VALUE"""),"Intimate")</f>
        <v>Intimate</v>
      </c>
      <c r="K955" s="13" t="str">
        <f>IFERROR(__xludf.DUMMYFUNCTION("""COMPUTED_VALUE"""),"Sleep")</f>
        <v>Sleep</v>
      </c>
      <c r="L955" s="13"/>
    </row>
    <row r="956">
      <c r="A956" s="13">
        <f>IFERROR(__xludf.DUMMYFUNCTION("""COMPUTED_VALUE"""),954.0)</f>
        <v>954</v>
      </c>
      <c r="B956" s="13">
        <f>IFERROR(__xludf.DUMMYFUNCTION("""COMPUTED_VALUE"""),1094.0)</f>
        <v>1094</v>
      </c>
      <c r="C956" s="13">
        <f>IFERROR(__xludf.DUMMYFUNCTION("""COMPUTED_VALUE"""),44.0)</f>
        <v>44</v>
      </c>
      <c r="D956" s="12"/>
      <c r="E956" s="12" t="str">
        <f>IFERROR(__xludf.DUMMYFUNCTION("""COMPUTED_VALUE"""),"This is an absolutely gorgeous dress that stands out everywhere i go. it runs true to size and has a slimming effect because of the detail running down the sides.")</f>
        <v>This is an absolutely gorgeous dress that stands out everywhere i go. it runs true to size and has a slimming effect because of the detail running down the sides.</v>
      </c>
      <c r="F956" s="13">
        <f>IFERROR(__xludf.DUMMYFUNCTION("""COMPUTED_VALUE"""),5.0)</f>
        <v>5</v>
      </c>
      <c r="G956" s="13">
        <f>IFERROR(__xludf.DUMMYFUNCTION("""COMPUTED_VALUE"""),1.0)</f>
        <v>1</v>
      </c>
      <c r="H956" s="13">
        <f>IFERROR(__xludf.DUMMYFUNCTION("""COMPUTED_VALUE"""),0.0)</f>
        <v>0</v>
      </c>
      <c r="I956" s="13" t="str">
        <f>IFERROR(__xludf.DUMMYFUNCTION("""COMPUTED_VALUE"""),"General")</f>
        <v>General</v>
      </c>
      <c r="J956" s="13" t="str">
        <f>IFERROR(__xludf.DUMMYFUNCTION("""COMPUTED_VALUE"""),"Dresses")</f>
        <v>Dresses</v>
      </c>
      <c r="K956" s="13" t="str">
        <f>IFERROR(__xludf.DUMMYFUNCTION("""COMPUTED_VALUE"""),"Dresses")</f>
        <v>Dresses</v>
      </c>
      <c r="L956" s="13"/>
    </row>
    <row r="957">
      <c r="A957" s="13">
        <f>IFERROR(__xludf.DUMMYFUNCTION("""COMPUTED_VALUE"""),955.0)</f>
        <v>955</v>
      </c>
      <c r="B957" s="13">
        <f>IFERROR(__xludf.DUMMYFUNCTION("""COMPUTED_VALUE"""),936.0)</f>
        <v>936</v>
      </c>
      <c r="C957" s="13">
        <f>IFERROR(__xludf.DUMMYFUNCTION("""COMPUTED_VALUE"""),31.0)</f>
        <v>31</v>
      </c>
      <c r="D957" s="12" t="str">
        <f>IFERROR(__xludf.DUMMYFUNCTION("""COMPUTED_VALUE"""),"Shapeless")</f>
        <v>Shapeless</v>
      </c>
      <c r="E957" s="12" t="str">
        <f>IFERROR(__xludf.DUMMYFUNCTION("""COMPUTED_VALUE"""),"5'1'' 43-31-43. i really wanted to love this coat: the material is nice, the green color is dark and rich, it has a hood. however, the cut is bad for me (and probably a lot of other people). the shoulders were cut too wide and impeded movement, and the bu"&amp;"st and hips were cut too tight, overall it was just boxy. i have another boiled wool coat that i bought at retailer about 7 years ago and though it's cut oversize like this one, it has a much fuller sweep, so the proportions still seem right. also")</f>
        <v>5'1'' 43-31-43. i really wanted to love this coat: the material is nice, the green color is dark and rich, it has a hood. however, the cut is bad for me (and probably a lot of other people). the shoulders were cut too wide and impeded movement, and the bust and hips were cut too tight, overall it was just boxy. i have another boiled wool coat that i bought at retailer about 7 years ago and though it's cut oversize like this one, it has a much fuller sweep, so the proportions still seem right. also</v>
      </c>
      <c r="F957" s="13">
        <f>IFERROR(__xludf.DUMMYFUNCTION("""COMPUTED_VALUE"""),3.0)</f>
        <v>3</v>
      </c>
      <c r="G957" s="13">
        <f>IFERROR(__xludf.DUMMYFUNCTION("""COMPUTED_VALUE"""),0.0)</f>
        <v>0</v>
      </c>
      <c r="H957" s="13">
        <f>IFERROR(__xludf.DUMMYFUNCTION("""COMPUTED_VALUE"""),1.0)</f>
        <v>1</v>
      </c>
      <c r="I957" s="13" t="str">
        <f>IFERROR(__xludf.DUMMYFUNCTION("""COMPUTED_VALUE"""),"General")</f>
        <v>General</v>
      </c>
      <c r="J957" s="13" t="str">
        <f>IFERROR(__xludf.DUMMYFUNCTION("""COMPUTED_VALUE"""),"Tops")</f>
        <v>Tops</v>
      </c>
      <c r="K957" s="13" t="str">
        <f>IFERROR(__xludf.DUMMYFUNCTION("""COMPUTED_VALUE"""),"Sweaters")</f>
        <v>Sweaters</v>
      </c>
      <c r="L957" s="13"/>
    </row>
    <row r="958">
      <c r="A958" s="13">
        <f>IFERROR(__xludf.DUMMYFUNCTION("""COMPUTED_VALUE"""),956.0)</f>
        <v>956</v>
      </c>
      <c r="B958" s="13">
        <f>IFERROR(__xludf.DUMMYFUNCTION("""COMPUTED_VALUE"""),1094.0)</f>
        <v>1094</v>
      </c>
      <c r="C958" s="13">
        <f>IFERROR(__xludf.DUMMYFUNCTION("""COMPUTED_VALUE"""),54.0)</f>
        <v>54</v>
      </c>
      <c r="D958" s="12" t="str">
        <f>IFERROR(__xludf.DUMMYFUNCTION("""COMPUTED_VALUE"""),"Divine and comfortable")</f>
        <v>Divine and comfortable</v>
      </c>
      <c r="E958" s="12" t="str">
        <f>IFERROR(__xludf.DUMMYFUNCTION("""COMPUTED_VALUE"""),"First, i've been in love with this dress for months. when it went on sale i absolutely had to have it! i'm 5'4"" and 150 pounds and typically wear large stuff from retailer but after reading other reviews i decided to get the medium. it's more generous th"&amp;"an i expected and wonder if i could've even gone with a small. i might try a belt. either way i'm very very happy with the dress. the sleeves are not too long - and i didn't get the petite because i wanted the length in the skirt. the lining makes")</f>
        <v>First, i've been in love with this dress for months. when it went on sale i absolutely had to have it! i'm 5'4" and 150 pounds and typically wear large stuff from retailer but after reading other reviews i decided to get the medium. it's more generous than i expected and wonder if i could've even gone with a small. i might try a belt. either way i'm very very happy with the dress. the sleeves are not too long - and i didn't get the petite because i wanted the length in the skirt. the lining makes</v>
      </c>
      <c r="F958" s="13">
        <f>IFERROR(__xludf.DUMMYFUNCTION("""COMPUTED_VALUE"""),5.0)</f>
        <v>5</v>
      </c>
      <c r="G958" s="13">
        <f>IFERROR(__xludf.DUMMYFUNCTION("""COMPUTED_VALUE"""),1.0)</f>
        <v>1</v>
      </c>
      <c r="H958" s="13">
        <f>IFERROR(__xludf.DUMMYFUNCTION("""COMPUTED_VALUE"""),0.0)</f>
        <v>0</v>
      </c>
      <c r="I958" s="13" t="str">
        <f>IFERROR(__xludf.DUMMYFUNCTION("""COMPUTED_VALUE"""),"General")</f>
        <v>General</v>
      </c>
      <c r="J958" s="13" t="str">
        <f>IFERROR(__xludf.DUMMYFUNCTION("""COMPUTED_VALUE"""),"Dresses")</f>
        <v>Dresses</v>
      </c>
      <c r="K958" s="13" t="str">
        <f>IFERROR(__xludf.DUMMYFUNCTION("""COMPUTED_VALUE"""),"Dresses")</f>
        <v>Dresses</v>
      </c>
      <c r="L958" s="13"/>
    </row>
    <row r="959">
      <c r="A959" s="13">
        <f>IFERROR(__xludf.DUMMYFUNCTION("""COMPUTED_VALUE"""),957.0)</f>
        <v>957</v>
      </c>
      <c r="B959" s="13">
        <f>IFERROR(__xludf.DUMMYFUNCTION("""COMPUTED_VALUE"""),936.0)</f>
        <v>936</v>
      </c>
      <c r="C959" s="13">
        <f>IFERROR(__xludf.DUMMYFUNCTION("""COMPUTED_VALUE"""),31.0)</f>
        <v>31</v>
      </c>
      <c r="D959" s="12" t="str">
        <f>IFERROR(__xludf.DUMMYFUNCTION("""COMPUTED_VALUE"""),"Must try on")</f>
        <v>Must try on</v>
      </c>
      <c r="E959" s="12" t="str">
        <f>IFERROR(__xludf.DUMMYFUNCTION("""COMPUTED_VALUE"""),"The sweater coat is a must try on! it's a great fall to winter coat, that you can leave on all day if you need. i bought the dark green, which is very dark yet gorgeous and have the beautiful coral saved in my cart as well. i am 5'5"", 135lbs, 34c, ordere"&amp;"d the size small and have plenty of room (did not want it tight and wanted to be able to wear over thick layers).")</f>
        <v>The sweater coat is a must try on! it's a great fall to winter coat, that you can leave on all day if you need. i bought the dark green, which is very dark yet gorgeous and have the beautiful coral saved in my cart as well. i am 5'5", 135lbs, 34c, ordered the size small and have plenty of room (did not want it tight and wanted to be able to wear over thick layers).</v>
      </c>
      <c r="F959" s="13">
        <f>IFERROR(__xludf.DUMMYFUNCTION("""COMPUTED_VALUE"""),5.0)</f>
        <v>5</v>
      </c>
      <c r="G959" s="13">
        <f>IFERROR(__xludf.DUMMYFUNCTION("""COMPUTED_VALUE"""),1.0)</f>
        <v>1</v>
      </c>
      <c r="H959" s="13">
        <f>IFERROR(__xludf.DUMMYFUNCTION("""COMPUTED_VALUE"""),11.0)</f>
        <v>11</v>
      </c>
      <c r="I959" s="13" t="str">
        <f>IFERROR(__xludf.DUMMYFUNCTION("""COMPUTED_VALUE"""),"General")</f>
        <v>General</v>
      </c>
      <c r="J959" s="13" t="str">
        <f>IFERROR(__xludf.DUMMYFUNCTION("""COMPUTED_VALUE"""),"Tops")</f>
        <v>Tops</v>
      </c>
      <c r="K959" s="13" t="str">
        <f>IFERROR(__xludf.DUMMYFUNCTION("""COMPUTED_VALUE"""),"Sweaters")</f>
        <v>Sweaters</v>
      </c>
      <c r="L959" s="13"/>
    </row>
    <row r="960">
      <c r="A960" s="13">
        <f>IFERROR(__xludf.DUMMYFUNCTION("""COMPUTED_VALUE"""),958.0)</f>
        <v>958</v>
      </c>
      <c r="B960" s="13">
        <f>IFERROR(__xludf.DUMMYFUNCTION("""COMPUTED_VALUE"""),936.0)</f>
        <v>936</v>
      </c>
      <c r="C960" s="13">
        <f>IFERROR(__xludf.DUMMYFUNCTION("""COMPUTED_VALUE"""),82.0)</f>
        <v>82</v>
      </c>
      <c r="D960" s="12"/>
      <c r="E960" s="12" t="str">
        <f>IFERROR(__xludf.DUMMYFUNCTION("""COMPUTED_VALUE"""),"Just purchased this coral coat today. the color is beautiful. the quality is excellent and the coat itself is lightweight,great for travel. great purchase and would recommend buying. going to new york and can't wait to wear it . love, love this coat")</f>
        <v>Just purchased this coral coat today. the color is beautiful. the quality is excellent and the coat itself is lightweight,great for travel. great purchase and would recommend buying. going to new york and can't wait to wear it . love, love this coat</v>
      </c>
      <c r="F960" s="13">
        <f>IFERROR(__xludf.DUMMYFUNCTION("""COMPUTED_VALUE"""),5.0)</f>
        <v>5</v>
      </c>
      <c r="G960" s="13">
        <f>IFERROR(__xludf.DUMMYFUNCTION("""COMPUTED_VALUE"""),1.0)</f>
        <v>1</v>
      </c>
      <c r="H960" s="13">
        <f>IFERROR(__xludf.DUMMYFUNCTION("""COMPUTED_VALUE"""),0.0)</f>
        <v>0</v>
      </c>
      <c r="I960" s="13" t="str">
        <f>IFERROR(__xludf.DUMMYFUNCTION("""COMPUTED_VALUE"""),"General")</f>
        <v>General</v>
      </c>
      <c r="J960" s="13" t="str">
        <f>IFERROR(__xludf.DUMMYFUNCTION("""COMPUTED_VALUE"""),"Tops")</f>
        <v>Tops</v>
      </c>
      <c r="K960" s="13" t="str">
        <f>IFERROR(__xludf.DUMMYFUNCTION("""COMPUTED_VALUE"""),"Sweaters")</f>
        <v>Sweaters</v>
      </c>
      <c r="L960" s="13"/>
    </row>
    <row r="961">
      <c r="A961" s="13">
        <f>IFERROR(__xludf.DUMMYFUNCTION("""COMPUTED_VALUE"""),959.0)</f>
        <v>959</v>
      </c>
      <c r="B961" s="13">
        <f>IFERROR(__xludf.DUMMYFUNCTION("""COMPUTED_VALUE"""),1154.0)</f>
        <v>1154</v>
      </c>
      <c r="C961" s="13">
        <f>IFERROR(__xludf.DUMMYFUNCTION("""COMPUTED_VALUE"""),39.0)</f>
        <v>39</v>
      </c>
      <c r="D961" s="12" t="str">
        <f>IFERROR(__xludf.DUMMYFUNCTION("""COMPUTED_VALUE"""),"Pretty color, nice fit, fun t-back")</f>
        <v>Pretty color, nice fit, fun t-back</v>
      </c>
      <c r="E961" s="12" t="str">
        <f>IFERROR(__xludf.DUMMYFUNCTION("""COMPUTED_VALUE"""),"I guess this is a true to size, i am usually a 30dd and ordered 32d, fits great. the back is really pretty, so even though it is a tiny bit looser, i decided to keep it...")</f>
        <v>I guess this is a true to size, i am usually a 30dd and ordered 32d, fits great. the back is really pretty, so even though it is a tiny bit looser, i decided to keep it...</v>
      </c>
      <c r="F961" s="13">
        <f>IFERROR(__xludf.DUMMYFUNCTION("""COMPUTED_VALUE"""),5.0)</f>
        <v>5</v>
      </c>
      <c r="G961" s="13">
        <f>IFERROR(__xludf.DUMMYFUNCTION("""COMPUTED_VALUE"""),1.0)</f>
        <v>1</v>
      </c>
      <c r="H961" s="13">
        <f>IFERROR(__xludf.DUMMYFUNCTION("""COMPUTED_VALUE"""),0.0)</f>
        <v>0</v>
      </c>
      <c r="I961" s="13" t="str">
        <f>IFERROR(__xludf.DUMMYFUNCTION("""COMPUTED_VALUE"""),"Initmates")</f>
        <v>Initmates</v>
      </c>
      <c r="J961" s="13" t="str">
        <f>IFERROR(__xludf.DUMMYFUNCTION("""COMPUTED_VALUE"""),"Intimate")</f>
        <v>Intimate</v>
      </c>
      <c r="K961" s="13" t="str">
        <f>IFERROR(__xludf.DUMMYFUNCTION("""COMPUTED_VALUE"""),"Intimates")</f>
        <v>Intimates</v>
      </c>
      <c r="L961" s="13"/>
    </row>
    <row r="962">
      <c r="A962" s="13">
        <f>IFERROR(__xludf.DUMMYFUNCTION("""COMPUTED_VALUE"""),960.0)</f>
        <v>960</v>
      </c>
      <c r="B962" s="13">
        <f>IFERROR(__xludf.DUMMYFUNCTION("""COMPUTED_VALUE"""),1022.0)</f>
        <v>1022</v>
      </c>
      <c r="C962" s="13">
        <f>IFERROR(__xludf.DUMMYFUNCTION("""COMPUTED_VALUE"""),39.0)</f>
        <v>39</v>
      </c>
      <c r="D962" s="12" t="str">
        <f>IFERROR(__xludf.DUMMYFUNCTION("""COMPUTED_VALUE"""),"Loose waist")</f>
        <v>Loose waist</v>
      </c>
      <c r="E962" s="12" t="str">
        <f>IFERROR(__xludf.DUMMYFUNCTION("""COMPUTED_VALUE"""),"I tried these on as a return at my store and sadly, they fit great everywhere ecept at the waist. i had almost 2 inches gaping at the waist... my usual size. the rest of the pant was absolutely awesome though. for reference, i tried n a 25 and am 115 lbs "&amp;"and short... bummer htey don't come in petite or 24...")</f>
        <v>I tried these on as a return at my store and sadly, they fit great everywhere ecept at the waist. i had almost 2 inches gaping at the waist... my usual size. the rest of the pant was absolutely awesome though. for reference, i tried n a 25 and am 115 lbs and short... bummer htey don't come in petite or 24...</v>
      </c>
      <c r="F962" s="13">
        <f>IFERROR(__xludf.DUMMYFUNCTION("""COMPUTED_VALUE"""),4.0)</f>
        <v>4</v>
      </c>
      <c r="G962" s="13">
        <f>IFERROR(__xludf.DUMMYFUNCTION("""COMPUTED_VALUE"""),1.0)</f>
        <v>1</v>
      </c>
      <c r="H962" s="13">
        <f>IFERROR(__xludf.DUMMYFUNCTION("""COMPUTED_VALUE"""),1.0)</f>
        <v>1</v>
      </c>
      <c r="I962" s="13" t="str">
        <f>IFERROR(__xludf.DUMMYFUNCTION("""COMPUTED_VALUE"""),"General")</f>
        <v>General</v>
      </c>
      <c r="J962" s="13" t="str">
        <f>IFERROR(__xludf.DUMMYFUNCTION("""COMPUTED_VALUE"""),"Bottoms")</f>
        <v>Bottoms</v>
      </c>
      <c r="K962" s="13" t="str">
        <f>IFERROR(__xludf.DUMMYFUNCTION("""COMPUTED_VALUE"""),"Jeans")</f>
        <v>Jeans</v>
      </c>
      <c r="L962" s="13"/>
    </row>
    <row r="963">
      <c r="A963" s="13">
        <f>IFERROR(__xludf.DUMMYFUNCTION("""COMPUTED_VALUE"""),961.0)</f>
        <v>961</v>
      </c>
      <c r="B963" s="13">
        <f>IFERROR(__xludf.DUMMYFUNCTION("""COMPUTED_VALUE"""),949.0)</f>
        <v>949</v>
      </c>
      <c r="C963" s="13">
        <f>IFERROR(__xludf.DUMMYFUNCTION("""COMPUTED_VALUE"""),28.0)</f>
        <v>28</v>
      </c>
      <c r="D963" s="12" t="str">
        <f>IFERROR(__xludf.DUMMYFUNCTION("""COMPUTED_VALUE"""),"Want go get another in a diff color")</f>
        <v>Want go get another in a diff color</v>
      </c>
      <c r="E963" s="12" t="str">
        <f>IFERROR(__xludf.DUMMYFUNCTION("""COMPUTED_VALUE"""),"Saw this in store in coral color and new i had to try. love. it's the perfect, cozy cute sweater, color is beautiful and fit is great. i am 5 5"" 135 lbs and i tried both the small and extra small. i went with the xs for a more flattering fit. i love it.")</f>
        <v>Saw this in store in coral color and new i had to try. love. it's the perfect, cozy cute sweater, color is beautiful and fit is great. i am 5 5" 135 lbs and i tried both the small and extra small. i went with the xs for a more flattering fit. i love it.</v>
      </c>
      <c r="F963" s="13">
        <f>IFERROR(__xludf.DUMMYFUNCTION("""COMPUTED_VALUE"""),5.0)</f>
        <v>5</v>
      </c>
      <c r="G963" s="13">
        <f>IFERROR(__xludf.DUMMYFUNCTION("""COMPUTED_VALUE"""),1.0)</f>
        <v>1</v>
      </c>
      <c r="H963" s="13">
        <f>IFERROR(__xludf.DUMMYFUNCTION("""COMPUTED_VALUE"""),0.0)</f>
        <v>0</v>
      </c>
      <c r="I963" s="13" t="str">
        <f>IFERROR(__xludf.DUMMYFUNCTION("""COMPUTED_VALUE"""),"General")</f>
        <v>General</v>
      </c>
      <c r="J963" s="13" t="str">
        <f>IFERROR(__xludf.DUMMYFUNCTION("""COMPUTED_VALUE"""),"Tops")</f>
        <v>Tops</v>
      </c>
      <c r="K963" s="13" t="str">
        <f>IFERROR(__xludf.DUMMYFUNCTION("""COMPUTED_VALUE"""),"Sweaters")</f>
        <v>Sweaters</v>
      </c>
      <c r="L963" s="13"/>
    </row>
    <row r="964">
      <c r="A964" s="13">
        <f>IFERROR(__xludf.DUMMYFUNCTION("""COMPUTED_VALUE"""),962.0)</f>
        <v>962</v>
      </c>
      <c r="B964" s="13">
        <f>IFERROR(__xludf.DUMMYFUNCTION("""COMPUTED_VALUE"""),154.0)</f>
        <v>154</v>
      </c>
      <c r="C964" s="13">
        <f>IFERROR(__xludf.DUMMYFUNCTION("""COMPUTED_VALUE"""),38.0)</f>
        <v>38</v>
      </c>
      <c r="D964" s="12" t="str">
        <f>IFERROR(__xludf.DUMMYFUNCTION("""COMPUTED_VALUE"""),"Soft but boxy")</f>
        <v>Soft but boxy</v>
      </c>
      <c r="E964" s="12" t="str">
        <f>IFERROR(__xludf.DUMMYFUNCTION("""COMPUTED_VALUE"""),"I love the feel and design of this pullover. it is extremely soft and comfy to wear. however, i did find that it runs slightly large, is a bit boxy and the sleeves are a bit lengthy. probably not the best for a petite frame. i am trying to decide if i sho"&amp;"uld keep it though simply for the softness and ease of wearing that it provides.")</f>
        <v>I love the feel and design of this pullover. it is extremely soft and comfy to wear. however, i did find that it runs slightly large, is a bit boxy and the sleeves are a bit lengthy. probably not the best for a petite frame. i am trying to decide if i should keep it though simply for the softness and ease of wearing that it provides.</v>
      </c>
      <c r="F964" s="13">
        <f>IFERROR(__xludf.DUMMYFUNCTION("""COMPUTED_VALUE"""),4.0)</f>
        <v>4</v>
      </c>
      <c r="G964" s="13">
        <f>IFERROR(__xludf.DUMMYFUNCTION("""COMPUTED_VALUE"""),1.0)</f>
        <v>1</v>
      </c>
      <c r="H964" s="13">
        <f>IFERROR(__xludf.DUMMYFUNCTION("""COMPUTED_VALUE"""),0.0)</f>
        <v>0</v>
      </c>
      <c r="I964" s="13" t="str">
        <f>IFERROR(__xludf.DUMMYFUNCTION("""COMPUTED_VALUE"""),"Initmates")</f>
        <v>Initmates</v>
      </c>
      <c r="J964" s="13" t="str">
        <f>IFERROR(__xludf.DUMMYFUNCTION("""COMPUTED_VALUE"""),"Intimate")</f>
        <v>Intimate</v>
      </c>
      <c r="K964" s="13" t="str">
        <f>IFERROR(__xludf.DUMMYFUNCTION("""COMPUTED_VALUE"""),"Sleep")</f>
        <v>Sleep</v>
      </c>
      <c r="L964" s="13"/>
    </row>
    <row r="965">
      <c r="A965" s="13">
        <f>IFERROR(__xludf.DUMMYFUNCTION("""COMPUTED_VALUE"""),963.0)</f>
        <v>963</v>
      </c>
      <c r="B965" s="13">
        <f>IFERROR(__xludf.DUMMYFUNCTION("""COMPUTED_VALUE"""),1033.0)</f>
        <v>1033</v>
      </c>
      <c r="C965" s="13">
        <f>IFERROR(__xludf.DUMMYFUNCTION("""COMPUTED_VALUE"""),37.0)</f>
        <v>37</v>
      </c>
      <c r="D965" s="12" t="str">
        <f>IFERROR(__xludf.DUMMYFUNCTION("""COMPUTED_VALUE"""),"Disappointing fit!")</f>
        <v>Disappointing fit!</v>
      </c>
      <c r="E965" s="12" t="str">
        <f>IFERROR(__xludf.DUMMYFUNCTION("""COMPUTED_VALUE"""),"I originally got these in a 29 petite and thought they fit great right out of the bag (i'm usually a 6/8).. and within an hour of wearing them (to retailer, actually), the knees had gotten so baggy that they looked absolutely ridiculous; i've never had je"&amp;"ans do this. the salesperson at retailer agreed that they seemed very odd. i exchanged for a 28p at her suggestion, and i just hate them. i'd say the smaller size seems every so slightly small, but nothing major - but the waist actually folds over a")</f>
        <v>I originally got these in a 29 petite and thought they fit great right out of the bag (i'm usually a 6/8).. and within an hour of wearing them (to retailer, actually), the knees had gotten so baggy that they looked absolutely ridiculous; i've never had jeans do this. the salesperson at retailer agreed that they seemed very odd. i exchanged for a 28p at her suggestion, and i just hate them. i'd say the smaller size seems every so slightly small, but nothing major - but the waist actually folds over a</v>
      </c>
      <c r="F965" s="13">
        <f>IFERROR(__xludf.DUMMYFUNCTION("""COMPUTED_VALUE"""),2.0)</f>
        <v>2</v>
      </c>
      <c r="G965" s="13">
        <f>IFERROR(__xludf.DUMMYFUNCTION("""COMPUTED_VALUE"""),0.0)</f>
        <v>0</v>
      </c>
      <c r="H965" s="13">
        <f>IFERROR(__xludf.DUMMYFUNCTION("""COMPUTED_VALUE"""),0.0)</f>
        <v>0</v>
      </c>
      <c r="I965" s="13" t="str">
        <f>IFERROR(__xludf.DUMMYFUNCTION("""COMPUTED_VALUE"""),"General Petite")</f>
        <v>General Petite</v>
      </c>
      <c r="J965" s="13" t="str">
        <f>IFERROR(__xludf.DUMMYFUNCTION("""COMPUTED_VALUE"""),"Bottoms")</f>
        <v>Bottoms</v>
      </c>
      <c r="K965" s="13" t="str">
        <f>IFERROR(__xludf.DUMMYFUNCTION("""COMPUTED_VALUE"""),"Jeans")</f>
        <v>Jeans</v>
      </c>
      <c r="L965" s="13"/>
    </row>
    <row r="966">
      <c r="A966" s="13">
        <f>IFERROR(__xludf.DUMMYFUNCTION("""COMPUTED_VALUE"""),964.0)</f>
        <v>964</v>
      </c>
      <c r="B966" s="13">
        <f>IFERROR(__xludf.DUMMYFUNCTION("""COMPUTED_VALUE"""),154.0)</f>
        <v>154</v>
      </c>
      <c r="C966" s="13">
        <f>IFERROR(__xludf.DUMMYFUNCTION("""COMPUTED_VALUE"""),41.0)</f>
        <v>41</v>
      </c>
      <c r="D966" s="12" t="str">
        <f>IFERROR(__xludf.DUMMYFUNCTION("""COMPUTED_VALUE"""),"Super comfy but very boxy")</f>
        <v>Super comfy but very boxy</v>
      </c>
      <c r="E966" s="12" t="str">
        <f>IFERROR(__xludf.DUMMYFUNCTION("""COMPUTED_VALUE"""),"I love this as a lounge-at-home top. the colors and pattern are really pretty, it's soft and warm. very comfy and cozy. but it's also boxy and thick so not a flattering cut.")</f>
        <v>I love this as a lounge-at-home top. the colors and pattern are really pretty, it's soft and warm. very comfy and cozy. but it's also boxy and thick so not a flattering cut.</v>
      </c>
      <c r="F966" s="13">
        <f>IFERROR(__xludf.DUMMYFUNCTION("""COMPUTED_VALUE"""),4.0)</f>
        <v>4</v>
      </c>
      <c r="G966" s="13">
        <f>IFERROR(__xludf.DUMMYFUNCTION("""COMPUTED_VALUE"""),1.0)</f>
        <v>1</v>
      </c>
      <c r="H966" s="13">
        <f>IFERROR(__xludf.DUMMYFUNCTION("""COMPUTED_VALUE"""),0.0)</f>
        <v>0</v>
      </c>
      <c r="I966" s="13" t="str">
        <f>IFERROR(__xludf.DUMMYFUNCTION("""COMPUTED_VALUE"""),"Initmates")</f>
        <v>Initmates</v>
      </c>
      <c r="J966" s="13" t="str">
        <f>IFERROR(__xludf.DUMMYFUNCTION("""COMPUTED_VALUE"""),"Intimate")</f>
        <v>Intimate</v>
      </c>
      <c r="K966" s="13" t="str">
        <f>IFERROR(__xludf.DUMMYFUNCTION("""COMPUTED_VALUE"""),"Sleep")</f>
        <v>Sleep</v>
      </c>
      <c r="L966" s="13"/>
    </row>
    <row r="967">
      <c r="A967" s="13">
        <f>IFERROR(__xludf.DUMMYFUNCTION("""COMPUTED_VALUE"""),965.0)</f>
        <v>965</v>
      </c>
      <c r="B967" s="13">
        <f>IFERROR(__xludf.DUMMYFUNCTION("""COMPUTED_VALUE"""),1140.0)</f>
        <v>1140</v>
      </c>
      <c r="C967" s="13">
        <f>IFERROR(__xludf.DUMMYFUNCTION("""COMPUTED_VALUE"""),36.0)</f>
        <v>36</v>
      </c>
      <c r="D967" s="12"/>
      <c r="E967" s="12" t="str">
        <f>IFERROR(__xludf.DUMMYFUNCTION("""COMPUTED_VALUE"""),"This skirt is not what i was expecting at all. for starters it runs large, i expected it to sit at the natural waist and it is definitely made to do so, but it was a good two inches too big and therefore wouldn't lay flat and gaped at the front. no bueno."&amp;" my biggest gripe, though, is that the color looks nothing like it does in the picture. they have it paired with an ivory top and the two look like they match so well but do not be fooled, the background color of this skirt is not even close to")</f>
        <v>This skirt is not what i was expecting at all. for starters it runs large, i expected it to sit at the natural waist and it is definitely made to do so, but it was a good two inches too big and therefore wouldn't lay flat and gaped at the front. no bueno. my biggest gripe, though, is that the color looks nothing like it does in the picture. they have it paired with an ivory top and the two look like they match so well but do not be fooled, the background color of this skirt is not even close to</v>
      </c>
      <c r="F967" s="13">
        <f>IFERROR(__xludf.DUMMYFUNCTION("""COMPUTED_VALUE"""),3.0)</f>
        <v>3</v>
      </c>
      <c r="G967" s="13">
        <f>IFERROR(__xludf.DUMMYFUNCTION("""COMPUTED_VALUE"""),0.0)</f>
        <v>0</v>
      </c>
      <c r="H967" s="13">
        <f>IFERROR(__xludf.DUMMYFUNCTION("""COMPUTED_VALUE"""),3.0)</f>
        <v>3</v>
      </c>
      <c r="I967" s="13" t="str">
        <f>IFERROR(__xludf.DUMMYFUNCTION("""COMPUTED_VALUE"""),"General Petite")</f>
        <v>General Petite</v>
      </c>
      <c r="J967" s="13" t="str">
        <f>IFERROR(__xludf.DUMMYFUNCTION("""COMPUTED_VALUE"""),"Trend")</f>
        <v>Trend</v>
      </c>
      <c r="K967" s="13" t="str">
        <f>IFERROR(__xludf.DUMMYFUNCTION("""COMPUTED_VALUE"""),"Trend")</f>
        <v>Trend</v>
      </c>
      <c r="L967" s="13"/>
    </row>
    <row r="968">
      <c r="A968" s="13">
        <f>IFERROR(__xludf.DUMMYFUNCTION("""COMPUTED_VALUE"""),966.0)</f>
        <v>966</v>
      </c>
      <c r="B968" s="13">
        <f>IFERROR(__xludf.DUMMYFUNCTION("""COMPUTED_VALUE"""),936.0)</f>
        <v>936</v>
      </c>
      <c r="C968" s="13">
        <f>IFERROR(__xludf.DUMMYFUNCTION("""COMPUTED_VALUE"""),55.0)</f>
        <v>55</v>
      </c>
      <c r="D968" s="12"/>
      <c r="E968" s="12" t="str">
        <f>IFERROR(__xludf.DUMMYFUNCTION("""COMPUTED_VALUE"""),"I really did not need another coat at all, but i couldn't resist. got it in green - it's dark and woodsy,something robin hood and his merry men could wear in the forest to look and feel their most stylish. the structure is just right - this coat is soft, "&amp;"cozy and fluid, but also tailored enough to wear in a business casual environment... equally well-suited to wear on winter eve dog walks, to a football game, or at the coffee shop for a latte at an outside table. works with most of my wardrobe -")</f>
        <v>I really did not need another coat at all, but i couldn't resist. got it in green - it's dark and woodsy,something robin hood and his merry men could wear in the forest to look and feel their most stylish. the structure is just right - this coat is soft, cozy and fluid, but also tailored enough to wear in a business casual environment... equally well-suited to wear on winter eve dog walks, to a football game, or at the coffee shop for a latte at an outside table. works with most of my wardrobe -</v>
      </c>
      <c r="F968" s="13">
        <f>IFERROR(__xludf.DUMMYFUNCTION("""COMPUTED_VALUE"""),5.0)</f>
        <v>5</v>
      </c>
      <c r="G968" s="13">
        <f>IFERROR(__xludf.DUMMYFUNCTION("""COMPUTED_VALUE"""),1.0)</f>
        <v>1</v>
      </c>
      <c r="H968" s="13">
        <f>IFERROR(__xludf.DUMMYFUNCTION("""COMPUTED_VALUE"""),5.0)</f>
        <v>5</v>
      </c>
      <c r="I968" s="13" t="str">
        <f>IFERROR(__xludf.DUMMYFUNCTION("""COMPUTED_VALUE"""),"General")</f>
        <v>General</v>
      </c>
      <c r="J968" s="13" t="str">
        <f>IFERROR(__xludf.DUMMYFUNCTION("""COMPUTED_VALUE"""),"Tops")</f>
        <v>Tops</v>
      </c>
      <c r="K968" s="13" t="str">
        <f>IFERROR(__xludf.DUMMYFUNCTION("""COMPUTED_VALUE"""),"Sweaters")</f>
        <v>Sweaters</v>
      </c>
      <c r="L968" s="13"/>
    </row>
    <row r="969">
      <c r="A969" s="13">
        <f>IFERROR(__xludf.DUMMYFUNCTION("""COMPUTED_VALUE"""),967.0)</f>
        <v>967</v>
      </c>
      <c r="B969" s="13">
        <f>IFERROR(__xludf.DUMMYFUNCTION("""COMPUTED_VALUE"""),1047.0)</f>
        <v>1047</v>
      </c>
      <c r="C969" s="13">
        <f>IFERROR(__xludf.DUMMYFUNCTION("""COMPUTED_VALUE"""),43.0)</f>
        <v>43</v>
      </c>
      <c r="D969" s="12" t="str">
        <f>IFERROR(__xludf.DUMMYFUNCTION("""COMPUTED_VALUE"""),"The fabric is heavy")</f>
        <v>The fabric is heavy</v>
      </c>
      <c r="E969" s="12" t="str">
        <f>IFERROR(__xludf.DUMMYFUNCTION("""COMPUTED_VALUE"""),"I wanted to love these pants, but they were larger than i expected and the fabric is very heavy. almost like a thick sweater.")</f>
        <v>I wanted to love these pants, but they were larger than i expected and the fabric is very heavy. almost like a thick sweater.</v>
      </c>
      <c r="F969" s="13">
        <f>IFERROR(__xludf.DUMMYFUNCTION("""COMPUTED_VALUE"""),3.0)</f>
        <v>3</v>
      </c>
      <c r="G969" s="13">
        <f>IFERROR(__xludf.DUMMYFUNCTION("""COMPUTED_VALUE"""),0.0)</f>
        <v>0</v>
      </c>
      <c r="H969" s="13">
        <f>IFERROR(__xludf.DUMMYFUNCTION("""COMPUTED_VALUE"""),0.0)</f>
        <v>0</v>
      </c>
      <c r="I969" s="13" t="str">
        <f>IFERROR(__xludf.DUMMYFUNCTION("""COMPUTED_VALUE"""),"General")</f>
        <v>General</v>
      </c>
      <c r="J969" s="13" t="str">
        <f>IFERROR(__xludf.DUMMYFUNCTION("""COMPUTED_VALUE"""),"Bottoms")</f>
        <v>Bottoms</v>
      </c>
      <c r="K969" s="13" t="str">
        <f>IFERROR(__xludf.DUMMYFUNCTION("""COMPUTED_VALUE"""),"Pants")</f>
        <v>Pants</v>
      </c>
      <c r="L969" s="13"/>
    </row>
    <row r="970">
      <c r="A970" s="13">
        <f>IFERROR(__xludf.DUMMYFUNCTION("""COMPUTED_VALUE"""),968.0)</f>
        <v>968</v>
      </c>
      <c r="B970" s="13">
        <f>IFERROR(__xludf.DUMMYFUNCTION("""COMPUTED_VALUE"""),936.0)</f>
        <v>936</v>
      </c>
      <c r="C970" s="13">
        <f>IFERROR(__xludf.DUMMYFUNCTION("""COMPUTED_VALUE"""),32.0)</f>
        <v>32</v>
      </c>
      <c r="D970" s="12"/>
      <c r="E970" s="12" t="str">
        <f>IFERROR(__xludf.DUMMYFUNCTION("""COMPUTED_VALUE"""),"It pills a little under the arms and picks up lint, but it's totally worth it. this is a fabulous sweater coat. i receive compliments on it wherever i go. so cozy, warm &amp; delicious. not too hot to wear indoors either. it's breathable. love it. bought in g"&amp;"reen during black friday sale. highly recommend.")</f>
        <v>It pills a little under the arms and picks up lint, but it's totally worth it. this is a fabulous sweater coat. i receive compliments on it wherever i go. so cozy, warm &amp; delicious. not too hot to wear indoors either. it's breathable. love it. bought in green during black friday sale. highly recommend.</v>
      </c>
      <c r="F970" s="13">
        <f>IFERROR(__xludf.DUMMYFUNCTION("""COMPUTED_VALUE"""),5.0)</f>
        <v>5</v>
      </c>
      <c r="G970" s="13">
        <f>IFERROR(__xludf.DUMMYFUNCTION("""COMPUTED_VALUE"""),1.0)</f>
        <v>1</v>
      </c>
      <c r="H970" s="13">
        <f>IFERROR(__xludf.DUMMYFUNCTION("""COMPUTED_VALUE"""),0.0)</f>
        <v>0</v>
      </c>
      <c r="I970" s="13" t="str">
        <f>IFERROR(__xludf.DUMMYFUNCTION("""COMPUTED_VALUE"""),"General")</f>
        <v>General</v>
      </c>
      <c r="J970" s="13" t="str">
        <f>IFERROR(__xludf.DUMMYFUNCTION("""COMPUTED_VALUE"""),"Tops")</f>
        <v>Tops</v>
      </c>
      <c r="K970" s="13" t="str">
        <f>IFERROR(__xludf.DUMMYFUNCTION("""COMPUTED_VALUE"""),"Sweaters")</f>
        <v>Sweaters</v>
      </c>
      <c r="L970" s="13"/>
    </row>
    <row r="971">
      <c r="A971" s="13">
        <f>IFERROR(__xludf.DUMMYFUNCTION("""COMPUTED_VALUE"""),969.0)</f>
        <v>969</v>
      </c>
      <c r="B971" s="13">
        <f>IFERROR(__xludf.DUMMYFUNCTION("""COMPUTED_VALUE"""),868.0)</f>
        <v>868</v>
      </c>
      <c r="C971" s="13">
        <f>IFERROR(__xludf.DUMMYFUNCTION("""COMPUTED_VALUE"""),55.0)</f>
        <v>55</v>
      </c>
      <c r="D971" s="12"/>
      <c r="E971" s="12" t="str">
        <f>IFERROR(__xludf.DUMMYFUNCTION("""COMPUTED_VALUE"""),"Omg - wish it came in more colors,,")</f>
        <v>Omg - wish it came in more colors,,</v>
      </c>
      <c r="F971" s="13">
        <f>IFERROR(__xludf.DUMMYFUNCTION("""COMPUTED_VALUE"""),5.0)</f>
        <v>5</v>
      </c>
      <c r="G971" s="13">
        <f>IFERROR(__xludf.DUMMYFUNCTION("""COMPUTED_VALUE"""),1.0)</f>
        <v>1</v>
      </c>
      <c r="H971" s="13">
        <f>IFERROR(__xludf.DUMMYFUNCTION("""COMPUTED_VALUE"""),2.0)</f>
        <v>2</v>
      </c>
      <c r="I971" s="13" t="str">
        <f>IFERROR(__xludf.DUMMYFUNCTION("""COMPUTED_VALUE"""),"General")</f>
        <v>General</v>
      </c>
      <c r="J971" s="13" t="str">
        <f>IFERROR(__xludf.DUMMYFUNCTION("""COMPUTED_VALUE"""),"Tops")</f>
        <v>Tops</v>
      </c>
      <c r="K971" s="13" t="str">
        <f>IFERROR(__xludf.DUMMYFUNCTION("""COMPUTED_VALUE"""),"Knits")</f>
        <v>Knits</v>
      </c>
      <c r="L971" s="13"/>
    </row>
    <row r="972">
      <c r="A972" s="13">
        <f>IFERROR(__xludf.DUMMYFUNCTION("""COMPUTED_VALUE"""),970.0)</f>
        <v>970</v>
      </c>
      <c r="B972" s="13">
        <f>IFERROR(__xludf.DUMMYFUNCTION("""COMPUTED_VALUE"""),1094.0)</f>
        <v>1094</v>
      </c>
      <c r="C972" s="13">
        <f>IFERROR(__xludf.DUMMYFUNCTION("""COMPUTED_VALUE"""),54.0)</f>
        <v>54</v>
      </c>
      <c r="D972" s="12" t="str">
        <f>IFERROR(__xludf.DUMMYFUNCTION("""COMPUTED_VALUE"""),"Beautiful fit")</f>
        <v>Beautiful fit</v>
      </c>
      <c r="E972" s="12" t="str">
        <f>IFERROR(__xludf.DUMMYFUNCTION("""COMPUTED_VALUE"""),"This dress has a beautiful fit; eyed it for awhile--snatched it up at the dress sale! only drawback was the edging around the neck; on some, the cream-patterned fabric was used and it was distracting. hunted around at stores, but ended up getting lucky wi"&amp;"th online purchase.")</f>
        <v>This dress has a beautiful fit; eyed it for awhile--snatched it up at the dress sale! only drawback was the edging around the neck; on some, the cream-patterned fabric was used and it was distracting. hunted around at stores, but ended up getting lucky with online purchase.</v>
      </c>
      <c r="F972" s="13">
        <f>IFERROR(__xludf.DUMMYFUNCTION("""COMPUTED_VALUE"""),5.0)</f>
        <v>5</v>
      </c>
      <c r="G972" s="13">
        <f>IFERROR(__xludf.DUMMYFUNCTION("""COMPUTED_VALUE"""),1.0)</f>
        <v>1</v>
      </c>
      <c r="H972" s="13">
        <f>IFERROR(__xludf.DUMMYFUNCTION("""COMPUTED_VALUE"""),0.0)</f>
        <v>0</v>
      </c>
      <c r="I972" s="13" t="str">
        <f>IFERROR(__xludf.DUMMYFUNCTION("""COMPUTED_VALUE"""),"General")</f>
        <v>General</v>
      </c>
      <c r="J972" s="13" t="str">
        <f>IFERROR(__xludf.DUMMYFUNCTION("""COMPUTED_VALUE"""),"Dresses")</f>
        <v>Dresses</v>
      </c>
      <c r="K972" s="13" t="str">
        <f>IFERROR(__xludf.DUMMYFUNCTION("""COMPUTED_VALUE"""),"Dresses")</f>
        <v>Dresses</v>
      </c>
      <c r="L972" s="13"/>
    </row>
    <row r="973">
      <c r="A973" s="13">
        <f>IFERROR(__xludf.DUMMYFUNCTION("""COMPUTED_VALUE"""),971.0)</f>
        <v>971</v>
      </c>
      <c r="B973" s="13">
        <f>IFERROR(__xludf.DUMMYFUNCTION("""COMPUTED_VALUE"""),936.0)</f>
        <v>936</v>
      </c>
      <c r="C973" s="13">
        <f>IFERROR(__xludf.DUMMYFUNCTION("""COMPUTED_VALUE"""),58.0)</f>
        <v>58</v>
      </c>
      <c r="D973" s="12"/>
      <c r="E973" s="12" t="str">
        <f>IFERROR(__xludf.DUMMYFUNCTION("""COMPUTED_VALUE"""),"Absolutely beautiful. as soon as i saw the color i had to have it. looks great. i am 5 ft 2 in the color is beautiful. excellently made. very comfy. hood is not bulky")</f>
        <v>Absolutely beautiful. as soon as i saw the color i had to have it. looks great. i am 5 ft 2 in the color is beautiful. excellently made. very comfy. hood is not bulky</v>
      </c>
      <c r="F973" s="13">
        <f>IFERROR(__xludf.DUMMYFUNCTION("""COMPUTED_VALUE"""),5.0)</f>
        <v>5</v>
      </c>
      <c r="G973" s="13">
        <f>IFERROR(__xludf.DUMMYFUNCTION("""COMPUTED_VALUE"""),1.0)</f>
        <v>1</v>
      </c>
      <c r="H973" s="13">
        <f>IFERROR(__xludf.DUMMYFUNCTION("""COMPUTED_VALUE"""),0.0)</f>
        <v>0</v>
      </c>
      <c r="I973" s="13" t="str">
        <f>IFERROR(__xludf.DUMMYFUNCTION("""COMPUTED_VALUE"""),"General")</f>
        <v>General</v>
      </c>
      <c r="J973" s="13" t="str">
        <f>IFERROR(__xludf.DUMMYFUNCTION("""COMPUTED_VALUE"""),"Tops")</f>
        <v>Tops</v>
      </c>
      <c r="K973" s="13" t="str">
        <f>IFERROR(__xludf.DUMMYFUNCTION("""COMPUTED_VALUE"""),"Sweaters")</f>
        <v>Sweaters</v>
      </c>
      <c r="L973" s="13"/>
    </row>
    <row r="974">
      <c r="A974" s="13">
        <f>IFERROR(__xludf.DUMMYFUNCTION("""COMPUTED_VALUE"""),972.0)</f>
        <v>972</v>
      </c>
      <c r="B974" s="13">
        <f>IFERROR(__xludf.DUMMYFUNCTION("""COMPUTED_VALUE"""),1094.0)</f>
        <v>1094</v>
      </c>
      <c r="C974" s="13">
        <f>IFERROR(__xludf.DUMMYFUNCTION("""COMPUTED_VALUE"""),67.0)</f>
        <v>67</v>
      </c>
      <c r="D974" s="12"/>
      <c r="E974" s="12" t="str">
        <f>IFERROR(__xludf.DUMMYFUNCTION("""COMPUTED_VALUE"""),"Very cheap looking material. looks cheap to cost $158.")</f>
        <v>Very cheap looking material. looks cheap to cost $158.</v>
      </c>
      <c r="F974" s="13">
        <f>IFERROR(__xludf.DUMMYFUNCTION("""COMPUTED_VALUE"""),1.0)</f>
        <v>1</v>
      </c>
      <c r="G974" s="13">
        <f>IFERROR(__xludf.DUMMYFUNCTION("""COMPUTED_VALUE"""),0.0)</f>
        <v>0</v>
      </c>
      <c r="H974" s="13">
        <f>IFERROR(__xludf.DUMMYFUNCTION("""COMPUTED_VALUE"""),1.0)</f>
        <v>1</v>
      </c>
      <c r="I974" s="13" t="str">
        <f>IFERROR(__xludf.DUMMYFUNCTION("""COMPUTED_VALUE"""),"General")</f>
        <v>General</v>
      </c>
      <c r="J974" s="13" t="str">
        <f>IFERROR(__xludf.DUMMYFUNCTION("""COMPUTED_VALUE"""),"Dresses")</f>
        <v>Dresses</v>
      </c>
      <c r="K974" s="13" t="str">
        <f>IFERROR(__xludf.DUMMYFUNCTION("""COMPUTED_VALUE"""),"Dresses")</f>
        <v>Dresses</v>
      </c>
      <c r="L974" s="13"/>
    </row>
    <row r="975">
      <c r="A975" s="13">
        <f>IFERROR(__xludf.DUMMYFUNCTION("""COMPUTED_VALUE"""),973.0)</f>
        <v>973</v>
      </c>
      <c r="B975" s="13">
        <f>IFERROR(__xludf.DUMMYFUNCTION("""COMPUTED_VALUE"""),1033.0)</f>
        <v>1033</v>
      </c>
      <c r="C975" s="13">
        <f>IFERROR(__xludf.DUMMYFUNCTION("""COMPUTED_VALUE"""),47.0)</f>
        <v>47</v>
      </c>
      <c r="D975" s="12" t="str">
        <f>IFERROR(__xludf.DUMMYFUNCTION("""COMPUTED_VALUE"""),"Finally jeans for curves!")</f>
        <v>Finally jeans for curves!</v>
      </c>
      <c r="E975" s="12" t="str">
        <f>IFERROR(__xludf.DUMMYFUNCTION("""COMPUTED_VALUE"""),"I've been a fan of the pilcro chinos for years but the jeans have not been the right fit for me - usually wind up too big in the waist to accommodate the hips. well the em is aptly named as they are made to fit a girl! ! i usually wear a 29 and the 29 fit"&amp;" comfortably and i could probably even go down a size. thank you retailer - please make more in this style!")</f>
        <v>I've been a fan of the pilcro chinos for years but the jeans have not been the right fit for me - usually wind up too big in the waist to accommodate the hips. well the em is aptly named as they are made to fit a girl! ! i usually wear a 29 and the 29 fit comfortably and i could probably even go down a size. thank you retailer - please make more in this style!</v>
      </c>
      <c r="F975" s="13">
        <f>IFERROR(__xludf.DUMMYFUNCTION("""COMPUTED_VALUE"""),5.0)</f>
        <v>5</v>
      </c>
      <c r="G975" s="13">
        <f>IFERROR(__xludf.DUMMYFUNCTION("""COMPUTED_VALUE"""),1.0)</f>
        <v>1</v>
      </c>
      <c r="H975" s="13">
        <f>IFERROR(__xludf.DUMMYFUNCTION("""COMPUTED_VALUE"""),1.0)</f>
        <v>1</v>
      </c>
      <c r="I975" s="13" t="str">
        <f>IFERROR(__xludf.DUMMYFUNCTION("""COMPUTED_VALUE"""),"General Petite")</f>
        <v>General Petite</v>
      </c>
      <c r="J975" s="13" t="str">
        <f>IFERROR(__xludf.DUMMYFUNCTION("""COMPUTED_VALUE"""),"Bottoms")</f>
        <v>Bottoms</v>
      </c>
      <c r="K975" s="13" t="str">
        <f>IFERROR(__xludf.DUMMYFUNCTION("""COMPUTED_VALUE"""),"Jeans")</f>
        <v>Jeans</v>
      </c>
      <c r="L975" s="13"/>
    </row>
    <row r="976">
      <c r="A976" s="13">
        <f>IFERROR(__xludf.DUMMYFUNCTION("""COMPUTED_VALUE"""),974.0)</f>
        <v>974</v>
      </c>
      <c r="B976" s="13">
        <f>IFERROR(__xludf.DUMMYFUNCTION("""COMPUTED_VALUE"""),936.0)</f>
        <v>936</v>
      </c>
      <c r="C976" s="13">
        <f>IFERROR(__xludf.DUMMYFUNCTION("""COMPUTED_VALUE"""),31.0)</f>
        <v>31</v>
      </c>
      <c r="D976" s="12"/>
      <c r="E976" s="12"/>
      <c r="F976" s="13">
        <f>IFERROR(__xludf.DUMMYFUNCTION("""COMPUTED_VALUE"""),5.0)</f>
        <v>5</v>
      </c>
      <c r="G976" s="13">
        <f>IFERROR(__xludf.DUMMYFUNCTION("""COMPUTED_VALUE"""),1.0)</f>
        <v>1</v>
      </c>
      <c r="H976" s="13">
        <f>IFERROR(__xludf.DUMMYFUNCTION("""COMPUTED_VALUE"""),0.0)</f>
        <v>0</v>
      </c>
      <c r="I976" s="13" t="str">
        <f>IFERROR(__xludf.DUMMYFUNCTION("""COMPUTED_VALUE"""),"General")</f>
        <v>General</v>
      </c>
      <c r="J976" s="13" t="str">
        <f>IFERROR(__xludf.DUMMYFUNCTION("""COMPUTED_VALUE"""),"Tops")</f>
        <v>Tops</v>
      </c>
      <c r="K976" s="13" t="str">
        <f>IFERROR(__xludf.DUMMYFUNCTION("""COMPUTED_VALUE"""),"Sweaters")</f>
        <v>Sweaters</v>
      </c>
      <c r="L976" s="13"/>
    </row>
    <row r="977">
      <c r="A977" s="13">
        <f>IFERROR(__xludf.DUMMYFUNCTION("""COMPUTED_VALUE"""),975.0)</f>
        <v>975</v>
      </c>
      <c r="B977" s="13">
        <f>IFERROR(__xludf.DUMMYFUNCTION("""COMPUTED_VALUE"""),1094.0)</f>
        <v>1094</v>
      </c>
      <c r="C977" s="13">
        <f>IFERROR(__xludf.DUMMYFUNCTION("""COMPUTED_VALUE"""),36.0)</f>
        <v>36</v>
      </c>
      <c r="D977" s="12" t="str">
        <f>IFERROR(__xludf.DUMMYFUNCTION("""COMPUTED_VALUE"""),"A winner!")</f>
        <v>A winner!</v>
      </c>
      <c r="E977" s="12" t="str">
        <f>IFERROR(__xludf.DUMMYFUNCTION("""COMPUTED_VALUE"""),"What a well-designed dress! the cut is a slight a-line without adding bulk and the pattern is very slimming. the lining makes this a pretty good option for cooler weather. the neck is pretty wide, as others have noted, but i find that a heavy cream colore"&amp;"d scarf is a pretty good accent. it does run a little large. i'm 5'5""/130lbs and went with the xsp.")</f>
        <v>What a well-designed dress! the cut is a slight a-line without adding bulk and the pattern is very slimming. the lining makes this a pretty good option for cooler weather. the neck is pretty wide, as others have noted, but i find that a heavy cream colored scarf is a pretty good accent. it does run a little large. i'm 5'5"/130lbs and went with the xsp.</v>
      </c>
      <c r="F977" s="13">
        <f>IFERROR(__xludf.DUMMYFUNCTION("""COMPUTED_VALUE"""),5.0)</f>
        <v>5</v>
      </c>
      <c r="G977" s="13">
        <f>IFERROR(__xludf.DUMMYFUNCTION("""COMPUTED_VALUE"""),1.0)</f>
        <v>1</v>
      </c>
      <c r="H977" s="13">
        <f>IFERROR(__xludf.DUMMYFUNCTION("""COMPUTED_VALUE"""),6.0)</f>
        <v>6</v>
      </c>
      <c r="I977" s="13" t="str">
        <f>IFERROR(__xludf.DUMMYFUNCTION("""COMPUTED_VALUE"""),"General")</f>
        <v>General</v>
      </c>
      <c r="J977" s="13" t="str">
        <f>IFERROR(__xludf.DUMMYFUNCTION("""COMPUTED_VALUE"""),"Dresses")</f>
        <v>Dresses</v>
      </c>
      <c r="K977" s="13" t="str">
        <f>IFERROR(__xludf.DUMMYFUNCTION("""COMPUTED_VALUE"""),"Dresses")</f>
        <v>Dresses</v>
      </c>
      <c r="L977" s="13"/>
    </row>
    <row r="978">
      <c r="A978" s="13">
        <f>IFERROR(__xludf.DUMMYFUNCTION("""COMPUTED_VALUE"""),976.0)</f>
        <v>976</v>
      </c>
      <c r="B978" s="13">
        <f>IFERROR(__xludf.DUMMYFUNCTION("""COMPUTED_VALUE"""),154.0)</f>
        <v>154</v>
      </c>
      <c r="C978" s="13">
        <f>IFERROR(__xludf.DUMMYFUNCTION("""COMPUTED_VALUE"""),48.0)</f>
        <v>48</v>
      </c>
      <c r="D978" s="12" t="str">
        <f>IFERROR(__xludf.DUMMYFUNCTION("""COMPUTED_VALUE"""),"Cozy comfy beautiful top")</f>
        <v>Cozy comfy beautiful top</v>
      </c>
      <c r="E978" s="12" t="str">
        <f>IFERROR(__xludf.DUMMYFUNCTION("""COMPUTED_VALUE"""),"I was initially attracted to the colors")</f>
        <v>I was initially attracted to the colors</v>
      </c>
      <c r="F978" s="13">
        <f>IFERROR(__xludf.DUMMYFUNCTION("""COMPUTED_VALUE"""),5.0)</f>
        <v>5</v>
      </c>
      <c r="G978" s="13">
        <f>IFERROR(__xludf.DUMMYFUNCTION("""COMPUTED_VALUE"""),1.0)</f>
        <v>1</v>
      </c>
      <c r="H978" s="13">
        <f>IFERROR(__xludf.DUMMYFUNCTION("""COMPUTED_VALUE"""),1.0)</f>
        <v>1</v>
      </c>
      <c r="I978" s="13" t="str">
        <f>IFERROR(__xludf.DUMMYFUNCTION("""COMPUTED_VALUE"""),"Initmates")</f>
        <v>Initmates</v>
      </c>
      <c r="J978" s="13" t="str">
        <f>IFERROR(__xludf.DUMMYFUNCTION("""COMPUTED_VALUE"""),"Intimate")</f>
        <v>Intimate</v>
      </c>
      <c r="K978" s="13" t="str">
        <f>IFERROR(__xludf.DUMMYFUNCTION("""COMPUTED_VALUE"""),"Sleep")</f>
        <v>Sleep</v>
      </c>
      <c r="L978" s="13"/>
    </row>
    <row r="979">
      <c r="A979" s="13">
        <f>IFERROR(__xludf.DUMMYFUNCTION("""COMPUTED_VALUE"""),977.0)</f>
        <v>977</v>
      </c>
      <c r="B979" s="13">
        <f>IFERROR(__xludf.DUMMYFUNCTION("""COMPUTED_VALUE"""),936.0)</f>
        <v>936</v>
      </c>
      <c r="C979" s="13">
        <f>IFERROR(__xludf.DUMMYFUNCTION("""COMPUTED_VALUE"""),21.0)</f>
        <v>21</v>
      </c>
      <c r="D979" s="12" t="str">
        <f>IFERROR(__xludf.DUMMYFUNCTION("""COMPUTED_VALUE"""),"Warm and cozy")</f>
        <v>Warm and cozy</v>
      </c>
      <c r="E979" s="12" t="str">
        <f>IFERROR(__xludf.DUMMYFUNCTION("""COMPUTED_VALUE"""),"This coat is a perfect fall to winter transition coat. it is surprisingly warm in 50 degree weather, so i'm sure it will be warm enough in 30-40 degree weather with some added layers. the only thing to note is that it is unlined and the material is soft s"&amp;"o it may be prone to pilling. can be worn casually, to work, and dressed up.")</f>
        <v>This coat is a perfect fall to winter transition coat. it is surprisingly warm in 50 degree weather, so i'm sure it will be warm enough in 30-40 degree weather with some added layers. the only thing to note is that it is unlined and the material is soft so it may be prone to pilling. can be worn casually, to work, and dressed up.</v>
      </c>
      <c r="F979" s="13">
        <f>IFERROR(__xludf.DUMMYFUNCTION("""COMPUTED_VALUE"""),4.0)</f>
        <v>4</v>
      </c>
      <c r="G979" s="13">
        <f>IFERROR(__xludf.DUMMYFUNCTION("""COMPUTED_VALUE"""),1.0)</f>
        <v>1</v>
      </c>
      <c r="H979" s="13">
        <f>IFERROR(__xludf.DUMMYFUNCTION("""COMPUTED_VALUE"""),3.0)</f>
        <v>3</v>
      </c>
      <c r="I979" s="13" t="str">
        <f>IFERROR(__xludf.DUMMYFUNCTION("""COMPUTED_VALUE"""),"General")</f>
        <v>General</v>
      </c>
      <c r="J979" s="13" t="str">
        <f>IFERROR(__xludf.DUMMYFUNCTION("""COMPUTED_VALUE"""),"Tops")</f>
        <v>Tops</v>
      </c>
      <c r="K979" s="13" t="str">
        <f>IFERROR(__xludf.DUMMYFUNCTION("""COMPUTED_VALUE"""),"Sweaters")</f>
        <v>Sweaters</v>
      </c>
      <c r="L979" s="13"/>
    </row>
    <row r="980">
      <c r="A980" s="13">
        <f>IFERROR(__xludf.DUMMYFUNCTION("""COMPUTED_VALUE"""),978.0)</f>
        <v>978</v>
      </c>
      <c r="B980" s="13">
        <f>IFERROR(__xludf.DUMMYFUNCTION("""COMPUTED_VALUE"""),1094.0)</f>
        <v>1094</v>
      </c>
      <c r="C980" s="13">
        <f>IFERROR(__xludf.DUMMYFUNCTION("""COMPUTED_VALUE"""),29.0)</f>
        <v>29</v>
      </c>
      <c r="D980" s="12" t="str">
        <f>IFERROR(__xludf.DUMMYFUNCTION("""COMPUTED_VALUE"""),"Great dress!")</f>
        <v>Great dress!</v>
      </c>
      <c r="E980" s="12" t="str">
        <f>IFERROR(__xludf.DUMMYFUNCTION("""COMPUTED_VALUE"""),"I tried this dress on in the store and ended up ordering it online during the dress sale. it is extremely flattering and really accentuates the waist. it is very comfortable, and made of a nice, soft fabric. i am a 34a and it just barely reveals a tiny bi"&amp;"t of cleavage so i don't find the neckline too low. i plan to wear it with tights and booties. i am 5' 4"" and the regular xs comes to a bit below my knees. going to enjoy wearing this lovely dress!")</f>
        <v>I tried this dress on in the store and ended up ordering it online during the dress sale. it is extremely flattering and really accentuates the waist. it is very comfortable, and made of a nice, soft fabric. i am a 34a and it just barely reveals a tiny bit of cleavage so i don't find the neckline too low. i plan to wear it with tights and booties. i am 5' 4" and the regular xs comes to a bit below my knees. going to enjoy wearing this lovely dress!</v>
      </c>
      <c r="F980" s="13">
        <f>IFERROR(__xludf.DUMMYFUNCTION("""COMPUTED_VALUE"""),5.0)</f>
        <v>5</v>
      </c>
      <c r="G980" s="13">
        <f>IFERROR(__xludf.DUMMYFUNCTION("""COMPUTED_VALUE"""),1.0)</f>
        <v>1</v>
      </c>
      <c r="H980" s="13">
        <f>IFERROR(__xludf.DUMMYFUNCTION("""COMPUTED_VALUE"""),0.0)</f>
        <v>0</v>
      </c>
      <c r="I980" s="13" t="str">
        <f>IFERROR(__xludf.DUMMYFUNCTION("""COMPUTED_VALUE"""),"General")</f>
        <v>General</v>
      </c>
      <c r="J980" s="13" t="str">
        <f>IFERROR(__xludf.DUMMYFUNCTION("""COMPUTED_VALUE"""),"Dresses")</f>
        <v>Dresses</v>
      </c>
      <c r="K980" s="13" t="str">
        <f>IFERROR(__xludf.DUMMYFUNCTION("""COMPUTED_VALUE"""),"Dresses")</f>
        <v>Dresses</v>
      </c>
      <c r="L980" s="13"/>
    </row>
    <row r="981">
      <c r="A981" s="13">
        <f>IFERROR(__xludf.DUMMYFUNCTION("""COMPUTED_VALUE"""),979.0)</f>
        <v>979</v>
      </c>
      <c r="B981" s="13">
        <f>IFERROR(__xludf.DUMMYFUNCTION("""COMPUTED_VALUE"""),154.0)</f>
        <v>154</v>
      </c>
      <c r="C981" s="13">
        <f>IFERROR(__xludf.DUMMYFUNCTION("""COMPUTED_VALUE"""),50.0)</f>
        <v>50</v>
      </c>
      <c r="D981" s="12" t="str">
        <f>IFERROR(__xludf.DUMMYFUNCTION("""COMPUTED_VALUE"""),"Love this sweater!")</f>
        <v>Love this sweater!</v>
      </c>
      <c r="E981" s="12" t="str">
        <f>IFERROR(__xludf.DUMMYFUNCTION("""COMPUTED_VALUE"""),"This is way cuter in person than on model. it is a super soft and fluffy sweater. the colors are so pretty and feminine. i received it as a christmas gift and have already worn it twice. it's perfect with skinny jeans and ugg boots. i vary between xs and "&amp;"small in retailer sweaters. this is a bit boxy so i sized down with the xs and it fits perfect!")</f>
        <v>This is way cuter in person than on model. it is a super soft and fluffy sweater. the colors are so pretty and feminine. i received it as a christmas gift and have already worn it twice. it's perfect with skinny jeans and ugg boots. i vary between xs and small in retailer sweaters. this is a bit boxy so i sized down with the xs and it fits perfect!</v>
      </c>
      <c r="F981" s="13">
        <f>IFERROR(__xludf.DUMMYFUNCTION("""COMPUTED_VALUE"""),5.0)</f>
        <v>5</v>
      </c>
      <c r="G981" s="13">
        <f>IFERROR(__xludf.DUMMYFUNCTION("""COMPUTED_VALUE"""),1.0)</f>
        <v>1</v>
      </c>
      <c r="H981" s="13">
        <f>IFERROR(__xludf.DUMMYFUNCTION("""COMPUTED_VALUE"""),0.0)</f>
        <v>0</v>
      </c>
      <c r="I981" s="13" t="str">
        <f>IFERROR(__xludf.DUMMYFUNCTION("""COMPUTED_VALUE"""),"Initmates")</f>
        <v>Initmates</v>
      </c>
      <c r="J981" s="13" t="str">
        <f>IFERROR(__xludf.DUMMYFUNCTION("""COMPUTED_VALUE"""),"Intimate")</f>
        <v>Intimate</v>
      </c>
      <c r="K981" s="13" t="str">
        <f>IFERROR(__xludf.DUMMYFUNCTION("""COMPUTED_VALUE"""),"Sleep")</f>
        <v>Sleep</v>
      </c>
      <c r="L981" s="13"/>
    </row>
    <row r="982">
      <c r="A982" s="13">
        <f>IFERROR(__xludf.DUMMYFUNCTION("""COMPUTED_VALUE"""),980.0)</f>
        <v>980</v>
      </c>
      <c r="B982" s="13">
        <f>IFERROR(__xludf.DUMMYFUNCTION("""COMPUTED_VALUE"""),1094.0)</f>
        <v>1094</v>
      </c>
      <c r="C982" s="13">
        <f>IFERROR(__xludf.DUMMYFUNCTION("""COMPUTED_VALUE"""),36.0)</f>
        <v>36</v>
      </c>
      <c r="D982" s="12" t="str">
        <f>IFERROR(__xludf.DUMMYFUNCTION("""COMPUTED_VALUE"""),"Washed out looking")</f>
        <v>Washed out looking</v>
      </c>
      <c r="E982" s="12" t="str">
        <f>IFERROR(__xludf.DUMMYFUNCTION("""COMPUTED_VALUE"""),"The colors in this dress are much less vibrant in person. the scoop of the neckline is very wide and deep. i know others have posted that this is a great dress for work, but not in my workplace.")</f>
        <v>The colors in this dress are much less vibrant in person. the scoop of the neckline is very wide and deep. i know others have posted that this is a great dress for work, but not in my workplace.</v>
      </c>
      <c r="F982" s="13">
        <f>IFERROR(__xludf.DUMMYFUNCTION("""COMPUTED_VALUE"""),3.0)</f>
        <v>3</v>
      </c>
      <c r="G982" s="13">
        <f>IFERROR(__xludf.DUMMYFUNCTION("""COMPUTED_VALUE"""),0.0)</f>
        <v>0</v>
      </c>
      <c r="H982" s="13">
        <f>IFERROR(__xludf.DUMMYFUNCTION("""COMPUTED_VALUE"""),0.0)</f>
        <v>0</v>
      </c>
      <c r="I982" s="13" t="str">
        <f>IFERROR(__xludf.DUMMYFUNCTION("""COMPUTED_VALUE"""),"General")</f>
        <v>General</v>
      </c>
      <c r="J982" s="13" t="str">
        <f>IFERROR(__xludf.DUMMYFUNCTION("""COMPUTED_VALUE"""),"Dresses")</f>
        <v>Dresses</v>
      </c>
      <c r="K982" s="13" t="str">
        <f>IFERROR(__xludf.DUMMYFUNCTION("""COMPUTED_VALUE"""),"Dresses")</f>
        <v>Dresses</v>
      </c>
      <c r="L982" s="13"/>
    </row>
    <row r="983">
      <c r="A983" s="13">
        <f>IFERROR(__xludf.DUMMYFUNCTION("""COMPUTED_VALUE"""),981.0)</f>
        <v>981</v>
      </c>
      <c r="B983" s="13">
        <f>IFERROR(__xludf.DUMMYFUNCTION("""COMPUTED_VALUE"""),936.0)</f>
        <v>936</v>
      </c>
      <c r="C983" s="13">
        <f>IFERROR(__xludf.DUMMYFUNCTION("""COMPUTED_VALUE"""),41.0)</f>
        <v>41</v>
      </c>
      <c r="D983" s="12" t="str">
        <f>IFERROR(__xludf.DUMMYFUNCTION("""COMPUTED_VALUE"""),"Classic")</f>
        <v>Classic</v>
      </c>
      <c r="E983" s="12" t="str">
        <f>IFERROR(__xludf.DUMMYFUNCTION("""COMPUTED_VALUE"""),"I adore this hooded boiled wool sweatercoat in rich, deep green. quality is great aside from the buttons being sawn on very loosely. it's a great outer layer in the warm northern california fall/winter. i'm wearing it today with a short sleeved boiled woo"&amp;"l dress in burgundy for pre-christmas eve cocktails and feeling classy, festive, cozy, and warm.")</f>
        <v>I adore this hooded boiled wool sweatercoat in rich, deep green. quality is great aside from the buttons being sawn on very loosely. it's a great outer layer in the warm northern california fall/winter. i'm wearing it today with a short sleeved boiled wool dress in burgundy for pre-christmas eve cocktails and feeling classy, festive, cozy, and warm.</v>
      </c>
      <c r="F983" s="13">
        <f>IFERROR(__xludf.DUMMYFUNCTION("""COMPUTED_VALUE"""),5.0)</f>
        <v>5</v>
      </c>
      <c r="G983" s="13">
        <f>IFERROR(__xludf.DUMMYFUNCTION("""COMPUTED_VALUE"""),1.0)</f>
        <v>1</v>
      </c>
      <c r="H983" s="13">
        <f>IFERROR(__xludf.DUMMYFUNCTION("""COMPUTED_VALUE"""),0.0)</f>
        <v>0</v>
      </c>
      <c r="I983" s="13" t="str">
        <f>IFERROR(__xludf.DUMMYFUNCTION("""COMPUTED_VALUE"""),"General")</f>
        <v>General</v>
      </c>
      <c r="J983" s="13" t="str">
        <f>IFERROR(__xludf.DUMMYFUNCTION("""COMPUTED_VALUE"""),"Tops")</f>
        <v>Tops</v>
      </c>
      <c r="K983" s="13" t="str">
        <f>IFERROR(__xludf.DUMMYFUNCTION("""COMPUTED_VALUE"""),"Sweaters")</f>
        <v>Sweaters</v>
      </c>
      <c r="L983" s="13"/>
    </row>
    <row r="984">
      <c r="A984" s="13">
        <f>IFERROR(__xludf.DUMMYFUNCTION("""COMPUTED_VALUE"""),982.0)</f>
        <v>982</v>
      </c>
      <c r="B984" s="13">
        <f>IFERROR(__xludf.DUMMYFUNCTION("""COMPUTED_VALUE"""),1094.0)</f>
        <v>1094</v>
      </c>
      <c r="C984" s="13">
        <f>IFERROR(__xludf.DUMMYFUNCTION("""COMPUTED_VALUE"""),41.0)</f>
        <v>41</v>
      </c>
      <c r="D984" s="12" t="str">
        <f>IFERROR(__xludf.DUMMYFUNCTION("""COMPUTED_VALUE"""),"Soft and flattering")</f>
        <v>Soft and flattering</v>
      </c>
      <c r="E984" s="12" t="str">
        <f>IFERROR(__xludf.DUMMYFUNCTION("""COMPUTED_VALUE"""),"Every year i'm excited when the weather gets cool enough for sweater dresses. i love this one, with the longer length, slimming fit and pattern placement, and cozy soft fabric. delightful, inspires reveries of castles and legends (yes i looked up what ""e"&amp;"ira"" stands for and went with it). highly recommended. fit is generously tts.")</f>
        <v>Every year i'm excited when the weather gets cool enough for sweater dresses. i love this one, with the longer length, slimming fit and pattern placement, and cozy soft fabric. delightful, inspires reveries of castles and legends (yes i looked up what "eira" stands for and went with it). highly recommended. fit is generously tts.</v>
      </c>
      <c r="F984" s="13">
        <f>IFERROR(__xludf.DUMMYFUNCTION("""COMPUTED_VALUE"""),5.0)</f>
        <v>5</v>
      </c>
      <c r="G984" s="13">
        <f>IFERROR(__xludf.DUMMYFUNCTION("""COMPUTED_VALUE"""),1.0)</f>
        <v>1</v>
      </c>
      <c r="H984" s="13">
        <f>IFERROR(__xludf.DUMMYFUNCTION("""COMPUTED_VALUE"""),1.0)</f>
        <v>1</v>
      </c>
      <c r="I984" s="13" t="str">
        <f>IFERROR(__xludf.DUMMYFUNCTION("""COMPUTED_VALUE"""),"General")</f>
        <v>General</v>
      </c>
      <c r="J984" s="13" t="str">
        <f>IFERROR(__xludf.DUMMYFUNCTION("""COMPUTED_VALUE"""),"Dresses")</f>
        <v>Dresses</v>
      </c>
      <c r="K984" s="13" t="str">
        <f>IFERROR(__xludf.DUMMYFUNCTION("""COMPUTED_VALUE"""),"Dresses")</f>
        <v>Dresses</v>
      </c>
      <c r="L984" s="13"/>
    </row>
    <row r="985">
      <c r="A985" s="13">
        <f>IFERROR(__xludf.DUMMYFUNCTION("""COMPUTED_VALUE"""),983.0)</f>
        <v>983</v>
      </c>
      <c r="B985" s="13">
        <f>IFERROR(__xludf.DUMMYFUNCTION("""COMPUTED_VALUE"""),936.0)</f>
        <v>936</v>
      </c>
      <c r="C985" s="13">
        <f>IFERROR(__xludf.DUMMYFUNCTION("""COMPUTED_VALUE"""),34.0)</f>
        <v>34</v>
      </c>
      <c r="D985" s="12" t="str">
        <f>IFERROR(__xludf.DUMMYFUNCTION("""COMPUTED_VALUE"""),"Soft, flattering, warm and versatile!")</f>
        <v>Soft, flattering, warm and versatile!</v>
      </c>
      <c r="E985" s="12" t="str">
        <f>IFERROR(__xludf.DUMMYFUNCTION("""COMPUTED_VALUE"""),"I adore this sweater coat! i first bought the green color in my normal size online on a whim mostly due to the positive reviews. i was not disappointed at all! this sweater coat is soft boiled wool.. the green color is a deep forest that looks incredible "&amp;"with black, grays and berry colors.
the fit appears to be magical. it manages to be both roomy and figure flattering, which is tricky with my figure (hourglass). i tend to need a defined waist, but somehow this coat manages to be very slimming")</f>
        <v>I adore this sweater coat! i first bought the green color in my normal size online on a whim mostly due to the positive reviews. i was not disappointed at all! this sweater coat is soft boiled wool.. the green color is a deep forest that looks incredible with black, grays and berry colors.
the fit appears to be magical. it manages to be both roomy and figure flattering, which is tricky with my figure (hourglass). i tend to need a defined waist, but somehow this coat manages to be very slimming</v>
      </c>
      <c r="F985" s="13">
        <f>IFERROR(__xludf.DUMMYFUNCTION("""COMPUTED_VALUE"""),5.0)</f>
        <v>5</v>
      </c>
      <c r="G985" s="13">
        <f>IFERROR(__xludf.DUMMYFUNCTION("""COMPUTED_VALUE"""),1.0)</f>
        <v>1</v>
      </c>
      <c r="H985" s="13">
        <f>IFERROR(__xludf.DUMMYFUNCTION("""COMPUTED_VALUE"""),2.0)</f>
        <v>2</v>
      </c>
      <c r="I985" s="13" t="str">
        <f>IFERROR(__xludf.DUMMYFUNCTION("""COMPUTED_VALUE"""),"General")</f>
        <v>General</v>
      </c>
      <c r="J985" s="13" t="str">
        <f>IFERROR(__xludf.DUMMYFUNCTION("""COMPUTED_VALUE"""),"Tops")</f>
        <v>Tops</v>
      </c>
      <c r="K985" s="13" t="str">
        <f>IFERROR(__xludf.DUMMYFUNCTION("""COMPUTED_VALUE"""),"Sweaters")</f>
        <v>Sweaters</v>
      </c>
      <c r="L985" s="13"/>
    </row>
    <row r="986">
      <c r="A986" s="13">
        <f>IFERROR(__xludf.DUMMYFUNCTION("""COMPUTED_VALUE"""),984.0)</f>
        <v>984</v>
      </c>
      <c r="B986" s="13">
        <f>IFERROR(__xludf.DUMMYFUNCTION("""COMPUTED_VALUE"""),1094.0)</f>
        <v>1094</v>
      </c>
      <c r="C986" s="13">
        <f>IFERROR(__xludf.DUMMYFUNCTION("""COMPUTED_VALUE"""),41.0)</f>
        <v>41</v>
      </c>
      <c r="D986" s="12" t="str">
        <f>IFERROR(__xludf.DUMMYFUNCTION("""COMPUTED_VALUE"""),"My holiday dress")</f>
        <v>My holiday dress</v>
      </c>
      <c r="E986" s="12" t="str">
        <f>IFERROR(__xludf.DUMMYFUNCTION("""COMPUTED_VALUE"""),"This sweater dress is lovely, quirky and comfortable. because i have broader shoulders, the neckline was perfect on me, although i probably will end up wearing a scarf to keep my neck warm! the dress skims in a very flattering way. at first i was dissapoi"&amp;"nted it wasn't more formfitting, but it drapes very nicely. (i usually wear a size four in dresses and chose the small in this dress which was best i think.) it has a built in slip that is a bit flimsy, so i will probably wear a long silk one th")</f>
        <v>This sweater dress is lovely, quirky and comfortable. because i have broader shoulders, the neckline was perfect on me, although i probably will end up wearing a scarf to keep my neck warm! the dress skims in a very flattering way. at first i was dissapointed it wasn't more formfitting, but it drapes very nicely. (i usually wear a size four in dresses and chose the small in this dress which was best i think.) it has a built in slip that is a bit flimsy, so i will probably wear a long silk one th</v>
      </c>
      <c r="F986" s="13">
        <f>IFERROR(__xludf.DUMMYFUNCTION("""COMPUTED_VALUE"""),5.0)</f>
        <v>5</v>
      </c>
      <c r="G986" s="13">
        <f>IFERROR(__xludf.DUMMYFUNCTION("""COMPUTED_VALUE"""),1.0)</f>
        <v>1</v>
      </c>
      <c r="H986" s="13">
        <f>IFERROR(__xludf.DUMMYFUNCTION("""COMPUTED_VALUE"""),9.0)</f>
        <v>9</v>
      </c>
      <c r="I986" s="13" t="str">
        <f>IFERROR(__xludf.DUMMYFUNCTION("""COMPUTED_VALUE"""),"General")</f>
        <v>General</v>
      </c>
      <c r="J986" s="13" t="str">
        <f>IFERROR(__xludf.DUMMYFUNCTION("""COMPUTED_VALUE"""),"Dresses")</f>
        <v>Dresses</v>
      </c>
      <c r="K986" s="13" t="str">
        <f>IFERROR(__xludf.DUMMYFUNCTION("""COMPUTED_VALUE"""),"Dresses")</f>
        <v>Dresses</v>
      </c>
      <c r="L986" s="13"/>
    </row>
    <row r="987">
      <c r="A987" s="13">
        <f>IFERROR(__xludf.DUMMYFUNCTION("""COMPUTED_VALUE"""),985.0)</f>
        <v>985</v>
      </c>
      <c r="B987" s="13">
        <f>IFERROR(__xludf.DUMMYFUNCTION("""COMPUTED_VALUE"""),878.0)</f>
        <v>878</v>
      </c>
      <c r="C987" s="13">
        <f>IFERROR(__xludf.DUMMYFUNCTION("""COMPUTED_VALUE"""),33.0)</f>
        <v>33</v>
      </c>
      <c r="D987" s="12"/>
      <c r="E987" s="12" t="str">
        <f>IFERROR(__xludf.DUMMYFUNCTION("""COMPUTED_VALUE"""),"Cute and comfortable! i loved the colors and how soft the shirt is!")</f>
        <v>Cute and comfortable! i loved the colors and how soft the shirt is!</v>
      </c>
      <c r="F987" s="13">
        <f>IFERROR(__xludf.DUMMYFUNCTION("""COMPUTED_VALUE"""),5.0)</f>
        <v>5</v>
      </c>
      <c r="G987" s="13">
        <f>IFERROR(__xludf.DUMMYFUNCTION("""COMPUTED_VALUE"""),1.0)</f>
        <v>1</v>
      </c>
      <c r="H987" s="13">
        <f>IFERROR(__xludf.DUMMYFUNCTION("""COMPUTED_VALUE"""),1.0)</f>
        <v>1</v>
      </c>
      <c r="I987" s="13" t="str">
        <f>IFERROR(__xludf.DUMMYFUNCTION("""COMPUTED_VALUE"""),"General")</f>
        <v>General</v>
      </c>
      <c r="J987" s="13" t="str">
        <f>IFERROR(__xludf.DUMMYFUNCTION("""COMPUTED_VALUE"""),"Tops")</f>
        <v>Tops</v>
      </c>
      <c r="K987" s="13" t="str">
        <f>IFERROR(__xludf.DUMMYFUNCTION("""COMPUTED_VALUE"""),"Knits")</f>
        <v>Knits</v>
      </c>
      <c r="L987" s="13"/>
    </row>
    <row r="988">
      <c r="A988" s="13">
        <f>IFERROR(__xludf.DUMMYFUNCTION("""COMPUTED_VALUE"""),986.0)</f>
        <v>986</v>
      </c>
      <c r="B988" s="13">
        <f>IFERROR(__xludf.DUMMYFUNCTION("""COMPUTED_VALUE"""),1145.0)</f>
        <v>1145</v>
      </c>
      <c r="C988" s="13">
        <f>IFERROR(__xludf.DUMMYFUNCTION("""COMPUTED_VALUE"""),66.0)</f>
        <v>66</v>
      </c>
      <c r="D988" s="12" t="str">
        <f>IFERROR(__xludf.DUMMYFUNCTION("""COMPUTED_VALUE"""),"In love")</f>
        <v>In love</v>
      </c>
      <c r="E988" s="12" t="str">
        <f>IFERROR(__xludf.DUMMYFUNCTION("""COMPUTED_VALUE"""),"So different than anything in my closet. it's wide with a beautiful drape. fabric is soft but substantial. it has the cutest coral color lining the placket and inside of the lower sleeves. i sized down to a medium and could have gone to a small but i love"&amp;" the length and drape which might not translate in fit in the smaller size. so cute on.")</f>
        <v>So different than anything in my closet. it's wide with a beautiful drape. fabric is soft but substantial. it has the cutest coral color lining the placket and inside of the lower sleeves. i sized down to a medium and could have gone to a small but i love the length and drape which might not translate in fit in the smaller size. so cute on.</v>
      </c>
      <c r="F988" s="13">
        <f>IFERROR(__xludf.DUMMYFUNCTION("""COMPUTED_VALUE"""),5.0)</f>
        <v>5</v>
      </c>
      <c r="G988" s="13">
        <f>IFERROR(__xludf.DUMMYFUNCTION("""COMPUTED_VALUE"""),1.0)</f>
        <v>1</v>
      </c>
      <c r="H988" s="13">
        <f>IFERROR(__xludf.DUMMYFUNCTION("""COMPUTED_VALUE"""),3.0)</f>
        <v>3</v>
      </c>
      <c r="I988" s="13" t="str">
        <f>IFERROR(__xludf.DUMMYFUNCTION("""COMPUTED_VALUE"""),"General")</f>
        <v>General</v>
      </c>
      <c r="J988" s="13" t="str">
        <f>IFERROR(__xludf.DUMMYFUNCTION("""COMPUTED_VALUE"""),"Trend")</f>
        <v>Trend</v>
      </c>
      <c r="K988" s="13" t="str">
        <f>IFERROR(__xludf.DUMMYFUNCTION("""COMPUTED_VALUE"""),"Trend")</f>
        <v>Trend</v>
      </c>
      <c r="L988" s="13"/>
    </row>
    <row r="989">
      <c r="A989" s="13">
        <f>IFERROR(__xludf.DUMMYFUNCTION("""COMPUTED_VALUE"""),987.0)</f>
        <v>987</v>
      </c>
      <c r="B989" s="13">
        <f>IFERROR(__xludf.DUMMYFUNCTION("""COMPUTED_VALUE"""),1033.0)</f>
        <v>1033</v>
      </c>
      <c r="C989" s="13">
        <f>IFERROR(__xludf.DUMMYFUNCTION("""COMPUTED_VALUE"""),45.0)</f>
        <v>45</v>
      </c>
      <c r="D989" s="12" t="str">
        <f>IFERROR(__xludf.DUMMYFUNCTION("""COMPUTED_VALUE"""),"Close but not quite right")</f>
        <v>Close but not quite right</v>
      </c>
      <c r="E989" s="12" t="str">
        <f>IFERROR(__xludf.DUMMYFUNCTION("""COMPUTED_VALUE"""),"I really like these jeans, but order a size down. i'm typically a 14 and these were just too big. they stretch as it is and although they should have a baggier fit, they are just too baggie.")</f>
        <v>I really like these jeans, but order a size down. i'm typically a 14 and these were just too big. they stretch as it is and although they should have a baggier fit, they are just too baggie.</v>
      </c>
      <c r="F989" s="13">
        <f>IFERROR(__xludf.DUMMYFUNCTION("""COMPUTED_VALUE"""),4.0)</f>
        <v>4</v>
      </c>
      <c r="G989" s="13">
        <f>IFERROR(__xludf.DUMMYFUNCTION("""COMPUTED_VALUE"""),1.0)</f>
        <v>1</v>
      </c>
      <c r="H989" s="13">
        <f>IFERROR(__xludf.DUMMYFUNCTION("""COMPUTED_VALUE"""),0.0)</f>
        <v>0</v>
      </c>
      <c r="I989" s="13" t="str">
        <f>IFERROR(__xludf.DUMMYFUNCTION("""COMPUTED_VALUE"""),"General Petite")</f>
        <v>General Petite</v>
      </c>
      <c r="J989" s="13" t="str">
        <f>IFERROR(__xludf.DUMMYFUNCTION("""COMPUTED_VALUE"""),"Bottoms")</f>
        <v>Bottoms</v>
      </c>
      <c r="K989" s="13" t="str">
        <f>IFERROR(__xludf.DUMMYFUNCTION("""COMPUTED_VALUE"""),"Jeans")</f>
        <v>Jeans</v>
      </c>
      <c r="L989" s="13"/>
    </row>
    <row r="990">
      <c r="A990" s="13">
        <f>IFERROR(__xludf.DUMMYFUNCTION("""COMPUTED_VALUE"""),988.0)</f>
        <v>988</v>
      </c>
      <c r="B990" s="13">
        <f>IFERROR(__xludf.DUMMYFUNCTION("""COMPUTED_VALUE"""),936.0)</f>
        <v>936</v>
      </c>
      <c r="C990" s="13">
        <f>IFERROR(__xludf.DUMMYFUNCTION("""COMPUTED_VALUE"""),31.0)</f>
        <v>31</v>
      </c>
      <c r="D990" s="12" t="str">
        <f>IFERROR(__xludf.DUMMYFUNCTION("""COMPUTED_VALUE"""),"Amazing!")</f>
        <v>Amazing!</v>
      </c>
      <c r="E990" s="12" t="str">
        <f>IFERROR(__xludf.DUMMYFUNCTION("""COMPUTED_VALUE"""),"This jacket is worth every penny! it is light enough to wear when like 55/60 out or good when it is in the 40s with a sweater underneath. the fit and design of the coat is amazing! i love the full collar look - that's my favorite detail of the jacket. lov"&amp;"ed the green so much, i bought the coral too! i normally wear a 12/14 in clothes and the large was perfect!")</f>
        <v>This jacket is worth every penny! it is light enough to wear when like 55/60 out or good when it is in the 40s with a sweater underneath. the fit and design of the coat is amazing! i love the full collar look - that's my favorite detail of the jacket. loved the green so much, i bought the coral too! i normally wear a 12/14 in clothes and the large was perfect!</v>
      </c>
      <c r="F990" s="13">
        <f>IFERROR(__xludf.DUMMYFUNCTION("""COMPUTED_VALUE"""),5.0)</f>
        <v>5</v>
      </c>
      <c r="G990" s="13">
        <f>IFERROR(__xludf.DUMMYFUNCTION("""COMPUTED_VALUE"""),1.0)</f>
        <v>1</v>
      </c>
      <c r="H990" s="13">
        <f>IFERROR(__xludf.DUMMYFUNCTION("""COMPUTED_VALUE"""),4.0)</f>
        <v>4</v>
      </c>
      <c r="I990" s="13" t="str">
        <f>IFERROR(__xludf.DUMMYFUNCTION("""COMPUTED_VALUE"""),"General")</f>
        <v>General</v>
      </c>
      <c r="J990" s="13" t="str">
        <f>IFERROR(__xludf.DUMMYFUNCTION("""COMPUTED_VALUE"""),"Tops")</f>
        <v>Tops</v>
      </c>
      <c r="K990" s="13" t="str">
        <f>IFERROR(__xludf.DUMMYFUNCTION("""COMPUTED_VALUE"""),"Sweaters")</f>
        <v>Sweaters</v>
      </c>
      <c r="L990" s="13"/>
    </row>
    <row r="991">
      <c r="A991" s="13">
        <f>IFERROR(__xludf.DUMMYFUNCTION("""COMPUTED_VALUE"""),989.0)</f>
        <v>989</v>
      </c>
      <c r="B991" s="13">
        <f>IFERROR(__xludf.DUMMYFUNCTION("""COMPUTED_VALUE"""),936.0)</f>
        <v>936</v>
      </c>
      <c r="C991" s="13">
        <f>IFERROR(__xludf.DUMMYFUNCTION("""COMPUTED_VALUE"""),68.0)</f>
        <v>68</v>
      </c>
      <c r="D991" s="12" t="str">
        <f>IFERROR(__xludf.DUMMYFUNCTION("""COMPUTED_VALUE"""),"Versatile")</f>
        <v>Versatile</v>
      </c>
      <c r="E991" s="12" t="str">
        <f>IFERROR(__xludf.DUMMYFUNCTION("""COMPUTED_VALUE"""),"I ordered this coat in the ""pink"" color. actually, it is a coal color (papaya) and will be wonderful with gray, black, khaki, and great with animal print accessories. the fit is just as it looks online, no surprises. this coat is attractive buttoned or "&amp;"unbuttoned. the collar is just as attractive buttoned as unbuttoned. the boiled wool is light weight and has some stretch to it. (much softer than the boiled wool geiger jackets, for anyone who remembers them)
one concern: since the wool is light")</f>
        <v>I ordered this coat in the "pink" color. actually, it is a coal color (papaya) and will be wonderful with gray, black, khaki, and great with animal print accessories. the fit is just as it looks online, no surprises. this coat is attractive buttoned or unbuttoned. the collar is just as attractive buttoned as unbuttoned. the boiled wool is light weight and has some stretch to it. (much softer than the boiled wool geiger jackets, for anyone who remembers them)
one concern: since the wool is light</v>
      </c>
      <c r="F991" s="13">
        <f>IFERROR(__xludf.DUMMYFUNCTION("""COMPUTED_VALUE"""),5.0)</f>
        <v>5</v>
      </c>
      <c r="G991" s="13">
        <f>IFERROR(__xludf.DUMMYFUNCTION("""COMPUTED_VALUE"""),1.0)</f>
        <v>1</v>
      </c>
      <c r="H991" s="13">
        <f>IFERROR(__xludf.DUMMYFUNCTION("""COMPUTED_VALUE"""),4.0)</f>
        <v>4</v>
      </c>
      <c r="I991" s="13" t="str">
        <f>IFERROR(__xludf.DUMMYFUNCTION("""COMPUTED_VALUE"""),"General")</f>
        <v>General</v>
      </c>
      <c r="J991" s="13" t="str">
        <f>IFERROR(__xludf.DUMMYFUNCTION("""COMPUTED_VALUE"""),"Tops")</f>
        <v>Tops</v>
      </c>
      <c r="K991" s="13" t="str">
        <f>IFERROR(__xludf.DUMMYFUNCTION("""COMPUTED_VALUE"""),"Sweaters")</f>
        <v>Sweaters</v>
      </c>
      <c r="L991" s="13"/>
    </row>
    <row r="992">
      <c r="A992" s="13">
        <f>IFERROR(__xludf.DUMMYFUNCTION("""COMPUTED_VALUE"""),990.0)</f>
        <v>990</v>
      </c>
      <c r="B992" s="13">
        <f>IFERROR(__xludf.DUMMYFUNCTION("""COMPUTED_VALUE"""),936.0)</f>
        <v>936</v>
      </c>
      <c r="C992" s="13">
        <f>IFERROR(__xludf.DUMMYFUNCTION("""COMPUTED_VALUE"""),65.0)</f>
        <v>65</v>
      </c>
      <c r="D992" s="12" t="str">
        <f>IFERROR(__xludf.DUMMYFUNCTION("""COMPUTED_VALUE"""),"Sweater, not a coat.. but amazing")</f>
        <v>Sweater, not a coat.. but amazing</v>
      </c>
      <c r="E992" s="12" t="str">
        <f>IFERROR(__xludf.DUMMYFUNCTION("""COMPUTED_VALUE"""),"Here's the thing: this is a sweatercoat. it's not a coat. it's not something i'll be able to wear independently by the end of november, though i'm enjoying doing so now. it's boiled wool, and not lined, and though it's cozy and warm enough for a morning w"&amp;"alk to the train in the high 40s, its role is going to end up being a mid layer. i'm also enjoying wearing it over both dresses and pants at work, serving as a kind of cardigan/blazer combination.
i purchased the pink, which i saw online first a")</f>
        <v>Here's the thing: this is a sweatercoat. it's not a coat. it's not something i'll be able to wear independently by the end of november, though i'm enjoying doing so now. it's boiled wool, and not lined, and though it's cozy and warm enough for a morning walk to the train in the high 40s, its role is going to end up being a mid layer. i'm also enjoying wearing it over both dresses and pants at work, serving as a kind of cardigan/blazer combination.
i purchased the pink, which i saw online first a</v>
      </c>
      <c r="F992" s="13">
        <f>IFERROR(__xludf.DUMMYFUNCTION("""COMPUTED_VALUE"""),5.0)</f>
        <v>5</v>
      </c>
      <c r="G992" s="13">
        <f>IFERROR(__xludf.DUMMYFUNCTION("""COMPUTED_VALUE"""),1.0)</f>
        <v>1</v>
      </c>
      <c r="H992" s="13">
        <f>IFERROR(__xludf.DUMMYFUNCTION("""COMPUTED_VALUE"""),11.0)</f>
        <v>11</v>
      </c>
      <c r="I992" s="13" t="str">
        <f>IFERROR(__xludf.DUMMYFUNCTION("""COMPUTED_VALUE"""),"General")</f>
        <v>General</v>
      </c>
      <c r="J992" s="13" t="str">
        <f>IFERROR(__xludf.DUMMYFUNCTION("""COMPUTED_VALUE"""),"Tops")</f>
        <v>Tops</v>
      </c>
      <c r="K992" s="13" t="str">
        <f>IFERROR(__xludf.DUMMYFUNCTION("""COMPUTED_VALUE"""),"Sweaters")</f>
        <v>Sweaters</v>
      </c>
      <c r="L992" s="13"/>
    </row>
    <row r="993">
      <c r="A993" s="13">
        <f>IFERROR(__xludf.DUMMYFUNCTION("""COMPUTED_VALUE"""),991.0)</f>
        <v>991</v>
      </c>
      <c r="B993" s="13">
        <f>IFERROR(__xludf.DUMMYFUNCTION("""COMPUTED_VALUE"""),1033.0)</f>
        <v>1033</v>
      </c>
      <c r="C993" s="13">
        <f>IFERROR(__xludf.DUMMYFUNCTION("""COMPUTED_VALUE"""),51.0)</f>
        <v>51</v>
      </c>
      <c r="D993" s="12"/>
      <c r="E993" s="12" t="str">
        <f>IFERROR(__xludf.DUMMYFUNCTION("""COMPUTED_VALUE"""),"Best jeans ever! it's so hard to find a good petite jean. you shop and shiop and then pay $30 more to get them altered. the fit and length on these are perfect. love, love, love!!!")</f>
        <v>Best jeans ever! it's so hard to find a good petite jean. you shop and shiop and then pay $30 more to get them altered. the fit and length on these are perfect. love, love, love!!!</v>
      </c>
      <c r="F993" s="13">
        <f>IFERROR(__xludf.DUMMYFUNCTION("""COMPUTED_VALUE"""),5.0)</f>
        <v>5</v>
      </c>
      <c r="G993" s="13">
        <f>IFERROR(__xludf.DUMMYFUNCTION("""COMPUTED_VALUE"""),1.0)</f>
        <v>1</v>
      </c>
      <c r="H993" s="13">
        <f>IFERROR(__xludf.DUMMYFUNCTION("""COMPUTED_VALUE"""),0.0)</f>
        <v>0</v>
      </c>
      <c r="I993" s="13" t="str">
        <f>IFERROR(__xludf.DUMMYFUNCTION("""COMPUTED_VALUE"""),"General Petite")</f>
        <v>General Petite</v>
      </c>
      <c r="J993" s="13" t="str">
        <f>IFERROR(__xludf.DUMMYFUNCTION("""COMPUTED_VALUE"""),"Bottoms")</f>
        <v>Bottoms</v>
      </c>
      <c r="K993" s="13" t="str">
        <f>IFERROR(__xludf.DUMMYFUNCTION("""COMPUTED_VALUE"""),"Jeans")</f>
        <v>Jeans</v>
      </c>
      <c r="L993" s="13"/>
    </row>
    <row r="994">
      <c r="A994" s="13">
        <f>IFERROR(__xludf.DUMMYFUNCTION("""COMPUTED_VALUE"""),992.0)</f>
        <v>992</v>
      </c>
      <c r="B994" s="13">
        <f>IFERROR(__xludf.DUMMYFUNCTION("""COMPUTED_VALUE"""),878.0)</f>
        <v>878</v>
      </c>
      <c r="C994" s="13">
        <f>IFERROR(__xludf.DUMMYFUNCTION("""COMPUTED_VALUE"""),69.0)</f>
        <v>69</v>
      </c>
      <c r="D994" s="12"/>
      <c r="E994" s="12" t="str">
        <f>IFERROR(__xludf.DUMMYFUNCTION("""COMPUTED_VALUE"""),"I really like the sundry brand. however. this is thin and to me out of character for an retailer tee. it look adorable in picture. however the coloring is way off. the navy is almost black it's so dark and the kaki stripe is a green. it's nothing like i h"&amp;"ad hoped it would be. fabric in very thin and more like a pajama top. so disappointed. it will go back. i do not make it a habit to bash a product. however with tax, shipping and 83.00 price tag. 103.11 is absolutely terrible.")</f>
        <v>I really like the sundry brand. however. this is thin and to me out of character for an retailer tee. it look adorable in picture. however the coloring is way off. the navy is almost black it's so dark and the kaki stripe is a green. it's nothing like i had hoped it would be. fabric in very thin and more like a pajama top. so disappointed. it will go back. i do not make it a habit to bash a product. however with tax, shipping and 83.00 price tag. 103.11 is absolutely terrible.</v>
      </c>
      <c r="F994" s="13">
        <f>IFERROR(__xludf.DUMMYFUNCTION("""COMPUTED_VALUE"""),3.0)</f>
        <v>3</v>
      </c>
      <c r="G994" s="13">
        <f>IFERROR(__xludf.DUMMYFUNCTION("""COMPUTED_VALUE"""),0.0)</f>
        <v>0</v>
      </c>
      <c r="H994" s="13">
        <f>IFERROR(__xludf.DUMMYFUNCTION("""COMPUTED_VALUE"""),15.0)</f>
        <v>15</v>
      </c>
      <c r="I994" s="13" t="str">
        <f>IFERROR(__xludf.DUMMYFUNCTION("""COMPUTED_VALUE"""),"General Petite")</f>
        <v>General Petite</v>
      </c>
      <c r="J994" s="13" t="str">
        <f>IFERROR(__xludf.DUMMYFUNCTION("""COMPUTED_VALUE"""),"Tops")</f>
        <v>Tops</v>
      </c>
      <c r="K994" s="13" t="str">
        <f>IFERROR(__xludf.DUMMYFUNCTION("""COMPUTED_VALUE"""),"Knits")</f>
        <v>Knits</v>
      </c>
      <c r="L994" s="13"/>
    </row>
    <row r="995">
      <c r="A995" s="13">
        <f>IFERROR(__xludf.DUMMYFUNCTION("""COMPUTED_VALUE"""),993.0)</f>
        <v>993</v>
      </c>
      <c r="B995" s="13">
        <f>IFERROR(__xludf.DUMMYFUNCTION("""COMPUTED_VALUE"""),1094.0)</f>
        <v>1094</v>
      </c>
      <c r="C995" s="13">
        <f>IFERROR(__xludf.DUMMYFUNCTION("""COMPUTED_VALUE"""),48.0)</f>
        <v>48</v>
      </c>
      <c r="D995" s="12" t="str">
        <f>IFERROR(__xludf.DUMMYFUNCTION("""COMPUTED_VALUE"""),"Comfortable but not exciting")</f>
        <v>Comfortable but not exciting</v>
      </c>
      <c r="E995" s="12" t="str">
        <f>IFERROR(__xludf.DUMMYFUNCTION("""COMPUTED_VALUE"""),"This is a comfortable sweater dress, and the quality of the material seems good. the solid blue strip down the front makes it look very bland. i think it would need some dressing up with a necklace or scarf. i decided to pass.")</f>
        <v>This is a comfortable sweater dress, and the quality of the material seems good. the solid blue strip down the front makes it look very bland. i think it would need some dressing up with a necklace or scarf. i decided to pass.</v>
      </c>
      <c r="F995" s="13">
        <f>IFERROR(__xludf.DUMMYFUNCTION("""COMPUTED_VALUE"""),3.0)</f>
        <v>3</v>
      </c>
      <c r="G995" s="13">
        <f>IFERROR(__xludf.DUMMYFUNCTION("""COMPUTED_VALUE"""),0.0)</f>
        <v>0</v>
      </c>
      <c r="H995" s="13">
        <f>IFERROR(__xludf.DUMMYFUNCTION("""COMPUTED_VALUE"""),0.0)</f>
        <v>0</v>
      </c>
      <c r="I995" s="13" t="str">
        <f>IFERROR(__xludf.DUMMYFUNCTION("""COMPUTED_VALUE"""),"General")</f>
        <v>General</v>
      </c>
      <c r="J995" s="13" t="str">
        <f>IFERROR(__xludf.DUMMYFUNCTION("""COMPUTED_VALUE"""),"Dresses")</f>
        <v>Dresses</v>
      </c>
      <c r="K995" s="13" t="str">
        <f>IFERROR(__xludf.DUMMYFUNCTION("""COMPUTED_VALUE"""),"Dresses")</f>
        <v>Dresses</v>
      </c>
      <c r="L995" s="13"/>
    </row>
    <row r="996">
      <c r="A996" s="13">
        <f>IFERROR(__xludf.DUMMYFUNCTION("""COMPUTED_VALUE"""),994.0)</f>
        <v>994</v>
      </c>
      <c r="B996" s="13">
        <f>IFERROR(__xludf.DUMMYFUNCTION("""COMPUTED_VALUE"""),936.0)</f>
        <v>936</v>
      </c>
      <c r="C996" s="13">
        <f>IFERROR(__xludf.DUMMYFUNCTION("""COMPUTED_VALUE"""),41.0)</f>
        <v>41</v>
      </c>
      <c r="D996" s="12"/>
      <c r="E996" s="12" t="str">
        <f>IFERROR(__xludf.DUMMYFUNCTION("""COMPUTED_VALUE"""),"I ordered this in the orange color from online. they were sold out of petite so i ordered medium (regular). i liked it, but just not flattering. i am 5'2"" and the coat was too big. sleeves were past my hands. i think because i'm ""curvy"" the straight cu"&amp;"t of coat would not have looked good on me in a size small. it was a nice coat, just not for me.")</f>
        <v>I ordered this in the orange color from online. they were sold out of petite so i ordered medium (regular). i liked it, but just not flattering. i am 5'2" and the coat was too big. sleeves were past my hands. i think because i'm "curvy" the straight cut of coat would not have looked good on me in a size small. it was a nice coat, just not for me.</v>
      </c>
      <c r="F996" s="13">
        <f>IFERROR(__xludf.DUMMYFUNCTION("""COMPUTED_VALUE"""),3.0)</f>
        <v>3</v>
      </c>
      <c r="G996" s="13">
        <f>IFERROR(__xludf.DUMMYFUNCTION("""COMPUTED_VALUE"""),0.0)</f>
        <v>0</v>
      </c>
      <c r="H996" s="13">
        <f>IFERROR(__xludf.DUMMYFUNCTION("""COMPUTED_VALUE"""),0.0)</f>
        <v>0</v>
      </c>
      <c r="I996" s="13" t="str">
        <f>IFERROR(__xludf.DUMMYFUNCTION("""COMPUTED_VALUE"""),"General")</f>
        <v>General</v>
      </c>
      <c r="J996" s="13" t="str">
        <f>IFERROR(__xludf.DUMMYFUNCTION("""COMPUTED_VALUE"""),"Tops")</f>
        <v>Tops</v>
      </c>
      <c r="K996" s="13" t="str">
        <f>IFERROR(__xludf.DUMMYFUNCTION("""COMPUTED_VALUE"""),"Sweaters")</f>
        <v>Sweaters</v>
      </c>
      <c r="L996" s="13"/>
    </row>
    <row r="997">
      <c r="A997" s="13">
        <f>IFERROR(__xludf.DUMMYFUNCTION("""COMPUTED_VALUE"""),995.0)</f>
        <v>995</v>
      </c>
      <c r="B997" s="13">
        <f>IFERROR(__xludf.DUMMYFUNCTION("""COMPUTED_VALUE"""),1047.0)</f>
        <v>1047</v>
      </c>
      <c r="C997" s="13">
        <f>IFERROR(__xludf.DUMMYFUNCTION("""COMPUTED_VALUE"""),70.0)</f>
        <v>70</v>
      </c>
      <c r="D997" s="12"/>
      <c r="E997" s="12" t="str">
        <f>IFERROR(__xludf.DUMMYFUNCTION("""COMPUTED_VALUE"""),"Received these as a christmas gift from my daughter. just wonderful - warm and cozy and cute. size m is just a tad baggy; i'm sure i could have worn small, but no matter. i wear these often and love them! such a treat!")</f>
        <v>Received these as a christmas gift from my daughter. just wonderful - warm and cozy and cute. size m is just a tad baggy; i'm sure i could have worn small, but no matter. i wear these often and love them! such a treat!</v>
      </c>
      <c r="F997" s="13">
        <f>IFERROR(__xludf.DUMMYFUNCTION("""COMPUTED_VALUE"""),5.0)</f>
        <v>5</v>
      </c>
      <c r="G997" s="13">
        <f>IFERROR(__xludf.DUMMYFUNCTION("""COMPUTED_VALUE"""),1.0)</f>
        <v>1</v>
      </c>
      <c r="H997" s="13">
        <f>IFERROR(__xludf.DUMMYFUNCTION("""COMPUTED_VALUE"""),3.0)</f>
        <v>3</v>
      </c>
      <c r="I997" s="13" t="str">
        <f>IFERROR(__xludf.DUMMYFUNCTION("""COMPUTED_VALUE"""),"General")</f>
        <v>General</v>
      </c>
      <c r="J997" s="13" t="str">
        <f>IFERROR(__xludf.DUMMYFUNCTION("""COMPUTED_VALUE"""),"Bottoms")</f>
        <v>Bottoms</v>
      </c>
      <c r="K997" s="13" t="str">
        <f>IFERROR(__xludf.DUMMYFUNCTION("""COMPUTED_VALUE"""),"Pants")</f>
        <v>Pants</v>
      </c>
      <c r="L997" s="13"/>
    </row>
    <row r="998">
      <c r="A998" s="13">
        <f>IFERROR(__xludf.DUMMYFUNCTION("""COMPUTED_VALUE"""),996.0)</f>
        <v>996</v>
      </c>
      <c r="B998" s="13">
        <f>IFERROR(__xludf.DUMMYFUNCTION("""COMPUTED_VALUE"""),936.0)</f>
        <v>936</v>
      </c>
      <c r="C998" s="13">
        <f>IFERROR(__xludf.DUMMYFUNCTION("""COMPUTED_VALUE"""),37.0)</f>
        <v>37</v>
      </c>
      <c r="D998" s="12" t="str">
        <f>IFERROR(__xludf.DUMMYFUNCTION("""COMPUTED_VALUE"""),"Gorgeous!!!")</f>
        <v>Gorgeous!!!</v>
      </c>
      <c r="E998" s="12" t="str">
        <f>IFERROR(__xludf.DUMMYFUNCTION("""COMPUTED_VALUE"""),"Every year around this time, our beloved retailer comes out with a wool sweater coat. i've seen every style over the last five years and this year they have outdone themselves!!! this coat is a dream. not too thin and not too thick...it's the perfect laye"&amp;"ring piece. the fabric has perfect stretch in it. the colors are lovely (i ended up with the cream color, but i loved the green too!!) in many sweater coats i prefer an xl, but because of the stretch the l was just perfect. i'm 5'8 and it hits wel")</f>
        <v>Every year around this time, our beloved retailer comes out with a wool sweater coat. i've seen every style over the last five years and this year they have outdone themselves!!! this coat is a dream. not too thin and not too thick...it's the perfect layering piece. the fabric has perfect stretch in it. the colors are lovely (i ended up with the cream color, but i loved the green too!!) in many sweater coats i prefer an xl, but because of the stretch the l was just perfect. i'm 5'8 and it hits wel</v>
      </c>
      <c r="F998" s="13">
        <f>IFERROR(__xludf.DUMMYFUNCTION("""COMPUTED_VALUE"""),5.0)</f>
        <v>5</v>
      </c>
      <c r="G998" s="13">
        <f>IFERROR(__xludf.DUMMYFUNCTION("""COMPUTED_VALUE"""),1.0)</f>
        <v>1</v>
      </c>
      <c r="H998" s="13">
        <f>IFERROR(__xludf.DUMMYFUNCTION("""COMPUTED_VALUE"""),8.0)</f>
        <v>8</v>
      </c>
      <c r="I998" s="13" t="str">
        <f>IFERROR(__xludf.DUMMYFUNCTION("""COMPUTED_VALUE"""),"General")</f>
        <v>General</v>
      </c>
      <c r="J998" s="13" t="str">
        <f>IFERROR(__xludf.DUMMYFUNCTION("""COMPUTED_VALUE"""),"Tops")</f>
        <v>Tops</v>
      </c>
      <c r="K998" s="13" t="str">
        <f>IFERROR(__xludf.DUMMYFUNCTION("""COMPUTED_VALUE"""),"Sweaters")</f>
        <v>Sweaters</v>
      </c>
      <c r="L998" s="13"/>
    </row>
    <row r="999">
      <c r="A999" s="13">
        <f>IFERROR(__xludf.DUMMYFUNCTION("""COMPUTED_VALUE"""),997.0)</f>
        <v>997</v>
      </c>
      <c r="B999" s="13">
        <f>IFERROR(__xludf.DUMMYFUNCTION("""COMPUTED_VALUE"""),936.0)</f>
        <v>936</v>
      </c>
      <c r="C999" s="13">
        <f>IFERROR(__xludf.DUMMYFUNCTION("""COMPUTED_VALUE"""),36.0)</f>
        <v>36</v>
      </c>
      <c r="D999" s="12" t="str">
        <f>IFERROR(__xludf.DUMMYFUNCTION("""COMPUTED_VALUE"""),"Gorgeous")</f>
        <v>Gorgeous</v>
      </c>
      <c r="E999" s="12" t="str">
        <f>IFERROR(__xludf.DUMMYFUNCTION("""COMPUTED_VALUE"""),"I tried on this sweater in the store and immediately ordered my size. i got the petite small in natural delivered to my door several days later and am extremely pleased. the fit is roomy enough to layer, but not too large or boxy. the wool is fluffy and l"&amp;"uxurious and has terrific appeal. i get compliments every time i wear it...""classic,"" ""fancy,"" ""jackie o."" are all terms i heard used to describe my favorite new sweater. the coat is made from a medium weight wool and is probably not meant for e")</f>
        <v>I tried on this sweater in the store and immediately ordered my size. i got the petite small in natural delivered to my door several days later and am extremely pleased. the fit is roomy enough to layer, but not too large or boxy. the wool is fluffy and luxurious and has terrific appeal. i get compliments every time i wear it..."classic," "fancy," "jackie o." are all terms i heard used to describe my favorite new sweater. the coat is made from a medium weight wool and is probably not meant for e</v>
      </c>
      <c r="F999" s="13">
        <f>IFERROR(__xludf.DUMMYFUNCTION("""COMPUTED_VALUE"""),5.0)</f>
        <v>5</v>
      </c>
      <c r="G999" s="13">
        <f>IFERROR(__xludf.DUMMYFUNCTION("""COMPUTED_VALUE"""),1.0)</f>
        <v>1</v>
      </c>
      <c r="H999" s="13">
        <f>IFERROR(__xludf.DUMMYFUNCTION("""COMPUTED_VALUE"""),1.0)</f>
        <v>1</v>
      </c>
      <c r="I999" s="13" t="str">
        <f>IFERROR(__xludf.DUMMYFUNCTION("""COMPUTED_VALUE"""),"General")</f>
        <v>General</v>
      </c>
      <c r="J999" s="13" t="str">
        <f>IFERROR(__xludf.DUMMYFUNCTION("""COMPUTED_VALUE"""),"Tops")</f>
        <v>Tops</v>
      </c>
      <c r="K999" s="13" t="str">
        <f>IFERROR(__xludf.DUMMYFUNCTION("""COMPUTED_VALUE"""),"Sweaters")</f>
        <v>Sweaters</v>
      </c>
      <c r="L999" s="13"/>
    </row>
    <row r="1000">
      <c r="A1000" s="13">
        <f>IFERROR(__xludf.DUMMYFUNCTION("""COMPUTED_VALUE"""),998.0)</f>
        <v>998</v>
      </c>
      <c r="B1000" s="13">
        <f>IFERROR(__xludf.DUMMYFUNCTION("""COMPUTED_VALUE"""),854.0)</f>
        <v>854</v>
      </c>
      <c r="C1000" s="13">
        <f>IFERROR(__xludf.DUMMYFUNCTION("""COMPUTED_VALUE"""),29.0)</f>
        <v>29</v>
      </c>
      <c r="D1000" s="12" t="str">
        <f>IFERROR(__xludf.DUMMYFUNCTION("""COMPUTED_VALUE"""),"So soft!")</f>
        <v>So soft!</v>
      </c>
      <c r="E1000" s="12" t="str">
        <f>IFERROR(__xludf.DUMMYFUNCTION("""COMPUTED_VALUE"""),"Super soft and comfortable. runs a little large. very cozy.")</f>
        <v>Super soft and comfortable. runs a little large. very cozy.</v>
      </c>
      <c r="F1000" s="13">
        <f>IFERROR(__xludf.DUMMYFUNCTION("""COMPUTED_VALUE"""),5.0)</f>
        <v>5</v>
      </c>
      <c r="G1000" s="13">
        <f>IFERROR(__xludf.DUMMYFUNCTION("""COMPUTED_VALUE"""),1.0)</f>
        <v>1</v>
      </c>
      <c r="H1000" s="13">
        <f>IFERROR(__xludf.DUMMYFUNCTION("""COMPUTED_VALUE"""),0.0)</f>
        <v>0</v>
      </c>
      <c r="I1000" s="13" t="str">
        <f>IFERROR(__xludf.DUMMYFUNCTION("""COMPUTED_VALUE"""),"General Petite")</f>
        <v>General Petite</v>
      </c>
      <c r="J1000" s="13" t="str">
        <f>IFERROR(__xludf.DUMMYFUNCTION("""COMPUTED_VALUE"""),"Tops")</f>
        <v>Tops</v>
      </c>
      <c r="K1000" s="13" t="str">
        <f>IFERROR(__xludf.DUMMYFUNCTION("""COMPUTED_VALUE"""),"Knits")</f>
        <v>Knits</v>
      </c>
      <c r="L1000" s="13"/>
    </row>
    <row r="1001">
      <c r="A1001" s="13">
        <f>IFERROR(__xludf.DUMMYFUNCTION("""COMPUTED_VALUE"""),999.0)</f>
        <v>999</v>
      </c>
      <c r="B1001" s="13">
        <f>IFERROR(__xludf.DUMMYFUNCTION("""COMPUTED_VALUE"""),936.0)</f>
        <v>936</v>
      </c>
      <c r="C1001" s="13">
        <f>IFERROR(__xludf.DUMMYFUNCTION("""COMPUTED_VALUE"""),34.0)</f>
        <v>34</v>
      </c>
      <c r="D1001" s="12" t="str">
        <f>IFERROR(__xludf.DUMMYFUNCTION("""COMPUTED_VALUE"""),"Love this lightweight coat!")</f>
        <v>Love this lightweight coat!</v>
      </c>
      <c r="E1001" s="12" t="str">
        <f>IFERROR(__xludf.DUMMYFUNCTION("""COMPUTED_VALUE"""),"Wear the collar down &amp; it favors grace kelly. pull it up and it's an oversized hood. this lightweight cozy piece combines everything i love about a sweater &amp; a coat in one.")</f>
        <v>Wear the collar down &amp; it favors grace kelly. pull it up and it's an oversized hood. this lightweight cozy piece combines everything i love about a sweater &amp; a coat in one.</v>
      </c>
      <c r="F1001" s="13">
        <f>IFERROR(__xludf.DUMMYFUNCTION("""COMPUTED_VALUE"""),5.0)</f>
        <v>5</v>
      </c>
      <c r="G1001" s="13">
        <f>IFERROR(__xludf.DUMMYFUNCTION("""COMPUTED_VALUE"""),1.0)</f>
        <v>1</v>
      </c>
      <c r="H1001" s="13">
        <f>IFERROR(__xludf.DUMMYFUNCTION("""COMPUTED_VALUE"""),2.0)</f>
        <v>2</v>
      </c>
      <c r="I1001" s="13" t="str">
        <f>IFERROR(__xludf.DUMMYFUNCTION("""COMPUTED_VALUE"""),"General")</f>
        <v>General</v>
      </c>
      <c r="J1001" s="13" t="str">
        <f>IFERROR(__xludf.DUMMYFUNCTION("""COMPUTED_VALUE"""),"Tops")</f>
        <v>Tops</v>
      </c>
      <c r="K1001" s="13" t="str">
        <f>IFERROR(__xludf.DUMMYFUNCTION("""COMPUTED_VALUE"""),"Sweaters")</f>
        <v>Sweaters</v>
      </c>
      <c r="L1001" s="13"/>
    </row>
    <row r="1002">
      <c r="A1002" s="13">
        <f>IFERROR(__xludf.DUMMYFUNCTION("""COMPUTED_VALUE"""),1000.0)</f>
        <v>1000</v>
      </c>
      <c r="B1002" s="13">
        <f>IFERROR(__xludf.DUMMYFUNCTION("""COMPUTED_VALUE"""),154.0)</f>
        <v>154</v>
      </c>
      <c r="C1002" s="13">
        <f>IFERROR(__xludf.DUMMYFUNCTION("""COMPUTED_VALUE"""),48.0)</f>
        <v>48</v>
      </c>
      <c r="D1002" s="12" t="str">
        <f>IFERROR(__xludf.DUMMYFUNCTION("""COMPUTED_VALUE"""),"Soft &amp; warm")</f>
        <v>Soft &amp; warm</v>
      </c>
      <c r="E1002" s="12" t="str">
        <f>IFERROR(__xludf.DUMMYFUNCTION("""COMPUTED_VALUE"""),"Warn and super soft. love it !")</f>
        <v>Warn and super soft. love it !</v>
      </c>
      <c r="F1002" s="13">
        <f>IFERROR(__xludf.DUMMYFUNCTION("""COMPUTED_VALUE"""),5.0)</f>
        <v>5</v>
      </c>
      <c r="G1002" s="13">
        <f>IFERROR(__xludf.DUMMYFUNCTION("""COMPUTED_VALUE"""),1.0)</f>
        <v>1</v>
      </c>
      <c r="H1002" s="13">
        <f>IFERROR(__xludf.DUMMYFUNCTION("""COMPUTED_VALUE"""),0.0)</f>
        <v>0</v>
      </c>
      <c r="I1002" s="13" t="str">
        <f>IFERROR(__xludf.DUMMYFUNCTION("""COMPUTED_VALUE"""),"Initmates")</f>
        <v>Initmates</v>
      </c>
      <c r="J1002" s="13" t="str">
        <f>IFERROR(__xludf.DUMMYFUNCTION("""COMPUTED_VALUE"""),"Intimate")</f>
        <v>Intimate</v>
      </c>
      <c r="K1002" s="13" t="str">
        <f>IFERROR(__xludf.DUMMYFUNCTION("""COMPUTED_VALUE"""),"Sleep")</f>
        <v>Sleep</v>
      </c>
      <c r="L1002" s="13"/>
    </row>
    <row r="1003">
      <c r="A1003" s="13">
        <f>IFERROR(__xludf.DUMMYFUNCTION("""COMPUTED_VALUE"""),1001.0)</f>
        <v>1001</v>
      </c>
      <c r="B1003" s="13">
        <f>IFERROR(__xludf.DUMMYFUNCTION("""COMPUTED_VALUE"""),1033.0)</f>
        <v>1033</v>
      </c>
      <c r="C1003" s="13">
        <f>IFERROR(__xludf.DUMMYFUNCTION("""COMPUTED_VALUE"""),63.0)</f>
        <v>63</v>
      </c>
      <c r="D1003" s="12" t="str">
        <f>IFERROR(__xludf.DUMMYFUNCTION("""COMPUTED_VALUE"""),"Love at first fit")</f>
        <v>Love at first fit</v>
      </c>
      <c r="E1003" s="12" t="str">
        <f>IFERROR(__xludf.DUMMYFUNCTION("""COMPUTED_VALUE"""),"Love the high waist, prewashed softness, and relaxed fit. i normally wear a 27 in pilcro but sized down to a 26. for the first time in ages i have a pair of jeans that won's slide down because of the high waistline. i would never tuck anything in so it do"&amp;"esn't matter that it's high waisted but i don't have to worry about them sliding down over my muffin top. worth every penny.")</f>
        <v>Love the high waist, prewashed softness, and relaxed fit. i normally wear a 27 in pilcro but sized down to a 26. for the first time in ages i have a pair of jeans that won's slide down because of the high waistline. i would never tuck anything in so it doesn't matter that it's high waisted but i don't have to worry about them sliding down over my muffin top. worth every penny.</v>
      </c>
      <c r="F1003" s="13">
        <f>IFERROR(__xludf.DUMMYFUNCTION("""COMPUTED_VALUE"""),5.0)</f>
        <v>5</v>
      </c>
      <c r="G1003" s="13">
        <f>IFERROR(__xludf.DUMMYFUNCTION("""COMPUTED_VALUE"""),1.0)</f>
        <v>1</v>
      </c>
      <c r="H1003" s="13">
        <f>IFERROR(__xludf.DUMMYFUNCTION("""COMPUTED_VALUE"""),10.0)</f>
        <v>10</v>
      </c>
      <c r="I1003" s="13" t="str">
        <f>IFERROR(__xludf.DUMMYFUNCTION("""COMPUTED_VALUE"""),"General Petite")</f>
        <v>General Petite</v>
      </c>
      <c r="J1003" s="13" t="str">
        <f>IFERROR(__xludf.DUMMYFUNCTION("""COMPUTED_VALUE"""),"Bottoms")</f>
        <v>Bottoms</v>
      </c>
      <c r="K1003" s="13" t="str">
        <f>IFERROR(__xludf.DUMMYFUNCTION("""COMPUTED_VALUE"""),"Jeans")</f>
        <v>Jeans</v>
      </c>
      <c r="L1003" s="13"/>
    </row>
    <row r="1004">
      <c r="A1004" s="13">
        <f>IFERROR(__xludf.DUMMYFUNCTION("""COMPUTED_VALUE"""),1002.0)</f>
        <v>1002</v>
      </c>
      <c r="B1004" s="13">
        <f>IFERROR(__xludf.DUMMYFUNCTION("""COMPUTED_VALUE"""),1033.0)</f>
        <v>1033</v>
      </c>
      <c r="C1004" s="13">
        <f>IFERROR(__xludf.DUMMYFUNCTION("""COMPUTED_VALUE"""),49.0)</f>
        <v>49</v>
      </c>
      <c r="D1004" s="12" t="str">
        <f>IFERROR(__xludf.DUMMYFUNCTION("""COMPUTED_VALUE"""),"Nice quality")</f>
        <v>Nice quality</v>
      </c>
      <c r="E1004" s="12" t="str">
        <f>IFERROR(__xludf.DUMMYFUNCTION("""COMPUTED_VALUE"""),"Nice jeans, but had to return. too tight in hips/thighs and big in waist.")</f>
        <v>Nice jeans, but had to return. too tight in hips/thighs and big in waist.</v>
      </c>
      <c r="F1004" s="13">
        <f>IFERROR(__xludf.DUMMYFUNCTION("""COMPUTED_VALUE"""),4.0)</f>
        <v>4</v>
      </c>
      <c r="G1004" s="13">
        <f>IFERROR(__xludf.DUMMYFUNCTION("""COMPUTED_VALUE"""),1.0)</f>
        <v>1</v>
      </c>
      <c r="H1004" s="13">
        <f>IFERROR(__xludf.DUMMYFUNCTION("""COMPUTED_VALUE"""),0.0)</f>
        <v>0</v>
      </c>
      <c r="I1004" s="13" t="str">
        <f>IFERROR(__xludf.DUMMYFUNCTION("""COMPUTED_VALUE"""),"General Petite")</f>
        <v>General Petite</v>
      </c>
      <c r="J1004" s="13" t="str">
        <f>IFERROR(__xludf.DUMMYFUNCTION("""COMPUTED_VALUE"""),"Bottoms")</f>
        <v>Bottoms</v>
      </c>
      <c r="K1004" s="13" t="str">
        <f>IFERROR(__xludf.DUMMYFUNCTION("""COMPUTED_VALUE"""),"Jeans")</f>
        <v>Jeans</v>
      </c>
      <c r="L1004" s="13"/>
    </row>
    <row r="1005">
      <c r="A1005" s="13">
        <f>IFERROR(__xludf.DUMMYFUNCTION("""COMPUTED_VALUE"""),1003.0)</f>
        <v>1003</v>
      </c>
      <c r="B1005" s="13">
        <f>IFERROR(__xludf.DUMMYFUNCTION("""COMPUTED_VALUE"""),936.0)</f>
        <v>936</v>
      </c>
      <c r="C1005" s="13">
        <f>IFERROR(__xludf.DUMMYFUNCTION("""COMPUTED_VALUE"""),35.0)</f>
        <v>35</v>
      </c>
      <c r="D1005" s="12" t="str">
        <f>IFERROR(__xludf.DUMMYFUNCTION("""COMPUTED_VALUE"""),"Too much for this sweater")</f>
        <v>Too much for this sweater</v>
      </c>
      <c r="E1005" s="12" t="str">
        <f>IFERROR(__xludf.DUMMYFUNCTION("""COMPUTED_VALUE"""),"Im 5'1"" and about 110lbs. ordered the small because i do have some curves- it was huge- more like a large and didnt have much structure at all. the wool was very soft and stretchy. and like others have said- kinda orange- not true coral color. it fit me "&amp;"like a throw blanket- its going back for sure. might purchase again if the petite xs is back in stock and on sale- this should def be under $100.")</f>
        <v>Im 5'1" and about 110lbs. ordered the small because i do have some curves- it was huge- more like a large and didnt have much structure at all. the wool was very soft and stretchy. and like others have said- kinda orange- not true coral color. it fit me like a throw blanket- its going back for sure. might purchase again if the petite xs is back in stock and on sale- this should def be under $100.</v>
      </c>
      <c r="F1005" s="13">
        <f>IFERROR(__xludf.DUMMYFUNCTION("""COMPUTED_VALUE"""),3.0)</f>
        <v>3</v>
      </c>
      <c r="G1005" s="13">
        <f>IFERROR(__xludf.DUMMYFUNCTION("""COMPUTED_VALUE"""),0.0)</f>
        <v>0</v>
      </c>
      <c r="H1005" s="13">
        <f>IFERROR(__xludf.DUMMYFUNCTION("""COMPUTED_VALUE"""),0.0)</f>
        <v>0</v>
      </c>
      <c r="I1005" s="13" t="str">
        <f>IFERROR(__xludf.DUMMYFUNCTION("""COMPUTED_VALUE"""),"General")</f>
        <v>General</v>
      </c>
      <c r="J1005" s="13" t="str">
        <f>IFERROR(__xludf.DUMMYFUNCTION("""COMPUTED_VALUE"""),"Tops")</f>
        <v>Tops</v>
      </c>
      <c r="K1005" s="13" t="str">
        <f>IFERROR(__xludf.DUMMYFUNCTION("""COMPUTED_VALUE"""),"Sweaters")</f>
        <v>Sweaters</v>
      </c>
      <c r="L1005" s="13"/>
    </row>
    <row r="1006">
      <c r="A1006" s="13">
        <f>IFERROR(__xludf.DUMMYFUNCTION("""COMPUTED_VALUE"""),1004.0)</f>
        <v>1004</v>
      </c>
      <c r="B1006" s="13">
        <f>IFERROR(__xludf.DUMMYFUNCTION("""COMPUTED_VALUE"""),1094.0)</f>
        <v>1094</v>
      </c>
      <c r="C1006" s="13">
        <f>IFERROR(__xludf.DUMMYFUNCTION("""COMPUTED_VALUE"""),30.0)</f>
        <v>30</v>
      </c>
      <c r="D1006" s="12"/>
      <c r="E1006" s="12"/>
      <c r="F1006" s="13">
        <f>IFERROR(__xludf.DUMMYFUNCTION("""COMPUTED_VALUE"""),5.0)</f>
        <v>5</v>
      </c>
      <c r="G1006" s="13">
        <f>IFERROR(__xludf.DUMMYFUNCTION("""COMPUTED_VALUE"""),1.0)</f>
        <v>1</v>
      </c>
      <c r="H1006" s="13">
        <f>IFERROR(__xludf.DUMMYFUNCTION("""COMPUTED_VALUE"""),0.0)</f>
        <v>0</v>
      </c>
      <c r="I1006" s="13" t="str">
        <f>IFERROR(__xludf.DUMMYFUNCTION("""COMPUTED_VALUE"""),"General")</f>
        <v>General</v>
      </c>
      <c r="J1006" s="13" t="str">
        <f>IFERROR(__xludf.DUMMYFUNCTION("""COMPUTED_VALUE"""),"Dresses")</f>
        <v>Dresses</v>
      </c>
      <c r="K1006" s="13" t="str">
        <f>IFERROR(__xludf.DUMMYFUNCTION("""COMPUTED_VALUE"""),"Dresses")</f>
        <v>Dresses</v>
      </c>
      <c r="L1006" s="13"/>
    </row>
    <row r="1007">
      <c r="A1007" s="13">
        <f>IFERROR(__xludf.DUMMYFUNCTION("""COMPUTED_VALUE"""),1005.0)</f>
        <v>1005</v>
      </c>
      <c r="B1007" s="13">
        <f>IFERROR(__xludf.DUMMYFUNCTION("""COMPUTED_VALUE"""),936.0)</f>
        <v>936</v>
      </c>
      <c r="C1007" s="13">
        <f>IFERROR(__xludf.DUMMYFUNCTION("""COMPUTED_VALUE"""),35.0)</f>
        <v>35</v>
      </c>
      <c r="D1007" s="12" t="str">
        <f>IFERROR(__xludf.DUMMYFUNCTION("""COMPUTED_VALUE"""),"Super comfortable but big")</f>
        <v>Super comfortable but big</v>
      </c>
      <c r="E1007" s="12" t="str">
        <f>IFERROR(__xludf.DUMMYFUNCTION("""COMPUTED_VALUE"""),"I am 5'8 154 pounds and ordered a medium. the coat is a bit bigger than expected and should have gone down a size. i'm keeping this size however because it is incredibly comfortable, roomy and perfect for mild winters. the wool does keep you warm in 50 de"&amp;"gree weather.")</f>
        <v>I am 5'8 154 pounds and ordered a medium. the coat is a bit bigger than expected and should have gone down a size. i'm keeping this size however because it is incredibly comfortable, roomy and perfect for mild winters. the wool does keep you warm in 50 degree weather.</v>
      </c>
      <c r="F1007" s="13">
        <f>IFERROR(__xludf.DUMMYFUNCTION("""COMPUTED_VALUE"""),4.0)</f>
        <v>4</v>
      </c>
      <c r="G1007" s="13">
        <f>IFERROR(__xludf.DUMMYFUNCTION("""COMPUTED_VALUE"""),1.0)</f>
        <v>1</v>
      </c>
      <c r="H1007" s="13">
        <f>IFERROR(__xludf.DUMMYFUNCTION("""COMPUTED_VALUE"""),0.0)</f>
        <v>0</v>
      </c>
      <c r="I1007" s="13" t="str">
        <f>IFERROR(__xludf.DUMMYFUNCTION("""COMPUTED_VALUE"""),"General")</f>
        <v>General</v>
      </c>
      <c r="J1007" s="13" t="str">
        <f>IFERROR(__xludf.DUMMYFUNCTION("""COMPUTED_VALUE"""),"Tops")</f>
        <v>Tops</v>
      </c>
      <c r="K1007" s="13" t="str">
        <f>IFERROR(__xludf.DUMMYFUNCTION("""COMPUTED_VALUE"""),"Sweaters")</f>
        <v>Sweaters</v>
      </c>
      <c r="L1007" s="13"/>
    </row>
    <row r="1008">
      <c r="A1008" s="13">
        <f>IFERROR(__xludf.DUMMYFUNCTION("""COMPUTED_VALUE"""),1006.0)</f>
        <v>1006</v>
      </c>
      <c r="B1008" s="13">
        <f>IFERROR(__xludf.DUMMYFUNCTION("""COMPUTED_VALUE"""),936.0)</f>
        <v>936</v>
      </c>
      <c r="C1008" s="13">
        <f>IFERROR(__xludf.DUMMYFUNCTION("""COMPUTED_VALUE"""),83.0)</f>
        <v>83</v>
      </c>
      <c r="D1008" s="12" t="str">
        <f>IFERROR(__xludf.DUMMYFUNCTION("""COMPUTED_VALUE"""),"In love")</f>
        <v>In love</v>
      </c>
      <c r="E1008" s="12" t="str">
        <f>IFERROR(__xludf.DUMMYFUNCTION("""COMPUTED_VALUE"""),"I saw this and tried to wait for it to go on sale, but it sold so fast, i wanted the black and i check everyday until they had my size, i love this coat main because of the wait it goes around the neck since i am not a scarf person, this is very cute, im "&amp;"glad i got it, even at the full price.")</f>
        <v>I saw this and tried to wait for it to go on sale, but it sold so fast, i wanted the black and i check everyday until they had my size, i love this coat main because of the wait it goes around the neck since i am not a scarf person, this is very cute, im glad i got it, even at the full price.</v>
      </c>
      <c r="F1008" s="13">
        <f>IFERROR(__xludf.DUMMYFUNCTION("""COMPUTED_VALUE"""),5.0)</f>
        <v>5</v>
      </c>
      <c r="G1008" s="13">
        <f>IFERROR(__xludf.DUMMYFUNCTION("""COMPUTED_VALUE"""),1.0)</f>
        <v>1</v>
      </c>
      <c r="H1008" s="13">
        <f>IFERROR(__xludf.DUMMYFUNCTION("""COMPUTED_VALUE"""),0.0)</f>
        <v>0</v>
      </c>
      <c r="I1008" s="13" t="str">
        <f>IFERROR(__xludf.DUMMYFUNCTION("""COMPUTED_VALUE"""),"General")</f>
        <v>General</v>
      </c>
      <c r="J1008" s="13" t="str">
        <f>IFERROR(__xludf.DUMMYFUNCTION("""COMPUTED_VALUE"""),"Tops")</f>
        <v>Tops</v>
      </c>
      <c r="K1008" s="13" t="str">
        <f>IFERROR(__xludf.DUMMYFUNCTION("""COMPUTED_VALUE"""),"Sweaters")</f>
        <v>Sweaters</v>
      </c>
      <c r="L1008" s="13"/>
    </row>
    <row r="1009">
      <c r="A1009" s="13">
        <f>IFERROR(__xludf.DUMMYFUNCTION("""COMPUTED_VALUE"""),1007.0)</f>
        <v>1007</v>
      </c>
      <c r="B1009" s="13">
        <f>IFERROR(__xludf.DUMMYFUNCTION("""COMPUTED_VALUE"""),1047.0)</f>
        <v>1047</v>
      </c>
      <c r="C1009" s="13">
        <f>IFERROR(__xludf.DUMMYFUNCTION("""COMPUTED_VALUE"""),67.0)</f>
        <v>67</v>
      </c>
      <c r="D1009" s="12" t="str">
        <f>IFERROR(__xludf.DUMMYFUNCTION("""COMPUTED_VALUE"""),"Love. love. love")</f>
        <v>Love. love. love</v>
      </c>
      <c r="E1009" s="12" t="str">
        <f>IFERROR(__xludf.DUMMYFUNCTION("""COMPUTED_VALUE"""),"These joggers are gorgeous--you can even dress them up! the quality and softness is amazing and very expensive looking. the fit is perfect not to mention the fact that they are very flattering.
really, i knew the minute i saw them, i would love them. but,"&amp;" i do have to say that the lovely model
wearing them ---the model with the wine colored shirt and the awesome red bag (i bought that too!!!)and that big smile sold me!. many thanks to retailer--personal stylists carolyn and blair. always so helpfu")</f>
        <v>These joggers are gorgeous--you can even dress them up! the quality and softness is amazing and very expensive looking. the fit is perfect not to mention the fact that they are very flattering.
really, i knew the minute i saw them, i would love them. but, i do have to say that the lovely model
wearing them ---the model with the wine colored shirt and the awesome red bag (i bought that too!!!)and that big smile sold me!. many thanks to retailer--personal stylists carolyn and blair. always so helpfu</v>
      </c>
      <c r="F1009" s="13">
        <f>IFERROR(__xludf.DUMMYFUNCTION("""COMPUTED_VALUE"""),5.0)</f>
        <v>5</v>
      </c>
      <c r="G1009" s="13">
        <f>IFERROR(__xludf.DUMMYFUNCTION("""COMPUTED_VALUE"""),1.0)</f>
        <v>1</v>
      </c>
      <c r="H1009" s="13">
        <f>IFERROR(__xludf.DUMMYFUNCTION("""COMPUTED_VALUE"""),4.0)</f>
        <v>4</v>
      </c>
      <c r="I1009" s="13" t="str">
        <f>IFERROR(__xludf.DUMMYFUNCTION("""COMPUTED_VALUE"""),"General")</f>
        <v>General</v>
      </c>
      <c r="J1009" s="13" t="str">
        <f>IFERROR(__xludf.DUMMYFUNCTION("""COMPUTED_VALUE"""),"Bottoms")</f>
        <v>Bottoms</v>
      </c>
      <c r="K1009" s="13" t="str">
        <f>IFERROR(__xludf.DUMMYFUNCTION("""COMPUTED_VALUE"""),"Pants")</f>
        <v>Pants</v>
      </c>
      <c r="L1009" s="13"/>
    </row>
    <row r="1010">
      <c r="A1010" s="13">
        <f>IFERROR(__xludf.DUMMYFUNCTION("""COMPUTED_VALUE"""),1008.0)</f>
        <v>1008</v>
      </c>
      <c r="B1010" s="13">
        <f>IFERROR(__xludf.DUMMYFUNCTION("""COMPUTED_VALUE"""),1094.0)</f>
        <v>1094</v>
      </c>
      <c r="C1010" s="13">
        <f>IFERROR(__xludf.DUMMYFUNCTION("""COMPUTED_VALUE"""),39.0)</f>
        <v>39</v>
      </c>
      <c r="D1010" s="12" t="str">
        <f>IFERROR(__xludf.DUMMYFUNCTION("""COMPUTED_VALUE"""),"Warm")</f>
        <v>Warm</v>
      </c>
      <c r="E1010" s="12" t="str">
        <f>IFERROR(__xludf.DUMMYFUNCTION("""COMPUTED_VALUE"""),"I love sweater knit dresses and this the first one i've owned with a flare style that works. pattern placement is gorgeously done and is very slimming in a non-obvious way. i think the fabric is soft and warm. i wish the scoop neckline was a tad bit highe"&amp;"r from a modesty standpoint. you may want to size down if you're not busty. i am 5'3"" and m petite was the perfect length on me. shout out to the reno distribution center for getting this amazing dress to me in 1.5 days?!?!?!!!")</f>
        <v>I love sweater knit dresses and this the first one i've owned with a flare style that works. pattern placement is gorgeously done and is very slimming in a non-obvious way. i think the fabric is soft and warm. i wish the scoop neckline was a tad bit higher from a modesty standpoint. you may want to size down if you're not busty. i am 5'3" and m petite was the perfect length on me. shout out to the reno distribution center for getting this amazing dress to me in 1.5 days?!?!?!!!</v>
      </c>
      <c r="F1010" s="13">
        <f>IFERROR(__xludf.DUMMYFUNCTION("""COMPUTED_VALUE"""),5.0)</f>
        <v>5</v>
      </c>
      <c r="G1010" s="13">
        <f>IFERROR(__xludf.DUMMYFUNCTION("""COMPUTED_VALUE"""),1.0)</f>
        <v>1</v>
      </c>
      <c r="H1010" s="13">
        <f>IFERROR(__xludf.DUMMYFUNCTION("""COMPUTED_VALUE"""),2.0)</f>
        <v>2</v>
      </c>
      <c r="I1010" s="13" t="str">
        <f>IFERROR(__xludf.DUMMYFUNCTION("""COMPUTED_VALUE"""),"General")</f>
        <v>General</v>
      </c>
      <c r="J1010" s="13" t="str">
        <f>IFERROR(__xludf.DUMMYFUNCTION("""COMPUTED_VALUE"""),"Dresses")</f>
        <v>Dresses</v>
      </c>
      <c r="K1010" s="13" t="str">
        <f>IFERROR(__xludf.DUMMYFUNCTION("""COMPUTED_VALUE"""),"Dresses")</f>
        <v>Dresses</v>
      </c>
      <c r="L1010" s="13"/>
    </row>
    <row r="1011">
      <c r="A1011" s="13">
        <f>IFERROR(__xludf.DUMMYFUNCTION("""COMPUTED_VALUE"""),1009.0)</f>
        <v>1009</v>
      </c>
      <c r="B1011" s="13">
        <f>IFERROR(__xludf.DUMMYFUNCTION("""COMPUTED_VALUE"""),936.0)</f>
        <v>936</v>
      </c>
      <c r="C1011" s="13">
        <f>IFERROR(__xludf.DUMMYFUNCTION("""COMPUTED_VALUE"""),39.0)</f>
        <v>39</v>
      </c>
      <c r="D1011" s="12" t="str">
        <f>IFERROR(__xludf.DUMMYFUNCTION("""COMPUTED_VALUE"""),"Owned in 3 sizes 3 colors all great")</f>
        <v>Owned in 3 sizes 3 colors all great</v>
      </c>
      <c r="E1011" s="12" t="str">
        <f>IFERROR(__xludf.DUMMYFUNCTION("""COMPUTED_VALUE"""),"I have this wonderful sweater coat in three sizes (s,sp,m) in the coral, green")</f>
        <v>I have this wonderful sweater coat in three sizes (s,sp,m) in the coral, green</v>
      </c>
      <c r="F1011" s="13">
        <f>IFERROR(__xludf.DUMMYFUNCTION("""COMPUTED_VALUE"""),5.0)</f>
        <v>5</v>
      </c>
      <c r="G1011" s="13">
        <f>IFERROR(__xludf.DUMMYFUNCTION("""COMPUTED_VALUE"""),1.0)</f>
        <v>1</v>
      </c>
      <c r="H1011" s="13">
        <f>IFERROR(__xludf.DUMMYFUNCTION("""COMPUTED_VALUE"""),0.0)</f>
        <v>0</v>
      </c>
      <c r="I1011" s="13" t="str">
        <f>IFERROR(__xludf.DUMMYFUNCTION("""COMPUTED_VALUE"""),"General")</f>
        <v>General</v>
      </c>
      <c r="J1011" s="13" t="str">
        <f>IFERROR(__xludf.DUMMYFUNCTION("""COMPUTED_VALUE"""),"Tops")</f>
        <v>Tops</v>
      </c>
      <c r="K1011" s="13" t="str">
        <f>IFERROR(__xludf.DUMMYFUNCTION("""COMPUTED_VALUE"""),"Sweaters")</f>
        <v>Sweaters</v>
      </c>
      <c r="L1011" s="13"/>
    </row>
    <row r="1012">
      <c r="A1012" s="13">
        <f>IFERROR(__xludf.DUMMYFUNCTION("""COMPUTED_VALUE"""),1010.0)</f>
        <v>1010</v>
      </c>
      <c r="B1012" s="13">
        <f>IFERROR(__xludf.DUMMYFUNCTION("""COMPUTED_VALUE"""),936.0)</f>
        <v>936</v>
      </c>
      <c r="C1012" s="13">
        <f>IFERROR(__xludf.DUMMYFUNCTION("""COMPUTED_VALUE"""),71.0)</f>
        <v>71</v>
      </c>
      <c r="D1012" s="12"/>
      <c r="E1012" s="12" t="str">
        <f>IFERROR(__xludf.DUMMYFUNCTION("""COMPUTED_VALUE"""),"Oh my goodness! i just received this coat tonight. i love it! it is beautiful and stylish. i got the green which is amazing. i'm 5'2"" - weigh 115. ordered both s and xs. i'm keeping the s - more room in case a heavier sweater. get this! it's a classic! y"&amp;"ou will smile!")</f>
        <v>Oh my goodness! i just received this coat tonight. i love it! it is beautiful and stylish. i got the green which is amazing. i'm 5'2" - weigh 115. ordered both s and xs. i'm keeping the s - more room in case a heavier sweater. get this! it's a classic! you will smile!</v>
      </c>
      <c r="F1012" s="13">
        <f>IFERROR(__xludf.DUMMYFUNCTION("""COMPUTED_VALUE"""),5.0)</f>
        <v>5</v>
      </c>
      <c r="G1012" s="13">
        <f>IFERROR(__xludf.DUMMYFUNCTION("""COMPUTED_VALUE"""),1.0)</f>
        <v>1</v>
      </c>
      <c r="H1012" s="13">
        <f>IFERROR(__xludf.DUMMYFUNCTION("""COMPUTED_VALUE"""),3.0)</f>
        <v>3</v>
      </c>
      <c r="I1012" s="13" t="str">
        <f>IFERROR(__xludf.DUMMYFUNCTION("""COMPUTED_VALUE"""),"General")</f>
        <v>General</v>
      </c>
      <c r="J1012" s="13" t="str">
        <f>IFERROR(__xludf.DUMMYFUNCTION("""COMPUTED_VALUE"""),"Tops")</f>
        <v>Tops</v>
      </c>
      <c r="K1012" s="13" t="str">
        <f>IFERROR(__xludf.DUMMYFUNCTION("""COMPUTED_VALUE"""),"Sweaters")</f>
        <v>Sweaters</v>
      </c>
      <c r="L1012" s="13"/>
    </row>
    <row r="1013">
      <c r="A1013" s="13">
        <f>IFERROR(__xludf.DUMMYFUNCTION("""COMPUTED_VALUE"""),1011.0)</f>
        <v>1011</v>
      </c>
      <c r="B1013" s="13">
        <f>IFERROR(__xludf.DUMMYFUNCTION("""COMPUTED_VALUE"""),1047.0)</f>
        <v>1047</v>
      </c>
      <c r="C1013" s="13">
        <f>IFERROR(__xludf.DUMMYFUNCTION("""COMPUTED_VALUE"""),34.0)</f>
        <v>34</v>
      </c>
      <c r="D1013" s="12" t="str">
        <f>IFERROR(__xludf.DUMMYFUNCTION("""COMPUTED_VALUE"""),"Strange and wonderful")</f>
        <v>Strange and wonderful</v>
      </c>
      <c r="E1013" s="12" t="str">
        <f>IFERROR(__xludf.DUMMYFUNCTION("""COMPUTED_VALUE"""),"I wasn't sure what to expect with these pants. i couldn't figure out from the pictures what the material would actually be like. is it jersey? is it french terry? is it more traditional sweatshirt-type material? nope, turns out, they're like wearing pants"&amp;" made out of a fuzzy, flecked sweater. or like the thickest, loosest sweater-knit tights ever. surprise! they are the strangest pants i've ever owned, for sure, but i actually really like them. they're super comfortable and cozy warm. slightly i")</f>
        <v>I wasn't sure what to expect with these pants. i couldn't figure out from the pictures what the material would actually be like. is it jersey? is it french terry? is it more traditional sweatshirt-type material? nope, turns out, they're like wearing pants made out of a fuzzy, flecked sweater. or like the thickest, loosest sweater-knit tights ever. surprise! they are the strangest pants i've ever owned, for sure, but i actually really like them. they're super comfortable and cozy warm. slightly i</v>
      </c>
      <c r="F1013" s="13">
        <f>IFERROR(__xludf.DUMMYFUNCTION("""COMPUTED_VALUE"""),5.0)</f>
        <v>5</v>
      </c>
      <c r="G1013" s="13">
        <f>IFERROR(__xludf.DUMMYFUNCTION("""COMPUTED_VALUE"""),1.0)</f>
        <v>1</v>
      </c>
      <c r="H1013" s="13">
        <f>IFERROR(__xludf.DUMMYFUNCTION("""COMPUTED_VALUE"""),0.0)</f>
        <v>0</v>
      </c>
      <c r="I1013" s="13" t="str">
        <f>IFERROR(__xludf.DUMMYFUNCTION("""COMPUTED_VALUE"""),"General")</f>
        <v>General</v>
      </c>
      <c r="J1013" s="13" t="str">
        <f>IFERROR(__xludf.DUMMYFUNCTION("""COMPUTED_VALUE"""),"Bottoms")</f>
        <v>Bottoms</v>
      </c>
      <c r="K1013" s="13" t="str">
        <f>IFERROR(__xludf.DUMMYFUNCTION("""COMPUTED_VALUE"""),"Pants")</f>
        <v>Pants</v>
      </c>
      <c r="L1013" s="13"/>
    </row>
    <row r="1014">
      <c r="A1014" s="13">
        <f>IFERROR(__xludf.DUMMYFUNCTION("""COMPUTED_VALUE"""),1012.0)</f>
        <v>1012</v>
      </c>
      <c r="B1014" s="13">
        <f>IFERROR(__xludf.DUMMYFUNCTION("""COMPUTED_VALUE"""),1094.0)</f>
        <v>1094</v>
      </c>
      <c r="C1014" s="13">
        <f>IFERROR(__xludf.DUMMYFUNCTION("""COMPUTED_VALUE"""),37.0)</f>
        <v>37</v>
      </c>
      <c r="D1014" s="12" t="str">
        <f>IFERROR(__xludf.DUMMYFUNCTION("""COMPUTED_VALUE"""),"Bautiful lines")</f>
        <v>Bautiful lines</v>
      </c>
      <c r="E1014" s="12" t="str">
        <f>IFERROR(__xludf.DUMMYFUNCTION("""COMPUTED_VALUE"""),"This dress hung so nicely on my figure (small up top, bigger in the hips) that i couldn't pass it up. the lines are more flattering in person than in the photos. it might run a little small...i'm normally an extra small, but it was a little snug in the ar"&amp;"ms. however, the small was too big, so i would suggest sticking with your usual size. the saleslady said would stretch a little. i would have loved to try a petite, but the store didn't carry petite sizes. it will be my go-to holiday dress.")</f>
        <v>This dress hung so nicely on my figure (small up top, bigger in the hips) that i couldn't pass it up. the lines are more flattering in person than in the photos. it might run a little small...i'm normally an extra small, but it was a little snug in the arms. however, the small was too big, so i would suggest sticking with your usual size. the saleslady said would stretch a little. i would have loved to try a petite, but the store didn't carry petite sizes. it will be my go-to holiday dress.</v>
      </c>
      <c r="F1014" s="13">
        <f>IFERROR(__xludf.DUMMYFUNCTION("""COMPUTED_VALUE"""),5.0)</f>
        <v>5</v>
      </c>
      <c r="G1014" s="13">
        <f>IFERROR(__xludf.DUMMYFUNCTION("""COMPUTED_VALUE"""),1.0)</f>
        <v>1</v>
      </c>
      <c r="H1014" s="13">
        <f>IFERROR(__xludf.DUMMYFUNCTION("""COMPUTED_VALUE"""),2.0)</f>
        <v>2</v>
      </c>
      <c r="I1014" s="13" t="str">
        <f>IFERROR(__xludf.DUMMYFUNCTION("""COMPUTED_VALUE"""),"General")</f>
        <v>General</v>
      </c>
      <c r="J1014" s="13" t="str">
        <f>IFERROR(__xludf.DUMMYFUNCTION("""COMPUTED_VALUE"""),"Dresses")</f>
        <v>Dresses</v>
      </c>
      <c r="K1014" s="13" t="str">
        <f>IFERROR(__xludf.DUMMYFUNCTION("""COMPUTED_VALUE"""),"Dresses")</f>
        <v>Dresses</v>
      </c>
      <c r="L1014" s="13"/>
    </row>
    <row r="1015">
      <c r="A1015" s="13">
        <f>IFERROR(__xludf.DUMMYFUNCTION("""COMPUTED_VALUE"""),1013.0)</f>
        <v>1013</v>
      </c>
      <c r="B1015" s="13">
        <f>IFERROR(__xludf.DUMMYFUNCTION("""COMPUTED_VALUE"""),936.0)</f>
        <v>936</v>
      </c>
      <c r="C1015" s="13">
        <f>IFERROR(__xludf.DUMMYFUNCTION("""COMPUTED_VALUE"""),59.0)</f>
        <v>59</v>
      </c>
      <c r="D1015" s="12" t="str">
        <f>IFERROR(__xludf.DUMMYFUNCTION("""COMPUTED_VALUE"""),"Best to try on in store")</f>
        <v>Best to try on in store</v>
      </c>
      <c r="E1015" s="12" t="str">
        <f>IFERROR(__xludf.DUMMYFUNCTION("""COMPUTED_VALUE"""),"I coveted this item since i first saw it on instagram. i finally bought it in coral. it's a beautiful coat, the color is lovely and i like the way the hood makes a cute collar when worn down. the only problem is it looks like a bathrobe on me. i am 5'5"" "&amp;"and wear a size 8. i bought a medium, worried a small would not button. the sleeves are far too long. i do not want to go through the trouble of returning, so gave it to my daughter who is four inches taller. it looks cute in her.")</f>
        <v>I coveted this item since i first saw it on instagram. i finally bought it in coral. it's a beautiful coat, the color is lovely and i like the way the hood makes a cute collar when worn down. the only problem is it looks like a bathrobe on me. i am 5'5" and wear a size 8. i bought a medium, worried a small would not button. the sleeves are far too long. i do not want to go through the trouble of returning, so gave it to my daughter who is four inches taller. it looks cute in her.</v>
      </c>
      <c r="F1015" s="13">
        <f>IFERROR(__xludf.DUMMYFUNCTION("""COMPUTED_VALUE"""),3.0)</f>
        <v>3</v>
      </c>
      <c r="G1015" s="13">
        <f>IFERROR(__xludf.DUMMYFUNCTION("""COMPUTED_VALUE"""),1.0)</f>
        <v>1</v>
      </c>
      <c r="H1015" s="13">
        <f>IFERROR(__xludf.DUMMYFUNCTION("""COMPUTED_VALUE"""),0.0)</f>
        <v>0</v>
      </c>
      <c r="I1015" s="13" t="str">
        <f>IFERROR(__xludf.DUMMYFUNCTION("""COMPUTED_VALUE"""),"General")</f>
        <v>General</v>
      </c>
      <c r="J1015" s="13" t="str">
        <f>IFERROR(__xludf.DUMMYFUNCTION("""COMPUTED_VALUE"""),"Tops")</f>
        <v>Tops</v>
      </c>
      <c r="K1015" s="13" t="str">
        <f>IFERROR(__xludf.DUMMYFUNCTION("""COMPUTED_VALUE"""),"Sweaters")</f>
        <v>Sweaters</v>
      </c>
      <c r="L1015" s="13"/>
    </row>
    <row r="1016">
      <c r="A1016" s="13">
        <f>IFERROR(__xludf.DUMMYFUNCTION("""COMPUTED_VALUE"""),1014.0)</f>
        <v>1014</v>
      </c>
      <c r="B1016" s="13">
        <f>IFERROR(__xludf.DUMMYFUNCTION("""COMPUTED_VALUE"""),936.0)</f>
        <v>936</v>
      </c>
      <c r="C1016" s="13">
        <f>IFERROR(__xludf.DUMMYFUNCTION("""COMPUTED_VALUE"""),40.0)</f>
        <v>40</v>
      </c>
      <c r="D1016" s="12" t="str">
        <f>IFERROR(__xludf.DUMMYFUNCTION("""COMPUTED_VALUE"""),"Cozy cut")</f>
        <v>Cozy cut</v>
      </c>
      <c r="E1016" s="12" t="str">
        <f>IFERROR(__xludf.DUMMYFUNCTION("""COMPUTED_VALUE"""),"Love this as a lightweight coat for cool to cold days. i love the squishy soft feel of the material. it works well with sweaters. love the deep pockets which works with my iphone plus and wallet. i love how simple and practical this coat is. the hood when"&amp;" not used as a hood makes a nice collar for the neck and head.")</f>
        <v>Love this as a lightweight coat for cool to cold days. i love the squishy soft feel of the material. it works well with sweaters. love the deep pockets which works with my iphone plus and wallet. i love how simple and practical this coat is. the hood when not used as a hood makes a nice collar for the neck and head.</v>
      </c>
      <c r="F1016" s="13">
        <f>IFERROR(__xludf.DUMMYFUNCTION("""COMPUTED_VALUE"""),5.0)</f>
        <v>5</v>
      </c>
      <c r="G1016" s="13">
        <f>IFERROR(__xludf.DUMMYFUNCTION("""COMPUTED_VALUE"""),1.0)</f>
        <v>1</v>
      </c>
      <c r="H1016" s="13">
        <f>IFERROR(__xludf.DUMMYFUNCTION("""COMPUTED_VALUE"""),0.0)</f>
        <v>0</v>
      </c>
      <c r="I1016" s="13" t="str">
        <f>IFERROR(__xludf.DUMMYFUNCTION("""COMPUTED_VALUE"""),"General")</f>
        <v>General</v>
      </c>
      <c r="J1016" s="13" t="str">
        <f>IFERROR(__xludf.DUMMYFUNCTION("""COMPUTED_VALUE"""),"Tops")</f>
        <v>Tops</v>
      </c>
      <c r="K1016" s="13" t="str">
        <f>IFERROR(__xludf.DUMMYFUNCTION("""COMPUTED_VALUE"""),"Sweaters")</f>
        <v>Sweaters</v>
      </c>
      <c r="L1016" s="13"/>
    </row>
    <row r="1017">
      <c r="A1017" s="13">
        <f>IFERROR(__xludf.DUMMYFUNCTION("""COMPUTED_VALUE"""),1015.0)</f>
        <v>1015</v>
      </c>
      <c r="B1017" s="13">
        <f>IFERROR(__xludf.DUMMYFUNCTION("""COMPUTED_VALUE"""),1094.0)</f>
        <v>1094</v>
      </c>
      <c r="C1017" s="13">
        <f>IFERROR(__xludf.DUMMYFUNCTION("""COMPUTED_VALUE"""),27.0)</f>
        <v>27</v>
      </c>
      <c r="D1017" s="12" t="str">
        <f>IFERROR(__xludf.DUMMYFUNCTION("""COMPUTED_VALUE"""),"Slimming, cute")</f>
        <v>Slimming, cute</v>
      </c>
      <c r="E1017" s="12" t="str">
        <f>IFERROR(__xludf.DUMMYFUNCTION("""COMPUTED_VALUE"""),"I have broader shoulders and thick arms, this dress does an amazing job slimming my arms and not making me appear top heavy!
i'm 5'4 125 lbs, the xs fit perfectly")</f>
        <v>I have broader shoulders and thick arms, this dress does an amazing job slimming my arms and not making me appear top heavy!
i'm 5'4 125 lbs, the xs fit perfectly</v>
      </c>
      <c r="F1017" s="13">
        <f>IFERROR(__xludf.DUMMYFUNCTION("""COMPUTED_VALUE"""),5.0)</f>
        <v>5</v>
      </c>
      <c r="G1017" s="13">
        <f>IFERROR(__xludf.DUMMYFUNCTION("""COMPUTED_VALUE"""),1.0)</f>
        <v>1</v>
      </c>
      <c r="H1017" s="13">
        <f>IFERROR(__xludf.DUMMYFUNCTION("""COMPUTED_VALUE"""),0.0)</f>
        <v>0</v>
      </c>
      <c r="I1017" s="13" t="str">
        <f>IFERROR(__xludf.DUMMYFUNCTION("""COMPUTED_VALUE"""),"General")</f>
        <v>General</v>
      </c>
      <c r="J1017" s="13" t="str">
        <f>IFERROR(__xludf.DUMMYFUNCTION("""COMPUTED_VALUE"""),"Dresses")</f>
        <v>Dresses</v>
      </c>
      <c r="K1017" s="13" t="str">
        <f>IFERROR(__xludf.DUMMYFUNCTION("""COMPUTED_VALUE"""),"Dresses")</f>
        <v>Dresses</v>
      </c>
      <c r="L1017" s="13"/>
    </row>
    <row r="1018">
      <c r="A1018" s="13">
        <f>IFERROR(__xludf.DUMMYFUNCTION("""COMPUTED_VALUE"""),1016.0)</f>
        <v>1016</v>
      </c>
      <c r="B1018" s="13">
        <f>IFERROR(__xludf.DUMMYFUNCTION("""COMPUTED_VALUE"""),936.0)</f>
        <v>936</v>
      </c>
      <c r="C1018" s="13">
        <f>IFERROR(__xludf.DUMMYFUNCTION("""COMPUTED_VALUE"""),28.0)</f>
        <v>28</v>
      </c>
      <c r="D1018" s="12" t="str">
        <f>IFERROR(__xludf.DUMMYFUNCTION("""COMPUTED_VALUE"""),"Beautiful design but not great quality.")</f>
        <v>Beautiful design but not great quality.</v>
      </c>
      <c r="E1018" s="12" t="str">
        <f>IFERROR(__xludf.DUMMYFUNCTION("""COMPUTED_VALUE"""),"I'll start with saying that it's a beautiful coat- i get tons of compliments and love the color. it runs a little big but it's meant to have to a slouchy, oversized quality to it. my only complaint is that i've had it for about 3 weeks and already one but"&amp;"ton has completely fallen off and the two inside fasteners already feel loose and very delicate. there's no extra buttons to replace the old one with and i'm worried more of the coat is going to fall apart. super bummed about the construction qu")</f>
        <v>I'll start with saying that it's a beautiful coat- i get tons of compliments and love the color. it runs a little big but it's meant to have to a slouchy, oversized quality to it. my only complaint is that i've had it for about 3 weeks and already one button has completely fallen off and the two inside fasteners already feel loose and very delicate. there's no extra buttons to replace the old one with and i'm worried more of the coat is going to fall apart. super bummed about the construction qu</v>
      </c>
      <c r="F1018" s="13">
        <f>IFERROR(__xludf.DUMMYFUNCTION("""COMPUTED_VALUE"""),3.0)</f>
        <v>3</v>
      </c>
      <c r="G1018" s="13">
        <f>IFERROR(__xludf.DUMMYFUNCTION("""COMPUTED_VALUE"""),1.0)</f>
        <v>1</v>
      </c>
      <c r="H1018" s="13">
        <f>IFERROR(__xludf.DUMMYFUNCTION("""COMPUTED_VALUE"""),4.0)</f>
        <v>4</v>
      </c>
      <c r="I1018" s="13" t="str">
        <f>IFERROR(__xludf.DUMMYFUNCTION("""COMPUTED_VALUE"""),"General")</f>
        <v>General</v>
      </c>
      <c r="J1018" s="13" t="str">
        <f>IFERROR(__xludf.DUMMYFUNCTION("""COMPUTED_VALUE"""),"Tops")</f>
        <v>Tops</v>
      </c>
      <c r="K1018" s="13" t="str">
        <f>IFERROR(__xludf.DUMMYFUNCTION("""COMPUTED_VALUE"""),"Sweaters")</f>
        <v>Sweaters</v>
      </c>
      <c r="L1018" s="13"/>
    </row>
    <row r="1019">
      <c r="A1019" s="13">
        <f>IFERROR(__xludf.DUMMYFUNCTION("""COMPUTED_VALUE"""),1017.0)</f>
        <v>1017</v>
      </c>
      <c r="B1019" s="13">
        <f>IFERROR(__xludf.DUMMYFUNCTION("""COMPUTED_VALUE"""),1154.0)</f>
        <v>1154</v>
      </c>
      <c r="C1019" s="13">
        <f>IFERROR(__xludf.DUMMYFUNCTION("""COMPUTED_VALUE"""),44.0)</f>
        <v>44</v>
      </c>
      <c r="D1019" s="12" t="str">
        <f>IFERROR(__xludf.DUMMYFUNCTION("""COMPUTED_VALUE"""),"Worth every penny!")</f>
        <v>Worth every penny!</v>
      </c>
      <c r="E1019" s="12" t="str">
        <f>IFERROR(__xludf.DUMMYFUNCTION("""COMPUTED_VALUE"""),"This bra is so well made and fits beautifully.")</f>
        <v>This bra is so well made and fits beautifully.</v>
      </c>
      <c r="F1019" s="13">
        <f>IFERROR(__xludf.DUMMYFUNCTION("""COMPUTED_VALUE"""),5.0)</f>
        <v>5</v>
      </c>
      <c r="G1019" s="13">
        <f>IFERROR(__xludf.DUMMYFUNCTION("""COMPUTED_VALUE"""),1.0)</f>
        <v>1</v>
      </c>
      <c r="H1019" s="13">
        <f>IFERROR(__xludf.DUMMYFUNCTION("""COMPUTED_VALUE"""),0.0)</f>
        <v>0</v>
      </c>
      <c r="I1019" s="13" t="str">
        <f>IFERROR(__xludf.DUMMYFUNCTION("""COMPUTED_VALUE"""),"Initmates")</f>
        <v>Initmates</v>
      </c>
      <c r="J1019" s="13" t="str">
        <f>IFERROR(__xludf.DUMMYFUNCTION("""COMPUTED_VALUE"""),"Intimate")</f>
        <v>Intimate</v>
      </c>
      <c r="K1019" s="13" t="str">
        <f>IFERROR(__xludf.DUMMYFUNCTION("""COMPUTED_VALUE"""),"Intimates")</f>
        <v>Intimates</v>
      </c>
      <c r="L1019" s="13"/>
    </row>
    <row r="1020">
      <c r="A1020" s="13">
        <f>IFERROR(__xludf.DUMMYFUNCTION("""COMPUTED_VALUE"""),1018.0)</f>
        <v>1018</v>
      </c>
      <c r="B1020" s="13">
        <f>IFERROR(__xludf.DUMMYFUNCTION("""COMPUTED_VALUE"""),936.0)</f>
        <v>936</v>
      </c>
      <c r="C1020" s="13">
        <f>IFERROR(__xludf.DUMMYFUNCTION("""COMPUTED_VALUE"""),47.0)</f>
        <v>47</v>
      </c>
      <c r="D1020" s="12" t="str">
        <f>IFERROR(__xludf.DUMMYFUNCTION("""COMPUTED_VALUE"""),"Lovely")</f>
        <v>Lovely</v>
      </c>
      <c r="E1020" s="12" t="str">
        <f>IFERROR(__xludf.DUMMYFUNCTION("""COMPUTED_VALUE"""),"Snapped this sweet puppy up at my local retailer-in the sale room!!!!! it is beyond fabulous and the coral color is divine!!!! brightens up the drearriest of days-i did size down. i am short and the small sleeves were way too long on my 5ft3in frame. it r"&amp;"uns a bit large but if you were to wear a heavier something under it i could see getting your ""normal"" size. the quality is great and the style is just lovely. great jacket-love love love")</f>
        <v>Snapped this sweet puppy up at my local retailer-in the sale room!!!!! it is beyond fabulous and the coral color is divine!!!! brightens up the drearriest of days-i did size down. i am short and the small sleeves were way too long on my 5ft3in frame. it runs a bit large but if you were to wear a heavier something under it i could see getting your "normal" size. the quality is great and the style is just lovely. great jacket-love love love</v>
      </c>
      <c r="F1020" s="13">
        <f>IFERROR(__xludf.DUMMYFUNCTION("""COMPUTED_VALUE"""),5.0)</f>
        <v>5</v>
      </c>
      <c r="G1020" s="13">
        <f>IFERROR(__xludf.DUMMYFUNCTION("""COMPUTED_VALUE"""),1.0)</f>
        <v>1</v>
      </c>
      <c r="H1020" s="13">
        <f>IFERROR(__xludf.DUMMYFUNCTION("""COMPUTED_VALUE"""),0.0)</f>
        <v>0</v>
      </c>
      <c r="I1020" s="13" t="str">
        <f>IFERROR(__xludf.DUMMYFUNCTION("""COMPUTED_VALUE"""),"General")</f>
        <v>General</v>
      </c>
      <c r="J1020" s="13" t="str">
        <f>IFERROR(__xludf.DUMMYFUNCTION("""COMPUTED_VALUE"""),"Tops")</f>
        <v>Tops</v>
      </c>
      <c r="K1020" s="13" t="str">
        <f>IFERROR(__xludf.DUMMYFUNCTION("""COMPUTED_VALUE"""),"Sweaters")</f>
        <v>Sweaters</v>
      </c>
      <c r="L1020" s="13"/>
    </row>
    <row r="1021">
      <c r="A1021" s="13">
        <f>IFERROR(__xludf.DUMMYFUNCTION("""COMPUTED_VALUE"""),1019.0)</f>
        <v>1019</v>
      </c>
      <c r="B1021" s="13">
        <f>IFERROR(__xludf.DUMMYFUNCTION("""COMPUTED_VALUE"""),936.0)</f>
        <v>936</v>
      </c>
      <c r="C1021" s="13">
        <f>IFERROR(__xludf.DUMMYFUNCTION("""COMPUTED_VALUE"""),42.0)</f>
        <v>42</v>
      </c>
      <c r="D1021" s="12" t="str">
        <f>IFERROR(__xludf.DUMMYFUNCTION("""COMPUTED_VALUE"""),"Beautiful coat")</f>
        <v>Beautiful coat</v>
      </c>
      <c r="E1021" s="12" t="str">
        <f>IFERROR(__xludf.DUMMYFUNCTION("""COMPUTED_VALUE"""),"Love this coat - great fall piece! i bought the green color and it looks as shown in the picture. great retailer purchase!")</f>
        <v>Love this coat - great fall piece! i bought the green color and it looks as shown in the picture. great retailer purchase!</v>
      </c>
      <c r="F1021" s="13">
        <f>IFERROR(__xludf.DUMMYFUNCTION("""COMPUTED_VALUE"""),5.0)</f>
        <v>5</v>
      </c>
      <c r="G1021" s="13">
        <f>IFERROR(__xludf.DUMMYFUNCTION("""COMPUTED_VALUE"""),1.0)</f>
        <v>1</v>
      </c>
      <c r="H1021" s="13">
        <f>IFERROR(__xludf.DUMMYFUNCTION("""COMPUTED_VALUE"""),0.0)</f>
        <v>0</v>
      </c>
      <c r="I1021" s="13" t="str">
        <f>IFERROR(__xludf.DUMMYFUNCTION("""COMPUTED_VALUE"""),"General")</f>
        <v>General</v>
      </c>
      <c r="J1021" s="13" t="str">
        <f>IFERROR(__xludf.DUMMYFUNCTION("""COMPUTED_VALUE"""),"Tops")</f>
        <v>Tops</v>
      </c>
      <c r="K1021" s="13" t="str">
        <f>IFERROR(__xludf.DUMMYFUNCTION("""COMPUTED_VALUE"""),"Sweaters")</f>
        <v>Sweaters</v>
      </c>
      <c r="L1021" s="13"/>
    </row>
    <row r="1022">
      <c r="A1022" s="13">
        <f>IFERROR(__xludf.DUMMYFUNCTION("""COMPUTED_VALUE"""),1020.0)</f>
        <v>1020</v>
      </c>
      <c r="B1022" s="13">
        <f>IFERROR(__xludf.DUMMYFUNCTION("""COMPUTED_VALUE"""),936.0)</f>
        <v>936</v>
      </c>
      <c r="C1022" s="13">
        <f>IFERROR(__xludf.DUMMYFUNCTION("""COMPUTED_VALUE"""),31.0)</f>
        <v>31</v>
      </c>
      <c r="D1022" s="12" t="str">
        <f>IFERROR(__xludf.DUMMYFUNCTION("""COMPUTED_VALUE"""),"Love this!")</f>
        <v>Love this!</v>
      </c>
      <c r="E1022" s="12" t="str">
        <f>IFERROR(__xludf.DUMMYFUNCTION("""COMPUTED_VALUE"""),"I bought it to mainly wear as a coat but i think it'd be great with some leggings and boots as well. if you want a more structured look go a size smaller. i plan on wearing this more as outer wear so i went with large. the coral is beautiful")</f>
        <v>I bought it to mainly wear as a coat but i think it'd be great with some leggings and boots as well. if you want a more structured look go a size smaller. i plan on wearing this more as outer wear so i went with large. the coral is beautiful</v>
      </c>
      <c r="F1022" s="13">
        <f>IFERROR(__xludf.DUMMYFUNCTION("""COMPUTED_VALUE"""),5.0)</f>
        <v>5</v>
      </c>
      <c r="G1022" s="13">
        <f>IFERROR(__xludf.DUMMYFUNCTION("""COMPUTED_VALUE"""),1.0)</f>
        <v>1</v>
      </c>
      <c r="H1022" s="13">
        <f>IFERROR(__xludf.DUMMYFUNCTION("""COMPUTED_VALUE"""),0.0)</f>
        <v>0</v>
      </c>
      <c r="I1022" s="13" t="str">
        <f>IFERROR(__xludf.DUMMYFUNCTION("""COMPUTED_VALUE"""),"General")</f>
        <v>General</v>
      </c>
      <c r="J1022" s="13" t="str">
        <f>IFERROR(__xludf.DUMMYFUNCTION("""COMPUTED_VALUE"""),"Tops")</f>
        <v>Tops</v>
      </c>
      <c r="K1022" s="13" t="str">
        <f>IFERROR(__xludf.DUMMYFUNCTION("""COMPUTED_VALUE"""),"Sweaters")</f>
        <v>Sweaters</v>
      </c>
      <c r="L1022" s="13"/>
    </row>
    <row r="1023">
      <c r="A1023" s="13">
        <f>IFERROR(__xludf.DUMMYFUNCTION("""COMPUTED_VALUE"""),1021.0)</f>
        <v>1021</v>
      </c>
      <c r="B1023" s="13">
        <f>IFERROR(__xludf.DUMMYFUNCTION("""COMPUTED_VALUE"""),868.0)</f>
        <v>868</v>
      </c>
      <c r="C1023" s="13">
        <f>IFERROR(__xludf.DUMMYFUNCTION("""COMPUTED_VALUE"""),26.0)</f>
        <v>26</v>
      </c>
      <c r="D1023" s="12" t="str">
        <f>IFERROR(__xludf.DUMMYFUNCTION("""COMPUTED_VALUE"""),"Cute tunic")</f>
        <v>Cute tunic</v>
      </c>
      <c r="E1023" s="12" t="str">
        <f>IFERROR(__xludf.DUMMYFUNCTION("""COMPUTED_VALUE"""),"This tunic is very nice. flattering, good design, worn in winter and spring, and fits well. i have a curvy figure, and this fits well. i wish it came in more colors.it does show flaws slightly but fits well and is stretchy.")</f>
        <v>This tunic is very nice. flattering, good design, worn in winter and spring, and fits well. i have a curvy figure, and this fits well. i wish it came in more colors.it does show flaws slightly but fits well and is stretchy.</v>
      </c>
      <c r="F1023" s="13">
        <f>IFERROR(__xludf.DUMMYFUNCTION("""COMPUTED_VALUE"""),4.0)</f>
        <v>4</v>
      </c>
      <c r="G1023" s="13">
        <f>IFERROR(__xludf.DUMMYFUNCTION("""COMPUTED_VALUE"""),1.0)</f>
        <v>1</v>
      </c>
      <c r="H1023" s="13">
        <f>IFERROR(__xludf.DUMMYFUNCTION("""COMPUTED_VALUE"""),0.0)</f>
        <v>0</v>
      </c>
      <c r="I1023" s="13" t="str">
        <f>IFERROR(__xludf.DUMMYFUNCTION("""COMPUTED_VALUE"""),"General")</f>
        <v>General</v>
      </c>
      <c r="J1023" s="13" t="str">
        <f>IFERROR(__xludf.DUMMYFUNCTION("""COMPUTED_VALUE"""),"Tops")</f>
        <v>Tops</v>
      </c>
      <c r="K1023" s="13" t="str">
        <f>IFERROR(__xludf.DUMMYFUNCTION("""COMPUTED_VALUE"""),"Knits")</f>
        <v>Knits</v>
      </c>
      <c r="L1023" s="13"/>
    </row>
    <row r="1024">
      <c r="A1024" s="13">
        <f>IFERROR(__xludf.DUMMYFUNCTION("""COMPUTED_VALUE"""),1022.0)</f>
        <v>1022</v>
      </c>
      <c r="B1024" s="13">
        <f>IFERROR(__xludf.DUMMYFUNCTION("""COMPUTED_VALUE"""),854.0)</f>
        <v>854</v>
      </c>
      <c r="C1024" s="13">
        <f>IFERROR(__xludf.DUMMYFUNCTION("""COMPUTED_VALUE"""),59.0)</f>
        <v>59</v>
      </c>
      <c r="D1024" s="12" t="str">
        <f>IFERROR(__xludf.DUMMYFUNCTION("""COMPUTED_VALUE"""),"Misleading picture!")</f>
        <v>Misleading picture!</v>
      </c>
      <c r="E1024" s="12" t="str">
        <f>IFERROR(__xludf.DUMMYFUNCTION("""COMPUTED_VALUE"""),"The top i received was large, really long in length, pockets in the front along the seam, and lots of volume in the back without any princess seams to give it shape. the id #'s matched, but that's about it. returned!")</f>
        <v>The top i received was large, really long in length, pockets in the front along the seam, and lots of volume in the back without any princess seams to give it shape. the id #'s matched, but that's about it. returned!</v>
      </c>
      <c r="F1024" s="13">
        <f>IFERROR(__xludf.DUMMYFUNCTION("""COMPUTED_VALUE"""),1.0)</f>
        <v>1</v>
      </c>
      <c r="G1024" s="13">
        <f>IFERROR(__xludf.DUMMYFUNCTION("""COMPUTED_VALUE"""),0.0)</f>
        <v>0</v>
      </c>
      <c r="H1024" s="13">
        <f>IFERROR(__xludf.DUMMYFUNCTION("""COMPUTED_VALUE"""),1.0)</f>
        <v>1</v>
      </c>
      <c r="I1024" s="13" t="str">
        <f>IFERROR(__xludf.DUMMYFUNCTION("""COMPUTED_VALUE"""),"General Petite")</f>
        <v>General Petite</v>
      </c>
      <c r="J1024" s="13" t="str">
        <f>IFERROR(__xludf.DUMMYFUNCTION("""COMPUTED_VALUE"""),"Tops")</f>
        <v>Tops</v>
      </c>
      <c r="K1024" s="13" t="str">
        <f>IFERROR(__xludf.DUMMYFUNCTION("""COMPUTED_VALUE"""),"Knits")</f>
        <v>Knits</v>
      </c>
      <c r="L1024" s="13"/>
    </row>
    <row r="1025">
      <c r="A1025" s="13">
        <f>IFERROR(__xludf.DUMMYFUNCTION("""COMPUTED_VALUE"""),1023.0)</f>
        <v>1023</v>
      </c>
      <c r="B1025" s="13">
        <f>IFERROR(__xludf.DUMMYFUNCTION("""COMPUTED_VALUE"""),936.0)</f>
        <v>936</v>
      </c>
      <c r="C1025" s="13">
        <f>IFERROR(__xludf.DUMMYFUNCTION("""COMPUTED_VALUE"""),33.0)</f>
        <v>33</v>
      </c>
      <c r="D1025" s="12" t="str">
        <f>IFERROR(__xludf.DUMMYFUNCTION("""COMPUTED_VALUE"""),"Cozy, flattering, and practical")</f>
        <v>Cozy, flattering, and practical</v>
      </c>
      <c r="E1025" s="12" t="str">
        <f>IFERROR(__xludf.DUMMYFUNCTION("""COMPUTED_VALUE"""),"At first, i thought this sweater might be too boxy, but fastened at the waist, it's very flattering and the collar is face-framing, and the coral in particular (really more of a mango sorbet shade) is unexpected but cheery for winter.
but the big selling"&amp;" point is the warmth and the giant pockets. brought a new puppy home just after christmas, and this sweater is perfect for layering for late- night trips out with an easy place to stash my phone and treats. bought it in coral and pink.")</f>
        <v>At first, i thought this sweater might be too boxy, but fastened at the waist, it's very flattering and the collar is face-framing, and the coral in particular (really more of a mango sorbet shade) is unexpected but cheery for winter.
but the big selling point is the warmth and the giant pockets. brought a new puppy home just after christmas, and this sweater is perfect for layering for late- night trips out with an easy place to stash my phone and treats. bought it in coral and pink.</v>
      </c>
      <c r="F1025" s="13">
        <f>IFERROR(__xludf.DUMMYFUNCTION("""COMPUTED_VALUE"""),5.0)</f>
        <v>5</v>
      </c>
      <c r="G1025" s="13">
        <f>IFERROR(__xludf.DUMMYFUNCTION("""COMPUTED_VALUE"""),1.0)</f>
        <v>1</v>
      </c>
      <c r="H1025" s="13">
        <f>IFERROR(__xludf.DUMMYFUNCTION("""COMPUTED_VALUE"""),1.0)</f>
        <v>1</v>
      </c>
      <c r="I1025" s="13" t="str">
        <f>IFERROR(__xludf.DUMMYFUNCTION("""COMPUTED_VALUE"""),"General")</f>
        <v>General</v>
      </c>
      <c r="J1025" s="13" t="str">
        <f>IFERROR(__xludf.DUMMYFUNCTION("""COMPUTED_VALUE"""),"Tops")</f>
        <v>Tops</v>
      </c>
      <c r="K1025" s="13" t="str">
        <f>IFERROR(__xludf.DUMMYFUNCTION("""COMPUTED_VALUE"""),"Sweaters")</f>
        <v>Sweaters</v>
      </c>
      <c r="L1025" s="13"/>
    </row>
    <row r="1026">
      <c r="A1026" s="13">
        <f>IFERROR(__xludf.DUMMYFUNCTION("""COMPUTED_VALUE"""),1024.0)</f>
        <v>1024</v>
      </c>
      <c r="B1026" s="13">
        <f>IFERROR(__xludf.DUMMYFUNCTION("""COMPUTED_VALUE"""),949.0)</f>
        <v>949</v>
      </c>
      <c r="C1026" s="13">
        <f>IFERROR(__xludf.DUMMYFUNCTION("""COMPUTED_VALUE"""),47.0)</f>
        <v>47</v>
      </c>
      <c r="D1026" s="12" t="str">
        <f>IFERROR(__xludf.DUMMYFUNCTION("""COMPUTED_VALUE"""),"Great sweater!")</f>
        <v>Great sweater!</v>
      </c>
      <c r="E1026" s="12" t="str">
        <f>IFERROR(__xludf.DUMMYFUNCTION("""COMPUTED_VALUE"""),"I love this sweater! pros: great shape (it's supposed to be a little oversized looking), great color (i have the ivory and it's beautiful), and fits well (the sweater looks boxy until you put it on and it flows in all the right places). the sweater is not"&amp;" soft. that is my only con. it looks so soft in the photos, but the sweater i received is not at all soft and cozy. it is warm. it will be great for the winter - great pair with leggings, skirts or just jeans.")</f>
        <v>I love this sweater! pros: great shape (it's supposed to be a little oversized looking), great color (i have the ivory and it's beautiful), and fits well (the sweater looks boxy until you put it on and it flows in all the right places). the sweater is not soft. that is my only con. it looks so soft in the photos, but the sweater i received is not at all soft and cozy. it is warm. it will be great for the winter - great pair with leggings, skirts or just jeans.</v>
      </c>
      <c r="F1026" s="13">
        <f>IFERROR(__xludf.DUMMYFUNCTION("""COMPUTED_VALUE"""),4.0)</f>
        <v>4</v>
      </c>
      <c r="G1026" s="13">
        <f>IFERROR(__xludf.DUMMYFUNCTION("""COMPUTED_VALUE"""),1.0)</f>
        <v>1</v>
      </c>
      <c r="H1026" s="13">
        <f>IFERROR(__xludf.DUMMYFUNCTION("""COMPUTED_VALUE"""),0.0)</f>
        <v>0</v>
      </c>
      <c r="I1026" s="13" t="str">
        <f>IFERROR(__xludf.DUMMYFUNCTION("""COMPUTED_VALUE"""),"General")</f>
        <v>General</v>
      </c>
      <c r="J1026" s="13" t="str">
        <f>IFERROR(__xludf.DUMMYFUNCTION("""COMPUTED_VALUE"""),"Tops")</f>
        <v>Tops</v>
      </c>
      <c r="K1026" s="13" t="str">
        <f>IFERROR(__xludf.DUMMYFUNCTION("""COMPUTED_VALUE"""),"Sweaters")</f>
        <v>Sweaters</v>
      </c>
      <c r="L1026" s="13"/>
    </row>
    <row r="1027">
      <c r="A1027" s="13">
        <f>IFERROR(__xludf.DUMMYFUNCTION("""COMPUTED_VALUE"""),1025.0)</f>
        <v>1025</v>
      </c>
      <c r="B1027" s="13">
        <f>IFERROR(__xludf.DUMMYFUNCTION("""COMPUTED_VALUE"""),1094.0)</f>
        <v>1094</v>
      </c>
      <c r="C1027" s="13">
        <f>IFERROR(__xludf.DUMMYFUNCTION("""COMPUTED_VALUE"""),46.0)</f>
        <v>46</v>
      </c>
      <c r="D1027" s="12" t="str">
        <f>IFERROR(__xludf.DUMMYFUNCTION("""COMPUTED_VALUE"""),"Beautiful")</f>
        <v>Beautiful</v>
      </c>
      <c r="E1027" s="12" t="str">
        <f>IFERROR(__xludf.DUMMYFUNCTION("""COMPUTED_VALUE"""),"I love this dress. will be wearing it for the first time tomorrow. it fits well. the neck line is a bit low on me. i think it would look best on someone with more of a chest than i have. i will be wearing a winter white infinity scarf with it (as shown on"&amp;" model). i am 5' 6.5"" and 120 lbs and the small is just right.")</f>
        <v>I love this dress. will be wearing it for the first time tomorrow. it fits well. the neck line is a bit low on me. i think it would look best on someone with more of a chest than i have. i will be wearing a winter white infinity scarf with it (as shown on model). i am 5' 6.5" and 120 lbs and the small is just right.</v>
      </c>
      <c r="F1027" s="13">
        <f>IFERROR(__xludf.DUMMYFUNCTION("""COMPUTED_VALUE"""),5.0)</f>
        <v>5</v>
      </c>
      <c r="G1027" s="13">
        <f>IFERROR(__xludf.DUMMYFUNCTION("""COMPUTED_VALUE"""),1.0)</f>
        <v>1</v>
      </c>
      <c r="H1027" s="13">
        <f>IFERROR(__xludf.DUMMYFUNCTION("""COMPUTED_VALUE"""),1.0)</f>
        <v>1</v>
      </c>
      <c r="I1027" s="13" t="str">
        <f>IFERROR(__xludf.DUMMYFUNCTION("""COMPUTED_VALUE"""),"General")</f>
        <v>General</v>
      </c>
      <c r="J1027" s="13" t="str">
        <f>IFERROR(__xludf.DUMMYFUNCTION("""COMPUTED_VALUE"""),"Dresses")</f>
        <v>Dresses</v>
      </c>
      <c r="K1027" s="13" t="str">
        <f>IFERROR(__xludf.DUMMYFUNCTION("""COMPUTED_VALUE"""),"Dresses")</f>
        <v>Dresses</v>
      </c>
      <c r="L1027" s="13"/>
    </row>
    <row r="1028">
      <c r="A1028" s="13">
        <f>IFERROR(__xludf.DUMMYFUNCTION("""COMPUTED_VALUE"""),1026.0)</f>
        <v>1026</v>
      </c>
      <c r="B1028" s="13">
        <f>IFERROR(__xludf.DUMMYFUNCTION("""COMPUTED_VALUE"""),936.0)</f>
        <v>936</v>
      </c>
      <c r="C1028" s="13">
        <f>IFERROR(__xludf.DUMMYFUNCTION("""COMPUTED_VALUE"""),24.0)</f>
        <v>24</v>
      </c>
      <c r="D1028" s="12" t="str">
        <f>IFERROR(__xludf.DUMMYFUNCTION("""COMPUTED_VALUE"""),"Best sweater jacket!")</f>
        <v>Best sweater jacket!</v>
      </c>
      <c r="E1028" s="12" t="str">
        <f>IFERROR(__xludf.DUMMYFUNCTION("""COMPUTED_VALUE"""),"Love this sweater jacket! super comfortable and warm. i am 5'2 and i got a xs petite. it fit perfectly both in length and in the sleeve. the green color is super rich and is perfect for the season. it's easy to wear it up and wear it down. i appreciate th"&amp;"at it's not super bulky, which was what i was afraid of. my favorite jacket of the season so far.")</f>
        <v>Love this sweater jacket! super comfortable and warm. i am 5'2 and i got a xs petite. it fit perfectly both in length and in the sleeve. the green color is super rich and is perfect for the season. it's easy to wear it up and wear it down. i appreciate that it's not super bulky, which was what i was afraid of. my favorite jacket of the season so far.</v>
      </c>
      <c r="F1028" s="13">
        <f>IFERROR(__xludf.DUMMYFUNCTION("""COMPUTED_VALUE"""),5.0)</f>
        <v>5</v>
      </c>
      <c r="G1028" s="13">
        <f>IFERROR(__xludf.DUMMYFUNCTION("""COMPUTED_VALUE"""),1.0)</f>
        <v>1</v>
      </c>
      <c r="H1028" s="13">
        <f>IFERROR(__xludf.DUMMYFUNCTION("""COMPUTED_VALUE"""),2.0)</f>
        <v>2</v>
      </c>
      <c r="I1028" s="13" t="str">
        <f>IFERROR(__xludf.DUMMYFUNCTION("""COMPUTED_VALUE"""),"General")</f>
        <v>General</v>
      </c>
      <c r="J1028" s="13" t="str">
        <f>IFERROR(__xludf.DUMMYFUNCTION("""COMPUTED_VALUE"""),"Tops")</f>
        <v>Tops</v>
      </c>
      <c r="K1028" s="13" t="str">
        <f>IFERROR(__xludf.DUMMYFUNCTION("""COMPUTED_VALUE"""),"Sweaters")</f>
        <v>Sweaters</v>
      </c>
      <c r="L1028" s="13"/>
    </row>
    <row r="1029">
      <c r="A1029" s="13">
        <f>IFERROR(__xludf.DUMMYFUNCTION("""COMPUTED_VALUE"""),1027.0)</f>
        <v>1027</v>
      </c>
      <c r="B1029" s="13">
        <f>IFERROR(__xludf.DUMMYFUNCTION("""COMPUTED_VALUE"""),1047.0)</f>
        <v>1047</v>
      </c>
      <c r="C1029" s="13">
        <f>IFERROR(__xludf.DUMMYFUNCTION("""COMPUTED_VALUE"""),34.0)</f>
        <v>34</v>
      </c>
      <c r="D1029" s="12" t="str">
        <f>IFERROR(__xludf.DUMMYFUNCTION("""COMPUTED_VALUE"""),"Not for every body type")</f>
        <v>Not for every body type</v>
      </c>
      <c r="E1029" s="12" t="str">
        <f>IFERROR(__xludf.DUMMYFUNCTION("""COMPUTED_VALUE"""),"I am 5'6"", 130 lbs with an athletic body type and i ordered a size small. these were really baggy in the thigh/quadricep area and made my thighs look bulky. the fabric quality is very nice and i like the idea of them for curvier body types. my son commen"&amp;"ted that they looked like pajama pants and i agreed.")</f>
        <v>I am 5'6", 130 lbs with an athletic body type and i ordered a size small. these were really baggy in the thigh/quadricep area and made my thighs look bulky. the fabric quality is very nice and i like the idea of them for curvier body types. my son commented that they looked like pajama pants and i agreed.</v>
      </c>
      <c r="F1029" s="13">
        <f>IFERROR(__xludf.DUMMYFUNCTION("""COMPUTED_VALUE"""),2.0)</f>
        <v>2</v>
      </c>
      <c r="G1029" s="13">
        <f>IFERROR(__xludf.DUMMYFUNCTION("""COMPUTED_VALUE"""),1.0)</f>
        <v>1</v>
      </c>
      <c r="H1029" s="13">
        <f>IFERROR(__xludf.DUMMYFUNCTION("""COMPUTED_VALUE"""),0.0)</f>
        <v>0</v>
      </c>
      <c r="I1029" s="13" t="str">
        <f>IFERROR(__xludf.DUMMYFUNCTION("""COMPUTED_VALUE"""),"General")</f>
        <v>General</v>
      </c>
      <c r="J1029" s="13" t="str">
        <f>IFERROR(__xludf.DUMMYFUNCTION("""COMPUTED_VALUE"""),"Bottoms")</f>
        <v>Bottoms</v>
      </c>
      <c r="K1029" s="13" t="str">
        <f>IFERROR(__xludf.DUMMYFUNCTION("""COMPUTED_VALUE"""),"Pants")</f>
        <v>Pants</v>
      </c>
      <c r="L1029" s="13"/>
    </row>
    <row r="1030">
      <c r="A1030" s="13">
        <f>IFERROR(__xludf.DUMMYFUNCTION("""COMPUTED_VALUE"""),1028.0)</f>
        <v>1028</v>
      </c>
      <c r="B1030" s="13">
        <f>IFERROR(__xludf.DUMMYFUNCTION("""COMPUTED_VALUE"""),1083.0)</f>
        <v>1083</v>
      </c>
      <c r="C1030" s="13">
        <f>IFERROR(__xludf.DUMMYFUNCTION("""COMPUTED_VALUE"""),53.0)</f>
        <v>53</v>
      </c>
      <c r="D1030" s="12" t="str">
        <f>IFERROR(__xludf.DUMMYFUNCTION("""COMPUTED_VALUE"""),"Best for staright figures")</f>
        <v>Best for staright figures</v>
      </c>
      <c r="E1030" s="12" t="str">
        <f>IFERROR(__xludf.DUMMYFUNCTION("""COMPUTED_VALUE"""),"This is a beautiful dress but if you have any hips at all you may find it difficult to find the right size. i usually wear a 0-2 p and found that that the op was too snug on the bottom while the 2p was too loose on top. ( for reference 32-26-35). so if yo"&amp;"u are perfectly proportioned it could work for you.
also, note that this is a pencil dress....very slim fitting.....probably best suited for a cocktail party.")</f>
        <v>This is a beautiful dress but if you have any hips at all you may find it difficult to find the right size. i usually wear a 0-2 p and found that that the op was too snug on the bottom while the 2p was too loose on top. ( for reference 32-26-35). so if you are perfectly proportioned it could work for you.
also, note that this is a pencil dress....very slim fitting.....probably best suited for a cocktail party.</v>
      </c>
      <c r="F1030" s="13">
        <f>IFERROR(__xludf.DUMMYFUNCTION("""COMPUTED_VALUE"""),4.0)</f>
        <v>4</v>
      </c>
      <c r="G1030" s="13">
        <f>IFERROR(__xludf.DUMMYFUNCTION("""COMPUTED_VALUE"""),1.0)</f>
        <v>1</v>
      </c>
      <c r="H1030" s="13">
        <f>IFERROR(__xludf.DUMMYFUNCTION("""COMPUTED_VALUE"""),3.0)</f>
        <v>3</v>
      </c>
      <c r="I1030" s="13" t="str">
        <f>IFERROR(__xludf.DUMMYFUNCTION("""COMPUTED_VALUE"""),"General")</f>
        <v>General</v>
      </c>
      <c r="J1030" s="13" t="str">
        <f>IFERROR(__xludf.DUMMYFUNCTION("""COMPUTED_VALUE"""),"Dresses")</f>
        <v>Dresses</v>
      </c>
      <c r="K1030" s="13" t="str">
        <f>IFERROR(__xludf.DUMMYFUNCTION("""COMPUTED_VALUE"""),"Dresses")</f>
        <v>Dresses</v>
      </c>
      <c r="L1030" s="13"/>
    </row>
    <row r="1031">
      <c r="A1031" s="13">
        <f>IFERROR(__xludf.DUMMYFUNCTION("""COMPUTED_VALUE"""),1029.0)</f>
        <v>1029</v>
      </c>
      <c r="B1031" s="13">
        <f>IFERROR(__xludf.DUMMYFUNCTION("""COMPUTED_VALUE"""),949.0)</f>
        <v>949</v>
      </c>
      <c r="C1031" s="13">
        <f>IFERROR(__xludf.DUMMYFUNCTION("""COMPUTED_VALUE"""),38.0)</f>
        <v>38</v>
      </c>
      <c r="D1031" s="12" t="str">
        <f>IFERROR(__xludf.DUMMYFUNCTION("""COMPUTED_VALUE"""),"Cute sweater!")</f>
        <v>Cute sweater!</v>
      </c>
      <c r="E1031" s="12" t="str">
        <f>IFERROR(__xludf.DUMMYFUNCTION("""COMPUTED_VALUE"""),"Purchased this sweater in the blue color which is a gray/blue. it runs large as the xs is still quite roomy on me in the body. although the arms are more snug. great quality.")</f>
        <v>Purchased this sweater in the blue color which is a gray/blue. it runs large as the xs is still quite roomy on me in the body. although the arms are more snug. great quality.</v>
      </c>
      <c r="F1031" s="13">
        <f>IFERROR(__xludf.DUMMYFUNCTION("""COMPUTED_VALUE"""),5.0)</f>
        <v>5</v>
      </c>
      <c r="G1031" s="13">
        <f>IFERROR(__xludf.DUMMYFUNCTION("""COMPUTED_VALUE"""),1.0)</f>
        <v>1</v>
      </c>
      <c r="H1031" s="13">
        <f>IFERROR(__xludf.DUMMYFUNCTION("""COMPUTED_VALUE"""),0.0)</f>
        <v>0</v>
      </c>
      <c r="I1031" s="13" t="str">
        <f>IFERROR(__xludf.DUMMYFUNCTION("""COMPUTED_VALUE"""),"General")</f>
        <v>General</v>
      </c>
      <c r="J1031" s="13" t="str">
        <f>IFERROR(__xludf.DUMMYFUNCTION("""COMPUTED_VALUE"""),"Tops")</f>
        <v>Tops</v>
      </c>
      <c r="K1031" s="13" t="str">
        <f>IFERROR(__xludf.DUMMYFUNCTION("""COMPUTED_VALUE"""),"Sweaters")</f>
        <v>Sweaters</v>
      </c>
      <c r="L1031" s="13"/>
    </row>
    <row r="1032">
      <c r="A1032" s="13">
        <f>IFERROR(__xludf.DUMMYFUNCTION("""COMPUTED_VALUE"""),1030.0)</f>
        <v>1030</v>
      </c>
      <c r="B1032" s="13">
        <f>IFERROR(__xludf.DUMMYFUNCTION("""COMPUTED_VALUE"""),949.0)</f>
        <v>949</v>
      </c>
      <c r="C1032" s="13">
        <f>IFERROR(__xludf.DUMMYFUNCTION("""COMPUTED_VALUE"""),35.0)</f>
        <v>35</v>
      </c>
      <c r="D1032" s="12"/>
      <c r="E1032" s="12"/>
      <c r="F1032" s="13">
        <f>IFERROR(__xludf.DUMMYFUNCTION("""COMPUTED_VALUE"""),5.0)</f>
        <v>5</v>
      </c>
      <c r="G1032" s="13">
        <f>IFERROR(__xludf.DUMMYFUNCTION("""COMPUTED_VALUE"""),1.0)</f>
        <v>1</v>
      </c>
      <c r="H1032" s="13">
        <f>IFERROR(__xludf.DUMMYFUNCTION("""COMPUTED_VALUE"""),0.0)</f>
        <v>0</v>
      </c>
      <c r="I1032" s="13" t="str">
        <f>IFERROR(__xludf.DUMMYFUNCTION("""COMPUTED_VALUE"""),"General")</f>
        <v>General</v>
      </c>
      <c r="J1032" s="13" t="str">
        <f>IFERROR(__xludf.DUMMYFUNCTION("""COMPUTED_VALUE"""),"Tops")</f>
        <v>Tops</v>
      </c>
      <c r="K1032" s="13" t="str">
        <f>IFERROR(__xludf.DUMMYFUNCTION("""COMPUTED_VALUE"""),"Sweaters")</f>
        <v>Sweaters</v>
      </c>
      <c r="L1032" s="13"/>
    </row>
    <row r="1033">
      <c r="A1033" s="13">
        <f>IFERROR(__xludf.DUMMYFUNCTION("""COMPUTED_VALUE"""),1031.0)</f>
        <v>1031</v>
      </c>
      <c r="B1033" s="13">
        <f>IFERROR(__xludf.DUMMYFUNCTION("""COMPUTED_VALUE"""),949.0)</f>
        <v>949</v>
      </c>
      <c r="C1033" s="13">
        <f>IFERROR(__xludf.DUMMYFUNCTION("""COMPUTED_VALUE"""),58.0)</f>
        <v>58</v>
      </c>
      <c r="D1033" s="12" t="str">
        <f>IFERROR(__xludf.DUMMYFUNCTION("""COMPUTED_VALUE"""),"So happy i ordered this!")</f>
        <v>So happy i ordered this!</v>
      </c>
      <c r="E1033" s="12" t="str">
        <f>IFERROR(__xludf.DUMMYFUNCTION("""COMPUTED_VALUE"""),"I bought this as a birthday gift for my daughter, and i am so glad i did. the colors are beautiful, and the material is so soft. i'm sure she's going to love it!")</f>
        <v>I bought this as a birthday gift for my daughter, and i am so glad i did. the colors are beautiful, and the material is so soft. i'm sure she's going to love it!</v>
      </c>
      <c r="F1033" s="13">
        <f>IFERROR(__xludf.DUMMYFUNCTION("""COMPUTED_VALUE"""),5.0)</f>
        <v>5</v>
      </c>
      <c r="G1033" s="13">
        <f>IFERROR(__xludf.DUMMYFUNCTION("""COMPUTED_VALUE"""),1.0)</f>
        <v>1</v>
      </c>
      <c r="H1033" s="13">
        <f>IFERROR(__xludf.DUMMYFUNCTION("""COMPUTED_VALUE"""),0.0)</f>
        <v>0</v>
      </c>
      <c r="I1033" s="13" t="str">
        <f>IFERROR(__xludf.DUMMYFUNCTION("""COMPUTED_VALUE"""),"General")</f>
        <v>General</v>
      </c>
      <c r="J1033" s="13" t="str">
        <f>IFERROR(__xludf.DUMMYFUNCTION("""COMPUTED_VALUE"""),"Tops")</f>
        <v>Tops</v>
      </c>
      <c r="K1033" s="13" t="str">
        <f>IFERROR(__xludf.DUMMYFUNCTION("""COMPUTED_VALUE"""),"Sweaters")</f>
        <v>Sweaters</v>
      </c>
      <c r="L1033" s="13"/>
    </row>
    <row r="1034">
      <c r="A1034" s="13">
        <f>IFERROR(__xludf.DUMMYFUNCTION("""COMPUTED_VALUE"""),1032.0)</f>
        <v>1032</v>
      </c>
      <c r="B1034" s="13">
        <f>IFERROR(__xludf.DUMMYFUNCTION("""COMPUTED_VALUE"""),909.0)</f>
        <v>909</v>
      </c>
      <c r="C1034" s="13">
        <f>IFERROR(__xludf.DUMMYFUNCTION("""COMPUTED_VALUE"""),33.0)</f>
        <v>33</v>
      </c>
      <c r="D1034" s="12" t="str">
        <f>IFERROR(__xludf.DUMMYFUNCTION("""COMPUTED_VALUE"""),"Wanted to love it, but just kinda like it")</f>
        <v>Wanted to love it, but just kinda like it</v>
      </c>
      <c r="E1034" s="12" t="str">
        <f>IFERROR(__xludf.DUMMYFUNCTION("""COMPUTED_VALUE"""),"So when i saw a sweater with a big llama face on the front of it, i knew it must be mine. i ordered it and eagerly awaited its arrival. while the llama print and color of the sweater are ah-mazing, the fit of the sweater leaves something to be desired. i'"&amp;"m a 36 dd and mostly a size l, so that's what i ordered. it wasn't snug, but it didn't have the cut to pull off the oversized drapey look, so the areas where it was loose looked...strange. the sleeves were really long too, but i could have rolle")</f>
        <v>So when i saw a sweater with a big llama face on the front of it, i knew it must be mine. i ordered it and eagerly awaited its arrival. while the llama print and color of the sweater are ah-mazing, the fit of the sweater leaves something to be desired. i'm a 36 dd and mostly a size l, so that's what i ordered. it wasn't snug, but it didn't have the cut to pull off the oversized drapey look, so the areas where it was loose looked...strange. the sleeves were really long too, but i could have rolle</v>
      </c>
      <c r="F1034" s="13">
        <f>IFERROR(__xludf.DUMMYFUNCTION("""COMPUTED_VALUE"""),3.0)</f>
        <v>3</v>
      </c>
      <c r="G1034" s="13">
        <f>IFERROR(__xludf.DUMMYFUNCTION("""COMPUTED_VALUE"""),1.0)</f>
        <v>1</v>
      </c>
      <c r="H1034" s="13">
        <f>IFERROR(__xludf.DUMMYFUNCTION("""COMPUTED_VALUE"""),6.0)</f>
        <v>6</v>
      </c>
      <c r="I1034" s="13" t="str">
        <f>IFERROR(__xludf.DUMMYFUNCTION("""COMPUTED_VALUE"""),"General")</f>
        <v>General</v>
      </c>
      <c r="J1034" s="13" t="str">
        <f>IFERROR(__xludf.DUMMYFUNCTION("""COMPUTED_VALUE"""),"Tops")</f>
        <v>Tops</v>
      </c>
      <c r="K1034" s="13" t="str">
        <f>IFERROR(__xludf.DUMMYFUNCTION("""COMPUTED_VALUE"""),"Fine gauge")</f>
        <v>Fine gauge</v>
      </c>
      <c r="L1034" s="13"/>
    </row>
    <row r="1035">
      <c r="A1035" s="13">
        <f>IFERROR(__xludf.DUMMYFUNCTION("""COMPUTED_VALUE"""),1033.0)</f>
        <v>1033</v>
      </c>
      <c r="B1035" s="13">
        <f>IFERROR(__xludf.DUMMYFUNCTION("""COMPUTED_VALUE"""),949.0)</f>
        <v>949</v>
      </c>
      <c r="C1035" s="13">
        <f>IFERROR(__xludf.DUMMYFUNCTION("""COMPUTED_VALUE"""),67.0)</f>
        <v>67</v>
      </c>
      <c r="D1035" s="12" t="str">
        <f>IFERROR(__xludf.DUMMYFUNCTION("""COMPUTED_VALUE"""),"Lovely top")</f>
        <v>Lovely top</v>
      </c>
      <c r="E1035" s="12" t="str">
        <f>IFERROR(__xludf.DUMMYFUNCTION("""COMPUTED_VALUE"""),"I fell in love with this top (sweater) before it could even be ordered - was on model for pants that were available to order. in any case, i later ordered the blue motif online and the colors are even more beautiful in person. the blue also contains fiber"&amp;"s of wine - so very pretty. the gray is a soft shade. the quality is lovely too. the only cons are that the seater is rather heavy, but should be great for colder winter months and the zipper on the back is quite conspicuous. however, that said,")</f>
        <v>I fell in love with this top (sweater) before it could even be ordered - was on model for pants that were available to order. in any case, i later ordered the blue motif online and the colors are even more beautiful in person. the blue also contains fibers of wine - so very pretty. the gray is a soft shade. the quality is lovely too. the only cons are that the seater is rather heavy, but should be great for colder winter months and the zipper on the back is quite conspicuous. however, that said,</v>
      </c>
      <c r="F1035" s="13">
        <f>IFERROR(__xludf.DUMMYFUNCTION("""COMPUTED_VALUE"""),5.0)</f>
        <v>5</v>
      </c>
      <c r="G1035" s="13">
        <f>IFERROR(__xludf.DUMMYFUNCTION("""COMPUTED_VALUE"""),1.0)</f>
        <v>1</v>
      </c>
      <c r="H1035" s="13">
        <f>IFERROR(__xludf.DUMMYFUNCTION("""COMPUTED_VALUE"""),14.0)</f>
        <v>14</v>
      </c>
      <c r="I1035" s="13" t="str">
        <f>IFERROR(__xludf.DUMMYFUNCTION("""COMPUTED_VALUE"""),"General")</f>
        <v>General</v>
      </c>
      <c r="J1035" s="13" t="str">
        <f>IFERROR(__xludf.DUMMYFUNCTION("""COMPUTED_VALUE"""),"Tops")</f>
        <v>Tops</v>
      </c>
      <c r="K1035" s="13" t="str">
        <f>IFERROR(__xludf.DUMMYFUNCTION("""COMPUTED_VALUE"""),"Sweaters")</f>
        <v>Sweaters</v>
      </c>
      <c r="L1035" s="13"/>
    </row>
    <row r="1036">
      <c r="A1036" s="13">
        <f>IFERROR(__xludf.DUMMYFUNCTION("""COMPUTED_VALUE"""),1034.0)</f>
        <v>1034</v>
      </c>
      <c r="B1036" s="13">
        <f>IFERROR(__xludf.DUMMYFUNCTION("""COMPUTED_VALUE"""),873.0)</f>
        <v>873</v>
      </c>
      <c r="C1036" s="13">
        <f>IFERROR(__xludf.DUMMYFUNCTION("""COMPUTED_VALUE"""),32.0)</f>
        <v>32</v>
      </c>
      <c r="D1036" s="12" t="str">
        <f>IFERROR(__xludf.DUMMYFUNCTION("""COMPUTED_VALUE"""),"Comfy &amp; cute")</f>
        <v>Comfy &amp; cute</v>
      </c>
      <c r="E1036" s="12" t="str">
        <f>IFERROR(__xludf.DUMMYFUNCTION("""COMPUTED_VALUE"""),"Love the feminine styling of a classic tunic tee! i'll wear it with black leggings this fall. super cute to wear casually or dress up a bit with some jewelry and/or a scarf.")</f>
        <v>Love the feminine styling of a classic tunic tee! i'll wear it with black leggings this fall. super cute to wear casually or dress up a bit with some jewelry and/or a scarf.</v>
      </c>
      <c r="F1036" s="13">
        <f>IFERROR(__xludf.DUMMYFUNCTION("""COMPUTED_VALUE"""),5.0)</f>
        <v>5</v>
      </c>
      <c r="G1036" s="13">
        <f>IFERROR(__xludf.DUMMYFUNCTION("""COMPUTED_VALUE"""),1.0)</f>
        <v>1</v>
      </c>
      <c r="H1036" s="13">
        <f>IFERROR(__xludf.DUMMYFUNCTION("""COMPUTED_VALUE"""),1.0)</f>
        <v>1</v>
      </c>
      <c r="I1036" s="13" t="str">
        <f>IFERROR(__xludf.DUMMYFUNCTION("""COMPUTED_VALUE"""),"General")</f>
        <v>General</v>
      </c>
      <c r="J1036" s="13" t="str">
        <f>IFERROR(__xludf.DUMMYFUNCTION("""COMPUTED_VALUE"""),"Tops")</f>
        <v>Tops</v>
      </c>
      <c r="K1036" s="13" t="str">
        <f>IFERROR(__xludf.DUMMYFUNCTION("""COMPUTED_VALUE"""),"Knits")</f>
        <v>Knits</v>
      </c>
      <c r="L1036" s="13"/>
    </row>
    <row r="1037">
      <c r="A1037" s="13">
        <f>IFERROR(__xludf.DUMMYFUNCTION("""COMPUTED_VALUE"""),1035.0)</f>
        <v>1035</v>
      </c>
      <c r="B1037" s="13">
        <f>IFERROR(__xludf.DUMMYFUNCTION("""COMPUTED_VALUE"""),873.0)</f>
        <v>873</v>
      </c>
      <c r="C1037" s="13">
        <f>IFERROR(__xludf.DUMMYFUNCTION("""COMPUTED_VALUE"""),59.0)</f>
        <v>59</v>
      </c>
      <c r="D1037" s="12"/>
      <c r="E1037" s="12" t="str">
        <f>IFERROR(__xludf.DUMMYFUNCTION("""COMPUTED_VALUE"""),"This top is full of amazing details. the photos really don't do it justice. it is very flowy and does run large but is so pretty and soft and in beautiful shades of blue. i bought a small and it is fairly long in back on my 5'5"" frame but because of the "&amp;"detailing...it just works.")</f>
        <v>This top is full of amazing details. the photos really don't do it justice. it is very flowy and does run large but is so pretty and soft and in beautiful shades of blue. i bought a small and it is fairly long in back on my 5'5" frame but because of the detailing...it just works.</v>
      </c>
      <c r="F1037" s="13">
        <f>IFERROR(__xludf.DUMMYFUNCTION("""COMPUTED_VALUE"""),5.0)</f>
        <v>5</v>
      </c>
      <c r="G1037" s="13">
        <f>IFERROR(__xludf.DUMMYFUNCTION("""COMPUTED_VALUE"""),1.0)</f>
        <v>1</v>
      </c>
      <c r="H1037" s="13">
        <f>IFERROR(__xludf.DUMMYFUNCTION("""COMPUTED_VALUE"""),1.0)</f>
        <v>1</v>
      </c>
      <c r="I1037" s="13" t="str">
        <f>IFERROR(__xludf.DUMMYFUNCTION("""COMPUTED_VALUE"""),"General")</f>
        <v>General</v>
      </c>
      <c r="J1037" s="13" t="str">
        <f>IFERROR(__xludf.DUMMYFUNCTION("""COMPUTED_VALUE"""),"Tops")</f>
        <v>Tops</v>
      </c>
      <c r="K1037" s="13" t="str">
        <f>IFERROR(__xludf.DUMMYFUNCTION("""COMPUTED_VALUE"""),"Knits")</f>
        <v>Knits</v>
      </c>
      <c r="L1037" s="13"/>
    </row>
    <row r="1038">
      <c r="A1038" s="13">
        <f>IFERROR(__xludf.DUMMYFUNCTION("""COMPUTED_VALUE"""),1036.0)</f>
        <v>1036</v>
      </c>
      <c r="B1038" s="13">
        <f>IFERROR(__xludf.DUMMYFUNCTION("""COMPUTED_VALUE"""),909.0)</f>
        <v>909</v>
      </c>
      <c r="C1038" s="13">
        <f>IFERROR(__xludf.DUMMYFUNCTION("""COMPUTED_VALUE"""),82.0)</f>
        <v>82</v>
      </c>
      <c r="D1038" s="12" t="str">
        <f>IFERROR(__xludf.DUMMYFUNCTION("""COMPUTED_VALUE"""),"Love this sweater")</f>
        <v>Love this sweater</v>
      </c>
      <c r="E1038" s="12" t="str">
        <f>IFERROR(__xludf.DUMMYFUNCTION("""COMPUTED_VALUE"""),"Unlike the first three reviews, i loved this sweater. the colors were beautiful and i paired it with green cords. i did not find the sweater to be itchy but very comfortable. fits trus to size.")</f>
        <v>Unlike the first three reviews, i loved this sweater. the colors were beautiful and i paired it with green cords. i did not find the sweater to be itchy but very comfortable. fits trus to size.</v>
      </c>
      <c r="F1038" s="13">
        <f>IFERROR(__xludf.DUMMYFUNCTION("""COMPUTED_VALUE"""),5.0)</f>
        <v>5</v>
      </c>
      <c r="G1038" s="13">
        <f>IFERROR(__xludf.DUMMYFUNCTION("""COMPUTED_VALUE"""),1.0)</f>
        <v>1</v>
      </c>
      <c r="H1038" s="13">
        <f>IFERROR(__xludf.DUMMYFUNCTION("""COMPUTED_VALUE"""),0.0)</f>
        <v>0</v>
      </c>
      <c r="I1038" s="13" t="str">
        <f>IFERROR(__xludf.DUMMYFUNCTION("""COMPUTED_VALUE"""),"General")</f>
        <v>General</v>
      </c>
      <c r="J1038" s="13" t="str">
        <f>IFERROR(__xludf.DUMMYFUNCTION("""COMPUTED_VALUE"""),"Tops")</f>
        <v>Tops</v>
      </c>
      <c r="K1038" s="13" t="str">
        <f>IFERROR(__xludf.DUMMYFUNCTION("""COMPUTED_VALUE"""),"Fine gauge")</f>
        <v>Fine gauge</v>
      </c>
      <c r="L1038" s="13"/>
    </row>
    <row r="1039">
      <c r="A1039" s="13">
        <f>IFERROR(__xludf.DUMMYFUNCTION("""COMPUTED_VALUE"""),1037.0)</f>
        <v>1037</v>
      </c>
      <c r="B1039" s="13">
        <f>IFERROR(__xludf.DUMMYFUNCTION("""COMPUTED_VALUE"""),1083.0)</f>
        <v>1083</v>
      </c>
      <c r="C1039" s="13">
        <f>IFERROR(__xludf.DUMMYFUNCTION("""COMPUTED_VALUE"""),46.0)</f>
        <v>46</v>
      </c>
      <c r="D1039" s="12" t="str">
        <f>IFERROR(__xludf.DUMMYFUNCTION("""COMPUTED_VALUE"""),"Classically byron lars")</f>
        <v>Classically byron lars</v>
      </c>
      <c r="E1039" s="12" t="str">
        <f>IFERROR(__xludf.DUMMYFUNCTION("""COMPUTED_VALUE"""),"Great fit even for busty women. ordered an 8 because i usually need the room in the chest area on dresses.(36d-dd) fit nicely without being tight. might have been able to size down but i didn't want to risk being too tight. flattering especially on curves"&amp;". nice for contemporary office or special occasion. if you like his designs, you won't be disappointed!")</f>
        <v>Great fit even for busty women. ordered an 8 because i usually need the room in the chest area on dresses.(36d-dd) fit nicely without being tight. might have been able to size down but i didn't want to risk being too tight. flattering especially on curves. nice for contemporary office or special occasion. if you like his designs, you won't be disappointed!</v>
      </c>
      <c r="F1039" s="13">
        <f>IFERROR(__xludf.DUMMYFUNCTION("""COMPUTED_VALUE"""),5.0)</f>
        <v>5</v>
      </c>
      <c r="G1039" s="13">
        <f>IFERROR(__xludf.DUMMYFUNCTION("""COMPUTED_VALUE"""),1.0)</f>
        <v>1</v>
      </c>
      <c r="H1039" s="13">
        <f>IFERROR(__xludf.DUMMYFUNCTION("""COMPUTED_VALUE"""),5.0)</f>
        <v>5</v>
      </c>
      <c r="I1039" s="13" t="str">
        <f>IFERROR(__xludf.DUMMYFUNCTION("""COMPUTED_VALUE"""),"General Petite")</f>
        <v>General Petite</v>
      </c>
      <c r="J1039" s="13" t="str">
        <f>IFERROR(__xludf.DUMMYFUNCTION("""COMPUTED_VALUE"""),"Dresses")</f>
        <v>Dresses</v>
      </c>
      <c r="K1039" s="13" t="str">
        <f>IFERROR(__xludf.DUMMYFUNCTION("""COMPUTED_VALUE"""),"Dresses")</f>
        <v>Dresses</v>
      </c>
      <c r="L1039" s="13"/>
    </row>
    <row r="1040">
      <c r="A1040" s="13">
        <f>IFERROR(__xludf.DUMMYFUNCTION("""COMPUTED_VALUE"""),1038.0)</f>
        <v>1038</v>
      </c>
      <c r="B1040" s="13">
        <f>IFERROR(__xludf.DUMMYFUNCTION("""COMPUTED_VALUE"""),873.0)</f>
        <v>873</v>
      </c>
      <c r="C1040" s="13">
        <f>IFERROR(__xludf.DUMMYFUNCTION("""COMPUTED_VALUE"""),34.0)</f>
        <v>34</v>
      </c>
      <c r="D1040" s="12" t="str">
        <f>IFERROR(__xludf.DUMMYFUNCTION("""COMPUTED_VALUE"""),"Great blouse")</f>
        <v>Great blouse</v>
      </c>
      <c r="E1040" s="12" t="str">
        <f>IFERROR(__xludf.DUMMYFUNCTION("""COMPUTED_VALUE"""),"Love this top, purchased it in the coral color now i'm definitely wanting it in the blue since it is such a great blouse for transitioning into fall. the weight of the top it good since i live in south texas so definitely needing lightweight long sleeves "&amp;"for our weather. i'm sure when the time comes adding a long cardigan or blazer over it as needed for the cooler weather it will look great. fit true to size.")</f>
        <v>Love this top, purchased it in the coral color now i'm definitely wanting it in the blue since it is such a great blouse for transitioning into fall. the weight of the top it good since i live in south texas so definitely needing lightweight long sleeves for our weather. i'm sure when the time comes adding a long cardigan or blazer over it as needed for the cooler weather it will look great. fit true to size.</v>
      </c>
      <c r="F1040" s="13">
        <f>IFERROR(__xludf.DUMMYFUNCTION("""COMPUTED_VALUE"""),5.0)</f>
        <v>5</v>
      </c>
      <c r="G1040" s="13">
        <f>IFERROR(__xludf.DUMMYFUNCTION("""COMPUTED_VALUE"""),1.0)</f>
        <v>1</v>
      </c>
      <c r="H1040" s="13">
        <f>IFERROR(__xludf.DUMMYFUNCTION("""COMPUTED_VALUE"""),0.0)</f>
        <v>0</v>
      </c>
      <c r="I1040" s="13" t="str">
        <f>IFERROR(__xludf.DUMMYFUNCTION("""COMPUTED_VALUE"""),"General")</f>
        <v>General</v>
      </c>
      <c r="J1040" s="13" t="str">
        <f>IFERROR(__xludf.DUMMYFUNCTION("""COMPUTED_VALUE"""),"Tops")</f>
        <v>Tops</v>
      </c>
      <c r="K1040" s="13" t="str">
        <f>IFERROR(__xludf.DUMMYFUNCTION("""COMPUTED_VALUE"""),"Knits")</f>
        <v>Knits</v>
      </c>
      <c r="L1040" s="13"/>
    </row>
    <row r="1041">
      <c r="A1041" s="13">
        <f>IFERROR(__xludf.DUMMYFUNCTION("""COMPUTED_VALUE"""),1039.0)</f>
        <v>1039</v>
      </c>
      <c r="B1041" s="13">
        <f>IFERROR(__xludf.DUMMYFUNCTION("""COMPUTED_VALUE"""),1172.0)</f>
        <v>1172</v>
      </c>
      <c r="C1041" s="13">
        <f>IFERROR(__xludf.DUMMYFUNCTION("""COMPUTED_VALUE"""),25.0)</f>
        <v>25</v>
      </c>
      <c r="D1041" s="12"/>
      <c r="E1041" s="12" t="str">
        <f>IFERROR(__xludf.DUMMYFUNCTION("""COMPUTED_VALUE"""),"Absolutely love this suit. the bottoms are very comfortable and covers everything id like it to. it does not ride up at all, which almost never happens with swim suits. i'm going to order this in a different color next season. i paired the bottoms with th"&amp;"e peplum top and received many compliments.")</f>
        <v>Absolutely love this suit. the bottoms are very comfortable and covers everything id like it to. it does not ride up at all, which almost never happens with swim suits. i'm going to order this in a different color next season. i paired the bottoms with the peplum top and received many compliments.</v>
      </c>
      <c r="F1041" s="13">
        <f>IFERROR(__xludf.DUMMYFUNCTION("""COMPUTED_VALUE"""),5.0)</f>
        <v>5</v>
      </c>
      <c r="G1041" s="13">
        <f>IFERROR(__xludf.DUMMYFUNCTION("""COMPUTED_VALUE"""),1.0)</f>
        <v>1</v>
      </c>
      <c r="H1041" s="13">
        <f>IFERROR(__xludf.DUMMYFUNCTION("""COMPUTED_VALUE"""),0.0)</f>
        <v>0</v>
      </c>
      <c r="I1041" s="13" t="str">
        <f>IFERROR(__xludf.DUMMYFUNCTION("""COMPUTED_VALUE"""),"Initmates")</f>
        <v>Initmates</v>
      </c>
      <c r="J1041" s="13" t="str">
        <f>IFERROR(__xludf.DUMMYFUNCTION("""COMPUTED_VALUE"""),"Intimate")</f>
        <v>Intimate</v>
      </c>
      <c r="K1041" s="13" t="str">
        <f>IFERROR(__xludf.DUMMYFUNCTION("""COMPUTED_VALUE"""),"Swim")</f>
        <v>Swim</v>
      </c>
      <c r="L1041" s="13"/>
    </row>
    <row r="1042">
      <c r="A1042" s="13">
        <f>IFERROR(__xludf.DUMMYFUNCTION("""COMPUTED_VALUE"""),1040.0)</f>
        <v>1040</v>
      </c>
      <c r="B1042" s="13">
        <f>IFERROR(__xludf.DUMMYFUNCTION("""COMPUTED_VALUE"""),1083.0)</f>
        <v>1083</v>
      </c>
      <c r="C1042" s="13">
        <f>IFERROR(__xludf.DUMMYFUNCTION("""COMPUTED_VALUE"""),35.0)</f>
        <v>35</v>
      </c>
      <c r="D1042" s="12" t="str">
        <f>IFERROR(__xludf.DUMMYFUNCTION("""COMPUTED_VALUE"""),"Awesome dress")</f>
        <v>Awesome dress</v>
      </c>
      <c r="E1042" s="12" t="str">
        <f>IFERROR(__xludf.DUMMYFUNCTION("""COMPUTED_VALUE"""),"I just love this dress.  took me ordering a number of sizes- petite and regular to find the best fit.  i might still have the top altered.  i received a lot of compliements.  work it with some black leather wedges for daytime/work.")</f>
        <v>I just love this dress.  took me ordering a number of sizes- petite and regular to find the best fit.  i might still have the top altered.  i received a lot of compliements.  work it with some black leather wedges for daytime/work.</v>
      </c>
      <c r="F1042" s="13">
        <f>IFERROR(__xludf.DUMMYFUNCTION("""COMPUTED_VALUE"""),5.0)</f>
        <v>5</v>
      </c>
      <c r="G1042" s="13">
        <f>IFERROR(__xludf.DUMMYFUNCTION("""COMPUTED_VALUE"""),1.0)</f>
        <v>1</v>
      </c>
      <c r="H1042" s="13">
        <f>IFERROR(__xludf.DUMMYFUNCTION("""COMPUTED_VALUE"""),0.0)</f>
        <v>0</v>
      </c>
      <c r="I1042" s="13" t="str">
        <f>IFERROR(__xludf.DUMMYFUNCTION("""COMPUTED_VALUE"""),"General Petite")</f>
        <v>General Petite</v>
      </c>
      <c r="J1042" s="13" t="str">
        <f>IFERROR(__xludf.DUMMYFUNCTION("""COMPUTED_VALUE"""),"Dresses")</f>
        <v>Dresses</v>
      </c>
      <c r="K1042" s="13" t="str">
        <f>IFERROR(__xludf.DUMMYFUNCTION("""COMPUTED_VALUE"""),"Dresses")</f>
        <v>Dresses</v>
      </c>
      <c r="L1042" s="13"/>
    </row>
    <row r="1043">
      <c r="A1043" s="13">
        <f>IFERROR(__xludf.DUMMYFUNCTION("""COMPUTED_VALUE"""),1041.0)</f>
        <v>1041</v>
      </c>
      <c r="B1043" s="13">
        <f>IFERROR(__xludf.DUMMYFUNCTION("""COMPUTED_VALUE"""),949.0)</f>
        <v>949</v>
      </c>
      <c r="C1043" s="13">
        <f>IFERROR(__xludf.DUMMYFUNCTION("""COMPUTED_VALUE"""),42.0)</f>
        <v>42</v>
      </c>
      <c r="D1043" s="12" t="str">
        <f>IFERROR(__xludf.DUMMYFUNCTION("""COMPUTED_VALUE"""),"Beautiful!")</f>
        <v>Beautiful!</v>
      </c>
      <c r="E1043" s="12" t="str">
        <f>IFERROR(__xludf.DUMMYFUNCTION("""COMPUTED_VALUE"""),"I got the purple color and absolutely love it. i am 5'2"" but decided against the petite size and i wanted it to be a bit longer. i also went with the xxs as the xs was a bit too loose on the arm. it was definitely a splurge to buy the sweater but it look"&amp;"ed so lovely!")</f>
        <v>I got the purple color and absolutely love it. i am 5'2" but decided against the petite size and i wanted it to be a bit longer. i also went with the xxs as the xs was a bit too loose on the arm. it was definitely a splurge to buy the sweater but it looked so lovely!</v>
      </c>
      <c r="F1043" s="13">
        <f>IFERROR(__xludf.DUMMYFUNCTION("""COMPUTED_VALUE"""),5.0)</f>
        <v>5</v>
      </c>
      <c r="G1043" s="13">
        <f>IFERROR(__xludf.DUMMYFUNCTION("""COMPUTED_VALUE"""),1.0)</f>
        <v>1</v>
      </c>
      <c r="H1043" s="13">
        <f>IFERROR(__xludf.DUMMYFUNCTION("""COMPUTED_VALUE"""),0.0)</f>
        <v>0</v>
      </c>
      <c r="I1043" s="13" t="str">
        <f>IFERROR(__xludf.DUMMYFUNCTION("""COMPUTED_VALUE"""),"General")</f>
        <v>General</v>
      </c>
      <c r="J1043" s="13" t="str">
        <f>IFERROR(__xludf.DUMMYFUNCTION("""COMPUTED_VALUE"""),"Tops")</f>
        <v>Tops</v>
      </c>
      <c r="K1043" s="13" t="str">
        <f>IFERROR(__xludf.DUMMYFUNCTION("""COMPUTED_VALUE"""),"Sweaters")</f>
        <v>Sweaters</v>
      </c>
      <c r="L1043" s="13"/>
    </row>
    <row r="1044">
      <c r="A1044" s="13">
        <f>IFERROR(__xludf.DUMMYFUNCTION("""COMPUTED_VALUE"""),1042.0)</f>
        <v>1042</v>
      </c>
      <c r="B1044" s="13">
        <f>IFERROR(__xludf.DUMMYFUNCTION("""COMPUTED_VALUE"""),949.0)</f>
        <v>949</v>
      </c>
      <c r="C1044" s="13">
        <f>IFERROR(__xludf.DUMMYFUNCTION("""COMPUTED_VALUE"""),35.0)</f>
        <v>35</v>
      </c>
      <c r="D1044" s="12" t="str">
        <f>IFERROR(__xludf.DUMMYFUNCTION("""COMPUTED_VALUE"""),"Cute sweater!")</f>
        <v>Cute sweater!</v>
      </c>
      <c r="E1044" s="12" t="str">
        <f>IFERROR(__xludf.DUMMYFUNCTION("""COMPUTED_VALUE"""),"Love the color! very soft. unique look. can't wait to wear it this fall")</f>
        <v>Love the color! very soft. unique look. can't wait to wear it this fall</v>
      </c>
      <c r="F1044" s="13">
        <f>IFERROR(__xludf.DUMMYFUNCTION("""COMPUTED_VALUE"""),5.0)</f>
        <v>5</v>
      </c>
      <c r="G1044" s="13">
        <f>IFERROR(__xludf.DUMMYFUNCTION("""COMPUTED_VALUE"""),1.0)</f>
        <v>1</v>
      </c>
      <c r="H1044" s="13">
        <f>IFERROR(__xludf.DUMMYFUNCTION("""COMPUTED_VALUE"""),0.0)</f>
        <v>0</v>
      </c>
      <c r="I1044" s="13" t="str">
        <f>IFERROR(__xludf.DUMMYFUNCTION("""COMPUTED_VALUE"""),"General")</f>
        <v>General</v>
      </c>
      <c r="J1044" s="13" t="str">
        <f>IFERROR(__xludf.DUMMYFUNCTION("""COMPUTED_VALUE"""),"Tops")</f>
        <v>Tops</v>
      </c>
      <c r="K1044" s="13" t="str">
        <f>IFERROR(__xludf.DUMMYFUNCTION("""COMPUTED_VALUE"""),"Sweaters")</f>
        <v>Sweaters</v>
      </c>
      <c r="L1044" s="13"/>
    </row>
    <row r="1045">
      <c r="A1045" s="13">
        <f>IFERROR(__xludf.DUMMYFUNCTION("""COMPUTED_VALUE"""),1043.0)</f>
        <v>1043</v>
      </c>
      <c r="B1045" s="13">
        <f>IFERROR(__xludf.DUMMYFUNCTION("""COMPUTED_VALUE"""),909.0)</f>
        <v>909</v>
      </c>
      <c r="C1045" s="13">
        <f>IFERROR(__xludf.DUMMYFUNCTION("""COMPUTED_VALUE"""),41.0)</f>
        <v>41</v>
      </c>
      <c r="D1045" s="12" t="str">
        <f>IFERROR(__xludf.DUMMYFUNCTION("""COMPUTED_VALUE"""),"Nice")</f>
        <v>Nice</v>
      </c>
      <c r="E1045" s="12" t="str">
        <f>IFERROR(__xludf.DUMMYFUNCTION("""COMPUTED_VALUE"""),"I got the rooster version and the colors are simply gorgeous.  i'm not so much into wearing a farm animal image, but the colors are just too striking to pass this up. the sweater is tts, but with a slightly baggy fit. i did not find it scratchy.")</f>
        <v>I got the rooster version and the colors are simply gorgeous.  i'm not so much into wearing a farm animal image, but the colors are just too striking to pass this up. the sweater is tts, but with a slightly baggy fit. i did not find it scratchy.</v>
      </c>
      <c r="F1045" s="13">
        <f>IFERROR(__xludf.DUMMYFUNCTION("""COMPUTED_VALUE"""),4.0)</f>
        <v>4</v>
      </c>
      <c r="G1045" s="13">
        <f>IFERROR(__xludf.DUMMYFUNCTION("""COMPUTED_VALUE"""),1.0)</f>
        <v>1</v>
      </c>
      <c r="H1045" s="13">
        <f>IFERROR(__xludf.DUMMYFUNCTION("""COMPUTED_VALUE"""),0.0)</f>
        <v>0</v>
      </c>
      <c r="I1045" s="13" t="str">
        <f>IFERROR(__xludf.DUMMYFUNCTION("""COMPUTED_VALUE"""),"General")</f>
        <v>General</v>
      </c>
      <c r="J1045" s="13" t="str">
        <f>IFERROR(__xludf.DUMMYFUNCTION("""COMPUTED_VALUE"""),"Tops")</f>
        <v>Tops</v>
      </c>
      <c r="K1045" s="13" t="str">
        <f>IFERROR(__xludf.DUMMYFUNCTION("""COMPUTED_VALUE"""),"Fine gauge")</f>
        <v>Fine gauge</v>
      </c>
      <c r="L1045" s="13"/>
    </row>
    <row r="1046">
      <c r="A1046" s="13">
        <f>IFERROR(__xludf.DUMMYFUNCTION("""COMPUTED_VALUE"""),1044.0)</f>
        <v>1044</v>
      </c>
      <c r="B1046" s="13">
        <f>IFERROR(__xludf.DUMMYFUNCTION("""COMPUTED_VALUE"""),864.0)</f>
        <v>864</v>
      </c>
      <c r="C1046" s="13">
        <f>IFERROR(__xludf.DUMMYFUNCTION("""COMPUTED_VALUE"""),53.0)</f>
        <v>53</v>
      </c>
      <c r="D1046" s="12"/>
      <c r="E1046" s="12" t="str">
        <f>IFERROR(__xludf.DUMMYFUNCTION("""COMPUTED_VALUE"""),"Really cute and very comfortable. material is thin and sheer. i wear tanks under things anyway, but especially in pink, you would need to. but love the style.")</f>
        <v>Really cute and very comfortable. material is thin and sheer. i wear tanks under things anyway, but especially in pink, you would need to. but love the style.</v>
      </c>
      <c r="F1046" s="13">
        <f>IFERROR(__xludf.DUMMYFUNCTION("""COMPUTED_VALUE"""),4.0)</f>
        <v>4</v>
      </c>
      <c r="G1046" s="13">
        <f>IFERROR(__xludf.DUMMYFUNCTION("""COMPUTED_VALUE"""),1.0)</f>
        <v>1</v>
      </c>
      <c r="H1046" s="13">
        <f>IFERROR(__xludf.DUMMYFUNCTION("""COMPUTED_VALUE"""),0.0)</f>
        <v>0</v>
      </c>
      <c r="I1046" s="13" t="str">
        <f>IFERROR(__xludf.DUMMYFUNCTION("""COMPUTED_VALUE"""),"General")</f>
        <v>General</v>
      </c>
      <c r="J1046" s="13" t="str">
        <f>IFERROR(__xludf.DUMMYFUNCTION("""COMPUTED_VALUE"""),"Tops")</f>
        <v>Tops</v>
      </c>
      <c r="K1046" s="13" t="str">
        <f>IFERROR(__xludf.DUMMYFUNCTION("""COMPUTED_VALUE"""),"Knits")</f>
        <v>Knits</v>
      </c>
      <c r="L1046" s="13"/>
    </row>
    <row r="1047">
      <c r="A1047" s="13">
        <f>IFERROR(__xludf.DUMMYFUNCTION("""COMPUTED_VALUE"""),1045.0)</f>
        <v>1045</v>
      </c>
      <c r="B1047" s="13">
        <f>IFERROR(__xludf.DUMMYFUNCTION("""COMPUTED_VALUE"""),949.0)</f>
        <v>949</v>
      </c>
      <c r="C1047" s="13">
        <f>IFERROR(__xludf.DUMMYFUNCTION("""COMPUTED_VALUE"""),30.0)</f>
        <v>30</v>
      </c>
      <c r="D1047" s="12" t="str">
        <f>IFERROR(__xludf.DUMMYFUNCTION("""COMPUTED_VALUE"""),"Cotton, cotton, love cotton!")</f>
        <v>Cotton, cotton, love cotton!</v>
      </c>
      <c r="E1047" s="12" t="str">
        <f>IFERROR(__xludf.DUMMYFUNCTION("""COMPUTED_VALUE"""),"I love this sweater.  i am 5' 1"" and tried on the petite in the store but ended up going with the regular size as i preferred the length.  the overall fit was the same.  i bought the blue which to me is the colour shown here, more a grey and purplish col"&amp;"our, beautiful for fall and much nicer than a straight blue.  i have worn it to work several times and always get a compliment.  this sweater is nice for all ages, it is soft, comfortable and versatile.  it might just be my go to fall sweater.")</f>
        <v>I love this sweater.  i am 5' 1" and tried on the petite in the store but ended up going with the regular size as i preferred the length.  the overall fit was the same.  i bought the blue which to me is the colour shown here, more a grey and purplish colour, beautiful for fall and much nicer than a straight blue.  i have worn it to work several times and always get a compliment.  this sweater is nice for all ages, it is soft, comfortable and versatile.  it might just be my go to fall sweater.</v>
      </c>
      <c r="F1047" s="13">
        <f>IFERROR(__xludf.DUMMYFUNCTION("""COMPUTED_VALUE"""),5.0)</f>
        <v>5</v>
      </c>
      <c r="G1047" s="13">
        <f>IFERROR(__xludf.DUMMYFUNCTION("""COMPUTED_VALUE"""),1.0)</f>
        <v>1</v>
      </c>
      <c r="H1047" s="13">
        <f>IFERROR(__xludf.DUMMYFUNCTION("""COMPUTED_VALUE"""),0.0)</f>
        <v>0</v>
      </c>
      <c r="I1047" s="13" t="str">
        <f>IFERROR(__xludf.DUMMYFUNCTION("""COMPUTED_VALUE"""),"General")</f>
        <v>General</v>
      </c>
      <c r="J1047" s="13" t="str">
        <f>IFERROR(__xludf.DUMMYFUNCTION("""COMPUTED_VALUE"""),"Tops")</f>
        <v>Tops</v>
      </c>
      <c r="K1047" s="13" t="str">
        <f>IFERROR(__xludf.DUMMYFUNCTION("""COMPUTED_VALUE"""),"Sweaters")</f>
        <v>Sweaters</v>
      </c>
      <c r="L1047" s="13"/>
    </row>
    <row r="1048">
      <c r="A1048" s="13">
        <f>IFERROR(__xludf.DUMMYFUNCTION("""COMPUTED_VALUE"""),1046.0)</f>
        <v>1046</v>
      </c>
      <c r="B1048" s="13">
        <f>IFERROR(__xludf.DUMMYFUNCTION("""COMPUTED_VALUE"""),949.0)</f>
        <v>949</v>
      </c>
      <c r="C1048" s="13">
        <f>IFERROR(__xludf.DUMMYFUNCTION("""COMPUTED_VALUE"""),43.0)</f>
        <v>43</v>
      </c>
      <c r="D1048" s="12"/>
      <c r="E1048" s="12"/>
      <c r="F1048" s="13">
        <f>IFERROR(__xludf.DUMMYFUNCTION("""COMPUTED_VALUE"""),2.0)</f>
        <v>2</v>
      </c>
      <c r="G1048" s="13">
        <f>IFERROR(__xludf.DUMMYFUNCTION("""COMPUTED_VALUE"""),0.0)</f>
        <v>0</v>
      </c>
      <c r="H1048" s="13">
        <f>IFERROR(__xludf.DUMMYFUNCTION("""COMPUTED_VALUE"""),0.0)</f>
        <v>0</v>
      </c>
      <c r="I1048" s="13" t="str">
        <f>IFERROR(__xludf.DUMMYFUNCTION("""COMPUTED_VALUE"""),"General")</f>
        <v>General</v>
      </c>
      <c r="J1048" s="13" t="str">
        <f>IFERROR(__xludf.DUMMYFUNCTION("""COMPUTED_VALUE"""),"Tops")</f>
        <v>Tops</v>
      </c>
      <c r="K1048" s="13" t="str">
        <f>IFERROR(__xludf.DUMMYFUNCTION("""COMPUTED_VALUE"""),"Sweaters")</f>
        <v>Sweaters</v>
      </c>
      <c r="L1048" s="13"/>
    </row>
    <row r="1049">
      <c r="A1049" s="13">
        <f>IFERROR(__xludf.DUMMYFUNCTION("""COMPUTED_VALUE"""),1047.0)</f>
        <v>1047</v>
      </c>
      <c r="B1049" s="13">
        <f>IFERROR(__xludf.DUMMYFUNCTION("""COMPUTED_VALUE"""),873.0)</f>
        <v>873</v>
      </c>
      <c r="C1049" s="13">
        <f>IFERROR(__xludf.DUMMYFUNCTION("""COMPUTED_VALUE"""),50.0)</f>
        <v>50</v>
      </c>
      <c r="D1049" s="12" t="str">
        <f>IFERROR(__xludf.DUMMYFUNCTION("""COMPUTED_VALUE"""),"Large and very wide!")</f>
        <v>Large and very wide!</v>
      </c>
      <c r="E1049" s="12" t="str">
        <f>IFERROR(__xludf.DUMMYFUNCTION("""COMPUTED_VALUE"""),"I ordered this in a small petite and medium petite , and i am a huge fan of a*k. i put tried on the sp. while it fit, it was very long, even for a petite. what i hated about it was that the piping on the top made me look very wide. even a long necklace wo"&amp;"uldn't help deter the look. on a positive side, the blue was a very nice, cool color. i am usually a small to medium in a*k (6-8 in tops) and the small fit well in the arms/bodice, just too much fabric for me. returning!")</f>
        <v>I ordered this in a small petite and medium petite , and i am a huge fan of a*k. i put tried on the sp. while it fit, it was very long, even for a petite. what i hated about it was that the piping on the top made me look very wide. even a long necklace wouldn't help deter the look. on a positive side, the blue was a very nice, cool color. i am usually a small to medium in a*k (6-8 in tops) and the small fit well in the arms/bodice, just too much fabric for me. returning!</v>
      </c>
      <c r="F1049" s="13">
        <f>IFERROR(__xludf.DUMMYFUNCTION("""COMPUTED_VALUE"""),2.0)</f>
        <v>2</v>
      </c>
      <c r="G1049" s="13">
        <f>IFERROR(__xludf.DUMMYFUNCTION("""COMPUTED_VALUE"""),0.0)</f>
        <v>0</v>
      </c>
      <c r="H1049" s="13">
        <f>IFERROR(__xludf.DUMMYFUNCTION("""COMPUTED_VALUE"""),13.0)</f>
        <v>13</v>
      </c>
      <c r="I1049" s="13" t="str">
        <f>IFERROR(__xludf.DUMMYFUNCTION("""COMPUTED_VALUE"""),"General")</f>
        <v>General</v>
      </c>
      <c r="J1049" s="13" t="str">
        <f>IFERROR(__xludf.DUMMYFUNCTION("""COMPUTED_VALUE"""),"Tops")</f>
        <v>Tops</v>
      </c>
      <c r="K1049" s="13" t="str">
        <f>IFERROR(__xludf.DUMMYFUNCTION("""COMPUTED_VALUE"""),"Knits")</f>
        <v>Knits</v>
      </c>
      <c r="L1049" s="13"/>
    </row>
    <row r="1050">
      <c r="A1050" s="13">
        <f>IFERROR(__xludf.DUMMYFUNCTION("""COMPUTED_VALUE"""),1048.0)</f>
        <v>1048</v>
      </c>
      <c r="B1050" s="13">
        <f>IFERROR(__xludf.DUMMYFUNCTION("""COMPUTED_VALUE"""),873.0)</f>
        <v>873</v>
      </c>
      <c r="C1050" s="13">
        <f>IFERROR(__xludf.DUMMYFUNCTION("""COMPUTED_VALUE"""),23.0)</f>
        <v>23</v>
      </c>
      <c r="D1050" s="12" t="str">
        <f>IFERROR(__xludf.DUMMYFUNCTION("""COMPUTED_VALUE"""),"Flowy")</f>
        <v>Flowy</v>
      </c>
      <c r="E1050" s="12" t="str">
        <f>IFERROR(__xludf.DUMMYFUNCTION("""COMPUTED_VALUE"""),"I have the blue color of this top and i love the color variation throughout. it looks very unique and it is going to be a great piece for late summer/early fall. the pleated look on the upper chest is very flattering and adds texture to the top. i am plea"&amp;"sed with my purchase!")</f>
        <v>I have the blue color of this top and i love the color variation throughout. it looks very unique and it is going to be a great piece for late summer/early fall. the pleated look on the upper chest is very flattering and adds texture to the top. i am pleased with my purchase!</v>
      </c>
      <c r="F1050" s="13">
        <f>IFERROR(__xludf.DUMMYFUNCTION("""COMPUTED_VALUE"""),5.0)</f>
        <v>5</v>
      </c>
      <c r="G1050" s="13">
        <f>IFERROR(__xludf.DUMMYFUNCTION("""COMPUTED_VALUE"""),1.0)</f>
        <v>1</v>
      </c>
      <c r="H1050" s="13">
        <f>IFERROR(__xludf.DUMMYFUNCTION("""COMPUTED_VALUE"""),1.0)</f>
        <v>1</v>
      </c>
      <c r="I1050" s="13" t="str">
        <f>IFERROR(__xludf.DUMMYFUNCTION("""COMPUTED_VALUE"""),"General")</f>
        <v>General</v>
      </c>
      <c r="J1050" s="13" t="str">
        <f>IFERROR(__xludf.DUMMYFUNCTION("""COMPUTED_VALUE"""),"Tops")</f>
        <v>Tops</v>
      </c>
      <c r="K1050" s="13" t="str">
        <f>IFERROR(__xludf.DUMMYFUNCTION("""COMPUTED_VALUE"""),"Knits")</f>
        <v>Knits</v>
      </c>
      <c r="L1050" s="13"/>
    </row>
    <row r="1051">
      <c r="A1051" s="13">
        <f>IFERROR(__xludf.DUMMYFUNCTION("""COMPUTED_VALUE"""),1049.0)</f>
        <v>1049</v>
      </c>
      <c r="B1051" s="13">
        <f>IFERROR(__xludf.DUMMYFUNCTION("""COMPUTED_VALUE"""),949.0)</f>
        <v>949</v>
      </c>
      <c r="C1051" s="13">
        <f>IFERROR(__xludf.DUMMYFUNCTION("""COMPUTED_VALUE"""),52.0)</f>
        <v>52</v>
      </c>
      <c r="D1051" s="12" t="str">
        <f>IFERROR(__xludf.DUMMYFUNCTION("""COMPUTED_VALUE"""),"Love this sweater")</f>
        <v>Love this sweater</v>
      </c>
      <c r="E1051" s="12" t="str">
        <f>IFERROR(__xludf.DUMMYFUNCTION("""COMPUTED_VALUE"""),"This sweater is perfect for transitioning into fall as it is not too heavy. it's flattering and looks great with jeans.")</f>
        <v>This sweater is perfect for transitioning into fall as it is not too heavy. it's flattering and looks great with jeans.</v>
      </c>
      <c r="F1051" s="13">
        <f>IFERROR(__xludf.DUMMYFUNCTION("""COMPUTED_VALUE"""),5.0)</f>
        <v>5</v>
      </c>
      <c r="G1051" s="13">
        <f>IFERROR(__xludf.DUMMYFUNCTION("""COMPUTED_VALUE"""),1.0)</f>
        <v>1</v>
      </c>
      <c r="H1051" s="13">
        <f>IFERROR(__xludf.DUMMYFUNCTION("""COMPUTED_VALUE"""),0.0)</f>
        <v>0</v>
      </c>
      <c r="I1051" s="13" t="str">
        <f>IFERROR(__xludf.DUMMYFUNCTION("""COMPUTED_VALUE"""),"General")</f>
        <v>General</v>
      </c>
      <c r="J1051" s="13" t="str">
        <f>IFERROR(__xludf.DUMMYFUNCTION("""COMPUTED_VALUE"""),"Tops")</f>
        <v>Tops</v>
      </c>
      <c r="K1051" s="13" t="str">
        <f>IFERROR(__xludf.DUMMYFUNCTION("""COMPUTED_VALUE"""),"Sweaters")</f>
        <v>Sweaters</v>
      </c>
      <c r="L1051" s="13"/>
    </row>
    <row r="1052">
      <c r="A1052" s="13">
        <f>IFERROR(__xludf.DUMMYFUNCTION("""COMPUTED_VALUE"""),1050.0)</f>
        <v>1050</v>
      </c>
      <c r="B1052" s="13">
        <f>IFERROR(__xludf.DUMMYFUNCTION("""COMPUTED_VALUE"""),949.0)</f>
        <v>949</v>
      </c>
      <c r="C1052" s="13">
        <f>IFERROR(__xludf.DUMMYFUNCTION("""COMPUTED_VALUE"""),38.0)</f>
        <v>38</v>
      </c>
      <c r="D1052" s="12" t="str">
        <f>IFERROR(__xludf.DUMMYFUNCTION("""COMPUTED_VALUE"""),"Interesting sweater, good quality")</f>
        <v>Interesting sweater, good quality</v>
      </c>
      <c r="E1052" s="12" t="str">
        <f>IFERROR(__xludf.DUMMYFUNCTION("""COMPUTED_VALUE"""),"I'm an xl but ended up buying this in a size large. i am very pleased with the interesting cable pattern that runs down the front. i also really like that this is cotton, and even though it is heavy and substantial, the thread gauge is a fine weight. whil"&amp;"e this says i can hand wash the sweater, i'm reluctant to because i'm worried that hand washing will end up stretching the sweater out of shape. i don't care for the heavy gold zipper running down from the neck, but my hair hides that. overall,")</f>
        <v>I'm an xl but ended up buying this in a size large. i am very pleased with the interesting cable pattern that runs down the front. i also really like that this is cotton, and even though it is heavy and substantial, the thread gauge is a fine weight. while this says i can hand wash the sweater, i'm reluctant to because i'm worried that hand washing will end up stretching the sweater out of shape. i don't care for the heavy gold zipper running down from the neck, but my hair hides that. overall,</v>
      </c>
      <c r="F1052" s="13">
        <f>IFERROR(__xludf.DUMMYFUNCTION("""COMPUTED_VALUE"""),5.0)</f>
        <v>5</v>
      </c>
      <c r="G1052" s="13">
        <f>IFERROR(__xludf.DUMMYFUNCTION("""COMPUTED_VALUE"""),1.0)</f>
        <v>1</v>
      </c>
      <c r="H1052" s="13">
        <f>IFERROR(__xludf.DUMMYFUNCTION("""COMPUTED_VALUE"""),6.0)</f>
        <v>6</v>
      </c>
      <c r="I1052" s="13" t="str">
        <f>IFERROR(__xludf.DUMMYFUNCTION("""COMPUTED_VALUE"""),"General")</f>
        <v>General</v>
      </c>
      <c r="J1052" s="13" t="str">
        <f>IFERROR(__xludf.DUMMYFUNCTION("""COMPUTED_VALUE"""),"Tops")</f>
        <v>Tops</v>
      </c>
      <c r="K1052" s="13" t="str">
        <f>IFERROR(__xludf.DUMMYFUNCTION("""COMPUTED_VALUE"""),"Sweaters")</f>
        <v>Sweaters</v>
      </c>
      <c r="L1052" s="13"/>
    </row>
    <row r="1053">
      <c r="A1053" s="13">
        <f>IFERROR(__xludf.DUMMYFUNCTION("""COMPUTED_VALUE"""),1051.0)</f>
        <v>1051</v>
      </c>
      <c r="B1053" s="13">
        <f>IFERROR(__xludf.DUMMYFUNCTION("""COMPUTED_VALUE"""),949.0)</f>
        <v>949</v>
      </c>
      <c r="C1053" s="13">
        <f>IFERROR(__xludf.DUMMYFUNCTION("""COMPUTED_VALUE"""),66.0)</f>
        <v>66</v>
      </c>
      <c r="D1053" s="12" t="str">
        <f>IFERROR(__xludf.DUMMYFUNCTION("""COMPUTED_VALUE"""),"Nice cotton sweater")</f>
        <v>Nice cotton sweater</v>
      </c>
      <c r="E1053" s="12" t="str">
        <f>IFERROR(__xludf.DUMMYFUNCTION("""COMPUTED_VALUE"""),"Bought this is the blue, which is actually a very grey-blue.  i love cotton sweaters and they are not easy to find.  this one has lovely colors and unusual design, but is a bit too full.  that said, i am keeping it for the cotton/linen factor, alone.")</f>
        <v>Bought this is the blue, which is actually a very grey-blue.  i love cotton sweaters and they are not easy to find.  this one has lovely colors and unusual design, but is a bit too full.  that said, i am keeping it for the cotton/linen factor, alone.</v>
      </c>
      <c r="F1053" s="13">
        <f>IFERROR(__xludf.DUMMYFUNCTION("""COMPUTED_VALUE"""),4.0)</f>
        <v>4</v>
      </c>
      <c r="G1053" s="13">
        <f>IFERROR(__xludf.DUMMYFUNCTION("""COMPUTED_VALUE"""),1.0)</f>
        <v>1</v>
      </c>
      <c r="H1053" s="13">
        <f>IFERROR(__xludf.DUMMYFUNCTION("""COMPUTED_VALUE"""),0.0)</f>
        <v>0</v>
      </c>
      <c r="I1053" s="13" t="str">
        <f>IFERROR(__xludf.DUMMYFUNCTION("""COMPUTED_VALUE"""),"General")</f>
        <v>General</v>
      </c>
      <c r="J1053" s="13" t="str">
        <f>IFERROR(__xludf.DUMMYFUNCTION("""COMPUTED_VALUE"""),"Tops")</f>
        <v>Tops</v>
      </c>
      <c r="K1053" s="13" t="str">
        <f>IFERROR(__xludf.DUMMYFUNCTION("""COMPUTED_VALUE"""),"Sweaters")</f>
        <v>Sweaters</v>
      </c>
      <c r="L1053" s="13"/>
    </row>
    <row r="1054">
      <c r="A1054" s="13">
        <f>IFERROR(__xludf.DUMMYFUNCTION("""COMPUTED_VALUE"""),1052.0)</f>
        <v>1052</v>
      </c>
      <c r="B1054" s="13">
        <f>IFERROR(__xludf.DUMMYFUNCTION("""COMPUTED_VALUE"""),873.0)</f>
        <v>873</v>
      </c>
      <c r="C1054" s="13">
        <f>IFERROR(__xludf.DUMMYFUNCTION("""COMPUTED_VALUE"""),69.0)</f>
        <v>69</v>
      </c>
      <c r="D1054" s="12" t="str">
        <f>IFERROR(__xludf.DUMMYFUNCTION("""COMPUTED_VALUE"""),"Quality &amp; cut")</f>
        <v>Quality &amp; cut</v>
      </c>
      <c r="E1054" s="12" t="str">
        <f>IFERROR(__xludf.DUMMYFUNCTION("""COMPUTED_VALUE"""),"My perspective is as a sewer so i'm more picky perhaps. this top is poorly made. the fabric pattern is crooked or not consistent in each piece. sewers do this to save $ - squeezing the pieces on the fabric. it looks sloppy. the cut is very full; the botto"&amp;"m edge measures 104"" around. for my figure, curvey, at 5'6"" and 150lbs, this top is not flattering it looks maternity. perhaps best on a slim figure and with leggings.")</f>
        <v>My perspective is as a sewer so i'm more picky perhaps. this top is poorly made. the fabric pattern is crooked or not consistent in each piece. sewers do this to save $ - squeezing the pieces on the fabric. it looks sloppy. the cut is very full; the bottom edge measures 104" around. for my figure, curvey, at 5'6" and 150lbs, this top is not flattering it looks maternity. perhaps best on a slim figure and with leggings.</v>
      </c>
      <c r="F1054" s="13">
        <f>IFERROR(__xludf.DUMMYFUNCTION("""COMPUTED_VALUE"""),1.0)</f>
        <v>1</v>
      </c>
      <c r="G1054" s="13">
        <f>IFERROR(__xludf.DUMMYFUNCTION("""COMPUTED_VALUE"""),0.0)</f>
        <v>0</v>
      </c>
      <c r="H1054" s="13">
        <f>IFERROR(__xludf.DUMMYFUNCTION("""COMPUTED_VALUE"""),2.0)</f>
        <v>2</v>
      </c>
      <c r="I1054" s="13" t="str">
        <f>IFERROR(__xludf.DUMMYFUNCTION("""COMPUTED_VALUE"""),"General")</f>
        <v>General</v>
      </c>
      <c r="J1054" s="13" t="str">
        <f>IFERROR(__xludf.DUMMYFUNCTION("""COMPUTED_VALUE"""),"Tops")</f>
        <v>Tops</v>
      </c>
      <c r="K1054" s="13" t="str">
        <f>IFERROR(__xludf.DUMMYFUNCTION("""COMPUTED_VALUE"""),"Knits")</f>
        <v>Knits</v>
      </c>
      <c r="L1054" s="13"/>
    </row>
    <row r="1055">
      <c r="A1055" s="13">
        <f>IFERROR(__xludf.DUMMYFUNCTION("""COMPUTED_VALUE"""),1053.0)</f>
        <v>1053</v>
      </c>
      <c r="B1055" s="13">
        <f>IFERROR(__xludf.DUMMYFUNCTION("""COMPUTED_VALUE"""),949.0)</f>
        <v>949</v>
      </c>
      <c r="C1055" s="13">
        <f>IFERROR(__xludf.DUMMYFUNCTION("""COMPUTED_VALUE"""),40.0)</f>
        <v>40</v>
      </c>
      <c r="D1055" s="12" t="str">
        <f>IFERROR(__xludf.DUMMYFUNCTION("""COMPUTED_VALUE"""),"Not as great as the photos")</f>
        <v>Not as great as the photos</v>
      </c>
      <c r="E1055" s="12" t="str">
        <f>IFERROR(__xludf.DUMMYFUNCTION("""COMPUTED_VALUE"""),"I love mixed media clothing, and this is no exception. i fell in love with this right away, and after being torn between the two colors, opted for the rose. it's very gorgeous in person - midweight and very soft. however, as soon as i put it on, i noticed"&amp;" the knit sides truly flare out; they don't lay nicely like on the model. it could be because of my large chest (36dddd), but everything below the chest seems to widen me. it might work better on someone with a straighter build or smaller chest.")</f>
        <v>I love mixed media clothing, and this is no exception. i fell in love with this right away, and after being torn between the two colors, opted for the rose. it's very gorgeous in person - midweight and very soft. however, as soon as i put it on, i noticed the knit sides truly flare out; they don't lay nicely like on the model. it could be because of my large chest (36dddd), but everything below the chest seems to widen me. it might work better on someone with a straighter build or smaller chest.</v>
      </c>
      <c r="F1055" s="13">
        <f>IFERROR(__xludf.DUMMYFUNCTION("""COMPUTED_VALUE"""),4.0)</f>
        <v>4</v>
      </c>
      <c r="G1055" s="13">
        <f>IFERROR(__xludf.DUMMYFUNCTION("""COMPUTED_VALUE"""),1.0)</f>
        <v>1</v>
      </c>
      <c r="H1055" s="13">
        <f>IFERROR(__xludf.DUMMYFUNCTION("""COMPUTED_VALUE"""),2.0)</f>
        <v>2</v>
      </c>
      <c r="I1055" s="13" t="str">
        <f>IFERROR(__xludf.DUMMYFUNCTION("""COMPUTED_VALUE"""),"General")</f>
        <v>General</v>
      </c>
      <c r="J1055" s="13" t="str">
        <f>IFERROR(__xludf.DUMMYFUNCTION("""COMPUTED_VALUE"""),"Tops")</f>
        <v>Tops</v>
      </c>
      <c r="K1055" s="13" t="str">
        <f>IFERROR(__xludf.DUMMYFUNCTION("""COMPUTED_VALUE"""),"Sweaters")</f>
        <v>Sweaters</v>
      </c>
      <c r="L1055" s="13"/>
    </row>
    <row r="1056">
      <c r="A1056" s="13">
        <f>IFERROR(__xludf.DUMMYFUNCTION("""COMPUTED_VALUE"""),1054.0)</f>
        <v>1054</v>
      </c>
      <c r="B1056" s="13">
        <f>IFERROR(__xludf.DUMMYFUNCTION("""COMPUTED_VALUE"""),873.0)</f>
        <v>873</v>
      </c>
      <c r="C1056" s="13">
        <f>IFERROR(__xludf.DUMMYFUNCTION("""COMPUTED_VALUE"""),48.0)</f>
        <v>48</v>
      </c>
      <c r="D1056" s="12" t="str">
        <f>IFERROR(__xludf.DUMMYFUNCTION("""COMPUTED_VALUE"""),"Beautiful casual top")</f>
        <v>Beautiful casual top</v>
      </c>
      <c r="E1056" s="12" t="str">
        <f>IFERROR(__xludf.DUMMYFUNCTION("""COMPUTED_VALUE"""),"I've been looking for some new, casual tops and ordered this one for the sky blue color. i'm a size 6 and the small fits great. i don't find the blowzy style overwhelming. i am small boned but i'm 5'8"", not a petite. i like it with leggings and skinny je"&amp;"ans ...a nice proportion. however, i can see how this cut may be too much on someone with a smaller frame. i really like it, however i see two drawbacks: the material is a bit thin for fall and it wrinkles very easily (not good for travel). this")</f>
        <v>I've been looking for some new, casual tops and ordered this one for the sky blue color. i'm a size 6 and the small fits great. i don't find the blowzy style overwhelming. i am small boned but i'm 5'8", not a petite. i like it with leggings and skinny jeans ...a nice proportion. however, i can see how this cut may be too much on someone with a smaller frame. i really like it, however i see two drawbacks: the material is a bit thin for fall and it wrinkles very easily (not good for travel). this</v>
      </c>
      <c r="F1056" s="13">
        <f>IFERROR(__xludf.DUMMYFUNCTION("""COMPUTED_VALUE"""),3.0)</f>
        <v>3</v>
      </c>
      <c r="G1056" s="13">
        <f>IFERROR(__xludf.DUMMYFUNCTION("""COMPUTED_VALUE"""),1.0)</f>
        <v>1</v>
      </c>
      <c r="H1056" s="13">
        <f>IFERROR(__xludf.DUMMYFUNCTION("""COMPUTED_VALUE"""),0.0)</f>
        <v>0</v>
      </c>
      <c r="I1056" s="13" t="str">
        <f>IFERROR(__xludf.DUMMYFUNCTION("""COMPUTED_VALUE"""),"General")</f>
        <v>General</v>
      </c>
      <c r="J1056" s="13" t="str">
        <f>IFERROR(__xludf.DUMMYFUNCTION("""COMPUTED_VALUE"""),"Tops")</f>
        <v>Tops</v>
      </c>
      <c r="K1056" s="13" t="str">
        <f>IFERROR(__xludf.DUMMYFUNCTION("""COMPUTED_VALUE"""),"Knits")</f>
        <v>Knits</v>
      </c>
      <c r="L1056" s="13"/>
    </row>
    <row r="1057">
      <c r="A1057" s="13">
        <f>IFERROR(__xludf.DUMMYFUNCTION("""COMPUTED_VALUE"""),1055.0)</f>
        <v>1055</v>
      </c>
      <c r="B1057" s="13">
        <f>IFERROR(__xludf.DUMMYFUNCTION("""COMPUTED_VALUE"""),864.0)</f>
        <v>864</v>
      </c>
      <c r="C1057" s="13">
        <f>IFERROR(__xludf.DUMMYFUNCTION("""COMPUTED_VALUE"""),40.0)</f>
        <v>40</v>
      </c>
      <c r="D1057" s="12" t="str">
        <f>IFERROR(__xludf.DUMMYFUNCTION("""COMPUTED_VALUE"""),"Cute tee")</f>
        <v>Cute tee</v>
      </c>
      <c r="E1057" s="12" t="str">
        <f>IFERROR(__xludf.DUMMYFUNCTION("""COMPUTED_VALUE"""),"I got the pink version to layer with spring clothes. i always wear a medium, but sized down to a small based on the other review. the seams are very flattering. the material is very soft. on sale, the price is reasonable.")</f>
        <v>I got the pink version to layer with spring clothes. i always wear a medium, but sized down to a small based on the other review. the seams are very flattering. the material is very soft. on sale, the price is reasonable.</v>
      </c>
      <c r="F1057" s="13">
        <f>IFERROR(__xludf.DUMMYFUNCTION("""COMPUTED_VALUE"""),5.0)</f>
        <v>5</v>
      </c>
      <c r="G1057" s="13">
        <f>IFERROR(__xludf.DUMMYFUNCTION("""COMPUTED_VALUE"""),1.0)</f>
        <v>1</v>
      </c>
      <c r="H1057" s="13">
        <f>IFERROR(__xludf.DUMMYFUNCTION("""COMPUTED_VALUE"""),0.0)</f>
        <v>0</v>
      </c>
      <c r="I1057" s="13" t="str">
        <f>IFERROR(__xludf.DUMMYFUNCTION("""COMPUTED_VALUE"""),"General")</f>
        <v>General</v>
      </c>
      <c r="J1057" s="13" t="str">
        <f>IFERROR(__xludf.DUMMYFUNCTION("""COMPUTED_VALUE"""),"Tops")</f>
        <v>Tops</v>
      </c>
      <c r="K1057" s="13" t="str">
        <f>IFERROR(__xludf.DUMMYFUNCTION("""COMPUTED_VALUE"""),"Knits")</f>
        <v>Knits</v>
      </c>
      <c r="L1057" s="13"/>
    </row>
    <row r="1058">
      <c r="A1058" s="13">
        <f>IFERROR(__xludf.DUMMYFUNCTION("""COMPUTED_VALUE"""),1056.0)</f>
        <v>1056</v>
      </c>
      <c r="B1058" s="13">
        <f>IFERROR(__xludf.DUMMYFUNCTION("""COMPUTED_VALUE"""),864.0)</f>
        <v>864</v>
      </c>
      <c r="C1058" s="13">
        <f>IFERROR(__xludf.DUMMYFUNCTION("""COMPUTED_VALUE"""),39.0)</f>
        <v>39</v>
      </c>
      <c r="D1058" s="12" t="str">
        <f>IFERROR(__xludf.DUMMYFUNCTION("""COMPUTED_VALUE"""),"Great tee but kind of short")</f>
        <v>Great tee but kind of short</v>
      </c>
      <c r="E1058" s="12" t="str">
        <f>IFERROR(__xludf.DUMMYFUNCTION("""COMPUTED_VALUE"""),"I love this tee but there is a lot of swing/ fabric so it can tend to make you look wide. also, i have a short torso to begin with but this tee is on the short side. i'm still undecided on whether i'm going to keep it b/c it's rayon/ poly and it's hand wa"&amp;"sh only. and i'm worried that one wash will make it shrink in length and it's already short. rayon knits have a tendency to shrink in length when washed so beware!")</f>
        <v>I love this tee but there is a lot of swing/ fabric so it can tend to make you look wide. also, i have a short torso to begin with but this tee is on the short side. i'm still undecided on whether i'm going to keep it b/c it's rayon/ poly and it's hand wash only. and i'm worried that one wash will make it shrink in length and it's already short. rayon knits have a tendency to shrink in length when washed so beware!</v>
      </c>
      <c r="F1058" s="13">
        <f>IFERROR(__xludf.DUMMYFUNCTION("""COMPUTED_VALUE"""),4.0)</f>
        <v>4</v>
      </c>
      <c r="G1058" s="13">
        <f>IFERROR(__xludf.DUMMYFUNCTION("""COMPUTED_VALUE"""),1.0)</f>
        <v>1</v>
      </c>
      <c r="H1058" s="13">
        <f>IFERROR(__xludf.DUMMYFUNCTION("""COMPUTED_VALUE"""),0.0)</f>
        <v>0</v>
      </c>
      <c r="I1058" s="13" t="str">
        <f>IFERROR(__xludf.DUMMYFUNCTION("""COMPUTED_VALUE"""),"General")</f>
        <v>General</v>
      </c>
      <c r="J1058" s="13" t="str">
        <f>IFERROR(__xludf.DUMMYFUNCTION("""COMPUTED_VALUE"""),"Tops")</f>
        <v>Tops</v>
      </c>
      <c r="K1058" s="13" t="str">
        <f>IFERROR(__xludf.DUMMYFUNCTION("""COMPUTED_VALUE"""),"Knits")</f>
        <v>Knits</v>
      </c>
      <c r="L1058" s="13"/>
    </row>
    <row r="1059">
      <c r="A1059" s="13">
        <f>IFERROR(__xludf.DUMMYFUNCTION("""COMPUTED_VALUE"""),1057.0)</f>
        <v>1057</v>
      </c>
      <c r="B1059" s="13">
        <f>IFERROR(__xludf.DUMMYFUNCTION("""COMPUTED_VALUE"""),873.0)</f>
        <v>873</v>
      </c>
      <c r="C1059" s="13">
        <f>IFERROR(__xludf.DUMMYFUNCTION("""COMPUTED_VALUE"""),71.0)</f>
        <v>71</v>
      </c>
      <c r="D1059" s="12" t="str">
        <f>IFERROR(__xludf.DUMMYFUNCTION("""COMPUTED_VALUE"""),"Pretty but not for me")</f>
        <v>Pretty but not for me</v>
      </c>
      <c r="E1059" s="12" t="str">
        <f>IFERROR(__xludf.DUMMYFUNCTION("""COMPUTED_VALUE"""),"This top reminded me of a maternity top. cute, but better suited for someone smaller chested.")</f>
        <v>This top reminded me of a maternity top. cute, but better suited for someone smaller chested.</v>
      </c>
      <c r="F1059" s="13">
        <f>IFERROR(__xludf.DUMMYFUNCTION("""COMPUTED_VALUE"""),3.0)</f>
        <v>3</v>
      </c>
      <c r="G1059" s="13">
        <f>IFERROR(__xludf.DUMMYFUNCTION("""COMPUTED_VALUE"""),0.0)</f>
        <v>0</v>
      </c>
      <c r="H1059" s="13">
        <f>IFERROR(__xludf.DUMMYFUNCTION("""COMPUTED_VALUE"""),0.0)</f>
        <v>0</v>
      </c>
      <c r="I1059" s="13" t="str">
        <f>IFERROR(__xludf.DUMMYFUNCTION("""COMPUTED_VALUE"""),"General")</f>
        <v>General</v>
      </c>
      <c r="J1059" s="13" t="str">
        <f>IFERROR(__xludf.DUMMYFUNCTION("""COMPUTED_VALUE"""),"Tops")</f>
        <v>Tops</v>
      </c>
      <c r="K1059" s="13" t="str">
        <f>IFERROR(__xludf.DUMMYFUNCTION("""COMPUTED_VALUE"""),"Knits")</f>
        <v>Knits</v>
      </c>
      <c r="L1059" s="13"/>
    </row>
    <row r="1060">
      <c r="A1060" s="13">
        <f>IFERROR(__xludf.DUMMYFUNCTION("""COMPUTED_VALUE"""),1058.0)</f>
        <v>1058</v>
      </c>
      <c r="B1060" s="13">
        <f>IFERROR(__xludf.DUMMYFUNCTION("""COMPUTED_VALUE"""),873.0)</f>
        <v>873</v>
      </c>
      <c r="C1060" s="13">
        <f>IFERROR(__xludf.DUMMYFUNCTION("""COMPUTED_VALUE"""),42.0)</f>
        <v>42</v>
      </c>
      <c r="D1060" s="12" t="str">
        <f>IFERROR(__xludf.DUMMYFUNCTION("""COMPUTED_VALUE"""),"Love the color!")</f>
        <v>Love the color!</v>
      </c>
      <c r="E1060" s="12" t="str">
        <f>IFERROR(__xludf.DUMMYFUNCTION("""COMPUTED_VALUE"""),"I love this shirt so much i am ordering the coral too! the weight of the material makes it hang nicely. there is a lot of material but it lends itself to the flowy style. i got many compliments of this top!")</f>
        <v>I love this shirt so much i am ordering the coral too! the weight of the material makes it hang nicely. there is a lot of material but it lends itself to the flowy style. i got many compliments of this top!</v>
      </c>
      <c r="F1060" s="13">
        <f>IFERROR(__xludf.DUMMYFUNCTION("""COMPUTED_VALUE"""),5.0)</f>
        <v>5</v>
      </c>
      <c r="G1060" s="13">
        <f>IFERROR(__xludf.DUMMYFUNCTION("""COMPUTED_VALUE"""),1.0)</f>
        <v>1</v>
      </c>
      <c r="H1060" s="13">
        <f>IFERROR(__xludf.DUMMYFUNCTION("""COMPUTED_VALUE"""),3.0)</f>
        <v>3</v>
      </c>
      <c r="I1060" s="13" t="str">
        <f>IFERROR(__xludf.DUMMYFUNCTION("""COMPUTED_VALUE"""),"General")</f>
        <v>General</v>
      </c>
      <c r="J1060" s="13" t="str">
        <f>IFERROR(__xludf.DUMMYFUNCTION("""COMPUTED_VALUE"""),"Tops")</f>
        <v>Tops</v>
      </c>
      <c r="K1060" s="13" t="str">
        <f>IFERROR(__xludf.DUMMYFUNCTION("""COMPUTED_VALUE"""),"Knits")</f>
        <v>Knits</v>
      </c>
      <c r="L1060" s="13"/>
    </row>
    <row r="1061">
      <c r="A1061" s="13">
        <f>IFERROR(__xludf.DUMMYFUNCTION("""COMPUTED_VALUE"""),1059.0)</f>
        <v>1059</v>
      </c>
      <c r="B1061" s="13">
        <f>IFERROR(__xludf.DUMMYFUNCTION("""COMPUTED_VALUE"""),949.0)</f>
        <v>949</v>
      </c>
      <c r="C1061" s="13">
        <f>IFERROR(__xludf.DUMMYFUNCTION("""COMPUTED_VALUE"""),57.0)</f>
        <v>57</v>
      </c>
      <c r="D1061" s="12" t="str">
        <f>IFERROR(__xludf.DUMMYFUNCTION("""COMPUTED_VALUE"""),"Finally a flattering sweater!")</f>
        <v>Finally a flattering sweater!</v>
      </c>
      <c r="E1061" s="12" t="str">
        <f>IFERROR(__xludf.DUMMYFUNCTION("""COMPUTED_VALUE"""),"This sweater is perfect! finally a sweater that doesn't make me look like a huge box!
i bought the blue &amp; it has other colors running through it so i'll be able to wear it with chinos &amp; jeans. very pretty, flattering &amp; i think i'm going to be wearing thi"&amp;"s a lot.")</f>
        <v>This sweater is perfect! finally a sweater that doesn't make me look like a huge box!
i bought the blue &amp; it has other colors running through it so i'll be able to wear it with chinos &amp; jeans. very pretty, flattering &amp; i think i'm going to be wearing this a lot.</v>
      </c>
      <c r="F1061" s="13">
        <f>IFERROR(__xludf.DUMMYFUNCTION("""COMPUTED_VALUE"""),5.0)</f>
        <v>5</v>
      </c>
      <c r="G1061" s="13">
        <f>IFERROR(__xludf.DUMMYFUNCTION("""COMPUTED_VALUE"""),1.0)</f>
        <v>1</v>
      </c>
      <c r="H1061" s="13">
        <f>IFERROR(__xludf.DUMMYFUNCTION("""COMPUTED_VALUE"""),6.0)</f>
        <v>6</v>
      </c>
      <c r="I1061" s="13" t="str">
        <f>IFERROR(__xludf.DUMMYFUNCTION("""COMPUTED_VALUE"""),"General")</f>
        <v>General</v>
      </c>
      <c r="J1061" s="13" t="str">
        <f>IFERROR(__xludf.DUMMYFUNCTION("""COMPUTED_VALUE"""),"Tops")</f>
        <v>Tops</v>
      </c>
      <c r="K1061" s="13" t="str">
        <f>IFERROR(__xludf.DUMMYFUNCTION("""COMPUTED_VALUE"""),"Sweaters")</f>
        <v>Sweaters</v>
      </c>
      <c r="L1061" s="13"/>
    </row>
    <row r="1062">
      <c r="A1062" s="13">
        <f>IFERROR(__xludf.DUMMYFUNCTION("""COMPUTED_VALUE"""),1060.0)</f>
        <v>1060</v>
      </c>
      <c r="B1062" s="13">
        <f>IFERROR(__xludf.DUMMYFUNCTION("""COMPUTED_VALUE"""),1083.0)</f>
        <v>1083</v>
      </c>
      <c r="C1062" s="13">
        <f>IFERROR(__xludf.DUMMYFUNCTION("""COMPUTED_VALUE"""),54.0)</f>
        <v>54</v>
      </c>
      <c r="D1062" s="12" t="str">
        <f>IFERROR(__xludf.DUMMYFUNCTION("""COMPUTED_VALUE"""),"Great dress, not for me")</f>
        <v>Great dress, not for me</v>
      </c>
      <c r="E1062" s="12" t="str">
        <f>IFERROR(__xludf.DUMMYFUNCTION("""COMPUTED_VALUE"""),"I love byron lars. very taken with his fabrics and design concepts and i have ordered several of his dresses but i believe i need to surrender to the fact that they do not work for my body type. the dress is gorgeous in person: all the fabrics are great, "&amp;"the dress is fully lined and lots of nice finishing touches. it is a unique and very striking dress; this one i really wanted. however, it is designed for a woman who is proportionally longer, leaner with a larger bust size than i have. i ordere")</f>
        <v>I love byron lars. very taken with his fabrics and design concepts and i have ordered several of his dresses but i believe i need to surrender to the fact that they do not work for my body type. the dress is gorgeous in person: all the fabrics are great, the dress is fully lined and lots of nice finishing touches. it is a unique and very striking dress; this one i really wanted. however, it is designed for a woman who is proportionally longer, leaner with a larger bust size than i have. i ordere</v>
      </c>
      <c r="F1062" s="13">
        <f>IFERROR(__xludf.DUMMYFUNCTION("""COMPUTED_VALUE"""),4.0)</f>
        <v>4</v>
      </c>
      <c r="G1062" s="13">
        <f>IFERROR(__xludf.DUMMYFUNCTION("""COMPUTED_VALUE"""),1.0)</f>
        <v>1</v>
      </c>
      <c r="H1062" s="13">
        <f>IFERROR(__xludf.DUMMYFUNCTION("""COMPUTED_VALUE"""),0.0)</f>
        <v>0</v>
      </c>
      <c r="I1062" s="13" t="str">
        <f>IFERROR(__xludf.DUMMYFUNCTION("""COMPUTED_VALUE"""),"General Petite")</f>
        <v>General Petite</v>
      </c>
      <c r="J1062" s="13" t="str">
        <f>IFERROR(__xludf.DUMMYFUNCTION("""COMPUTED_VALUE"""),"Dresses")</f>
        <v>Dresses</v>
      </c>
      <c r="K1062" s="13" t="str">
        <f>IFERROR(__xludf.DUMMYFUNCTION("""COMPUTED_VALUE"""),"Dresses")</f>
        <v>Dresses</v>
      </c>
      <c r="L1062" s="13"/>
    </row>
    <row r="1063">
      <c r="A1063" s="13">
        <f>IFERROR(__xludf.DUMMYFUNCTION("""COMPUTED_VALUE"""),1061.0)</f>
        <v>1061</v>
      </c>
      <c r="B1063" s="13">
        <f>IFERROR(__xludf.DUMMYFUNCTION("""COMPUTED_VALUE"""),909.0)</f>
        <v>909</v>
      </c>
      <c r="C1063" s="13">
        <f>IFERROR(__xludf.DUMMYFUNCTION("""COMPUTED_VALUE"""),46.0)</f>
        <v>46</v>
      </c>
      <c r="D1063" s="12" t="str">
        <f>IFERROR(__xludf.DUMMYFUNCTION("""COMPUTED_VALUE"""),"Farm animal pullover")</f>
        <v>Farm animal pullover</v>
      </c>
      <c r="E1063" s="12" t="str">
        <f>IFERROR(__xludf.DUMMYFUNCTION("""COMPUTED_VALUE"""),"Wanted to love this sweater for its beautiful colors and cute graphic, but the fit is uncomfortably small and it is so itchy i was yelling, ""get it off"" in the fitting room. bummer.")</f>
        <v>Wanted to love this sweater for its beautiful colors and cute graphic, but the fit is uncomfortably small and it is so itchy i was yelling, "get it off" in the fitting room. bummer.</v>
      </c>
      <c r="F1063" s="13">
        <f>IFERROR(__xludf.DUMMYFUNCTION("""COMPUTED_VALUE"""),2.0)</f>
        <v>2</v>
      </c>
      <c r="G1063" s="13">
        <f>IFERROR(__xludf.DUMMYFUNCTION("""COMPUTED_VALUE"""),0.0)</f>
        <v>0</v>
      </c>
      <c r="H1063" s="13">
        <f>IFERROR(__xludf.DUMMYFUNCTION("""COMPUTED_VALUE"""),0.0)</f>
        <v>0</v>
      </c>
      <c r="I1063" s="13" t="str">
        <f>IFERROR(__xludf.DUMMYFUNCTION("""COMPUTED_VALUE"""),"General")</f>
        <v>General</v>
      </c>
      <c r="J1063" s="13" t="str">
        <f>IFERROR(__xludf.DUMMYFUNCTION("""COMPUTED_VALUE"""),"Tops")</f>
        <v>Tops</v>
      </c>
      <c r="K1063" s="13" t="str">
        <f>IFERROR(__xludf.DUMMYFUNCTION("""COMPUTED_VALUE"""),"Fine gauge")</f>
        <v>Fine gauge</v>
      </c>
      <c r="L1063" s="13"/>
    </row>
    <row r="1064">
      <c r="A1064" s="13">
        <f>IFERROR(__xludf.DUMMYFUNCTION("""COMPUTED_VALUE"""),1062.0)</f>
        <v>1062</v>
      </c>
      <c r="B1064" s="13">
        <f>IFERROR(__xludf.DUMMYFUNCTION("""COMPUTED_VALUE"""),949.0)</f>
        <v>949</v>
      </c>
      <c r="C1064" s="13">
        <f>IFERROR(__xludf.DUMMYFUNCTION("""COMPUTED_VALUE"""),23.0)</f>
        <v>23</v>
      </c>
      <c r="D1064" s="12" t="str">
        <f>IFERROR(__xludf.DUMMYFUNCTION("""COMPUTED_VALUE"""),"Perfect in all respects")</f>
        <v>Perfect in all respects</v>
      </c>
      <c r="E1064" s="12" t="str">
        <f>IFERROR(__xludf.DUMMYFUNCTION("""COMPUTED_VALUE"""),"True to size for petite person; bought in blue - subtle shading, looks great; paired with your blue straight leg blue ""jeans""; perfect outfit for almost all occasions.")</f>
        <v>True to size for petite person; bought in blue - subtle shading, looks great; paired with your blue straight leg blue "jeans"; perfect outfit for almost all occasions.</v>
      </c>
      <c r="F1064" s="13">
        <f>IFERROR(__xludf.DUMMYFUNCTION("""COMPUTED_VALUE"""),5.0)</f>
        <v>5</v>
      </c>
      <c r="G1064" s="13">
        <f>IFERROR(__xludf.DUMMYFUNCTION("""COMPUTED_VALUE"""),1.0)</f>
        <v>1</v>
      </c>
      <c r="H1064" s="13">
        <f>IFERROR(__xludf.DUMMYFUNCTION("""COMPUTED_VALUE"""),0.0)</f>
        <v>0</v>
      </c>
      <c r="I1064" s="13" t="str">
        <f>IFERROR(__xludf.DUMMYFUNCTION("""COMPUTED_VALUE"""),"General")</f>
        <v>General</v>
      </c>
      <c r="J1064" s="13" t="str">
        <f>IFERROR(__xludf.DUMMYFUNCTION("""COMPUTED_VALUE"""),"Tops")</f>
        <v>Tops</v>
      </c>
      <c r="K1064" s="13" t="str">
        <f>IFERROR(__xludf.DUMMYFUNCTION("""COMPUTED_VALUE"""),"Sweaters")</f>
        <v>Sweaters</v>
      </c>
      <c r="L1064" s="13"/>
    </row>
    <row r="1065">
      <c r="A1065" s="13">
        <f>IFERROR(__xludf.DUMMYFUNCTION("""COMPUTED_VALUE"""),1063.0)</f>
        <v>1063</v>
      </c>
      <c r="B1065" s="13">
        <f>IFERROR(__xludf.DUMMYFUNCTION("""COMPUTED_VALUE"""),949.0)</f>
        <v>949</v>
      </c>
      <c r="C1065" s="13">
        <f>IFERROR(__xludf.DUMMYFUNCTION("""COMPUTED_VALUE"""),44.0)</f>
        <v>44</v>
      </c>
      <c r="D1065" s="12" t="str">
        <f>IFERROR(__xludf.DUMMYFUNCTION("""COMPUTED_VALUE"""),"I wanted to love this sweater, but......")</f>
        <v>I wanted to love this sweater, but......</v>
      </c>
      <c r="E1065" s="12" t="str">
        <f>IFERROR(__xludf.DUMMYFUNCTION("""COMPUTED_VALUE"""),"This is a beautiful sweater with deep rich colors. i purchased the blue motif. the problem is that the model(s) are small busted, which allows the side panels and front panel to lay nicely and swing in a flattering manner. i am 5'6'', 135 pounds and a 36d"&amp;". i usually wear a small in antro tops. i purchased this online, and was excited upon it's arrival. when i tried it on, i was horrified. it looked like a babydoll maternity sweater on me. the front did not lay well (flat) at all from the chest d")</f>
        <v>This is a beautiful sweater with deep rich colors. i purchased the blue motif. the problem is that the model(s) are small busted, which allows the side panels and front panel to lay nicely and swing in a flattering manner. i am 5'6'', 135 pounds and a 36d. i usually wear a small in antro tops. i purchased this online, and was excited upon it's arrival. when i tried it on, i was horrified. it looked like a babydoll maternity sweater on me. the front did not lay well (flat) at all from the chest d</v>
      </c>
      <c r="F1065" s="13">
        <f>IFERROR(__xludf.DUMMYFUNCTION("""COMPUTED_VALUE"""),2.0)</f>
        <v>2</v>
      </c>
      <c r="G1065" s="13">
        <f>IFERROR(__xludf.DUMMYFUNCTION("""COMPUTED_VALUE"""),1.0)</f>
        <v>1</v>
      </c>
      <c r="H1065" s="13">
        <f>IFERROR(__xludf.DUMMYFUNCTION("""COMPUTED_VALUE"""),1.0)</f>
        <v>1</v>
      </c>
      <c r="I1065" s="13" t="str">
        <f>IFERROR(__xludf.DUMMYFUNCTION("""COMPUTED_VALUE"""),"General")</f>
        <v>General</v>
      </c>
      <c r="J1065" s="13" t="str">
        <f>IFERROR(__xludf.DUMMYFUNCTION("""COMPUTED_VALUE"""),"Tops")</f>
        <v>Tops</v>
      </c>
      <c r="K1065" s="13" t="str">
        <f>IFERROR(__xludf.DUMMYFUNCTION("""COMPUTED_VALUE"""),"Sweaters")</f>
        <v>Sweaters</v>
      </c>
      <c r="L1065" s="13"/>
    </row>
    <row r="1066">
      <c r="A1066" s="13">
        <f>IFERROR(__xludf.DUMMYFUNCTION("""COMPUTED_VALUE"""),1064.0)</f>
        <v>1064</v>
      </c>
      <c r="B1066" s="13">
        <f>IFERROR(__xludf.DUMMYFUNCTION("""COMPUTED_VALUE"""),949.0)</f>
        <v>949</v>
      </c>
      <c r="C1066" s="13">
        <f>IFERROR(__xludf.DUMMYFUNCTION("""COMPUTED_VALUE"""),45.0)</f>
        <v>45</v>
      </c>
      <c r="D1066" s="12" t="str">
        <f>IFERROR(__xludf.DUMMYFUNCTION("""COMPUTED_VALUE"""),"Upscale, unique sweater")</f>
        <v>Upscale, unique sweater</v>
      </c>
      <c r="E1066" s="12" t="str">
        <f>IFERROR(__xludf.DUMMYFUNCTION("""COMPUTED_VALUE"""),"Spotted this beauty in my local store - hanging (grrr) which made it stretch out. note that it's made of linen, cotton, and acrylic, so it's not heavy, it's weighty. anyways, it seemed to run large just due to gravity, so i ended up ordering it so it wasn"&amp;"'t all stretched out. it's got a beautiful a-line cut - perfect for us bottom-heavy gals. love the colored thread woven throughout. worth the extra $.")</f>
        <v>Spotted this beauty in my local store - hanging (grrr) which made it stretch out. note that it's made of linen, cotton, and acrylic, so it's not heavy, it's weighty. anyways, it seemed to run large just due to gravity, so i ended up ordering it so it wasn't all stretched out. it's got a beautiful a-line cut - perfect for us bottom-heavy gals. love the colored thread woven throughout. worth the extra $.</v>
      </c>
      <c r="F1066" s="13">
        <f>IFERROR(__xludf.DUMMYFUNCTION("""COMPUTED_VALUE"""),5.0)</f>
        <v>5</v>
      </c>
      <c r="G1066" s="13">
        <f>IFERROR(__xludf.DUMMYFUNCTION("""COMPUTED_VALUE"""),1.0)</f>
        <v>1</v>
      </c>
      <c r="H1066" s="13">
        <f>IFERROR(__xludf.DUMMYFUNCTION("""COMPUTED_VALUE"""),1.0)</f>
        <v>1</v>
      </c>
      <c r="I1066" s="13" t="str">
        <f>IFERROR(__xludf.DUMMYFUNCTION("""COMPUTED_VALUE"""),"General")</f>
        <v>General</v>
      </c>
      <c r="J1066" s="13" t="str">
        <f>IFERROR(__xludf.DUMMYFUNCTION("""COMPUTED_VALUE"""),"Tops")</f>
        <v>Tops</v>
      </c>
      <c r="K1066" s="13" t="str">
        <f>IFERROR(__xludf.DUMMYFUNCTION("""COMPUTED_VALUE"""),"Sweaters")</f>
        <v>Sweaters</v>
      </c>
      <c r="L1066" s="13"/>
    </row>
    <row r="1067">
      <c r="A1067" s="13">
        <f>IFERROR(__xludf.DUMMYFUNCTION("""COMPUTED_VALUE"""),1065.0)</f>
        <v>1065</v>
      </c>
      <c r="B1067" s="13">
        <f>IFERROR(__xludf.DUMMYFUNCTION("""COMPUTED_VALUE"""),864.0)</f>
        <v>864</v>
      </c>
      <c r="C1067" s="13">
        <f>IFERROR(__xludf.DUMMYFUNCTION("""COMPUTED_VALUE"""),22.0)</f>
        <v>22</v>
      </c>
      <c r="D1067" s="12" t="str">
        <f>IFERROR(__xludf.DUMMYFUNCTION("""COMPUTED_VALUE"""),"Fun shirt!")</f>
        <v>Fun shirt!</v>
      </c>
      <c r="E1067" s="12" t="str">
        <f>IFERROR(__xludf.DUMMYFUNCTION("""COMPUTED_VALUE"""),"Okay this shirt is soooo comf. it is super fun and flowy. but it runs large. get one size smaller than you would usually get! so worth the sale price!!!")</f>
        <v>Okay this shirt is soooo comf. it is super fun and flowy. but it runs large. get one size smaller than you would usually get! so worth the sale price!!!</v>
      </c>
      <c r="F1067" s="13">
        <f>IFERROR(__xludf.DUMMYFUNCTION("""COMPUTED_VALUE"""),5.0)</f>
        <v>5</v>
      </c>
      <c r="G1067" s="13">
        <f>IFERROR(__xludf.DUMMYFUNCTION("""COMPUTED_VALUE"""),1.0)</f>
        <v>1</v>
      </c>
      <c r="H1067" s="13">
        <f>IFERROR(__xludf.DUMMYFUNCTION("""COMPUTED_VALUE"""),4.0)</f>
        <v>4</v>
      </c>
      <c r="I1067" s="13" t="str">
        <f>IFERROR(__xludf.DUMMYFUNCTION("""COMPUTED_VALUE"""),"General")</f>
        <v>General</v>
      </c>
      <c r="J1067" s="13" t="str">
        <f>IFERROR(__xludf.DUMMYFUNCTION("""COMPUTED_VALUE"""),"Tops")</f>
        <v>Tops</v>
      </c>
      <c r="K1067" s="13" t="str">
        <f>IFERROR(__xludf.DUMMYFUNCTION("""COMPUTED_VALUE"""),"Knits")</f>
        <v>Knits</v>
      </c>
      <c r="L1067" s="13"/>
    </row>
    <row r="1068">
      <c r="A1068" s="13">
        <f>IFERROR(__xludf.DUMMYFUNCTION("""COMPUTED_VALUE"""),1066.0)</f>
        <v>1066</v>
      </c>
      <c r="B1068" s="13">
        <f>IFERROR(__xludf.DUMMYFUNCTION("""COMPUTED_VALUE"""),864.0)</f>
        <v>864</v>
      </c>
      <c r="C1068" s="13">
        <f>IFERROR(__xludf.DUMMYFUNCTION("""COMPUTED_VALUE"""),35.0)</f>
        <v>35</v>
      </c>
      <c r="D1068" s="12"/>
      <c r="E1068" s="12" t="str">
        <f>IFERROR(__xludf.DUMMYFUNCTION("""COMPUTED_VALUE"""),"Cute and comfy shirt! tts- got my usual m (i'm a 10) and it has a generous fit but i think it's supposed to. it's actually a silver grey color.")</f>
        <v>Cute and comfy shirt! tts- got my usual m (i'm a 10) and it has a generous fit but i think it's supposed to. it's actually a silver grey color.</v>
      </c>
      <c r="F1068" s="13">
        <f>IFERROR(__xludf.DUMMYFUNCTION("""COMPUTED_VALUE"""),5.0)</f>
        <v>5</v>
      </c>
      <c r="G1068" s="13">
        <f>IFERROR(__xludf.DUMMYFUNCTION("""COMPUTED_VALUE"""),1.0)</f>
        <v>1</v>
      </c>
      <c r="H1068" s="13">
        <f>IFERROR(__xludf.DUMMYFUNCTION("""COMPUTED_VALUE"""),0.0)</f>
        <v>0</v>
      </c>
      <c r="I1068" s="13" t="str">
        <f>IFERROR(__xludf.DUMMYFUNCTION("""COMPUTED_VALUE"""),"General")</f>
        <v>General</v>
      </c>
      <c r="J1068" s="13" t="str">
        <f>IFERROR(__xludf.DUMMYFUNCTION("""COMPUTED_VALUE"""),"Tops")</f>
        <v>Tops</v>
      </c>
      <c r="K1068" s="13" t="str">
        <f>IFERROR(__xludf.DUMMYFUNCTION("""COMPUTED_VALUE"""),"Knits")</f>
        <v>Knits</v>
      </c>
      <c r="L1068" s="13"/>
    </row>
    <row r="1069">
      <c r="A1069" s="13">
        <f>IFERROR(__xludf.DUMMYFUNCTION("""COMPUTED_VALUE"""),1067.0)</f>
        <v>1067</v>
      </c>
      <c r="B1069" s="13">
        <f>IFERROR(__xludf.DUMMYFUNCTION("""COMPUTED_VALUE"""),873.0)</f>
        <v>873</v>
      </c>
      <c r="C1069" s="13">
        <f>IFERROR(__xludf.DUMMYFUNCTION("""COMPUTED_VALUE"""),52.0)</f>
        <v>52</v>
      </c>
      <c r="D1069" s="12" t="str">
        <f>IFERROR(__xludf.DUMMYFUNCTION("""COMPUTED_VALUE"""),"Lovely surprise")</f>
        <v>Lovely surprise</v>
      </c>
      <c r="E1069" s="12" t="str">
        <f>IFERROR(__xludf.DUMMYFUNCTION("""COMPUTED_VALUE"""),"I would highly recommend this top. i usually wear a small petite. but returned the top for an xs petite which fit perfectly. there is a lot of fabric, but if you size down it wasn't an issue for me. i weigh 120lbs and am 5 feet tall. also, i'm busty, 34 d"&amp;". which worried me with this type of top. not a problem. i will wear a blazer or leather short jacket with this. i am very picky and i was happy with the quality. the fabric is not heavy. it's a fantastic purchase!")</f>
        <v>I would highly recommend this top. i usually wear a small petite. but returned the top for an xs petite which fit perfectly. there is a lot of fabric, but if you size down it wasn't an issue for me. i weigh 120lbs and am 5 feet tall. also, i'm busty, 34 d. which worried me with this type of top. not a problem. i will wear a blazer or leather short jacket with this. i am very picky and i was happy with the quality. the fabric is not heavy. it's a fantastic purchase!</v>
      </c>
      <c r="F1069" s="13">
        <f>IFERROR(__xludf.DUMMYFUNCTION("""COMPUTED_VALUE"""),5.0)</f>
        <v>5</v>
      </c>
      <c r="G1069" s="13">
        <f>IFERROR(__xludf.DUMMYFUNCTION("""COMPUTED_VALUE"""),1.0)</f>
        <v>1</v>
      </c>
      <c r="H1069" s="13">
        <f>IFERROR(__xludf.DUMMYFUNCTION("""COMPUTED_VALUE"""),0.0)</f>
        <v>0</v>
      </c>
      <c r="I1069" s="13" t="str">
        <f>IFERROR(__xludf.DUMMYFUNCTION("""COMPUTED_VALUE"""),"General")</f>
        <v>General</v>
      </c>
      <c r="J1069" s="13" t="str">
        <f>IFERROR(__xludf.DUMMYFUNCTION("""COMPUTED_VALUE"""),"Tops")</f>
        <v>Tops</v>
      </c>
      <c r="K1069" s="13" t="str">
        <f>IFERROR(__xludf.DUMMYFUNCTION("""COMPUTED_VALUE"""),"Knits")</f>
        <v>Knits</v>
      </c>
      <c r="L1069" s="13"/>
    </row>
    <row r="1070">
      <c r="A1070" s="13">
        <f>IFERROR(__xludf.DUMMYFUNCTION("""COMPUTED_VALUE"""),1068.0)</f>
        <v>1068</v>
      </c>
      <c r="B1070" s="13">
        <f>IFERROR(__xludf.DUMMYFUNCTION("""COMPUTED_VALUE"""),1099.0)</f>
        <v>1099</v>
      </c>
      <c r="C1070" s="13">
        <f>IFERROR(__xludf.DUMMYFUNCTION("""COMPUTED_VALUE"""),50.0)</f>
        <v>50</v>
      </c>
      <c r="D1070" s="12" t="str">
        <f>IFERROR(__xludf.DUMMYFUNCTION("""COMPUTED_VALUE"""),"Petite busty girls rejoice 2")</f>
        <v>Petite busty girls rejoice 2</v>
      </c>
      <c r="E1070" s="12" t="str">
        <f>IFERROR(__xludf.DUMMYFUNCTION("""COMPUTED_VALUE"""),"I loved this but hesitated to order since i'm petite and busty and assumed it would be an awful mess in the chest area (too tight, gaping etc) but it is great!!! it fits perfectly! there is plenty of room in the chest and the dress is not too long! i orde"&amp;"red a pm and its wonderful. the dress is not see through at all. love it!!!!!")</f>
        <v>I loved this but hesitated to order since i'm petite and busty and assumed it would be an awful mess in the chest area (too tight, gaping etc) but it is great!!! it fits perfectly! there is plenty of room in the chest and the dress is not too long! i ordered a pm and its wonderful. the dress is not see through at all. love it!!!!!</v>
      </c>
      <c r="F1070" s="13">
        <f>IFERROR(__xludf.DUMMYFUNCTION("""COMPUTED_VALUE"""),5.0)</f>
        <v>5</v>
      </c>
      <c r="G1070" s="13">
        <f>IFERROR(__xludf.DUMMYFUNCTION("""COMPUTED_VALUE"""),1.0)</f>
        <v>1</v>
      </c>
      <c r="H1070" s="13">
        <f>IFERROR(__xludf.DUMMYFUNCTION("""COMPUTED_VALUE"""),1.0)</f>
        <v>1</v>
      </c>
      <c r="I1070" s="13" t="str">
        <f>IFERROR(__xludf.DUMMYFUNCTION("""COMPUTED_VALUE"""),"General Petite")</f>
        <v>General Petite</v>
      </c>
      <c r="J1070" s="13" t="str">
        <f>IFERROR(__xludf.DUMMYFUNCTION("""COMPUTED_VALUE"""),"Dresses")</f>
        <v>Dresses</v>
      </c>
      <c r="K1070" s="13" t="str">
        <f>IFERROR(__xludf.DUMMYFUNCTION("""COMPUTED_VALUE"""),"Dresses")</f>
        <v>Dresses</v>
      </c>
      <c r="L1070" s="13"/>
    </row>
    <row r="1071">
      <c r="A1071" s="13">
        <f>IFERROR(__xludf.DUMMYFUNCTION("""COMPUTED_VALUE"""),1069.0)</f>
        <v>1069</v>
      </c>
      <c r="B1071" s="13">
        <f>IFERROR(__xludf.DUMMYFUNCTION("""COMPUTED_VALUE"""),1001.0)</f>
        <v>1001</v>
      </c>
      <c r="C1071" s="13">
        <f>IFERROR(__xludf.DUMMYFUNCTION("""COMPUTED_VALUE"""),48.0)</f>
        <v>48</v>
      </c>
      <c r="D1071" s="12"/>
      <c r="E1071" s="12" t="str">
        <f>IFERROR(__xludf.DUMMYFUNCTION("""COMPUTED_VALUE"""),"Runs a little big. fabric is very soft and comfortable")</f>
        <v>Runs a little big. fabric is very soft and comfortable</v>
      </c>
      <c r="F1071" s="13">
        <f>IFERROR(__xludf.DUMMYFUNCTION("""COMPUTED_VALUE"""),4.0)</f>
        <v>4</v>
      </c>
      <c r="G1071" s="13">
        <f>IFERROR(__xludf.DUMMYFUNCTION("""COMPUTED_VALUE"""),1.0)</f>
        <v>1</v>
      </c>
      <c r="H1071" s="13">
        <f>IFERROR(__xludf.DUMMYFUNCTION("""COMPUTED_VALUE"""),1.0)</f>
        <v>1</v>
      </c>
      <c r="I1071" s="13" t="str">
        <f>IFERROR(__xludf.DUMMYFUNCTION("""COMPUTED_VALUE"""),"General")</f>
        <v>General</v>
      </c>
      <c r="J1071" s="13" t="str">
        <f>IFERROR(__xludf.DUMMYFUNCTION("""COMPUTED_VALUE"""),"Bottoms")</f>
        <v>Bottoms</v>
      </c>
      <c r="K1071" s="13" t="str">
        <f>IFERROR(__xludf.DUMMYFUNCTION("""COMPUTED_VALUE"""),"Skirts")</f>
        <v>Skirts</v>
      </c>
      <c r="L1071" s="13"/>
    </row>
    <row r="1072">
      <c r="A1072" s="13">
        <f>IFERROR(__xludf.DUMMYFUNCTION("""COMPUTED_VALUE"""),1070.0)</f>
        <v>1070</v>
      </c>
      <c r="B1072" s="13">
        <f>IFERROR(__xludf.DUMMYFUNCTION("""COMPUTED_VALUE"""),829.0)</f>
        <v>829</v>
      </c>
      <c r="C1072" s="13">
        <f>IFERROR(__xludf.DUMMYFUNCTION("""COMPUTED_VALUE"""),41.0)</f>
        <v>41</v>
      </c>
      <c r="D1072" s="12" t="str">
        <f>IFERROR(__xludf.DUMMYFUNCTION("""COMPUTED_VALUE"""),"Cute!")</f>
        <v>Cute!</v>
      </c>
      <c r="E1072" s="12" t="str">
        <f>IFERROR(__xludf.DUMMYFUNCTION("""COMPUTED_VALUE"""),"This top is really cute and i think will be a great transition piece. i'm glad i tried it on in the store as it runs very small. i typically wear a 00 or 0 and bought this in a 2. they didn't have it in stock,so i ordered it and hope it fits.")</f>
        <v>This top is really cute and i think will be a great transition piece. i'm glad i tried it on in the store as it runs very small. i typically wear a 00 or 0 and bought this in a 2. they didn't have it in stock,so i ordered it and hope it fits.</v>
      </c>
      <c r="F1072" s="13">
        <f>IFERROR(__xludf.DUMMYFUNCTION("""COMPUTED_VALUE"""),4.0)</f>
        <v>4</v>
      </c>
      <c r="G1072" s="13">
        <f>IFERROR(__xludf.DUMMYFUNCTION("""COMPUTED_VALUE"""),1.0)</f>
        <v>1</v>
      </c>
      <c r="H1072" s="13">
        <f>IFERROR(__xludf.DUMMYFUNCTION("""COMPUTED_VALUE"""),2.0)</f>
        <v>2</v>
      </c>
      <c r="I1072" s="13" t="str">
        <f>IFERROR(__xludf.DUMMYFUNCTION("""COMPUTED_VALUE"""),"General Petite")</f>
        <v>General Petite</v>
      </c>
      <c r="J1072" s="13" t="str">
        <f>IFERROR(__xludf.DUMMYFUNCTION("""COMPUTED_VALUE"""),"Tops")</f>
        <v>Tops</v>
      </c>
      <c r="K1072" s="13" t="str">
        <f>IFERROR(__xludf.DUMMYFUNCTION("""COMPUTED_VALUE"""),"Blouses")</f>
        <v>Blouses</v>
      </c>
      <c r="L1072" s="13"/>
    </row>
    <row r="1073">
      <c r="A1073" s="13">
        <f>IFERROR(__xludf.DUMMYFUNCTION("""COMPUTED_VALUE"""),1071.0)</f>
        <v>1071</v>
      </c>
      <c r="B1073" s="13">
        <f>IFERROR(__xludf.DUMMYFUNCTION("""COMPUTED_VALUE"""),815.0)</f>
        <v>815</v>
      </c>
      <c r="C1073" s="13">
        <f>IFERROR(__xludf.DUMMYFUNCTION("""COMPUTED_VALUE"""),53.0)</f>
        <v>53</v>
      </c>
      <c r="D1073" s="12" t="str">
        <f>IFERROR(__xludf.DUMMYFUNCTION("""COMPUTED_VALUE"""),"Such a beautiful victorian blouse!")</f>
        <v>Such a beautiful victorian blouse!</v>
      </c>
      <c r="E1073" s="12" t="str">
        <f>IFERROR(__xludf.DUMMYFUNCTION("""COMPUTED_VALUE"""),"I just saw this vintage style blouse at my local store and tried it and think this blouse is amazingly beautiful! it's actually very well made and a tad heftier than i imagined from the picture. there's different strips of gorgeous lace all over including"&amp;" that amazing lace at the collar and bib, the arm holes are just perfect in my regular size small (34d-27-35) so it runs tts and i didn't find this overly blousy myself though that's just part of its charm. you'll need an undershirt or something")</f>
        <v>I just saw this vintage style blouse at my local store and tried it and think this blouse is amazingly beautiful! it's actually very well made and a tad heftier than i imagined from the picture. there's different strips of gorgeous lace all over including that amazing lace at the collar and bib, the arm holes are just perfect in my regular size small (34d-27-35) so it runs tts and i didn't find this overly blousy myself though that's just part of its charm. you'll need an undershirt or something</v>
      </c>
      <c r="F1073" s="13">
        <f>IFERROR(__xludf.DUMMYFUNCTION("""COMPUTED_VALUE"""),5.0)</f>
        <v>5</v>
      </c>
      <c r="G1073" s="13">
        <f>IFERROR(__xludf.DUMMYFUNCTION("""COMPUTED_VALUE"""),1.0)</f>
        <v>1</v>
      </c>
      <c r="H1073" s="13">
        <f>IFERROR(__xludf.DUMMYFUNCTION("""COMPUTED_VALUE"""),4.0)</f>
        <v>4</v>
      </c>
      <c r="I1073" s="13" t="str">
        <f>IFERROR(__xludf.DUMMYFUNCTION("""COMPUTED_VALUE"""),"General Petite")</f>
        <v>General Petite</v>
      </c>
      <c r="J1073" s="13" t="str">
        <f>IFERROR(__xludf.DUMMYFUNCTION("""COMPUTED_VALUE"""),"Tops")</f>
        <v>Tops</v>
      </c>
      <c r="K1073" s="13" t="str">
        <f>IFERROR(__xludf.DUMMYFUNCTION("""COMPUTED_VALUE"""),"Blouses")</f>
        <v>Blouses</v>
      </c>
      <c r="L1073" s="13"/>
    </row>
    <row r="1074">
      <c r="A1074" s="13">
        <f>IFERROR(__xludf.DUMMYFUNCTION("""COMPUTED_VALUE"""),1072.0)</f>
        <v>1072</v>
      </c>
      <c r="B1074" s="13">
        <f>IFERROR(__xludf.DUMMYFUNCTION("""COMPUTED_VALUE"""),1099.0)</f>
        <v>1099</v>
      </c>
      <c r="C1074" s="13">
        <f>IFERROR(__xludf.DUMMYFUNCTION("""COMPUTED_VALUE"""),57.0)</f>
        <v>57</v>
      </c>
      <c r="D1074" s="12" t="str">
        <f>IFERROR(__xludf.DUMMYFUNCTION("""COMPUTED_VALUE"""),"Paisley silk maxi dress")</f>
        <v>Paisley silk maxi dress</v>
      </c>
      <c r="E1074" s="12" t="str">
        <f>IFERROR(__xludf.DUMMYFUNCTION("""COMPUTED_VALUE"""),"Beautiful dress but have to return. way too big &amp; long for me. medium is the size i wear but i think i would need an extra small.")</f>
        <v>Beautiful dress but have to return. way too big &amp; long for me. medium is the size i wear but i think i would need an extra small.</v>
      </c>
      <c r="F1074" s="13">
        <f>IFERROR(__xludf.DUMMYFUNCTION("""COMPUTED_VALUE"""),2.0)</f>
        <v>2</v>
      </c>
      <c r="G1074" s="13">
        <f>IFERROR(__xludf.DUMMYFUNCTION("""COMPUTED_VALUE"""),0.0)</f>
        <v>0</v>
      </c>
      <c r="H1074" s="13">
        <f>IFERROR(__xludf.DUMMYFUNCTION("""COMPUTED_VALUE"""),6.0)</f>
        <v>6</v>
      </c>
      <c r="I1074" s="13" t="str">
        <f>IFERROR(__xludf.DUMMYFUNCTION("""COMPUTED_VALUE"""),"General Petite")</f>
        <v>General Petite</v>
      </c>
      <c r="J1074" s="13" t="str">
        <f>IFERROR(__xludf.DUMMYFUNCTION("""COMPUTED_VALUE"""),"Dresses")</f>
        <v>Dresses</v>
      </c>
      <c r="K1074" s="13" t="str">
        <f>IFERROR(__xludf.DUMMYFUNCTION("""COMPUTED_VALUE"""),"Dresses")</f>
        <v>Dresses</v>
      </c>
      <c r="L1074" s="13"/>
    </row>
    <row r="1075">
      <c r="A1075" s="13">
        <f>IFERROR(__xludf.DUMMYFUNCTION("""COMPUTED_VALUE"""),1073.0)</f>
        <v>1073</v>
      </c>
      <c r="B1075" s="13">
        <f>IFERROR(__xludf.DUMMYFUNCTION("""COMPUTED_VALUE"""),831.0)</f>
        <v>831</v>
      </c>
      <c r="C1075" s="13">
        <f>IFERROR(__xludf.DUMMYFUNCTION("""COMPUTED_VALUE"""),20.0)</f>
        <v>20</v>
      </c>
      <c r="D1075" s="12" t="str">
        <f>IFERROR(__xludf.DUMMYFUNCTION("""COMPUTED_VALUE"""),"Beautiful top, looks great with black/gray jeans")</f>
        <v>Beautiful top, looks great with black/gray jeans</v>
      </c>
      <c r="E1075" s="12" t="str">
        <f>IFERROR(__xludf.DUMMYFUNCTION("""COMPUTED_VALUE"""),"I love this top. the quality is excellent. the blouse is lined and falls nicely.. i like to wear it with a pair of dark gray jeans. the color is described as ""orange"", but it really has more of a bronze tone. looks very rich and exotic. it's perfect top"&amp;" when you want to wear jeans, but want to dress it up a bit.")</f>
        <v>I love this top. the quality is excellent. the blouse is lined and falls nicely.. i like to wear it with a pair of dark gray jeans. the color is described as "orange", but it really has more of a bronze tone. looks very rich and exotic. it's perfect top when you want to wear jeans, but want to dress it up a bit.</v>
      </c>
      <c r="F1075" s="13">
        <f>IFERROR(__xludf.DUMMYFUNCTION("""COMPUTED_VALUE"""),5.0)</f>
        <v>5</v>
      </c>
      <c r="G1075" s="13">
        <f>IFERROR(__xludf.DUMMYFUNCTION("""COMPUTED_VALUE"""),1.0)</f>
        <v>1</v>
      </c>
      <c r="H1075" s="13">
        <f>IFERROR(__xludf.DUMMYFUNCTION("""COMPUTED_VALUE"""),1.0)</f>
        <v>1</v>
      </c>
      <c r="I1075" s="13" t="str">
        <f>IFERROR(__xludf.DUMMYFUNCTION("""COMPUTED_VALUE"""),"General")</f>
        <v>General</v>
      </c>
      <c r="J1075" s="13" t="str">
        <f>IFERROR(__xludf.DUMMYFUNCTION("""COMPUTED_VALUE"""),"Tops")</f>
        <v>Tops</v>
      </c>
      <c r="K1075" s="13" t="str">
        <f>IFERROR(__xludf.DUMMYFUNCTION("""COMPUTED_VALUE"""),"Blouses")</f>
        <v>Blouses</v>
      </c>
      <c r="L1075" s="13"/>
    </row>
    <row r="1076">
      <c r="A1076" s="13">
        <f>IFERROR(__xludf.DUMMYFUNCTION("""COMPUTED_VALUE"""),1074.0)</f>
        <v>1074</v>
      </c>
      <c r="B1076" s="13">
        <f>IFERROR(__xludf.DUMMYFUNCTION("""COMPUTED_VALUE"""),738.0)</f>
        <v>738</v>
      </c>
      <c r="C1076" s="13">
        <f>IFERROR(__xludf.DUMMYFUNCTION("""COMPUTED_VALUE"""),30.0)</f>
        <v>30</v>
      </c>
      <c r="D1076" s="12" t="str">
        <f>IFERROR(__xludf.DUMMYFUNCTION("""COMPUTED_VALUE"""),"Gorgeous, high quality, and figure flattering!")</f>
        <v>Gorgeous, high quality, and figure flattering!</v>
      </c>
      <c r="E1076" s="12" t="str">
        <f>IFERROR(__xludf.DUMMYFUNCTION("""COMPUTED_VALUE"""),"This swimsuit completely exceeded my expectations! 
i'm 5'2"", 140 lbs with an athletic build, and the cut of this swimsuit is ultra slimming! with the way the top wraps it makes my torso look much longer and leaner than it actually is :) i bought the top"&amp;" in a small and the matching bottoms in medium. 
the material is thick, high quality, and the colors are exactly the way they appear online. 
the top is reversible and the alternate side is teal and nude. i feel like i got 4 tops in one sinc")</f>
        <v>This swimsuit completely exceeded my expectations! 
i'm 5'2", 140 lbs with an athletic build, and the cut of this swimsuit is ultra slimming! with the way the top wraps it makes my torso look much longer and leaner than it actually is :) i bought the top in a small and the matching bottoms in medium. 
the material is thick, high quality, and the colors are exactly the way they appear online. 
the top is reversible and the alternate side is teal and nude. i feel like i got 4 tops in one sinc</v>
      </c>
      <c r="F1076" s="13">
        <f>IFERROR(__xludf.DUMMYFUNCTION("""COMPUTED_VALUE"""),5.0)</f>
        <v>5</v>
      </c>
      <c r="G1076" s="13">
        <f>IFERROR(__xludf.DUMMYFUNCTION("""COMPUTED_VALUE"""),1.0)</f>
        <v>1</v>
      </c>
      <c r="H1076" s="13">
        <f>IFERROR(__xludf.DUMMYFUNCTION("""COMPUTED_VALUE"""),4.0)</f>
        <v>4</v>
      </c>
      <c r="I1076" s="13" t="str">
        <f>IFERROR(__xludf.DUMMYFUNCTION("""COMPUTED_VALUE"""),"Initmates")</f>
        <v>Initmates</v>
      </c>
      <c r="J1076" s="13" t="str">
        <f>IFERROR(__xludf.DUMMYFUNCTION("""COMPUTED_VALUE"""),"Intimate")</f>
        <v>Intimate</v>
      </c>
      <c r="K1076" s="13" t="str">
        <f>IFERROR(__xludf.DUMMYFUNCTION("""COMPUTED_VALUE"""),"Swim")</f>
        <v>Swim</v>
      </c>
      <c r="L1076" s="13"/>
    </row>
    <row r="1077">
      <c r="A1077" s="13">
        <f>IFERROR(__xludf.DUMMYFUNCTION("""COMPUTED_VALUE"""),1075.0)</f>
        <v>1075</v>
      </c>
      <c r="B1077" s="13">
        <f>IFERROR(__xludf.DUMMYFUNCTION("""COMPUTED_VALUE"""),1099.0)</f>
        <v>1099</v>
      </c>
      <c r="C1077" s="13">
        <f>IFERROR(__xludf.DUMMYFUNCTION("""COMPUTED_VALUE"""),42.0)</f>
        <v>42</v>
      </c>
      <c r="D1077" s="12" t="str">
        <f>IFERROR(__xludf.DUMMYFUNCTION("""COMPUTED_VALUE"""),"Pretty in pink")</f>
        <v>Pretty in pink</v>
      </c>
      <c r="E1077" s="12" t="str">
        <f>IFERROR(__xludf.DUMMYFUNCTION("""COMPUTED_VALUE"""),"I'm 5'2 around 125 lbs, muscular and petite, so i ordered a petite small and it fits great. the length is perfect, i can wear with heels or dress down with flops. it's lined, which i think most dresses and skirts should be, so i was happy about that. i wa"&amp;"s pleasantly surprised with the slits up both sides, to show a little leg....sexy. it's not too low cut that you have to wear a cami and ruin the neckline, so that's plus. my only issue was the fabric didn't line up on me the same as the model,")</f>
        <v>I'm 5'2 around 125 lbs, muscular and petite, so i ordered a petite small and it fits great. the length is perfect, i can wear with heels or dress down with flops. it's lined, which i think most dresses and skirts should be, so i was happy about that. i was pleasantly surprised with the slits up both sides, to show a little leg....sexy. it's not too low cut that you have to wear a cami and ruin the neckline, so that's plus. my only issue was the fabric didn't line up on me the same as the model,</v>
      </c>
      <c r="F1077" s="13">
        <f>IFERROR(__xludf.DUMMYFUNCTION("""COMPUTED_VALUE"""),4.0)</f>
        <v>4</v>
      </c>
      <c r="G1077" s="13">
        <f>IFERROR(__xludf.DUMMYFUNCTION("""COMPUTED_VALUE"""),1.0)</f>
        <v>1</v>
      </c>
      <c r="H1077" s="13">
        <f>IFERROR(__xludf.DUMMYFUNCTION("""COMPUTED_VALUE"""),0.0)</f>
        <v>0</v>
      </c>
      <c r="I1077" s="13" t="str">
        <f>IFERROR(__xludf.DUMMYFUNCTION("""COMPUTED_VALUE"""),"General Petite")</f>
        <v>General Petite</v>
      </c>
      <c r="J1077" s="13" t="str">
        <f>IFERROR(__xludf.DUMMYFUNCTION("""COMPUTED_VALUE"""),"Dresses")</f>
        <v>Dresses</v>
      </c>
      <c r="K1077" s="13" t="str">
        <f>IFERROR(__xludf.DUMMYFUNCTION("""COMPUTED_VALUE"""),"Dresses")</f>
        <v>Dresses</v>
      </c>
      <c r="L1077" s="13"/>
    </row>
    <row r="1078">
      <c r="A1078" s="13">
        <f>IFERROR(__xludf.DUMMYFUNCTION("""COMPUTED_VALUE"""),1076.0)</f>
        <v>1076</v>
      </c>
      <c r="B1078" s="13">
        <f>IFERROR(__xludf.DUMMYFUNCTION("""COMPUTED_VALUE"""),1094.0)</f>
        <v>1094</v>
      </c>
      <c r="C1078" s="13">
        <f>IFERROR(__xludf.DUMMYFUNCTION("""COMPUTED_VALUE"""),53.0)</f>
        <v>53</v>
      </c>
      <c r="D1078" s="12" t="str">
        <f>IFERROR(__xludf.DUMMYFUNCTION("""COMPUTED_VALUE"""),"This dress is divine!")</f>
        <v>This dress is divine!</v>
      </c>
      <c r="E1078" s="12" t="str">
        <f>IFERROR(__xludf.DUMMYFUNCTION("""COMPUTED_VALUE"""),"As soon as i saw this dress, i knew i had to have it. i just tried it on and it is beautiful. i feel gorgeous and glamorous! i can't wait to wear this to a special event as it truly deserves that attention.
the silk is soft and the slip underneath is per"&amp;"fect. the tie in the back perfectly cinches the dress and the pleating is a wonderful detail to the look.
i am 5'0"", 110, and i purchased the small petite. it's slightly big around the armholes and it kind of poofs / puckers out so i'm going to")</f>
        <v>As soon as i saw this dress, i knew i had to have it. i just tried it on and it is beautiful. i feel gorgeous and glamorous! i can't wait to wear this to a special event as it truly deserves that attention.
the silk is soft and the slip underneath is perfect. the tie in the back perfectly cinches the dress and the pleating is a wonderful detail to the look.
i am 5'0", 110, and i purchased the small petite. it's slightly big around the armholes and it kind of poofs / puckers out so i'm going to</v>
      </c>
      <c r="F1078" s="13">
        <f>IFERROR(__xludf.DUMMYFUNCTION("""COMPUTED_VALUE"""),5.0)</f>
        <v>5</v>
      </c>
      <c r="G1078" s="13">
        <f>IFERROR(__xludf.DUMMYFUNCTION("""COMPUTED_VALUE"""),1.0)</f>
        <v>1</v>
      </c>
      <c r="H1078" s="13">
        <f>IFERROR(__xludf.DUMMYFUNCTION("""COMPUTED_VALUE"""),11.0)</f>
        <v>11</v>
      </c>
      <c r="I1078" s="13" t="str">
        <f>IFERROR(__xludf.DUMMYFUNCTION("""COMPUTED_VALUE"""),"General")</f>
        <v>General</v>
      </c>
      <c r="J1078" s="13" t="str">
        <f>IFERROR(__xludf.DUMMYFUNCTION("""COMPUTED_VALUE"""),"Dresses")</f>
        <v>Dresses</v>
      </c>
      <c r="K1078" s="13" t="str">
        <f>IFERROR(__xludf.DUMMYFUNCTION("""COMPUTED_VALUE"""),"Dresses")</f>
        <v>Dresses</v>
      </c>
      <c r="L1078" s="13"/>
    </row>
    <row r="1079">
      <c r="A1079" s="13">
        <f>IFERROR(__xludf.DUMMYFUNCTION("""COMPUTED_VALUE"""),1077.0)</f>
        <v>1077</v>
      </c>
      <c r="B1079" s="13">
        <f>IFERROR(__xludf.DUMMYFUNCTION("""COMPUTED_VALUE"""),831.0)</f>
        <v>831</v>
      </c>
      <c r="C1079" s="13">
        <f>IFERROR(__xludf.DUMMYFUNCTION("""COMPUTED_VALUE"""),26.0)</f>
        <v>26</v>
      </c>
      <c r="D1079" s="12" t="str">
        <f>IFERROR(__xludf.DUMMYFUNCTION("""COMPUTED_VALUE"""),"Cute top, but beware it shrinks!!")</f>
        <v>Cute top, but beware it shrinks!!</v>
      </c>
      <c r="E1079" s="12" t="str">
        <f>IFERROR(__xludf.DUMMYFUNCTION("""COMPUTED_VALUE"""),"This top was quite voluminous when i purchased it and i sized down to an xs, however after hand washing it once in cold water it has shrunk significantly. it still fits, but something to be aware of.")</f>
        <v>This top was quite voluminous when i purchased it and i sized down to an xs, however after hand washing it once in cold water it has shrunk significantly. it still fits, but something to be aware of.</v>
      </c>
      <c r="F1079" s="13">
        <f>IFERROR(__xludf.DUMMYFUNCTION("""COMPUTED_VALUE"""),3.0)</f>
        <v>3</v>
      </c>
      <c r="G1079" s="13">
        <f>IFERROR(__xludf.DUMMYFUNCTION("""COMPUTED_VALUE"""),1.0)</f>
        <v>1</v>
      </c>
      <c r="H1079" s="13">
        <f>IFERROR(__xludf.DUMMYFUNCTION("""COMPUTED_VALUE"""),4.0)</f>
        <v>4</v>
      </c>
      <c r="I1079" s="13" t="str">
        <f>IFERROR(__xludf.DUMMYFUNCTION("""COMPUTED_VALUE"""),"General")</f>
        <v>General</v>
      </c>
      <c r="J1079" s="13" t="str">
        <f>IFERROR(__xludf.DUMMYFUNCTION("""COMPUTED_VALUE"""),"Tops")</f>
        <v>Tops</v>
      </c>
      <c r="K1079" s="13" t="str">
        <f>IFERROR(__xludf.DUMMYFUNCTION("""COMPUTED_VALUE"""),"Blouses")</f>
        <v>Blouses</v>
      </c>
      <c r="L1079" s="13"/>
    </row>
    <row r="1080">
      <c r="A1080" s="13">
        <f>IFERROR(__xludf.DUMMYFUNCTION("""COMPUTED_VALUE"""),1078.0)</f>
        <v>1078</v>
      </c>
      <c r="B1080" s="13">
        <f>IFERROR(__xludf.DUMMYFUNCTION("""COMPUTED_VALUE"""),1001.0)</f>
        <v>1001</v>
      </c>
      <c r="C1080" s="13">
        <f>IFERROR(__xludf.DUMMYFUNCTION("""COMPUTED_VALUE"""),39.0)</f>
        <v>39</v>
      </c>
      <c r="D1080" s="12" t="str">
        <f>IFERROR(__xludf.DUMMYFUNCTION("""COMPUTED_VALUE"""),"Runs big, great material but not as pictured")</f>
        <v>Runs big, great material but not as pictured</v>
      </c>
      <c r="E1080" s="12" t="str">
        <f>IFERROR(__xludf.DUMMYFUNCTION("""COMPUTED_VALUE"""),"I agree with the other reviewers that this runs big. unfortunately there is nothing smaller than an xs so this is going back. i love the lyocell material, i have another skirt with this material and wanted to love this as well but it is too big and with t"&amp;"he drawstring pulled tight to fit it doesn't look right. it is not as pictured as well. the skirt i received is a medium blue denim, not the lovely light blue as pictured, another reason why i am returning.")</f>
        <v>I agree with the other reviewers that this runs big. unfortunately there is nothing smaller than an xs so this is going back. i love the lyocell material, i have another skirt with this material and wanted to love this as well but it is too big and with the drawstring pulled tight to fit it doesn't look right. it is not as pictured as well. the skirt i received is a medium blue denim, not the lovely light blue as pictured, another reason why i am returning.</v>
      </c>
      <c r="F1080" s="13">
        <f>IFERROR(__xludf.DUMMYFUNCTION("""COMPUTED_VALUE"""),2.0)</f>
        <v>2</v>
      </c>
      <c r="G1080" s="13">
        <f>IFERROR(__xludf.DUMMYFUNCTION("""COMPUTED_VALUE"""),0.0)</f>
        <v>0</v>
      </c>
      <c r="H1080" s="13">
        <f>IFERROR(__xludf.DUMMYFUNCTION("""COMPUTED_VALUE"""),1.0)</f>
        <v>1</v>
      </c>
      <c r="I1080" s="13" t="str">
        <f>IFERROR(__xludf.DUMMYFUNCTION("""COMPUTED_VALUE"""),"General")</f>
        <v>General</v>
      </c>
      <c r="J1080" s="13" t="str">
        <f>IFERROR(__xludf.DUMMYFUNCTION("""COMPUTED_VALUE"""),"Bottoms")</f>
        <v>Bottoms</v>
      </c>
      <c r="K1080" s="13" t="str">
        <f>IFERROR(__xludf.DUMMYFUNCTION("""COMPUTED_VALUE"""),"Skirts")</f>
        <v>Skirts</v>
      </c>
      <c r="L1080" s="13"/>
    </row>
    <row r="1081">
      <c r="A1081" s="13">
        <f>IFERROR(__xludf.DUMMYFUNCTION("""COMPUTED_VALUE"""),1079.0)</f>
        <v>1079</v>
      </c>
      <c r="B1081" s="13">
        <f>IFERROR(__xludf.DUMMYFUNCTION("""COMPUTED_VALUE"""),895.0)</f>
        <v>895</v>
      </c>
      <c r="C1081" s="13">
        <f>IFERROR(__xludf.DUMMYFUNCTION("""COMPUTED_VALUE"""),47.0)</f>
        <v>47</v>
      </c>
      <c r="D1081" s="12" t="str">
        <f>IFERROR(__xludf.DUMMYFUNCTION("""COMPUTED_VALUE"""),"Beautiful, cozy sweater")</f>
        <v>Beautiful, cozy sweater</v>
      </c>
      <c r="E1081" s="12" t="str">
        <f>IFERROR(__xludf.DUMMYFUNCTION("""COMPUTED_VALUE"""),"I love how soft and cozy this sweater is. the addition of some cashmere in the yarn makes all the difference. the red color is beautiful also, perfect for the holidays. flattering cut in the back (it dips down to cover your bum) and the pointelle details "&amp;"are very pretty. fit was tts")</f>
        <v>I love how soft and cozy this sweater is. the addition of some cashmere in the yarn makes all the difference. the red color is beautiful also, perfect for the holidays. flattering cut in the back (it dips down to cover your bum) and the pointelle details are very pretty. fit was tts</v>
      </c>
      <c r="F1081" s="13">
        <f>IFERROR(__xludf.DUMMYFUNCTION("""COMPUTED_VALUE"""),5.0)</f>
        <v>5</v>
      </c>
      <c r="G1081" s="13">
        <f>IFERROR(__xludf.DUMMYFUNCTION("""COMPUTED_VALUE"""),1.0)</f>
        <v>1</v>
      </c>
      <c r="H1081" s="13">
        <f>IFERROR(__xludf.DUMMYFUNCTION("""COMPUTED_VALUE"""),3.0)</f>
        <v>3</v>
      </c>
      <c r="I1081" s="13" t="str">
        <f>IFERROR(__xludf.DUMMYFUNCTION("""COMPUTED_VALUE"""),"General")</f>
        <v>General</v>
      </c>
      <c r="J1081" s="13" t="str">
        <f>IFERROR(__xludf.DUMMYFUNCTION("""COMPUTED_VALUE"""),"Tops")</f>
        <v>Tops</v>
      </c>
      <c r="K1081" s="13" t="str">
        <f>IFERROR(__xludf.DUMMYFUNCTION("""COMPUTED_VALUE"""),"Fine gauge")</f>
        <v>Fine gauge</v>
      </c>
      <c r="L1081" s="13"/>
    </row>
    <row r="1082">
      <c r="A1082" s="13">
        <f>IFERROR(__xludf.DUMMYFUNCTION("""COMPUTED_VALUE"""),1080.0)</f>
        <v>1080</v>
      </c>
      <c r="B1082" s="13">
        <f>IFERROR(__xludf.DUMMYFUNCTION("""COMPUTED_VALUE"""),831.0)</f>
        <v>831</v>
      </c>
      <c r="C1082" s="13">
        <f>IFERROR(__xludf.DUMMYFUNCTION("""COMPUTED_VALUE"""),46.0)</f>
        <v>46</v>
      </c>
      <c r="D1082" s="12" t="str">
        <f>IFERROR(__xludf.DUMMYFUNCTION("""COMPUTED_VALUE"""),"Worth thr $$$")</f>
        <v>Worth thr $$$</v>
      </c>
      <c r="E1082" s="12" t="str">
        <f>IFERROR(__xludf.DUMMYFUNCTION("""COMPUTED_VALUE"""),"This top is such a great investment piece. looks classy and is comfortable all at the same time. it is pricey but you will not regret buying this. goes great with light trouser denim or i have the green pilcro khakis. it will he something you will keep in"&amp;" your closet for a long time.")</f>
        <v>This top is such a great investment piece. looks classy and is comfortable all at the same time. it is pricey but you will not regret buying this. goes great with light trouser denim or i have the green pilcro khakis. it will he something you will keep in your closet for a long time.</v>
      </c>
      <c r="F1082" s="13">
        <f>IFERROR(__xludf.DUMMYFUNCTION("""COMPUTED_VALUE"""),5.0)</f>
        <v>5</v>
      </c>
      <c r="G1082" s="13">
        <f>IFERROR(__xludf.DUMMYFUNCTION("""COMPUTED_VALUE"""),1.0)</f>
        <v>1</v>
      </c>
      <c r="H1082" s="13">
        <f>IFERROR(__xludf.DUMMYFUNCTION("""COMPUTED_VALUE"""),0.0)</f>
        <v>0</v>
      </c>
      <c r="I1082" s="13" t="str">
        <f>IFERROR(__xludf.DUMMYFUNCTION("""COMPUTED_VALUE"""),"General")</f>
        <v>General</v>
      </c>
      <c r="J1082" s="13" t="str">
        <f>IFERROR(__xludf.DUMMYFUNCTION("""COMPUTED_VALUE"""),"Tops")</f>
        <v>Tops</v>
      </c>
      <c r="K1082" s="13" t="str">
        <f>IFERROR(__xludf.DUMMYFUNCTION("""COMPUTED_VALUE"""),"Blouses")</f>
        <v>Blouses</v>
      </c>
      <c r="L1082" s="13"/>
    </row>
    <row r="1083">
      <c r="A1083" s="13">
        <f>IFERROR(__xludf.DUMMYFUNCTION("""COMPUTED_VALUE"""),1081.0)</f>
        <v>1081</v>
      </c>
      <c r="B1083" s="13">
        <f>IFERROR(__xludf.DUMMYFUNCTION("""COMPUTED_VALUE"""),895.0)</f>
        <v>895</v>
      </c>
      <c r="C1083" s="13">
        <f>IFERROR(__xludf.DUMMYFUNCTION("""COMPUTED_VALUE"""),33.0)</f>
        <v>33</v>
      </c>
      <c r="D1083" s="12" t="str">
        <f>IFERROR(__xludf.DUMMYFUNCTION("""COMPUTED_VALUE"""),"Stunning")</f>
        <v>Stunning</v>
      </c>
      <c r="E1083" s="12" t="str">
        <f>IFERROR(__xludf.DUMMYFUNCTION("""COMPUTED_VALUE"""),"I always end up walking out of an retailer store with something very different than what i thought and this was one. it drapes beautifully and the red color is rich and vibrant, cool tone not orangey. i fell in love with this one in person. it jumped at m"&amp;"e in the store, but online i think the outfit that the model is wearing is not my style at all and does not do the item justice. if you like to cover your assets, you will love it.")</f>
        <v>I always end up walking out of an retailer store with something very different than what i thought and this was one. it drapes beautifully and the red color is rich and vibrant, cool tone not orangey. i fell in love with this one in person. it jumped at me in the store, but online i think the outfit that the model is wearing is not my style at all and does not do the item justice. if you like to cover your assets, you will love it.</v>
      </c>
      <c r="F1083" s="13">
        <f>IFERROR(__xludf.DUMMYFUNCTION("""COMPUTED_VALUE"""),5.0)</f>
        <v>5</v>
      </c>
      <c r="G1083" s="13">
        <f>IFERROR(__xludf.DUMMYFUNCTION("""COMPUTED_VALUE"""),1.0)</f>
        <v>1</v>
      </c>
      <c r="H1083" s="13">
        <f>IFERROR(__xludf.DUMMYFUNCTION("""COMPUTED_VALUE"""),2.0)</f>
        <v>2</v>
      </c>
      <c r="I1083" s="13" t="str">
        <f>IFERROR(__xludf.DUMMYFUNCTION("""COMPUTED_VALUE"""),"General")</f>
        <v>General</v>
      </c>
      <c r="J1083" s="13" t="str">
        <f>IFERROR(__xludf.DUMMYFUNCTION("""COMPUTED_VALUE"""),"Tops")</f>
        <v>Tops</v>
      </c>
      <c r="K1083" s="13" t="str">
        <f>IFERROR(__xludf.DUMMYFUNCTION("""COMPUTED_VALUE"""),"Fine gauge")</f>
        <v>Fine gauge</v>
      </c>
      <c r="L1083" s="13"/>
    </row>
    <row r="1084">
      <c r="A1084" s="13">
        <f>IFERROR(__xludf.DUMMYFUNCTION("""COMPUTED_VALUE"""),1082.0)</f>
        <v>1082</v>
      </c>
      <c r="B1084" s="13">
        <f>IFERROR(__xludf.DUMMYFUNCTION("""COMPUTED_VALUE"""),987.0)</f>
        <v>987</v>
      </c>
      <c r="C1084" s="13">
        <f>IFERROR(__xludf.DUMMYFUNCTION("""COMPUTED_VALUE"""),58.0)</f>
        <v>58</v>
      </c>
      <c r="D1084" s="12" t="str">
        <f>IFERROR(__xludf.DUMMYFUNCTION("""COMPUTED_VALUE"""),"Zipper is short")</f>
        <v>Zipper is short</v>
      </c>
      <c r="E1084" s="12" t="str">
        <f>IFERROR(__xludf.DUMMYFUNCTION("""COMPUTED_VALUE"""),"This is a very comfortable, good-looking skirt. fits as shown. the zipper however is rather short, and it takes a bit of squirming to get it over the hips. once on, it's great.  it is not made in the usa, as stated. it is clearly marked ""made in mexico"""&amp;" from ""globally sourced"" materials (i.e. not from the us).")</f>
        <v>This is a very comfortable, good-looking skirt. fits as shown. the zipper however is rather short, and it takes a bit of squirming to get it over the hips. once on, it's great.  it is not made in the usa, as stated. it is clearly marked "made in mexico" from "globally sourced" materials (i.e. not from the us).</v>
      </c>
      <c r="F1084" s="13">
        <f>IFERROR(__xludf.DUMMYFUNCTION("""COMPUTED_VALUE"""),4.0)</f>
        <v>4</v>
      </c>
      <c r="G1084" s="13">
        <f>IFERROR(__xludf.DUMMYFUNCTION("""COMPUTED_VALUE"""),1.0)</f>
        <v>1</v>
      </c>
      <c r="H1084" s="13">
        <f>IFERROR(__xludf.DUMMYFUNCTION("""COMPUTED_VALUE"""),4.0)</f>
        <v>4</v>
      </c>
      <c r="I1084" s="13" t="str">
        <f>IFERROR(__xludf.DUMMYFUNCTION("""COMPUTED_VALUE"""),"General")</f>
        <v>General</v>
      </c>
      <c r="J1084" s="13" t="str">
        <f>IFERROR(__xludf.DUMMYFUNCTION("""COMPUTED_VALUE"""),"Bottoms")</f>
        <v>Bottoms</v>
      </c>
      <c r="K1084" s="13" t="str">
        <f>IFERROR(__xludf.DUMMYFUNCTION("""COMPUTED_VALUE"""),"Skirts")</f>
        <v>Skirts</v>
      </c>
      <c r="L1084" s="13"/>
    </row>
    <row r="1085">
      <c r="A1085" s="13">
        <f>IFERROR(__xludf.DUMMYFUNCTION("""COMPUTED_VALUE"""),1083.0)</f>
        <v>1083</v>
      </c>
      <c r="B1085" s="13">
        <f>IFERROR(__xludf.DUMMYFUNCTION("""COMPUTED_VALUE"""),1099.0)</f>
        <v>1099</v>
      </c>
      <c r="C1085" s="13">
        <f>IFERROR(__xludf.DUMMYFUNCTION("""COMPUTED_VALUE"""),49.0)</f>
        <v>49</v>
      </c>
      <c r="D1085" s="12" t="str">
        <f>IFERROR(__xludf.DUMMYFUNCTION("""COMPUTED_VALUE"""),"Amazing")</f>
        <v>Amazing</v>
      </c>
      <c r="E1085" s="12" t="str">
        <f>IFERROR(__xludf.DUMMYFUNCTION("""COMPUTED_VALUE"""),"I live in south florida so i'm always looking for sundresses that will be flattering (but not too clingy or hot), and that i can take from day to evening with accessories. when i pulled this out of the box and walked around in it, it met all my criteria, "&amp;"and as an added bonus, my husband said, ""wow! you look great! where'd you get that dress?"" i'm shocked because as an earlier reviewer said, this dress doesn't seem like much - it's not even lined. but it's comfy, flattering (in all the right pla")</f>
        <v>I live in south florida so i'm always looking for sundresses that will be flattering (but not too clingy or hot), and that i can take from day to evening with accessories. when i pulled this out of the box and walked around in it, it met all my criteria, and as an added bonus, my husband said, "wow! you look great! where'd you get that dress?" i'm shocked because as an earlier reviewer said, this dress doesn't seem like much - it's not even lined. but it's comfy, flattering (in all the right pla</v>
      </c>
      <c r="F1085" s="13">
        <f>IFERROR(__xludf.DUMMYFUNCTION("""COMPUTED_VALUE"""),5.0)</f>
        <v>5</v>
      </c>
      <c r="G1085" s="13">
        <f>IFERROR(__xludf.DUMMYFUNCTION("""COMPUTED_VALUE"""),1.0)</f>
        <v>1</v>
      </c>
      <c r="H1085" s="13">
        <f>IFERROR(__xludf.DUMMYFUNCTION("""COMPUTED_VALUE"""),6.0)</f>
        <v>6</v>
      </c>
      <c r="I1085" s="13" t="str">
        <f>IFERROR(__xludf.DUMMYFUNCTION("""COMPUTED_VALUE"""),"General Petite")</f>
        <v>General Petite</v>
      </c>
      <c r="J1085" s="13" t="str">
        <f>IFERROR(__xludf.DUMMYFUNCTION("""COMPUTED_VALUE"""),"Dresses")</f>
        <v>Dresses</v>
      </c>
      <c r="K1085" s="13" t="str">
        <f>IFERROR(__xludf.DUMMYFUNCTION("""COMPUTED_VALUE"""),"Dresses")</f>
        <v>Dresses</v>
      </c>
      <c r="L1085" s="13"/>
    </row>
    <row r="1086">
      <c r="A1086" s="13">
        <f>IFERROR(__xludf.DUMMYFUNCTION("""COMPUTED_VALUE"""),1084.0)</f>
        <v>1084</v>
      </c>
      <c r="B1086" s="13">
        <f>IFERROR(__xludf.DUMMYFUNCTION("""COMPUTED_VALUE"""),1099.0)</f>
        <v>1099</v>
      </c>
      <c r="C1086" s="13">
        <f>IFERROR(__xludf.DUMMYFUNCTION("""COMPUTED_VALUE"""),52.0)</f>
        <v>52</v>
      </c>
      <c r="D1086" s="12" t="str">
        <f>IFERROR(__xludf.DUMMYFUNCTION("""COMPUTED_VALUE"""),"Lovely!")</f>
        <v>Lovely!</v>
      </c>
      <c r="E1086" s="12" t="str">
        <f>IFERROR(__xludf.DUMMYFUNCTION("""COMPUTED_VALUE"""),"I agree, this dress runs long, but since i love high heels, it falls just right for me. it does seem quite roomy for a medium, which is a pleasant surprise. the fabric, drape and quality are contemporary but i know i'll be wearing this beyond this year fo"&amp;"r sure.")</f>
        <v>I agree, this dress runs long, but since i love high heels, it falls just right for me. it does seem quite roomy for a medium, which is a pleasant surprise. the fabric, drape and quality are contemporary but i know i'll be wearing this beyond this year for sure.</v>
      </c>
      <c r="F1086" s="13">
        <f>IFERROR(__xludf.DUMMYFUNCTION("""COMPUTED_VALUE"""),4.0)</f>
        <v>4</v>
      </c>
      <c r="G1086" s="13">
        <f>IFERROR(__xludf.DUMMYFUNCTION("""COMPUTED_VALUE"""),1.0)</f>
        <v>1</v>
      </c>
      <c r="H1086" s="13">
        <f>IFERROR(__xludf.DUMMYFUNCTION("""COMPUTED_VALUE"""),0.0)</f>
        <v>0</v>
      </c>
      <c r="I1086" s="13" t="str">
        <f>IFERROR(__xludf.DUMMYFUNCTION("""COMPUTED_VALUE"""),"General Petite")</f>
        <v>General Petite</v>
      </c>
      <c r="J1086" s="13" t="str">
        <f>IFERROR(__xludf.DUMMYFUNCTION("""COMPUTED_VALUE"""),"Dresses")</f>
        <v>Dresses</v>
      </c>
      <c r="K1086" s="13" t="str">
        <f>IFERROR(__xludf.DUMMYFUNCTION("""COMPUTED_VALUE"""),"Dresses")</f>
        <v>Dresses</v>
      </c>
      <c r="L1086" s="13"/>
    </row>
    <row r="1087">
      <c r="A1087" s="13">
        <f>IFERROR(__xludf.DUMMYFUNCTION("""COMPUTED_VALUE"""),1085.0)</f>
        <v>1085</v>
      </c>
      <c r="B1087" s="13">
        <f>IFERROR(__xludf.DUMMYFUNCTION("""COMPUTED_VALUE"""),868.0)</f>
        <v>868</v>
      </c>
      <c r="C1087" s="13">
        <f>IFERROR(__xludf.DUMMYFUNCTION("""COMPUTED_VALUE"""),55.0)</f>
        <v>55</v>
      </c>
      <c r="D1087" s="12" t="str">
        <f>IFERROR(__xludf.DUMMYFUNCTION("""COMPUTED_VALUE"""),"Pretty and feminine")</f>
        <v>Pretty and feminine</v>
      </c>
      <c r="E1087" s="12" t="str">
        <f>IFERROR(__xludf.DUMMYFUNCTION("""COMPUTED_VALUE"""),"Pretty pink top is great for layering iand alone in the summer and spring")</f>
        <v>Pretty pink top is great for layering iand alone in the summer and spring</v>
      </c>
      <c r="F1087" s="13">
        <f>IFERROR(__xludf.DUMMYFUNCTION("""COMPUTED_VALUE"""),4.0)</f>
        <v>4</v>
      </c>
      <c r="G1087" s="13">
        <f>IFERROR(__xludf.DUMMYFUNCTION("""COMPUTED_VALUE"""),1.0)</f>
        <v>1</v>
      </c>
      <c r="H1087" s="13">
        <f>IFERROR(__xludf.DUMMYFUNCTION("""COMPUTED_VALUE"""),4.0)</f>
        <v>4</v>
      </c>
      <c r="I1087" s="13" t="str">
        <f>IFERROR(__xludf.DUMMYFUNCTION("""COMPUTED_VALUE"""),"General")</f>
        <v>General</v>
      </c>
      <c r="J1087" s="13" t="str">
        <f>IFERROR(__xludf.DUMMYFUNCTION("""COMPUTED_VALUE"""),"Tops")</f>
        <v>Tops</v>
      </c>
      <c r="K1087" s="13" t="str">
        <f>IFERROR(__xludf.DUMMYFUNCTION("""COMPUTED_VALUE"""),"Knits")</f>
        <v>Knits</v>
      </c>
      <c r="L1087" s="13"/>
    </row>
    <row r="1088">
      <c r="A1088" s="13">
        <f>IFERROR(__xludf.DUMMYFUNCTION("""COMPUTED_VALUE"""),1086.0)</f>
        <v>1086</v>
      </c>
      <c r="B1088" s="13">
        <f>IFERROR(__xludf.DUMMYFUNCTION("""COMPUTED_VALUE"""),831.0)</f>
        <v>831</v>
      </c>
      <c r="C1088" s="13">
        <f>IFERROR(__xludf.DUMMYFUNCTION("""COMPUTED_VALUE"""),27.0)</f>
        <v>27</v>
      </c>
      <c r="D1088" s="12" t="str">
        <f>IFERROR(__xludf.DUMMYFUNCTION("""COMPUTED_VALUE"""),"My absolute favorite top")</f>
        <v>My absolute favorite top</v>
      </c>
      <c r="E1088" s="12" t="str">
        <f>IFERROR(__xludf.DUMMYFUNCTION("""COMPUTED_VALUE"""),"This shirt fits very true to size, with very soft and comfortable material that hangs just right. wears well and is versatile for many occasions. please come out with more colors so i can purchase them as well!")</f>
        <v>This shirt fits very true to size, with very soft and comfortable material that hangs just right. wears well and is versatile for many occasions. please come out with more colors so i can purchase them as well!</v>
      </c>
      <c r="F1088" s="13">
        <f>IFERROR(__xludf.DUMMYFUNCTION("""COMPUTED_VALUE"""),5.0)</f>
        <v>5</v>
      </c>
      <c r="G1088" s="13">
        <f>IFERROR(__xludf.DUMMYFUNCTION("""COMPUTED_VALUE"""),1.0)</f>
        <v>1</v>
      </c>
      <c r="H1088" s="13">
        <f>IFERROR(__xludf.DUMMYFUNCTION("""COMPUTED_VALUE"""),7.0)</f>
        <v>7</v>
      </c>
      <c r="I1088" s="13" t="str">
        <f>IFERROR(__xludf.DUMMYFUNCTION("""COMPUTED_VALUE"""),"General")</f>
        <v>General</v>
      </c>
      <c r="J1088" s="13" t="str">
        <f>IFERROR(__xludf.DUMMYFUNCTION("""COMPUTED_VALUE"""),"Tops")</f>
        <v>Tops</v>
      </c>
      <c r="K1088" s="13" t="str">
        <f>IFERROR(__xludf.DUMMYFUNCTION("""COMPUTED_VALUE"""),"Blouses")</f>
        <v>Blouses</v>
      </c>
      <c r="L1088" s="13"/>
    </row>
    <row r="1089">
      <c r="A1089" s="13">
        <f>IFERROR(__xludf.DUMMYFUNCTION("""COMPUTED_VALUE"""),1087.0)</f>
        <v>1087</v>
      </c>
      <c r="B1089" s="13">
        <f>IFERROR(__xludf.DUMMYFUNCTION("""COMPUTED_VALUE"""),829.0)</f>
        <v>829</v>
      </c>
      <c r="C1089" s="13">
        <f>IFERROR(__xludf.DUMMYFUNCTION("""COMPUTED_VALUE"""),46.0)</f>
        <v>46</v>
      </c>
      <c r="D1089" s="12" t="str">
        <f>IFERROR(__xludf.DUMMYFUNCTION("""COMPUTED_VALUE"""),"Not perfect but cute shirt!!")</f>
        <v>Not perfect but cute shirt!!</v>
      </c>
      <c r="E1089" s="12" t="str">
        <f>IFERROR(__xludf.DUMMYFUNCTION("""COMPUTED_VALUE"""),"I bought this in both the taupe and ivory. the beading on the neck line, the tie at the neck and the pleats make this a fun shirt. i bought a size 2 which is normally what i wear at retailer, so i would say it is true to size. i really like the length of "&amp;"the top. it hits mid-hip on me. it is a tad shorter on the sides than i would like but it is still long enough to cover my waistline. i also think the arms are too long so there is kind of a balloon look at my wrists because of it. i bought it to")</f>
        <v>I bought this in both the taupe and ivory. the beading on the neck line, the tie at the neck and the pleats make this a fun shirt. i bought a size 2 which is normally what i wear at retailer, so i would say it is true to size. i really like the length of the top. it hits mid-hip on me. it is a tad shorter on the sides than i would like but it is still long enough to cover my waistline. i also think the arms are too long so there is kind of a balloon look at my wrists because of it. i bought it to</v>
      </c>
      <c r="F1089" s="13">
        <f>IFERROR(__xludf.DUMMYFUNCTION("""COMPUTED_VALUE"""),4.0)</f>
        <v>4</v>
      </c>
      <c r="G1089" s="13">
        <f>IFERROR(__xludf.DUMMYFUNCTION("""COMPUTED_VALUE"""),1.0)</f>
        <v>1</v>
      </c>
      <c r="H1089" s="13">
        <f>IFERROR(__xludf.DUMMYFUNCTION("""COMPUTED_VALUE"""),0.0)</f>
        <v>0</v>
      </c>
      <c r="I1089" s="13" t="str">
        <f>IFERROR(__xludf.DUMMYFUNCTION("""COMPUTED_VALUE"""),"General Petite")</f>
        <v>General Petite</v>
      </c>
      <c r="J1089" s="13" t="str">
        <f>IFERROR(__xludf.DUMMYFUNCTION("""COMPUTED_VALUE"""),"Tops")</f>
        <v>Tops</v>
      </c>
      <c r="K1089" s="13" t="str">
        <f>IFERROR(__xludf.DUMMYFUNCTION("""COMPUTED_VALUE"""),"Blouses")</f>
        <v>Blouses</v>
      </c>
      <c r="L1089" s="13"/>
    </row>
    <row r="1090">
      <c r="A1090" s="13">
        <f>IFERROR(__xludf.DUMMYFUNCTION("""COMPUTED_VALUE"""),1088.0)</f>
        <v>1088</v>
      </c>
      <c r="B1090" s="13">
        <f>IFERROR(__xludf.DUMMYFUNCTION("""COMPUTED_VALUE"""),1099.0)</f>
        <v>1099</v>
      </c>
      <c r="C1090" s="13">
        <f>IFERROR(__xludf.DUMMYFUNCTION("""COMPUTED_VALUE"""),41.0)</f>
        <v>41</v>
      </c>
      <c r="D1090" s="12" t="str">
        <f>IFERROR(__xludf.DUMMYFUNCTION("""COMPUTED_VALUE"""),"Gorgeous!!!")</f>
        <v>Gorgeous!!!</v>
      </c>
      <c r="E1090" s="12" t="str">
        <f>IFERROR(__xludf.DUMMYFUNCTION("""COMPUTED_VALUE"""),"I saw this dress on line and knew i wanted it for the spring/summer season. i ordered it almost immediately and i am so glad i did. the photo on the website doesn't do it justice, there are a lot of pretty pastel colors in the paisley pattern that you jus"&amp;"t can't see on the computer screen. the wrap styling is a very flattering cut for most figures especially hourglass figures like mine and the dress fit's tts (for reference i am 5'9"" and a 36ddd). the silk material is very light and flowy and wi")</f>
        <v>I saw this dress on line and knew i wanted it for the spring/summer season. i ordered it almost immediately and i am so glad i did. the photo on the website doesn't do it justice, there are a lot of pretty pastel colors in the paisley pattern that you just can't see on the computer screen. the wrap styling is a very flattering cut for most figures especially hourglass figures like mine and the dress fit's tts (for reference i am 5'9" and a 36ddd). the silk material is very light and flowy and wi</v>
      </c>
      <c r="F1090" s="13">
        <f>IFERROR(__xludf.DUMMYFUNCTION("""COMPUTED_VALUE"""),5.0)</f>
        <v>5</v>
      </c>
      <c r="G1090" s="13">
        <f>IFERROR(__xludf.DUMMYFUNCTION("""COMPUTED_VALUE"""),1.0)</f>
        <v>1</v>
      </c>
      <c r="H1090" s="13">
        <f>IFERROR(__xludf.DUMMYFUNCTION("""COMPUTED_VALUE"""),3.0)</f>
        <v>3</v>
      </c>
      <c r="I1090" s="13" t="str">
        <f>IFERROR(__xludf.DUMMYFUNCTION("""COMPUTED_VALUE"""),"General Petite")</f>
        <v>General Petite</v>
      </c>
      <c r="J1090" s="13" t="str">
        <f>IFERROR(__xludf.DUMMYFUNCTION("""COMPUTED_VALUE"""),"Dresses")</f>
        <v>Dresses</v>
      </c>
      <c r="K1090" s="13" t="str">
        <f>IFERROR(__xludf.DUMMYFUNCTION("""COMPUTED_VALUE"""),"Dresses")</f>
        <v>Dresses</v>
      </c>
      <c r="L1090" s="13"/>
    </row>
    <row r="1091">
      <c r="A1091" s="13">
        <f>IFERROR(__xludf.DUMMYFUNCTION("""COMPUTED_VALUE"""),1089.0)</f>
        <v>1089</v>
      </c>
      <c r="B1091" s="13">
        <f>IFERROR(__xludf.DUMMYFUNCTION("""COMPUTED_VALUE"""),829.0)</f>
        <v>829</v>
      </c>
      <c r="C1091" s="13">
        <f>IFERROR(__xludf.DUMMYFUNCTION("""COMPUTED_VALUE"""),26.0)</f>
        <v>26</v>
      </c>
      <c r="D1091" s="12" t="str">
        <f>IFERROR(__xludf.DUMMYFUNCTION("""COMPUTED_VALUE"""),"Great color, not so great tailoring")</f>
        <v>Great color, not so great tailoring</v>
      </c>
      <c r="E1091" s="12" t="str">
        <f>IFERROR(__xludf.DUMMYFUNCTION("""COMPUTED_VALUE"""),"I was really looking forward to receiving this blouse in the mail. the color was beautiful in person and the photo does not show the nice beading around the neck. that being said, i was so disappointed in the fit. i ordered a size 00 and the arm length wa"&amp;"s way too long yet the body of the shirt was way too cropped. cropped enough where you could see skin on the sides. made no sense! hoping to order a few more sizes to see if i can find the right fit. order up for length, down for arm length ...")</f>
        <v>I was really looking forward to receiving this blouse in the mail. the color was beautiful in person and the photo does not show the nice beading around the neck. that being said, i was so disappointed in the fit. i ordered a size 00 and the arm length was way too long yet the body of the shirt was way too cropped. cropped enough where you could see skin on the sides. made no sense! hoping to order a few more sizes to see if i can find the right fit. order up for length, down for arm length ...</v>
      </c>
      <c r="F1091" s="13">
        <f>IFERROR(__xludf.DUMMYFUNCTION("""COMPUTED_VALUE"""),2.0)</f>
        <v>2</v>
      </c>
      <c r="G1091" s="13">
        <f>IFERROR(__xludf.DUMMYFUNCTION("""COMPUTED_VALUE"""),0.0)</f>
        <v>0</v>
      </c>
      <c r="H1091" s="13">
        <f>IFERROR(__xludf.DUMMYFUNCTION("""COMPUTED_VALUE"""),9.0)</f>
        <v>9</v>
      </c>
      <c r="I1091" s="13" t="str">
        <f>IFERROR(__xludf.DUMMYFUNCTION("""COMPUTED_VALUE"""),"General Petite")</f>
        <v>General Petite</v>
      </c>
      <c r="J1091" s="13" t="str">
        <f>IFERROR(__xludf.DUMMYFUNCTION("""COMPUTED_VALUE"""),"Tops")</f>
        <v>Tops</v>
      </c>
      <c r="K1091" s="13" t="str">
        <f>IFERROR(__xludf.DUMMYFUNCTION("""COMPUTED_VALUE"""),"Blouses")</f>
        <v>Blouses</v>
      </c>
      <c r="L1091" s="13"/>
    </row>
    <row r="1092">
      <c r="A1092" s="13">
        <f>IFERROR(__xludf.DUMMYFUNCTION("""COMPUTED_VALUE"""),1090.0)</f>
        <v>1090</v>
      </c>
      <c r="B1092" s="13">
        <f>IFERROR(__xludf.DUMMYFUNCTION("""COMPUTED_VALUE"""),829.0)</f>
        <v>829</v>
      </c>
      <c r="C1092" s="13">
        <f>IFERROR(__xludf.DUMMYFUNCTION("""COMPUTED_VALUE"""),40.0)</f>
        <v>40</v>
      </c>
      <c r="D1092" s="12" t="str">
        <f>IFERROR(__xludf.DUMMYFUNCTION("""COMPUTED_VALUE"""),"Casual top")</f>
        <v>Casual top</v>
      </c>
      <c r="E1092" s="12" t="str">
        <f>IFERROR(__xludf.DUMMYFUNCTION("""COMPUTED_VALUE"""),"A little shorter than expected. very billowy, so watch out for wind!
it fits well on the arms and shoulders. not too see through")</f>
        <v>A little shorter than expected. very billowy, so watch out for wind!
it fits well on the arms and shoulders. not too see through</v>
      </c>
      <c r="F1092" s="13">
        <f>IFERROR(__xludf.DUMMYFUNCTION("""COMPUTED_VALUE"""),4.0)</f>
        <v>4</v>
      </c>
      <c r="G1092" s="13">
        <f>IFERROR(__xludf.DUMMYFUNCTION("""COMPUTED_VALUE"""),1.0)</f>
        <v>1</v>
      </c>
      <c r="H1092" s="13">
        <f>IFERROR(__xludf.DUMMYFUNCTION("""COMPUTED_VALUE"""),0.0)</f>
        <v>0</v>
      </c>
      <c r="I1092" s="13" t="str">
        <f>IFERROR(__xludf.DUMMYFUNCTION("""COMPUTED_VALUE"""),"General Petite")</f>
        <v>General Petite</v>
      </c>
      <c r="J1092" s="13" t="str">
        <f>IFERROR(__xludf.DUMMYFUNCTION("""COMPUTED_VALUE"""),"Tops")</f>
        <v>Tops</v>
      </c>
      <c r="K1092" s="13" t="str">
        <f>IFERROR(__xludf.DUMMYFUNCTION("""COMPUTED_VALUE"""),"Blouses")</f>
        <v>Blouses</v>
      </c>
      <c r="L1092" s="13"/>
    </row>
    <row r="1093">
      <c r="A1093" s="13">
        <f>IFERROR(__xludf.DUMMYFUNCTION("""COMPUTED_VALUE"""),1091.0)</f>
        <v>1091</v>
      </c>
      <c r="B1093" s="13">
        <f>IFERROR(__xludf.DUMMYFUNCTION("""COMPUTED_VALUE"""),868.0)</f>
        <v>868</v>
      </c>
      <c r="C1093" s="13">
        <f>IFERROR(__xludf.DUMMYFUNCTION("""COMPUTED_VALUE"""),29.0)</f>
        <v>29</v>
      </c>
      <c r="D1093" s="12" t="str">
        <f>IFERROR(__xludf.DUMMYFUNCTION("""COMPUTED_VALUE"""),"I wanted to love this shirt.")</f>
        <v>I wanted to love this shirt.</v>
      </c>
      <c r="E1093" s="12" t="str">
        <f>IFERROR(__xludf.DUMMYFUNCTION("""COMPUTED_VALUE"""),"I order this shirt because it looked like a shirt you could dress up or down. when i got it the shirt was really wrinkled. therefore, i knew it would have to ironed a lot. it was quite boxy and was shorter in the front then in the back. i didn't realize t"&amp;"hat this shirt was two different fabrics. overall i think this shirt would be more flattering on a woman that was petite.")</f>
        <v>I order this shirt because it looked like a shirt you could dress up or down. when i got it the shirt was really wrinkled. therefore, i knew it would have to ironed a lot. it was quite boxy and was shorter in the front then in the back. i didn't realize that this shirt was two different fabrics. overall i think this shirt would be more flattering on a woman that was petite.</v>
      </c>
      <c r="F1093" s="13">
        <f>IFERROR(__xludf.DUMMYFUNCTION("""COMPUTED_VALUE"""),3.0)</f>
        <v>3</v>
      </c>
      <c r="G1093" s="13">
        <f>IFERROR(__xludf.DUMMYFUNCTION("""COMPUTED_VALUE"""),0.0)</f>
        <v>0</v>
      </c>
      <c r="H1093" s="13">
        <f>IFERROR(__xludf.DUMMYFUNCTION("""COMPUTED_VALUE"""),0.0)</f>
        <v>0</v>
      </c>
      <c r="I1093" s="13" t="str">
        <f>IFERROR(__xludf.DUMMYFUNCTION("""COMPUTED_VALUE"""),"General")</f>
        <v>General</v>
      </c>
      <c r="J1093" s="13" t="str">
        <f>IFERROR(__xludf.DUMMYFUNCTION("""COMPUTED_VALUE"""),"Tops")</f>
        <v>Tops</v>
      </c>
      <c r="K1093" s="13" t="str">
        <f>IFERROR(__xludf.DUMMYFUNCTION("""COMPUTED_VALUE"""),"Knits")</f>
        <v>Knits</v>
      </c>
      <c r="L1093" s="13"/>
    </row>
    <row r="1094">
      <c r="A1094" s="13">
        <f>IFERROR(__xludf.DUMMYFUNCTION("""COMPUTED_VALUE"""),1092.0)</f>
        <v>1092</v>
      </c>
      <c r="B1094" s="13">
        <f>IFERROR(__xludf.DUMMYFUNCTION("""COMPUTED_VALUE"""),831.0)</f>
        <v>831</v>
      </c>
      <c r="C1094" s="13">
        <f>IFERROR(__xludf.DUMMYFUNCTION("""COMPUTED_VALUE"""),72.0)</f>
        <v>72</v>
      </c>
      <c r="D1094" s="12" t="str">
        <f>IFERROR(__xludf.DUMMYFUNCTION("""COMPUTED_VALUE"""),"Love this blouse!")</f>
        <v>Love this blouse!</v>
      </c>
      <c r="E1094" s="12" t="str">
        <f>IFERROR(__xludf.DUMMYFUNCTION("""COMPUTED_VALUE"""),"Great that it's hand washable because i hate the smell of dry cleaned garmets.")</f>
        <v>Great that it's hand washable because i hate the smell of dry cleaned garmets.</v>
      </c>
      <c r="F1094" s="13">
        <f>IFERROR(__xludf.DUMMYFUNCTION("""COMPUTED_VALUE"""),5.0)</f>
        <v>5</v>
      </c>
      <c r="G1094" s="13">
        <f>IFERROR(__xludf.DUMMYFUNCTION("""COMPUTED_VALUE"""),1.0)</f>
        <v>1</v>
      </c>
      <c r="H1094" s="13">
        <f>IFERROR(__xludf.DUMMYFUNCTION("""COMPUTED_VALUE"""),2.0)</f>
        <v>2</v>
      </c>
      <c r="I1094" s="13" t="str">
        <f>IFERROR(__xludf.DUMMYFUNCTION("""COMPUTED_VALUE"""),"General")</f>
        <v>General</v>
      </c>
      <c r="J1094" s="13" t="str">
        <f>IFERROR(__xludf.DUMMYFUNCTION("""COMPUTED_VALUE"""),"Tops")</f>
        <v>Tops</v>
      </c>
      <c r="K1094" s="13" t="str">
        <f>IFERROR(__xludf.DUMMYFUNCTION("""COMPUTED_VALUE"""),"Blouses")</f>
        <v>Blouses</v>
      </c>
      <c r="L1094" s="13"/>
    </row>
    <row r="1095">
      <c r="A1095" s="13">
        <f>IFERROR(__xludf.DUMMYFUNCTION("""COMPUTED_VALUE"""),1093.0)</f>
        <v>1093</v>
      </c>
      <c r="B1095" s="13">
        <f>IFERROR(__xludf.DUMMYFUNCTION("""COMPUTED_VALUE"""),868.0)</f>
        <v>868</v>
      </c>
      <c r="C1095" s="13">
        <f>IFERROR(__xludf.DUMMYFUNCTION("""COMPUTED_VALUE"""),56.0)</f>
        <v>56</v>
      </c>
      <c r="D1095" s="12" t="str">
        <f>IFERROR(__xludf.DUMMYFUNCTION("""COMPUTED_VALUE"""),"Super cute with right body style")</f>
        <v>Super cute with right body style</v>
      </c>
      <c r="E1095" s="12" t="str">
        <f>IFERROR(__xludf.DUMMYFUNCTION("""COMPUTED_VALUE"""),"Top is very wide and flowy. i am petite with large chest so it hung from widest point and was not flattering. would be very cute with the right body shape.")</f>
        <v>Top is very wide and flowy. i am petite with large chest so it hung from widest point and was not flattering. would be very cute with the right body shape.</v>
      </c>
      <c r="F1095" s="13">
        <f>IFERROR(__xludf.DUMMYFUNCTION("""COMPUTED_VALUE"""),3.0)</f>
        <v>3</v>
      </c>
      <c r="G1095" s="13">
        <f>IFERROR(__xludf.DUMMYFUNCTION("""COMPUTED_VALUE"""),1.0)</f>
        <v>1</v>
      </c>
      <c r="H1095" s="13">
        <f>IFERROR(__xludf.DUMMYFUNCTION("""COMPUTED_VALUE"""),3.0)</f>
        <v>3</v>
      </c>
      <c r="I1095" s="13" t="str">
        <f>IFERROR(__xludf.DUMMYFUNCTION("""COMPUTED_VALUE"""),"General")</f>
        <v>General</v>
      </c>
      <c r="J1095" s="13" t="str">
        <f>IFERROR(__xludf.DUMMYFUNCTION("""COMPUTED_VALUE"""),"Tops")</f>
        <v>Tops</v>
      </c>
      <c r="K1095" s="13" t="str">
        <f>IFERROR(__xludf.DUMMYFUNCTION("""COMPUTED_VALUE"""),"Knits")</f>
        <v>Knits</v>
      </c>
      <c r="L1095" s="13"/>
    </row>
    <row r="1096">
      <c r="A1096" s="13">
        <f>IFERROR(__xludf.DUMMYFUNCTION("""COMPUTED_VALUE"""),1094.0)</f>
        <v>1094</v>
      </c>
      <c r="B1096" s="13">
        <f>IFERROR(__xludf.DUMMYFUNCTION("""COMPUTED_VALUE"""),1001.0)</f>
        <v>1001</v>
      </c>
      <c r="C1096" s="13">
        <f>IFERROR(__xludf.DUMMYFUNCTION("""COMPUTED_VALUE"""),23.0)</f>
        <v>23</v>
      </c>
      <c r="D1096" s="12"/>
      <c r="E1096" s="12" t="str">
        <f>IFERROR(__xludf.DUMMYFUNCTION("""COMPUTED_VALUE"""),"I want to the store to try this skirt on. that had only one size m in stock (my size) and it was huge! i ordered an xs and it fits nicely. it's just what i needed for the warm days ahead.")</f>
        <v>I want to the store to try this skirt on. that had only one size m in stock (my size) and it was huge! i ordered an xs and it fits nicely. it's just what i needed for the warm days ahead.</v>
      </c>
      <c r="F1096" s="13">
        <f>IFERROR(__xludf.DUMMYFUNCTION("""COMPUTED_VALUE"""),4.0)</f>
        <v>4</v>
      </c>
      <c r="G1096" s="13">
        <f>IFERROR(__xludf.DUMMYFUNCTION("""COMPUTED_VALUE"""),1.0)</f>
        <v>1</v>
      </c>
      <c r="H1096" s="13">
        <f>IFERROR(__xludf.DUMMYFUNCTION("""COMPUTED_VALUE"""),1.0)</f>
        <v>1</v>
      </c>
      <c r="I1096" s="13" t="str">
        <f>IFERROR(__xludf.DUMMYFUNCTION("""COMPUTED_VALUE"""),"General")</f>
        <v>General</v>
      </c>
      <c r="J1096" s="13" t="str">
        <f>IFERROR(__xludf.DUMMYFUNCTION("""COMPUTED_VALUE"""),"Bottoms")</f>
        <v>Bottoms</v>
      </c>
      <c r="K1096" s="13" t="str">
        <f>IFERROR(__xludf.DUMMYFUNCTION("""COMPUTED_VALUE"""),"Skirts")</f>
        <v>Skirts</v>
      </c>
      <c r="L1096" s="13"/>
    </row>
    <row r="1097">
      <c r="A1097" s="13">
        <f>IFERROR(__xludf.DUMMYFUNCTION("""COMPUTED_VALUE"""),1095.0)</f>
        <v>1095</v>
      </c>
      <c r="B1097" s="13">
        <f>IFERROR(__xludf.DUMMYFUNCTION("""COMPUTED_VALUE"""),829.0)</f>
        <v>829</v>
      </c>
      <c r="C1097" s="13">
        <f>IFERROR(__xludf.DUMMYFUNCTION("""COMPUTED_VALUE"""),66.0)</f>
        <v>66</v>
      </c>
      <c r="D1097" s="12" t="str">
        <f>IFERROR(__xludf.DUMMYFUNCTION("""COMPUTED_VALUE"""),"Maybe")</f>
        <v>Maybe</v>
      </c>
      <c r="E1097" s="12" t="str">
        <f>IFERROR(__xludf.DUMMYFUNCTION("""COMPUTED_VALUE"""),"After the reviews about sizing, i ordered the size 16 (am normally size large). interestingly, the tag on the blouse says it's a 14. with all that said, the blouse is cute enough and sizing up gave me enough length (in spite of the higher sides) that i'm "&amp;"considering keeping it. although it's a bit big, it flows nicely and isn't oversized in that wide, crazy way. the sleeves are a bit too big but they're cuffed with a button and can be rolled. the fabric is somewhat crinkled in texture. i got the")</f>
        <v>After the reviews about sizing, i ordered the size 16 (am normally size large). interestingly, the tag on the blouse says it's a 14. with all that said, the blouse is cute enough and sizing up gave me enough length (in spite of the higher sides) that i'm considering keeping it. although it's a bit big, it flows nicely and isn't oversized in that wide, crazy way. the sleeves are a bit too big but they're cuffed with a button and can be rolled. the fabric is somewhat crinkled in texture. i got the</v>
      </c>
      <c r="F1097" s="13">
        <f>IFERROR(__xludf.DUMMYFUNCTION("""COMPUTED_VALUE"""),3.0)</f>
        <v>3</v>
      </c>
      <c r="G1097" s="13">
        <f>IFERROR(__xludf.DUMMYFUNCTION("""COMPUTED_VALUE"""),1.0)</f>
        <v>1</v>
      </c>
      <c r="H1097" s="13">
        <f>IFERROR(__xludf.DUMMYFUNCTION("""COMPUTED_VALUE"""),0.0)</f>
        <v>0</v>
      </c>
      <c r="I1097" s="13" t="str">
        <f>IFERROR(__xludf.DUMMYFUNCTION("""COMPUTED_VALUE"""),"General Petite")</f>
        <v>General Petite</v>
      </c>
      <c r="J1097" s="13" t="str">
        <f>IFERROR(__xludf.DUMMYFUNCTION("""COMPUTED_VALUE"""),"Tops")</f>
        <v>Tops</v>
      </c>
      <c r="K1097" s="13" t="str">
        <f>IFERROR(__xludf.DUMMYFUNCTION("""COMPUTED_VALUE"""),"Blouses")</f>
        <v>Blouses</v>
      </c>
      <c r="L1097" s="13"/>
    </row>
    <row r="1098">
      <c r="A1098" s="13">
        <f>IFERROR(__xludf.DUMMYFUNCTION("""COMPUTED_VALUE"""),1096.0)</f>
        <v>1096</v>
      </c>
      <c r="B1098" s="13">
        <f>IFERROR(__xludf.DUMMYFUNCTION("""COMPUTED_VALUE"""),815.0)</f>
        <v>815</v>
      </c>
      <c r="C1098" s="13">
        <f>IFERROR(__xludf.DUMMYFUNCTION("""COMPUTED_VALUE"""),31.0)</f>
        <v>31</v>
      </c>
      <c r="D1098" s="12" t="str">
        <f>IFERROR(__xludf.DUMMYFUNCTION("""COMPUTED_VALUE"""),"Super cute")</f>
        <v>Super cute</v>
      </c>
      <c r="E1098" s="12" t="str">
        <f>IFERROR(__xludf.DUMMYFUNCTION("""COMPUTED_VALUE"""),"I love the style and quality of this blouse. it can easily be dressed up or down. the blouse is completely see through and delicate. still, it is so romantic, feminine, distinctive and timeless.")</f>
        <v>I love the style and quality of this blouse. it can easily be dressed up or down. the blouse is completely see through and delicate. still, it is so romantic, feminine, distinctive and timeless.</v>
      </c>
      <c r="F1098" s="13">
        <f>IFERROR(__xludf.DUMMYFUNCTION("""COMPUTED_VALUE"""),5.0)</f>
        <v>5</v>
      </c>
      <c r="G1098" s="13">
        <f>IFERROR(__xludf.DUMMYFUNCTION("""COMPUTED_VALUE"""),1.0)</f>
        <v>1</v>
      </c>
      <c r="H1098" s="13">
        <f>IFERROR(__xludf.DUMMYFUNCTION("""COMPUTED_VALUE"""),0.0)</f>
        <v>0</v>
      </c>
      <c r="I1098" s="13" t="str">
        <f>IFERROR(__xludf.DUMMYFUNCTION("""COMPUTED_VALUE"""),"General Petite")</f>
        <v>General Petite</v>
      </c>
      <c r="J1098" s="13" t="str">
        <f>IFERROR(__xludf.DUMMYFUNCTION("""COMPUTED_VALUE"""),"Tops")</f>
        <v>Tops</v>
      </c>
      <c r="K1098" s="13" t="str">
        <f>IFERROR(__xludf.DUMMYFUNCTION("""COMPUTED_VALUE"""),"Blouses")</f>
        <v>Blouses</v>
      </c>
      <c r="L1098" s="13"/>
    </row>
    <row r="1099">
      <c r="A1099" s="13">
        <f>IFERROR(__xludf.DUMMYFUNCTION("""COMPUTED_VALUE"""),1097.0)</f>
        <v>1097</v>
      </c>
      <c r="B1099" s="13">
        <f>IFERROR(__xludf.DUMMYFUNCTION("""COMPUTED_VALUE"""),895.0)</f>
        <v>895</v>
      </c>
      <c r="C1099" s="13">
        <f>IFERROR(__xludf.DUMMYFUNCTION("""COMPUTED_VALUE"""),48.0)</f>
        <v>48</v>
      </c>
      <c r="D1099" s="12" t="str">
        <f>IFERROR(__xludf.DUMMYFUNCTION("""COMPUTED_VALUE"""),"Great piece")</f>
        <v>Great piece</v>
      </c>
      <c r="E1099" s="12" t="str">
        <f>IFERROR(__xludf.DUMMYFUNCTION("""COMPUTED_VALUE"""),"Comfortable and great fit and color. high quality.")</f>
        <v>Comfortable and great fit and color. high quality.</v>
      </c>
      <c r="F1099" s="13">
        <f>IFERROR(__xludf.DUMMYFUNCTION("""COMPUTED_VALUE"""),5.0)</f>
        <v>5</v>
      </c>
      <c r="G1099" s="13">
        <f>IFERROR(__xludf.DUMMYFUNCTION("""COMPUTED_VALUE"""),1.0)</f>
        <v>1</v>
      </c>
      <c r="H1099" s="13">
        <f>IFERROR(__xludf.DUMMYFUNCTION("""COMPUTED_VALUE"""),1.0)</f>
        <v>1</v>
      </c>
      <c r="I1099" s="13" t="str">
        <f>IFERROR(__xludf.DUMMYFUNCTION("""COMPUTED_VALUE"""),"General")</f>
        <v>General</v>
      </c>
      <c r="J1099" s="13" t="str">
        <f>IFERROR(__xludf.DUMMYFUNCTION("""COMPUTED_VALUE"""),"Tops")</f>
        <v>Tops</v>
      </c>
      <c r="K1099" s="13" t="str">
        <f>IFERROR(__xludf.DUMMYFUNCTION("""COMPUTED_VALUE"""),"Fine gauge")</f>
        <v>Fine gauge</v>
      </c>
      <c r="L1099" s="13"/>
    </row>
    <row r="1100">
      <c r="A1100" s="13">
        <f>IFERROR(__xludf.DUMMYFUNCTION("""COMPUTED_VALUE"""),1098.0)</f>
        <v>1098</v>
      </c>
      <c r="B1100" s="13">
        <f>IFERROR(__xludf.DUMMYFUNCTION("""COMPUTED_VALUE"""),831.0)</f>
        <v>831</v>
      </c>
      <c r="C1100" s="13">
        <f>IFERROR(__xludf.DUMMYFUNCTION("""COMPUTED_VALUE"""),54.0)</f>
        <v>54</v>
      </c>
      <c r="D1100" s="12" t="str">
        <f>IFERROR(__xludf.DUMMYFUNCTION("""COMPUTED_VALUE"""),"Shrinks")</f>
        <v>Shrinks</v>
      </c>
      <c r="E1100" s="12" t="str">
        <f>IFERROR(__xludf.DUMMYFUNCTION("""COMPUTED_VALUE"""),"I loved this blouse when i got it and wore it before washing. it fit really well and was flattering. the only time i laundered it i hand- washed it in cold water and hung it to dry. the blouse shrunk at least a full size and in awkward places. the sleeves"&amp;" are now tight and way too short. the overall length shortened by at least 2 inches. the top is so tight in the bust now that the buttons popped open. i'm very disappointed and surprised.i will be returning it as it is unwearable as is.")</f>
        <v>I loved this blouse when i got it and wore it before washing. it fit really well and was flattering. the only time i laundered it i hand- washed it in cold water and hung it to dry. the blouse shrunk at least a full size and in awkward places. the sleeves are now tight and way too short. the overall length shortened by at least 2 inches. the top is so tight in the bust now that the buttons popped open. i'm very disappointed and surprised.i will be returning it as it is unwearable as is.</v>
      </c>
      <c r="F1100" s="13">
        <f>IFERROR(__xludf.DUMMYFUNCTION("""COMPUTED_VALUE"""),1.0)</f>
        <v>1</v>
      </c>
      <c r="G1100" s="13">
        <f>IFERROR(__xludf.DUMMYFUNCTION("""COMPUTED_VALUE"""),0.0)</f>
        <v>0</v>
      </c>
      <c r="H1100" s="13">
        <f>IFERROR(__xludf.DUMMYFUNCTION("""COMPUTED_VALUE"""),0.0)</f>
        <v>0</v>
      </c>
      <c r="I1100" s="13" t="str">
        <f>IFERROR(__xludf.DUMMYFUNCTION("""COMPUTED_VALUE"""),"General")</f>
        <v>General</v>
      </c>
      <c r="J1100" s="13" t="str">
        <f>IFERROR(__xludf.DUMMYFUNCTION("""COMPUTED_VALUE"""),"Tops")</f>
        <v>Tops</v>
      </c>
      <c r="K1100" s="13" t="str">
        <f>IFERROR(__xludf.DUMMYFUNCTION("""COMPUTED_VALUE"""),"Blouses")</f>
        <v>Blouses</v>
      </c>
      <c r="L1100" s="13"/>
    </row>
    <row r="1101">
      <c r="A1101" s="13">
        <f>IFERROR(__xludf.DUMMYFUNCTION("""COMPUTED_VALUE"""),1099.0)</f>
        <v>1099</v>
      </c>
      <c r="B1101" s="13">
        <f>IFERROR(__xludf.DUMMYFUNCTION("""COMPUTED_VALUE"""),815.0)</f>
        <v>815</v>
      </c>
      <c r="C1101" s="13">
        <f>IFERROR(__xludf.DUMMYFUNCTION("""COMPUTED_VALUE"""),63.0)</f>
        <v>63</v>
      </c>
      <c r="D1101" s="12"/>
      <c r="E1101" s="12" t="str">
        <f>IFERROR(__xludf.DUMMYFUNCTION("""COMPUTED_VALUE"""),"This bunches up too much, and the fabric is even more see through than i expected (so even with a tank top under it, it's not a good look for work). even unbuttoned at the top, i could barely get this over my head!  this one is going back.")</f>
        <v>This bunches up too much, and the fabric is even more see through than i expected (so even with a tank top under it, it's not a good look for work). even unbuttoned at the top, i could barely get this over my head!  this one is going back.</v>
      </c>
      <c r="F1101" s="13">
        <f>IFERROR(__xludf.DUMMYFUNCTION("""COMPUTED_VALUE"""),2.0)</f>
        <v>2</v>
      </c>
      <c r="G1101" s="13">
        <f>IFERROR(__xludf.DUMMYFUNCTION("""COMPUTED_VALUE"""),0.0)</f>
        <v>0</v>
      </c>
      <c r="H1101" s="13">
        <f>IFERROR(__xludf.DUMMYFUNCTION("""COMPUTED_VALUE"""),0.0)</f>
        <v>0</v>
      </c>
      <c r="I1101" s="13" t="str">
        <f>IFERROR(__xludf.DUMMYFUNCTION("""COMPUTED_VALUE"""),"General Petite")</f>
        <v>General Petite</v>
      </c>
      <c r="J1101" s="13" t="str">
        <f>IFERROR(__xludf.DUMMYFUNCTION("""COMPUTED_VALUE"""),"Tops")</f>
        <v>Tops</v>
      </c>
      <c r="K1101" s="13" t="str">
        <f>IFERROR(__xludf.DUMMYFUNCTION("""COMPUTED_VALUE"""),"Blouses")</f>
        <v>Blouses</v>
      </c>
      <c r="L1101" s="13"/>
    </row>
    <row r="1102">
      <c r="A1102" s="13">
        <f>IFERROR(__xludf.DUMMYFUNCTION("""COMPUTED_VALUE"""),1100.0)</f>
        <v>1100</v>
      </c>
      <c r="B1102" s="13">
        <f>IFERROR(__xludf.DUMMYFUNCTION("""COMPUTED_VALUE"""),1099.0)</f>
        <v>1099</v>
      </c>
      <c r="C1102" s="13">
        <f>IFERROR(__xludf.DUMMYFUNCTION("""COMPUTED_VALUE"""),32.0)</f>
        <v>32</v>
      </c>
      <c r="D1102" s="12" t="str">
        <f>IFERROR(__xludf.DUMMYFUNCTION("""COMPUTED_VALUE"""),"Cute!!!")</f>
        <v>Cute!!!</v>
      </c>
      <c r="E1102" s="12" t="str">
        <f>IFERROR(__xludf.DUMMYFUNCTION("""COMPUTED_VALUE"""),"I haven't worn a halter dress in ages and saw this one and wanted to get it, hoping that it'll fit me. 
i love the swing skirt and the halter. this dress can be easily dressed up or down depending on your mood. there is a side zipper. 
i got s p and it "&amp;"hits me exactly like the dress on the model. it is unlined but with the color of the dress, i don't mind it.")</f>
        <v>I haven't worn a halter dress in ages and saw this one and wanted to get it, hoping that it'll fit me. 
i love the swing skirt and the halter. this dress can be easily dressed up or down depending on your mood. there is a side zipper. 
i got s p and it hits me exactly like the dress on the model. it is unlined but with the color of the dress, i don't mind it.</v>
      </c>
      <c r="F1102" s="13">
        <f>IFERROR(__xludf.DUMMYFUNCTION("""COMPUTED_VALUE"""),5.0)</f>
        <v>5</v>
      </c>
      <c r="G1102" s="13">
        <f>IFERROR(__xludf.DUMMYFUNCTION("""COMPUTED_VALUE"""),1.0)</f>
        <v>1</v>
      </c>
      <c r="H1102" s="13">
        <f>IFERROR(__xludf.DUMMYFUNCTION("""COMPUTED_VALUE"""),8.0)</f>
        <v>8</v>
      </c>
      <c r="I1102" s="13" t="str">
        <f>IFERROR(__xludf.DUMMYFUNCTION("""COMPUTED_VALUE"""),"General Petite")</f>
        <v>General Petite</v>
      </c>
      <c r="J1102" s="13" t="str">
        <f>IFERROR(__xludf.DUMMYFUNCTION("""COMPUTED_VALUE"""),"Dresses")</f>
        <v>Dresses</v>
      </c>
      <c r="K1102" s="13" t="str">
        <f>IFERROR(__xludf.DUMMYFUNCTION("""COMPUTED_VALUE"""),"Dresses")</f>
        <v>Dresses</v>
      </c>
      <c r="L1102" s="13"/>
    </row>
    <row r="1103">
      <c r="A1103" s="13">
        <f>IFERROR(__xludf.DUMMYFUNCTION("""COMPUTED_VALUE"""),1101.0)</f>
        <v>1101</v>
      </c>
      <c r="B1103" s="13">
        <f>IFERROR(__xludf.DUMMYFUNCTION("""COMPUTED_VALUE"""),1099.0)</f>
        <v>1099</v>
      </c>
      <c r="C1103" s="13">
        <f>IFERROR(__xludf.DUMMYFUNCTION("""COMPUTED_VALUE"""),77.0)</f>
        <v>77</v>
      </c>
      <c r="D1103" s="12" t="str">
        <f>IFERROR(__xludf.DUMMYFUNCTION("""COMPUTED_VALUE"""),"Love, love, love this dress!")</f>
        <v>Love, love, love this dress!</v>
      </c>
      <c r="E1103" s="12" t="str">
        <f>IFERROR(__xludf.DUMMYFUNCTION("""COMPUTED_VALUE"""),"I agree with the other review that the dress runs big and long, but i love it! it's very flattering and i have super high wedges that work great with it. i don't think it runs ""super big"" but it's slightly big. definitely size down if small busted. i wo"&amp;"re it out and got a ton of compliments. it's classy, different and hot!")</f>
        <v>I agree with the other review that the dress runs big and long, but i love it! it's very flattering and i have super high wedges that work great with it. i don't think it runs "super big" but it's slightly big. definitely size down if small busted. i wore it out and got a ton of compliments. it's classy, different and hot!</v>
      </c>
      <c r="F1103" s="13">
        <f>IFERROR(__xludf.DUMMYFUNCTION("""COMPUTED_VALUE"""),4.0)</f>
        <v>4</v>
      </c>
      <c r="G1103" s="13">
        <f>IFERROR(__xludf.DUMMYFUNCTION("""COMPUTED_VALUE"""),1.0)</f>
        <v>1</v>
      </c>
      <c r="H1103" s="13">
        <f>IFERROR(__xludf.DUMMYFUNCTION("""COMPUTED_VALUE"""),0.0)</f>
        <v>0</v>
      </c>
      <c r="I1103" s="13" t="str">
        <f>IFERROR(__xludf.DUMMYFUNCTION("""COMPUTED_VALUE"""),"General Petite")</f>
        <v>General Petite</v>
      </c>
      <c r="J1103" s="13" t="str">
        <f>IFERROR(__xludf.DUMMYFUNCTION("""COMPUTED_VALUE"""),"Dresses")</f>
        <v>Dresses</v>
      </c>
      <c r="K1103" s="13" t="str">
        <f>IFERROR(__xludf.DUMMYFUNCTION("""COMPUTED_VALUE"""),"Dresses")</f>
        <v>Dresses</v>
      </c>
      <c r="L1103" s="13"/>
    </row>
    <row r="1104">
      <c r="A1104" s="13">
        <f>IFERROR(__xludf.DUMMYFUNCTION("""COMPUTED_VALUE"""),1102.0)</f>
        <v>1102</v>
      </c>
      <c r="B1104" s="13">
        <f>IFERROR(__xludf.DUMMYFUNCTION("""COMPUTED_VALUE"""),829.0)</f>
        <v>829</v>
      </c>
      <c r="C1104" s="13">
        <f>IFERROR(__xludf.DUMMYFUNCTION("""COMPUTED_VALUE"""),40.0)</f>
        <v>40</v>
      </c>
      <c r="D1104" s="12" t="str">
        <f>IFERROR(__xludf.DUMMYFUNCTION("""COMPUTED_VALUE"""),"Elegant, timeless and versatile")</f>
        <v>Elegant, timeless and versatile</v>
      </c>
      <c r="E1104" s="12" t="str">
        <f>IFERROR(__xludf.DUMMYFUNCTION("""COMPUTED_VALUE"""),"Bought this blouse to wear with high wasted jeans and pants. it lays beautifully and can be dressed up or down. it's somewhat sheer, but i don't plan on wearing a cami under it. perfect for work or going out.")</f>
        <v>Bought this blouse to wear with high wasted jeans and pants. it lays beautifully and can be dressed up or down. it's somewhat sheer, but i don't plan on wearing a cami under it. perfect for work or going out.</v>
      </c>
      <c r="F1104" s="13">
        <f>IFERROR(__xludf.DUMMYFUNCTION("""COMPUTED_VALUE"""),5.0)</f>
        <v>5</v>
      </c>
      <c r="G1104" s="13">
        <f>IFERROR(__xludf.DUMMYFUNCTION("""COMPUTED_VALUE"""),1.0)</f>
        <v>1</v>
      </c>
      <c r="H1104" s="13">
        <f>IFERROR(__xludf.DUMMYFUNCTION("""COMPUTED_VALUE"""),0.0)</f>
        <v>0</v>
      </c>
      <c r="I1104" s="13" t="str">
        <f>IFERROR(__xludf.DUMMYFUNCTION("""COMPUTED_VALUE"""),"General Petite")</f>
        <v>General Petite</v>
      </c>
      <c r="J1104" s="13" t="str">
        <f>IFERROR(__xludf.DUMMYFUNCTION("""COMPUTED_VALUE"""),"Tops")</f>
        <v>Tops</v>
      </c>
      <c r="K1104" s="13" t="str">
        <f>IFERROR(__xludf.DUMMYFUNCTION("""COMPUTED_VALUE"""),"Blouses")</f>
        <v>Blouses</v>
      </c>
      <c r="L1104" s="13"/>
    </row>
    <row r="1105">
      <c r="A1105" s="13">
        <f>IFERROR(__xludf.DUMMYFUNCTION("""COMPUTED_VALUE"""),1103.0)</f>
        <v>1103</v>
      </c>
      <c r="B1105" s="13">
        <f>IFERROR(__xludf.DUMMYFUNCTION("""COMPUTED_VALUE"""),831.0)</f>
        <v>831</v>
      </c>
      <c r="C1105" s="13">
        <f>IFERROR(__xludf.DUMMYFUNCTION("""COMPUTED_VALUE"""),28.0)</f>
        <v>28</v>
      </c>
      <c r="D1105" s="12"/>
      <c r="E1105" s="12" t="str">
        <f>IFERROR(__xludf.DUMMYFUNCTION("""COMPUTED_VALUE"""),"I definitely recommend this shirt. it's lights and airy, something you can wear everyday.")</f>
        <v>I definitely recommend this shirt. it's lights and airy, something you can wear everyday.</v>
      </c>
      <c r="F1105" s="13">
        <f>IFERROR(__xludf.DUMMYFUNCTION("""COMPUTED_VALUE"""),5.0)</f>
        <v>5</v>
      </c>
      <c r="G1105" s="13">
        <f>IFERROR(__xludf.DUMMYFUNCTION("""COMPUTED_VALUE"""),1.0)</f>
        <v>1</v>
      </c>
      <c r="H1105" s="13">
        <f>IFERROR(__xludf.DUMMYFUNCTION("""COMPUTED_VALUE"""),1.0)</f>
        <v>1</v>
      </c>
      <c r="I1105" s="13" t="str">
        <f>IFERROR(__xludf.DUMMYFUNCTION("""COMPUTED_VALUE"""),"General")</f>
        <v>General</v>
      </c>
      <c r="J1105" s="13" t="str">
        <f>IFERROR(__xludf.DUMMYFUNCTION("""COMPUTED_VALUE"""),"Tops")</f>
        <v>Tops</v>
      </c>
      <c r="K1105" s="13" t="str">
        <f>IFERROR(__xludf.DUMMYFUNCTION("""COMPUTED_VALUE"""),"Blouses")</f>
        <v>Blouses</v>
      </c>
      <c r="L1105" s="13"/>
    </row>
    <row r="1106">
      <c r="A1106" s="13">
        <f>IFERROR(__xludf.DUMMYFUNCTION("""COMPUTED_VALUE"""),1104.0)</f>
        <v>1104</v>
      </c>
      <c r="B1106" s="13">
        <f>IFERROR(__xludf.DUMMYFUNCTION("""COMPUTED_VALUE"""),815.0)</f>
        <v>815</v>
      </c>
      <c r="C1106" s="13">
        <f>IFERROR(__xludf.DUMMYFUNCTION("""COMPUTED_VALUE"""),39.0)</f>
        <v>39</v>
      </c>
      <c r="D1106" s="12" t="str">
        <f>IFERROR(__xludf.DUMMYFUNCTION("""COMPUTED_VALUE"""),"Ig brought me here")</f>
        <v>Ig brought me here</v>
      </c>
      <c r="E1106" s="12" t="str">
        <f>IFERROR(__xludf.DUMMYFUNCTION("""COMPUTED_VALUE"""),"Love the way this top layers under my jackets and sweaters! so romantic and pretty. i am not experiencing the over pouf at the waist that a previous reviewer complained about. the fabric is slightly itchy and the top shipped to my house has misshapen shou"&amp;"lder bumps from the store hanger. all the beautiful styling pics done by retailer employees on ig is what made me want this blouse. whatever is going on with the model shot really really really does not represent how cute this top looks. in fact,")</f>
        <v>Love the way this top layers under my jackets and sweaters! so romantic and pretty. i am not experiencing the over pouf at the waist that a previous reviewer complained about. the fabric is slightly itchy and the top shipped to my house has misshapen shoulder bumps from the store hanger. all the beautiful styling pics done by retailer employees on ig is what made me want this blouse. whatever is going on with the model shot really really really does not represent how cute this top looks. in fact,</v>
      </c>
      <c r="F1106" s="13">
        <f>IFERROR(__xludf.DUMMYFUNCTION("""COMPUTED_VALUE"""),4.0)</f>
        <v>4</v>
      </c>
      <c r="G1106" s="13">
        <f>IFERROR(__xludf.DUMMYFUNCTION("""COMPUTED_VALUE"""),1.0)</f>
        <v>1</v>
      </c>
      <c r="H1106" s="13">
        <f>IFERROR(__xludf.DUMMYFUNCTION("""COMPUTED_VALUE"""),0.0)</f>
        <v>0</v>
      </c>
      <c r="I1106" s="13" t="str">
        <f>IFERROR(__xludf.DUMMYFUNCTION("""COMPUTED_VALUE"""),"General Petite")</f>
        <v>General Petite</v>
      </c>
      <c r="J1106" s="13" t="str">
        <f>IFERROR(__xludf.DUMMYFUNCTION("""COMPUTED_VALUE"""),"Tops")</f>
        <v>Tops</v>
      </c>
      <c r="K1106" s="13" t="str">
        <f>IFERROR(__xludf.DUMMYFUNCTION("""COMPUTED_VALUE"""),"Blouses")</f>
        <v>Blouses</v>
      </c>
      <c r="L1106" s="13"/>
    </row>
    <row r="1107">
      <c r="A1107" s="13">
        <f>IFERROR(__xludf.DUMMYFUNCTION("""COMPUTED_VALUE"""),1105.0)</f>
        <v>1105</v>
      </c>
      <c r="B1107" s="13">
        <f>IFERROR(__xludf.DUMMYFUNCTION("""COMPUTED_VALUE"""),1076.0)</f>
        <v>1076</v>
      </c>
      <c r="C1107" s="13">
        <f>IFERROR(__xludf.DUMMYFUNCTION("""COMPUTED_VALUE"""),43.0)</f>
        <v>43</v>
      </c>
      <c r="D1107" s="12" t="str">
        <f>IFERROR(__xludf.DUMMYFUNCTION("""COMPUTED_VALUE"""),"Poor quality")</f>
        <v>Poor quality</v>
      </c>
      <c r="E1107" s="12" t="str">
        <f>IFERROR(__xludf.DUMMYFUNCTION("""COMPUTED_VALUE"""),"There is no way this is worth the price. i was deeply disappointed when it arrived. the material is thin and feels cheap. i love the design, and anna sui, but this is just so overpriced.")</f>
        <v>There is no way this is worth the price. i was deeply disappointed when it arrived. the material is thin and feels cheap. i love the design, and anna sui, but this is just so overpriced.</v>
      </c>
      <c r="F1107" s="13">
        <f>IFERROR(__xludf.DUMMYFUNCTION("""COMPUTED_VALUE"""),1.0)</f>
        <v>1</v>
      </c>
      <c r="G1107" s="13">
        <f>IFERROR(__xludf.DUMMYFUNCTION("""COMPUTED_VALUE"""),0.0)</f>
        <v>0</v>
      </c>
      <c r="H1107" s="13">
        <f>IFERROR(__xludf.DUMMYFUNCTION("""COMPUTED_VALUE"""),4.0)</f>
        <v>4</v>
      </c>
      <c r="I1107" s="13" t="str">
        <f>IFERROR(__xludf.DUMMYFUNCTION("""COMPUTED_VALUE"""),"General")</f>
        <v>General</v>
      </c>
      <c r="J1107" s="13" t="str">
        <f>IFERROR(__xludf.DUMMYFUNCTION("""COMPUTED_VALUE"""),"Dresses")</f>
        <v>Dresses</v>
      </c>
      <c r="K1107" s="13" t="str">
        <f>IFERROR(__xludf.DUMMYFUNCTION("""COMPUTED_VALUE"""),"Dresses")</f>
        <v>Dresses</v>
      </c>
      <c r="L1107" s="13"/>
    </row>
    <row r="1108">
      <c r="A1108" s="13">
        <f>IFERROR(__xludf.DUMMYFUNCTION("""COMPUTED_VALUE"""),1106.0)</f>
        <v>1106</v>
      </c>
      <c r="B1108" s="13">
        <f>IFERROR(__xludf.DUMMYFUNCTION("""COMPUTED_VALUE"""),815.0)</f>
        <v>815</v>
      </c>
      <c r="C1108" s="13">
        <f>IFERROR(__xludf.DUMMYFUNCTION("""COMPUTED_VALUE"""),37.0)</f>
        <v>37</v>
      </c>
      <c r="D1108" s="12" t="str">
        <f>IFERROR(__xludf.DUMMYFUNCTION("""COMPUTED_VALUE"""),"Wanted to love her")</f>
        <v>Wanted to love her</v>
      </c>
      <c r="E1108" s="12" t="str">
        <f>IFERROR(__xludf.DUMMYFUNCTION("""COMPUTED_VALUE"""),"Beautiful victorian look blouse. runs large and overly blousy on me.")</f>
        <v>Beautiful victorian look blouse. runs large and overly blousy on me.</v>
      </c>
      <c r="F1108" s="13">
        <f>IFERROR(__xludf.DUMMYFUNCTION("""COMPUTED_VALUE"""),3.0)</f>
        <v>3</v>
      </c>
      <c r="G1108" s="13">
        <f>IFERROR(__xludf.DUMMYFUNCTION("""COMPUTED_VALUE"""),0.0)</f>
        <v>0</v>
      </c>
      <c r="H1108" s="13">
        <f>IFERROR(__xludf.DUMMYFUNCTION("""COMPUTED_VALUE"""),6.0)</f>
        <v>6</v>
      </c>
      <c r="I1108" s="13" t="str">
        <f>IFERROR(__xludf.DUMMYFUNCTION("""COMPUTED_VALUE"""),"General Petite")</f>
        <v>General Petite</v>
      </c>
      <c r="J1108" s="13" t="str">
        <f>IFERROR(__xludf.DUMMYFUNCTION("""COMPUTED_VALUE"""),"Tops")</f>
        <v>Tops</v>
      </c>
      <c r="K1108" s="13" t="str">
        <f>IFERROR(__xludf.DUMMYFUNCTION("""COMPUTED_VALUE"""),"Blouses")</f>
        <v>Blouses</v>
      </c>
      <c r="L1108" s="13"/>
    </row>
    <row r="1109">
      <c r="A1109" s="13">
        <f>IFERROR(__xludf.DUMMYFUNCTION("""COMPUTED_VALUE"""),1107.0)</f>
        <v>1107</v>
      </c>
      <c r="B1109" s="13">
        <f>IFERROR(__xludf.DUMMYFUNCTION("""COMPUTED_VALUE"""),831.0)</f>
        <v>831</v>
      </c>
      <c r="C1109" s="13">
        <f>IFERROR(__xludf.DUMMYFUNCTION("""COMPUTED_VALUE"""),44.0)</f>
        <v>44</v>
      </c>
      <c r="D1109" s="12" t="str">
        <f>IFERROR(__xludf.DUMMYFUNCTION("""COMPUTED_VALUE"""),"Cute top!")</f>
        <v>Cute top!</v>
      </c>
      <c r="E1109" s="12" t="str">
        <f>IFERROR(__xludf.DUMMYFUNCTION("""COMPUTED_VALUE"""),"This top is really cute and true to size. i like the color and the nice details.")</f>
        <v>This top is really cute and true to size. i like the color and the nice details.</v>
      </c>
      <c r="F1109" s="13">
        <f>IFERROR(__xludf.DUMMYFUNCTION("""COMPUTED_VALUE"""),5.0)</f>
        <v>5</v>
      </c>
      <c r="G1109" s="13">
        <f>IFERROR(__xludf.DUMMYFUNCTION("""COMPUTED_VALUE"""),1.0)</f>
        <v>1</v>
      </c>
      <c r="H1109" s="13">
        <f>IFERROR(__xludf.DUMMYFUNCTION("""COMPUTED_VALUE"""),8.0)</f>
        <v>8</v>
      </c>
      <c r="I1109" s="13" t="str">
        <f>IFERROR(__xludf.DUMMYFUNCTION("""COMPUTED_VALUE"""),"General")</f>
        <v>General</v>
      </c>
      <c r="J1109" s="13" t="str">
        <f>IFERROR(__xludf.DUMMYFUNCTION("""COMPUTED_VALUE"""),"Tops")</f>
        <v>Tops</v>
      </c>
      <c r="K1109" s="13" t="str">
        <f>IFERROR(__xludf.DUMMYFUNCTION("""COMPUTED_VALUE"""),"Blouses")</f>
        <v>Blouses</v>
      </c>
      <c r="L1109" s="13"/>
    </row>
    <row r="1110">
      <c r="A1110" s="13">
        <f>IFERROR(__xludf.DUMMYFUNCTION("""COMPUTED_VALUE"""),1108.0)</f>
        <v>1108</v>
      </c>
      <c r="B1110" s="13">
        <f>IFERROR(__xludf.DUMMYFUNCTION("""COMPUTED_VALUE"""),815.0)</f>
        <v>815</v>
      </c>
      <c r="C1110" s="13">
        <f>IFERROR(__xludf.DUMMYFUNCTION("""COMPUTED_VALUE"""),52.0)</f>
        <v>52</v>
      </c>
      <c r="D1110" s="12" t="str">
        <f>IFERROR(__xludf.DUMMYFUNCTION("""COMPUTED_VALUE"""),"Victorian in a good way")</f>
        <v>Victorian in a good way</v>
      </c>
      <c r="E1110" s="12" t="str">
        <f>IFERROR(__xludf.DUMMYFUNCTION("""COMPUTED_VALUE"""),"I'm 5' 0"" and 120 pounds. this top is beautiful. it's high neck is so flattering. a nice switch it up for us gals that are older and like neck coverage sometimes. i purchased a small and it is a little longer, but since it has elastic at the waist it's n"&amp;"o problem. i will tuck it in my jeans and skirts. the arm holes are perfect. the as far as it being a lot of blouse, i didn't find that at all. but i am busty, 34c or d depending on brand of bra. the color is ivory. omits completely sheer, no lin")</f>
        <v>I'm 5' 0" and 120 pounds. this top is beautiful. it's high neck is so flattering. a nice switch it up for us gals that are older and like neck coverage sometimes. i purchased a small and it is a little longer, but since it has elastic at the waist it's no problem. i will tuck it in my jeans and skirts. the arm holes are perfect. the as far as it being a lot of blouse, i didn't find that at all. but i am busty, 34c or d depending on brand of bra. the color is ivory. omits completely sheer, no lin</v>
      </c>
      <c r="F1110" s="13">
        <f>IFERROR(__xludf.DUMMYFUNCTION("""COMPUTED_VALUE"""),5.0)</f>
        <v>5</v>
      </c>
      <c r="G1110" s="13">
        <f>IFERROR(__xludf.DUMMYFUNCTION("""COMPUTED_VALUE"""),1.0)</f>
        <v>1</v>
      </c>
      <c r="H1110" s="13">
        <f>IFERROR(__xludf.DUMMYFUNCTION("""COMPUTED_VALUE"""),7.0)</f>
        <v>7</v>
      </c>
      <c r="I1110" s="13" t="str">
        <f>IFERROR(__xludf.DUMMYFUNCTION("""COMPUTED_VALUE"""),"General Petite")</f>
        <v>General Petite</v>
      </c>
      <c r="J1110" s="13" t="str">
        <f>IFERROR(__xludf.DUMMYFUNCTION("""COMPUTED_VALUE"""),"Tops")</f>
        <v>Tops</v>
      </c>
      <c r="K1110" s="13" t="str">
        <f>IFERROR(__xludf.DUMMYFUNCTION("""COMPUTED_VALUE"""),"Blouses")</f>
        <v>Blouses</v>
      </c>
      <c r="L1110" s="13"/>
    </row>
    <row r="1111">
      <c r="A1111" s="13">
        <f>IFERROR(__xludf.DUMMYFUNCTION("""COMPUTED_VALUE"""),1109.0)</f>
        <v>1109</v>
      </c>
      <c r="B1111" s="13">
        <f>IFERROR(__xludf.DUMMYFUNCTION("""COMPUTED_VALUE"""),831.0)</f>
        <v>831</v>
      </c>
      <c r="C1111" s="13">
        <f>IFERROR(__xludf.DUMMYFUNCTION("""COMPUTED_VALUE"""),33.0)</f>
        <v>33</v>
      </c>
      <c r="D1111" s="12" t="str">
        <f>IFERROR(__xludf.DUMMYFUNCTION("""COMPUTED_VALUE"""),"Love this blouse")</f>
        <v>Love this blouse</v>
      </c>
      <c r="E1111" s="12" t="str">
        <f>IFERROR(__xludf.DUMMYFUNCTION("""COMPUTED_VALUE"""),"Tried this blouse on in the store and fell in love with this top. i went down one size since i am a true petite. they were sold out of the petite small, but the regular x-small fit perfect. it is a little short so it's perfect for shorter people,")</f>
        <v>Tried this blouse on in the store and fell in love with this top. i went down one size since i am a true petite. they were sold out of the petite small, but the regular x-small fit perfect. it is a little short so it's perfect for shorter people,</v>
      </c>
      <c r="F1111" s="13">
        <f>IFERROR(__xludf.DUMMYFUNCTION("""COMPUTED_VALUE"""),5.0)</f>
        <v>5</v>
      </c>
      <c r="G1111" s="13">
        <f>IFERROR(__xludf.DUMMYFUNCTION("""COMPUTED_VALUE"""),1.0)</f>
        <v>1</v>
      </c>
      <c r="H1111" s="13">
        <f>IFERROR(__xludf.DUMMYFUNCTION("""COMPUTED_VALUE"""),0.0)</f>
        <v>0</v>
      </c>
      <c r="I1111" s="13" t="str">
        <f>IFERROR(__xludf.DUMMYFUNCTION("""COMPUTED_VALUE"""),"General")</f>
        <v>General</v>
      </c>
      <c r="J1111" s="13" t="str">
        <f>IFERROR(__xludf.DUMMYFUNCTION("""COMPUTED_VALUE"""),"Tops")</f>
        <v>Tops</v>
      </c>
      <c r="K1111" s="13" t="str">
        <f>IFERROR(__xludf.DUMMYFUNCTION("""COMPUTED_VALUE"""),"Blouses")</f>
        <v>Blouses</v>
      </c>
      <c r="L1111" s="13"/>
    </row>
    <row r="1112">
      <c r="A1112" s="13">
        <f>IFERROR(__xludf.DUMMYFUNCTION("""COMPUTED_VALUE"""),1110.0)</f>
        <v>1110</v>
      </c>
      <c r="B1112" s="13">
        <f>IFERROR(__xludf.DUMMYFUNCTION("""COMPUTED_VALUE"""),877.0)</f>
        <v>877</v>
      </c>
      <c r="C1112" s="13">
        <f>IFERROR(__xludf.DUMMYFUNCTION("""COMPUTED_VALUE"""),53.0)</f>
        <v>53</v>
      </c>
      <c r="D1112" s="12" t="str">
        <f>IFERROR(__xludf.DUMMYFUNCTION("""COMPUTED_VALUE"""),"One can never have enough sequins")</f>
        <v>One can never have enough sequins</v>
      </c>
      <c r="E1112" s="12" t="str">
        <f>IFERROR(__xludf.DUMMYFUNCTION("""COMPUTED_VALUE"""),"Oh yes. another sequin top to add to my collection. it is sparkly without being glittery- if you know what i mean. can definitely dress down as it is tee shirt- like. lots of options for this one. tts.  much better in person than the online pics.")</f>
        <v>Oh yes. another sequin top to add to my collection. it is sparkly without being glittery- if you know what i mean. can definitely dress down as it is tee shirt- like. lots of options for this one. tts.  much better in person than the online pics.</v>
      </c>
      <c r="F1112" s="13">
        <f>IFERROR(__xludf.DUMMYFUNCTION("""COMPUTED_VALUE"""),4.0)</f>
        <v>4</v>
      </c>
      <c r="G1112" s="13">
        <f>IFERROR(__xludf.DUMMYFUNCTION("""COMPUTED_VALUE"""),1.0)</f>
        <v>1</v>
      </c>
      <c r="H1112" s="13">
        <f>IFERROR(__xludf.DUMMYFUNCTION("""COMPUTED_VALUE"""),0.0)</f>
        <v>0</v>
      </c>
      <c r="I1112" s="13" t="str">
        <f>IFERROR(__xludf.DUMMYFUNCTION("""COMPUTED_VALUE"""),"General")</f>
        <v>General</v>
      </c>
      <c r="J1112" s="13" t="str">
        <f>IFERROR(__xludf.DUMMYFUNCTION("""COMPUTED_VALUE"""),"Tops")</f>
        <v>Tops</v>
      </c>
      <c r="K1112" s="13" t="str">
        <f>IFERROR(__xludf.DUMMYFUNCTION("""COMPUTED_VALUE"""),"Knits")</f>
        <v>Knits</v>
      </c>
      <c r="L1112" s="13"/>
    </row>
    <row r="1113">
      <c r="A1113" s="13">
        <f>IFERROR(__xludf.DUMMYFUNCTION("""COMPUTED_VALUE"""),1111.0)</f>
        <v>1111</v>
      </c>
      <c r="B1113" s="13">
        <f>IFERROR(__xludf.DUMMYFUNCTION("""COMPUTED_VALUE"""),1068.0)</f>
        <v>1068</v>
      </c>
      <c r="C1113" s="13">
        <f>IFERROR(__xludf.DUMMYFUNCTION("""COMPUTED_VALUE"""),65.0)</f>
        <v>65</v>
      </c>
      <c r="D1113" s="12" t="str">
        <f>IFERROR(__xludf.DUMMYFUNCTION("""COMPUTED_VALUE"""),"Cute pant")</f>
        <v>Cute pant</v>
      </c>
      <c r="E1113" s="12" t="str">
        <f>IFERROR(__xludf.DUMMYFUNCTION("""COMPUTED_VALUE"""),"Unfortunately i had to size down twice with there pants. great feel, they're soft and the grey is a soft color.")</f>
        <v>Unfortunately i had to size down twice with there pants. great feel, they're soft and the grey is a soft color.</v>
      </c>
      <c r="F1113" s="13">
        <f>IFERROR(__xludf.DUMMYFUNCTION("""COMPUTED_VALUE"""),3.0)</f>
        <v>3</v>
      </c>
      <c r="G1113" s="13">
        <f>IFERROR(__xludf.DUMMYFUNCTION("""COMPUTED_VALUE"""),0.0)</f>
        <v>0</v>
      </c>
      <c r="H1113" s="13">
        <f>IFERROR(__xludf.DUMMYFUNCTION("""COMPUTED_VALUE"""),1.0)</f>
        <v>1</v>
      </c>
      <c r="I1113" s="13" t="str">
        <f>IFERROR(__xludf.DUMMYFUNCTION("""COMPUTED_VALUE"""),"General")</f>
        <v>General</v>
      </c>
      <c r="J1113" s="13" t="str">
        <f>IFERROR(__xludf.DUMMYFUNCTION("""COMPUTED_VALUE"""),"Bottoms")</f>
        <v>Bottoms</v>
      </c>
      <c r="K1113" s="13" t="str">
        <f>IFERROR(__xludf.DUMMYFUNCTION("""COMPUTED_VALUE"""),"Pants")</f>
        <v>Pants</v>
      </c>
      <c r="L1113" s="13"/>
    </row>
    <row r="1114">
      <c r="A1114" s="13">
        <f>IFERROR(__xludf.DUMMYFUNCTION("""COMPUTED_VALUE"""),1112.0)</f>
        <v>1112</v>
      </c>
      <c r="B1114" s="13">
        <f>IFERROR(__xludf.DUMMYFUNCTION("""COMPUTED_VALUE"""),1020.0)</f>
        <v>1020</v>
      </c>
      <c r="C1114" s="13">
        <f>IFERROR(__xludf.DUMMYFUNCTION("""COMPUTED_VALUE"""),62.0)</f>
        <v>62</v>
      </c>
      <c r="D1114" s="12" t="str">
        <f>IFERROR(__xludf.DUMMYFUNCTION("""COMPUTED_VALUE"""),"Gorgeous fabric")</f>
        <v>Gorgeous fabric</v>
      </c>
      <c r="E1114" s="12" t="str">
        <f>IFERROR(__xludf.DUMMYFUNCTION("""COMPUTED_VALUE"""),"The fabric is so beautiful that i am tempted to buy in a large size and have re-made. the waist is tiny. the hips are wide. when it goes to half price, i may be tempted to take it to my favorite alterations lady. the fabric is that exceptionally beautiful"&amp;".")</f>
        <v>The fabric is so beautiful that i am tempted to buy in a large size and have re-made. the waist is tiny. the hips are wide. when it goes to half price, i may be tempted to take it to my favorite alterations lady. the fabric is that exceptionally beautiful.</v>
      </c>
      <c r="F1114" s="13">
        <f>IFERROR(__xludf.DUMMYFUNCTION("""COMPUTED_VALUE"""),3.0)</f>
        <v>3</v>
      </c>
      <c r="G1114" s="13">
        <f>IFERROR(__xludf.DUMMYFUNCTION("""COMPUTED_VALUE"""),0.0)</f>
        <v>0</v>
      </c>
      <c r="H1114" s="13">
        <f>IFERROR(__xludf.DUMMYFUNCTION("""COMPUTED_VALUE"""),4.0)</f>
        <v>4</v>
      </c>
      <c r="I1114" s="13" t="str">
        <f>IFERROR(__xludf.DUMMYFUNCTION("""COMPUTED_VALUE"""),"General")</f>
        <v>General</v>
      </c>
      <c r="J1114" s="13" t="str">
        <f>IFERROR(__xludf.DUMMYFUNCTION("""COMPUTED_VALUE"""),"Bottoms")</f>
        <v>Bottoms</v>
      </c>
      <c r="K1114" s="13" t="str">
        <f>IFERROR(__xludf.DUMMYFUNCTION("""COMPUTED_VALUE"""),"Skirts")</f>
        <v>Skirts</v>
      </c>
      <c r="L1114" s="13"/>
    </row>
    <row r="1115">
      <c r="A1115" s="13">
        <f>IFERROR(__xludf.DUMMYFUNCTION("""COMPUTED_VALUE"""),1113.0)</f>
        <v>1113</v>
      </c>
      <c r="B1115" s="13">
        <f>IFERROR(__xludf.DUMMYFUNCTION("""COMPUTED_VALUE"""),1068.0)</f>
        <v>1068</v>
      </c>
      <c r="C1115" s="13">
        <f>IFERROR(__xludf.DUMMYFUNCTION("""COMPUTED_VALUE"""),45.0)</f>
        <v>45</v>
      </c>
      <c r="D1115" s="12" t="str">
        <f>IFERROR(__xludf.DUMMYFUNCTION("""COMPUTED_VALUE"""),"Love these")</f>
        <v>Love these</v>
      </c>
      <c r="E1115" s="12" t="str">
        <f>IFERROR(__xludf.DUMMYFUNCTION("""COMPUTED_VALUE"""),"These joggers are soo cute. they fit great!!
i seriously love them!! i have worn them so often
i may have to ban myself from them for a week.
i am 5'4 and the length was perfect for a jogger pant.
i got an xs because the small looked too baggy. 
the xs lo"&amp;"osened up a little after wearing them and are perfect.")</f>
        <v>These joggers are soo cute. they fit great!!
i seriously love them!! i have worn them so often
i may have to ban myself from them for a week.
i am 5'4 and the length was perfect for a jogger pant.
i got an xs because the small looked too baggy. 
the xs loosened up a little after wearing them and are perfect.</v>
      </c>
      <c r="F1115" s="13">
        <f>IFERROR(__xludf.DUMMYFUNCTION("""COMPUTED_VALUE"""),5.0)</f>
        <v>5</v>
      </c>
      <c r="G1115" s="13">
        <f>IFERROR(__xludf.DUMMYFUNCTION("""COMPUTED_VALUE"""),1.0)</f>
        <v>1</v>
      </c>
      <c r="H1115" s="13">
        <f>IFERROR(__xludf.DUMMYFUNCTION("""COMPUTED_VALUE"""),0.0)</f>
        <v>0</v>
      </c>
      <c r="I1115" s="13" t="str">
        <f>IFERROR(__xludf.DUMMYFUNCTION("""COMPUTED_VALUE"""),"General")</f>
        <v>General</v>
      </c>
      <c r="J1115" s="13" t="str">
        <f>IFERROR(__xludf.DUMMYFUNCTION("""COMPUTED_VALUE"""),"Bottoms")</f>
        <v>Bottoms</v>
      </c>
      <c r="K1115" s="13" t="str">
        <f>IFERROR(__xludf.DUMMYFUNCTION("""COMPUTED_VALUE"""),"Pants")</f>
        <v>Pants</v>
      </c>
      <c r="L1115" s="13"/>
    </row>
    <row r="1116">
      <c r="A1116" s="13">
        <f>IFERROR(__xludf.DUMMYFUNCTION("""COMPUTED_VALUE"""),1114.0)</f>
        <v>1114</v>
      </c>
      <c r="B1116" s="13">
        <f>IFERROR(__xludf.DUMMYFUNCTION("""COMPUTED_VALUE"""),1020.0)</f>
        <v>1020</v>
      </c>
      <c r="C1116" s="13">
        <f>IFERROR(__xludf.DUMMYFUNCTION("""COMPUTED_VALUE"""),47.0)</f>
        <v>47</v>
      </c>
      <c r="D1116" s="12" t="str">
        <f>IFERROR(__xludf.DUMMYFUNCTION("""COMPUTED_VALUE"""),"Great fabric but really bad shape")</f>
        <v>Great fabric but really bad shape</v>
      </c>
      <c r="E1116" s="12" t="str">
        <f>IFERROR(__xludf.DUMMYFUNCTION("""COMPUTED_VALUE"""),"If i could sew, i'd take the fabric from this skirt and make it into a different shape (after ordering a bigger size). the fabric is just as it appears online -- totally gorgeous with almost a quilted feel to it. however, this thickness means the skirt st"&amp;"icks out like something judy jetson would wear. it's also too small in my go-to skirt size (and i order a lot at retailer). the waist and hips are small (making the skirt too short as well), but the bottom flares out ridiculously. i ordered two of")</f>
        <v>If i could sew, i'd take the fabric from this skirt and make it into a different shape (after ordering a bigger size). the fabric is just as it appears online -- totally gorgeous with almost a quilted feel to it. however, this thickness means the skirt sticks out like something judy jetson would wear. it's also too small in my go-to skirt size (and i order a lot at retailer). the waist and hips are small (making the skirt too short as well), but the bottom flares out ridiculously. i ordered two of</v>
      </c>
      <c r="F1116" s="13">
        <f>IFERROR(__xludf.DUMMYFUNCTION("""COMPUTED_VALUE"""),1.0)</f>
        <v>1</v>
      </c>
      <c r="G1116" s="13">
        <f>IFERROR(__xludf.DUMMYFUNCTION("""COMPUTED_VALUE"""),0.0)</f>
        <v>0</v>
      </c>
      <c r="H1116" s="13">
        <f>IFERROR(__xludf.DUMMYFUNCTION("""COMPUTED_VALUE"""),6.0)</f>
        <v>6</v>
      </c>
      <c r="I1116" s="13" t="str">
        <f>IFERROR(__xludf.DUMMYFUNCTION("""COMPUTED_VALUE"""),"General")</f>
        <v>General</v>
      </c>
      <c r="J1116" s="13" t="str">
        <f>IFERROR(__xludf.DUMMYFUNCTION("""COMPUTED_VALUE"""),"Bottoms")</f>
        <v>Bottoms</v>
      </c>
      <c r="K1116" s="13" t="str">
        <f>IFERROR(__xludf.DUMMYFUNCTION("""COMPUTED_VALUE"""),"Skirts")</f>
        <v>Skirts</v>
      </c>
      <c r="L1116" s="13"/>
    </row>
    <row r="1117">
      <c r="A1117" s="13">
        <f>IFERROR(__xludf.DUMMYFUNCTION("""COMPUTED_VALUE"""),1115.0)</f>
        <v>1115</v>
      </c>
      <c r="B1117" s="13">
        <f>IFERROR(__xludf.DUMMYFUNCTION("""COMPUTED_VALUE"""),1068.0)</f>
        <v>1068</v>
      </c>
      <c r="C1117" s="13">
        <f>IFERROR(__xludf.DUMMYFUNCTION("""COMPUTED_VALUE"""),42.0)</f>
        <v>42</v>
      </c>
      <c r="D1117" s="12" t="str">
        <f>IFERROR(__xludf.DUMMYFUNCTION("""COMPUTED_VALUE"""),"So much cuter in person and oh so comfy")</f>
        <v>So much cuter in person and oh so comfy</v>
      </c>
      <c r="E1117" s="12" t="str">
        <f>IFERROR(__xludf.DUMMYFUNCTION("""COMPUTED_VALUE"""),"I bought these in the olive green, in the store and will be ordering the gray pair online. i am 5' 9"" and 145 lbs, long legs and these are beyond adorable. some people mentioned that they stretched out? i did not find this to be true. what i do know is t"&amp;"hey can be dressed up or dressed down. they are flattering and perfect for the spring/summer. i would highly recommend and would/will purchase in every color. well done retailer!! one of my most favorite purchases so far this spring.")</f>
        <v>I bought these in the olive green, in the store and will be ordering the gray pair online. i am 5' 9" and 145 lbs, long legs and these are beyond adorable. some people mentioned that they stretched out? i did not find this to be true. what i do know is they can be dressed up or dressed down. they are flattering and perfect for the spring/summer. i would highly recommend and would/will purchase in every color. well done retailer!! one of my most favorite purchases so far this spring.</v>
      </c>
      <c r="F1117" s="13">
        <f>IFERROR(__xludf.DUMMYFUNCTION("""COMPUTED_VALUE"""),5.0)</f>
        <v>5</v>
      </c>
      <c r="G1117" s="13">
        <f>IFERROR(__xludf.DUMMYFUNCTION("""COMPUTED_VALUE"""),1.0)</f>
        <v>1</v>
      </c>
      <c r="H1117" s="13">
        <f>IFERROR(__xludf.DUMMYFUNCTION("""COMPUTED_VALUE"""),1.0)</f>
        <v>1</v>
      </c>
      <c r="I1117" s="13" t="str">
        <f>IFERROR(__xludf.DUMMYFUNCTION("""COMPUTED_VALUE"""),"General")</f>
        <v>General</v>
      </c>
      <c r="J1117" s="13" t="str">
        <f>IFERROR(__xludf.DUMMYFUNCTION("""COMPUTED_VALUE"""),"Bottoms")</f>
        <v>Bottoms</v>
      </c>
      <c r="K1117" s="13" t="str">
        <f>IFERROR(__xludf.DUMMYFUNCTION("""COMPUTED_VALUE"""),"Pants")</f>
        <v>Pants</v>
      </c>
      <c r="L1117" s="13"/>
    </row>
    <row r="1118">
      <c r="A1118" s="13">
        <f>IFERROR(__xludf.DUMMYFUNCTION("""COMPUTED_VALUE"""),1116.0)</f>
        <v>1116</v>
      </c>
      <c r="B1118" s="13">
        <f>IFERROR(__xludf.DUMMYFUNCTION("""COMPUTED_VALUE"""),691.0)</f>
        <v>691</v>
      </c>
      <c r="C1118" s="13">
        <f>IFERROR(__xludf.DUMMYFUNCTION("""COMPUTED_VALUE"""),38.0)</f>
        <v>38</v>
      </c>
      <c r="D1118" s="12" t="str">
        <f>IFERROR(__xludf.DUMMYFUNCTION("""COMPUTED_VALUE"""),"Tx fan")</f>
        <v>Tx fan</v>
      </c>
      <c r="E1118" s="12" t="str">
        <f>IFERROR(__xludf.DUMMYFUNCTION("""COMPUTED_VALUE"""),"I love the flower patterns. they add feminine touch. this legging is well made with good quality spandex. the only cons is the color is not as deep as the picture. when you wearing it and the fabric stretched, the color looks much lighter. other than that"&amp;", it's a good buy!")</f>
        <v>I love the flower patterns. they add feminine touch. this legging is well made with good quality spandex. the only cons is the color is not as deep as the picture. when you wearing it and the fabric stretched, the color looks much lighter. other than that, it's a good buy!</v>
      </c>
      <c r="F1118" s="13">
        <f>IFERROR(__xludf.DUMMYFUNCTION("""COMPUTED_VALUE"""),4.0)</f>
        <v>4</v>
      </c>
      <c r="G1118" s="13">
        <f>IFERROR(__xludf.DUMMYFUNCTION("""COMPUTED_VALUE"""),1.0)</f>
        <v>1</v>
      </c>
      <c r="H1118" s="13">
        <f>IFERROR(__xludf.DUMMYFUNCTION("""COMPUTED_VALUE"""),0.0)</f>
        <v>0</v>
      </c>
      <c r="I1118" s="13" t="str">
        <f>IFERROR(__xludf.DUMMYFUNCTION("""COMPUTED_VALUE"""),"Initmates")</f>
        <v>Initmates</v>
      </c>
      <c r="J1118" s="13" t="str">
        <f>IFERROR(__xludf.DUMMYFUNCTION("""COMPUTED_VALUE"""),"Intimate")</f>
        <v>Intimate</v>
      </c>
      <c r="K1118" s="13" t="str">
        <f>IFERROR(__xludf.DUMMYFUNCTION("""COMPUTED_VALUE"""),"Lounge")</f>
        <v>Lounge</v>
      </c>
      <c r="L1118" s="13"/>
    </row>
    <row r="1119">
      <c r="A1119" s="13">
        <f>IFERROR(__xludf.DUMMYFUNCTION("""COMPUTED_VALUE"""),1117.0)</f>
        <v>1117</v>
      </c>
      <c r="B1119" s="13">
        <f>IFERROR(__xludf.DUMMYFUNCTION("""COMPUTED_VALUE"""),831.0)</f>
        <v>831</v>
      </c>
      <c r="C1119" s="13">
        <f>IFERROR(__xludf.DUMMYFUNCTION("""COMPUTED_VALUE"""),40.0)</f>
        <v>40</v>
      </c>
      <c r="D1119" s="12" t="str">
        <f>IFERROR(__xludf.DUMMYFUNCTION("""COMPUTED_VALUE"""),"Beautiful top, but it shrank substantially!")</f>
        <v>Beautiful top, but it shrank substantially!</v>
      </c>
      <c r="E1119" s="12" t="str">
        <f>IFERROR(__xludf.DUMMYFUNCTION("""COMPUTED_VALUE"""),"This top is gorgeous in both detail in color. it fit great and true to size, but then i hand washed it as instructed on the label and it shrank substantially to the point that it's now too short and needs to be returned.")</f>
        <v>This top is gorgeous in both detail in color. it fit great and true to size, but then i hand washed it as instructed on the label and it shrank substantially to the point that it's now too short and needs to be returned.</v>
      </c>
      <c r="F1119" s="13">
        <f>IFERROR(__xludf.DUMMYFUNCTION("""COMPUTED_VALUE"""),3.0)</f>
        <v>3</v>
      </c>
      <c r="G1119" s="13">
        <f>IFERROR(__xludf.DUMMYFUNCTION("""COMPUTED_VALUE"""),0.0)</f>
        <v>0</v>
      </c>
      <c r="H1119" s="13">
        <f>IFERROR(__xludf.DUMMYFUNCTION("""COMPUTED_VALUE"""),17.0)</f>
        <v>17</v>
      </c>
      <c r="I1119" s="13" t="str">
        <f>IFERROR(__xludf.DUMMYFUNCTION("""COMPUTED_VALUE"""),"General")</f>
        <v>General</v>
      </c>
      <c r="J1119" s="13" t="str">
        <f>IFERROR(__xludf.DUMMYFUNCTION("""COMPUTED_VALUE"""),"Tops")</f>
        <v>Tops</v>
      </c>
      <c r="K1119" s="13" t="str">
        <f>IFERROR(__xludf.DUMMYFUNCTION("""COMPUTED_VALUE"""),"Blouses")</f>
        <v>Blouses</v>
      </c>
      <c r="L1119" s="13"/>
    </row>
    <row r="1120">
      <c r="A1120" s="13">
        <f>IFERROR(__xludf.DUMMYFUNCTION("""COMPUTED_VALUE"""),1118.0)</f>
        <v>1118</v>
      </c>
      <c r="B1120" s="13">
        <f>IFERROR(__xludf.DUMMYFUNCTION("""COMPUTED_VALUE"""),1068.0)</f>
        <v>1068</v>
      </c>
      <c r="C1120" s="13">
        <f>IFERROR(__xludf.DUMMYFUNCTION("""COMPUTED_VALUE"""),39.0)</f>
        <v>39</v>
      </c>
      <c r="D1120" s="12" t="str">
        <f>IFERROR(__xludf.DUMMYFUNCTION("""COMPUTED_VALUE"""),"Nice enough")</f>
        <v>Nice enough</v>
      </c>
      <c r="E1120" s="12" t="str">
        <f>IFERROR(__xludf.DUMMYFUNCTION("""COMPUTED_VALUE"""),"I ordered these as i was curious of hte fit on my body type (shorter, thighs)... well, it was ok, but in the end, i dind't keep them as i would be better off wearing jeans on casual day, or ""real"" joggers (as in jogging material).
cut was ok, not super"&amp;" flattering, but tapered pants only suit stright legs in my opinion.
material was nice enough, din'dt notice wrikling, but i didn't wwear them, jsut tried them on.
grey color was nice.")</f>
        <v>I ordered these as i was curious of hte fit on my body type (shorter, thighs)... well, it was ok, but in the end, i dind't keep them as i would be better off wearing jeans on casual day, or "real" joggers (as in jogging material).
cut was ok, not super flattering, but tapered pants only suit stright legs in my opinion.
material was nice enough, din'dt notice wrikling, but i didn't wwear them, jsut tried them on.
grey color was nice.</v>
      </c>
      <c r="F1120" s="13">
        <f>IFERROR(__xludf.DUMMYFUNCTION("""COMPUTED_VALUE"""),4.0)</f>
        <v>4</v>
      </c>
      <c r="G1120" s="13">
        <f>IFERROR(__xludf.DUMMYFUNCTION("""COMPUTED_VALUE"""),1.0)</f>
        <v>1</v>
      </c>
      <c r="H1120" s="13">
        <f>IFERROR(__xludf.DUMMYFUNCTION("""COMPUTED_VALUE"""),2.0)</f>
        <v>2</v>
      </c>
      <c r="I1120" s="13" t="str">
        <f>IFERROR(__xludf.DUMMYFUNCTION("""COMPUTED_VALUE"""),"General")</f>
        <v>General</v>
      </c>
      <c r="J1120" s="13" t="str">
        <f>IFERROR(__xludf.DUMMYFUNCTION("""COMPUTED_VALUE"""),"Bottoms")</f>
        <v>Bottoms</v>
      </c>
      <c r="K1120" s="13" t="str">
        <f>IFERROR(__xludf.DUMMYFUNCTION("""COMPUTED_VALUE"""),"Pants")</f>
        <v>Pants</v>
      </c>
      <c r="L1120" s="13"/>
    </row>
    <row r="1121">
      <c r="A1121" s="13">
        <f>IFERROR(__xludf.DUMMYFUNCTION("""COMPUTED_VALUE"""),1119.0)</f>
        <v>1119</v>
      </c>
      <c r="B1121" s="13">
        <f>IFERROR(__xludf.DUMMYFUNCTION("""COMPUTED_VALUE"""),1089.0)</f>
        <v>1089</v>
      </c>
      <c r="C1121" s="13">
        <f>IFERROR(__xludf.DUMMYFUNCTION("""COMPUTED_VALUE"""),49.0)</f>
        <v>49</v>
      </c>
      <c r="D1121" s="12" t="str">
        <f>IFERROR(__xludf.DUMMYFUNCTION("""COMPUTED_VALUE"""),"Cute dress but poor design")</f>
        <v>Cute dress but poor design</v>
      </c>
      <c r="E1121" s="12" t="str">
        <f>IFERROR(__xludf.DUMMYFUNCTION("""COMPUTED_VALUE"""),"I loved the color and design of this dress but needed to return it because it fit so poorly. the arm holes are entirely too big -- so big that alternations couldn't fix it. maybe it's because i am petite but i think it may be a design flaw.")</f>
        <v>I loved the color and design of this dress but needed to return it because it fit so poorly. the arm holes are entirely too big -- so big that alternations couldn't fix it. maybe it's because i am petite but i think it may be a design flaw.</v>
      </c>
      <c r="F1121" s="13">
        <f>IFERROR(__xludf.DUMMYFUNCTION("""COMPUTED_VALUE"""),2.0)</f>
        <v>2</v>
      </c>
      <c r="G1121" s="13">
        <f>IFERROR(__xludf.DUMMYFUNCTION("""COMPUTED_VALUE"""),0.0)</f>
        <v>0</v>
      </c>
      <c r="H1121" s="13">
        <f>IFERROR(__xludf.DUMMYFUNCTION("""COMPUTED_VALUE"""),4.0)</f>
        <v>4</v>
      </c>
      <c r="I1121" s="13" t="str">
        <f>IFERROR(__xludf.DUMMYFUNCTION("""COMPUTED_VALUE"""),"General Petite")</f>
        <v>General Petite</v>
      </c>
      <c r="J1121" s="13" t="str">
        <f>IFERROR(__xludf.DUMMYFUNCTION("""COMPUTED_VALUE"""),"Dresses")</f>
        <v>Dresses</v>
      </c>
      <c r="K1121" s="13" t="str">
        <f>IFERROR(__xludf.DUMMYFUNCTION("""COMPUTED_VALUE"""),"Dresses")</f>
        <v>Dresses</v>
      </c>
      <c r="L1121" s="13"/>
    </row>
    <row r="1122">
      <c r="A1122" s="13">
        <f>IFERROR(__xludf.DUMMYFUNCTION("""COMPUTED_VALUE"""),1120.0)</f>
        <v>1120</v>
      </c>
      <c r="B1122" s="13">
        <f>IFERROR(__xludf.DUMMYFUNCTION("""COMPUTED_VALUE"""),1089.0)</f>
        <v>1089</v>
      </c>
      <c r="C1122" s="13">
        <f>IFERROR(__xludf.DUMMYFUNCTION("""COMPUTED_VALUE"""),51.0)</f>
        <v>51</v>
      </c>
      <c r="D1122" s="12"/>
      <c r="E1122" s="12" t="str">
        <f>IFERROR(__xludf.DUMMYFUNCTION("""COMPUTED_VALUE"""),"Got the black but the orange it very pretty too the black fabric has a sheen to it; almost like snakeskin. as other reviewers have mentioned, it does run small and the armholes are cut in a bit. overall it is a more interesting than a basic lbd.")</f>
        <v>Got the black but the orange it very pretty too the black fabric has a sheen to it; almost like snakeskin. as other reviewers have mentioned, it does run small and the armholes are cut in a bit. overall it is a more interesting than a basic lbd.</v>
      </c>
      <c r="F1122" s="13">
        <f>IFERROR(__xludf.DUMMYFUNCTION("""COMPUTED_VALUE"""),4.0)</f>
        <v>4</v>
      </c>
      <c r="G1122" s="13">
        <f>IFERROR(__xludf.DUMMYFUNCTION("""COMPUTED_VALUE"""),1.0)</f>
        <v>1</v>
      </c>
      <c r="H1122" s="13">
        <f>IFERROR(__xludf.DUMMYFUNCTION("""COMPUTED_VALUE"""),0.0)</f>
        <v>0</v>
      </c>
      <c r="I1122" s="13" t="str">
        <f>IFERROR(__xludf.DUMMYFUNCTION("""COMPUTED_VALUE"""),"General Petite")</f>
        <v>General Petite</v>
      </c>
      <c r="J1122" s="13" t="str">
        <f>IFERROR(__xludf.DUMMYFUNCTION("""COMPUTED_VALUE"""),"Dresses")</f>
        <v>Dresses</v>
      </c>
      <c r="K1122" s="13" t="str">
        <f>IFERROR(__xludf.DUMMYFUNCTION("""COMPUTED_VALUE"""),"Dresses")</f>
        <v>Dresses</v>
      </c>
      <c r="L1122" s="13"/>
    </row>
    <row r="1123">
      <c r="A1123" s="13">
        <f>IFERROR(__xludf.DUMMYFUNCTION("""COMPUTED_VALUE"""),1121.0)</f>
        <v>1121</v>
      </c>
      <c r="B1123" s="13">
        <f>IFERROR(__xludf.DUMMYFUNCTION("""COMPUTED_VALUE"""),777.0)</f>
        <v>777</v>
      </c>
      <c r="C1123" s="13">
        <f>IFERROR(__xludf.DUMMYFUNCTION("""COMPUTED_VALUE"""),31.0)</f>
        <v>31</v>
      </c>
      <c r="D1123" s="12" t="str">
        <f>IFERROR(__xludf.DUMMYFUNCTION("""COMPUTED_VALUE"""),"So sad")</f>
        <v>So sad</v>
      </c>
      <c r="E1123" s="12" t="str">
        <f>IFERROR(__xludf.DUMMYFUNCTION("""COMPUTED_VALUE"""),"The print on these leggings is so cool but they are completely see-through. i mean seriously, seriously see-through.")</f>
        <v>The print on these leggings is so cool but they are completely see-through. i mean seriously, seriously see-through.</v>
      </c>
      <c r="F1123" s="13">
        <f>IFERROR(__xludf.DUMMYFUNCTION("""COMPUTED_VALUE"""),1.0)</f>
        <v>1</v>
      </c>
      <c r="G1123" s="13">
        <f>IFERROR(__xludf.DUMMYFUNCTION("""COMPUTED_VALUE"""),0.0)</f>
        <v>0</v>
      </c>
      <c r="H1123" s="13">
        <f>IFERROR(__xludf.DUMMYFUNCTION("""COMPUTED_VALUE"""),0.0)</f>
        <v>0</v>
      </c>
      <c r="I1123" s="13" t="str">
        <f>IFERROR(__xludf.DUMMYFUNCTION("""COMPUTED_VALUE"""),"Initmates")</f>
        <v>Initmates</v>
      </c>
      <c r="J1123" s="13" t="str">
        <f>IFERROR(__xludf.DUMMYFUNCTION("""COMPUTED_VALUE"""),"Intimate")</f>
        <v>Intimate</v>
      </c>
      <c r="K1123" s="13" t="str">
        <f>IFERROR(__xludf.DUMMYFUNCTION("""COMPUTED_VALUE"""),"Lounge")</f>
        <v>Lounge</v>
      </c>
      <c r="L1123" s="13"/>
    </row>
    <row r="1124">
      <c r="A1124" s="13">
        <f>IFERROR(__xludf.DUMMYFUNCTION("""COMPUTED_VALUE"""),1122.0)</f>
        <v>1122</v>
      </c>
      <c r="B1124" s="13">
        <f>IFERROR(__xludf.DUMMYFUNCTION("""COMPUTED_VALUE"""),860.0)</f>
        <v>860</v>
      </c>
      <c r="C1124" s="13">
        <f>IFERROR(__xludf.DUMMYFUNCTION("""COMPUTED_VALUE"""),41.0)</f>
        <v>41</v>
      </c>
      <c r="D1124" s="12" t="str">
        <f>IFERROR(__xludf.DUMMYFUNCTION("""COMPUTED_VALUE"""),"Wanted to love it!")</f>
        <v>Wanted to love it!</v>
      </c>
      <c r="E1124" s="12" t="str">
        <f>IFERROR(__xludf.DUMMYFUNCTION("""COMPUTED_VALUE"""),"Was so excited for this top! loved the embroidered detail and the teal green color. i got it in a medium and it was swimming on me. it also had a maternity type feel since there is a lot more material (making it look blousy) than showing on the model (the"&amp;"y must have pinned it back in the stock photo).
sadly, it's going back.")</f>
        <v>Was so excited for this top! loved the embroidered detail and the teal green color. i got it in a medium and it was swimming on me. it also had a maternity type feel since there is a lot more material (making it look blousy) than showing on the model (they must have pinned it back in the stock photo).
sadly, it's going back.</v>
      </c>
      <c r="F1124" s="13">
        <f>IFERROR(__xludf.DUMMYFUNCTION("""COMPUTED_VALUE"""),3.0)</f>
        <v>3</v>
      </c>
      <c r="G1124" s="13">
        <f>IFERROR(__xludf.DUMMYFUNCTION("""COMPUTED_VALUE"""),0.0)</f>
        <v>0</v>
      </c>
      <c r="H1124" s="13">
        <f>IFERROR(__xludf.DUMMYFUNCTION("""COMPUTED_VALUE"""),5.0)</f>
        <v>5</v>
      </c>
      <c r="I1124" s="13" t="str">
        <f>IFERROR(__xludf.DUMMYFUNCTION("""COMPUTED_VALUE"""),"General Petite")</f>
        <v>General Petite</v>
      </c>
      <c r="J1124" s="13" t="str">
        <f>IFERROR(__xludf.DUMMYFUNCTION("""COMPUTED_VALUE"""),"Tops")</f>
        <v>Tops</v>
      </c>
      <c r="K1124" s="13" t="str">
        <f>IFERROR(__xludf.DUMMYFUNCTION("""COMPUTED_VALUE"""),"Knits")</f>
        <v>Knits</v>
      </c>
      <c r="L1124" s="13"/>
    </row>
    <row r="1125">
      <c r="A1125" s="13">
        <f>IFERROR(__xludf.DUMMYFUNCTION("""COMPUTED_VALUE"""),1123.0)</f>
        <v>1123</v>
      </c>
      <c r="B1125" s="13">
        <f>IFERROR(__xludf.DUMMYFUNCTION("""COMPUTED_VALUE"""),1089.0)</f>
        <v>1089</v>
      </c>
      <c r="C1125" s="13">
        <f>IFERROR(__xludf.DUMMYFUNCTION("""COMPUTED_VALUE"""),52.0)</f>
        <v>52</v>
      </c>
      <c r="D1125" s="12" t="str">
        <f>IFERROR(__xludf.DUMMYFUNCTION("""COMPUTED_VALUE"""),"Can't miss classic!!")</f>
        <v>Can't miss classic!!</v>
      </c>
      <c r="E1125" s="12" t="str">
        <f>IFERROR(__xludf.DUMMYFUNCTION("""COMPUTED_VALUE"""),"I was so impressed with the style &amp; boning on the sides for the perfect fit! it's truly a classic staple in your closet for that lbd!!")</f>
        <v>I was so impressed with the style &amp; boning on the sides for the perfect fit! it's truly a classic staple in your closet for that lbd!!</v>
      </c>
      <c r="F1125" s="13">
        <f>IFERROR(__xludf.DUMMYFUNCTION("""COMPUTED_VALUE"""),5.0)</f>
        <v>5</v>
      </c>
      <c r="G1125" s="13">
        <f>IFERROR(__xludf.DUMMYFUNCTION("""COMPUTED_VALUE"""),1.0)</f>
        <v>1</v>
      </c>
      <c r="H1125" s="13">
        <f>IFERROR(__xludf.DUMMYFUNCTION("""COMPUTED_VALUE"""),12.0)</f>
        <v>12</v>
      </c>
      <c r="I1125" s="13" t="str">
        <f>IFERROR(__xludf.DUMMYFUNCTION("""COMPUTED_VALUE"""),"General Petite")</f>
        <v>General Petite</v>
      </c>
      <c r="J1125" s="13" t="str">
        <f>IFERROR(__xludf.DUMMYFUNCTION("""COMPUTED_VALUE"""),"Dresses")</f>
        <v>Dresses</v>
      </c>
      <c r="K1125" s="13" t="str">
        <f>IFERROR(__xludf.DUMMYFUNCTION("""COMPUTED_VALUE"""),"Dresses")</f>
        <v>Dresses</v>
      </c>
      <c r="L1125" s="13"/>
    </row>
    <row r="1126">
      <c r="A1126" s="13">
        <f>IFERROR(__xludf.DUMMYFUNCTION("""COMPUTED_VALUE"""),1124.0)</f>
        <v>1124</v>
      </c>
      <c r="B1126" s="13">
        <f>IFERROR(__xludf.DUMMYFUNCTION("""COMPUTED_VALUE"""),875.0)</f>
        <v>875</v>
      </c>
      <c r="C1126" s="13">
        <f>IFERROR(__xludf.DUMMYFUNCTION("""COMPUTED_VALUE"""),64.0)</f>
        <v>64</v>
      </c>
      <c r="D1126" s="12" t="str">
        <f>IFERROR(__xludf.DUMMYFUNCTION("""COMPUTED_VALUE"""),"Cute and comfortable")</f>
        <v>Cute and comfortable</v>
      </c>
      <c r="E1126" s="12" t="str">
        <f>IFERROR(__xludf.DUMMYFUNCTION("""COMPUTED_VALUE"""),"I was surprised how soft and comfy the fabric is on this top. when i tried it on, i didn't want to take it off! it's a little bigger than i would like - i got a small, and am usually between xs and s. may have sized down if the top were available.but the "&amp;"fit and cut are flattering.")</f>
        <v>I was surprised how soft and comfy the fabric is on this top. when i tried it on, i didn't want to take it off! it's a little bigger than i would like - i got a small, and am usually between xs and s. may have sized down if the top were available.but the fit and cut are flattering.</v>
      </c>
      <c r="F1126" s="13">
        <f>IFERROR(__xludf.DUMMYFUNCTION("""COMPUTED_VALUE"""),5.0)</f>
        <v>5</v>
      </c>
      <c r="G1126" s="13">
        <f>IFERROR(__xludf.DUMMYFUNCTION("""COMPUTED_VALUE"""),1.0)</f>
        <v>1</v>
      </c>
      <c r="H1126" s="13">
        <f>IFERROR(__xludf.DUMMYFUNCTION("""COMPUTED_VALUE"""),0.0)</f>
        <v>0</v>
      </c>
      <c r="I1126" s="13" t="str">
        <f>IFERROR(__xludf.DUMMYFUNCTION("""COMPUTED_VALUE"""),"General")</f>
        <v>General</v>
      </c>
      <c r="J1126" s="13" t="str">
        <f>IFERROR(__xludf.DUMMYFUNCTION("""COMPUTED_VALUE"""),"Tops")</f>
        <v>Tops</v>
      </c>
      <c r="K1126" s="13" t="str">
        <f>IFERROR(__xludf.DUMMYFUNCTION("""COMPUTED_VALUE"""),"Knits")</f>
        <v>Knits</v>
      </c>
      <c r="L1126" s="13"/>
    </row>
    <row r="1127">
      <c r="A1127" s="13">
        <f>IFERROR(__xludf.DUMMYFUNCTION("""COMPUTED_VALUE"""),1125.0)</f>
        <v>1125</v>
      </c>
      <c r="B1127" s="13">
        <f>IFERROR(__xludf.DUMMYFUNCTION("""COMPUTED_VALUE"""),992.0)</f>
        <v>992</v>
      </c>
      <c r="C1127" s="13">
        <f>IFERROR(__xludf.DUMMYFUNCTION("""COMPUTED_VALUE"""),39.0)</f>
        <v>39</v>
      </c>
      <c r="D1127" s="12"/>
      <c r="E1127" s="12" t="str">
        <f>IFERROR(__xludf.DUMMYFUNCTION("""COMPUTED_VALUE"""),"I usually wear a size 8/10 and i needed a large in this skirt. it flows so beautifully!")</f>
        <v>I usually wear a size 8/10 and i needed a large in this skirt. it flows so beautifully!</v>
      </c>
      <c r="F1127" s="13">
        <f>IFERROR(__xludf.DUMMYFUNCTION("""COMPUTED_VALUE"""),5.0)</f>
        <v>5</v>
      </c>
      <c r="G1127" s="13">
        <f>IFERROR(__xludf.DUMMYFUNCTION("""COMPUTED_VALUE"""),1.0)</f>
        <v>1</v>
      </c>
      <c r="H1127" s="13">
        <f>IFERROR(__xludf.DUMMYFUNCTION("""COMPUTED_VALUE"""),0.0)</f>
        <v>0</v>
      </c>
      <c r="I1127" s="13" t="str">
        <f>IFERROR(__xludf.DUMMYFUNCTION("""COMPUTED_VALUE"""),"General Petite")</f>
        <v>General Petite</v>
      </c>
      <c r="J1127" s="13" t="str">
        <f>IFERROR(__xludf.DUMMYFUNCTION("""COMPUTED_VALUE"""),"Bottoms")</f>
        <v>Bottoms</v>
      </c>
      <c r="K1127" s="13" t="str">
        <f>IFERROR(__xludf.DUMMYFUNCTION("""COMPUTED_VALUE"""),"Skirts")</f>
        <v>Skirts</v>
      </c>
      <c r="L1127" s="13"/>
    </row>
    <row r="1128">
      <c r="A1128" s="13">
        <f>IFERROR(__xludf.DUMMYFUNCTION("""COMPUTED_VALUE"""),1126.0)</f>
        <v>1126</v>
      </c>
      <c r="B1128" s="13">
        <f>IFERROR(__xludf.DUMMYFUNCTION("""COMPUTED_VALUE"""),860.0)</f>
        <v>860</v>
      </c>
      <c r="C1128" s="13">
        <f>IFERROR(__xludf.DUMMYFUNCTION("""COMPUTED_VALUE"""),53.0)</f>
        <v>53</v>
      </c>
      <c r="D1128" s="12" t="str">
        <f>IFERROR(__xludf.DUMMYFUNCTION("""COMPUTED_VALUE"""),"Favorite summer top")</f>
        <v>Favorite summer top</v>
      </c>
      <c r="E1128" s="12" t="str">
        <f>IFERROR(__xludf.DUMMYFUNCTION("""COMPUTED_VALUE"""),"I love this little number. the quality is terrific, the weight is perfect, and the cut is superb. i love the way it fits and looks in the arms. i ordered my usual xxsp and it is perfect. i like that it is cool and flowy, without looking like maternity att"&amp;"ire. i have the bright turquoise and i am going to order another. i was about to order what looks like a yellow one, but i noticed the color is labeled ""chartreuse"". can anyone tell me if this is more yellow or green in ""real life""?")</f>
        <v>I love this little number. the quality is terrific, the weight is perfect, and the cut is superb. i love the way it fits and looks in the arms. i ordered my usual xxsp and it is perfect. i like that it is cool and flowy, without looking like maternity attire. i have the bright turquoise and i am going to order another. i was about to order what looks like a yellow one, but i noticed the color is labeled "chartreuse". can anyone tell me if this is more yellow or green in "real life"?</v>
      </c>
      <c r="F1128" s="13">
        <f>IFERROR(__xludf.DUMMYFUNCTION("""COMPUTED_VALUE"""),5.0)</f>
        <v>5</v>
      </c>
      <c r="G1128" s="13">
        <f>IFERROR(__xludf.DUMMYFUNCTION("""COMPUTED_VALUE"""),1.0)</f>
        <v>1</v>
      </c>
      <c r="H1128" s="13">
        <f>IFERROR(__xludf.DUMMYFUNCTION("""COMPUTED_VALUE"""),1.0)</f>
        <v>1</v>
      </c>
      <c r="I1128" s="13" t="str">
        <f>IFERROR(__xludf.DUMMYFUNCTION("""COMPUTED_VALUE"""),"General Petite")</f>
        <v>General Petite</v>
      </c>
      <c r="J1128" s="13" t="str">
        <f>IFERROR(__xludf.DUMMYFUNCTION("""COMPUTED_VALUE"""),"Tops")</f>
        <v>Tops</v>
      </c>
      <c r="K1128" s="13" t="str">
        <f>IFERROR(__xludf.DUMMYFUNCTION("""COMPUTED_VALUE"""),"Knits")</f>
        <v>Knits</v>
      </c>
      <c r="L1128" s="13"/>
    </row>
    <row r="1129">
      <c r="A1129" s="13">
        <f>IFERROR(__xludf.DUMMYFUNCTION("""COMPUTED_VALUE"""),1127.0)</f>
        <v>1127</v>
      </c>
      <c r="B1129" s="13">
        <f>IFERROR(__xludf.DUMMYFUNCTION("""COMPUTED_VALUE"""),777.0)</f>
        <v>777</v>
      </c>
      <c r="C1129" s="13">
        <f>IFERROR(__xludf.DUMMYFUNCTION("""COMPUTED_VALUE"""),48.0)</f>
        <v>48</v>
      </c>
      <c r="D1129" s="12" t="str">
        <f>IFERROR(__xludf.DUMMYFUNCTION("""COMPUTED_VALUE"""),"Happy girl!")</f>
        <v>Happy girl!</v>
      </c>
      <c r="E1129" s="12" t="str">
        <f>IFERROR(__xludf.DUMMYFUNCTION("""COMPUTED_VALUE"""),"One of 3 pair of leggings ordered and the only pair to fit properly! size l was perfect for me. they stretched nicely going on and the beautiful floral design on the legs didn't get distorted or faded looking from the stretch. wearing these makes me happy"&amp;" :)")</f>
        <v>One of 3 pair of leggings ordered and the only pair to fit properly! size l was perfect for me. they stretched nicely going on and the beautiful floral design on the legs didn't get distorted or faded looking from the stretch. wearing these makes me happy :)</v>
      </c>
      <c r="F1129" s="13">
        <f>IFERROR(__xludf.DUMMYFUNCTION("""COMPUTED_VALUE"""),5.0)</f>
        <v>5</v>
      </c>
      <c r="G1129" s="13">
        <f>IFERROR(__xludf.DUMMYFUNCTION("""COMPUTED_VALUE"""),1.0)</f>
        <v>1</v>
      </c>
      <c r="H1129" s="13">
        <f>IFERROR(__xludf.DUMMYFUNCTION("""COMPUTED_VALUE"""),1.0)</f>
        <v>1</v>
      </c>
      <c r="I1129" s="13" t="str">
        <f>IFERROR(__xludf.DUMMYFUNCTION("""COMPUTED_VALUE"""),"Initmates")</f>
        <v>Initmates</v>
      </c>
      <c r="J1129" s="13" t="str">
        <f>IFERROR(__xludf.DUMMYFUNCTION("""COMPUTED_VALUE"""),"Intimate")</f>
        <v>Intimate</v>
      </c>
      <c r="K1129" s="13" t="str">
        <f>IFERROR(__xludf.DUMMYFUNCTION("""COMPUTED_VALUE"""),"Lounge")</f>
        <v>Lounge</v>
      </c>
      <c r="L1129" s="13"/>
    </row>
    <row r="1130">
      <c r="A1130" s="13">
        <f>IFERROR(__xludf.DUMMYFUNCTION("""COMPUTED_VALUE"""),1128.0)</f>
        <v>1128</v>
      </c>
      <c r="B1130" s="13">
        <f>IFERROR(__xludf.DUMMYFUNCTION("""COMPUTED_VALUE"""),777.0)</f>
        <v>777</v>
      </c>
      <c r="C1130" s="13">
        <f>IFERROR(__xludf.DUMMYFUNCTION("""COMPUTED_VALUE"""),64.0)</f>
        <v>64</v>
      </c>
      <c r="D1130" s="12" t="str">
        <f>IFERROR(__xludf.DUMMYFUNCTION("""COMPUTED_VALUE"""),"Unusual and eyecatching")</f>
        <v>Unusual and eyecatching</v>
      </c>
      <c r="E1130" s="12" t="str">
        <f>IFERROR(__xludf.DUMMYFUNCTION("""COMPUTED_VALUE"""),"These leggings are beautiful! so unusual and colorful, comfortable, and flattering. they fit true-to-size with enough stretch to move with you yet retain their shape. the fabric is a bit lighter-weight than ponte but heavy enough to be completely opaque. "&amp;"i would definitely recommend these beautiful leggings to anyone who doesn't mind attracting a little (envious?) attention.")</f>
        <v>These leggings are beautiful! so unusual and colorful, comfortable, and flattering. they fit true-to-size with enough stretch to move with you yet retain their shape. the fabric is a bit lighter-weight than ponte but heavy enough to be completely opaque. i would definitely recommend these beautiful leggings to anyone who doesn't mind attracting a little (envious?) attention.</v>
      </c>
      <c r="F1130" s="13">
        <f>IFERROR(__xludf.DUMMYFUNCTION("""COMPUTED_VALUE"""),5.0)</f>
        <v>5</v>
      </c>
      <c r="G1130" s="13">
        <f>IFERROR(__xludf.DUMMYFUNCTION("""COMPUTED_VALUE"""),1.0)</f>
        <v>1</v>
      </c>
      <c r="H1130" s="13">
        <f>IFERROR(__xludf.DUMMYFUNCTION("""COMPUTED_VALUE"""),1.0)</f>
        <v>1</v>
      </c>
      <c r="I1130" s="13" t="str">
        <f>IFERROR(__xludf.DUMMYFUNCTION("""COMPUTED_VALUE"""),"Initmates")</f>
        <v>Initmates</v>
      </c>
      <c r="J1130" s="13" t="str">
        <f>IFERROR(__xludf.DUMMYFUNCTION("""COMPUTED_VALUE"""),"Intimate")</f>
        <v>Intimate</v>
      </c>
      <c r="K1130" s="13" t="str">
        <f>IFERROR(__xludf.DUMMYFUNCTION("""COMPUTED_VALUE"""),"Lounge")</f>
        <v>Lounge</v>
      </c>
      <c r="L1130" s="13"/>
    </row>
    <row r="1131">
      <c r="A1131" s="13">
        <f>IFERROR(__xludf.DUMMYFUNCTION("""COMPUTED_VALUE"""),1129.0)</f>
        <v>1129</v>
      </c>
      <c r="B1131" s="13">
        <f>IFERROR(__xludf.DUMMYFUNCTION("""COMPUTED_VALUE"""),860.0)</f>
        <v>860</v>
      </c>
      <c r="C1131" s="13">
        <f>IFERROR(__xludf.DUMMYFUNCTION("""COMPUTED_VALUE"""),48.0)</f>
        <v>48</v>
      </c>
      <c r="D1131" s="12" t="str">
        <f>IFERROR(__xludf.DUMMYFUNCTION("""COMPUTED_VALUE"""),"Beautiful in blue!")</f>
        <v>Beautiful in blue!</v>
      </c>
      <c r="E1131" s="12" t="str">
        <f>IFERROR(__xludf.DUMMYFUNCTION("""COMPUTED_VALUE"""),"I totally love this tank! the yoke detailing is so pretty! i read the other reviews...i feel it fits pretty tts, it's what i expected. i have already worn it several times since it arrived in the mail. i love it so much, i'm ordering it in the turquoise c"&amp;"olor as well. every time i have worn it, i have received compliments. i've worn it alone with shorts and/or jeans, as well as with a cardigan and dress pants for work. it's soft, comfortable and to echo what another review stated, the material s")</f>
        <v>I totally love this tank! the yoke detailing is so pretty! i read the other reviews...i feel it fits pretty tts, it's what i expected. i have already worn it several times since it arrived in the mail. i love it so much, i'm ordering it in the turquoise color as well. every time i have worn it, i have received compliments. i've worn it alone with shorts and/or jeans, as well as with a cardigan and dress pants for work. it's soft, comfortable and to echo what another review stated, the material s</v>
      </c>
      <c r="F1131" s="13">
        <f>IFERROR(__xludf.DUMMYFUNCTION("""COMPUTED_VALUE"""),5.0)</f>
        <v>5</v>
      </c>
      <c r="G1131" s="13">
        <f>IFERROR(__xludf.DUMMYFUNCTION("""COMPUTED_VALUE"""),1.0)</f>
        <v>1</v>
      </c>
      <c r="H1131" s="13">
        <f>IFERROR(__xludf.DUMMYFUNCTION("""COMPUTED_VALUE"""),2.0)</f>
        <v>2</v>
      </c>
      <c r="I1131" s="13" t="str">
        <f>IFERROR(__xludf.DUMMYFUNCTION("""COMPUTED_VALUE"""),"General Petite")</f>
        <v>General Petite</v>
      </c>
      <c r="J1131" s="13" t="str">
        <f>IFERROR(__xludf.DUMMYFUNCTION("""COMPUTED_VALUE"""),"Tops")</f>
        <v>Tops</v>
      </c>
      <c r="K1131" s="13" t="str">
        <f>IFERROR(__xludf.DUMMYFUNCTION("""COMPUTED_VALUE"""),"Knits")</f>
        <v>Knits</v>
      </c>
      <c r="L1131" s="13"/>
    </row>
    <row r="1132">
      <c r="A1132" s="13">
        <f>IFERROR(__xludf.DUMMYFUNCTION("""COMPUTED_VALUE"""),1130.0)</f>
        <v>1130</v>
      </c>
      <c r="B1132" s="13">
        <f>IFERROR(__xludf.DUMMYFUNCTION("""COMPUTED_VALUE"""),860.0)</f>
        <v>860</v>
      </c>
      <c r="C1132" s="13">
        <f>IFERROR(__xludf.DUMMYFUNCTION("""COMPUTED_VALUE"""),39.0)</f>
        <v>39</v>
      </c>
      <c r="D1132" s="12" t="str">
        <f>IFERROR(__xludf.DUMMYFUNCTION("""COMPUTED_VALUE"""),"Gorgeous!")</f>
        <v>Gorgeous!</v>
      </c>
      <c r="E1132" s="12" t="str">
        <f>IFERROR(__xludf.DUMMYFUNCTION("""COMPUTED_VALUE"""),"Gorgeous cobalt blue color!!!  usually s/m- bought the small (because of larger armholes).  so glad i snatched this one up on sale!  the detail on the top is amazing.")</f>
        <v>Gorgeous cobalt blue color!!!  usually s/m- bought the small (because of larger armholes).  so glad i snatched this one up on sale!  the detail on the top is amazing.</v>
      </c>
      <c r="F1132" s="13">
        <f>IFERROR(__xludf.DUMMYFUNCTION("""COMPUTED_VALUE"""),5.0)</f>
        <v>5</v>
      </c>
      <c r="G1132" s="13">
        <f>IFERROR(__xludf.DUMMYFUNCTION("""COMPUTED_VALUE"""),1.0)</f>
        <v>1</v>
      </c>
      <c r="H1132" s="13">
        <f>IFERROR(__xludf.DUMMYFUNCTION("""COMPUTED_VALUE"""),0.0)</f>
        <v>0</v>
      </c>
      <c r="I1132" s="13" t="str">
        <f>IFERROR(__xludf.DUMMYFUNCTION("""COMPUTED_VALUE"""),"General Petite")</f>
        <v>General Petite</v>
      </c>
      <c r="J1132" s="13" t="str">
        <f>IFERROR(__xludf.DUMMYFUNCTION("""COMPUTED_VALUE"""),"Tops")</f>
        <v>Tops</v>
      </c>
      <c r="K1132" s="13" t="str">
        <f>IFERROR(__xludf.DUMMYFUNCTION("""COMPUTED_VALUE"""),"Knits")</f>
        <v>Knits</v>
      </c>
      <c r="L1132" s="13"/>
    </row>
    <row r="1133">
      <c r="A1133" s="13">
        <f>IFERROR(__xludf.DUMMYFUNCTION("""COMPUTED_VALUE"""),1131.0)</f>
        <v>1131</v>
      </c>
      <c r="B1133" s="13">
        <f>IFERROR(__xludf.DUMMYFUNCTION("""COMPUTED_VALUE"""),927.0)</f>
        <v>927</v>
      </c>
      <c r="C1133" s="13">
        <f>IFERROR(__xludf.DUMMYFUNCTION("""COMPUTED_VALUE"""),33.0)</f>
        <v>33</v>
      </c>
      <c r="D1133" s="12"/>
      <c r="E1133" s="12" t="str">
        <f>IFERROR(__xludf.DUMMYFUNCTION("""COMPUTED_VALUE"""),"I like the idea of the pullover. the quality of is nice; the material is very soft and feels pleasant to the touch.
i expected this sweater to be more flattering though. it is true to size, but the length is strange. it seems a bit too long, yet is too s"&amp;"hort to look like a longer tunic. or maybe the waistline is a little low... whatever it is, it makes me look like i have short legs.
also, the collar won't stay down, the way it is shown in the picture. but it may work better for someone wi")</f>
        <v>I like the idea of the pullover. the quality of is nice; the material is very soft and feels pleasant to the touch.
i expected this sweater to be more flattering though. it is true to size, but the length is strange. it seems a bit too long, yet is too short to look like a longer tunic. or maybe the waistline is a little low... whatever it is, it makes me look like i have short legs.
also, the collar won't stay down, the way it is shown in the picture. but it may work better for someone wi</v>
      </c>
      <c r="F1133" s="13">
        <f>IFERROR(__xludf.DUMMYFUNCTION("""COMPUTED_VALUE"""),3.0)</f>
        <v>3</v>
      </c>
      <c r="G1133" s="13">
        <f>IFERROR(__xludf.DUMMYFUNCTION("""COMPUTED_VALUE"""),1.0)</f>
        <v>1</v>
      </c>
      <c r="H1133" s="13">
        <f>IFERROR(__xludf.DUMMYFUNCTION("""COMPUTED_VALUE"""),7.0)</f>
        <v>7</v>
      </c>
      <c r="I1133" s="13" t="str">
        <f>IFERROR(__xludf.DUMMYFUNCTION("""COMPUTED_VALUE"""),"General")</f>
        <v>General</v>
      </c>
      <c r="J1133" s="13" t="str">
        <f>IFERROR(__xludf.DUMMYFUNCTION("""COMPUTED_VALUE"""),"Tops")</f>
        <v>Tops</v>
      </c>
      <c r="K1133" s="13" t="str">
        <f>IFERROR(__xludf.DUMMYFUNCTION("""COMPUTED_VALUE"""),"Sweaters")</f>
        <v>Sweaters</v>
      </c>
      <c r="L1133" s="13"/>
    </row>
    <row r="1134">
      <c r="A1134" s="13">
        <f>IFERROR(__xludf.DUMMYFUNCTION("""COMPUTED_VALUE"""),1132.0)</f>
        <v>1132</v>
      </c>
      <c r="B1134" s="13">
        <f>IFERROR(__xludf.DUMMYFUNCTION("""COMPUTED_VALUE"""),1089.0)</f>
        <v>1089</v>
      </c>
      <c r="C1134" s="13">
        <f>IFERROR(__xludf.DUMMYFUNCTION("""COMPUTED_VALUE"""),68.0)</f>
        <v>68</v>
      </c>
      <c r="D1134" s="12" t="str">
        <f>IFERROR(__xludf.DUMMYFUNCTION("""COMPUTED_VALUE"""),"Cute but runs small")</f>
        <v>Cute but runs small</v>
      </c>
      <c r="E1134" s="12" t="str">
        <f>IFERROR(__xludf.DUMMYFUNCTION("""COMPUTED_VALUE"""),"This dress is attractive but it runs a little small. i'm a small curvy girl who usually wears a 2. this was small in the top and short waisted. i wanted to wear it to a recent event and didn't have time to return it for another size.")</f>
        <v>This dress is attractive but it runs a little small. i'm a small curvy girl who usually wears a 2. this was small in the top and short waisted. i wanted to wear it to a recent event and didn't have time to return it for another size.</v>
      </c>
      <c r="F1134" s="13">
        <f>IFERROR(__xludf.DUMMYFUNCTION("""COMPUTED_VALUE"""),4.0)</f>
        <v>4</v>
      </c>
      <c r="G1134" s="13">
        <f>IFERROR(__xludf.DUMMYFUNCTION("""COMPUTED_VALUE"""),1.0)</f>
        <v>1</v>
      </c>
      <c r="H1134" s="13">
        <f>IFERROR(__xludf.DUMMYFUNCTION("""COMPUTED_VALUE"""),9.0)</f>
        <v>9</v>
      </c>
      <c r="I1134" s="13" t="str">
        <f>IFERROR(__xludf.DUMMYFUNCTION("""COMPUTED_VALUE"""),"General Petite")</f>
        <v>General Petite</v>
      </c>
      <c r="J1134" s="13" t="str">
        <f>IFERROR(__xludf.DUMMYFUNCTION("""COMPUTED_VALUE"""),"Dresses")</f>
        <v>Dresses</v>
      </c>
      <c r="K1134" s="13" t="str">
        <f>IFERROR(__xludf.DUMMYFUNCTION("""COMPUTED_VALUE"""),"Dresses")</f>
        <v>Dresses</v>
      </c>
      <c r="L1134" s="13"/>
    </row>
    <row r="1135">
      <c r="A1135" s="13">
        <f>IFERROR(__xludf.DUMMYFUNCTION("""COMPUTED_VALUE"""),1133.0)</f>
        <v>1133</v>
      </c>
      <c r="B1135" s="13">
        <f>IFERROR(__xludf.DUMMYFUNCTION("""COMPUTED_VALUE"""),777.0)</f>
        <v>777</v>
      </c>
      <c r="C1135" s="13">
        <f>IFERROR(__xludf.DUMMYFUNCTION("""COMPUTED_VALUE"""),36.0)</f>
        <v>36</v>
      </c>
      <c r="D1135" s="12" t="str">
        <f>IFERROR(__xludf.DUMMYFUNCTION("""COMPUTED_VALUE"""),"Not what i thought")</f>
        <v>Not what i thought</v>
      </c>
      <c r="E1135" s="12" t="str">
        <f>IFERROR(__xludf.DUMMYFUNCTION("""COMPUTED_VALUE"""),"These leggings were way longer and darker then appeared on model. 
they also were see through or beige color when stretched across hip.
especially for the high cost, there are much better althleisure leggings on the market.")</f>
        <v>These leggings were way longer and darker then appeared on model. 
they also were see through or beige color when stretched across hip.
especially for the high cost, there are much better althleisure leggings on the market.</v>
      </c>
      <c r="F1135" s="13">
        <f>IFERROR(__xludf.DUMMYFUNCTION("""COMPUTED_VALUE"""),3.0)</f>
        <v>3</v>
      </c>
      <c r="G1135" s="13">
        <f>IFERROR(__xludf.DUMMYFUNCTION("""COMPUTED_VALUE"""),0.0)</f>
        <v>0</v>
      </c>
      <c r="H1135" s="13">
        <f>IFERROR(__xludf.DUMMYFUNCTION("""COMPUTED_VALUE"""),1.0)</f>
        <v>1</v>
      </c>
      <c r="I1135" s="13" t="str">
        <f>IFERROR(__xludf.DUMMYFUNCTION("""COMPUTED_VALUE"""),"Initmates")</f>
        <v>Initmates</v>
      </c>
      <c r="J1135" s="13" t="str">
        <f>IFERROR(__xludf.DUMMYFUNCTION("""COMPUTED_VALUE"""),"Intimate")</f>
        <v>Intimate</v>
      </c>
      <c r="K1135" s="13" t="str">
        <f>IFERROR(__xludf.DUMMYFUNCTION("""COMPUTED_VALUE"""),"Lounge")</f>
        <v>Lounge</v>
      </c>
      <c r="L1135" s="13"/>
    </row>
    <row r="1136">
      <c r="A1136" s="13">
        <f>IFERROR(__xludf.DUMMYFUNCTION("""COMPUTED_VALUE"""),1134.0)</f>
        <v>1134</v>
      </c>
      <c r="B1136" s="13">
        <f>IFERROR(__xludf.DUMMYFUNCTION("""COMPUTED_VALUE"""),992.0)</f>
        <v>992</v>
      </c>
      <c r="C1136" s="13">
        <f>IFERROR(__xludf.DUMMYFUNCTION("""COMPUTED_VALUE"""),62.0)</f>
        <v>62</v>
      </c>
      <c r="D1136" s="12" t="str">
        <f>IFERROR(__xludf.DUMMYFUNCTION("""COMPUTED_VALUE"""),"Beautiful day to evening skirt")</f>
        <v>Beautiful day to evening skirt</v>
      </c>
      <c r="E1136" s="12" t="str">
        <f>IFERROR(__xludf.DUMMYFUNCTION("""COMPUTED_VALUE"""),"A lovely skirt and i'm so glad i found it before the medium sold out! having said that, i expected the medium to run small and that i'd have to squeeze into it but having tried it on this evening it's not the case at all. i nice fit. i might even have fit"&amp;"ted into a small, which i think is the only size remaining. the skirt is very spain inspired. very flamenco! i love it! i will say that you'd need a bit of height to wear this skirt due to the length at the back. i'm 5'6"" which is tall enough fo")</f>
        <v>A lovely skirt and i'm so glad i found it before the medium sold out! having said that, i expected the medium to run small and that i'd have to squeeze into it but having tried it on this evening it's not the case at all. i nice fit. i might even have fitted into a small, which i think is the only size remaining. the skirt is very spain inspired. very flamenco! i love it! i will say that you'd need a bit of height to wear this skirt due to the length at the back. i'm 5'6" which is tall enough fo</v>
      </c>
      <c r="F1136" s="13">
        <f>IFERROR(__xludf.DUMMYFUNCTION("""COMPUTED_VALUE"""),4.0)</f>
        <v>4</v>
      </c>
      <c r="G1136" s="13">
        <f>IFERROR(__xludf.DUMMYFUNCTION("""COMPUTED_VALUE"""),1.0)</f>
        <v>1</v>
      </c>
      <c r="H1136" s="13">
        <f>IFERROR(__xludf.DUMMYFUNCTION("""COMPUTED_VALUE"""),0.0)</f>
        <v>0</v>
      </c>
      <c r="I1136" s="13" t="str">
        <f>IFERROR(__xludf.DUMMYFUNCTION("""COMPUTED_VALUE"""),"General Petite")</f>
        <v>General Petite</v>
      </c>
      <c r="J1136" s="13" t="str">
        <f>IFERROR(__xludf.DUMMYFUNCTION("""COMPUTED_VALUE"""),"Bottoms")</f>
        <v>Bottoms</v>
      </c>
      <c r="K1136" s="13" t="str">
        <f>IFERROR(__xludf.DUMMYFUNCTION("""COMPUTED_VALUE"""),"Skirts")</f>
        <v>Skirts</v>
      </c>
      <c r="L1136" s="13"/>
    </row>
    <row r="1137">
      <c r="A1137" s="13">
        <f>IFERROR(__xludf.DUMMYFUNCTION("""COMPUTED_VALUE"""),1135.0)</f>
        <v>1135</v>
      </c>
      <c r="B1137" s="13">
        <f>IFERROR(__xludf.DUMMYFUNCTION("""COMPUTED_VALUE"""),1068.0)</f>
        <v>1068</v>
      </c>
      <c r="C1137" s="13">
        <f>IFERROR(__xludf.DUMMYFUNCTION("""COMPUTED_VALUE"""),42.0)</f>
        <v>42</v>
      </c>
      <c r="D1137" s="12" t="str">
        <f>IFERROR(__xludf.DUMMYFUNCTION("""COMPUTED_VALUE"""),"Stretch out a whole size")</f>
        <v>Stretch out a whole size</v>
      </c>
      <c r="E1137" s="12" t="str">
        <f>IFERROR(__xludf.DUMMYFUNCTION("""COMPUTED_VALUE"""),"First, the good parts: these are adorable in person and (i think) the colors are prettier in person than in the pictures. the green isn't too army green, it's a pretty nice mellow neutral that you could wear with reds, whites, blues, pinks...virtually any"&amp;" color.
the tencel fabric is super soft and comfortable and the drape is nice. they do seem to run a little large, so i'd size down if you're between sizes.
and now, sadly, the bad: these stretch out virtually an entire size after just about a")</f>
        <v>First, the good parts: these are adorable in person and (i think) the colors are prettier in person than in the pictures. the green isn't too army green, it's a pretty nice mellow neutral that you could wear with reds, whites, blues, pinks...virtually any color.
the tencel fabric is super soft and comfortable and the drape is nice. they do seem to run a little large, so i'd size down if you're between sizes.
and now, sadly, the bad: these stretch out virtually an entire size after just about a</v>
      </c>
      <c r="F1137" s="13">
        <f>IFERROR(__xludf.DUMMYFUNCTION("""COMPUTED_VALUE"""),2.0)</f>
        <v>2</v>
      </c>
      <c r="G1137" s="13">
        <f>IFERROR(__xludf.DUMMYFUNCTION("""COMPUTED_VALUE"""),0.0)</f>
        <v>0</v>
      </c>
      <c r="H1137" s="13">
        <f>IFERROR(__xludf.DUMMYFUNCTION("""COMPUTED_VALUE"""),30.0)</f>
        <v>30</v>
      </c>
      <c r="I1137" s="13" t="str">
        <f>IFERROR(__xludf.DUMMYFUNCTION("""COMPUTED_VALUE"""),"General")</f>
        <v>General</v>
      </c>
      <c r="J1137" s="13" t="str">
        <f>IFERROR(__xludf.DUMMYFUNCTION("""COMPUTED_VALUE"""),"Bottoms")</f>
        <v>Bottoms</v>
      </c>
      <c r="K1137" s="13" t="str">
        <f>IFERROR(__xludf.DUMMYFUNCTION("""COMPUTED_VALUE"""),"Pants")</f>
        <v>Pants</v>
      </c>
      <c r="L1137" s="13"/>
    </row>
    <row r="1138">
      <c r="A1138" s="13">
        <f>IFERROR(__xludf.DUMMYFUNCTION("""COMPUTED_VALUE"""),1136.0)</f>
        <v>1136</v>
      </c>
      <c r="B1138" s="13">
        <f>IFERROR(__xludf.DUMMYFUNCTION("""COMPUTED_VALUE"""),1068.0)</f>
        <v>1068</v>
      </c>
      <c r="C1138" s="13">
        <f>IFERROR(__xludf.DUMMYFUNCTION("""COMPUTED_VALUE"""),37.0)</f>
        <v>37</v>
      </c>
      <c r="D1138" s="12" t="str">
        <f>IFERROR(__xludf.DUMMYFUNCTION("""COMPUTED_VALUE"""),"Love love love!")</f>
        <v>Love love love!</v>
      </c>
      <c r="E1138" s="12" t="str">
        <f>IFERROR(__xludf.DUMMYFUNCTION("""COMPUTED_VALUE"""),"I adore these little joggers. i was immediately drawn to the color (army green) and the little details. i carry all my weight on bottom, so i don't often wear many retailer bottoms (i'm usually a 16). i tried the xl on just to see how they would work and "&amp;"i was pleasantly surprised! they are absolutely perfect. they fit a little baggy, as joggers do, and go with just about everything! mine did loosen a tad, but not like the previous reviewer. i highly recommend these! can't wait to wear these throu")</f>
        <v>I adore these little joggers. i was immediately drawn to the color (army green) and the little details. i carry all my weight on bottom, so i don't often wear many retailer bottoms (i'm usually a 16). i tried the xl on just to see how they would work and i was pleasantly surprised! they are absolutely perfect. they fit a little baggy, as joggers do, and go with just about everything! mine did loosen a tad, but not like the previous reviewer. i highly recommend these! can't wait to wear these throu</v>
      </c>
      <c r="F1138" s="13">
        <f>IFERROR(__xludf.DUMMYFUNCTION("""COMPUTED_VALUE"""),5.0)</f>
        <v>5</v>
      </c>
      <c r="G1138" s="13">
        <f>IFERROR(__xludf.DUMMYFUNCTION("""COMPUTED_VALUE"""),1.0)</f>
        <v>1</v>
      </c>
      <c r="H1138" s="13">
        <f>IFERROR(__xludf.DUMMYFUNCTION("""COMPUTED_VALUE"""),10.0)</f>
        <v>10</v>
      </c>
      <c r="I1138" s="13" t="str">
        <f>IFERROR(__xludf.DUMMYFUNCTION("""COMPUTED_VALUE"""),"General")</f>
        <v>General</v>
      </c>
      <c r="J1138" s="13" t="str">
        <f>IFERROR(__xludf.DUMMYFUNCTION("""COMPUTED_VALUE"""),"Bottoms")</f>
        <v>Bottoms</v>
      </c>
      <c r="K1138" s="13" t="str">
        <f>IFERROR(__xludf.DUMMYFUNCTION("""COMPUTED_VALUE"""),"Pants")</f>
        <v>Pants</v>
      </c>
      <c r="L1138" s="13"/>
    </row>
    <row r="1139">
      <c r="A1139" s="13">
        <f>IFERROR(__xludf.DUMMYFUNCTION("""COMPUTED_VALUE"""),1137.0)</f>
        <v>1137</v>
      </c>
      <c r="B1139" s="13">
        <f>IFERROR(__xludf.DUMMYFUNCTION("""COMPUTED_VALUE"""),860.0)</f>
        <v>860</v>
      </c>
      <c r="C1139" s="13">
        <f>IFERROR(__xludf.DUMMYFUNCTION("""COMPUTED_VALUE"""),51.0)</f>
        <v>51</v>
      </c>
      <c r="D1139" s="12" t="str">
        <f>IFERROR(__xludf.DUMMYFUNCTION("""COMPUTED_VALUE"""),"Easy fit")</f>
        <v>Easy fit</v>
      </c>
      <c r="E1139" s="12" t="str">
        <f>IFERROR(__xludf.DUMMYFUNCTION("""COMPUTED_VALUE"""),"Love this tank. it has an easy fit that hides my post baby belly with out looking to wide.")</f>
        <v>Love this tank. it has an easy fit that hides my post baby belly with out looking to wide.</v>
      </c>
      <c r="F1139" s="13">
        <f>IFERROR(__xludf.DUMMYFUNCTION("""COMPUTED_VALUE"""),5.0)</f>
        <v>5</v>
      </c>
      <c r="G1139" s="13">
        <f>IFERROR(__xludf.DUMMYFUNCTION("""COMPUTED_VALUE"""),1.0)</f>
        <v>1</v>
      </c>
      <c r="H1139" s="13">
        <f>IFERROR(__xludf.DUMMYFUNCTION("""COMPUTED_VALUE"""),0.0)</f>
        <v>0</v>
      </c>
      <c r="I1139" s="13" t="str">
        <f>IFERROR(__xludf.DUMMYFUNCTION("""COMPUTED_VALUE"""),"General Petite")</f>
        <v>General Petite</v>
      </c>
      <c r="J1139" s="13" t="str">
        <f>IFERROR(__xludf.DUMMYFUNCTION("""COMPUTED_VALUE"""),"Tops")</f>
        <v>Tops</v>
      </c>
      <c r="K1139" s="13" t="str">
        <f>IFERROR(__xludf.DUMMYFUNCTION("""COMPUTED_VALUE"""),"Knits")</f>
        <v>Knits</v>
      </c>
      <c r="L1139" s="13"/>
    </row>
    <row r="1140">
      <c r="A1140" s="13">
        <f>IFERROR(__xludf.DUMMYFUNCTION("""COMPUTED_VALUE"""),1138.0)</f>
        <v>1138</v>
      </c>
      <c r="B1140" s="13">
        <f>IFERROR(__xludf.DUMMYFUNCTION("""COMPUTED_VALUE"""),831.0)</f>
        <v>831</v>
      </c>
      <c r="C1140" s="13">
        <f>IFERROR(__xludf.DUMMYFUNCTION("""COMPUTED_VALUE"""),38.0)</f>
        <v>38</v>
      </c>
      <c r="D1140" s="12" t="str">
        <f>IFERROR(__xludf.DUMMYFUNCTION("""COMPUTED_VALUE"""),"Gorgeous top!")</f>
        <v>Gorgeous top!</v>
      </c>
      <c r="E1140" s="12" t="str">
        <f>IFERROR(__xludf.DUMMYFUNCTION("""COMPUTED_VALUE"""),"I love this blouse. the lace panels are slightly sheer, but nothing inappropriate. the solid fabric is a lovely sort of heavy crepe. stunning bright cobalt blue color. i'm an xl in retailer and this top fit well in xl; ever so slightly snug at one part on"&amp;" the sleeve but nothing noticeable or uncomfortable. be aware, this did bleed blue when it was soaking and it did drip blue water while it was air drying on the hanger. while this blouse is still wet i would stretch out the sides and sleeves to ge")</f>
        <v>I love this blouse. the lace panels are slightly sheer, but nothing inappropriate. the solid fabric is a lovely sort of heavy crepe. stunning bright cobalt blue color. i'm an xl in retailer and this top fit well in xl; ever so slightly snug at one part on the sleeve but nothing noticeable or uncomfortable. be aware, this did bleed blue when it was soaking and it did drip blue water while it was air drying on the hanger. while this blouse is still wet i would stretch out the sides and sleeves to ge</v>
      </c>
      <c r="F1140" s="13">
        <f>IFERROR(__xludf.DUMMYFUNCTION("""COMPUTED_VALUE"""),5.0)</f>
        <v>5</v>
      </c>
      <c r="G1140" s="13">
        <f>IFERROR(__xludf.DUMMYFUNCTION("""COMPUTED_VALUE"""),1.0)</f>
        <v>1</v>
      </c>
      <c r="H1140" s="13">
        <f>IFERROR(__xludf.DUMMYFUNCTION("""COMPUTED_VALUE"""),2.0)</f>
        <v>2</v>
      </c>
      <c r="I1140" s="13" t="str">
        <f>IFERROR(__xludf.DUMMYFUNCTION("""COMPUTED_VALUE"""),"General")</f>
        <v>General</v>
      </c>
      <c r="J1140" s="13" t="str">
        <f>IFERROR(__xludf.DUMMYFUNCTION("""COMPUTED_VALUE"""),"Tops")</f>
        <v>Tops</v>
      </c>
      <c r="K1140" s="13" t="str">
        <f>IFERROR(__xludf.DUMMYFUNCTION("""COMPUTED_VALUE"""),"Blouses")</f>
        <v>Blouses</v>
      </c>
      <c r="L1140" s="13"/>
    </row>
    <row r="1141">
      <c r="A1141" s="13">
        <f>IFERROR(__xludf.DUMMYFUNCTION("""COMPUTED_VALUE"""),1139.0)</f>
        <v>1139</v>
      </c>
      <c r="B1141" s="13">
        <f>IFERROR(__xludf.DUMMYFUNCTION("""COMPUTED_VALUE"""),1020.0)</f>
        <v>1020</v>
      </c>
      <c r="C1141" s="13">
        <f>IFERROR(__xludf.DUMMYFUNCTION("""COMPUTED_VALUE"""),59.0)</f>
        <v>59</v>
      </c>
      <c r="D1141" s="12" t="str">
        <f>IFERROR(__xludf.DUMMYFUNCTION("""COMPUTED_VALUE"""),"Shape problem")</f>
        <v>Shape problem</v>
      </c>
      <c r="E1141" s="12" t="str">
        <f>IFERROR(__xludf.DUMMYFUNCTION("""COMPUTED_VALUE"""),"This is a beautiful fabric and the skirt is so nice. what is wrong is the cut of the skirt. one side bells out more than the other, giving it an off center look from the front. my legs were not centered.")</f>
        <v>This is a beautiful fabric and the skirt is so nice. what is wrong is the cut of the skirt. one side bells out more than the other, giving it an off center look from the front. my legs were not centered.</v>
      </c>
      <c r="F1141" s="13">
        <f>IFERROR(__xludf.DUMMYFUNCTION("""COMPUTED_VALUE"""),3.0)</f>
        <v>3</v>
      </c>
      <c r="G1141" s="13">
        <f>IFERROR(__xludf.DUMMYFUNCTION("""COMPUTED_VALUE"""),0.0)</f>
        <v>0</v>
      </c>
      <c r="H1141" s="13">
        <f>IFERROR(__xludf.DUMMYFUNCTION("""COMPUTED_VALUE"""),6.0)</f>
        <v>6</v>
      </c>
      <c r="I1141" s="13" t="str">
        <f>IFERROR(__xludf.DUMMYFUNCTION("""COMPUTED_VALUE"""),"General Petite")</f>
        <v>General Petite</v>
      </c>
      <c r="J1141" s="13" t="str">
        <f>IFERROR(__xludf.DUMMYFUNCTION("""COMPUTED_VALUE"""),"Bottoms")</f>
        <v>Bottoms</v>
      </c>
      <c r="K1141" s="13" t="str">
        <f>IFERROR(__xludf.DUMMYFUNCTION("""COMPUTED_VALUE"""),"Skirts")</f>
        <v>Skirts</v>
      </c>
      <c r="L1141" s="13"/>
    </row>
    <row r="1142">
      <c r="A1142" s="13">
        <f>IFERROR(__xludf.DUMMYFUNCTION("""COMPUTED_VALUE"""),1140.0)</f>
        <v>1140</v>
      </c>
      <c r="B1142" s="13">
        <f>IFERROR(__xludf.DUMMYFUNCTION("""COMPUTED_VALUE"""),1089.0)</f>
        <v>1089</v>
      </c>
      <c r="C1142" s="13">
        <f>IFERROR(__xludf.DUMMYFUNCTION("""COMPUTED_VALUE"""),56.0)</f>
        <v>56</v>
      </c>
      <c r="D1142" s="12" t="str">
        <f>IFERROR(__xludf.DUMMYFUNCTION("""COMPUTED_VALUE"""),"Gorgeous - but.......")</f>
        <v>Gorgeous - but.......</v>
      </c>
      <c r="E1142" s="12" t="str">
        <f>IFERROR(__xludf.DUMMYFUNCTION("""COMPUTED_VALUE"""),"I so wanted to love this dress! the fabric is gorgeous the styling beautiful and the construction is great - however, the armholes are cut too generously. i am 5'4"", 138 pounds and 36d. i ordered the black in a size 10. it fit me perfectly everywhere but"&amp;" the armholes. even with an undergarment, too much is exposed. i am sadly returning this.")</f>
        <v>I so wanted to love this dress! the fabric is gorgeous the styling beautiful and the construction is great - however, the armholes are cut too generously. i am 5'4", 138 pounds and 36d. i ordered the black in a size 10. it fit me perfectly everywhere but the armholes. even with an undergarment, too much is exposed. i am sadly returning this.</v>
      </c>
      <c r="F1142" s="13">
        <f>IFERROR(__xludf.DUMMYFUNCTION("""COMPUTED_VALUE"""),3.0)</f>
        <v>3</v>
      </c>
      <c r="G1142" s="13">
        <f>IFERROR(__xludf.DUMMYFUNCTION("""COMPUTED_VALUE"""),0.0)</f>
        <v>0</v>
      </c>
      <c r="H1142" s="13">
        <f>IFERROR(__xludf.DUMMYFUNCTION("""COMPUTED_VALUE"""),4.0)</f>
        <v>4</v>
      </c>
      <c r="I1142" s="13" t="str">
        <f>IFERROR(__xludf.DUMMYFUNCTION("""COMPUTED_VALUE"""),"General Petite")</f>
        <v>General Petite</v>
      </c>
      <c r="J1142" s="13" t="str">
        <f>IFERROR(__xludf.DUMMYFUNCTION("""COMPUTED_VALUE"""),"Dresses")</f>
        <v>Dresses</v>
      </c>
      <c r="K1142" s="13" t="str">
        <f>IFERROR(__xludf.DUMMYFUNCTION("""COMPUTED_VALUE"""),"Dresses")</f>
        <v>Dresses</v>
      </c>
      <c r="L1142" s="13"/>
    </row>
    <row r="1143">
      <c r="A1143" s="13">
        <f>IFERROR(__xludf.DUMMYFUNCTION("""COMPUTED_VALUE"""),1141.0)</f>
        <v>1141</v>
      </c>
      <c r="B1143" s="13">
        <f>IFERROR(__xludf.DUMMYFUNCTION("""COMPUTED_VALUE"""),1068.0)</f>
        <v>1068</v>
      </c>
      <c r="C1143" s="13">
        <f>IFERROR(__xludf.DUMMYFUNCTION("""COMPUTED_VALUE"""),63.0)</f>
        <v>63</v>
      </c>
      <c r="D1143" s="12"/>
      <c r="E1143" s="12" t="str">
        <f>IFERROR(__xludf.DUMMYFUNCTION("""COMPUTED_VALUE"""),"Hei hei is my favorite line. i am a medium in all of the pants i have ever purchased from this brand.
i ordered these in the green and they arrived today. they fit me as if they were an xxl. i have a similar pair in rust from last summer so i assumed that"&amp;" they would be the same. 
obviously they are going back tomorrow . i'm very disappointed, they are a nice looking jogger and the color is pretty.")</f>
        <v>Hei hei is my favorite line. i am a medium in all of the pants i have ever purchased from this brand.
i ordered these in the green and they arrived today. they fit me as if they were an xxl. i have a similar pair in rust from last summer so i assumed that they would be the same. 
obviously they are going back tomorrow . i'm very disappointed, they are a nice looking jogger and the color is pretty.</v>
      </c>
      <c r="F1143" s="13">
        <f>IFERROR(__xludf.DUMMYFUNCTION("""COMPUTED_VALUE"""),2.0)</f>
        <v>2</v>
      </c>
      <c r="G1143" s="13">
        <f>IFERROR(__xludf.DUMMYFUNCTION("""COMPUTED_VALUE"""),0.0)</f>
        <v>0</v>
      </c>
      <c r="H1143" s="13">
        <f>IFERROR(__xludf.DUMMYFUNCTION("""COMPUTED_VALUE"""),0.0)</f>
        <v>0</v>
      </c>
      <c r="I1143" s="13" t="str">
        <f>IFERROR(__xludf.DUMMYFUNCTION("""COMPUTED_VALUE"""),"General")</f>
        <v>General</v>
      </c>
      <c r="J1143" s="13" t="str">
        <f>IFERROR(__xludf.DUMMYFUNCTION("""COMPUTED_VALUE"""),"Bottoms")</f>
        <v>Bottoms</v>
      </c>
      <c r="K1143" s="13" t="str">
        <f>IFERROR(__xludf.DUMMYFUNCTION("""COMPUTED_VALUE"""),"Pants")</f>
        <v>Pants</v>
      </c>
      <c r="L1143" s="13"/>
    </row>
    <row r="1144">
      <c r="A1144" s="13">
        <f>IFERROR(__xludf.DUMMYFUNCTION("""COMPUTED_VALUE"""),1142.0)</f>
        <v>1142</v>
      </c>
      <c r="B1144" s="13">
        <f>IFERROR(__xludf.DUMMYFUNCTION("""COMPUTED_VALUE"""),1089.0)</f>
        <v>1089</v>
      </c>
      <c r="C1144" s="13">
        <f>IFERROR(__xludf.DUMMYFUNCTION("""COMPUTED_VALUE"""),48.0)</f>
        <v>48</v>
      </c>
      <c r="D1144" s="12" t="str">
        <f>IFERROR(__xludf.DUMMYFUNCTION("""COMPUTED_VALUE"""),"Just average")</f>
        <v>Just average</v>
      </c>
      <c r="E1144" s="12" t="str">
        <f>IFERROR(__xludf.DUMMYFUNCTION("""COMPUTED_VALUE"""),"First of all, the label on this dress is maeve, not nue by shani. second, i just wasn't impressed. the fabric is cool...it has a sort of embossed look to it and it's somewhat shiny, which sets it apart in a good way. but the cut is just boring. the top fe"&amp;"lt dowdy to me...overall, i was underwhelmed by this dress and returned it.")</f>
        <v>First of all, the label on this dress is maeve, not nue by shani. second, i just wasn't impressed. the fabric is cool...it has a sort of embossed look to it and it's somewhat shiny, which sets it apart in a good way. but the cut is just boring. the top felt dowdy to me...overall, i was underwhelmed by this dress and returned it.</v>
      </c>
      <c r="F1144" s="13">
        <f>IFERROR(__xludf.DUMMYFUNCTION("""COMPUTED_VALUE"""),3.0)</f>
        <v>3</v>
      </c>
      <c r="G1144" s="13">
        <f>IFERROR(__xludf.DUMMYFUNCTION("""COMPUTED_VALUE"""),0.0)</f>
        <v>0</v>
      </c>
      <c r="H1144" s="13">
        <f>IFERROR(__xludf.DUMMYFUNCTION("""COMPUTED_VALUE"""),8.0)</f>
        <v>8</v>
      </c>
      <c r="I1144" s="13" t="str">
        <f>IFERROR(__xludf.DUMMYFUNCTION("""COMPUTED_VALUE"""),"General Petite")</f>
        <v>General Petite</v>
      </c>
      <c r="J1144" s="13" t="str">
        <f>IFERROR(__xludf.DUMMYFUNCTION("""COMPUTED_VALUE"""),"Dresses")</f>
        <v>Dresses</v>
      </c>
      <c r="K1144" s="13" t="str">
        <f>IFERROR(__xludf.DUMMYFUNCTION("""COMPUTED_VALUE"""),"Dresses")</f>
        <v>Dresses</v>
      </c>
      <c r="L1144" s="13"/>
    </row>
    <row r="1145">
      <c r="A1145" s="13">
        <f>IFERROR(__xludf.DUMMYFUNCTION("""COMPUTED_VALUE"""),1143.0)</f>
        <v>1143</v>
      </c>
      <c r="B1145" s="13">
        <f>IFERROR(__xludf.DUMMYFUNCTION("""COMPUTED_VALUE"""),860.0)</f>
        <v>860</v>
      </c>
      <c r="C1145" s="13">
        <f>IFERROR(__xludf.DUMMYFUNCTION("""COMPUTED_VALUE"""),32.0)</f>
        <v>32</v>
      </c>
      <c r="D1145" s="12" t="str">
        <f>IFERROR(__xludf.DUMMYFUNCTION("""COMPUTED_VALUE"""),"Maternity top")</f>
        <v>Maternity top</v>
      </c>
      <c r="E1145" s="12" t="str">
        <f>IFERROR(__xludf.DUMMYFUNCTION("""COMPUTED_VALUE"""),"I was really wanting a nice white summer blouse to pair with patterned skirts. unfortunately, this fell short as it was huge. not only was it big, it flared at the bottom. it would be perfect if i was sporting a baby bump, but not what i am going for righ"&amp;"t now. if the tank was a bit slimmer i would have kept it as a tunic.i'm sad that i'll have to return it.")</f>
        <v>I was really wanting a nice white summer blouse to pair with patterned skirts. unfortunately, this fell short as it was huge. not only was it big, it flared at the bottom. it would be perfect if i was sporting a baby bump, but not what i am going for right now. if the tank was a bit slimmer i would have kept it as a tunic.i'm sad that i'll have to return it.</v>
      </c>
      <c r="F1145" s="13">
        <f>IFERROR(__xludf.DUMMYFUNCTION("""COMPUTED_VALUE"""),2.0)</f>
        <v>2</v>
      </c>
      <c r="G1145" s="13">
        <f>IFERROR(__xludf.DUMMYFUNCTION("""COMPUTED_VALUE"""),0.0)</f>
        <v>0</v>
      </c>
      <c r="H1145" s="13">
        <f>IFERROR(__xludf.DUMMYFUNCTION("""COMPUTED_VALUE"""),1.0)</f>
        <v>1</v>
      </c>
      <c r="I1145" s="13" t="str">
        <f>IFERROR(__xludf.DUMMYFUNCTION("""COMPUTED_VALUE"""),"General Petite")</f>
        <v>General Petite</v>
      </c>
      <c r="J1145" s="13" t="str">
        <f>IFERROR(__xludf.DUMMYFUNCTION("""COMPUTED_VALUE"""),"Tops")</f>
        <v>Tops</v>
      </c>
      <c r="K1145" s="13" t="str">
        <f>IFERROR(__xludf.DUMMYFUNCTION("""COMPUTED_VALUE"""),"Knits")</f>
        <v>Knits</v>
      </c>
      <c r="L1145" s="13"/>
    </row>
    <row r="1146">
      <c r="A1146" s="13">
        <f>IFERROR(__xludf.DUMMYFUNCTION("""COMPUTED_VALUE"""),1144.0)</f>
        <v>1144</v>
      </c>
      <c r="B1146" s="13">
        <f>IFERROR(__xludf.DUMMYFUNCTION("""COMPUTED_VALUE"""),993.0)</f>
        <v>993</v>
      </c>
      <c r="C1146" s="13">
        <f>IFERROR(__xludf.DUMMYFUNCTION("""COMPUTED_VALUE"""),49.0)</f>
        <v>49</v>
      </c>
      <c r="D1146" s="12" t="str">
        <f>IFERROR(__xludf.DUMMYFUNCTION("""COMPUTED_VALUE"""),"Everyday casual and cute")</f>
        <v>Everyday casual and cute</v>
      </c>
      <c r="E1146" s="12" t="str">
        <f>IFERROR(__xludf.DUMMYFUNCTION("""COMPUTED_VALUE"""),"I wanted a casual, denim colored skirt for warmer weather without the denim weight  and this skirt fit my needs perfectly.  i'm 5'4, 117lbs and the xs fits me true to size, hitting about 1 1/2 inches above the knee. it's a more modest length for daytime b"&amp;"ut it definitely needs a slip underneath. the raw edge is subtle (no hanging threads) and unique. i can't speak to the lack of colorfastness but i washed it separately and will be mindful of the possibility .")</f>
        <v>I wanted a casual, denim colored skirt for warmer weather without the denim weight  and this skirt fit my needs perfectly.  i'm 5'4, 117lbs and the xs fits me true to size, hitting about 1 1/2 inches above the knee. it's a more modest length for daytime but it definitely needs a slip underneath. the raw edge is subtle (no hanging threads) and unique. i can't speak to the lack of colorfastness but i washed it separately and will be mindful of the possibility .</v>
      </c>
      <c r="F1146" s="13">
        <f>IFERROR(__xludf.DUMMYFUNCTION("""COMPUTED_VALUE"""),5.0)</f>
        <v>5</v>
      </c>
      <c r="G1146" s="13">
        <f>IFERROR(__xludf.DUMMYFUNCTION("""COMPUTED_VALUE"""),1.0)</f>
        <v>1</v>
      </c>
      <c r="H1146" s="13">
        <f>IFERROR(__xludf.DUMMYFUNCTION("""COMPUTED_VALUE"""),0.0)</f>
        <v>0</v>
      </c>
      <c r="I1146" s="13" t="str">
        <f>IFERROR(__xludf.DUMMYFUNCTION("""COMPUTED_VALUE"""),"General Petite")</f>
        <v>General Petite</v>
      </c>
      <c r="J1146" s="13" t="str">
        <f>IFERROR(__xludf.DUMMYFUNCTION("""COMPUTED_VALUE"""),"Bottoms")</f>
        <v>Bottoms</v>
      </c>
      <c r="K1146" s="13" t="str">
        <f>IFERROR(__xludf.DUMMYFUNCTION("""COMPUTED_VALUE"""),"Skirts")</f>
        <v>Skirts</v>
      </c>
      <c r="L1146" s="13"/>
    </row>
    <row r="1147">
      <c r="A1147" s="13">
        <f>IFERROR(__xludf.DUMMYFUNCTION("""COMPUTED_VALUE"""),1145.0)</f>
        <v>1145</v>
      </c>
      <c r="B1147" s="13">
        <f>IFERROR(__xludf.DUMMYFUNCTION("""COMPUTED_VALUE"""),860.0)</f>
        <v>860</v>
      </c>
      <c r="C1147" s="13">
        <f>IFERROR(__xludf.DUMMYFUNCTION("""COMPUTED_VALUE"""),62.0)</f>
        <v>62</v>
      </c>
      <c r="D1147" s="12" t="str">
        <f>IFERROR(__xludf.DUMMYFUNCTION("""COMPUTED_VALUE"""),"Unusual, cool, fun top")</f>
        <v>Unusual, cool, fun top</v>
      </c>
      <c r="E1147" s="12" t="str">
        <f>IFERROR(__xludf.DUMMYFUNCTION("""COMPUTED_VALUE"""),"I love this top!! the detail on front top of the top is so cute. the length is just right. i hesitated because of the unusual armhole shape but they are really not an issue. also, thanks for finding the top as it wasn't available at distribution center, w"&amp;"ent of your way!!")</f>
        <v>I love this top!! the detail on front top of the top is so cute. the length is just right. i hesitated because of the unusual armhole shape but they are really not an issue. also, thanks for finding the top as it wasn't available at distribution center, went of your way!!</v>
      </c>
      <c r="F1147" s="13">
        <f>IFERROR(__xludf.DUMMYFUNCTION("""COMPUTED_VALUE"""),5.0)</f>
        <v>5</v>
      </c>
      <c r="G1147" s="13">
        <f>IFERROR(__xludf.DUMMYFUNCTION("""COMPUTED_VALUE"""),1.0)</f>
        <v>1</v>
      </c>
      <c r="H1147" s="13">
        <f>IFERROR(__xludf.DUMMYFUNCTION("""COMPUTED_VALUE"""),0.0)</f>
        <v>0</v>
      </c>
      <c r="I1147" s="13" t="str">
        <f>IFERROR(__xludf.DUMMYFUNCTION("""COMPUTED_VALUE"""),"General Petite")</f>
        <v>General Petite</v>
      </c>
      <c r="J1147" s="13" t="str">
        <f>IFERROR(__xludf.DUMMYFUNCTION("""COMPUTED_VALUE"""),"Tops")</f>
        <v>Tops</v>
      </c>
      <c r="K1147" s="13" t="str">
        <f>IFERROR(__xludf.DUMMYFUNCTION("""COMPUTED_VALUE"""),"Knits")</f>
        <v>Knits</v>
      </c>
      <c r="L1147" s="13"/>
    </row>
    <row r="1148">
      <c r="A1148" s="13">
        <f>IFERROR(__xludf.DUMMYFUNCTION("""COMPUTED_VALUE"""),1146.0)</f>
        <v>1146</v>
      </c>
      <c r="B1148" s="13">
        <f>IFERROR(__xludf.DUMMYFUNCTION("""COMPUTED_VALUE"""),777.0)</f>
        <v>777</v>
      </c>
      <c r="C1148" s="13">
        <f>IFERROR(__xludf.DUMMYFUNCTION("""COMPUTED_VALUE"""),33.0)</f>
        <v>33</v>
      </c>
      <c r="D1148" s="12" t="str">
        <f>IFERROR(__xludf.DUMMYFUNCTION("""COMPUTED_VALUE"""),"Gorgeous leggings")</f>
        <v>Gorgeous leggings</v>
      </c>
      <c r="E1148" s="12" t="str">
        <f>IFERROR(__xludf.DUMMYFUNCTION("""COMPUTED_VALUE"""),"These leggings are beautiful and different. the material is very stretchy, sort of a spandex feel. panty lines definitely show in the back. i found they run true to size; i wear a size 6/medium/28 in pants or jeans and the size medium fit me great.")</f>
        <v>These leggings are beautiful and different. the material is very stretchy, sort of a spandex feel. panty lines definitely show in the back. i found they run true to size; i wear a size 6/medium/28 in pants or jeans and the size medium fit me great.</v>
      </c>
      <c r="F1148" s="13">
        <f>IFERROR(__xludf.DUMMYFUNCTION("""COMPUTED_VALUE"""),5.0)</f>
        <v>5</v>
      </c>
      <c r="G1148" s="13">
        <f>IFERROR(__xludf.DUMMYFUNCTION("""COMPUTED_VALUE"""),1.0)</f>
        <v>1</v>
      </c>
      <c r="H1148" s="13">
        <f>IFERROR(__xludf.DUMMYFUNCTION("""COMPUTED_VALUE"""),0.0)</f>
        <v>0</v>
      </c>
      <c r="I1148" s="13" t="str">
        <f>IFERROR(__xludf.DUMMYFUNCTION("""COMPUTED_VALUE"""),"Initmates")</f>
        <v>Initmates</v>
      </c>
      <c r="J1148" s="13" t="str">
        <f>IFERROR(__xludf.DUMMYFUNCTION("""COMPUTED_VALUE"""),"Intimate")</f>
        <v>Intimate</v>
      </c>
      <c r="K1148" s="13" t="str">
        <f>IFERROR(__xludf.DUMMYFUNCTION("""COMPUTED_VALUE"""),"Lounge")</f>
        <v>Lounge</v>
      </c>
      <c r="L1148" s="13"/>
    </row>
    <row r="1149">
      <c r="A1149" s="13">
        <f>IFERROR(__xludf.DUMMYFUNCTION("""COMPUTED_VALUE"""),1147.0)</f>
        <v>1147</v>
      </c>
      <c r="B1149" s="13">
        <f>IFERROR(__xludf.DUMMYFUNCTION("""COMPUTED_VALUE"""),197.0)</f>
        <v>197</v>
      </c>
      <c r="C1149" s="13">
        <f>IFERROR(__xludf.DUMMYFUNCTION("""COMPUTED_VALUE"""),46.0)</f>
        <v>46</v>
      </c>
      <c r="D1149" s="12" t="str">
        <f>IFERROR(__xludf.DUMMYFUNCTION("""COMPUTED_VALUE"""),"L space chloe top")</f>
        <v>L space chloe top</v>
      </c>
      <c r="E1149" s="12" t="str">
        <f>IFERROR(__xludf.DUMMYFUNCTION("""COMPUTED_VALUE"""),"L space is frustrating. i wear a 0/2 top but with 32d's i tried a large in this bikini top because from past experience with l space they run small. there's just zero support. the tie design helps secure the girls in place, but also flattens them out if y"&amp;"ou tie it tight enough so you don't spill out.")</f>
        <v>L space is frustrating. i wear a 0/2 top but with 32d's i tried a large in this bikini top because from past experience with l space they run small. there's just zero support. the tie design helps secure the girls in place, but also flattens them out if you tie it tight enough so you don't spill out.</v>
      </c>
      <c r="F1149" s="13">
        <f>IFERROR(__xludf.DUMMYFUNCTION("""COMPUTED_VALUE"""),3.0)</f>
        <v>3</v>
      </c>
      <c r="G1149" s="13">
        <f>IFERROR(__xludf.DUMMYFUNCTION("""COMPUTED_VALUE"""),0.0)</f>
        <v>0</v>
      </c>
      <c r="H1149" s="13">
        <f>IFERROR(__xludf.DUMMYFUNCTION("""COMPUTED_VALUE"""),0.0)</f>
        <v>0</v>
      </c>
      <c r="I1149" s="13" t="str">
        <f>IFERROR(__xludf.DUMMYFUNCTION("""COMPUTED_VALUE"""),"Initmates")</f>
        <v>Initmates</v>
      </c>
      <c r="J1149" s="13" t="str">
        <f>IFERROR(__xludf.DUMMYFUNCTION("""COMPUTED_VALUE"""),"Intimate")</f>
        <v>Intimate</v>
      </c>
      <c r="K1149" s="13" t="str">
        <f>IFERROR(__xludf.DUMMYFUNCTION("""COMPUTED_VALUE"""),"Swim")</f>
        <v>Swim</v>
      </c>
      <c r="L1149" s="13"/>
    </row>
    <row r="1150">
      <c r="A1150" s="13">
        <f>IFERROR(__xludf.DUMMYFUNCTION("""COMPUTED_VALUE"""),1148.0)</f>
        <v>1148</v>
      </c>
      <c r="B1150" s="13">
        <f>IFERROR(__xludf.DUMMYFUNCTION("""COMPUTED_VALUE"""),860.0)</f>
        <v>860</v>
      </c>
      <c r="C1150" s="13">
        <f>IFERROR(__xludf.DUMMYFUNCTION("""COMPUTED_VALUE"""),38.0)</f>
        <v>38</v>
      </c>
      <c r="D1150" s="12" t="str">
        <f>IFERROR(__xludf.DUMMYFUNCTION("""COMPUTED_VALUE"""),"Soft tank for the summer")</f>
        <v>Soft tank for the summer</v>
      </c>
      <c r="E1150" s="12" t="str">
        <f>IFERROR(__xludf.DUMMYFUNCTION("""COMPUTED_VALUE"""),"I just purchased this tank in white and blue. i find it to be soft and will be perfect for hot days but also can wear into the fall with a cardigan. it's super comfy but i do find at retailer that it's best to try things on in the store (it's hard to find"&amp;" perfect sizes online since things are cut so differently based on the designer). i got a large and though it's a bit flowy in the tummy area, it fits nicely across my chest (not tight).")</f>
        <v>I just purchased this tank in white and blue. i find it to be soft and will be perfect for hot days but also can wear into the fall with a cardigan. it's super comfy but i do find at retailer that it's best to try things on in the store (it's hard to find perfect sizes online since things are cut so differently based on the designer). i got a large and though it's a bit flowy in the tummy area, it fits nicely across my chest (not tight).</v>
      </c>
      <c r="F1150" s="13">
        <f>IFERROR(__xludf.DUMMYFUNCTION("""COMPUTED_VALUE"""),4.0)</f>
        <v>4</v>
      </c>
      <c r="G1150" s="13">
        <f>IFERROR(__xludf.DUMMYFUNCTION("""COMPUTED_VALUE"""),1.0)</f>
        <v>1</v>
      </c>
      <c r="H1150" s="13">
        <f>IFERROR(__xludf.DUMMYFUNCTION("""COMPUTED_VALUE"""),2.0)</f>
        <v>2</v>
      </c>
      <c r="I1150" s="13" t="str">
        <f>IFERROR(__xludf.DUMMYFUNCTION("""COMPUTED_VALUE"""),"General Petite")</f>
        <v>General Petite</v>
      </c>
      <c r="J1150" s="13" t="str">
        <f>IFERROR(__xludf.DUMMYFUNCTION("""COMPUTED_VALUE"""),"Tops")</f>
        <v>Tops</v>
      </c>
      <c r="K1150" s="13" t="str">
        <f>IFERROR(__xludf.DUMMYFUNCTION("""COMPUTED_VALUE"""),"Knits")</f>
        <v>Knits</v>
      </c>
      <c r="L1150" s="13"/>
    </row>
    <row r="1151">
      <c r="A1151" s="13">
        <f>IFERROR(__xludf.DUMMYFUNCTION("""COMPUTED_VALUE"""),1149.0)</f>
        <v>1149</v>
      </c>
      <c r="B1151" s="13">
        <f>IFERROR(__xludf.DUMMYFUNCTION("""COMPUTED_VALUE"""),1068.0)</f>
        <v>1068</v>
      </c>
      <c r="C1151" s="13">
        <f>IFERROR(__xludf.DUMMYFUNCTION("""COMPUTED_VALUE"""),35.0)</f>
        <v>35</v>
      </c>
      <c r="D1151" s="12" t="str">
        <f>IFERROR(__xludf.DUMMYFUNCTION("""COMPUTED_VALUE"""),"Fine for a fitness class")</f>
        <v>Fine for a fitness class</v>
      </c>
      <c r="E1151" s="12" t="str">
        <f>IFERROR(__xludf.DUMMYFUNCTION("""COMPUTED_VALUE"""),"These were a little baggier than expected and the petite size ran long.")</f>
        <v>These were a little baggier than expected and the petite size ran long.</v>
      </c>
      <c r="F1151" s="13">
        <f>IFERROR(__xludf.DUMMYFUNCTION("""COMPUTED_VALUE"""),3.0)</f>
        <v>3</v>
      </c>
      <c r="G1151" s="13">
        <f>IFERROR(__xludf.DUMMYFUNCTION("""COMPUTED_VALUE"""),0.0)</f>
        <v>0</v>
      </c>
      <c r="H1151" s="13">
        <f>IFERROR(__xludf.DUMMYFUNCTION("""COMPUTED_VALUE"""),0.0)</f>
        <v>0</v>
      </c>
      <c r="I1151" s="13" t="str">
        <f>IFERROR(__xludf.DUMMYFUNCTION("""COMPUTED_VALUE"""),"General")</f>
        <v>General</v>
      </c>
      <c r="J1151" s="13" t="str">
        <f>IFERROR(__xludf.DUMMYFUNCTION("""COMPUTED_VALUE"""),"Bottoms")</f>
        <v>Bottoms</v>
      </c>
      <c r="K1151" s="13" t="str">
        <f>IFERROR(__xludf.DUMMYFUNCTION("""COMPUTED_VALUE"""),"Pants")</f>
        <v>Pants</v>
      </c>
      <c r="L1151" s="13"/>
    </row>
    <row r="1152">
      <c r="A1152" s="13">
        <f>IFERROR(__xludf.DUMMYFUNCTION("""COMPUTED_VALUE"""),1150.0)</f>
        <v>1150</v>
      </c>
      <c r="B1152" s="13">
        <f>IFERROR(__xludf.DUMMYFUNCTION("""COMPUTED_VALUE"""),860.0)</f>
        <v>860</v>
      </c>
      <c r="C1152" s="13">
        <f>IFERROR(__xludf.DUMMYFUNCTION("""COMPUTED_VALUE"""),35.0)</f>
        <v>35</v>
      </c>
      <c r="D1152" s="12"/>
      <c r="E1152" s="12" t="str">
        <f>IFERROR(__xludf.DUMMYFUNCTION("""COMPUTED_VALUE"""),"Great lightweight summer top that's bra friendly.  i bought the teal color yesterday and wore it today with white skinnies.    i'm sometimes a small and sometimes a medium and was fine with the small on this one")</f>
        <v>Great lightweight summer top that's bra friendly.  i bought the teal color yesterday and wore it today with white skinnies.    i'm sometimes a small and sometimes a medium and was fine with the small on this one</v>
      </c>
      <c r="F1152" s="13">
        <f>IFERROR(__xludf.DUMMYFUNCTION("""COMPUTED_VALUE"""),5.0)</f>
        <v>5</v>
      </c>
      <c r="G1152" s="13">
        <f>IFERROR(__xludf.DUMMYFUNCTION("""COMPUTED_VALUE"""),1.0)</f>
        <v>1</v>
      </c>
      <c r="H1152" s="13">
        <f>IFERROR(__xludf.DUMMYFUNCTION("""COMPUTED_VALUE"""),8.0)</f>
        <v>8</v>
      </c>
      <c r="I1152" s="13" t="str">
        <f>IFERROR(__xludf.DUMMYFUNCTION("""COMPUTED_VALUE"""),"General Petite")</f>
        <v>General Petite</v>
      </c>
      <c r="J1152" s="13" t="str">
        <f>IFERROR(__xludf.DUMMYFUNCTION("""COMPUTED_VALUE"""),"Tops")</f>
        <v>Tops</v>
      </c>
      <c r="K1152" s="13" t="str">
        <f>IFERROR(__xludf.DUMMYFUNCTION("""COMPUTED_VALUE"""),"Knits")</f>
        <v>Knits</v>
      </c>
      <c r="L1152" s="13"/>
    </row>
    <row r="1153">
      <c r="A1153" s="13">
        <f>IFERROR(__xludf.DUMMYFUNCTION("""COMPUTED_VALUE"""),1151.0)</f>
        <v>1151</v>
      </c>
      <c r="B1153" s="13">
        <f>IFERROR(__xludf.DUMMYFUNCTION("""COMPUTED_VALUE"""),860.0)</f>
        <v>860</v>
      </c>
      <c r="C1153" s="13">
        <f>IFERROR(__xludf.DUMMYFUNCTION("""COMPUTED_VALUE"""),26.0)</f>
        <v>26</v>
      </c>
      <c r="D1153" s="12" t="str">
        <f>IFERROR(__xludf.DUMMYFUNCTION("""COMPUTED_VALUE"""),"Nice top")</f>
        <v>Nice top</v>
      </c>
      <c r="E1153" s="12" t="str">
        <f>IFERROR(__xludf.DUMMYFUNCTION("""COMPUTED_VALUE"""),"I love love this top. i was on the fence about it since it runs large and is loose fitting, very loose. i tried m, l, and xl. i usually wear xl but bought an l in this. i tried m, it was loose around the mid-section but fitted at the top. i wore them with"&amp;" fitted skinny pants and the top looks amazing. perfect for summer. the armholes also look flattering - not too big. i like turquoise. i didn't find yellow in the store, so bought green and white. it does need some ironing.")</f>
        <v>I love love this top. i was on the fence about it since it runs large and is loose fitting, very loose. i tried m, l, and xl. i usually wear xl but bought an l in this. i tried m, it was loose around the mid-section but fitted at the top. i wore them with fitted skinny pants and the top looks amazing. perfect for summer. the armholes also look flattering - not too big. i like turquoise. i didn't find yellow in the store, so bought green and white. it does need some ironing.</v>
      </c>
      <c r="F1153" s="13">
        <f>IFERROR(__xludf.DUMMYFUNCTION("""COMPUTED_VALUE"""),4.0)</f>
        <v>4</v>
      </c>
      <c r="G1153" s="13">
        <f>IFERROR(__xludf.DUMMYFUNCTION("""COMPUTED_VALUE"""),1.0)</f>
        <v>1</v>
      </c>
      <c r="H1153" s="13">
        <f>IFERROR(__xludf.DUMMYFUNCTION("""COMPUTED_VALUE"""),2.0)</f>
        <v>2</v>
      </c>
      <c r="I1153" s="13" t="str">
        <f>IFERROR(__xludf.DUMMYFUNCTION("""COMPUTED_VALUE"""),"General Petite")</f>
        <v>General Petite</v>
      </c>
      <c r="J1153" s="13" t="str">
        <f>IFERROR(__xludf.DUMMYFUNCTION("""COMPUTED_VALUE"""),"Tops")</f>
        <v>Tops</v>
      </c>
      <c r="K1153" s="13" t="str">
        <f>IFERROR(__xludf.DUMMYFUNCTION("""COMPUTED_VALUE"""),"Knits")</f>
        <v>Knits</v>
      </c>
      <c r="L1153" s="13"/>
    </row>
    <row r="1154">
      <c r="A1154" s="13">
        <f>IFERROR(__xludf.DUMMYFUNCTION("""COMPUTED_VALUE"""),1152.0)</f>
        <v>1152</v>
      </c>
      <c r="B1154" s="13">
        <f>IFERROR(__xludf.DUMMYFUNCTION("""COMPUTED_VALUE"""),1042.0)</f>
        <v>1042</v>
      </c>
      <c r="C1154" s="13">
        <f>IFERROR(__xludf.DUMMYFUNCTION("""COMPUTED_VALUE"""),31.0)</f>
        <v>31</v>
      </c>
      <c r="D1154" s="12" t="str">
        <f>IFERROR(__xludf.DUMMYFUNCTION("""COMPUTED_VALUE"""),"Pretty much just like picture")</f>
        <v>Pretty much just like picture</v>
      </c>
      <c r="E1154" s="12" t="str">
        <f>IFERROR(__xludf.DUMMYFUNCTION("""COMPUTED_VALUE"""),"This pants look pretty much exactly like the picture except these will wrinkle really easily so there is no way they will ever appear as wrinkle free as the pic.
i found the color to be exactly as seen online so i am not sure why others didn't. the mater"&amp;"ial is really light weight so i think these will work well for spring.
overall cute especially for the price. if not on sale, i would not have bought them but the sale price makes these pants awesome.")</f>
        <v>This pants look pretty much exactly like the picture except these will wrinkle really easily so there is no way they will ever appear as wrinkle free as the pic.
i found the color to be exactly as seen online so i am not sure why others didn't. the material is really light weight so i think these will work well for spring.
overall cute especially for the price. if not on sale, i would not have bought them but the sale price makes these pants awesome.</v>
      </c>
      <c r="F1154" s="13">
        <f>IFERROR(__xludf.DUMMYFUNCTION("""COMPUTED_VALUE"""),4.0)</f>
        <v>4</v>
      </c>
      <c r="G1154" s="13">
        <f>IFERROR(__xludf.DUMMYFUNCTION("""COMPUTED_VALUE"""),1.0)</f>
        <v>1</v>
      </c>
      <c r="H1154" s="13">
        <f>IFERROR(__xludf.DUMMYFUNCTION("""COMPUTED_VALUE"""),0.0)</f>
        <v>0</v>
      </c>
      <c r="I1154" s="13" t="str">
        <f>IFERROR(__xludf.DUMMYFUNCTION("""COMPUTED_VALUE"""),"General")</f>
        <v>General</v>
      </c>
      <c r="J1154" s="13" t="str">
        <f>IFERROR(__xludf.DUMMYFUNCTION("""COMPUTED_VALUE"""),"Bottoms")</f>
        <v>Bottoms</v>
      </c>
      <c r="K1154" s="13" t="str">
        <f>IFERROR(__xludf.DUMMYFUNCTION("""COMPUTED_VALUE"""),"Pants")</f>
        <v>Pants</v>
      </c>
      <c r="L1154" s="13"/>
    </row>
    <row r="1155">
      <c r="A1155" s="13">
        <f>IFERROR(__xludf.DUMMYFUNCTION("""COMPUTED_VALUE"""),1153.0)</f>
        <v>1153</v>
      </c>
      <c r="B1155" s="13">
        <f>IFERROR(__xludf.DUMMYFUNCTION("""COMPUTED_VALUE"""),1060.0)</f>
        <v>1060</v>
      </c>
      <c r="C1155" s="13">
        <f>IFERROR(__xludf.DUMMYFUNCTION("""COMPUTED_VALUE"""),55.0)</f>
        <v>55</v>
      </c>
      <c r="D1155" s="12" t="str">
        <f>IFERROR(__xludf.DUMMYFUNCTION("""COMPUTED_VALUE"""),"Absolutely beautiful and feminine")</f>
        <v>Absolutely beautiful and feminine</v>
      </c>
      <c r="E1155" s="12" t="str">
        <f>IFERROR(__xludf.DUMMYFUNCTION("""COMPUTED_VALUE"""),"This is not something i would normal wear but the beauty of the fabric made just give it a try. i am so glad i did. the fit is beautiful slimming feminine fit with just enough flow. i love it and bought it right away. you better get it before it's gone. a"&amp;"lso it is true to size, i have along torso so sometimes i have issues with jumpers but not this one.")</f>
        <v>This is not something i would normal wear but the beauty of the fabric made just give it a try. i am so glad i did. the fit is beautiful slimming feminine fit with just enough flow. i love it and bought it right away. you better get it before it's gone. also it is true to size, i have along torso so sometimes i have issues with jumpers but not this one.</v>
      </c>
      <c r="F1155" s="13">
        <f>IFERROR(__xludf.DUMMYFUNCTION("""COMPUTED_VALUE"""),5.0)</f>
        <v>5</v>
      </c>
      <c r="G1155" s="13">
        <f>IFERROR(__xludf.DUMMYFUNCTION("""COMPUTED_VALUE"""),1.0)</f>
        <v>1</v>
      </c>
      <c r="H1155" s="13">
        <f>IFERROR(__xludf.DUMMYFUNCTION("""COMPUTED_VALUE"""),34.0)</f>
        <v>34</v>
      </c>
      <c r="I1155" s="13" t="str">
        <f>IFERROR(__xludf.DUMMYFUNCTION("""COMPUTED_VALUE"""),"General")</f>
        <v>General</v>
      </c>
      <c r="J1155" s="13" t="str">
        <f>IFERROR(__xludf.DUMMYFUNCTION("""COMPUTED_VALUE"""),"Bottoms")</f>
        <v>Bottoms</v>
      </c>
      <c r="K1155" s="13" t="str">
        <f>IFERROR(__xludf.DUMMYFUNCTION("""COMPUTED_VALUE"""),"Pants")</f>
        <v>Pants</v>
      </c>
      <c r="L1155" s="13"/>
    </row>
    <row r="1156">
      <c r="A1156" s="13">
        <f>IFERROR(__xludf.DUMMYFUNCTION("""COMPUTED_VALUE"""),1154.0)</f>
        <v>1154</v>
      </c>
      <c r="B1156" s="13">
        <f>IFERROR(__xludf.DUMMYFUNCTION("""COMPUTED_VALUE"""),59.0)</f>
        <v>59</v>
      </c>
      <c r="C1156" s="13">
        <f>IFERROR(__xludf.DUMMYFUNCTION("""COMPUTED_VALUE"""),45.0)</f>
        <v>45</v>
      </c>
      <c r="D1156" s="12" t="str">
        <f>IFERROR(__xludf.DUMMYFUNCTION("""COMPUTED_VALUE"""),"Fabulous")</f>
        <v>Fabulous</v>
      </c>
      <c r="E1156" s="12" t="str">
        <f>IFERROR(__xludf.DUMMYFUNCTION("""COMPUTED_VALUE"""),"These undergarments are comfortable, streamlined, and well made. this bra holds up well without wires. i am a 34b and wear a small. it is a bit tight at first, but form fits after one wear. . after trying one bra and i ordered 4 more. then i researched th"&amp;"e brand and bought camis to match. i love how all the colors and styles are interchangeable.")</f>
        <v>These undergarments are comfortable, streamlined, and well made. this bra holds up well without wires. i am a 34b and wear a small. it is a bit tight at first, but form fits after one wear. . after trying one bra and i ordered 4 more. then i researched the brand and bought camis to match. i love how all the colors and styles are interchangeable.</v>
      </c>
      <c r="F1156" s="13">
        <f>IFERROR(__xludf.DUMMYFUNCTION("""COMPUTED_VALUE"""),5.0)</f>
        <v>5</v>
      </c>
      <c r="G1156" s="13">
        <f>IFERROR(__xludf.DUMMYFUNCTION("""COMPUTED_VALUE"""),1.0)</f>
        <v>1</v>
      </c>
      <c r="H1156" s="13">
        <f>IFERROR(__xludf.DUMMYFUNCTION("""COMPUTED_VALUE"""),2.0)</f>
        <v>2</v>
      </c>
      <c r="I1156" s="13" t="str">
        <f>IFERROR(__xludf.DUMMYFUNCTION("""COMPUTED_VALUE"""),"Initmates")</f>
        <v>Initmates</v>
      </c>
      <c r="J1156" s="13" t="str">
        <f>IFERROR(__xludf.DUMMYFUNCTION("""COMPUTED_VALUE"""),"Intimate")</f>
        <v>Intimate</v>
      </c>
      <c r="K1156" s="13" t="str">
        <f>IFERROR(__xludf.DUMMYFUNCTION("""COMPUTED_VALUE"""),"Intimates")</f>
        <v>Intimates</v>
      </c>
      <c r="L1156" s="13"/>
    </row>
    <row r="1157">
      <c r="A1157" s="13">
        <f>IFERROR(__xludf.DUMMYFUNCTION("""COMPUTED_VALUE"""),1155.0)</f>
        <v>1155</v>
      </c>
      <c r="B1157" s="13">
        <f>IFERROR(__xludf.DUMMYFUNCTION("""COMPUTED_VALUE"""),1060.0)</f>
        <v>1060</v>
      </c>
      <c r="C1157" s="13">
        <f>IFERROR(__xludf.DUMMYFUNCTION("""COMPUTED_VALUE"""),58.0)</f>
        <v>58</v>
      </c>
      <c r="D1157" s="12" t="str">
        <f>IFERROR(__xludf.DUMMYFUNCTION("""COMPUTED_VALUE"""),"Lovely, comfortable and versatile")</f>
        <v>Lovely, comfortable and versatile</v>
      </c>
      <c r="E1157" s="12" t="str">
        <f>IFERROR(__xludf.DUMMYFUNCTION("""COMPUTED_VALUE"""),"I tried this jumpsuit on in the store and loved it but decided to wait on purchasing it. after it went on sale i jumped on it because i new i would regret not buying it. 
i am tall but most of my height is from my long legs, not in my torso. i seldom fin"&amp;"d jumpsuits that fit my frame but his one fits perfectly. the fabric is very ""flowey"" and does not wrinkle. the overall design of this jumpsuit is slightly but not overly baggy. the pattern and pleating make it a perfect item for spring and su")</f>
        <v>I tried this jumpsuit on in the store and loved it but decided to wait on purchasing it. after it went on sale i jumped on it because i new i would regret not buying it. 
i am tall but most of my height is from my long legs, not in my torso. i seldom find jumpsuits that fit my frame but his one fits perfectly. the fabric is very "flowey" and does not wrinkle. the overall design of this jumpsuit is slightly but not overly baggy. the pattern and pleating make it a perfect item for spring and su</v>
      </c>
      <c r="F1157" s="13">
        <f>IFERROR(__xludf.DUMMYFUNCTION("""COMPUTED_VALUE"""),5.0)</f>
        <v>5</v>
      </c>
      <c r="G1157" s="13">
        <f>IFERROR(__xludf.DUMMYFUNCTION("""COMPUTED_VALUE"""),1.0)</f>
        <v>1</v>
      </c>
      <c r="H1157" s="13">
        <f>IFERROR(__xludf.DUMMYFUNCTION("""COMPUTED_VALUE"""),0.0)</f>
        <v>0</v>
      </c>
      <c r="I1157" s="13" t="str">
        <f>IFERROR(__xludf.DUMMYFUNCTION("""COMPUTED_VALUE"""),"General Petite")</f>
        <v>General Petite</v>
      </c>
      <c r="J1157" s="13" t="str">
        <f>IFERROR(__xludf.DUMMYFUNCTION("""COMPUTED_VALUE"""),"Bottoms")</f>
        <v>Bottoms</v>
      </c>
      <c r="K1157" s="13" t="str">
        <f>IFERROR(__xludf.DUMMYFUNCTION("""COMPUTED_VALUE"""),"Pants")</f>
        <v>Pants</v>
      </c>
      <c r="L1157" s="13"/>
    </row>
    <row r="1158">
      <c r="A1158" s="13">
        <f>IFERROR(__xludf.DUMMYFUNCTION("""COMPUTED_VALUE"""),1156.0)</f>
        <v>1156</v>
      </c>
      <c r="B1158" s="13">
        <f>IFERROR(__xludf.DUMMYFUNCTION("""COMPUTED_VALUE"""),1094.0)</f>
        <v>1094</v>
      </c>
      <c r="C1158" s="13">
        <f>IFERROR(__xludf.DUMMYFUNCTION("""COMPUTED_VALUE"""),39.0)</f>
        <v>39</v>
      </c>
      <c r="D1158" s="12" t="str">
        <f>IFERROR(__xludf.DUMMYFUNCTION("""COMPUTED_VALUE"""),"Disappointed")</f>
        <v>Disappointed</v>
      </c>
      <c r="E1158" s="12" t="str">
        <f>IFERROR(__xludf.DUMMYFUNCTION("""COMPUTED_VALUE"""),"I fell in love with this dress the instant i saw it. but was disappointed when i received it. first was the color. i chose the green and it wasn't what i thought. it was a very unnatural shade of artificial grass. when my husband saw it in the package he "&amp;"thought i had ordered a cheap grass hula skirt. the color was that bad. the fit was the next problem. this dress would have fit nicely if they had just added a side zip and made the top more fitted. the top was loose and that added to the flowy")</f>
        <v>I fell in love with this dress the instant i saw it. but was disappointed when i received it. first was the color. i chose the green and it wasn't what i thought. it was a very unnatural shade of artificial grass. when my husband saw it in the package he thought i had ordered a cheap grass hula skirt. the color was that bad. the fit was the next problem. this dress would have fit nicely if they had just added a side zip and made the top more fitted. the top was loose and that added to the flowy</v>
      </c>
      <c r="F1158" s="13">
        <f>IFERROR(__xludf.DUMMYFUNCTION("""COMPUTED_VALUE"""),3.0)</f>
        <v>3</v>
      </c>
      <c r="G1158" s="13">
        <f>IFERROR(__xludf.DUMMYFUNCTION("""COMPUTED_VALUE"""),0.0)</f>
        <v>0</v>
      </c>
      <c r="H1158" s="13">
        <f>IFERROR(__xludf.DUMMYFUNCTION("""COMPUTED_VALUE"""),55.0)</f>
        <v>55</v>
      </c>
      <c r="I1158" s="13" t="str">
        <f>IFERROR(__xludf.DUMMYFUNCTION("""COMPUTED_VALUE"""),"General Petite")</f>
        <v>General Petite</v>
      </c>
      <c r="J1158" s="13" t="str">
        <f>IFERROR(__xludf.DUMMYFUNCTION("""COMPUTED_VALUE"""),"Dresses")</f>
        <v>Dresses</v>
      </c>
      <c r="K1158" s="13" t="str">
        <f>IFERROR(__xludf.DUMMYFUNCTION("""COMPUTED_VALUE"""),"Dresses")</f>
        <v>Dresses</v>
      </c>
      <c r="L1158" s="13"/>
    </row>
    <row r="1159">
      <c r="A1159" s="13">
        <f>IFERROR(__xludf.DUMMYFUNCTION("""COMPUTED_VALUE"""),1157.0)</f>
        <v>1157</v>
      </c>
      <c r="B1159" s="13">
        <f>IFERROR(__xludf.DUMMYFUNCTION("""COMPUTED_VALUE"""),1060.0)</f>
        <v>1060</v>
      </c>
      <c r="C1159" s="13">
        <f>IFERROR(__xludf.DUMMYFUNCTION("""COMPUTED_VALUE"""),46.0)</f>
        <v>46</v>
      </c>
      <c r="D1159" s="12" t="str">
        <f>IFERROR(__xludf.DUMMYFUNCTION("""COMPUTED_VALUE"""),"Love")</f>
        <v>Love</v>
      </c>
      <c r="E1159" s="12" t="str">
        <f>IFERROR(__xludf.DUMMYFUNCTION("""COMPUTED_VALUE"""),"I love this jumpsuit and definitely feel too confident in it! the fabric is a great weight- flowy, but still substantial enough. with nude undergarments, i can't see anything. in fact, that is one of the things i love; no special undergarments are require"&amp;"d, so it is very comfortable and still very flattering. i typically wear a medium- 135 pounds, 5'4"", 34b, 28 waist, 40 hip. i tried the small after seeing some reviews that it ran big. i would have bought it, but the salesperson suggested i try")</f>
        <v>I love this jumpsuit and definitely feel too confident in it! the fabric is a great weight- flowy, but still substantial enough. with nude undergarments, i can't see anything. in fact, that is one of the things i love; no special undergarments are required, so it is very comfortable and still very flattering. i typically wear a medium- 135 pounds, 5'4", 34b, 28 waist, 40 hip. i tried the small after seeing some reviews that it ran big. i would have bought it, but the salesperson suggested i try</v>
      </c>
      <c r="F1159" s="13">
        <f>IFERROR(__xludf.DUMMYFUNCTION("""COMPUTED_VALUE"""),5.0)</f>
        <v>5</v>
      </c>
      <c r="G1159" s="13">
        <f>IFERROR(__xludf.DUMMYFUNCTION("""COMPUTED_VALUE"""),1.0)</f>
        <v>1</v>
      </c>
      <c r="H1159" s="13">
        <f>IFERROR(__xludf.DUMMYFUNCTION("""COMPUTED_VALUE"""),4.0)</f>
        <v>4</v>
      </c>
      <c r="I1159" s="13" t="str">
        <f>IFERROR(__xludf.DUMMYFUNCTION("""COMPUTED_VALUE"""),"General Petite")</f>
        <v>General Petite</v>
      </c>
      <c r="J1159" s="13" t="str">
        <f>IFERROR(__xludf.DUMMYFUNCTION("""COMPUTED_VALUE"""),"Bottoms")</f>
        <v>Bottoms</v>
      </c>
      <c r="K1159" s="13" t="str">
        <f>IFERROR(__xludf.DUMMYFUNCTION("""COMPUTED_VALUE"""),"Pants")</f>
        <v>Pants</v>
      </c>
      <c r="L1159" s="13"/>
    </row>
    <row r="1160">
      <c r="A1160" s="13">
        <f>IFERROR(__xludf.DUMMYFUNCTION("""COMPUTED_VALUE"""),1158.0)</f>
        <v>1158</v>
      </c>
      <c r="B1160" s="13">
        <f>IFERROR(__xludf.DUMMYFUNCTION("""COMPUTED_VALUE"""),1110.0)</f>
        <v>1110</v>
      </c>
      <c r="C1160" s="13">
        <f>IFERROR(__xludf.DUMMYFUNCTION("""COMPUTED_VALUE"""),59.0)</f>
        <v>59</v>
      </c>
      <c r="D1160" s="12"/>
      <c r="E1160" s="12" t="str">
        <f>IFERROR(__xludf.DUMMYFUNCTION("""COMPUTED_VALUE"""),"Runs large in arm holes. have to wear bandeau. love this print and flow of dress. loose but still flattering due to arms and shoulders . love the overall look. midi length for this 5'6.5"" gal. size s worked best -36c-125lbs")</f>
        <v>Runs large in arm holes. have to wear bandeau. love this print and flow of dress. loose but still flattering due to arms and shoulders . love the overall look. midi length for this 5'6.5" gal. size s worked best -36c-125lbs</v>
      </c>
      <c r="F1160" s="13">
        <f>IFERROR(__xludf.DUMMYFUNCTION("""COMPUTED_VALUE"""),5.0)</f>
        <v>5</v>
      </c>
      <c r="G1160" s="13">
        <f>IFERROR(__xludf.DUMMYFUNCTION("""COMPUTED_VALUE"""),1.0)</f>
        <v>1</v>
      </c>
      <c r="H1160" s="13">
        <f>IFERROR(__xludf.DUMMYFUNCTION("""COMPUTED_VALUE"""),2.0)</f>
        <v>2</v>
      </c>
      <c r="I1160" s="13" t="str">
        <f>IFERROR(__xludf.DUMMYFUNCTION("""COMPUTED_VALUE"""),"General")</f>
        <v>General</v>
      </c>
      <c r="J1160" s="13" t="str">
        <f>IFERROR(__xludf.DUMMYFUNCTION("""COMPUTED_VALUE"""),"Dresses")</f>
        <v>Dresses</v>
      </c>
      <c r="K1160" s="13" t="str">
        <f>IFERROR(__xludf.DUMMYFUNCTION("""COMPUTED_VALUE"""),"Dresses")</f>
        <v>Dresses</v>
      </c>
      <c r="L1160" s="13"/>
    </row>
    <row r="1161">
      <c r="A1161" s="13">
        <f>IFERROR(__xludf.DUMMYFUNCTION("""COMPUTED_VALUE"""),1159.0)</f>
        <v>1159</v>
      </c>
      <c r="B1161" s="13">
        <f>IFERROR(__xludf.DUMMYFUNCTION("""COMPUTED_VALUE"""),235.0)</f>
        <v>235</v>
      </c>
      <c r="C1161" s="13">
        <f>IFERROR(__xludf.DUMMYFUNCTION("""COMPUTED_VALUE"""),32.0)</f>
        <v>32</v>
      </c>
      <c r="D1161" s="12" t="str">
        <f>IFERROR(__xludf.DUMMYFUNCTION("""COMPUTED_VALUE"""),"Not sure what body type this suit is designed for")</f>
        <v>Not sure what body type this suit is designed for</v>
      </c>
      <c r="E1161" s="12" t="str">
        <f>IFERROR(__xludf.DUMMYFUNCTION("""COMPUTED_VALUE"""),"I was so excited to splurge on a mara hoffman suit and was sorely disappointed when i received this suit in the mail. i'm petite and fairly curvy, so i knew it would likely be a little long in the torso but the whole suit was so oddly shaped, i couldn't i"&amp;"magine anyone it would fit. the square shape in between the halter pieces is awkward, and the pieces that are supposed to hold your chest are super wide and loose.")</f>
        <v>I was so excited to splurge on a mara hoffman suit and was sorely disappointed when i received this suit in the mail. i'm petite and fairly curvy, so i knew it would likely be a little long in the torso but the whole suit was so oddly shaped, i couldn't imagine anyone it would fit. the square shape in between the halter pieces is awkward, and the pieces that are supposed to hold your chest are super wide and loose.</v>
      </c>
      <c r="F1161" s="13">
        <f>IFERROR(__xludf.DUMMYFUNCTION("""COMPUTED_VALUE"""),1.0)</f>
        <v>1</v>
      </c>
      <c r="G1161" s="13">
        <f>IFERROR(__xludf.DUMMYFUNCTION("""COMPUTED_VALUE"""),0.0)</f>
        <v>0</v>
      </c>
      <c r="H1161" s="13">
        <f>IFERROR(__xludf.DUMMYFUNCTION("""COMPUTED_VALUE"""),0.0)</f>
        <v>0</v>
      </c>
      <c r="I1161" s="13" t="str">
        <f>IFERROR(__xludf.DUMMYFUNCTION("""COMPUTED_VALUE"""),"Initmates")</f>
        <v>Initmates</v>
      </c>
      <c r="J1161" s="13" t="str">
        <f>IFERROR(__xludf.DUMMYFUNCTION("""COMPUTED_VALUE"""),"Intimate")</f>
        <v>Intimate</v>
      </c>
      <c r="K1161" s="13" t="str">
        <f>IFERROR(__xludf.DUMMYFUNCTION("""COMPUTED_VALUE"""),"Swim")</f>
        <v>Swim</v>
      </c>
      <c r="L1161" s="13"/>
    </row>
    <row r="1162">
      <c r="A1162" s="13">
        <f>IFERROR(__xludf.DUMMYFUNCTION("""COMPUTED_VALUE"""),1160.0)</f>
        <v>1160</v>
      </c>
      <c r="B1162" s="13">
        <f>IFERROR(__xludf.DUMMYFUNCTION("""COMPUTED_VALUE"""),720.0)</f>
        <v>720</v>
      </c>
      <c r="C1162" s="13">
        <f>IFERROR(__xludf.DUMMYFUNCTION("""COMPUTED_VALUE"""),40.0)</f>
        <v>40</v>
      </c>
      <c r="D1162" s="12"/>
      <c r="E1162" s="12" t="str">
        <f>IFERROR(__xludf.DUMMYFUNCTION("""COMPUTED_VALUE"""),"I love this dress. it is so soft and comfortable, perfect for summer!! i wish it came in more colors because i would buy everyone!!")</f>
        <v>I love this dress. it is so soft and comfortable, perfect for summer!! i wish it came in more colors because i would buy everyone!!</v>
      </c>
      <c r="F1162" s="13">
        <f>IFERROR(__xludf.DUMMYFUNCTION("""COMPUTED_VALUE"""),5.0)</f>
        <v>5</v>
      </c>
      <c r="G1162" s="13">
        <f>IFERROR(__xludf.DUMMYFUNCTION("""COMPUTED_VALUE"""),1.0)</f>
        <v>1</v>
      </c>
      <c r="H1162" s="13">
        <f>IFERROR(__xludf.DUMMYFUNCTION("""COMPUTED_VALUE"""),1.0)</f>
        <v>1</v>
      </c>
      <c r="I1162" s="13" t="str">
        <f>IFERROR(__xludf.DUMMYFUNCTION("""COMPUTED_VALUE"""),"Initmates")</f>
        <v>Initmates</v>
      </c>
      <c r="J1162" s="13" t="str">
        <f>IFERROR(__xludf.DUMMYFUNCTION("""COMPUTED_VALUE"""),"Intimate")</f>
        <v>Intimate</v>
      </c>
      <c r="K1162" s="13" t="str">
        <f>IFERROR(__xludf.DUMMYFUNCTION("""COMPUTED_VALUE"""),"Lounge")</f>
        <v>Lounge</v>
      </c>
      <c r="L1162" s="13"/>
    </row>
    <row r="1163">
      <c r="A1163" s="13">
        <f>IFERROR(__xludf.DUMMYFUNCTION("""COMPUTED_VALUE"""),1161.0)</f>
        <v>1161</v>
      </c>
      <c r="B1163" s="13">
        <f>IFERROR(__xludf.DUMMYFUNCTION("""COMPUTED_VALUE"""),1098.0)</f>
        <v>1098</v>
      </c>
      <c r="C1163" s="13">
        <f>IFERROR(__xludf.DUMMYFUNCTION("""COMPUTED_VALUE"""),68.0)</f>
        <v>68</v>
      </c>
      <c r="D1163" s="12"/>
      <c r="E1163" s="12" t="str">
        <f>IFERROR(__xludf.DUMMYFUNCTION("""COMPUTED_VALUE"""),"Like other reviewers, i'm glad i sized down. this is a cute tunic that is definitely great quality, lightweight chambray. i love that it has pockets, but they do puff a bit at my hips.")</f>
        <v>Like other reviewers, i'm glad i sized down. this is a cute tunic that is definitely great quality, lightweight chambray. i love that it has pockets, but they do puff a bit at my hips.</v>
      </c>
      <c r="F1163" s="13">
        <f>IFERROR(__xludf.DUMMYFUNCTION("""COMPUTED_VALUE"""),4.0)</f>
        <v>4</v>
      </c>
      <c r="G1163" s="13">
        <f>IFERROR(__xludf.DUMMYFUNCTION("""COMPUTED_VALUE"""),1.0)</f>
        <v>1</v>
      </c>
      <c r="H1163" s="13">
        <f>IFERROR(__xludf.DUMMYFUNCTION("""COMPUTED_VALUE"""),0.0)</f>
        <v>0</v>
      </c>
      <c r="I1163" s="13" t="str">
        <f>IFERROR(__xludf.DUMMYFUNCTION("""COMPUTED_VALUE"""),"General Petite")</f>
        <v>General Petite</v>
      </c>
      <c r="J1163" s="13" t="str">
        <f>IFERROR(__xludf.DUMMYFUNCTION("""COMPUTED_VALUE"""),"Dresses")</f>
        <v>Dresses</v>
      </c>
      <c r="K1163" s="13" t="str">
        <f>IFERROR(__xludf.DUMMYFUNCTION("""COMPUTED_VALUE"""),"Dresses")</f>
        <v>Dresses</v>
      </c>
      <c r="L1163" s="13"/>
    </row>
    <row r="1164">
      <c r="A1164" s="13">
        <f>IFERROR(__xludf.DUMMYFUNCTION("""COMPUTED_VALUE"""),1162.0)</f>
        <v>1162</v>
      </c>
      <c r="B1164" s="13">
        <f>IFERROR(__xludf.DUMMYFUNCTION("""COMPUTED_VALUE"""),59.0)</f>
        <v>59</v>
      </c>
      <c r="C1164" s="13">
        <f>IFERROR(__xludf.DUMMYFUNCTION("""COMPUTED_VALUE"""),68.0)</f>
        <v>68</v>
      </c>
      <c r="D1164" s="12"/>
      <c r="E1164" s="12" t="str">
        <f>IFERROR(__xludf.DUMMYFUNCTION("""COMPUTED_VALUE"""),"This is the perfect bralette for comfort; it's soft and fits to form really quickly. i wear a b cup, and it's enough support for me to wear daily doing everything other than heavy exercise. now, at 5 months pregnant it's pretty much perfect to sleep in to"&amp;"o. i'm at 35 band, and i'm still wearing it on the loosest closure, but it fits perfectly there for me.")</f>
        <v>This is the perfect bralette for comfort; it's soft and fits to form really quickly. i wear a b cup, and it's enough support for me to wear daily doing everything other than heavy exercise. now, at 5 months pregnant it's pretty much perfect to sleep in too. i'm at 35 band, and i'm still wearing it on the loosest closure, but it fits perfectly there for me.</v>
      </c>
      <c r="F1164" s="13">
        <f>IFERROR(__xludf.DUMMYFUNCTION("""COMPUTED_VALUE"""),5.0)</f>
        <v>5</v>
      </c>
      <c r="G1164" s="13">
        <f>IFERROR(__xludf.DUMMYFUNCTION("""COMPUTED_VALUE"""),1.0)</f>
        <v>1</v>
      </c>
      <c r="H1164" s="13">
        <f>IFERROR(__xludf.DUMMYFUNCTION("""COMPUTED_VALUE"""),1.0)</f>
        <v>1</v>
      </c>
      <c r="I1164" s="13" t="str">
        <f>IFERROR(__xludf.DUMMYFUNCTION("""COMPUTED_VALUE"""),"Initmates")</f>
        <v>Initmates</v>
      </c>
      <c r="J1164" s="13" t="str">
        <f>IFERROR(__xludf.DUMMYFUNCTION("""COMPUTED_VALUE"""),"Intimate")</f>
        <v>Intimate</v>
      </c>
      <c r="K1164" s="13" t="str">
        <f>IFERROR(__xludf.DUMMYFUNCTION("""COMPUTED_VALUE"""),"Intimates")</f>
        <v>Intimates</v>
      </c>
      <c r="L1164" s="13"/>
    </row>
    <row r="1165">
      <c r="A1165" s="13">
        <f>IFERROR(__xludf.DUMMYFUNCTION("""COMPUTED_VALUE"""),1163.0)</f>
        <v>1163</v>
      </c>
      <c r="B1165" s="13">
        <f>IFERROR(__xludf.DUMMYFUNCTION("""COMPUTED_VALUE"""),1060.0)</f>
        <v>1060</v>
      </c>
      <c r="C1165" s="13">
        <f>IFERROR(__xludf.DUMMYFUNCTION("""COMPUTED_VALUE"""),48.0)</f>
        <v>48</v>
      </c>
      <c r="D1165" s="12" t="str">
        <f>IFERROR(__xludf.DUMMYFUNCTION("""COMPUTED_VALUE"""),"Loved but both in my store had quality issues")</f>
        <v>Loved but both in my store had quality issues</v>
      </c>
      <c r="E1165" s="12" t="str">
        <f>IFERROR(__xludf.DUMMYFUNCTION("""COMPUTED_VALUE"""),"I really wanted this. they had two size small in my local retailer, both were damaged. so disappointing. i don't want to pay shipping for one that hopefully isn't damaged:( in the last year i've had multiple quality control issues with retailer. makes me "&amp;"gun shy. not sure i'm getting what i pay for anymore.")</f>
        <v>I really wanted this. they had two size small in my local retailer, both were damaged. so disappointing. i don't want to pay shipping for one that hopefully isn't damaged:( in the last year i've had multiple quality control issues with retailer. makes me gun shy. not sure i'm getting what i pay for anymore.</v>
      </c>
      <c r="F1165" s="13">
        <f>IFERROR(__xludf.DUMMYFUNCTION("""COMPUTED_VALUE"""),4.0)</f>
        <v>4</v>
      </c>
      <c r="G1165" s="13">
        <f>IFERROR(__xludf.DUMMYFUNCTION("""COMPUTED_VALUE"""),0.0)</f>
        <v>0</v>
      </c>
      <c r="H1165" s="13">
        <f>IFERROR(__xludf.DUMMYFUNCTION("""COMPUTED_VALUE"""),10.0)</f>
        <v>10</v>
      </c>
      <c r="I1165" s="13" t="str">
        <f>IFERROR(__xludf.DUMMYFUNCTION("""COMPUTED_VALUE"""),"General Petite")</f>
        <v>General Petite</v>
      </c>
      <c r="J1165" s="13" t="str">
        <f>IFERROR(__xludf.DUMMYFUNCTION("""COMPUTED_VALUE"""),"Bottoms")</f>
        <v>Bottoms</v>
      </c>
      <c r="K1165" s="13" t="str">
        <f>IFERROR(__xludf.DUMMYFUNCTION("""COMPUTED_VALUE"""),"Pants")</f>
        <v>Pants</v>
      </c>
      <c r="L1165" s="13"/>
    </row>
    <row r="1166">
      <c r="A1166" s="13">
        <f>IFERROR(__xludf.DUMMYFUNCTION("""COMPUTED_VALUE"""),1164.0)</f>
        <v>1164</v>
      </c>
      <c r="B1166" s="13">
        <f>IFERROR(__xludf.DUMMYFUNCTION("""COMPUTED_VALUE"""),1060.0)</f>
        <v>1060</v>
      </c>
      <c r="C1166" s="13">
        <f>IFERROR(__xludf.DUMMYFUNCTION("""COMPUTED_VALUE"""),62.0)</f>
        <v>62</v>
      </c>
      <c r="D1166" s="12" t="str">
        <f>IFERROR(__xludf.DUMMYFUNCTION("""COMPUTED_VALUE"""),"Came dirty, but nice fit...")</f>
        <v>Came dirty, but nice fit...</v>
      </c>
      <c r="E1166" s="12" t="str">
        <f>IFERROR(__xludf.DUMMYFUNCTION("""COMPUTED_VALUE"""),"I followed the advice of other reviewers and sized down from a s to xs. i was worried about the length of the torso since i'm long in that area, but the xs still worked great. it's a totally adorable jumpsuit with a nice fit. my biggest peeve with this wa"&amp;"s that it came dirty on the hems...like it had been dragged on the ground somewhere. unfortunately, there were no more xs online once i got it though, so i will keep and try to clean. this is not the first time in recent months that i have recei")</f>
        <v>I followed the advice of other reviewers and sized down from a s to xs. i was worried about the length of the torso since i'm long in that area, but the xs still worked great. it's a totally adorable jumpsuit with a nice fit. my biggest peeve with this was that it came dirty on the hems...like it had been dragged on the ground somewhere. unfortunately, there were no more xs online once i got it though, so i will keep and try to clean. this is not the first time in recent months that i have recei</v>
      </c>
      <c r="F1166" s="13">
        <f>IFERROR(__xludf.DUMMYFUNCTION("""COMPUTED_VALUE"""),4.0)</f>
        <v>4</v>
      </c>
      <c r="G1166" s="13">
        <f>IFERROR(__xludf.DUMMYFUNCTION("""COMPUTED_VALUE"""),1.0)</f>
        <v>1</v>
      </c>
      <c r="H1166" s="13">
        <f>IFERROR(__xludf.DUMMYFUNCTION("""COMPUTED_VALUE"""),0.0)</f>
        <v>0</v>
      </c>
      <c r="I1166" s="13" t="str">
        <f>IFERROR(__xludf.DUMMYFUNCTION("""COMPUTED_VALUE"""),"General Petite")</f>
        <v>General Petite</v>
      </c>
      <c r="J1166" s="13" t="str">
        <f>IFERROR(__xludf.DUMMYFUNCTION("""COMPUTED_VALUE"""),"Bottoms")</f>
        <v>Bottoms</v>
      </c>
      <c r="K1166" s="13" t="str">
        <f>IFERROR(__xludf.DUMMYFUNCTION("""COMPUTED_VALUE"""),"Pants")</f>
        <v>Pants</v>
      </c>
      <c r="L1166" s="13"/>
    </row>
    <row r="1167">
      <c r="A1167" s="13">
        <f>IFERROR(__xludf.DUMMYFUNCTION("""COMPUTED_VALUE"""),1165.0)</f>
        <v>1165</v>
      </c>
      <c r="B1167" s="13">
        <f>IFERROR(__xludf.DUMMYFUNCTION("""COMPUTED_VALUE"""),1110.0)</f>
        <v>1110</v>
      </c>
      <c r="C1167" s="13">
        <f>IFERROR(__xludf.DUMMYFUNCTION("""COMPUTED_VALUE"""),53.0)</f>
        <v>53</v>
      </c>
      <c r="D1167" s="12"/>
      <c r="E1167" s="12" t="str">
        <f>IFERROR(__xludf.DUMMYFUNCTION("""COMPUTED_VALUE"""),"This dress looks better in person. nice navy with subtle pattern - looks super cute with a really lightweat pale yellow sweater! i thought that wiastband area would hit in a funky spot (my problem area) but it doesnt and looks great. super comfortable and"&amp;" i love this neckline. also has a decent lining so no bra necessary if youre cool with that. i have packed on some ""after 50"" lbs and wear a 12-14 shirt and 10-12 pant and the large is roomy enough.i received a number of compliments and let's fa")</f>
        <v>This dress looks better in person. nice navy with subtle pattern - looks super cute with a really lightweat pale yellow sweater! i thought that wiastband area would hit in a funky spot (my problem area) but it doesnt and looks great. super comfortable and i love this neckline. also has a decent lining so no bra necessary if youre cool with that. i have packed on some "after 50" lbs and wear a 12-14 shirt and 10-12 pant and the large is roomy enough.i received a number of compliments and let's fa</v>
      </c>
      <c r="F1167" s="13">
        <f>IFERROR(__xludf.DUMMYFUNCTION("""COMPUTED_VALUE"""),5.0)</f>
        <v>5</v>
      </c>
      <c r="G1167" s="13">
        <f>IFERROR(__xludf.DUMMYFUNCTION("""COMPUTED_VALUE"""),1.0)</f>
        <v>1</v>
      </c>
      <c r="H1167" s="13">
        <f>IFERROR(__xludf.DUMMYFUNCTION("""COMPUTED_VALUE"""),1.0)</f>
        <v>1</v>
      </c>
      <c r="I1167" s="13" t="str">
        <f>IFERROR(__xludf.DUMMYFUNCTION("""COMPUTED_VALUE"""),"General")</f>
        <v>General</v>
      </c>
      <c r="J1167" s="13" t="str">
        <f>IFERROR(__xludf.DUMMYFUNCTION("""COMPUTED_VALUE"""),"Dresses")</f>
        <v>Dresses</v>
      </c>
      <c r="K1167" s="13" t="str">
        <f>IFERROR(__xludf.DUMMYFUNCTION("""COMPUTED_VALUE"""),"Dresses")</f>
        <v>Dresses</v>
      </c>
      <c r="L1167" s="13"/>
    </row>
    <row r="1168">
      <c r="A1168" s="13">
        <f>IFERROR(__xludf.DUMMYFUNCTION("""COMPUTED_VALUE"""),1166.0)</f>
        <v>1166</v>
      </c>
      <c r="B1168" s="13">
        <f>IFERROR(__xludf.DUMMYFUNCTION("""COMPUTED_VALUE"""),1082.0)</f>
        <v>1082</v>
      </c>
      <c r="C1168" s="13">
        <f>IFERROR(__xludf.DUMMYFUNCTION("""COMPUTED_VALUE"""),28.0)</f>
        <v>28</v>
      </c>
      <c r="D1168" s="12" t="str">
        <f>IFERROR(__xludf.DUMMYFUNCTION("""COMPUTED_VALUE"""),"Bright &amp; versatile")</f>
        <v>Bright &amp; versatile</v>
      </c>
      <c r="E1168" s="12" t="str">
        <f>IFERROR(__xludf.DUMMYFUNCTION("""COMPUTED_VALUE"""),"I received this dress as a gift and it has become such a great addition to my wardrobe! i love that i can wear it to work and then out with friends. a great value if you're looking for one special piece that you can get miles out of - you can wear the two"&amp;" pieces separate or together. i love floral and felt this non traditional take on a floral was very refreshing.")</f>
        <v>I received this dress as a gift and it has become such a great addition to my wardrobe! i love that i can wear it to work and then out with friends. a great value if you're looking for one special piece that you can get miles out of - you can wear the two pieces separate or together. i love floral and felt this non traditional take on a floral was very refreshing.</v>
      </c>
      <c r="F1168" s="13">
        <f>IFERROR(__xludf.DUMMYFUNCTION("""COMPUTED_VALUE"""),5.0)</f>
        <v>5</v>
      </c>
      <c r="G1168" s="13">
        <f>IFERROR(__xludf.DUMMYFUNCTION("""COMPUTED_VALUE"""),1.0)</f>
        <v>1</v>
      </c>
      <c r="H1168" s="13">
        <f>IFERROR(__xludf.DUMMYFUNCTION("""COMPUTED_VALUE"""),1.0)</f>
        <v>1</v>
      </c>
      <c r="I1168" s="13" t="str">
        <f>IFERROR(__xludf.DUMMYFUNCTION("""COMPUTED_VALUE"""),"General Petite")</f>
        <v>General Petite</v>
      </c>
      <c r="J1168" s="13" t="str">
        <f>IFERROR(__xludf.DUMMYFUNCTION("""COMPUTED_VALUE"""),"Dresses")</f>
        <v>Dresses</v>
      </c>
      <c r="K1168" s="13" t="str">
        <f>IFERROR(__xludf.DUMMYFUNCTION("""COMPUTED_VALUE"""),"Dresses")</f>
        <v>Dresses</v>
      </c>
      <c r="L1168" s="13"/>
    </row>
    <row r="1169">
      <c r="A1169" s="13">
        <f>IFERROR(__xludf.DUMMYFUNCTION("""COMPUTED_VALUE"""),1167.0)</f>
        <v>1167</v>
      </c>
      <c r="B1169" s="13">
        <f>IFERROR(__xludf.DUMMYFUNCTION("""COMPUTED_VALUE"""),1060.0)</f>
        <v>1060</v>
      </c>
      <c r="C1169" s="13">
        <f>IFERROR(__xludf.DUMMYFUNCTION("""COMPUTED_VALUE"""),41.0)</f>
        <v>41</v>
      </c>
      <c r="D1169" s="12"/>
      <c r="E1169" s="12" t="str">
        <f>IFERROR(__xludf.DUMMYFUNCTION("""COMPUTED_VALUE"""),"This would be perfect if only it were lined!!!! i have a high waist and hourglass shape so jumpers are very hard to find that fit my body type. this is a perfect fit for my body shape and when on, it looks like a lovely dress. however, it is not lined and"&amp;" the material is very light and ivory so you see everything. you can't wear a slip so that leaves the option of some sort of bodysuit if you don't want to show the world what you have. i am very tired of all of the light colored clothing not bei")</f>
        <v>This would be perfect if only it were lined!!!! i have a high waist and hourglass shape so jumpers are very hard to find that fit my body type. this is a perfect fit for my body shape and when on, it looks like a lovely dress. however, it is not lined and the material is very light and ivory so you see everything. you can't wear a slip so that leaves the option of some sort of bodysuit if you don't want to show the world what you have. i am very tired of all of the light colored clothing not bei</v>
      </c>
      <c r="F1169" s="13">
        <f>IFERROR(__xludf.DUMMYFUNCTION("""COMPUTED_VALUE"""),3.0)</f>
        <v>3</v>
      </c>
      <c r="G1169" s="13">
        <f>IFERROR(__xludf.DUMMYFUNCTION("""COMPUTED_VALUE"""),0.0)</f>
        <v>0</v>
      </c>
      <c r="H1169" s="13">
        <f>IFERROR(__xludf.DUMMYFUNCTION("""COMPUTED_VALUE"""),71.0)</f>
        <v>71</v>
      </c>
      <c r="I1169" s="13" t="str">
        <f>IFERROR(__xludf.DUMMYFUNCTION("""COMPUTED_VALUE"""),"General Petite")</f>
        <v>General Petite</v>
      </c>
      <c r="J1169" s="13" t="str">
        <f>IFERROR(__xludf.DUMMYFUNCTION("""COMPUTED_VALUE"""),"Bottoms")</f>
        <v>Bottoms</v>
      </c>
      <c r="K1169" s="13" t="str">
        <f>IFERROR(__xludf.DUMMYFUNCTION("""COMPUTED_VALUE"""),"Pants")</f>
        <v>Pants</v>
      </c>
      <c r="L1169" s="13"/>
    </row>
    <row r="1170">
      <c r="A1170" s="13">
        <f>IFERROR(__xludf.DUMMYFUNCTION("""COMPUTED_VALUE"""),1168.0)</f>
        <v>1168</v>
      </c>
      <c r="B1170" s="13">
        <f>IFERROR(__xludf.DUMMYFUNCTION("""COMPUTED_VALUE"""),1060.0)</f>
        <v>1060</v>
      </c>
      <c r="C1170" s="13">
        <f>IFERROR(__xludf.DUMMYFUNCTION("""COMPUTED_VALUE"""),38.0)</f>
        <v>38</v>
      </c>
      <c r="D1170" s="12"/>
      <c r="E1170" s="12" t="str">
        <f>IFERROR(__xludf.DUMMYFUNCTION("""COMPUTED_VALUE"""),"Simply awesome. wonderful fit and flatters any body type. looks great booties, flats, or flip flops. must have ...")</f>
        <v>Simply awesome. wonderful fit and flatters any body type. looks great booties, flats, or flip flops. must have ...</v>
      </c>
      <c r="F1170" s="13">
        <f>IFERROR(__xludf.DUMMYFUNCTION("""COMPUTED_VALUE"""),5.0)</f>
        <v>5</v>
      </c>
      <c r="G1170" s="13">
        <f>IFERROR(__xludf.DUMMYFUNCTION("""COMPUTED_VALUE"""),1.0)</f>
        <v>1</v>
      </c>
      <c r="H1170" s="13">
        <f>IFERROR(__xludf.DUMMYFUNCTION("""COMPUTED_VALUE"""),5.0)</f>
        <v>5</v>
      </c>
      <c r="I1170" s="13" t="str">
        <f>IFERROR(__xludf.DUMMYFUNCTION("""COMPUTED_VALUE"""),"General Petite")</f>
        <v>General Petite</v>
      </c>
      <c r="J1170" s="13" t="str">
        <f>IFERROR(__xludf.DUMMYFUNCTION("""COMPUTED_VALUE"""),"Bottoms")</f>
        <v>Bottoms</v>
      </c>
      <c r="K1170" s="13" t="str">
        <f>IFERROR(__xludf.DUMMYFUNCTION("""COMPUTED_VALUE"""),"Pants")</f>
        <v>Pants</v>
      </c>
      <c r="L1170" s="13"/>
    </row>
    <row r="1171">
      <c r="A1171" s="13">
        <f>IFERROR(__xludf.DUMMYFUNCTION("""COMPUTED_VALUE"""),1169.0)</f>
        <v>1169</v>
      </c>
      <c r="B1171" s="13">
        <f>IFERROR(__xludf.DUMMYFUNCTION("""COMPUTED_VALUE"""),1060.0)</f>
        <v>1060</v>
      </c>
      <c r="C1171" s="13">
        <f>IFERROR(__xludf.DUMMYFUNCTION("""COMPUTED_VALUE"""),46.0)</f>
        <v>46</v>
      </c>
      <c r="D1171" s="12" t="str">
        <f>IFERROR(__xludf.DUMMYFUNCTION("""COMPUTED_VALUE"""),"Feminine")</f>
        <v>Feminine</v>
      </c>
      <c r="E1171" s="12" t="str">
        <f>IFERROR(__xludf.DUMMYFUNCTION("""COMPUTED_VALUE"""),"Although it may not look like it takes on a shape - what a wonderfully flattering jumper. was intrigued from seeing it in the catalog and had to try it on in the store -- i was unsure how the middle would appear. but it fit, wonderfully feminine, looking "&amp;"forward to the summer.")</f>
        <v>Although it may not look like it takes on a shape - what a wonderfully flattering jumper. was intrigued from seeing it in the catalog and had to try it on in the store -- i was unsure how the middle would appear. but it fit, wonderfully feminine, looking forward to the summer.</v>
      </c>
      <c r="F1171" s="13">
        <f>IFERROR(__xludf.DUMMYFUNCTION("""COMPUTED_VALUE"""),5.0)</f>
        <v>5</v>
      </c>
      <c r="G1171" s="13">
        <f>IFERROR(__xludf.DUMMYFUNCTION("""COMPUTED_VALUE"""),1.0)</f>
        <v>1</v>
      </c>
      <c r="H1171" s="13">
        <f>IFERROR(__xludf.DUMMYFUNCTION("""COMPUTED_VALUE"""),2.0)</f>
        <v>2</v>
      </c>
      <c r="I1171" s="13" t="str">
        <f>IFERROR(__xludf.DUMMYFUNCTION("""COMPUTED_VALUE"""),"General Petite")</f>
        <v>General Petite</v>
      </c>
      <c r="J1171" s="13" t="str">
        <f>IFERROR(__xludf.DUMMYFUNCTION("""COMPUTED_VALUE"""),"Bottoms")</f>
        <v>Bottoms</v>
      </c>
      <c r="K1171" s="13" t="str">
        <f>IFERROR(__xludf.DUMMYFUNCTION("""COMPUTED_VALUE"""),"Pants")</f>
        <v>Pants</v>
      </c>
      <c r="L1171" s="13"/>
    </row>
    <row r="1172">
      <c r="A1172" s="13">
        <f>IFERROR(__xludf.DUMMYFUNCTION("""COMPUTED_VALUE"""),1170.0)</f>
        <v>1170</v>
      </c>
      <c r="B1172" s="13">
        <f>IFERROR(__xludf.DUMMYFUNCTION("""COMPUTED_VALUE"""),1042.0)</f>
        <v>1042</v>
      </c>
      <c r="C1172" s="13">
        <f>IFERROR(__xludf.DUMMYFUNCTION("""COMPUTED_VALUE"""),49.0)</f>
        <v>49</v>
      </c>
      <c r="D1172" s="12" t="str">
        <f>IFERROR(__xludf.DUMMYFUNCTION("""COMPUTED_VALUE"""),"Love these!")</f>
        <v>Love these!</v>
      </c>
      <c r="E1172" s="12" t="str">
        <f>IFERROR(__xludf.DUMMYFUNCTION("""COMPUTED_VALUE"""),"I had been eyeing these for a while, but as they didn't seem very popular, i figured i'd wait for a sale. i finally bought them at the 40% off of sale price (yay!) and i love them. they're extremely comfortable, and very flattering. i'd say they run true "&amp;"to size, but maybe on the smaller end of the size for the waist. the blue pants are more greenish in color than the picture shows, but still beautiful. i'm looking forward to wearing these now and into the spring.")</f>
        <v>I had been eyeing these for a while, but as they didn't seem very popular, i figured i'd wait for a sale. i finally bought them at the 40% off of sale price (yay!) and i love them. they're extremely comfortable, and very flattering. i'd say they run true to size, but maybe on the smaller end of the size for the waist. the blue pants are more greenish in color than the picture shows, but still beautiful. i'm looking forward to wearing these now and into the spring.</v>
      </c>
      <c r="F1172" s="13">
        <f>IFERROR(__xludf.DUMMYFUNCTION("""COMPUTED_VALUE"""),4.0)</f>
        <v>4</v>
      </c>
      <c r="G1172" s="13">
        <f>IFERROR(__xludf.DUMMYFUNCTION("""COMPUTED_VALUE"""),1.0)</f>
        <v>1</v>
      </c>
      <c r="H1172" s="13">
        <f>IFERROR(__xludf.DUMMYFUNCTION("""COMPUTED_VALUE"""),0.0)</f>
        <v>0</v>
      </c>
      <c r="I1172" s="13" t="str">
        <f>IFERROR(__xludf.DUMMYFUNCTION("""COMPUTED_VALUE"""),"General")</f>
        <v>General</v>
      </c>
      <c r="J1172" s="13" t="str">
        <f>IFERROR(__xludf.DUMMYFUNCTION("""COMPUTED_VALUE"""),"Bottoms")</f>
        <v>Bottoms</v>
      </c>
      <c r="K1172" s="13" t="str">
        <f>IFERROR(__xludf.DUMMYFUNCTION("""COMPUTED_VALUE"""),"Pants")</f>
        <v>Pants</v>
      </c>
      <c r="L1172" s="13"/>
    </row>
    <row r="1173">
      <c r="A1173" s="13">
        <f>IFERROR(__xludf.DUMMYFUNCTION("""COMPUTED_VALUE"""),1171.0)</f>
        <v>1171</v>
      </c>
      <c r="B1173" s="13">
        <f>IFERROR(__xludf.DUMMYFUNCTION("""COMPUTED_VALUE"""),1060.0)</f>
        <v>1060</v>
      </c>
      <c r="C1173" s="13">
        <f>IFERROR(__xludf.DUMMYFUNCTION("""COMPUTED_VALUE"""),56.0)</f>
        <v>56</v>
      </c>
      <c r="D1173" s="12"/>
      <c r="E1173" s="12" t="str">
        <f>IFERROR(__xludf.DUMMYFUNCTION("""COMPUTED_VALUE"""),"I loooove this. my favorite retailer purchase in a while and i buy frequently. ran out of s p while in my basket (there are never enough petites available) so i got the medium. it is big but with this style i can pull it off. it does run a bit large so a "&amp;"s would have been perfect. please make this in more colors/fabrics! i would buy them all!")</f>
        <v>I loooove this. my favorite retailer purchase in a while and i buy frequently. ran out of s p while in my basket (there are never enough petites available) so i got the medium. it is big but with this style i can pull it off. it does run a bit large so a s would have been perfect. please make this in more colors/fabrics! i would buy them all!</v>
      </c>
      <c r="F1173" s="13">
        <f>IFERROR(__xludf.DUMMYFUNCTION("""COMPUTED_VALUE"""),5.0)</f>
        <v>5</v>
      </c>
      <c r="G1173" s="13">
        <f>IFERROR(__xludf.DUMMYFUNCTION("""COMPUTED_VALUE"""),1.0)</f>
        <v>1</v>
      </c>
      <c r="H1173" s="13">
        <f>IFERROR(__xludf.DUMMYFUNCTION("""COMPUTED_VALUE"""),3.0)</f>
        <v>3</v>
      </c>
      <c r="I1173" s="13" t="str">
        <f>IFERROR(__xludf.DUMMYFUNCTION("""COMPUTED_VALUE"""),"General Petite")</f>
        <v>General Petite</v>
      </c>
      <c r="J1173" s="13" t="str">
        <f>IFERROR(__xludf.DUMMYFUNCTION("""COMPUTED_VALUE"""),"Bottoms")</f>
        <v>Bottoms</v>
      </c>
      <c r="K1173" s="13" t="str">
        <f>IFERROR(__xludf.DUMMYFUNCTION("""COMPUTED_VALUE"""),"Pants")</f>
        <v>Pants</v>
      </c>
      <c r="L1173" s="13"/>
    </row>
    <row r="1174">
      <c r="A1174" s="13">
        <f>IFERROR(__xludf.DUMMYFUNCTION("""COMPUTED_VALUE"""),1172.0)</f>
        <v>1172</v>
      </c>
      <c r="B1174" s="13">
        <f>IFERROR(__xludf.DUMMYFUNCTION("""COMPUTED_VALUE"""),1060.0)</f>
        <v>1060</v>
      </c>
      <c r="C1174" s="13">
        <f>IFERROR(__xludf.DUMMYFUNCTION("""COMPUTED_VALUE"""),37.0)</f>
        <v>37</v>
      </c>
      <c r="D1174" s="12" t="str">
        <f>IFERROR(__xludf.DUMMYFUNCTION("""COMPUTED_VALUE"""),"Super cute. pockets would be nice")</f>
        <v>Super cute. pockets would be nice</v>
      </c>
      <c r="E1174" s="12" t="str">
        <f>IFERROR(__xludf.DUMMYFUNCTION("""COMPUTED_VALUE"""),"Easy and fun jumper. runs slightly large. i ordered a medium and returned for a small. can be dressed up or down for a variety of occasions. would be perfect if it had pockets.")</f>
        <v>Easy and fun jumper. runs slightly large. i ordered a medium and returned for a small. can be dressed up or down for a variety of occasions. would be perfect if it had pockets.</v>
      </c>
      <c r="F1174" s="13">
        <f>IFERROR(__xludf.DUMMYFUNCTION("""COMPUTED_VALUE"""),4.0)</f>
        <v>4</v>
      </c>
      <c r="G1174" s="13">
        <f>IFERROR(__xludf.DUMMYFUNCTION("""COMPUTED_VALUE"""),1.0)</f>
        <v>1</v>
      </c>
      <c r="H1174" s="13">
        <f>IFERROR(__xludf.DUMMYFUNCTION("""COMPUTED_VALUE"""),2.0)</f>
        <v>2</v>
      </c>
      <c r="I1174" s="13" t="str">
        <f>IFERROR(__xludf.DUMMYFUNCTION("""COMPUTED_VALUE"""),"General Petite")</f>
        <v>General Petite</v>
      </c>
      <c r="J1174" s="13" t="str">
        <f>IFERROR(__xludf.DUMMYFUNCTION("""COMPUTED_VALUE"""),"Bottoms")</f>
        <v>Bottoms</v>
      </c>
      <c r="K1174" s="13" t="str">
        <f>IFERROR(__xludf.DUMMYFUNCTION("""COMPUTED_VALUE"""),"Pants")</f>
        <v>Pants</v>
      </c>
      <c r="L1174" s="13"/>
    </row>
    <row r="1175">
      <c r="A1175" s="13">
        <f>IFERROR(__xludf.DUMMYFUNCTION("""COMPUTED_VALUE"""),1173.0)</f>
        <v>1173</v>
      </c>
      <c r="B1175" s="13">
        <f>IFERROR(__xludf.DUMMYFUNCTION("""COMPUTED_VALUE"""),1110.0)</f>
        <v>1110</v>
      </c>
      <c r="C1175" s="13">
        <f>IFERROR(__xludf.DUMMYFUNCTION("""COMPUTED_VALUE"""),23.0)</f>
        <v>23</v>
      </c>
      <c r="D1175" s="12" t="str">
        <f>IFERROR(__xludf.DUMMYFUNCTION("""COMPUTED_VALUE"""),"Prettier in person")</f>
        <v>Prettier in person</v>
      </c>
      <c r="E1175" s="12" t="str">
        <f>IFERROR(__xludf.DUMMYFUNCTION("""COMPUTED_VALUE"""),"This is such a pretty dress. light and flowy. i got it to wear on hot summer days.")</f>
        <v>This is such a pretty dress. light and flowy. i got it to wear on hot summer days.</v>
      </c>
      <c r="F1175" s="13">
        <f>IFERROR(__xludf.DUMMYFUNCTION("""COMPUTED_VALUE"""),5.0)</f>
        <v>5</v>
      </c>
      <c r="G1175" s="13">
        <f>IFERROR(__xludf.DUMMYFUNCTION("""COMPUTED_VALUE"""),1.0)</f>
        <v>1</v>
      </c>
      <c r="H1175" s="13">
        <f>IFERROR(__xludf.DUMMYFUNCTION("""COMPUTED_VALUE"""),0.0)</f>
        <v>0</v>
      </c>
      <c r="I1175" s="13" t="str">
        <f>IFERROR(__xludf.DUMMYFUNCTION("""COMPUTED_VALUE"""),"General")</f>
        <v>General</v>
      </c>
      <c r="J1175" s="13" t="str">
        <f>IFERROR(__xludf.DUMMYFUNCTION("""COMPUTED_VALUE"""),"Dresses")</f>
        <v>Dresses</v>
      </c>
      <c r="K1175" s="13" t="str">
        <f>IFERROR(__xludf.DUMMYFUNCTION("""COMPUTED_VALUE"""),"Dresses")</f>
        <v>Dresses</v>
      </c>
      <c r="L1175" s="13"/>
    </row>
    <row r="1176">
      <c r="A1176" s="13">
        <f>IFERROR(__xludf.DUMMYFUNCTION("""COMPUTED_VALUE"""),1174.0)</f>
        <v>1174</v>
      </c>
      <c r="B1176" s="13">
        <f>IFERROR(__xludf.DUMMYFUNCTION("""COMPUTED_VALUE"""),1060.0)</f>
        <v>1060</v>
      </c>
      <c r="C1176" s="13">
        <f>IFERROR(__xludf.DUMMYFUNCTION("""COMPUTED_VALUE"""),38.0)</f>
        <v>38</v>
      </c>
      <c r="D1176" s="12"/>
      <c r="E1176" s="12" t="str">
        <f>IFERROR(__xludf.DUMMYFUNCTION("""COMPUTED_VALUE"""),"I loved this jumpsuit. it fit well on my curvier/athletic frame. i did prefer a belt, which emphasized my shape. unfortunately, it is not lined and a bit sheer. this was a deal breaker for me.")</f>
        <v>I loved this jumpsuit. it fit well on my curvier/athletic frame. i did prefer a belt, which emphasized my shape. unfortunately, it is not lined and a bit sheer. this was a deal breaker for me.</v>
      </c>
      <c r="F1176" s="13">
        <f>IFERROR(__xludf.DUMMYFUNCTION("""COMPUTED_VALUE"""),3.0)</f>
        <v>3</v>
      </c>
      <c r="G1176" s="13">
        <f>IFERROR(__xludf.DUMMYFUNCTION("""COMPUTED_VALUE"""),1.0)</f>
        <v>1</v>
      </c>
      <c r="H1176" s="13">
        <f>IFERROR(__xludf.DUMMYFUNCTION("""COMPUTED_VALUE"""),0.0)</f>
        <v>0</v>
      </c>
      <c r="I1176" s="13" t="str">
        <f>IFERROR(__xludf.DUMMYFUNCTION("""COMPUTED_VALUE"""),"General Petite")</f>
        <v>General Petite</v>
      </c>
      <c r="J1176" s="13" t="str">
        <f>IFERROR(__xludf.DUMMYFUNCTION("""COMPUTED_VALUE"""),"Bottoms")</f>
        <v>Bottoms</v>
      </c>
      <c r="K1176" s="13" t="str">
        <f>IFERROR(__xludf.DUMMYFUNCTION("""COMPUTED_VALUE"""),"Pants")</f>
        <v>Pants</v>
      </c>
      <c r="L1176" s="13"/>
    </row>
    <row r="1177">
      <c r="A1177" s="13">
        <f>IFERROR(__xludf.DUMMYFUNCTION("""COMPUTED_VALUE"""),1175.0)</f>
        <v>1175</v>
      </c>
      <c r="B1177" s="13">
        <f>IFERROR(__xludf.DUMMYFUNCTION("""COMPUTED_VALUE"""),235.0)</f>
        <v>235</v>
      </c>
      <c r="C1177" s="13">
        <f>IFERROR(__xludf.DUMMYFUNCTION("""COMPUTED_VALUE"""),28.0)</f>
        <v>28</v>
      </c>
      <c r="D1177" s="12"/>
      <c r="E1177" s="12" t="str">
        <f>IFERROR(__xludf.DUMMYFUNCTION("""COMPUTED_VALUE"""),"I have been dying to try a mara hoffman bathing suit, so i went for this one. unfortunately, the design of the bathing suit is not like what they sent me. the middle where the tops meets the bottom, is squared off, not like that v that it looks like in th"&amp;"is photo. it also makes for major side boob/sagging on each side. i was very disappointed.")</f>
        <v>I have been dying to try a mara hoffman bathing suit, so i went for this one. unfortunately, the design of the bathing suit is not like what they sent me. the middle where the tops meets the bottom, is squared off, not like that v that it looks like in this photo. it also makes for major side boob/sagging on each side. i was very disappointed.</v>
      </c>
      <c r="F1177" s="13">
        <f>IFERROR(__xludf.DUMMYFUNCTION("""COMPUTED_VALUE"""),2.0)</f>
        <v>2</v>
      </c>
      <c r="G1177" s="13">
        <f>IFERROR(__xludf.DUMMYFUNCTION("""COMPUTED_VALUE"""),0.0)</f>
        <v>0</v>
      </c>
      <c r="H1177" s="13">
        <f>IFERROR(__xludf.DUMMYFUNCTION("""COMPUTED_VALUE"""),2.0)</f>
        <v>2</v>
      </c>
      <c r="I1177" s="13" t="str">
        <f>IFERROR(__xludf.DUMMYFUNCTION("""COMPUTED_VALUE"""),"Initmates")</f>
        <v>Initmates</v>
      </c>
      <c r="J1177" s="13" t="str">
        <f>IFERROR(__xludf.DUMMYFUNCTION("""COMPUTED_VALUE"""),"Intimate")</f>
        <v>Intimate</v>
      </c>
      <c r="K1177" s="13" t="str">
        <f>IFERROR(__xludf.DUMMYFUNCTION("""COMPUTED_VALUE"""),"Swim")</f>
        <v>Swim</v>
      </c>
      <c r="L1177" s="13"/>
    </row>
    <row r="1178">
      <c r="A1178" s="13">
        <f>IFERROR(__xludf.DUMMYFUNCTION("""COMPUTED_VALUE"""),1176.0)</f>
        <v>1176</v>
      </c>
      <c r="B1178" s="13">
        <f>IFERROR(__xludf.DUMMYFUNCTION("""COMPUTED_VALUE"""),1072.0)</f>
        <v>1072</v>
      </c>
      <c r="C1178" s="13">
        <f>IFERROR(__xludf.DUMMYFUNCTION("""COMPUTED_VALUE"""),29.0)</f>
        <v>29</v>
      </c>
      <c r="D1178" s="12" t="str">
        <f>IFERROR(__xludf.DUMMYFUNCTION("""COMPUTED_VALUE"""),"Pretty, but not great")</f>
        <v>Pretty, but not great</v>
      </c>
      <c r="E1178" s="12" t="str">
        <f>IFERROR(__xludf.DUMMYFUNCTION("""COMPUTED_VALUE"""),"This dress was pretty but had a weird fit. the waist droops down in the middle instead of going straight across, which i found unflattering. i ended up returning it.")</f>
        <v>This dress was pretty but had a weird fit. the waist droops down in the middle instead of going straight across, which i found unflattering. i ended up returning it.</v>
      </c>
      <c r="F1178" s="13">
        <f>IFERROR(__xludf.DUMMYFUNCTION("""COMPUTED_VALUE"""),3.0)</f>
        <v>3</v>
      </c>
      <c r="G1178" s="13">
        <f>IFERROR(__xludf.DUMMYFUNCTION("""COMPUTED_VALUE"""),0.0)</f>
        <v>0</v>
      </c>
      <c r="H1178" s="13">
        <f>IFERROR(__xludf.DUMMYFUNCTION("""COMPUTED_VALUE"""),4.0)</f>
        <v>4</v>
      </c>
      <c r="I1178" s="13" t="str">
        <f>IFERROR(__xludf.DUMMYFUNCTION("""COMPUTED_VALUE"""),"General")</f>
        <v>General</v>
      </c>
      <c r="J1178" s="13" t="str">
        <f>IFERROR(__xludf.DUMMYFUNCTION("""COMPUTED_VALUE"""),"Dresses")</f>
        <v>Dresses</v>
      </c>
      <c r="K1178" s="13" t="str">
        <f>IFERROR(__xludf.DUMMYFUNCTION("""COMPUTED_VALUE"""),"Dresses")</f>
        <v>Dresses</v>
      </c>
      <c r="L1178" s="13"/>
    </row>
    <row r="1179">
      <c r="A1179" s="13">
        <f>IFERROR(__xludf.DUMMYFUNCTION("""COMPUTED_VALUE"""),1177.0)</f>
        <v>1177</v>
      </c>
      <c r="B1179" s="13">
        <f>IFERROR(__xludf.DUMMYFUNCTION("""COMPUTED_VALUE"""),1094.0)</f>
        <v>1094</v>
      </c>
      <c r="C1179" s="13">
        <f>IFERROR(__xludf.DUMMYFUNCTION("""COMPUTED_VALUE"""),53.0)</f>
        <v>53</v>
      </c>
      <c r="D1179" s="12" t="str">
        <f>IFERROR(__xludf.DUMMYFUNCTION("""COMPUTED_VALUE"""),"Beautiful summer dress")</f>
        <v>Beautiful summer dress</v>
      </c>
      <c r="E1179" s="12" t="str">
        <f>IFERROR(__xludf.DUMMYFUNCTION("""COMPUTED_VALUE"""),"I was unsure about this dress when i first tried it on. the color is gorgeous, it is flowy and beautiful. it hits just below the knee (i am tall), which is something i am not used to. i hadn't decided on it, but my husband loves it and that's all that mat"&amp;"ters! it is very feminine and pretty. i normally wear a 0, but ordered a 00- it fits just slightly loose, which is the style this dress is going for.")</f>
        <v>I was unsure about this dress when i first tried it on. the color is gorgeous, it is flowy and beautiful. it hits just below the knee (i am tall), which is something i am not used to. i hadn't decided on it, but my husband loves it and that's all that matters! it is very feminine and pretty. i normally wear a 0, but ordered a 00- it fits just slightly loose, which is the style this dress is going for.</v>
      </c>
      <c r="F1179" s="13">
        <f>IFERROR(__xludf.DUMMYFUNCTION("""COMPUTED_VALUE"""),4.0)</f>
        <v>4</v>
      </c>
      <c r="G1179" s="13">
        <f>IFERROR(__xludf.DUMMYFUNCTION("""COMPUTED_VALUE"""),1.0)</f>
        <v>1</v>
      </c>
      <c r="H1179" s="13">
        <f>IFERROR(__xludf.DUMMYFUNCTION("""COMPUTED_VALUE"""),0.0)</f>
        <v>0</v>
      </c>
      <c r="I1179" s="13" t="str">
        <f>IFERROR(__xludf.DUMMYFUNCTION("""COMPUTED_VALUE"""),"General Petite")</f>
        <v>General Petite</v>
      </c>
      <c r="J1179" s="13" t="str">
        <f>IFERROR(__xludf.DUMMYFUNCTION("""COMPUTED_VALUE"""),"Dresses")</f>
        <v>Dresses</v>
      </c>
      <c r="K1179" s="13" t="str">
        <f>IFERROR(__xludf.DUMMYFUNCTION("""COMPUTED_VALUE"""),"Dresses")</f>
        <v>Dresses</v>
      </c>
      <c r="L1179" s="13"/>
    </row>
    <row r="1180">
      <c r="A1180" s="13">
        <f>IFERROR(__xludf.DUMMYFUNCTION("""COMPUTED_VALUE"""),1178.0)</f>
        <v>1178</v>
      </c>
      <c r="B1180" s="13">
        <f>IFERROR(__xludf.DUMMYFUNCTION("""COMPUTED_VALUE"""),1204.0)</f>
        <v>1204</v>
      </c>
      <c r="C1180" s="13">
        <f>IFERROR(__xludf.DUMMYFUNCTION("""COMPUTED_VALUE"""),39.0)</f>
        <v>39</v>
      </c>
      <c r="D1180" s="12" t="str">
        <f>IFERROR(__xludf.DUMMYFUNCTION("""COMPUTED_VALUE"""),"Comfy and cute pants")</f>
        <v>Comfy and cute pants</v>
      </c>
      <c r="E1180" s="12" t="str">
        <f>IFERROR(__xludf.DUMMYFUNCTION("""COMPUTED_VALUE"""),"I love these pants. i have them in navy and carbon. the navy color seems to run bigger than the carbon. they are very loose like a boyfriend pant in navy. they loosen up as the day goes on as well. super comfy and great for running errands and taking my l"&amp;"ittle one to the park. i can look cute and feel comfy and i can give my yoga pants a break.")</f>
        <v>I love these pants. i have them in navy and carbon. the navy color seems to run bigger than the carbon. they are very loose like a boyfriend pant in navy. they loosen up as the day goes on as well. super comfy and great for running errands and taking my little one to the park. i can look cute and feel comfy and i can give my yoga pants a break.</v>
      </c>
      <c r="F1180" s="13">
        <f>IFERROR(__xludf.DUMMYFUNCTION("""COMPUTED_VALUE"""),5.0)</f>
        <v>5</v>
      </c>
      <c r="G1180" s="13">
        <f>IFERROR(__xludf.DUMMYFUNCTION("""COMPUTED_VALUE"""),1.0)</f>
        <v>1</v>
      </c>
      <c r="H1180" s="13">
        <f>IFERROR(__xludf.DUMMYFUNCTION("""COMPUTED_VALUE"""),3.0)</f>
        <v>3</v>
      </c>
      <c r="I1180" s="13" t="str">
        <f>IFERROR(__xludf.DUMMYFUNCTION("""COMPUTED_VALUE"""),"General Petite")</f>
        <v>General Petite</v>
      </c>
      <c r="J1180" s="13" t="str">
        <f>IFERROR(__xludf.DUMMYFUNCTION("""COMPUTED_VALUE"""),"Bottoms")</f>
        <v>Bottoms</v>
      </c>
      <c r="K1180" s="13" t="str">
        <f>IFERROR(__xludf.DUMMYFUNCTION("""COMPUTED_VALUE"""),"Pants")</f>
        <v>Pants</v>
      </c>
      <c r="L1180" s="13"/>
    </row>
    <row r="1181">
      <c r="A1181" s="13">
        <f>IFERROR(__xludf.DUMMYFUNCTION("""COMPUTED_VALUE"""),1179.0)</f>
        <v>1179</v>
      </c>
      <c r="B1181" s="13">
        <f>IFERROR(__xludf.DUMMYFUNCTION("""COMPUTED_VALUE"""),1204.0)</f>
        <v>1204</v>
      </c>
      <c r="C1181" s="13">
        <f>IFERROR(__xludf.DUMMYFUNCTION("""COMPUTED_VALUE"""),39.0)</f>
        <v>39</v>
      </c>
      <c r="D1181" s="12" t="str">
        <f>IFERROR(__xludf.DUMMYFUNCTION("""COMPUTED_VALUE"""),"Very comfortable/relaxed")</f>
        <v>Very comfortable/relaxed</v>
      </c>
      <c r="E1181" s="12" t="str">
        <f>IFERROR(__xludf.DUMMYFUNCTION("""COMPUTED_VALUE"""),"These are super soft and relaxed. i have them in navy and lavender. i am 5'6"" and 130 lbs. and ordered them in a 28, which fits loosely, but comfortably.")</f>
        <v>These are super soft and relaxed. i have them in navy and lavender. i am 5'6" and 130 lbs. and ordered them in a 28, which fits loosely, but comfortably.</v>
      </c>
      <c r="F1181" s="13">
        <f>IFERROR(__xludf.DUMMYFUNCTION("""COMPUTED_VALUE"""),4.0)</f>
        <v>4</v>
      </c>
      <c r="G1181" s="13">
        <f>IFERROR(__xludf.DUMMYFUNCTION("""COMPUTED_VALUE"""),1.0)</f>
        <v>1</v>
      </c>
      <c r="H1181" s="13">
        <f>IFERROR(__xludf.DUMMYFUNCTION("""COMPUTED_VALUE"""),0.0)</f>
        <v>0</v>
      </c>
      <c r="I1181" s="13" t="str">
        <f>IFERROR(__xludf.DUMMYFUNCTION("""COMPUTED_VALUE"""),"General Petite")</f>
        <v>General Petite</v>
      </c>
      <c r="J1181" s="13" t="str">
        <f>IFERROR(__xludf.DUMMYFUNCTION("""COMPUTED_VALUE"""),"Bottoms")</f>
        <v>Bottoms</v>
      </c>
      <c r="K1181" s="13" t="str">
        <f>IFERROR(__xludf.DUMMYFUNCTION("""COMPUTED_VALUE"""),"Pants")</f>
        <v>Pants</v>
      </c>
      <c r="L1181" s="13"/>
    </row>
    <row r="1182">
      <c r="A1182" s="13">
        <f>IFERROR(__xludf.DUMMYFUNCTION("""COMPUTED_VALUE"""),1180.0)</f>
        <v>1180</v>
      </c>
      <c r="B1182" s="13">
        <f>IFERROR(__xludf.DUMMYFUNCTION("""COMPUTED_VALUE"""),1082.0)</f>
        <v>1082</v>
      </c>
      <c r="C1182" s="13">
        <f>IFERROR(__xludf.DUMMYFUNCTION("""COMPUTED_VALUE"""),31.0)</f>
        <v>31</v>
      </c>
      <c r="D1182" s="12" t="str">
        <f>IFERROR(__xludf.DUMMYFUNCTION("""COMPUTED_VALUE"""),"Finally found my staple summer dress!")</f>
        <v>Finally found my staple summer dress!</v>
      </c>
      <c r="E1182" s="12" t="str">
        <f>IFERROR(__xludf.DUMMYFUNCTION("""COMPUTED_VALUE"""),"Was so thrilled to receive my dress in the mail. its just what i was looking for, for my staple summer dress. i love how i can wear it with or without the sweater top, and even can pair just the sweater top with my high-waisted shorts!")</f>
        <v>Was so thrilled to receive my dress in the mail. its just what i was looking for, for my staple summer dress. i love how i can wear it with or without the sweater top, and even can pair just the sweater top with my high-waisted shorts!</v>
      </c>
      <c r="F1182" s="13">
        <f>IFERROR(__xludf.DUMMYFUNCTION("""COMPUTED_VALUE"""),5.0)</f>
        <v>5</v>
      </c>
      <c r="G1182" s="13">
        <f>IFERROR(__xludf.DUMMYFUNCTION("""COMPUTED_VALUE"""),1.0)</f>
        <v>1</v>
      </c>
      <c r="H1182" s="13">
        <f>IFERROR(__xludf.DUMMYFUNCTION("""COMPUTED_VALUE"""),2.0)</f>
        <v>2</v>
      </c>
      <c r="I1182" s="13" t="str">
        <f>IFERROR(__xludf.DUMMYFUNCTION("""COMPUTED_VALUE"""),"General Petite")</f>
        <v>General Petite</v>
      </c>
      <c r="J1182" s="13" t="str">
        <f>IFERROR(__xludf.DUMMYFUNCTION("""COMPUTED_VALUE"""),"Dresses")</f>
        <v>Dresses</v>
      </c>
      <c r="K1182" s="13" t="str">
        <f>IFERROR(__xludf.DUMMYFUNCTION("""COMPUTED_VALUE"""),"Dresses")</f>
        <v>Dresses</v>
      </c>
      <c r="L1182" s="13"/>
    </row>
    <row r="1183">
      <c r="A1183" s="13">
        <f>IFERROR(__xludf.DUMMYFUNCTION("""COMPUTED_VALUE"""),1181.0)</f>
        <v>1181</v>
      </c>
      <c r="B1183" s="13">
        <f>IFERROR(__xludf.DUMMYFUNCTION("""COMPUTED_VALUE"""),1072.0)</f>
        <v>1072</v>
      </c>
      <c r="C1183" s="13">
        <f>IFERROR(__xludf.DUMMYFUNCTION("""COMPUTED_VALUE"""),43.0)</f>
        <v>43</v>
      </c>
      <c r="D1183" s="12" t="str">
        <f>IFERROR(__xludf.DUMMYFUNCTION("""COMPUTED_VALUE"""),"Awkward")</f>
        <v>Awkward</v>
      </c>
      <c r="E1183" s="12" t="str">
        <f>IFERROR(__xludf.DUMMYFUNCTION("""COMPUTED_VALUE"""),"I really wanted to like his dress, but it was a big miss. big big miss. look at the way the skirt is attached to the dress in the photo. it goes up high on the sides leaving a short bodice. the sequined patterns hit right at my breasts, so it looked like "&amp;"glittery bra cups on the front. the back glittery pattern looked like bird wings on my back. it was far shorter than i expected. overall, it looked like i was desperately trying to be a sexy angel or fairy. bad bad bad.")</f>
        <v>I really wanted to like his dress, but it was a big miss. big big miss. look at the way the skirt is attached to the dress in the photo. it goes up high on the sides leaving a short bodice. the sequined patterns hit right at my breasts, so it looked like glittery bra cups on the front. the back glittery pattern looked like bird wings on my back. it was far shorter than i expected. overall, it looked like i was desperately trying to be a sexy angel or fairy. bad bad bad.</v>
      </c>
      <c r="F1183" s="13">
        <f>IFERROR(__xludf.DUMMYFUNCTION("""COMPUTED_VALUE"""),3.0)</f>
        <v>3</v>
      </c>
      <c r="G1183" s="13">
        <f>IFERROR(__xludf.DUMMYFUNCTION("""COMPUTED_VALUE"""),0.0)</f>
        <v>0</v>
      </c>
      <c r="H1183" s="13">
        <f>IFERROR(__xludf.DUMMYFUNCTION("""COMPUTED_VALUE"""),5.0)</f>
        <v>5</v>
      </c>
      <c r="I1183" s="13" t="str">
        <f>IFERROR(__xludf.DUMMYFUNCTION("""COMPUTED_VALUE"""),"General")</f>
        <v>General</v>
      </c>
      <c r="J1183" s="13" t="str">
        <f>IFERROR(__xludf.DUMMYFUNCTION("""COMPUTED_VALUE"""),"Dresses")</f>
        <v>Dresses</v>
      </c>
      <c r="K1183" s="13" t="str">
        <f>IFERROR(__xludf.DUMMYFUNCTION("""COMPUTED_VALUE"""),"Dresses")</f>
        <v>Dresses</v>
      </c>
      <c r="L1183" s="13"/>
    </row>
    <row r="1184">
      <c r="A1184" s="13">
        <f>IFERROR(__xludf.DUMMYFUNCTION("""COMPUTED_VALUE"""),1182.0)</f>
        <v>1182</v>
      </c>
      <c r="B1184" s="13">
        <f>IFERROR(__xludf.DUMMYFUNCTION("""COMPUTED_VALUE"""),1060.0)</f>
        <v>1060</v>
      </c>
      <c r="C1184" s="13">
        <f>IFERROR(__xludf.DUMMYFUNCTION("""COMPUTED_VALUE"""),21.0)</f>
        <v>21</v>
      </c>
      <c r="D1184" s="12"/>
      <c r="E1184" s="12" t="str">
        <f>IFERROR(__xludf.DUMMYFUNCTION("""COMPUTED_VALUE"""),"Great fabric but unfortunately it did not look good on me. maybe on a tall person, i'm only 5'4"". really wanted to like this...")</f>
        <v>Great fabric but unfortunately it did not look good on me. maybe on a tall person, i'm only 5'4". really wanted to like this...</v>
      </c>
      <c r="F1184" s="13">
        <f>IFERROR(__xludf.DUMMYFUNCTION("""COMPUTED_VALUE"""),3.0)</f>
        <v>3</v>
      </c>
      <c r="G1184" s="13">
        <f>IFERROR(__xludf.DUMMYFUNCTION("""COMPUTED_VALUE"""),0.0)</f>
        <v>0</v>
      </c>
      <c r="H1184" s="13">
        <f>IFERROR(__xludf.DUMMYFUNCTION("""COMPUTED_VALUE"""),0.0)</f>
        <v>0</v>
      </c>
      <c r="I1184" s="13" t="str">
        <f>IFERROR(__xludf.DUMMYFUNCTION("""COMPUTED_VALUE"""),"General Petite")</f>
        <v>General Petite</v>
      </c>
      <c r="J1184" s="13" t="str">
        <f>IFERROR(__xludf.DUMMYFUNCTION("""COMPUTED_VALUE"""),"Bottoms")</f>
        <v>Bottoms</v>
      </c>
      <c r="K1184" s="13" t="str">
        <f>IFERROR(__xludf.DUMMYFUNCTION("""COMPUTED_VALUE"""),"Pants")</f>
        <v>Pants</v>
      </c>
      <c r="L1184" s="13"/>
    </row>
    <row r="1185">
      <c r="A1185" s="13">
        <f>IFERROR(__xludf.DUMMYFUNCTION("""COMPUTED_VALUE"""),1183.0)</f>
        <v>1183</v>
      </c>
      <c r="B1185" s="13">
        <f>IFERROR(__xludf.DUMMYFUNCTION("""COMPUTED_VALUE"""),1098.0)</f>
        <v>1098</v>
      </c>
      <c r="C1185" s="13">
        <f>IFERROR(__xludf.DUMMYFUNCTION("""COMPUTED_VALUE"""),54.0)</f>
        <v>54</v>
      </c>
      <c r="D1185" s="12"/>
      <c r="E1185" s="12" t="str">
        <f>IFERROR(__xludf.DUMMYFUNCTION("""COMPUTED_VALUE"""),"The dress is cute, but i'm somewhat concerned that it will be sheer in the sunlight. i guess we'll have to wait and see!")</f>
        <v>The dress is cute, but i'm somewhat concerned that it will be sheer in the sunlight. i guess we'll have to wait and see!</v>
      </c>
      <c r="F1185" s="13">
        <f>IFERROR(__xludf.DUMMYFUNCTION("""COMPUTED_VALUE"""),4.0)</f>
        <v>4</v>
      </c>
      <c r="G1185" s="13">
        <f>IFERROR(__xludf.DUMMYFUNCTION("""COMPUTED_VALUE"""),1.0)</f>
        <v>1</v>
      </c>
      <c r="H1185" s="13">
        <f>IFERROR(__xludf.DUMMYFUNCTION("""COMPUTED_VALUE"""),0.0)</f>
        <v>0</v>
      </c>
      <c r="I1185" s="13" t="str">
        <f>IFERROR(__xludf.DUMMYFUNCTION("""COMPUTED_VALUE"""),"General Petite")</f>
        <v>General Petite</v>
      </c>
      <c r="J1185" s="13" t="str">
        <f>IFERROR(__xludf.DUMMYFUNCTION("""COMPUTED_VALUE"""),"Dresses")</f>
        <v>Dresses</v>
      </c>
      <c r="K1185" s="13" t="str">
        <f>IFERROR(__xludf.DUMMYFUNCTION("""COMPUTED_VALUE"""),"Dresses")</f>
        <v>Dresses</v>
      </c>
      <c r="L1185" s="13"/>
    </row>
    <row r="1186">
      <c r="A1186" s="13">
        <f>IFERROR(__xludf.DUMMYFUNCTION("""COMPUTED_VALUE"""),1184.0)</f>
        <v>1184</v>
      </c>
      <c r="B1186" s="13">
        <f>IFERROR(__xludf.DUMMYFUNCTION("""COMPUTED_VALUE"""),1060.0)</f>
        <v>1060</v>
      </c>
      <c r="C1186" s="13">
        <f>IFERROR(__xludf.DUMMYFUNCTION("""COMPUTED_VALUE"""),55.0)</f>
        <v>55</v>
      </c>
      <c r="D1186" s="12" t="str">
        <f>IFERROR(__xludf.DUMMYFUNCTION("""COMPUTED_VALUE"""),"So flattering!")</f>
        <v>So flattering!</v>
      </c>
      <c r="E1186" s="12" t="str">
        <f>IFERROR(__xludf.DUMMYFUNCTION("""COMPUTED_VALUE"""),"I tried this on in the store in a regular medium and the size was fine, just the length. fortunately retailer will ship for free if you need a petite! i'm so excited to get this. i'm 5'1 and a bit busty, and the medium fit perfect. its very flattering and"&amp;" so comfortable! perfect for a hot summer day. or as the cute clerk in the store had it styled with a cropped jean jacket and a fun necklace. the styling idea's are endless. i'm waiting by the mailbox for it to arrive!")</f>
        <v>I tried this on in the store in a regular medium and the size was fine, just the length. fortunately retailer will ship for free if you need a petite! i'm so excited to get this. i'm 5'1 and a bit busty, and the medium fit perfect. its very flattering and so comfortable! perfect for a hot summer day. or as the cute clerk in the store had it styled with a cropped jean jacket and a fun necklace. the styling idea's are endless. i'm waiting by the mailbox for it to arrive!</v>
      </c>
      <c r="F1186" s="13">
        <f>IFERROR(__xludf.DUMMYFUNCTION("""COMPUTED_VALUE"""),5.0)</f>
        <v>5</v>
      </c>
      <c r="G1186" s="13">
        <f>IFERROR(__xludf.DUMMYFUNCTION("""COMPUTED_VALUE"""),1.0)</f>
        <v>1</v>
      </c>
      <c r="H1186" s="13">
        <f>IFERROR(__xludf.DUMMYFUNCTION("""COMPUTED_VALUE"""),6.0)</f>
        <v>6</v>
      </c>
      <c r="I1186" s="13" t="str">
        <f>IFERROR(__xludf.DUMMYFUNCTION("""COMPUTED_VALUE"""),"General Petite")</f>
        <v>General Petite</v>
      </c>
      <c r="J1186" s="13" t="str">
        <f>IFERROR(__xludf.DUMMYFUNCTION("""COMPUTED_VALUE"""),"Bottoms")</f>
        <v>Bottoms</v>
      </c>
      <c r="K1186" s="13" t="str">
        <f>IFERROR(__xludf.DUMMYFUNCTION("""COMPUTED_VALUE"""),"Pants")</f>
        <v>Pants</v>
      </c>
      <c r="L1186" s="13"/>
    </row>
    <row r="1187">
      <c r="A1187" s="13">
        <f>IFERROR(__xludf.DUMMYFUNCTION("""COMPUTED_VALUE"""),1185.0)</f>
        <v>1185</v>
      </c>
      <c r="B1187" s="13">
        <f>IFERROR(__xludf.DUMMYFUNCTION("""COMPUTED_VALUE"""),1060.0)</f>
        <v>1060</v>
      </c>
      <c r="C1187" s="13">
        <f>IFERROR(__xludf.DUMMYFUNCTION("""COMPUTED_VALUE"""),63.0)</f>
        <v>63</v>
      </c>
      <c r="D1187" s="12" t="str">
        <f>IFERROR(__xludf.DUMMYFUNCTION("""COMPUTED_VALUE"""),"Why is it so big?")</f>
        <v>Why is it so big?</v>
      </c>
      <c r="E1187" s="12" t="str">
        <f>IFERROR(__xludf.DUMMYFUNCTION("""COMPUTED_VALUE"""),"This runs really large. i love it! sold out of xs p and xxs p... go figure :( size down if you are slim.")</f>
        <v>This runs really large. i love it! sold out of xs p and xxs p... go figure :( size down if you are slim.</v>
      </c>
      <c r="F1187" s="13">
        <f>IFERROR(__xludf.DUMMYFUNCTION("""COMPUTED_VALUE"""),3.0)</f>
        <v>3</v>
      </c>
      <c r="G1187" s="13">
        <f>IFERROR(__xludf.DUMMYFUNCTION("""COMPUTED_VALUE"""),1.0)</f>
        <v>1</v>
      </c>
      <c r="H1187" s="13">
        <f>IFERROR(__xludf.DUMMYFUNCTION("""COMPUTED_VALUE"""),0.0)</f>
        <v>0</v>
      </c>
      <c r="I1187" s="13" t="str">
        <f>IFERROR(__xludf.DUMMYFUNCTION("""COMPUTED_VALUE"""),"General Petite")</f>
        <v>General Petite</v>
      </c>
      <c r="J1187" s="13" t="str">
        <f>IFERROR(__xludf.DUMMYFUNCTION("""COMPUTED_VALUE"""),"Bottoms")</f>
        <v>Bottoms</v>
      </c>
      <c r="K1187" s="13" t="str">
        <f>IFERROR(__xludf.DUMMYFUNCTION("""COMPUTED_VALUE"""),"Pants")</f>
        <v>Pants</v>
      </c>
      <c r="L1187" s="13"/>
    </row>
    <row r="1188">
      <c r="A1188" s="13">
        <f>IFERROR(__xludf.DUMMYFUNCTION("""COMPUTED_VALUE"""),1186.0)</f>
        <v>1186</v>
      </c>
      <c r="B1188" s="13">
        <f>IFERROR(__xludf.DUMMYFUNCTION("""COMPUTED_VALUE"""),1060.0)</f>
        <v>1060</v>
      </c>
      <c r="C1188" s="13">
        <f>IFERROR(__xludf.DUMMYFUNCTION("""COMPUTED_VALUE"""),66.0)</f>
        <v>66</v>
      </c>
      <c r="D1188" s="12"/>
      <c r="E1188" s="12" t="str">
        <f>IFERROR(__xludf.DUMMYFUNCTION("""COMPUTED_VALUE"""),"Bought this for my daughter. it's adorable on her. we're going to take it in at the waist so it doesn't look so sack-like; then it'll be perfect!")</f>
        <v>Bought this for my daughter. it's adorable on her. we're going to take it in at the waist so it doesn't look so sack-like; then it'll be perfect!</v>
      </c>
      <c r="F1188" s="13">
        <f>IFERROR(__xludf.DUMMYFUNCTION("""COMPUTED_VALUE"""),4.0)</f>
        <v>4</v>
      </c>
      <c r="G1188" s="13">
        <f>IFERROR(__xludf.DUMMYFUNCTION("""COMPUTED_VALUE"""),1.0)</f>
        <v>1</v>
      </c>
      <c r="H1188" s="13">
        <f>IFERROR(__xludf.DUMMYFUNCTION("""COMPUTED_VALUE"""),1.0)</f>
        <v>1</v>
      </c>
      <c r="I1188" s="13" t="str">
        <f>IFERROR(__xludf.DUMMYFUNCTION("""COMPUTED_VALUE"""),"General Petite")</f>
        <v>General Petite</v>
      </c>
      <c r="J1188" s="13" t="str">
        <f>IFERROR(__xludf.DUMMYFUNCTION("""COMPUTED_VALUE"""),"Bottoms")</f>
        <v>Bottoms</v>
      </c>
      <c r="K1188" s="13" t="str">
        <f>IFERROR(__xludf.DUMMYFUNCTION("""COMPUTED_VALUE"""),"Pants")</f>
        <v>Pants</v>
      </c>
      <c r="L1188" s="13"/>
    </row>
    <row r="1189">
      <c r="A1189" s="13">
        <f>IFERROR(__xludf.DUMMYFUNCTION("""COMPUTED_VALUE"""),1187.0)</f>
        <v>1187</v>
      </c>
      <c r="B1189" s="13">
        <f>IFERROR(__xludf.DUMMYFUNCTION("""COMPUTED_VALUE"""),1060.0)</f>
        <v>1060</v>
      </c>
      <c r="C1189" s="13">
        <f>IFERROR(__xludf.DUMMYFUNCTION("""COMPUTED_VALUE"""),27.0)</f>
        <v>27</v>
      </c>
      <c r="D1189" s="12" t="str">
        <f>IFERROR(__xludf.DUMMYFUNCTION("""COMPUTED_VALUE"""),"Not what i expected")</f>
        <v>Not what i expected</v>
      </c>
      <c r="E1189" s="12" t="str">
        <f>IFERROR(__xludf.DUMMYFUNCTION("""COMPUTED_VALUE"""),"I was disappointed with this jumpsuit. when i first saw it in the store, i thought i was going to love it. when i tried it on, the first issue is the fabric is too sheer. i could completely see the outline of my underwear and bra. it also runs way too big"&amp;"! i know the bottom is supposed to be loose and flowy, but the waist needs to be more tapered to off set that, and it's so baggy. the arm holes are also cut very low, so when you lift your arms you can see most of your bra on the sides 
i wante")</f>
        <v>I was disappointed with this jumpsuit. when i first saw it in the store, i thought i was going to love it. when i tried it on, the first issue is the fabric is too sheer. i could completely see the outline of my underwear and bra. it also runs way too big! i know the bottom is supposed to be loose and flowy, but the waist needs to be more tapered to off set that, and it's so baggy. the arm holes are also cut very low, so when you lift your arms you can see most of your bra on the sides 
i wante</v>
      </c>
      <c r="F1189" s="13">
        <f>IFERROR(__xludf.DUMMYFUNCTION("""COMPUTED_VALUE"""),3.0)</f>
        <v>3</v>
      </c>
      <c r="G1189" s="13">
        <f>IFERROR(__xludf.DUMMYFUNCTION("""COMPUTED_VALUE"""),0.0)</f>
        <v>0</v>
      </c>
      <c r="H1189" s="13">
        <f>IFERROR(__xludf.DUMMYFUNCTION("""COMPUTED_VALUE"""),4.0)</f>
        <v>4</v>
      </c>
      <c r="I1189" s="13" t="str">
        <f>IFERROR(__xludf.DUMMYFUNCTION("""COMPUTED_VALUE"""),"General Petite")</f>
        <v>General Petite</v>
      </c>
      <c r="J1189" s="13" t="str">
        <f>IFERROR(__xludf.DUMMYFUNCTION("""COMPUTED_VALUE"""),"Bottoms")</f>
        <v>Bottoms</v>
      </c>
      <c r="K1189" s="13" t="str">
        <f>IFERROR(__xludf.DUMMYFUNCTION("""COMPUTED_VALUE"""),"Pants")</f>
        <v>Pants</v>
      </c>
      <c r="L1189" s="13"/>
    </row>
    <row r="1190">
      <c r="A1190" s="13">
        <f>IFERROR(__xludf.DUMMYFUNCTION("""COMPUTED_VALUE"""),1188.0)</f>
        <v>1188</v>
      </c>
      <c r="B1190" s="13">
        <f>IFERROR(__xludf.DUMMYFUNCTION("""COMPUTED_VALUE"""),1060.0)</f>
        <v>1060</v>
      </c>
      <c r="C1190" s="13">
        <f>IFERROR(__xludf.DUMMYFUNCTION("""COMPUTED_VALUE"""),85.0)</f>
        <v>85</v>
      </c>
      <c r="D1190" s="12" t="str">
        <f>IFERROR(__xludf.DUMMYFUNCTION("""COMPUTED_VALUE"""),"Beautiful, flattering, but runs large")</f>
        <v>Beautiful, flattering, but runs large</v>
      </c>
      <c r="E1190" s="12" t="str">
        <f>IFERROR(__xludf.DUMMYFUNCTION("""COMPUTED_VALUE"""),"Perfect for the summer weddings that i am attending. i am 5-1, 119#, 32dd and usually a sp. i tried on a regular s and xs in the store, and the s was huge. i ended up ordering the regular xs instead of the petite xs when the 20% off sale hit because i lik"&amp;"ed the extra length. great bra coverage...it is not too long at the armholes, or too low in the back. i will take it up a bit in the top seams just so it doesn't have quite so much decolletage, but it is wearable as is. this is much more of a ro")</f>
        <v>Perfect for the summer weddings that i am attending. i am 5-1, 119#, 32dd and usually a sp. i tried on a regular s and xs in the store, and the s was huge. i ended up ordering the regular xs instead of the petite xs when the 20% off sale hit because i liked the extra length. great bra coverage...it is not too long at the armholes, or too low in the back. i will take it up a bit in the top seams just so it doesn't have quite so much decolletage, but it is wearable as is. this is much more of a ro</v>
      </c>
      <c r="F1190" s="13">
        <f>IFERROR(__xludf.DUMMYFUNCTION("""COMPUTED_VALUE"""),5.0)</f>
        <v>5</v>
      </c>
      <c r="G1190" s="13">
        <f>IFERROR(__xludf.DUMMYFUNCTION("""COMPUTED_VALUE"""),1.0)</f>
        <v>1</v>
      </c>
      <c r="H1190" s="13">
        <f>IFERROR(__xludf.DUMMYFUNCTION("""COMPUTED_VALUE"""),4.0)</f>
        <v>4</v>
      </c>
      <c r="I1190" s="13" t="str">
        <f>IFERROR(__xludf.DUMMYFUNCTION("""COMPUTED_VALUE"""),"General Petite")</f>
        <v>General Petite</v>
      </c>
      <c r="J1190" s="13" t="str">
        <f>IFERROR(__xludf.DUMMYFUNCTION("""COMPUTED_VALUE"""),"Bottoms")</f>
        <v>Bottoms</v>
      </c>
      <c r="K1190" s="13" t="str">
        <f>IFERROR(__xludf.DUMMYFUNCTION("""COMPUTED_VALUE"""),"Pants")</f>
        <v>Pants</v>
      </c>
      <c r="L1190" s="13"/>
    </row>
    <row r="1191">
      <c r="A1191" s="13">
        <f>IFERROR(__xludf.DUMMYFUNCTION("""COMPUTED_VALUE"""),1189.0)</f>
        <v>1189</v>
      </c>
      <c r="B1191" s="13">
        <f>IFERROR(__xludf.DUMMYFUNCTION("""COMPUTED_VALUE"""),1060.0)</f>
        <v>1060</v>
      </c>
      <c r="C1191" s="13">
        <f>IFERROR(__xludf.DUMMYFUNCTION("""COMPUTED_VALUE"""),64.0)</f>
        <v>64</v>
      </c>
      <c r="D1191" s="12" t="str">
        <f>IFERROR(__xludf.DUMMYFUNCTION("""COMPUTED_VALUE"""),"Adorable")</f>
        <v>Adorable</v>
      </c>
      <c r="E1191" s="12" t="str">
        <f>IFERROR(__xludf.DUMMYFUNCTION("""COMPUTED_VALUE"""),"A sales associate found this for me at my local retailer. i probably would have never thought to try it on. i am 5'1'' and normally a size 8 or a medium. the size small was still too large, so i ordered a size small petite. it fits perfectly, looks adorab"&amp;"le on, and is so comfortable. i can't wait for the warm weather to wear it!")</f>
        <v>A sales associate found this for me at my local retailer. i probably would have never thought to try it on. i am 5'1'' and normally a size 8 or a medium. the size small was still too large, so i ordered a size small petite. it fits perfectly, looks adorable on, and is so comfortable. i can't wait for the warm weather to wear it!</v>
      </c>
      <c r="F1191" s="13">
        <f>IFERROR(__xludf.DUMMYFUNCTION("""COMPUTED_VALUE"""),5.0)</f>
        <v>5</v>
      </c>
      <c r="G1191" s="13">
        <f>IFERROR(__xludf.DUMMYFUNCTION("""COMPUTED_VALUE"""),1.0)</f>
        <v>1</v>
      </c>
      <c r="H1191" s="13">
        <f>IFERROR(__xludf.DUMMYFUNCTION("""COMPUTED_VALUE"""),0.0)</f>
        <v>0</v>
      </c>
      <c r="I1191" s="13" t="str">
        <f>IFERROR(__xludf.DUMMYFUNCTION("""COMPUTED_VALUE"""),"General Petite")</f>
        <v>General Petite</v>
      </c>
      <c r="J1191" s="13" t="str">
        <f>IFERROR(__xludf.DUMMYFUNCTION("""COMPUTED_VALUE"""),"Bottoms")</f>
        <v>Bottoms</v>
      </c>
      <c r="K1191" s="13" t="str">
        <f>IFERROR(__xludf.DUMMYFUNCTION("""COMPUTED_VALUE"""),"Pants")</f>
        <v>Pants</v>
      </c>
      <c r="L1191" s="13"/>
    </row>
    <row r="1192">
      <c r="A1192" s="13">
        <f>IFERROR(__xludf.DUMMYFUNCTION("""COMPUTED_VALUE"""),1190.0)</f>
        <v>1190</v>
      </c>
      <c r="B1192" s="13">
        <f>IFERROR(__xludf.DUMMYFUNCTION("""COMPUTED_VALUE"""),1072.0)</f>
        <v>1072</v>
      </c>
      <c r="C1192" s="13">
        <f>IFERROR(__xludf.DUMMYFUNCTION("""COMPUTED_VALUE"""),48.0)</f>
        <v>48</v>
      </c>
      <c r="D1192" s="12" t="str">
        <f>IFERROR(__xludf.DUMMYFUNCTION("""COMPUTED_VALUE"""),"Lovely dress")</f>
        <v>Lovely dress</v>
      </c>
      <c r="E1192" s="12" t="str">
        <f>IFERROR(__xludf.DUMMYFUNCTION("""COMPUTED_VALUE"""),"This is a lovely piece, with great shape and details. i think it would really stand out at events. i ended up returning it. i don't have much occasion for cocktail dresses. i had trouble sending it back. it has a slip with the sheer overlay. the slip seem"&amp;"ed a bit tight at the bottom hem for the shape of the dress.")</f>
        <v>This is a lovely piece, with great shape and details. i think it would really stand out at events. i ended up returning it. i don't have much occasion for cocktail dresses. i had trouble sending it back. it has a slip with the sheer overlay. the slip seemed a bit tight at the bottom hem for the shape of the dress.</v>
      </c>
      <c r="F1192" s="13">
        <f>IFERROR(__xludf.DUMMYFUNCTION("""COMPUTED_VALUE"""),4.0)</f>
        <v>4</v>
      </c>
      <c r="G1192" s="13">
        <f>IFERROR(__xludf.DUMMYFUNCTION("""COMPUTED_VALUE"""),1.0)</f>
        <v>1</v>
      </c>
      <c r="H1192" s="13">
        <f>IFERROR(__xludf.DUMMYFUNCTION("""COMPUTED_VALUE"""),5.0)</f>
        <v>5</v>
      </c>
      <c r="I1192" s="13" t="str">
        <f>IFERROR(__xludf.DUMMYFUNCTION("""COMPUTED_VALUE"""),"General")</f>
        <v>General</v>
      </c>
      <c r="J1192" s="13" t="str">
        <f>IFERROR(__xludf.DUMMYFUNCTION("""COMPUTED_VALUE"""),"Dresses")</f>
        <v>Dresses</v>
      </c>
      <c r="K1192" s="13" t="str">
        <f>IFERROR(__xludf.DUMMYFUNCTION("""COMPUTED_VALUE"""),"Dresses")</f>
        <v>Dresses</v>
      </c>
      <c r="L1192" s="13"/>
    </row>
    <row r="1193">
      <c r="A1193" s="13">
        <f>IFERROR(__xludf.DUMMYFUNCTION("""COMPUTED_VALUE"""),1191.0)</f>
        <v>1191</v>
      </c>
      <c r="B1193" s="13">
        <f>IFERROR(__xludf.DUMMYFUNCTION("""COMPUTED_VALUE"""),1094.0)</f>
        <v>1094</v>
      </c>
      <c r="C1193" s="13">
        <f>IFERROR(__xludf.DUMMYFUNCTION("""COMPUTED_VALUE"""),33.0)</f>
        <v>33</v>
      </c>
      <c r="D1193" s="12" t="str">
        <f>IFERROR(__xludf.DUMMYFUNCTION("""COMPUTED_VALUE"""),"Odd shape")</f>
        <v>Odd shape</v>
      </c>
      <c r="E1193" s="12" t="str">
        <f>IFERROR(__xludf.DUMMYFUNCTION("""COMPUTED_VALUE"""),"This was so unflattering. the bust was too high so it hit me weird on the boobs. the green was a beautiful, vibrant color but the fabric is so delicate that one wrong move would cause a snag.")</f>
        <v>This was so unflattering. the bust was too high so it hit me weird on the boobs. the green was a beautiful, vibrant color but the fabric is so delicate that one wrong move would cause a snag.</v>
      </c>
      <c r="F1193" s="13">
        <f>IFERROR(__xludf.DUMMYFUNCTION("""COMPUTED_VALUE"""),2.0)</f>
        <v>2</v>
      </c>
      <c r="G1193" s="13">
        <f>IFERROR(__xludf.DUMMYFUNCTION("""COMPUTED_VALUE"""),0.0)</f>
        <v>0</v>
      </c>
      <c r="H1193" s="13">
        <f>IFERROR(__xludf.DUMMYFUNCTION("""COMPUTED_VALUE"""),0.0)</f>
        <v>0</v>
      </c>
      <c r="I1193" s="13" t="str">
        <f>IFERROR(__xludf.DUMMYFUNCTION("""COMPUTED_VALUE"""),"General")</f>
        <v>General</v>
      </c>
      <c r="J1193" s="13" t="str">
        <f>IFERROR(__xludf.DUMMYFUNCTION("""COMPUTED_VALUE"""),"Dresses")</f>
        <v>Dresses</v>
      </c>
      <c r="K1193" s="13" t="str">
        <f>IFERROR(__xludf.DUMMYFUNCTION("""COMPUTED_VALUE"""),"Dresses")</f>
        <v>Dresses</v>
      </c>
      <c r="L1193" s="13"/>
    </row>
    <row r="1194">
      <c r="A1194" s="13">
        <f>IFERROR(__xludf.DUMMYFUNCTION("""COMPUTED_VALUE"""),1192.0)</f>
        <v>1192</v>
      </c>
      <c r="B1194" s="13">
        <f>IFERROR(__xludf.DUMMYFUNCTION("""COMPUTED_VALUE"""),1082.0)</f>
        <v>1082</v>
      </c>
      <c r="C1194" s="13">
        <f>IFERROR(__xludf.DUMMYFUNCTION("""COMPUTED_VALUE"""),53.0)</f>
        <v>53</v>
      </c>
      <c r="D1194" s="12" t="str">
        <f>IFERROR(__xludf.DUMMYFUNCTION("""COMPUTED_VALUE"""),"Didn't try it on")</f>
        <v>Didn't try it on</v>
      </c>
      <c r="E1194" s="12" t="str">
        <f>IFERROR(__xludf.DUMMYFUNCTION("""COMPUTED_VALUE"""),"I opened the package and the dress is two pieces. it is the skirt part with an orange cami top that the sweater goes over. the sweater was too short for me, as i am busty and would not work. i ordered my normal size and the band around the rib cage did no"&amp;"t go from side to side so i didn't try it on.")</f>
        <v>I opened the package and the dress is two pieces. it is the skirt part with an orange cami top that the sweater goes over. the sweater was too short for me, as i am busty and would not work. i ordered my normal size and the band around the rib cage did not go from side to side so i didn't try it on.</v>
      </c>
      <c r="F1194" s="13">
        <f>IFERROR(__xludf.DUMMYFUNCTION("""COMPUTED_VALUE"""),2.0)</f>
        <v>2</v>
      </c>
      <c r="G1194" s="13">
        <f>IFERROR(__xludf.DUMMYFUNCTION("""COMPUTED_VALUE"""),0.0)</f>
        <v>0</v>
      </c>
      <c r="H1194" s="13">
        <f>IFERROR(__xludf.DUMMYFUNCTION("""COMPUTED_VALUE"""),0.0)</f>
        <v>0</v>
      </c>
      <c r="I1194" s="13" t="str">
        <f>IFERROR(__xludf.DUMMYFUNCTION("""COMPUTED_VALUE"""),"General Petite")</f>
        <v>General Petite</v>
      </c>
      <c r="J1194" s="13" t="str">
        <f>IFERROR(__xludf.DUMMYFUNCTION("""COMPUTED_VALUE"""),"Dresses")</f>
        <v>Dresses</v>
      </c>
      <c r="K1194" s="13" t="str">
        <f>IFERROR(__xludf.DUMMYFUNCTION("""COMPUTED_VALUE"""),"Dresses")</f>
        <v>Dresses</v>
      </c>
      <c r="L1194" s="13"/>
    </row>
    <row r="1195">
      <c r="A1195" s="13">
        <f>IFERROR(__xludf.DUMMYFUNCTION("""COMPUTED_VALUE"""),1193.0)</f>
        <v>1193</v>
      </c>
      <c r="B1195" s="13">
        <f>IFERROR(__xludf.DUMMYFUNCTION("""COMPUTED_VALUE"""),720.0)</f>
        <v>720</v>
      </c>
      <c r="C1195" s="13">
        <f>IFERROR(__xludf.DUMMYFUNCTION("""COMPUTED_VALUE"""),43.0)</f>
        <v>43</v>
      </c>
      <c r="D1195" s="12" t="str">
        <f>IFERROR(__xludf.DUMMYFUNCTION("""COMPUTED_VALUE"""),"Cute casual summer dress")</f>
        <v>Cute casual summer dress</v>
      </c>
      <c r="E1195" s="12" t="str">
        <f>IFERROR(__xludf.DUMMYFUNCTION("""COMPUTED_VALUE"""),"Just purchased this- love how light and airy it is. perfect for throwing on on a warm summer day. it is soft and comfy, but it does run pretty large. i am normally a m, and in this the m was swimming on me. i purchased the s, and still loose and flowy. i "&amp;"wore a strapless bra with it, but will also try a bandeau or tank top.")</f>
        <v>Just purchased this- love how light and airy it is. perfect for throwing on on a warm summer day. it is soft and comfy, but it does run pretty large. i am normally a m, and in this the m was swimming on me. i purchased the s, and still loose and flowy. i wore a strapless bra with it, but will also try a bandeau or tank top.</v>
      </c>
      <c r="F1195" s="13">
        <f>IFERROR(__xludf.DUMMYFUNCTION("""COMPUTED_VALUE"""),4.0)</f>
        <v>4</v>
      </c>
      <c r="G1195" s="13">
        <f>IFERROR(__xludf.DUMMYFUNCTION("""COMPUTED_VALUE"""),1.0)</f>
        <v>1</v>
      </c>
      <c r="H1195" s="13">
        <f>IFERROR(__xludf.DUMMYFUNCTION("""COMPUTED_VALUE"""),5.0)</f>
        <v>5</v>
      </c>
      <c r="I1195" s="13" t="str">
        <f>IFERROR(__xludf.DUMMYFUNCTION("""COMPUTED_VALUE"""),"Initmates")</f>
        <v>Initmates</v>
      </c>
      <c r="J1195" s="13" t="str">
        <f>IFERROR(__xludf.DUMMYFUNCTION("""COMPUTED_VALUE"""),"Intimate")</f>
        <v>Intimate</v>
      </c>
      <c r="K1195" s="13" t="str">
        <f>IFERROR(__xludf.DUMMYFUNCTION("""COMPUTED_VALUE"""),"Lounge")</f>
        <v>Lounge</v>
      </c>
      <c r="L1195" s="13"/>
    </row>
    <row r="1196">
      <c r="A1196" s="13">
        <f>IFERROR(__xludf.DUMMYFUNCTION("""COMPUTED_VALUE"""),1194.0)</f>
        <v>1194</v>
      </c>
      <c r="B1196" s="13">
        <f>IFERROR(__xludf.DUMMYFUNCTION("""COMPUTED_VALUE"""),1060.0)</f>
        <v>1060</v>
      </c>
      <c r="C1196" s="13">
        <f>IFERROR(__xludf.DUMMYFUNCTION("""COMPUTED_VALUE"""),26.0)</f>
        <v>26</v>
      </c>
      <c r="D1196" s="12" t="str">
        <f>IFERROR(__xludf.DUMMYFUNCTION("""COMPUTED_VALUE"""),"Throw on and go perfection")</f>
        <v>Throw on and go perfection</v>
      </c>
      <c r="E1196" s="12" t="str">
        <f>IFERROR(__xludf.DUMMYFUNCTION("""COMPUTED_VALUE"""),"I'm very picky about jumpers, and this one is abolutely perfect! i love how it looks like a dress at first glance. it runs a little big because of the oversized fit it is supposed to have, i sized down because of the armpit area. nude garments and you'll "&amp;"be fine. this is going to sell out fast, don't wait for it to go on sale! (seriously my store is already out of xs's)")</f>
        <v>I'm very picky about jumpers, and this one is abolutely perfect! i love how it looks like a dress at first glance. it runs a little big because of the oversized fit it is supposed to have, i sized down because of the armpit area. nude garments and you'll be fine. this is going to sell out fast, don't wait for it to go on sale! (seriously my store is already out of xs's)</v>
      </c>
      <c r="F1196" s="13">
        <f>IFERROR(__xludf.DUMMYFUNCTION("""COMPUTED_VALUE"""),5.0)</f>
        <v>5</v>
      </c>
      <c r="G1196" s="13">
        <f>IFERROR(__xludf.DUMMYFUNCTION("""COMPUTED_VALUE"""),1.0)</f>
        <v>1</v>
      </c>
      <c r="H1196" s="13">
        <f>IFERROR(__xludf.DUMMYFUNCTION("""COMPUTED_VALUE"""),9.0)</f>
        <v>9</v>
      </c>
      <c r="I1196" s="13" t="str">
        <f>IFERROR(__xludf.DUMMYFUNCTION("""COMPUTED_VALUE"""),"General Petite")</f>
        <v>General Petite</v>
      </c>
      <c r="J1196" s="13" t="str">
        <f>IFERROR(__xludf.DUMMYFUNCTION("""COMPUTED_VALUE"""),"Bottoms")</f>
        <v>Bottoms</v>
      </c>
      <c r="K1196" s="13" t="str">
        <f>IFERROR(__xludf.DUMMYFUNCTION("""COMPUTED_VALUE"""),"Pants")</f>
        <v>Pants</v>
      </c>
      <c r="L1196" s="13"/>
    </row>
    <row r="1197">
      <c r="A1197" s="13">
        <f>IFERROR(__xludf.DUMMYFUNCTION("""COMPUTED_VALUE"""),1195.0)</f>
        <v>1195</v>
      </c>
      <c r="B1197" s="13">
        <f>IFERROR(__xludf.DUMMYFUNCTION("""COMPUTED_VALUE"""),720.0)</f>
        <v>720</v>
      </c>
      <c r="C1197" s="13">
        <f>IFERROR(__xludf.DUMMYFUNCTION("""COMPUTED_VALUE"""),58.0)</f>
        <v>58</v>
      </c>
      <c r="D1197" s="12"/>
      <c r="E1197" s="12" t="str">
        <f>IFERROR(__xludf.DUMMYFUNCTION("""COMPUTED_VALUE"""),"Nice flowing summer sun dress. i was looking for something very simple and put a colorful kimono over. it. i put a bando under it. i think this dress can be for all ages as my friend in her 20s bought and loves this dress as well.")</f>
        <v>Nice flowing summer sun dress. i was looking for something very simple and put a colorful kimono over. it. i put a bando under it. i think this dress can be for all ages as my friend in her 20s bought and loves this dress as well.</v>
      </c>
      <c r="F1197" s="13">
        <f>IFERROR(__xludf.DUMMYFUNCTION("""COMPUTED_VALUE"""),5.0)</f>
        <v>5</v>
      </c>
      <c r="G1197" s="13">
        <f>IFERROR(__xludf.DUMMYFUNCTION("""COMPUTED_VALUE"""),1.0)</f>
        <v>1</v>
      </c>
      <c r="H1197" s="13">
        <f>IFERROR(__xludf.DUMMYFUNCTION("""COMPUTED_VALUE"""),1.0)</f>
        <v>1</v>
      </c>
      <c r="I1197" s="13" t="str">
        <f>IFERROR(__xludf.DUMMYFUNCTION("""COMPUTED_VALUE"""),"Initmates")</f>
        <v>Initmates</v>
      </c>
      <c r="J1197" s="13" t="str">
        <f>IFERROR(__xludf.DUMMYFUNCTION("""COMPUTED_VALUE"""),"Intimate")</f>
        <v>Intimate</v>
      </c>
      <c r="K1197" s="13" t="str">
        <f>IFERROR(__xludf.DUMMYFUNCTION("""COMPUTED_VALUE"""),"Lounge")</f>
        <v>Lounge</v>
      </c>
      <c r="L1197" s="13"/>
    </row>
    <row r="1198">
      <c r="A1198" s="13">
        <f>IFERROR(__xludf.DUMMYFUNCTION("""COMPUTED_VALUE"""),1196.0)</f>
        <v>1196</v>
      </c>
      <c r="B1198" s="13">
        <f>IFERROR(__xludf.DUMMYFUNCTION("""COMPUTED_VALUE"""),1110.0)</f>
        <v>1110</v>
      </c>
      <c r="C1198" s="13">
        <f>IFERROR(__xludf.DUMMYFUNCTION("""COMPUTED_VALUE"""),38.0)</f>
        <v>38</v>
      </c>
      <c r="D1198" s="12" t="str">
        <f>IFERROR(__xludf.DUMMYFUNCTION("""COMPUTED_VALUE"""),"Huge")</f>
        <v>Huge</v>
      </c>
      <c r="E1198" s="12" t="str">
        <f>IFERROR(__xludf.DUMMYFUNCTION("""COMPUTED_VALUE"""),"I am 5'-7"" and 135 lbs, i bought a medium petite as i wanted the dress to hit at my knees, instead of midi. this dress is easily 2 sizes bigger than expected. the pattern was not flattering on my although i'm sure it would be for others. i was happy with"&amp;" the length...")</f>
        <v>I am 5'-7" and 135 lbs, i bought a medium petite as i wanted the dress to hit at my knees, instead of midi. this dress is easily 2 sizes bigger than expected. the pattern was not flattering on my although i'm sure it would be for others. i was happy with the length...</v>
      </c>
      <c r="F1198" s="13">
        <f>IFERROR(__xludf.DUMMYFUNCTION("""COMPUTED_VALUE"""),3.0)</f>
        <v>3</v>
      </c>
      <c r="G1198" s="13">
        <f>IFERROR(__xludf.DUMMYFUNCTION("""COMPUTED_VALUE"""),0.0)</f>
        <v>0</v>
      </c>
      <c r="H1198" s="13">
        <f>IFERROR(__xludf.DUMMYFUNCTION("""COMPUTED_VALUE"""),1.0)</f>
        <v>1</v>
      </c>
      <c r="I1198" s="13" t="str">
        <f>IFERROR(__xludf.DUMMYFUNCTION("""COMPUTED_VALUE"""),"General")</f>
        <v>General</v>
      </c>
      <c r="J1198" s="13" t="str">
        <f>IFERROR(__xludf.DUMMYFUNCTION("""COMPUTED_VALUE"""),"Dresses")</f>
        <v>Dresses</v>
      </c>
      <c r="K1198" s="13" t="str">
        <f>IFERROR(__xludf.DUMMYFUNCTION("""COMPUTED_VALUE"""),"Dresses")</f>
        <v>Dresses</v>
      </c>
      <c r="L1198" s="13"/>
    </row>
    <row r="1199">
      <c r="A1199" s="13">
        <f>IFERROR(__xludf.DUMMYFUNCTION("""COMPUTED_VALUE"""),1197.0)</f>
        <v>1197</v>
      </c>
      <c r="B1199" s="13">
        <f>IFERROR(__xludf.DUMMYFUNCTION("""COMPUTED_VALUE"""),1094.0)</f>
        <v>1094</v>
      </c>
      <c r="C1199" s="13">
        <f>IFERROR(__xludf.DUMMYFUNCTION("""COMPUTED_VALUE"""),50.0)</f>
        <v>50</v>
      </c>
      <c r="D1199" s="12" t="str">
        <f>IFERROR(__xludf.DUMMYFUNCTION("""COMPUTED_VALUE"""),"Just a nice dress...")</f>
        <v>Just a nice dress...</v>
      </c>
      <c r="E1199" s="12" t="str">
        <f>IFERROR(__xludf.DUMMYFUNCTION("""COMPUTED_VALUE"""),"This is one of those dresses that is just ""nice"" and can be one that you go to in a pinch.... it flows very nicely and you can dress it up and down. it's not the best quality in fabric...but if it was all silk you would have paid 3xs. i like it, it fits"&amp;" well...it's not outstanding or unusual. i think it is a bit pricey for what you get...but, it's a ""work horse"" dress...it will do you right whenever you need it to!")</f>
        <v>This is one of those dresses that is just "nice" and can be one that you go to in a pinch.... it flows very nicely and you can dress it up and down. it's not the best quality in fabric...but if it was all silk you would have paid 3xs. i like it, it fits well...it's not outstanding or unusual. i think it is a bit pricey for what you get...but, it's a "work horse" dress...it will do you right whenever you need it to!</v>
      </c>
      <c r="F1199" s="13">
        <f>IFERROR(__xludf.DUMMYFUNCTION("""COMPUTED_VALUE"""),3.0)</f>
        <v>3</v>
      </c>
      <c r="G1199" s="13">
        <f>IFERROR(__xludf.DUMMYFUNCTION("""COMPUTED_VALUE"""),1.0)</f>
        <v>1</v>
      </c>
      <c r="H1199" s="13">
        <f>IFERROR(__xludf.DUMMYFUNCTION("""COMPUTED_VALUE"""),0.0)</f>
        <v>0</v>
      </c>
      <c r="I1199" s="13" t="str">
        <f>IFERROR(__xludf.DUMMYFUNCTION("""COMPUTED_VALUE"""),"General")</f>
        <v>General</v>
      </c>
      <c r="J1199" s="13" t="str">
        <f>IFERROR(__xludf.DUMMYFUNCTION("""COMPUTED_VALUE"""),"Dresses")</f>
        <v>Dresses</v>
      </c>
      <c r="K1199" s="13" t="str">
        <f>IFERROR(__xludf.DUMMYFUNCTION("""COMPUTED_VALUE"""),"Dresses")</f>
        <v>Dresses</v>
      </c>
      <c r="L1199" s="13"/>
    </row>
    <row r="1200">
      <c r="A1200" s="13">
        <f>IFERROR(__xludf.DUMMYFUNCTION("""COMPUTED_VALUE"""),1198.0)</f>
        <v>1198</v>
      </c>
      <c r="B1200" s="13">
        <f>IFERROR(__xludf.DUMMYFUNCTION("""COMPUTED_VALUE"""),1060.0)</f>
        <v>1060</v>
      </c>
      <c r="C1200" s="13">
        <f>IFERROR(__xludf.DUMMYFUNCTION("""COMPUTED_VALUE"""),52.0)</f>
        <v>52</v>
      </c>
      <c r="D1200" s="12"/>
      <c r="E1200" s="12" t="str">
        <f>IFERROR(__xludf.DUMMYFUNCTION("""COMPUTED_VALUE"""),"This jumpsuit is the epitome of what i love about retailer! unique and absolutely beautiful. i love how it flows and on my petite frame when paired with heels makes me look taller. hopefully the designs for spring/summer are just as beautiful and comforta"&amp;"ble as this piece. i plan to rock this with a cute belt and a bolo jacket.")</f>
        <v>This jumpsuit is the epitome of what i love about retailer! unique and absolutely beautiful. i love how it flows and on my petite frame when paired with heels makes me look taller. hopefully the designs for spring/summer are just as beautiful and comfortable as this piece. i plan to rock this with a cute belt and a bolo jacket.</v>
      </c>
      <c r="F1200" s="13">
        <f>IFERROR(__xludf.DUMMYFUNCTION("""COMPUTED_VALUE"""),5.0)</f>
        <v>5</v>
      </c>
      <c r="G1200" s="13">
        <f>IFERROR(__xludf.DUMMYFUNCTION("""COMPUTED_VALUE"""),1.0)</f>
        <v>1</v>
      </c>
      <c r="H1200" s="13">
        <f>IFERROR(__xludf.DUMMYFUNCTION("""COMPUTED_VALUE"""),19.0)</f>
        <v>19</v>
      </c>
      <c r="I1200" s="13" t="str">
        <f>IFERROR(__xludf.DUMMYFUNCTION("""COMPUTED_VALUE"""),"General Petite")</f>
        <v>General Petite</v>
      </c>
      <c r="J1200" s="13" t="str">
        <f>IFERROR(__xludf.DUMMYFUNCTION("""COMPUTED_VALUE"""),"Bottoms")</f>
        <v>Bottoms</v>
      </c>
      <c r="K1200" s="13" t="str">
        <f>IFERROR(__xludf.DUMMYFUNCTION("""COMPUTED_VALUE"""),"Pants")</f>
        <v>Pants</v>
      </c>
      <c r="L1200" s="13"/>
    </row>
    <row r="1201">
      <c r="A1201" s="13">
        <f>IFERROR(__xludf.DUMMYFUNCTION("""COMPUTED_VALUE"""),1199.0)</f>
        <v>1199</v>
      </c>
      <c r="B1201" s="13">
        <f>IFERROR(__xludf.DUMMYFUNCTION("""COMPUTED_VALUE"""),720.0)</f>
        <v>720</v>
      </c>
      <c r="C1201" s="13">
        <f>IFERROR(__xludf.DUMMYFUNCTION("""COMPUTED_VALUE"""),80.0)</f>
        <v>80</v>
      </c>
      <c r="D1201" s="12" t="str">
        <f>IFERROR(__xludf.DUMMYFUNCTION("""COMPUTED_VALUE"""),"Pretty but runs big!!")</f>
        <v>Pretty but runs big!!</v>
      </c>
      <c r="E1201" s="12" t="str">
        <f>IFERROR(__xludf.DUMMYFUNCTION("""COMPUTED_VALUE"""),"I loved this dress from the moment i saw it! i ordered it immediately, after reading the reviews, and felt confident in my dress size choice...but when it arrived it was big! i am 5'7"" 140lbs with an athletic build and i usually wear a 6 or 8 in dresses,"&amp;" so usually a small but sometimes a medium...because if this ""in between"" that i am, i ordered a small...and it was really too big. so sad...incalled a bunch of stores to try and find an xs but they are sold out everywhere.
style is fun and flir")</f>
        <v>I loved this dress from the moment i saw it! i ordered it immediately, after reading the reviews, and felt confident in my dress size choice...but when it arrived it was big! i am 5'7" 140lbs with an athletic build and i usually wear a 6 or 8 in dresses, so usually a small but sometimes a medium...because if this "in between" that i am, i ordered a small...and it was really too big. so sad...incalled a bunch of stores to try and find an xs but they are sold out everywhere.
style is fun and flir</v>
      </c>
      <c r="F1201" s="13">
        <f>IFERROR(__xludf.DUMMYFUNCTION("""COMPUTED_VALUE"""),5.0)</f>
        <v>5</v>
      </c>
      <c r="G1201" s="13">
        <f>IFERROR(__xludf.DUMMYFUNCTION("""COMPUTED_VALUE"""),1.0)</f>
        <v>1</v>
      </c>
      <c r="H1201" s="13">
        <f>IFERROR(__xludf.DUMMYFUNCTION("""COMPUTED_VALUE"""),1.0)</f>
        <v>1</v>
      </c>
      <c r="I1201" s="13" t="str">
        <f>IFERROR(__xludf.DUMMYFUNCTION("""COMPUTED_VALUE"""),"Initmates")</f>
        <v>Initmates</v>
      </c>
      <c r="J1201" s="13" t="str">
        <f>IFERROR(__xludf.DUMMYFUNCTION("""COMPUTED_VALUE"""),"Intimate")</f>
        <v>Intimate</v>
      </c>
      <c r="K1201" s="13" t="str">
        <f>IFERROR(__xludf.DUMMYFUNCTION("""COMPUTED_VALUE"""),"Lounge")</f>
        <v>Lounge</v>
      </c>
      <c r="L1201" s="13"/>
    </row>
    <row r="1202">
      <c r="A1202" s="13">
        <f>IFERROR(__xludf.DUMMYFUNCTION("""COMPUTED_VALUE"""),1200.0)</f>
        <v>1200</v>
      </c>
      <c r="B1202" s="13">
        <f>IFERROR(__xludf.DUMMYFUNCTION("""COMPUTED_VALUE"""),720.0)</f>
        <v>720</v>
      </c>
      <c r="C1202" s="13">
        <f>IFERROR(__xludf.DUMMYFUNCTION("""COMPUTED_VALUE"""),37.0)</f>
        <v>37</v>
      </c>
      <c r="D1202" s="12" t="str">
        <f>IFERROR(__xludf.DUMMYFUNCTION("""COMPUTED_VALUE"""),"Fun easy dress!")</f>
        <v>Fun easy dress!</v>
      </c>
      <c r="E1202" s="12" t="str">
        <f>IFERROR(__xludf.DUMMYFUNCTION("""COMPUTED_VALUE"""),"This dress is great. it appears just as it does online. its soft, flowy and a thin chambray material. the straps are adjustable which makes it a good fit for all women. i am fuller in my hips and toosh and this dress fell beautifully over them. i tried a "&amp;"large (i normally do l or xl in retailer dresses) and there was plenty of room! i would have probably liked the xl more just because i prefer things oversized. the dress is a midi length, very breezy and airy. its extremely comfortable and very fl")</f>
        <v>This dress is great. it appears just as it does online. its soft, flowy and a thin chambray material. the straps are adjustable which makes it a good fit for all women. i am fuller in my hips and toosh and this dress fell beautifully over them. i tried a large (i normally do l or xl in retailer dresses) and there was plenty of room! i would have probably liked the xl more just because i prefer things oversized. the dress is a midi length, very breezy and airy. its extremely comfortable and very fl</v>
      </c>
      <c r="F1202" s="13">
        <f>IFERROR(__xludf.DUMMYFUNCTION("""COMPUTED_VALUE"""),5.0)</f>
        <v>5</v>
      </c>
      <c r="G1202" s="13">
        <f>IFERROR(__xludf.DUMMYFUNCTION("""COMPUTED_VALUE"""),1.0)</f>
        <v>1</v>
      </c>
      <c r="H1202" s="13">
        <f>IFERROR(__xludf.DUMMYFUNCTION("""COMPUTED_VALUE"""),4.0)</f>
        <v>4</v>
      </c>
      <c r="I1202" s="13" t="str">
        <f>IFERROR(__xludf.DUMMYFUNCTION("""COMPUTED_VALUE"""),"Initmates")</f>
        <v>Initmates</v>
      </c>
      <c r="J1202" s="13" t="str">
        <f>IFERROR(__xludf.DUMMYFUNCTION("""COMPUTED_VALUE"""),"Intimate")</f>
        <v>Intimate</v>
      </c>
      <c r="K1202" s="13" t="str">
        <f>IFERROR(__xludf.DUMMYFUNCTION("""COMPUTED_VALUE"""),"Lounge")</f>
        <v>Lounge</v>
      </c>
      <c r="L1202" s="13"/>
    </row>
    <row r="1203">
      <c r="A1203" s="13">
        <f>IFERROR(__xludf.DUMMYFUNCTION("""COMPUTED_VALUE"""),1201.0)</f>
        <v>1201</v>
      </c>
      <c r="B1203" s="13">
        <f>IFERROR(__xludf.DUMMYFUNCTION("""COMPUTED_VALUE"""),1060.0)</f>
        <v>1060</v>
      </c>
      <c r="C1203" s="13">
        <f>IFERROR(__xludf.DUMMYFUNCTION("""COMPUTED_VALUE"""),53.0)</f>
        <v>53</v>
      </c>
      <c r="D1203" s="12"/>
      <c r="E1203" s="12"/>
      <c r="F1203" s="13">
        <f>IFERROR(__xludf.DUMMYFUNCTION("""COMPUTED_VALUE"""),5.0)</f>
        <v>5</v>
      </c>
      <c r="G1203" s="13">
        <f>IFERROR(__xludf.DUMMYFUNCTION("""COMPUTED_VALUE"""),1.0)</f>
        <v>1</v>
      </c>
      <c r="H1203" s="13">
        <f>IFERROR(__xludf.DUMMYFUNCTION("""COMPUTED_VALUE"""),0.0)</f>
        <v>0</v>
      </c>
      <c r="I1203" s="13" t="str">
        <f>IFERROR(__xludf.DUMMYFUNCTION("""COMPUTED_VALUE"""),"General Petite")</f>
        <v>General Petite</v>
      </c>
      <c r="J1203" s="13" t="str">
        <f>IFERROR(__xludf.DUMMYFUNCTION("""COMPUTED_VALUE"""),"Bottoms")</f>
        <v>Bottoms</v>
      </c>
      <c r="K1203" s="13" t="str">
        <f>IFERROR(__xludf.DUMMYFUNCTION("""COMPUTED_VALUE"""),"Pants")</f>
        <v>Pants</v>
      </c>
      <c r="L1203" s="13"/>
    </row>
    <row r="1204">
      <c r="A1204" s="13">
        <f>IFERROR(__xludf.DUMMYFUNCTION("""COMPUTED_VALUE"""),1202.0)</f>
        <v>1202</v>
      </c>
      <c r="B1204" s="13">
        <f>IFERROR(__xludf.DUMMYFUNCTION("""COMPUTED_VALUE"""),1072.0)</f>
        <v>1072</v>
      </c>
      <c r="C1204" s="13">
        <f>IFERROR(__xludf.DUMMYFUNCTION("""COMPUTED_VALUE"""),62.0)</f>
        <v>62</v>
      </c>
      <c r="D1204" s="12"/>
      <c r="E1204" s="12" t="str">
        <f>IFERROR(__xludf.DUMMYFUNCTION("""COMPUTED_VALUE"""),"I was worried at first that the metal leaves would come off easily. i was pleasantly surprised after a day at disneyland, i don't think i lost even one of them. this dress is super fancy but very comfy.")</f>
        <v>I was worried at first that the metal leaves would come off easily. i was pleasantly surprised after a day at disneyland, i don't think i lost even one of them. this dress is super fancy but very comfy.</v>
      </c>
      <c r="F1204" s="13">
        <f>IFERROR(__xludf.DUMMYFUNCTION("""COMPUTED_VALUE"""),5.0)</f>
        <v>5</v>
      </c>
      <c r="G1204" s="13">
        <f>IFERROR(__xludf.DUMMYFUNCTION("""COMPUTED_VALUE"""),1.0)</f>
        <v>1</v>
      </c>
      <c r="H1204" s="13">
        <f>IFERROR(__xludf.DUMMYFUNCTION("""COMPUTED_VALUE"""),0.0)</f>
        <v>0</v>
      </c>
      <c r="I1204" s="13" t="str">
        <f>IFERROR(__xludf.DUMMYFUNCTION("""COMPUTED_VALUE"""),"General")</f>
        <v>General</v>
      </c>
      <c r="J1204" s="13" t="str">
        <f>IFERROR(__xludf.DUMMYFUNCTION("""COMPUTED_VALUE"""),"Dresses")</f>
        <v>Dresses</v>
      </c>
      <c r="K1204" s="13" t="str">
        <f>IFERROR(__xludf.DUMMYFUNCTION("""COMPUTED_VALUE"""),"Dresses")</f>
        <v>Dresses</v>
      </c>
      <c r="L1204" s="13"/>
    </row>
    <row r="1205">
      <c r="A1205" s="13">
        <f>IFERROR(__xludf.DUMMYFUNCTION("""COMPUTED_VALUE"""),1203.0)</f>
        <v>1203</v>
      </c>
      <c r="B1205" s="13">
        <f>IFERROR(__xludf.DUMMYFUNCTION("""COMPUTED_VALUE"""),1022.0)</f>
        <v>1022</v>
      </c>
      <c r="C1205" s="13">
        <f>IFERROR(__xludf.DUMMYFUNCTION("""COMPUTED_VALUE"""),38.0)</f>
        <v>38</v>
      </c>
      <c r="D1205" s="12" t="str">
        <f>IFERROR(__xludf.DUMMYFUNCTION("""COMPUTED_VALUE"""),"Sleepable jeans")</f>
        <v>Sleepable jeans</v>
      </c>
      <c r="E1205" s="12" t="str">
        <f>IFERROR(__xludf.DUMMYFUNCTION("""COMPUTED_VALUE"""),"These jeans have been the best pair of jeans i have ever worn. you could practically sleep in them, they are so comfortable, brushed softness, and stretch easily. they hug your body in a flattering way, that these jeans are worth the money spent, as you'l"&amp;"l have them for a while.")</f>
        <v>These jeans have been the best pair of jeans i have ever worn. you could practically sleep in them, they are so comfortable, brushed softness, and stretch easily. they hug your body in a flattering way, that these jeans are worth the money spent, as you'll have them for a while.</v>
      </c>
      <c r="F1205" s="13">
        <f>IFERROR(__xludf.DUMMYFUNCTION("""COMPUTED_VALUE"""),5.0)</f>
        <v>5</v>
      </c>
      <c r="G1205" s="13">
        <f>IFERROR(__xludf.DUMMYFUNCTION("""COMPUTED_VALUE"""),1.0)</f>
        <v>1</v>
      </c>
      <c r="H1205" s="13">
        <f>IFERROR(__xludf.DUMMYFUNCTION("""COMPUTED_VALUE"""),0.0)</f>
        <v>0</v>
      </c>
      <c r="I1205" s="13" t="str">
        <f>IFERROR(__xludf.DUMMYFUNCTION("""COMPUTED_VALUE"""),"General Petite")</f>
        <v>General Petite</v>
      </c>
      <c r="J1205" s="13" t="str">
        <f>IFERROR(__xludf.DUMMYFUNCTION("""COMPUTED_VALUE"""),"Bottoms")</f>
        <v>Bottoms</v>
      </c>
      <c r="K1205" s="13" t="str">
        <f>IFERROR(__xludf.DUMMYFUNCTION("""COMPUTED_VALUE"""),"Jeans")</f>
        <v>Jeans</v>
      </c>
      <c r="L1205" s="13"/>
    </row>
    <row r="1206">
      <c r="A1206" s="13">
        <f>IFERROR(__xludf.DUMMYFUNCTION("""COMPUTED_VALUE"""),1204.0)</f>
        <v>1204</v>
      </c>
      <c r="B1206" s="13">
        <f>IFERROR(__xludf.DUMMYFUNCTION("""COMPUTED_VALUE"""),1060.0)</f>
        <v>1060</v>
      </c>
      <c r="C1206" s="13">
        <f>IFERROR(__xludf.DUMMYFUNCTION("""COMPUTED_VALUE"""),59.0)</f>
        <v>59</v>
      </c>
      <c r="D1206" s="12" t="str">
        <f>IFERROR(__xludf.DUMMYFUNCTION("""COMPUTED_VALUE"""),"Lovely, feminine, needs belt for definition")</f>
        <v>Lovely, feminine, needs belt for definition</v>
      </c>
      <c r="E1206" s="12" t="str">
        <f>IFERROR(__xludf.DUMMYFUNCTION("""COMPUTED_VALUE"""),"I'd been eyeing this for months, loving the look but afraid it'd be too young for me (i'm 58). i tried it on in the store and loved it, with one caveat: it hangs rather like a sack, so i think it needs a belt for waist definition. with a belt, it looks gr"&amp;"eat. my measurements are 38-30-38 and i wear a medium. oh, and contrary to what other reviewers have said, i don't find that the fabric is too thin or transparent.")</f>
        <v>I'd been eyeing this for months, loving the look but afraid it'd be too young for me (i'm 58). i tried it on in the store and loved it, with one caveat: it hangs rather like a sack, so i think it needs a belt for waist definition. with a belt, it looks great. my measurements are 38-30-38 and i wear a medium. oh, and contrary to what other reviewers have said, i don't find that the fabric is too thin or transparent.</v>
      </c>
      <c r="F1206" s="13">
        <f>IFERROR(__xludf.DUMMYFUNCTION("""COMPUTED_VALUE"""),5.0)</f>
        <v>5</v>
      </c>
      <c r="G1206" s="13">
        <f>IFERROR(__xludf.DUMMYFUNCTION("""COMPUTED_VALUE"""),1.0)</f>
        <v>1</v>
      </c>
      <c r="H1206" s="13">
        <f>IFERROR(__xludf.DUMMYFUNCTION("""COMPUTED_VALUE"""),4.0)</f>
        <v>4</v>
      </c>
      <c r="I1206" s="13" t="str">
        <f>IFERROR(__xludf.DUMMYFUNCTION("""COMPUTED_VALUE"""),"General Petite")</f>
        <v>General Petite</v>
      </c>
      <c r="J1206" s="13" t="str">
        <f>IFERROR(__xludf.DUMMYFUNCTION("""COMPUTED_VALUE"""),"Bottoms")</f>
        <v>Bottoms</v>
      </c>
      <c r="K1206" s="13" t="str">
        <f>IFERROR(__xludf.DUMMYFUNCTION("""COMPUTED_VALUE"""),"Pants")</f>
        <v>Pants</v>
      </c>
      <c r="L1206" s="13"/>
    </row>
    <row r="1207">
      <c r="A1207" s="13">
        <f>IFERROR(__xludf.DUMMYFUNCTION("""COMPUTED_VALUE"""),1205.0)</f>
        <v>1205</v>
      </c>
      <c r="B1207" s="13">
        <f>IFERROR(__xludf.DUMMYFUNCTION("""COMPUTED_VALUE"""),1094.0)</f>
        <v>1094</v>
      </c>
      <c r="C1207" s="13">
        <f>IFERROR(__xludf.DUMMYFUNCTION("""COMPUTED_VALUE"""),29.0)</f>
        <v>29</v>
      </c>
      <c r="D1207" s="12"/>
      <c r="E1207" s="12" t="str">
        <f>IFERROR(__xludf.DUMMYFUNCTION("""COMPUTED_VALUE"""),"I really wanted to love this dress. i bought it for a photoshoot that will be outdoors, and thought that the green color would be perfect. it is well made, but the fabric is lighter than expected. the biggest issues was the size. i am 5'7"" and typically "&amp;"a size ten. i ordered the ten and it fit like a 14-16. it was huge. if you order this, i would say size down two sizes.")</f>
        <v>I really wanted to love this dress. i bought it for a photoshoot that will be outdoors, and thought that the green color would be perfect. it is well made, but the fabric is lighter than expected. the biggest issues was the size. i am 5'7" and typically a size ten. i ordered the ten and it fit like a 14-16. it was huge. if you order this, i would say size down two sizes.</v>
      </c>
      <c r="F1207" s="13">
        <f>IFERROR(__xludf.DUMMYFUNCTION("""COMPUTED_VALUE"""),2.0)</f>
        <v>2</v>
      </c>
      <c r="G1207" s="13">
        <f>IFERROR(__xludf.DUMMYFUNCTION("""COMPUTED_VALUE"""),0.0)</f>
        <v>0</v>
      </c>
      <c r="H1207" s="13">
        <f>IFERROR(__xludf.DUMMYFUNCTION("""COMPUTED_VALUE"""),10.0)</f>
        <v>10</v>
      </c>
      <c r="I1207" s="13" t="str">
        <f>IFERROR(__xludf.DUMMYFUNCTION("""COMPUTED_VALUE"""),"General")</f>
        <v>General</v>
      </c>
      <c r="J1207" s="13" t="str">
        <f>IFERROR(__xludf.DUMMYFUNCTION("""COMPUTED_VALUE"""),"Dresses")</f>
        <v>Dresses</v>
      </c>
      <c r="K1207" s="13" t="str">
        <f>IFERROR(__xludf.DUMMYFUNCTION("""COMPUTED_VALUE"""),"Dresses")</f>
        <v>Dresses</v>
      </c>
      <c r="L1207" s="13"/>
    </row>
    <row r="1208">
      <c r="A1208" s="13">
        <f>IFERROR(__xludf.DUMMYFUNCTION("""COMPUTED_VALUE"""),1206.0)</f>
        <v>1206</v>
      </c>
      <c r="B1208" s="13">
        <f>IFERROR(__xludf.DUMMYFUNCTION("""COMPUTED_VALUE"""),1042.0)</f>
        <v>1042</v>
      </c>
      <c r="C1208" s="13">
        <f>IFERROR(__xludf.DUMMYFUNCTION("""COMPUTED_VALUE"""),39.0)</f>
        <v>39</v>
      </c>
      <c r="D1208" s="12" t="str">
        <f>IFERROR(__xludf.DUMMYFUNCTION("""COMPUTED_VALUE"""),"Unique, classy")</f>
        <v>Unique, classy</v>
      </c>
      <c r="E1208" s="12" t="str">
        <f>IFERROR(__xludf.DUMMYFUNCTION("""COMPUTED_VALUE"""),"Great fit. smooth, comfortable material. wrinkles, but nothing an iron can't fix. beautiful colors, i got both the teal and the black.")</f>
        <v>Great fit. smooth, comfortable material. wrinkles, but nothing an iron can't fix. beautiful colors, i got both the teal and the black.</v>
      </c>
      <c r="F1208" s="13">
        <f>IFERROR(__xludf.DUMMYFUNCTION("""COMPUTED_VALUE"""),5.0)</f>
        <v>5</v>
      </c>
      <c r="G1208" s="13">
        <f>IFERROR(__xludf.DUMMYFUNCTION("""COMPUTED_VALUE"""),1.0)</f>
        <v>1</v>
      </c>
      <c r="H1208" s="13">
        <f>IFERROR(__xludf.DUMMYFUNCTION("""COMPUTED_VALUE"""),0.0)</f>
        <v>0</v>
      </c>
      <c r="I1208" s="13" t="str">
        <f>IFERROR(__xludf.DUMMYFUNCTION("""COMPUTED_VALUE"""),"General")</f>
        <v>General</v>
      </c>
      <c r="J1208" s="13" t="str">
        <f>IFERROR(__xludf.DUMMYFUNCTION("""COMPUTED_VALUE"""),"Bottoms")</f>
        <v>Bottoms</v>
      </c>
      <c r="K1208" s="13" t="str">
        <f>IFERROR(__xludf.DUMMYFUNCTION("""COMPUTED_VALUE"""),"Pants")</f>
        <v>Pants</v>
      </c>
      <c r="L1208" s="13"/>
    </row>
    <row r="1209">
      <c r="A1209" s="13">
        <f>IFERROR(__xludf.DUMMYFUNCTION("""COMPUTED_VALUE"""),1207.0)</f>
        <v>1207</v>
      </c>
      <c r="B1209" s="13">
        <f>IFERROR(__xludf.DUMMYFUNCTION("""COMPUTED_VALUE"""),1072.0)</f>
        <v>1072</v>
      </c>
      <c r="C1209" s="13">
        <f>IFERROR(__xludf.DUMMYFUNCTION("""COMPUTED_VALUE"""),36.0)</f>
        <v>36</v>
      </c>
      <c r="D1209" s="12" t="str">
        <f>IFERROR(__xludf.DUMMYFUNCTION("""COMPUTED_VALUE"""),"Pretty dress but oddly cut in the middle")</f>
        <v>Pretty dress but oddly cut in the middle</v>
      </c>
      <c r="E1209" s="12" t="str">
        <f>IFERROR(__xludf.DUMMYFUNCTION("""COMPUTED_VALUE"""),"This dress is beautiful and would make an excellent party dress for winter. it is well made and the details are pretty. however the waist is cut in sort of a scallop shape, so it is higher on the sizes and dips down in the middle over the stomach. i wear "&amp;"a size l or 10 in dresses at retailer, and it just did not flatter my body type at all. for a thinner, narrow silhouette, i suppose it would look better, like it does on the model. i had to return it.")</f>
        <v>This dress is beautiful and would make an excellent party dress for winter. it is well made and the details are pretty. however the waist is cut in sort of a scallop shape, so it is higher on the sizes and dips down in the middle over the stomach. i wear a size l or 10 in dresses at retailer, and it just did not flatter my body type at all. for a thinner, narrow silhouette, i suppose it would look better, like it does on the model. i had to return it.</v>
      </c>
      <c r="F1209" s="13">
        <f>IFERROR(__xludf.DUMMYFUNCTION("""COMPUTED_VALUE"""),4.0)</f>
        <v>4</v>
      </c>
      <c r="G1209" s="13">
        <f>IFERROR(__xludf.DUMMYFUNCTION("""COMPUTED_VALUE"""),0.0)</f>
        <v>0</v>
      </c>
      <c r="H1209" s="13">
        <f>IFERROR(__xludf.DUMMYFUNCTION("""COMPUTED_VALUE"""),6.0)</f>
        <v>6</v>
      </c>
      <c r="I1209" s="13" t="str">
        <f>IFERROR(__xludf.DUMMYFUNCTION("""COMPUTED_VALUE"""),"General")</f>
        <v>General</v>
      </c>
      <c r="J1209" s="13" t="str">
        <f>IFERROR(__xludf.DUMMYFUNCTION("""COMPUTED_VALUE"""),"Dresses")</f>
        <v>Dresses</v>
      </c>
      <c r="K1209" s="13" t="str">
        <f>IFERROR(__xludf.DUMMYFUNCTION("""COMPUTED_VALUE"""),"Dresses")</f>
        <v>Dresses</v>
      </c>
      <c r="L1209" s="13"/>
    </row>
    <row r="1210">
      <c r="A1210" s="13">
        <f>IFERROR(__xludf.DUMMYFUNCTION("""COMPUTED_VALUE"""),1208.0)</f>
        <v>1208</v>
      </c>
      <c r="B1210" s="13">
        <f>IFERROR(__xludf.DUMMYFUNCTION("""COMPUTED_VALUE"""),1110.0)</f>
        <v>1110</v>
      </c>
      <c r="C1210" s="13">
        <f>IFERROR(__xludf.DUMMYFUNCTION("""COMPUTED_VALUE"""),27.0)</f>
        <v>27</v>
      </c>
      <c r="D1210" s="12" t="str">
        <f>IFERROR(__xludf.DUMMYFUNCTION("""COMPUTED_VALUE"""),"Beautifully constructed dress, runs large")</f>
        <v>Beautifully constructed dress, runs large</v>
      </c>
      <c r="E1210" s="12" t="str">
        <f>IFERROR(__xludf.DUMMYFUNCTION("""COMPUTED_VALUE"""),"I tried this on in the store last night and decided to order it today. it is a really beautifully made and flattering dress, with very interestingly cut seams. the fabric is a distinctive flower pattern that has been overlaid to appear almost abstract. go"&amp;"rgeous and high quality!
fit: i am 5'6"" and curvy, usually a size 14/16, and the xl fits quite roomy on me (that's the size i ordered because i like flowy things). so it definitely runs large. usually i have better luck with a-line dress shap")</f>
        <v>I tried this on in the store last night and decided to order it today. it is a really beautifully made and flattering dress, with very interestingly cut seams. the fabric is a distinctive flower pattern that has been overlaid to appear almost abstract. gorgeous and high quality!
fit: i am 5'6" and curvy, usually a size 14/16, and the xl fits quite roomy on me (that's the size i ordered because i like flowy things). so it definitely runs large. usually i have better luck with a-line dress shap</v>
      </c>
      <c r="F1210" s="13">
        <f>IFERROR(__xludf.DUMMYFUNCTION("""COMPUTED_VALUE"""),5.0)</f>
        <v>5</v>
      </c>
      <c r="G1210" s="13">
        <f>IFERROR(__xludf.DUMMYFUNCTION("""COMPUTED_VALUE"""),1.0)</f>
        <v>1</v>
      </c>
      <c r="H1210" s="13">
        <f>IFERROR(__xludf.DUMMYFUNCTION("""COMPUTED_VALUE"""),3.0)</f>
        <v>3</v>
      </c>
      <c r="I1210" s="13" t="str">
        <f>IFERROR(__xludf.DUMMYFUNCTION("""COMPUTED_VALUE"""),"General")</f>
        <v>General</v>
      </c>
      <c r="J1210" s="13" t="str">
        <f>IFERROR(__xludf.DUMMYFUNCTION("""COMPUTED_VALUE"""),"Dresses")</f>
        <v>Dresses</v>
      </c>
      <c r="K1210" s="13" t="str">
        <f>IFERROR(__xludf.DUMMYFUNCTION("""COMPUTED_VALUE"""),"Dresses")</f>
        <v>Dresses</v>
      </c>
      <c r="L1210" s="13"/>
    </row>
    <row r="1211">
      <c r="A1211" s="13">
        <f>IFERROR(__xludf.DUMMYFUNCTION("""COMPUTED_VALUE"""),1209.0)</f>
        <v>1209</v>
      </c>
      <c r="B1211" s="13">
        <f>IFERROR(__xludf.DUMMYFUNCTION("""COMPUTED_VALUE"""),1094.0)</f>
        <v>1094</v>
      </c>
      <c r="C1211" s="13">
        <f>IFERROR(__xludf.DUMMYFUNCTION("""COMPUTED_VALUE"""),72.0)</f>
        <v>72</v>
      </c>
      <c r="D1211" s="12" t="str">
        <f>IFERROR(__xludf.DUMMYFUNCTION("""COMPUTED_VALUE"""),"Perfect for irish fest and beyond!")</f>
        <v>Perfect for irish fest and beyond!</v>
      </c>
      <c r="E1211" s="12" t="str">
        <f>IFERROR(__xludf.DUMMYFUNCTION("""COMPUTED_VALUE"""),"I bought this dress for its green color and flowy design to wear at an irish fest held in the hot summer. it's perfect! being of irish descent with red hair and fair skin, i love all shades of green, and this green dress is no exception. the color is love"&amp;"ly and eye-catching and cool. as to the sizing, i usually wear a size 8, but to make sure due to the design, i ordered an 8 and a 6. there wasn't a great difference between the two dresses, but the size 6 top was a bit more fitted and looked bet")</f>
        <v>I bought this dress for its green color and flowy design to wear at an irish fest held in the hot summer. it's perfect! being of irish descent with red hair and fair skin, i love all shades of green, and this green dress is no exception. the color is lovely and eye-catching and cool. as to the sizing, i usually wear a size 8, but to make sure due to the design, i ordered an 8 and a 6. there wasn't a great difference between the two dresses, but the size 6 top was a bit more fitted and looked bet</v>
      </c>
      <c r="F1211" s="13">
        <f>IFERROR(__xludf.DUMMYFUNCTION("""COMPUTED_VALUE"""),5.0)</f>
        <v>5</v>
      </c>
      <c r="G1211" s="13">
        <f>IFERROR(__xludf.DUMMYFUNCTION("""COMPUTED_VALUE"""),1.0)</f>
        <v>1</v>
      </c>
      <c r="H1211" s="13">
        <f>IFERROR(__xludf.DUMMYFUNCTION("""COMPUTED_VALUE"""),0.0)</f>
        <v>0</v>
      </c>
      <c r="I1211" s="13" t="str">
        <f>IFERROR(__xludf.DUMMYFUNCTION("""COMPUTED_VALUE"""),"General")</f>
        <v>General</v>
      </c>
      <c r="J1211" s="13" t="str">
        <f>IFERROR(__xludf.DUMMYFUNCTION("""COMPUTED_VALUE"""),"Dresses")</f>
        <v>Dresses</v>
      </c>
      <c r="K1211" s="13" t="str">
        <f>IFERROR(__xludf.DUMMYFUNCTION("""COMPUTED_VALUE"""),"Dresses")</f>
        <v>Dresses</v>
      </c>
      <c r="L1211" s="13"/>
    </row>
    <row r="1212">
      <c r="A1212" s="13">
        <f>IFERROR(__xludf.DUMMYFUNCTION("""COMPUTED_VALUE"""),1210.0)</f>
        <v>1210</v>
      </c>
      <c r="B1212" s="13">
        <f>IFERROR(__xludf.DUMMYFUNCTION("""COMPUTED_VALUE"""),1060.0)</f>
        <v>1060</v>
      </c>
      <c r="C1212" s="13">
        <f>IFERROR(__xludf.DUMMYFUNCTION("""COMPUTED_VALUE"""),32.0)</f>
        <v>32</v>
      </c>
      <c r="D1212" s="12" t="str">
        <f>IFERROR(__xludf.DUMMYFUNCTION("""COMPUTED_VALUE"""),"Cute, sweet, flirty, sexy")</f>
        <v>Cute, sweet, flirty, sexy</v>
      </c>
      <c r="E1212" s="12" t="str">
        <f>IFERROR(__xludf.DUMMYFUNCTION("""COMPUTED_VALUE"""),"I just bought this at the store. i simply couldn't resist! it is very light and comfortable and could easily be dressed up or dressed down, sandals and a crossbody bag for exploring the city, strappy healed sandals and some flashy jewelry for a garden par"&amp;"ty or day event, slip on booties and a cardigan for the evening. can't wait to rock it. in terms of sizing, i am 5'5 150 with 36dd bust and some hips and booty. usually i am a size 6-8/m in dresses and pants but in true retailer style, i ended up")</f>
        <v>I just bought this at the store. i simply couldn't resist! it is very light and comfortable and could easily be dressed up or dressed down, sandals and a crossbody bag for exploring the city, strappy healed sandals and some flashy jewelry for a garden party or day event, slip on booties and a cardigan for the evening. can't wait to rock it. in terms of sizing, i am 5'5 150 with 36dd bust and some hips and booty. usually i am a size 6-8/m in dresses and pants but in true retailer style, i ended up</v>
      </c>
      <c r="F1212" s="13">
        <f>IFERROR(__xludf.DUMMYFUNCTION("""COMPUTED_VALUE"""),5.0)</f>
        <v>5</v>
      </c>
      <c r="G1212" s="13">
        <f>IFERROR(__xludf.DUMMYFUNCTION("""COMPUTED_VALUE"""),1.0)</f>
        <v>1</v>
      </c>
      <c r="H1212" s="13">
        <f>IFERROR(__xludf.DUMMYFUNCTION("""COMPUTED_VALUE"""),14.0)</f>
        <v>14</v>
      </c>
      <c r="I1212" s="13" t="str">
        <f>IFERROR(__xludf.DUMMYFUNCTION("""COMPUTED_VALUE"""),"General Petite")</f>
        <v>General Petite</v>
      </c>
      <c r="J1212" s="13" t="str">
        <f>IFERROR(__xludf.DUMMYFUNCTION("""COMPUTED_VALUE"""),"Bottoms")</f>
        <v>Bottoms</v>
      </c>
      <c r="K1212" s="13" t="str">
        <f>IFERROR(__xludf.DUMMYFUNCTION("""COMPUTED_VALUE"""),"Pants")</f>
        <v>Pants</v>
      </c>
      <c r="L1212" s="13"/>
    </row>
    <row r="1213">
      <c r="A1213" s="13">
        <f>IFERROR(__xludf.DUMMYFUNCTION("""COMPUTED_VALUE"""),1211.0)</f>
        <v>1211</v>
      </c>
      <c r="B1213" s="13">
        <f>IFERROR(__xludf.DUMMYFUNCTION("""COMPUTED_VALUE"""),1060.0)</f>
        <v>1060</v>
      </c>
      <c r="C1213" s="13">
        <f>IFERROR(__xludf.DUMMYFUNCTION("""COMPUTED_VALUE"""),30.0)</f>
        <v>30</v>
      </c>
      <c r="D1213" s="12"/>
      <c r="E1213" s="12" t="str">
        <f>IFERROR(__xludf.DUMMYFUNCTION("""COMPUTED_VALUE"""),"Great jumpsuit ! even better ""in person""; elegant and stylish. i'am 5'7 and 165lb , m fits perfectly! material is not see- throug ( that was my biggest concern). sooo happy that i got it.")</f>
        <v>Great jumpsuit ! even better "in person"; elegant and stylish. i'am 5'7 and 165lb , m fits perfectly! material is not see- throug ( that was my biggest concern). sooo happy that i got it.</v>
      </c>
      <c r="F1213" s="13">
        <f>IFERROR(__xludf.DUMMYFUNCTION("""COMPUTED_VALUE"""),5.0)</f>
        <v>5</v>
      </c>
      <c r="G1213" s="13">
        <f>IFERROR(__xludf.DUMMYFUNCTION("""COMPUTED_VALUE"""),1.0)</f>
        <v>1</v>
      </c>
      <c r="H1213" s="13">
        <f>IFERROR(__xludf.DUMMYFUNCTION("""COMPUTED_VALUE"""),2.0)</f>
        <v>2</v>
      </c>
      <c r="I1213" s="13" t="str">
        <f>IFERROR(__xludf.DUMMYFUNCTION("""COMPUTED_VALUE"""),"General Petite")</f>
        <v>General Petite</v>
      </c>
      <c r="J1213" s="13" t="str">
        <f>IFERROR(__xludf.DUMMYFUNCTION("""COMPUTED_VALUE"""),"Bottoms")</f>
        <v>Bottoms</v>
      </c>
      <c r="K1213" s="13" t="str">
        <f>IFERROR(__xludf.DUMMYFUNCTION("""COMPUTED_VALUE"""),"Pants")</f>
        <v>Pants</v>
      </c>
      <c r="L1213" s="13"/>
    </row>
    <row r="1214">
      <c r="A1214" s="13">
        <f>IFERROR(__xludf.DUMMYFUNCTION("""COMPUTED_VALUE"""),1212.0)</f>
        <v>1212</v>
      </c>
      <c r="B1214" s="13">
        <f>IFERROR(__xludf.DUMMYFUNCTION("""COMPUTED_VALUE"""),868.0)</f>
        <v>868</v>
      </c>
      <c r="C1214" s="13">
        <f>IFERROR(__xludf.DUMMYFUNCTION("""COMPUTED_VALUE"""),34.0)</f>
        <v>34</v>
      </c>
      <c r="D1214" s="12" t="str">
        <f>IFERROR(__xludf.DUMMYFUNCTION("""COMPUTED_VALUE"""),"Nice simple staple")</f>
        <v>Nice simple staple</v>
      </c>
      <c r="E1214" s="12" t="str">
        <f>IFERROR(__xludf.DUMMYFUNCTION("""COMPUTED_VALUE"""),"I purchased this in the mauve color. beautiful color with tan skin for the summer, but also perfect for fall. the material is very thin but not sheer at all. has quite a bit of drape/swing to it so i sized up to make sure it was long enough. it fits me li"&amp;"ke it fits the model shown here. i am about 5'4"" 115lbs and 32b and am keeping the small.")</f>
        <v>I purchased this in the mauve color. beautiful color with tan skin for the summer, but also perfect for fall. the material is very thin but not sheer at all. has quite a bit of drape/swing to it so i sized up to make sure it was long enough. it fits me like it fits the model shown here. i am about 5'4" 115lbs and 32b and am keeping the small.</v>
      </c>
      <c r="F1214" s="13">
        <f>IFERROR(__xludf.DUMMYFUNCTION("""COMPUTED_VALUE"""),5.0)</f>
        <v>5</v>
      </c>
      <c r="G1214" s="13">
        <f>IFERROR(__xludf.DUMMYFUNCTION("""COMPUTED_VALUE"""),1.0)</f>
        <v>1</v>
      </c>
      <c r="H1214" s="13">
        <f>IFERROR(__xludf.DUMMYFUNCTION("""COMPUTED_VALUE"""),2.0)</f>
        <v>2</v>
      </c>
      <c r="I1214" s="13" t="str">
        <f>IFERROR(__xludf.DUMMYFUNCTION("""COMPUTED_VALUE"""),"General")</f>
        <v>General</v>
      </c>
      <c r="J1214" s="13" t="str">
        <f>IFERROR(__xludf.DUMMYFUNCTION("""COMPUTED_VALUE"""),"Tops")</f>
        <v>Tops</v>
      </c>
      <c r="K1214" s="13" t="str">
        <f>IFERROR(__xludf.DUMMYFUNCTION("""COMPUTED_VALUE"""),"Knits")</f>
        <v>Knits</v>
      </c>
      <c r="L1214" s="13"/>
    </row>
    <row r="1215">
      <c r="A1215" s="13">
        <f>IFERROR(__xludf.DUMMYFUNCTION("""COMPUTED_VALUE"""),1213.0)</f>
        <v>1213</v>
      </c>
      <c r="B1215" s="13">
        <f>IFERROR(__xludf.DUMMYFUNCTION("""COMPUTED_VALUE"""),1094.0)</f>
        <v>1094</v>
      </c>
      <c r="C1215" s="13">
        <f>IFERROR(__xludf.DUMMYFUNCTION("""COMPUTED_VALUE"""),42.0)</f>
        <v>42</v>
      </c>
      <c r="D1215" s="12" t="str">
        <f>IFERROR(__xludf.DUMMYFUNCTION("""COMPUTED_VALUE"""),"Flowy and flirty for summer flings")</f>
        <v>Flowy and flirty for summer flings</v>
      </c>
      <c r="E1215" s="12" t="str">
        <f>IFERROR(__xludf.DUMMYFUNCTION("""COMPUTED_VALUE"""),"I originally ordered this in green, and unlike another reviewer, i thought the color was perfect for spring. it is trendy, flattering and fun in green, but perhaps not a color i would wear long-term, so i decided to return it and order it in red and black"&amp;". i also noted the boxy cut, and if that is what you want, it runs true to size. however, if, like me, you want something a little more form fitting, consider ordering down a size or two (depending on your chest size,) and just carefully shimmy")</f>
        <v>I originally ordered this in green, and unlike another reviewer, i thought the color was perfect for spring. it is trendy, flattering and fun in green, but perhaps not a color i would wear long-term, so i decided to return it and order it in red and black. i also noted the boxy cut, and if that is what you want, it runs true to size. however, if, like me, you want something a little more form fitting, consider ordering down a size or two (depending on your chest size,) and just carefully shimmy</v>
      </c>
      <c r="F1215" s="13">
        <f>IFERROR(__xludf.DUMMYFUNCTION("""COMPUTED_VALUE"""),5.0)</f>
        <v>5</v>
      </c>
      <c r="G1215" s="13">
        <f>IFERROR(__xludf.DUMMYFUNCTION("""COMPUTED_VALUE"""),1.0)</f>
        <v>1</v>
      </c>
      <c r="H1215" s="13">
        <f>IFERROR(__xludf.DUMMYFUNCTION("""COMPUTED_VALUE"""),0.0)</f>
        <v>0</v>
      </c>
      <c r="I1215" s="13" t="str">
        <f>IFERROR(__xludf.DUMMYFUNCTION("""COMPUTED_VALUE"""),"General")</f>
        <v>General</v>
      </c>
      <c r="J1215" s="13" t="str">
        <f>IFERROR(__xludf.DUMMYFUNCTION("""COMPUTED_VALUE"""),"Dresses")</f>
        <v>Dresses</v>
      </c>
      <c r="K1215" s="13" t="str">
        <f>IFERROR(__xludf.DUMMYFUNCTION("""COMPUTED_VALUE"""),"Dresses")</f>
        <v>Dresses</v>
      </c>
      <c r="L1215" s="13"/>
    </row>
    <row r="1216">
      <c r="A1216" s="13">
        <f>IFERROR(__xludf.DUMMYFUNCTION("""COMPUTED_VALUE"""),1214.0)</f>
        <v>1214</v>
      </c>
      <c r="B1216" s="13">
        <f>IFERROR(__xludf.DUMMYFUNCTION("""COMPUTED_VALUE"""),1094.0)</f>
        <v>1094</v>
      </c>
      <c r="C1216" s="13">
        <f>IFERROR(__xludf.DUMMYFUNCTION("""COMPUTED_VALUE"""),52.0)</f>
        <v>52</v>
      </c>
      <c r="D1216" s="12" t="str">
        <f>IFERROR(__xludf.DUMMYFUNCTION("""COMPUTED_VALUE"""),"Great dress but not in green")</f>
        <v>Great dress but not in green</v>
      </c>
      <c r="E1216" s="12" t="str">
        <f>IFERROR(__xludf.DUMMYFUNCTION("""COMPUTED_VALUE"""),"Beautiful dress. good quality. tts. i'm 5 feet 120 lbs. ordered my small petite. no issues. however, the green is very bright. the deal killer for me was when my hub said it looked like a starbucks barista's apron! it's going back. i marked yes if you pla"&amp;"n on purchasing a black dress it's a yes.")</f>
        <v>Beautiful dress. good quality. tts. i'm 5 feet 120 lbs. ordered my small petite. no issues. however, the green is very bright. the deal killer for me was when my hub said it looked like a starbucks barista's apron! it's going back. i marked yes if you plan on purchasing a black dress it's a yes.</v>
      </c>
      <c r="F1216" s="13">
        <f>IFERROR(__xludf.DUMMYFUNCTION("""COMPUTED_VALUE"""),3.0)</f>
        <v>3</v>
      </c>
      <c r="G1216" s="13">
        <f>IFERROR(__xludf.DUMMYFUNCTION("""COMPUTED_VALUE"""),1.0)</f>
        <v>1</v>
      </c>
      <c r="H1216" s="13">
        <f>IFERROR(__xludf.DUMMYFUNCTION("""COMPUTED_VALUE"""),1.0)</f>
        <v>1</v>
      </c>
      <c r="I1216" s="13" t="str">
        <f>IFERROR(__xludf.DUMMYFUNCTION("""COMPUTED_VALUE"""),"General")</f>
        <v>General</v>
      </c>
      <c r="J1216" s="13" t="str">
        <f>IFERROR(__xludf.DUMMYFUNCTION("""COMPUTED_VALUE"""),"Dresses")</f>
        <v>Dresses</v>
      </c>
      <c r="K1216" s="13" t="str">
        <f>IFERROR(__xludf.DUMMYFUNCTION("""COMPUTED_VALUE"""),"Dresses")</f>
        <v>Dresses</v>
      </c>
      <c r="L1216" s="13"/>
    </row>
    <row r="1217">
      <c r="A1217" s="13">
        <f>IFERROR(__xludf.DUMMYFUNCTION("""COMPUTED_VALUE"""),1215.0)</f>
        <v>1215</v>
      </c>
      <c r="B1217" s="13">
        <f>IFERROR(__xludf.DUMMYFUNCTION("""COMPUTED_VALUE"""),1095.0)</f>
        <v>1095</v>
      </c>
      <c r="C1217" s="13">
        <f>IFERROR(__xludf.DUMMYFUNCTION("""COMPUTED_VALUE"""),50.0)</f>
        <v>50</v>
      </c>
      <c r="D1217" s="12" t="str">
        <f>IFERROR(__xludf.DUMMYFUNCTION("""COMPUTED_VALUE"""),"A little itchy for me")</f>
        <v>A little itchy for me</v>
      </c>
      <c r="E1217" s="12" t="str">
        <f>IFERROR(__xludf.DUMMYFUNCTION("""COMPUTED_VALUE"""),"I tried this on in the store - i tried regular medium which was way too big except in the chest where it was really tight. the material was a little itchy on me (but maybe its because the chest was tight). the color is lovely (pink). im sure someone will "&amp;"love it but if you are petite, i would order the petite and maybe size up if you are busty.")</f>
        <v>I tried this on in the store - i tried regular medium which was way too big except in the chest where it was really tight. the material was a little itchy on me (but maybe its because the chest was tight). the color is lovely (pink). im sure someone will love it but if you are petite, i would order the petite and maybe size up if you are busty.</v>
      </c>
      <c r="F1217" s="13">
        <f>IFERROR(__xludf.DUMMYFUNCTION("""COMPUTED_VALUE"""),3.0)</f>
        <v>3</v>
      </c>
      <c r="G1217" s="13">
        <f>IFERROR(__xludf.DUMMYFUNCTION("""COMPUTED_VALUE"""),1.0)</f>
        <v>1</v>
      </c>
      <c r="H1217" s="13">
        <f>IFERROR(__xludf.DUMMYFUNCTION("""COMPUTED_VALUE"""),1.0)</f>
        <v>1</v>
      </c>
      <c r="I1217" s="13" t="str">
        <f>IFERROR(__xludf.DUMMYFUNCTION("""COMPUTED_VALUE"""),"General")</f>
        <v>General</v>
      </c>
      <c r="J1217" s="13" t="str">
        <f>IFERROR(__xludf.DUMMYFUNCTION("""COMPUTED_VALUE"""),"Dresses")</f>
        <v>Dresses</v>
      </c>
      <c r="K1217" s="13" t="str">
        <f>IFERROR(__xludf.DUMMYFUNCTION("""COMPUTED_VALUE"""),"Dresses")</f>
        <v>Dresses</v>
      </c>
      <c r="L1217" s="13"/>
    </row>
    <row r="1218">
      <c r="A1218" s="13">
        <f>IFERROR(__xludf.DUMMYFUNCTION("""COMPUTED_VALUE"""),1216.0)</f>
        <v>1216</v>
      </c>
      <c r="B1218" s="13">
        <f>IFERROR(__xludf.DUMMYFUNCTION("""COMPUTED_VALUE"""),1028.0)</f>
        <v>1028</v>
      </c>
      <c r="C1218" s="13">
        <f>IFERROR(__xludf.DUMMYFUNCTION("""COMPUTED_VALUE"""),44.0)</f>
        <v>44</v>
      </c>
      <c r="D1218" s="12" t="str">
        <f>IFERROR(__xludf.DUMMYFUNCTION("""COMPUTED_VALUE"""),"Love")</f>
        <v>Love</v>
      </c>
      <c r="E1218" s="12" t="str">
        <f>IFERROR(__xludf.DUMMYFUNCTION("""COMPUTED_VALUE"""),"I tried these on at my local retailer, and was like, no way am i spending almost $300 on a pair of jeans. alas, i could not stop thinking about them. the pictures really don't do them justice. they are a more substantial jean, have a distressed look, with"&amp;"out being fragile. and yet they are so soft, so comfortable, you really just don't want to take them off. they do have a bit of stretch, but hold their shape all day long. the length and taper are perfect, in that you can wear them with boots, san")</f>
        <v>I tried these on at my local retailer, and was like, no way am i spending almost $300 on a pair of jeans. alas, i could not stop thinking about them. the pictures really don't do them justice. they are a more substantial jean, have a distressed look, without being fragile. and yet they are so soft, so comfortable, you really just don't want to take them off. they do have a bit of stretch, but hold their shape all day long. the length and taper are perfect, in that you can wear them with boots, san</v>
      </c>
      <c r="F1218" s="13">
        <f>IFERROR(__xludf.DUMMYFUNCTION("""COMPUTED_VALUE"""),5.0)</f>
        <v>5</v>
      </c>
      <c r="G1218" s="13">
        <f>IFERROR(__xludf.DUMMYFUNCTION("""COMPUTED_VALUE"""),1.0)</f>
        <v>1</v>
      </c>
      <c r="H1218" s="13">
        <f>IFERROR(__xludf.DUMMYFUNCTION("""COMPUTED_VALUE"""),3.0)</f>
        <v>3</v>
      </c>
      <c r="I1218" s="13" t="str">
        <f>IFERROR(__xludf.DUMMYFUNCTION("""COMPUTED_VALUE"""),"General")</f>
        <v>General</v>
      </c>
      <c r="J1218" s="13" t="str">
        <f>IFERROR(__xludf.DUMMYFUNCTION("""COMPUTED_VALUE"""),"Bottoms")</f>
        <v>Bottoms</v>
      </c>
      <c r="K1218" s="13" t="str">
        <f>IFERROR(__xludf.DUMMYFUNCTION("""COMPUTED_VALUE"""),"Jeans")</f>
        <v>Jeans</v>
      </c>
      <c r="L1218" s="13"/>
    </row>
    <row r="1219">
      <c r="A1219" s="13">
        <f>IFERROR(__xludf.DUMMYFUNCTION("""COMPUTED_VALUE"""),1217.0)</f>
        <v>1217</v>
      </c>
      <c r="B1219" s="13">
        <f>IFERROR(__xludf.DUMMYFUNCTION("""COMPUTED_VALUE"""),1095.0)</f>
        <v>1095</v>
      </c>
      <c r="C1219" s="13">
        <f>IFERROR(__xludf.DUMMYFUNCTION("""COMPUTED_VALUE"""),37.0)</f>
        <v>37</v>
      </c>
      <c r="D1219" s="12" t="str">
        <f>IFERROR(__xludf.DUMMYFUNCTION("""COMPUTED_VALUE"""),"Pretty, comfy, casual, dressy")</f>
        <v>Pretty, comfy, casual, dressy</v>
      </c>
      <c r="E1219" s="12" t="str">
        <f>IFERROR(__xludf.DUMMYFUNCTION("""COMPUTED_VALUE"""),"I love this dress, i disagree with the review saying it was too sheer. this is a thicker material and doesnt need a slip, it is beautiful and is so comfy. it looks good with heels or sandals. i definately recommend this dress, it would look good on any bo"&amp;"dy type.")</f>
        <v>I love this dress, i disagree with the review saying it was too sheer. this is a thicker material and doesnt need a slip, it is beautiful and is so comfy. it looks good with heels or sandals. i definately recommend this dress, it would look good on any body type.</v>
      </c>
      <c r="F1219" s="13">
        <f>IFERROR(__xludf.DUMMYFUNCTION("""COMPUTED_VALUE"""),5.0)</f>
        <v>5</v>
      </c>
      <c r="G1219" s="13">
        <f>IFERROR(__xludf.DUMMYFUNCTION("""COMPUTED_VALUE"""),1.0)</f>
        <v>1</v>
      </c>
      <c r="H1219" s="13">
        <f>IFERROR(__xludf.DUMMYFUNCTION("""COMPUTED_VALUE"""),0.0)</f>
        <v>0</v>
      </c>
      <c r="I1219" s="13" t="str">
        <f>IFERROR(__xludf.DUMMYFUNCTION("""COMPUTED_VALUE"""),"General")</f>
        <v>General</v>
      </c>
      <c r="J1219" s="13" t="str">
        <f>IFERROR(__xludf.DUMMYFUNCTION("""COMPUTED_VALUE"""),"Dresses")</f>
        <v>Dresses</v>
      </c>
      <c r="K1219" s="13" t="str">
        <f>IFERROR(__xludf.DUMMYFUNCTION("""COMPUTED_VALUE"""),"Dresses")</f>
        <v>Dresses</v>
      </c>
      <c r="L1219" s="13"/>
    </row>
    <row r="1220">
      <c r="A1220" s="13">
        <f>IFERROR(__xludf.DUMMYFUNCTION("""COMPUTED_VALUE"""),1218.0)</f>
        <v>1218</v>
      </c>
      <c r="B1220" s="13">
        <f>IFERROR(__xludf.DUMMYFUNCTION("""COMPUTED_VALUE"""),850.0)</f>
        <v>850</v>
      </c>
      <c r="C1220" s="13">
        <f>IFERROR(__xludf.DUMMYFUNCTION("""COMPUTED_VALUE"""),30.0)</f>
        <v>30</v>
      </c>
      <c r="D1220" s="12" t="str">
        <f>IFERROR(__xludf.DUMMYFUNCTION("""COMPUTED_VALUE"""),"Cute top!")</f>
        <v>Cute top!</v>
      </c>
      <c r="E1220" s="12" t="str">
        <f>IFERROR(__xludf.DUMMYFUNCTION("""COMPUTED_VALUE"""),"This top is cute and could be worn to work or casually. being tall, i love how long this shirt is! definitely recommend!")</f>
        <v>This top is cute and could be worn to work or casually. being tall, i love how long this shirt is! definitely recommend!</v>
      </c>
      <c r="F1220" s="13">
        <f>IFERROR(__xludf.DUMMYFUNCTION("""COMPUTED_VALUE"""),5.0)</f>
        <v>5</v>
      </c>
      <c r="G1220" s="13">
        <f>IFERROR(__xludf.DUMMYFUNCTION("""COMPUTED_VALUE"""),1.0)</f>
        <v>1</v>
      </c>
      <c r="H1220" s="13">
        <f>IFERROR(__xludf.DUMMYFUNCTION("""COMPUTED_VALUE"""),0.0)</f>
        <v>0</v>
      </c>
      <c r="I1220" s="13" t="str">
        <f>IFERROR(__xludf.DUMMYFUNCTION("""COMPUTED_VALUE"""),"General Petite")</f>
        <v>General Petite</v>
      </c>
      <c r="J1220" s="13" t="str">
        <f>IFERROR(__xludf.DUMMYFUNCTION("""COMPUTED_VALUE"""),"Tops")</f>
        <v>Tops</v>
      </c>
      <c r="K1220" s="13" t="str">
        <f>IFERROR(__xludf.DUMMYFUNCTION("""COMPUTED_VALUE"""),"Blouses")</f>
        <v>Blouses</v>
      </c>
      <c r="L1220" s="13"/>
    </row>
    <row r="1221">
      <c r="A1221" s="13">
        <f>IFERROR(__xludf.DUMMYFUNCTION("""COMPUTED_VALUE"""),1219.0)</f>
        <v>1219</v>
      </c>
      <c r="B1221" s="13">
        <f>IFERROR(__xludf.DUMMYFUNCTION("""COMPUTED_VALUE"""),850.0)</f>
        <v>850</v>
      </c>
      <c r="C1221" s="13">
        <f>IFERROR(__xludf.DUMMYFUNCTION("""COMPUTED_VALUE"""),44.0)</f>
        <v>44</v>
      </c>
      <c r="D1221" s="12" t="str">
        <f>IFERROR(__xludf.DUMMYFUNCTION("""COMPUTED_VALUE"""),"Flattering")</f>
        <v>Flattering</v>
      </c>
      <c r="E1221" s="12" t="str">
        <f>IFERROR(__xludf.DUMMYFUNCTION("""COMPUTED_VALUE"""),"I purchased the gorgeous green color. i love that i can wear this with leggings and sandals in warm weather or boots and scarves when it's cooler outside. the best thing is that it has pockets to slip my phone in! the color is very flattering and i get lo"&amp;"ts of compliments when i wear it!")</f>
        <v>I purchased the gorgeous green color. i love that i can wear this with leggings and sandals in warm weather or boots and scarves when it's cooler outside. the best thing is that it has pockets to slip my phone in! the color is very flattering and i get lots of compliments when i wear it!</v>
      </c>
      <c r="F1221" s="13">
        <f>IFERROR(__xludf.DUMMYFUNCTION("""COMPUTED_VALUE"""),5.0)</f>
        <v>5</v>
      </c>
      <c r="G1221" s="13">
        <f>IFERROR(__xludf.DUMMYFUNCTION("""COMPUTED_VALUE"""),1.0)</f>
        <v>1</v>
      </c>
      <c r="H1221" s="13">
        <f>IFERROR(__xludf.DUMMYFUNCTION("""COMPUTED_VALUE"""),0.0)</f>
        <v>0</v>
      </c>
      <c r="I1221" s="13" t="str">
        <f>IFERROR(__xludf.DUMMYFUNCTION("""COMPUTED_VALUE"""),"General Petite")</f>
        <v>General Petite</v>
      </c>
      <c r="J1221" s="13" t="str">
        <f>IFERROR(__xludf.DUMMYFUNCTION("""COMPUTED_VALUE"""),"Tops")</f>
        <v>Tops</v>
      </c>
      <c r="K1221" s="13" t="str">
        <f>IFERROR(__xludf.DUMMYFUNCTION("""COMPUTED_VALUE"""),"Blouses")</f>
        <v>Blouses</v>
      </c>
      <c r="L1221" s="13"/>
    </row>
    <row r="1222">
      <c r="A1222" s="13">
        <f>IFERROR(__xludf.DUMMYFUNCTION("""COMPUTED_VALUE"""),1220.0)</f>
        <v>1220</v>
      </c>
      <c r="B1222" s="13">
        <f>IFERROR(__xludf.DUMMYFUNCTION("""COMPUTED_VALUE"""),850.0)</f>
        <v>850</v>
      </c>
      <c r="C1222" s="13">
        <f>IFERROR(__xludf.DUMMYFUNCTION("""COMPUTED_VALUE"""),59.0)</f>
        <v>59</v>
      </c>
      <c r="D1222" s="12"/>
      <c r="E1222" s="12" t="str">
        <f>IFERROR(__xludf.DUMMYFUNCTION("""COMPUTED_VALUE"""),"I bought the blue pattern and really have found this print to be very fun and flattering and the tunic style great for work and play. highly recommend!!!")</f>
        <v>I bought the blue pattern and really have found this print to be very fun and flattering and the tunic style great for work and play. highly recommend!!!</v>
      </c>
      <c r="F1222" s="13">
        <f>IFERROR(__xludf.DUMMYFUNCTION("""COMPUTED_VALUE"""),5.0)</f>
        <v>5</v>
      </c>
      <c r="G1222" s="13">
        <f>IFERROR(__xludf.DUMMYFUNCTION("""COMPUTED_VALUE"""),1.0)</f>
        <v>1</v>
      </c>
      <c r="H1222" s="13">
        <f>IFERROR(__xludf.DUMMYFUNCTION("""COMPUTED_VALUE"""),2.0)</f>
        <v>2</v>
      </c>
      <c r="I1222" s="13" t="str">
        <f>IFERROR(__xludf.DUMMYFUNCTION("""COMPUTED_VALUE"""),"General Petite")</f>
        <v>General Petite</v>
      </c>
      <c r="J1222" s="13" t="str">
        <f>IFERROR(__xludf.DUMMYFUNCTION("""COMPUTED_VALUE"""),"Tops")</f>
        <v>Tops</v>
      </c>
      <c r="K1222" s="13" t="str">
        <f>IFERROR(__xludf.DUMMYFUNCTION("""COMPUTED_VALUE"""),"Blouses")</f>
        <v>Blouses</v>
      </c>
      <c r="L1222" s="13"/>
    </row>
    <row r="1223">
      <c r="A1223" s="13">
        <f>IFERROR(__xludf.DUMMYFUNCTION("""COMPUTED_VALUE"""),1221.0)</f>
        <v>1221</v>
      </c>
      <c r="B1223" s="13">
        <f>IFERROR(__xludf.DUMMYFUNCTION("""COMPUTED_VALUE"""),850.0)</f>
        <v>850</v>
      </c>
      <c r="C1223" s="13">
        <f>IFERROR(__xludf.DUMMYFUNCTION("""COMPUTED_VALUE"""),35.0)</f>
        <v>35</v>
      </c>
      <c r="D1223" s="12"/>
      <c r="E1223" s="12" t="str">
        <f>IFERROR(__xludf.DUMMYFUNCTION("""COMPUTED_VALUE"""),"Like a baby doll top, with almost an empire waist going on.  feels comfortable and super flowy. i got a size m and i swing between m and l in most brands. the button stitching are a bit loose and will fray after some wears, i can tell. but i'm borderline "&amp;"on taking it back still because there are hidden side pockets! crazy--like it was a fluke or something. would fit a piece of paper or tissues. not keys or phones though.")</f>
        <v>Like a baby doll top, with almost an empire waist going on.  feels comfortable and super flowy. i got a size m and i swing between m and l in most brands. the button stitching are a bit loose and will fray after some wears, i can tell. but i'm borderline on taking it back still because there are hidden side pockets! crazy--like it was a fluke or something. would fit a piece of paper or tissues. not keys or phones though.</v>
      </c>
      <c r="F1223" s="13">
        <f>IFERROR(__xludf.DUMMYFUNCTION("""COMPUTED_VALUE"""),3.0)</f>
        <v>3</v>
      </c>
      <c r="G1223" s="13">
        <f>IFERROR(__xludf.DUMMYFUNCTION("""COMPUTED_VALUE"""),1.0)</f>
        <v>1</v>
      </c>
      <c r="H1223" s="13">
        <f>IFERROR(__xludf.DUMMYFUNCTION("""COMPUTED_VALUE"""),0.0)</f>
        <v>0</v>
      </c>
      <c r="I1223" s="13" t="str">
        <f>IFERROR(__xludf.DUMMYFUNCTION("""COMPUTED_VALUE"""),"General Petite")</f>
        <v>General Petite</v>
      </c>
      <c r="J1223" s="13" t="str">
        <f>IFERROR(__xludf.DUMMYFUNCTION("""COMPUTED_VALUE"""),"Tops")</f>
        <v>Tops</v>
      </c>
      <c r="K1223" s="13" t="str">
        <f>IFERROR(__xludf.DUMMYFUNCTION("""COMPUTED_VALUE"""),"Blouses")</f>
        <v>Blouses</v>
      </c>
      <c r="L1223" s="13"/>
    </row>
    <row r="1224">
      <c r="A1224" s="13">
        <f>IFERROR(__xludf.DUMMYFUNCTION("""COMPUTED_VALUE"""),1222.0)</f>
        <v>1222</v>
      </c>
      <c r="B1224" s="13">
        <f>IFERROR(__xludf.DUMMYFUNCTION("""COMPUTED_VALUE"""),940.0)</f>
        <v>940</v>
      </c>
      <c r="C1224" s="13">
        <f>IFERROR(__xludf.DUMMYFUNCTION("""COMPUTED_VALUE"""),57.0)</f>
        <v>57</v>
      </c>
      <c r="D1224" s="12" t="str">
        <f>IFERROR(__xludf.DUMMYFUNCTION("""COMPUTED_VALUE"""),"Bryson cowl")</f>
        <v>Bryson cowl</v>
      </c>
      <c r="E1224" s="12" t="str">
        <f>IFERROR(__xludf.DUMMYFUNCTION("""COMPUTED_VALUE"""),"This is a beautiful sweater -- soft, lovely color and easy to wear. the current photo is more true to the length. i am 5'2"" and 128 pounds and ordered the regular sm and it fits just below my hips.")</f>
        <v>This is a beautiful sweater -- soft, lovely color and easy to wear. the current photo is more true to the length. i am 5'2" and 128 pounds and ordered the regular sm and it fits just below my hips.</v>
      </c>
      <c r="F1224" s="13">
        <f>IFERROR(__xludf.DUMMYFUNCTION("""COMPUTED_VALUE"""),5.0)</f>
        <v>5</v>
      </c>
      <c r="G1224" s="13">
        <f>IFERROR(__xludf.DUMMYFUNCTION("""COMPUTED_VALUE"""),1.0)</f>
        <v>1</v>
      </c>
      <c r="H1224" s="13">
        <f>IFERROR(__xludf.DUMMYFUNCTION("""COMPUTED_VALUE"""),1.0)</f>
        <v>1</v>
      </c>
      <c r="I1224" s="13" t="str">
        <f>IFERROR(__xludf.DUMMYFUNCTION("""COMPUTED_VALUE"""),"General Petite")</f>
        <v>General Petite</v>
      </c>
      <c r="J1224" s="13" t="str">
        <f>IFERROR(__xludf.DUMMYFUNCTION("""COMPUTED_VALUE"""),"Tops")</f>
        <v>Tops</v>
      </c>
      <c r="K1224" s="13" t="str">
        <f>IFERROR(__xludf.DUMMYFUNCTION("""COMPUTED_VALUE"""),"Sweaters")</f>
        <v>Sweaters</v>
      </c>
      <c r="L1224" s="13"/>
    </row>
    <row r="1225">
      <c r="A1225" s="13">
        <f>IFERROR(__xludf.DUMMYFUNCTION("""COMPUTED_VALUE"""),1223.0)</f>
        <v>1223</v>
      </c>
      <c r="B1225" s="13">
        <f>IFERROR(__xludf.DUMMYFUNCTION("""COMPUTED_VALUE"""),868.0)</f>
        <v>868</v>
      </c>
      <c r="C1225" s="13">
        <f>IFERROR(__xludf.DUMMYFUNCTION("""COMPUTED_VALUE"""),43.0)</f>
        <v>43</v>
      </c>
      <c r="D1225" s="12" t="str">
        <f>IFERROR(__xludf.DUMMYFUNCTION("""COMPUTED_VALUE"""),"Wide")</f>
        <v>Wide</v>
      </c>
      <c r="E1225" s="12" t="str">
        <f>IFERROR(__xludf.DUMMYFUNCTION("""COMPUTED_VALUE"""),"I'm 5""0"" and weigh 105 lbs. i purchased the xxs and it was super-wide, and big all over. it looked like a pregnancy top and did not lay as nicely as shown on the model. also, not shown on the model is the front is short and the back is very long. this w"&amp;"ould work better on a taller person. i just find it odd that a xxs is still too big. the quality of the fabric and the print is good and the lace-up in the back is cute.")</f>
        <v>I'm 5"0" and weigh 105 lbs. i purchased the xxs and it was super-wide, and big all over. it looked like a pregnancy top and did not lay as nicely as shown on the model. also, not shown on the model is the front is short and the back is very long. this would work better on a taller person. i just find it odd that a xxs is still too big. the quality of the fabric and the print is good and the lace-up in the back is cute.</v>
      </c>
      <c r="F1225" s="13">
        <f>IFERROR(__xludf.DUMMYFUNCTION("""COMPUTED_VALUE"""),2.0)</f>
        <v>2</v>
      </c>
      <c r="G1225" s="13">
        <f>IFERROR(__xludf.DUMMYFUNCTION("""COMPUTED_VALUE"""),0.0)</f>
        <v>0</v>
      </c>
      <c r="H1225" s="13">
        <f>IFERROR(__xludf.DUMMYFUNCTION("""COMPUTED_VALUE"""),7.0)</f>
        <v>7</v>
      </c>
      <c r="I1225" s="13" t="str">
        <f>IFERROR(__xludf.DUMMYFUNCTION("""COMPUTED_VALUE"""),"General")</f>
        <v>General</v>
      </c>
      <c r="J1225" s="13" t="str">
        <f>IFERROR(__xludf.DUMMYFUNCTION("""COMPUTED_VALUE"""),"Tops")</f>
        <v>Tops</v>
      </c>
      <c r="K1225" s="13" t="str">
        <f>IFERROR(__xludf.DUMMYFUNCTION("""COMPUTED_VALUE"""),"Knits")</f>
        <v>Knits</v>
      </c>
      <c r="L1225" s="13"/>
    </row>
    <row r="1226">
      <c r="A1226" s="13">
        <f>IFERROR(__xludf.DUMMYFUNCTION("""COMPUTED_VALUE"""),1224.0)</f>
        <v>1224</v>
      </c>
      <c r="B1226" s="13">
        <f>IFERROR(__xludf.DUMMYFUNCTION("""COMPUTED_VALUE"""),1028.0)</f>
        <v>1028</v>
      </c>
      <c r="C1226" s="13">
        <f>IFERROR(__xludf.DUMMYFUNCTION("""COMPUTED_VALUE"""),40.0)</f>
        <v>40</v>
      </c>
      <c r="D1226" s="12" t="str">
        <f>IFERROR(__xludf.DUMMYFUNCTION("""COMPUTED_VALUE"""),"Amazing fit and wash")</f>
        <v>Amazing fit and wash</v>
      </c>
      <c r="E1226" s="12" t="str">
        <f>IFERROR(__xludf.DUMMYFUNCTION("""COMPUTED_VALUE"""),"Like other reviewers i was hesitant to spend this much on a pair of jeans. however, i purchased them at  20% off on retailer day and...honestly...they look so good i probably would have paid full price. these jeans are fresh!")</f>
        <v>Like other reviewers i was hesitant to spend this much on a pair of jeans. however, i purchased them at  20% off on retailer day and...honestly...they look so good i probably would have paid full price. these jeans are fresh!</v>
      </c>
      <c r="F1226" s="13">
        <f>IFERROR(__xludf.DUMMYFUNCTION("""COMPUTED_VALUE"""),5.0)</f>
        <v>5</v>
      </c>
      <c r="G1226" s="13">
        <f>IFERROR(__xludf.DUMMYFUNCTION("""COMPUTED_VALUE"""),1.0)</f>
        <v>1</v>
      </c>
      <c r="H1226" s="13">
        <f>IFERROR(__xludf.DUMMYFUNCTION("""COMPUTED_VALUE"""),0.0)</f>
        <v>0</v>
      </c>
      <c r="I1226" s="13" t="str">
        <f>IFERROR(__xludf.DUMMYFUNCTION("""COMPUTED_VALUE"""),"General")</f>
        <v>General</v>
      </c>
      <c r="J1226" s="13" t="str">
        <f>IFERROR(__xludf.DUMMYFUNCTION("""COMPUTED_VALUE"""),"Bottoms")</f>
        <v>Bottoms</v>
      </c>
      <c r="K1226" s="13" t="str">
        <f>IFERROR(__xludf.DUMMYFUNCTION("""COMPUTED_VALUE"""),"Jeans")</f>
        <v>Jeans</v>
      </c>
      <c r="L1226" s="13"/>
    </row>
    <row r="1227">
      <c r="A1227" s="13">
        <f>IFERROR(__xludf.DUMMYFUNCTION("""COMPUTED_VALUE"""),1225.0)</f>
        <v>1225</v>
      </c>
      <c r="B1227" s="13">
        <f>IFERROR(__xludf.DUMMYFUNCTION("""COMPUTED_VALUE"""),1095.0)</f>
        <v>1095</v>
      </c>
      <c r="C1227" s="13">
        <f>IFERROR(__xludf.DUMMYFUNCTION("""COMPUTED_VALUE"""),42.0)</f>
        <v>42</v>
      </c>
      <c r="D1227" s="12" t="str">
        <f>IFERROR(__xludf.DUMMYFUNCTION("""COMPUTED_VALUE"""),"Elegant and comfortable")</f>
        <v>Elegant and comfortable</v>
      </c>
      <c r="E1227" s="12" t="str">
        <f>IFERROR(__xludf.DUMMYFUNCTION("""COMPUTED_VALUE"""),"After reading the reviews, i ordered this dress in an xs and sp. i'm 5' 3"" and 120 lbs. the xs was too long and too big on the bottom while being too tight in the chest. the sp fits perfectly. i'm wearing this to a wedding and know that i will get lots o"&amp;"f use out of it for many different occasions.")</f>
        <v>After reading the reviews, i ordered this dress in an xs and sp. i'm 5' 3" and 120 lbs. the xs was too long and too big on the bottom while being too tight in the chest. the sp fits perfectly. i'm wearing this to a wedding and know that i will get lots of use out of it for many different occasions.</v>
      </c>
      <c r="F1227" s="13">
        <f>IFERROR(__xludf.DUMMYFUNCTION("""COMPUTED_VALUE"""),5.0)</f>
        <v>5</v>
      </c>
      <c r="G1227" s="13">
        <f>IFERROR(__xludf.DUMMYFUNCTION("""COMPUTED_VALUE"""),1.0)</f>
        <v>1</v>
      </c>
      <c r="H1227" s="13">
        <f>IFERROR(__xludf.DUMMYFUNCTION("""COMPUTED_VALUE"""),0.0)</f>
        <v>0</v>
      </c>
      <c r="I1227" s="13" t="str">
        <f>IFERROR(__xludf.DUMMYFUNCTION("""COMPUTED_VALUE"""),"General")</f>
        <v>General</v>
      </c>
      <c r="J1227" s="13" t="str">
        <f>IFERROR(__xludf.DUMMYFUNCTION("""COMPUTED_VALUE"""),"Dresses")</f>
        <v>Dresses</v>
      </c>
      <c r="K1227" s="13" t="str">
        <f>IFERROR(__xludf.DUMMYFUNCTION("""COMPUTED_VALUE"""),"Dresses")</f>
        <v>Dresses</v>
      </c>
      <c r="L1227" s="13"/>
    </row>
    <row r="1228">
      <c r="A1228" s="13">
        <f>IFERROR(__xludf.DUMMYFUNCTION("""COMPUTED_VALUE"""),1226.0)</f>
        <v>1226</v>
      </c>
      <c r="B1228" s="13">
        <f>IFERROR(__xludf.DUMMYFUNCTION("""COMPUTED_VALUE"""),868.0)</f>
        <v>868</v>
      </c>
      <c r="C1228" s="13">
        <f>IFERROR(__xludf.DUMMYFUNCTION("""COMPUTED_VALUE"""),59.0)</f>
        <v>59</v>
      </c>
      <c r="D1228" s="12" t="str">
        <f>IFERROR(__xludf.DUMMYFUNCTION("""COMPUTED_VALUE"""),"So cute!")</f>
        <v>So cute!</v>
      </c>
      <c r="E1228" s="12" t="str">
        <f>IFERROR(__xludf.DUMMYFUNCTION("""COMPUTED_VALUE"""),"I always look for things to hide ""parts"" without making my ""parts"" look even more pronounced. this top is much cuter in person than online. it has floral edging around the neck and lace up area i didn't notice. the length is perfect, the sleeve length"&amp;" is perfect and it makes me feel thin (even though it has stripes!). perfect spring summer top.")</f>
        <v>I always look for things to hide "parts" without making my "parts" look even more pronounced. this top is much cuter in person than online. it has floral edging around the neck and lace up area i didn't notice. the length is perfect, the sleeve length is perfect and it makes me feel thin (even though it has stripes!). perfect spring summer top.</v>
      </c>
      <c r="F1228" s="13">
        <f>IFERROR(__xludf.DUMMYFUNCTION("""COMPUTED_VALUE"""),5.0)</f>
        <v>5</v>
      </c>
      <c r="G1228" s="13">
        <f>IFERROR(__xludf.DUMMYFUNCTION("""COMPUTED_VALUE"""),1.0)</f>
        <v>1</v>
      </c>
      <c r="H1228" s="13">
        <f>IFERROR(__xludf.DUMMYFUNCTION("""COMPUTED_VALUE"""),16.0)</f>
        <v>16</v>
      </c>
      <c r="I1228" s="13" t="str">
        <f>IFERROR(__xludf.DUMMYFUNCTION("""COMPUTED_VALUE"""),"General")</f>
        <v>General</v>
      </c>
      <c r="J1228" s="13" t="str">
        <f>IFERROR(__xludf.DUMMYFUNCTION("""COMPUTED_VALUE"""),"Tops")</f>
        <v>Tops</v>
      </c>
      <c r="K1228" s="13" t="str">
        <f>IFERROR(__xludf.DUMMYFUNCTION("""COMPUTED_VALUE"""),"Knits")</f>
        <v>Knits</v>
      </c>
      <c r="L1228" s="13"/>
    </row>
    <row r="1229">
      <c r="A1229" s="13">
        <f>IFERROR(__xludf.DUMMYFUNCTION("""COMPUTED_VALUE"""),1227.0)</f>
        <v>1227</v>
      </c>
      <c r="B1229" s="13">
        <f>IFERROR(__xludf.DUMMYFUNCTION("""COMPUTED_VALUE"""),1095.0)</f>
        <v>1095</v>
      </c>
      <c r="C1229" s="13">
        <f>IFERROR(__xludf.DUMMYFUNCTION("""COMPUTED_VALUE"""),31.0)</f>
        <v>31</v>
      </c>
      <c r="D1229" s="12" t="str">
        <f>IFERROR(__xludf.DUMMYFUNCTION("""COMPUTED_VALUE"""),"Great buy!")</f>
        <v>Great buy!</v>
      </c>
      <c r="E1229" s="12" t="str">
        <f>IFERROR(__xludf.DUMMYFUNCTION("""COMPUTED_VALUE"""),"Fit is true to size but keep in mind this dress has a ""box-like"" fit. i am debating whether to have mine taken in a little under the arms.
the material isn't what i expected but i still love it. the dress has a more textured/thick fabric instead of the "&amp;"light, somewhat silky fabric that the photo portrays.
i am very happy with the color!")</f>
        <v>Fit is true to size but keep in mind this dress has a "box-like" fit. i am debating whether to have mine taken in a little under the arms.
the material isn't what i expected but i still love it. the dress has a more textured/thick fabric instead of the light, somewhat silky fabric that the photo portrays.
i am very happy with the color!</v>
      </c>
      <c r="F1229" s="13">
        <f>IFERROR(__xludf.DUMMYFUNCTION("""COMPUTED_VALUE"""),4.0)</f>
        <v>4</v>
      </c>
      <c r="G1229" s="13">
        <f>IFERROR(__xludf.DUMMYFUNCTION("""COMPUTED_VALUE"""),1.0)</f>
        <v>1</v>
      </c>
      <c r="H1229" s="13">
        <f>IFERROR(__xludf.DUMMYFUNCTION("""COMPUTED_VALUE"""),9.0)</f>
        <v>9</v>
      </c>
      <c r="I1229" s="13" t="str">
        <f>IFERROR(__xludf.DUMMYFUNCTION("""COMPUTED_VALUE"""),"General")</f>
        <v>General</v>
      </c>
      <c r="J1229" s="13" t="str">
        <f>IFERROR(__xludf.DUMMYFUNCTION("""COMPUTED_VALUE"""),"Dresses")</f>
        <v>Dresses</v>
      </c>
      <c r="K1229" s="13" t="str">
        <f>IFERROR(__xludf.DUMMYFUNCTION("""COMPUTED_VALUE"""),"Dresses")</f>
        <v>Dresses</v>
      </c>
      <c r="L1229" s="13"/>
    </row>
    <row r="1230">
      <c r="A1230" s="13">
        <f>IFERROR(__xludf.DUMMYFUNCTION("""COMPUTED_VALUE"""),1228.0)</f>
        <v>1228</v>
      </c>
      <c r="B1230" s="13">
        <f>IFERROR(__xludf.DUMMYFUNCTION("""COMPUTED_VALUE"""),850.0)</f>
        <v>850</v>
      </c>
      <c r="C1230" s="13">
        <f>IFERROR(__xludf.DUMMYFUNCTION("""COMPUTED_VALUE"""),62.0)</f>
        <v>62</v>
      </c>
      <c r="D1230" s="12" t="str">
        <f>IFERROR(__xludf.DUMMYFUNCTION("""COMPUTED_VALUE"""),"Bought in 2 patterns!")</f>
        <v>Bought in 2 patterns!</v>
      </c>
      <c r="E1230" s="12" t="str">
        <f>IFERROR(__xludf.DUMMYFUNCTION("""COMPUTED_VALUE"""),"This shirt is easy, breezy, comfy, and stylish - everything i want as a busy mom. all the patterns are beautiful it i went with the blue motif as well as the floral print because they felt fun and easy to wear with jeans or white pants. this definitely fi"&amp;"t a full size large for me. i tried my usual s plus xs thinking the shoulders might be too tight, but the xs was perfect. happy to have this beauty in the rotation!")</f>
        <v>This shirt is easy, breezy, comfy, and stylish - everything i want as a busy mom. all the patterns are beautiful it i went with the blue motif as well as the floral print because they felt fun and easy to wear with jeans or white pants. this definitely fit a full size large for me. i tried my usual s plus xs thinking the shoulders might be too tight, but the xs was perfect. happy to have this beauty in the rotation!</v>
      </c>
      <c r="F1230" s="13">
        <f>IFERROR(__xludf.DUMMYFUNCTION("""COMPUTED_VALUE"""),5.0)</f>
        <v>5</v>
      </c>
      <c r="G1230" s="13">
        <f>IFERROR(__xludf.DUMMYFUNCTION("""COMPUTED_VALUE"""),1.0)</f>
        <v>1</v>
      </c>
      <c r="H1230" s="13">
        <f>IFERROR(__xludf.DUMMYFUNCTION("""COMPUTED_VALUE"""),1.0)</f>
        <v>1</v>
      </c>
      <c r="I1230" s="13" t="str">
        <f>IFERROR(__xludf.DUMMYFUNCTION("""COMPUTED_VALUE"""),"General Petite")</f>
        <v>General Petite</v>
      </c>
      <c r="J1230" s="13" t="str">
        <f>IFERROR(__xludf.DUMMYFUNCTION("""COMPUTED_VALUE"""),"Tops")</f>
        <v>Tops</v>
      </c>
      <c r="K1230" s="13" t="str">
        <f>IFERROR(__xludf.DUMMYFUNCTION("""COMPUTED_VALUE"""),"Blouses")</f>
        <v>Blouses</v>
      </c>
      <c r="L1230" s="13"/>
    </row>
    <row r="1231">
      <c r="A1231" s="13">
        <f>IFERROR(__xludf.DUMMYFUNCTION("""COMPUTED_VALUE"""),1229.0)</f>
        <v>1229</v>
      </c>
      <c r="B1231" s="13">
        <f>IFERROR(__xludf.DUMMYFUNCTION("""COMPUTED_VALUE"""),850.0)</f>
        <v>850</v>
      </c>
      <c r="C1231" s="13">
        <f>IFERROR(__xludf.DUMMYFUNCTION("""COMPUTED_VALUE"""),23.0)</f>
        <v>23</v>
      </c>
      <c r="D1231" s="12" t="str">
        <f>IFERROR(__xludf.DUMMYFUNCTION("""COMPUTED_VALUE"""),"Not flattering")</f>
        <v>Not flattering</v>
      </c>
      <c r="E1231" s="12" t="str">
        <f>IFERROR(__xludf.DUMMYFUNCTION("""COMPUTED_VALUE"""),"I've been eyeing this top up in the floral pattern for a while and finally ordered it when i had 15% off. i really don't think it's worth the price and it's not very flattering. i think it would look better on someone less busty - it seemed to accent my b"&amp;"ust. it's definitely not my favorite piece and unfortunately i will be returning.")</f>
        <v>I've been eyeing this top up in the floral pattern for a while and finally ordered it when i had 15% off. i really don't think it's worth the price and it's not very flattering. i think it would look better on someone less busty - it seemed to accent my bust. it's definitely not my favorite piece and unfortunately i will be returning.</v>
      </c>
      <c r="F1231" s="13">
        <f>IFERROR(__xludf.DUMMYFUNCTION("""COMPUTED_VALUE"""),3.0)</f>
        <v>3</v>
      </c>
      <c r="G1231" s="13">
        <f>IFERROR(__xludf.DUMMYFUNCTION("""COMPUTED_VALUE"""),0.0)</f>
        <v>0</v>
      </c>
      <c r="H1231" s="13">
        <f>IFERROR(__xludf.DUMMYFUNCTION("""COMPUTED_VALUE"""),0.0)</f>
        <v>0</v>
      </c>
      <c r="I1231" s="13" t="str">
        <f>IFERROR(__xludf.DUMMYFUNCTION("""COMPUTED_VALUE"""),"General Petite")</f>
        <v>General Petite</v>
      </c>
      <c r="J1231" s="13" t="str">
        <f>IFERROR(__xludf.DUMMYFUNCTION("""COMPUTED_VALUE"""),"Tops")</f>
        <v>Tops</v>
      </c>
      <c r="K1231" s="13" t="str">
        <f>IFERROR(__xludf.DUMMYFUNCTION("""COMPUTED_VALUE"""),"Blouses")</f>
        <v>Blouses</v>
      </c>
      <c r="L1231" s="13"/>
    </row>
    <row r="1232">
      <c r="A1232" s="13">
        <f>IFERROR(__xludf.DUMMYFUNCTION("""COMPUTED_VALUE"""),1230.0)</f>
        <v>1230</v>
      </c>
      <c r="B1232" s="13">
        <f>IFERROR(__xludf.DUMMYFUNCTION("""COMPUTED_VALUE"""),1028.0)</f>
        <v>1028</v>
      </c>
      <c r="C1232" s="13">
        <f>IFERROR(__xludf.DUMMYFUNCTION("""COMPUTED_VALUE"""),38.0)</f>
        <v>38</v>
      </c>
      <c r="D1232" s="12"/>
      <c r="E1232" s="12" t="str">
        <f>IFERROR(__xludf.DUMMYFUNCTION("""COMPUTED_VALUE"""),"This is my first pair of realllly expensive jeans, and they were worth every penny. i love the fit, the distressing, everything about them. they make me feel like i look amazing, which is what good jeans should do! i wear a 31 in pilcro jeans, but based o"&amp;"n some reviews went up to a 32 in these and they are perfect. also, i'm 5'6 but the crop length hits at my ankle, which is perfect.")</f>
        <v>This is my first pair of realllly expensive jeans, and they were worth every penny. i love the fit, the distressing, everything about them. they make me feel like i look amazing, which is what good jeans should do! i wear a 31 in pilcro jeans, but based on some reviews went up to a 32 in these and they are perfect. also, i'm 5'6 but the crop length hits at my ankle, which is perfect.</v>
      </c>
      <c r="F1232" s="13">
        <f>IFERROR(__xludf.DUMMYFUNCTION("""COMPUTED_VALUE"""),5.0)</f>
        <v>5</v>
      </c>
      <c r="G1232" s="13">
        <f>IFERROR(__xludf.DUMMYFUNCTION("""COMPUTED_VALUE"""),1.0)</f>
        <v>1</v>
      </c>
      <c r="H1232" s="13">
        <f>IFERROR(__xludf.DUMMYFUNCTION("""COMPUTED_VALUE"""),1.0)</f>
        <v>1</v>
      </c>
      <c r="I1232" s="13" t="str">
        <f>IFERROR(__xludf.DUMMYFUNCTION("""COMPUTED_VALUE"""),"General")</f>
        <v>General</v>
      </c>
      <c r="J1232" s="13" t="str">
        <f>IFERROR(__xludf.DUMMYFUNCTION("""COMPUTED_VALUE"""),"Bottoms")</f>
        <v>Bottoms</v>
      </c>
      <c r="K1232" s="13" t="str">
        <f>IFERROR(__xludf.DUMMYFUNCTION("""COMPUTED_VALUE"""),"Jeans")</f>
        <v>Jeans</v>
      </c>
      <c r="L1232" s="13"/>
    </row>
    <row r="1233">
      <c r="A1233" s="13">
        <f>IFERROR(__xludf.DUMMYFUNCTION("""COMPUTED_VALUE"""),1231.0)</f>
        <v>1231</v>
      </c>
      <c r="B1233" s="13">
        <f>IFERROR(__xludf.DUMMYFUNCTION("""COMPUTED_VALUE"""),1055.0)</f>
        <v>1055</v>
      </c>
      <c r="C1233" s="13">
        <f>IFERROR(__xludf.DUMMYFUNCTION("""COMPUTED_VALUE"""),38.0)</f>
        <v>38</v>
      </c>
      <c r="D1233" s="12" t="str">
        <f>IFERROR(__xludf.DUMMYFUNCTION("""COMPUTED_VALUE"""),"Cute with some adjustments")</f>
        <v>Cute with some adjustments</v>
      </c>
      <c r="E1233" s="12" t="str">
        <f>IFERROR(__xludf.DUMMYFUNCTION("""COMPUTED_VALUE"""),"Shortened it to knee length and it was perfect. material is soft. comfortable to wear. can be paired with wedges or pumps or flats. fits true to size.")</f>
        <v>Shortened it to knee length and it was perfect. material is soft. comfortable to wear. can be paired with wedges or pumps or flats. fits true to size.</v>
      </c>
      <c r="F1233" s="13">
        <f>IFERROR(__xludf.DUMMYFUNCTION("""COMPUTED_VALUE"""),5.0)</f>
        <v>5</v>
      </c>
      <c r="G1233" s="13">
        <f>IFERROR(__xludf.DUMMYFUNCTION("""COMPUTED_VALUE"""),1.0)</f>
        <v>1</v>
      </c>
      <c r="H1233" s="13">
        <f>IFERROR(__xludf.DUMMYFUNCTION("""COMPUTED_VALUE"""),0.0)</f>
        <v>0</v>
      </c>
      <c r="I1233" s="13" t="str">
        <f>IFERROR(__xludf.DUMMYFUNCTION("""COMPUTED_VALUE"""),"General Petite")</f>
        <v>General Petite</v>
      </c>
      <c r="J1233" s="13" t="str">
        <f>IFERROR(__xludf.DUMMYFUNCTION("""COMPUTED_VALUE"""),"Bottoms")</f>
        <v>Bottoms</v>
      </c>
      <c r="K1233" s="13" t="str">
        <f>IFERROR(__xludf.DUMMYFUNCTION("""COMPUTED_VALUE"""),"Pants")</f>
        <v>Pants</v>
      </c>
      <c r="L1233" s="13"/>
    </row>
    <row r="1234">
      <c r="A1234" s="13">
        <f>IFERROR(__xludf.DUMMYFUNCTION("""COMPUTED_VALUE"""),1232.0)</f>
        <v>1232</v>
      </c>
      <c r="B1234" s="13">
        <f>IFERROR(__xludf.DUMMYFUNCTION("""COMPUTED_VALUE"""),850.0)</f>
        <v>850</v>
      </c>
      <c r="C1234" s="13">
        <f>IFERROR(__xludf.DUMMYFUNCTION("""COMPUTED_VALUE"""),20.0)</f>
        <v>20</v>
      </c>
      <c r="D1234" s="12"/>
      <c r="E1234" s="12" t="str">
        <f>IFERROR(__xludf.DUMMYFUNCTION("""COMPUTED_VALUE"""),"Super cute and flattering shirt, the long tunic-style makes it so you can dress it up or down, so cute and comfy!")</f>
        <v>Super cute and flattering shirt, the long tunic-style makes it so you can dress it up or down, so cute and comfy!</v>
      </c>
      <c r="F1234" s="13">
        <f>IFERROR(__xludf.DUMMYFUNCTION("""COMPUTED_VALUE"""),4.0)</f>
        <v>4</v>
      </c>
      <c r="G1234" s="13">
        <f>IFERROR(__xludf.DUMMYFUNCTION("""COMPUTED_VALUE"""),1.0)</f>
        <v>1</v>
      </c>
      <c r="H1234" s="13">
        <f>IFERROR(__xludf.DUMMYFUNCTION("""COMPUTED_VALUE"""),0.0)</f>
        <v>0</v>
      </c>
      <c r="I1234" s="13" t="str">
        <f>IFERROR(__xludf.DUMMYFUNCTION("""COMPUTED_VALUE"""),"General Petite")</f>
        <v>General Petite</v>
      </c>
      <c r="J1234" s="13" t="str">
        <f>IFERROR(__xludf.DUMMYFUNCTION("""COMPUTED_VALUE"""),"Tops")</f>
        <v>Tops</v>
      </c>
      <c r="K1234" s="13" t="str">
        <f>IFERROR(__xludf.DUMMYFUNCTION("""COMPUTED_VALUE"""),"Blouses")</f>
        <v>Blouses</v>
      </c>
      <c r="L1234" s="13"/>
    </row>
    <row r="1235">
      <c r="A1235" s="13">
        <f>IFERROR(__xludf.DUMMYFUNCTION("""COMPUTED_VALUE"""),1233.0)</f>
        <v>1233</v>
      </c>
      <c r="B1235" s="13">
        <f>IFERROR(__xludf.DUMMYFUNCTION("""COMPUTED_VALUE"""),1095.0)</f>
        <v>1095</v>
      </c>
      <c r="C1235" s="13">
        <f>IFERROR(__xludf.DUMMYFUNCTION("""COMPUTED_VALUE"""),46.0)</f>
        <v>46</v>
      </c>
      <c r="D1235" s="12" t="str">
        <f>IFERROR(__xludf.DUMMYFUNCTION("""COMPUTED_VALUE"""),"Way cuter in the photo")</f>
        <v>Way cuter in the photo</v>
      </c>
      <c r="E1235" s="12" t="str">
        <f>IFERROR(__xludf.DUMMYFUNCTION("""COMPUTED_VALUE"""),"It looks great on the model but not on me. on me, it looked more like a sack of potatoes. the fabric is unexpected for the style in my opinion. it is very thick. i'll be returning it because it is not flattering on me.")</f>
        <v>It looks great on the model but not on me. on me, it looked more like a sack of potatoes. the fabric is unexpected for the style in my opinion. it is very thick. i'll be returning it because it is not flattering on me.</v>
      </c>
      <c r="F1235" s="13">
        <f>IFERROR(__xludf.DUMMYFUNCTION("""COMPUTED_VALUE"""),3.0)</f>
        <v>3</v>
      </c>
      <c r="G1235" s="13">
        <f>IFERROR(__xludf.DUMMYFUNCTION("""COMPUTED_VALUE"""),0.0)</f>
        <v>0</v>
      </c>
      <c r="H1235" s="13">
        <f>IFERROR(__xludf.DUMMYFUNCTION("""COMPUTED_VALUE"""),0.0)</f>
        <v>0</v>
      </c>
      <c r="I1235" s="13" t="str">
        <f>IFERROR(__xludf.DUMMYFUNCTION("""COMPUTED_VALUE"""),"General")</f>
        <v>General</v>
      </c>
      <c r="J1235" s="13" t="str">
        <f>IFERROR(__xludf.DUMMYFUNCTION("""COMPUTED_VALUE"""),"Dresses")</f>
        <v>Dresses</v>
      </c>
      <c r="K1235" s="13" t="str">
        <f>IFERROR(__xludf.DUMMYFUNCTION("""COMPUTED_VALUE"""),"Dresses")</f>
        <v>Dresses</v>
      </c>
      <c r="L1235" s="13"/>
    </row>
    <row r="1236">
      <c r="A1236" s="13">
        <f>IFERROR(__xludf.DUMMYFUNCTION("""COMPUTED_VALUE"""),1234.0)</f>
        <v>1234</v>
      </c>
      <c r="B1236" s="13">
        <f>IFERROR(__xludf.DUMMYFUNCTION("""COMPUTED_VALUE"""),850.0)</f>
        <v>850</v>
      </c>
      <c r="C1236" s="13">
        <f>IFERROR(__xludf.DUMMYFUNCTION("""COMPUTED_VALUE"""),33.0)</f>
        <v>33</v>
      </c>
      <c r="D1236" s="12" t="str">
        <f>IFERROR(__xludf.DUMMYFUNCTION("""COMPUTED_VALUE"""),"Go to summer top!")</f>
        <v>Go to summer top!</v>
      </c>
      <c r="E1236" s="12" t="str">
        <f>IFERROR(__xludf.DUMMYFUNCTION("""COMPUTED_VALUE"""),"This shirt is just so easy breezy! i got the blue motif and love the pattern. the top is loose but it's supposed to fit that way. i have a feeling this will be my go to for the spring summer! i'm about 136lbs and ordered a small.")</f>
        <v>This shirt is just so easy breezy! i got the blue motif and love the pattern. the top is loose but it's supposed to fit that way. i have a feeling this will be my go to for the spring summer! i'm about 136lbs and ordered a small.</v>
      </c>
      <c r="F1236" s="13">
        <f>IFERROR(__xludf.DUMMYFUNCTION("""COMPUTED_VALUE"""),5.0)</f>
        <v>5</v>
      </c>
      <c r="G1236" s="13">
        <f>IFERROR(__xludf.DUMMYFUNCTION("""COMPUTED_VALUE"""),1.0)</f>
        <v>1</v>
      </c>
      <c r="H1236" s="13">
        <f>IFERROR(__xludf.DUMMYFUNCTION("""COMPUTED_VALUE"""),1.0)</f>
        <v>1</v>
      </c>
      <c r="I1236" s="13" t="str">
        <f>IFERROR(__xludf.DUMMYFUNCTION("""COMPUTED_VALUE"""),"General Petite")</f>
        <v>General Petite</v>
      </c>
      <c r="J1236" s="13" t="str">
        <f>IFERROR(__xludf.DUMMYFUNCTION("""COMPUTED_VALUE"""),"Tops")</f>
        <v>Tops</v>
      </c>
      <c r="K1236" s="13" t="str">
        <f>IFERROR(__xludf.DUMMYFUNCTION("""COMPUTED_VALUE"""),"Blouses")</f>
        <v>Blouses</v>
      </c>
      <c r="L1236" s="13"/>
    </row>
    <row r="1237">
      <c r="A1237" s="13">
        <f>IFERROR(__xludf.DUMMYFUNCTION("""COMPUTED_VALUE"""),1235.0)</f>
        <v>1235</v>
      </c>
      <c r="B1237" s="13">
        <f>IFERROR(__xludf.DUMMYFUNCTION("""COMPUTED_VALUE"""),1095.0)</f>
        <v>1095</v>
      </c>
      <c r="C1237" s="13">
        <f>IFERROR(__xludf.DUMMYFUNCTION("""COMPUTED_VALUE"""),37.0)</f>
        <v>37</v>
      </c>
      <c r="D1237" s="12" t="str">
        <f>IFERROR(__xludf.DUMMYFUNCTION("""COMPUTED_VALUE"""),"Frumpy")</f>
        <v>Frumpy</v>
      </c>
      <c r="E1237" s="12" t="str">
        <f>IFERROR(__xludf.DUMMYFUNCTION("""COMPUTED_VALUE"""),"This dress looked gorgeous in the monthly catalog. ordered in hopes to wear in easter. i felt it was frumpy and just ok. color was pretty but overall; i didn't love it like i hoped to.")</f>
        <v>This dress looked gorgeous in the monthly catalog. ordered in hopes to wear in easter. i felt it was frumpy and just ok. color was pretty but overall; i didn't love it like i hoped to.</v>
      </c>
      <c r="F1237" s="13">
        <f>IFERROR(__xludf.DUMMYFUNCTION("""COMPUTED_VALUE"""),2.0)</f>
        <v>2</v>
      </c>
      <c r="G1237" s="13">
        <f>IFERROR(__xludf.DUMMYFUNCTION("""COMPUTED_VALUE"""),0.0)</f>
        <v>0</v>
      </c>
      <c r="H1237" s="13">
        <f>IFERROR(__xludf.DUMMYFUNCTION("""COMPUTED_VALUE"""),0.0)</f>
        <v>0</v>
      </c>
      <c r="I1237" s="13" t="str">
        <f>IFERROR(__xludf.DUMMYFUNCTION("""COMPUTED_VALUE"""),"General")</f>
        <v>General</v>
      </c>
      <c r="J1237" s="13" t="str">
        <f>IFERROR(__xludf.DUMMYFUNCTION("""COMPUTED_VALUE"""),"Dresses")</f>
        <v>Dresses</v>
      </c>
      <c r="K1237" s="13" t="str">
        <f>IFERROR(__xludf.DUMMYFUNCTION("""COMPUTED_VALUE"""),"Dresses")</f>
        <v>Dresses</v>
      </c>
      <c r="L1237" s="13"/>
    </row>
    <row r="1238">
      <c r="A1238" s="13">
        <f>IFERROR(__xludf.DUMMYFUNCTION("""COMPUTED_VALUE"""),1236.0)</f>
        <v>1236</v>
      </c>
      <c r="B1238" s="13">
        <f>IFERROR(__xludf.DUMMYFUNCTION("""COMPUTED_VALUE"""),1094.0)</f>
        <v>1094</v>
      </c>
      <c r="C1238" s="13">
        <f>IFERROR(__xludf.DUMMYFUNCTION("""COMPUTED_VALUE"""),60.0)</f>
        <v>60</v>
      </c>
      <c r="D1238" s="12" t="str">
        <f>IFERROR(__xludf.DUMMYFUNCTION("""COMPUTED_VALUE"""),"The lady dress")</f>
        <v>The lady dress</v>
      </c>
      <c r="E1238" s="12" t="str">
        <f>IFERROR(__xludf.DUMMYFUNCTION("""COMPUTED_VALUE"""),"If there ever was the perfect feminine dress, this would be it .")</f>
        <v>If there ever was the perfect feminine dress, this would be it .</v>
      </c>
      <c r="F1238" s="13">
        <f>IFERROR(__xludf.DUMMYFUNCTION("""COMPUTED_VALUE"""),5.0)</f>
        <v>5</v>
      </c>
      <c r="G1238" s="13">
        <f>IFERROR(__xludf.DUMMYFUNCTION("""COMPUTED_VALUE"""),1.0)</f>
        <v>1</v>
      </c>
      <c r="H1238" s="13">
        <f>IFERROR(__xludf.DUMMYFUNCTION("""COMPUTED_VALUE"""),1.0)</f>
        <v>1</v>
      </c>
      <c r="I1238" s="13" t="str">
        <f>IFERROR(__xludf.DUMMYFUNCTION("""COMPUTED_VALUE"""),"General")</f>
        <v>General</v>
      </c>
      <c r="J1238" s="13" t="str">
        <f>IFERROR(__xludf.DUMMYFUNCTION("""COMPUTED_VALUE"""),"Dresses")</f>
        <v>Dresses</v>
      </c>
      <c r="K1238" s="13" t="str">
        <f>IFERROR(__xludf.DUMMYFUNCTION("""COMPUTED_VALUE"""),"Dresses")</f>
        <v>Dresses</v>
      </c>
      <c r="L1238" s="13"/>
    </row>
    <row r="1239">
      <c r="A1239" s="13">
        <f>IFERROR(__xludf.DUMMYFUNCTION("""COMPUTED_VALUE"""),1237.0)</f>
        <v>1237</v>
      </c>
      <c r="B1239" s="13">
        <f>IFERROR(__xludf.DUMMYFUNCTION("""COMPUTED_VALUE"""),850.0)</f>
        <v>850</v>
      </c>
      <c r="C1239" s="13">
        <f>IFERROR(__xludf.DUMMYFUNCTION("""COMPUTED_VALUE"""),37.0)</f>
        <v>37</v>
      </c>
      <c r="D1239" s="12" t="str">
        <f>IFERROR(__xludf.DUMMYFUNCTION("""COMPUTED_VALUE"""),"Cute")</f>
        <v>Cute</v>
      </c>
      <c r="E1239" s="12" t="str">
        <f>IFERROR(__xludf.DUMMYFUNCTION("""COMPUTED_VALUE"""),"I'm small (4'11, 98 pounds and 34a) so the regular xs looks like a baby doll dress on me.  i just wear the tunic with a tank top underneath (or i can wear the tunic by itself) and leggings plus a pair of boots.  the top part is slightly baggy so if you wa"&amp;"nt tight fitting, is size down to xxs.  i got the yellow flower and white + grey one and plan to get the navy one soon.  the quality is good and you can machine wash it with cold water.  i plan to use a tide sweater garment bag to wash it (i put")</f>
        <v>I'm small (4'11, 98 pounds and 34a) so the regular xs looks like a baby doll dress on me.  i just wear the tunic with a tank top underneath (or i can wear the tunic by itself) and leggings plus a pair of boots.  the top part is slightly baggy so if you want tight fitting, is size down to xxs.  i got the yellow flower and white + grey one and plan to get the navy one soon.  the quality is good and you can machine wash it with cold water.  i plan to use a tide sweater garment bag to wash it (i put</v>
      </c>
      <c r="F1239" s="13">
        <f>IFERROR(__xludf.DUMMYFUNCTION("""COMPUTED_VALUE"""),5.0)</f>
        <v>5</v>
      </c>
      <c r="G1239" s="13">
        <f>IFERROR(__xludf.DUMMYFUNCTION("""COMPUTED_VALUE"""),1.0)</f>
        <v>1</v>
      </c>
      <c r="H1239" s="13">
        <f>IFERROR(__xludf.DUMMYFUNCTION("""COMPUTED_VALUE"""),3.0)</f>
        <v>3</v>
      </c>
      <c r="I1239" s="13" t="str">
        <f>IFERROR(__xludf.DUMMYFUNCTION("""COMPUTED_VALUE"""),"General Petite")</f>
        <v>General Petite</v>
      </c>
      <c r="J1239" s="13" t="str">
        <f>IFERROR(__xludf.DUMMYFUNCTION("""COMPUTED_VALUE"""),"Tops")</f>
        <v>Tops</v>
      </c>
      <c r="K1239" s="13" t="str">
        <f>IFERROR(__xludf.DUMMYFUNCTION("""COMPUTED_VALUE"""),"Blouses")</f>
        <v>Blouses</v>
      </c>
      <c r="L1239" s="13"/>
    </row>
    <row r="1240">
      <c r="A1240" s="13">
        <f>IFERROR(__xludf.DUMMYFUNCTION("""COMPUTED_VALUE"""),1238.0)</f>
        <v>1238</v>
      </c>
      <c r="B1240" s="13">
        <f>IFERROR(__xludf.DUMMYFUNCTION("""COMPUTED_VALUE"""),850.0)</f>
        <v>850</v>
      </c>
      <c r="C1240" s="13">
        <f>IFERROR(__xludf.DUMMYFUNCTION("""COMPUTED_VALUE"""),60.0)</f>
        <v>60</v>
      </c>
      <c r="D1240" s="12" t="str">
        <f>IFERROR(__xludf.DUMMYFUNCTION("""COMPUTED_VALUE"""),"Not so flattering top")</f>
        <v>Not so flattering top</v>
      </c>
      <c r="E1240" s="12" t="str">
        <f>IFERROR(__xludf.DUMMYFUNCTION("""COMPUTED_VALUE"""),"I had reservations about this top based on other reviews, but it looked cute on the model so i took my chances. i have an athletic build--not model-thin, but not dumpy either--and this top made me look very frumpy and matronly. the sleeves were especially"&amp;" unflattering. i purchased it in an ps and might have done better with a pxs.")</f>
        <v>I had reservations about this top based on other reviews, but it looked cute on the model so i took my chances. i have an athletic build--not model-thin, but not dumpy either--and this top made me look very frumpy and matronly. the sleeves were especially unflattering. i purchased it in an ps and might have done better with a pxs.</v>
      </c>
      <c r="F1240" s="13">
        <f>IFERROR(__xludf.DUMMYFUNCTION("""COMPUTED_VALUE"""),3.0)</f>
        <v>3</v>
      </c>
      <c r="G1240" s="13">
        <f>IFERROR(__xludf.DUMMYFUNCTION("""COMPUTED_VALUE"""),0.0)</f>
        <v>0</v>
      </c>
      <c r="H1240" s="13">
        <f>IFERROR(__xludf.DUMMYFUNCTION("""COMPUTED_VALUE"""),0.0)</f>
        <v>0</v>
      </c>
      <c r="I1240" s="13" t="str">
        <f>IFERROR(__xludf.DUMMYFUNCTION("""COMPUTED_VALUE"""),"General Petite")</f>
        <v>General Petite</v>
      </c>
      <c r="J1240" s="13" t="str">
        <f>IFERROR(__xludf.DUMMYFUNCTION("""COMPUTED_VALUE"""),"Tops")</f>
        <v>Tops</v>
      </c>
      <c r="K1240" s="13" t="str">
        <f>IFERROR(__xludf.DUMMYFUNCTION("""COMPUTED_VALUE"""),"Blouses")</f>
        <v>Blouses</v>
      </c>
      <c r="L1240" s="13"/>
    </row>
    <row r="1241">
      <c r="A1241" s="13">
        <f>IFERROR(__xludf.DUMMYFUNCTION("""COMPUTED_VALUE"""),1239.0)</f>
        <v>1239</v>
      </c>
      <c r="B1241" s="13">
        <f>IFERROR(__xludf.DUMMYFUNCTION("""COMPUTED_VALUE"""),850.0)</f>
        <v>850</v>
      </c>
      <c r="C1241" s="13">
        <f>IFERROR(__xludf.DUMMYFUNCTION("""COMPUTED_VALUE"""),34.0)</f>
        <v>34</v>
      </c>
      <c r="D1241" s="12"/>
      <c r="E1241" s="12" t="str">
        <f>IFERROR(__xludf.DUMMYFUNCTION("""COMPUTED_VALUE"""),"I ordered the black and it was a soft black, which i loved. i felt like the shirt was a little boxy (i was hoping the top would have been a bit more fitted (the arm holes are loose) and the bottom a little longer, but i like it enough that i am keeping it"&amp;". works well to wear to work.")</f>
        <v>I ordered the black and it was a soft black, which i loved. i felt like the shirt was a little boxy (i was hoping the top would have been a bit more fitted (the arm holes are loose) and the bottom a little longer, but i like it enough that i am keeping it. works well to wear to work.</v>
      </c>
      <c r="F1241" s="13">
        <f>IFERROR(__xludf.DUMMYFUNCTION("""COMPUTED_VALUE"""),4.0)</f>
        <v>4</v>
      </c>
      <c r="G1241" s="13">
        <f>IFERROR(__xludf.DUMMYFUNCTION("""COMPUTED_VALUE"""),1.0)</f>
        <v>1</v>
      </c>
      <c r="H1241" s="13">
        <f>IFERROR(__xludf.DUMMYFUNCTION("""COMPUTED_VALUE"""),0.0)</f>
        <v>0</v>
      </c>
      <c r="I1241" s="13" t="str">
        <f>IFERROR(__xludf.DUMMYFUNCTION("""COMPUTED_VALUE"""),"General Petite")</f>
        <v>General Petite</v>
      </c>
      <c r="J1241" s="13" t="str">
        <f>IFERROR(__xludf.DUMMYFUNCTION("""COMPUTED_VALUE"""),"Tops")</f>
        <v>Tops</v>
      </c>
      <c r="K1241" s="13" t="str">
        <f>IFERROR(__xludf.DUMMYFUNCTION("""COMPUTED_VALUE"""),"Blouses")</f>
        <v>Blouses</v>
      </c>
      <c r="L1241" s="13"/>
    </row>
    <row r="1242">
      <c r="A1242" s="13">
        <f>IFERROR(__xludf.DUMMYFUNCTION("""COMPUTED_VALUE"""),1240.0)</f>
        <v>1240</v>
      </c>
      <c r="B1242" s="13">
        <f>IFERROR(__xludf.DUMMYFUNCTION("""COMPUTED_VALUE"""),875.0)</f>
        <v>875</v>
      </c>
      <c r="C1242" s="13">
        <f>IFERROR(__xludf.DUMMYFUNCTION("""COMPUTED_VALUE"""),46.0)</f>
        <v>46</v>
      </c>
      <c r="D1242" s="12" t="str">
        <f>IFERROR(__xludf.DUMMYFUNCTION("""COMPUTED_VALUE"""),"Too much fabric")</f>
        <v>Too much fabric</v>
      </c>
      <c r="E1242" s="12" t="str">
        <f>IFERROR(__xludf.DUMMYFUNCTION("""COMPUTED_VALUE"""),"I usually wear a size xs or s in retailer tops, ordered this top in an s and it was so wide on the sides and huge it fit like a tent.  not even remotely flattering.  i thought about ordering it in an xs, however, i could tell the xs was still going to hav"&amp;"e way too much fabric.  back it goes.")</f>
        <v>I usually wear a size xs or s in retailer tops, ordered this top in an s and it was so wide on the sides and huge it fit like a tent.  not even remotely flattering.  i thought about ordering it in an xs, however, i could tell the xs was still going to have way too much fabric.  back it goes.</v>
      </c>
      <c r="F1242" s="13">
        <f>IFERROR(__xludf.DUMMYFUNCTION("""COMPUTED_VALUE"""),1.0)</f>
        <v>1</v>
      </c>
      <c r="G1242" s="13">
        <f>IFERROR(__xludf.DUMMYFUNCTION("""COMPUTED_VALUE"""),0.0)</f>
        <v>0</v>
      </c>
      <c r="H1242" s="13">
        <f>IFERROR(__xludf.DUMMYFUNCTION("""COMPUTED_VALUE"""),0.0)</f>
        <v>0</v>
      </c>
      <c r="I1242" s="13" t="str">
        <f>IFERROR(__xludf.DUMMYFUNCTION("""COMPUTED_VALUE"""),"General")</f>
        <v>General</v>
      </c>
      <c r="J1242" s="13" t="str">
        <f>IFERROR(__xludf.DUMMYFUNCTION("""COMPUTED_VALUE"""),"Tops")</f>
        <v>Tops</v>
      </c>
      <c r="K1242" s="13" t="str">
        <f>IFERROR(__xludf.DUMMYFUNCTION("""COMPUTED_VALUE"""),"Knits")</f>
        <v>Knits</v>
      </c>
      <c r="L1242" s="13"/>
    </row>
    <row r="1243">
      <c r="A1243" s="13">
        <f>IFERROR(__xludf.DUMMYFUNCTION("""COMPUTED_VALUE"""),1241.0)</f>
        <v>1241</v>
      </c>
      <c r="B1243" s="13">
        <f>IFERROR(__xludf.DUMMYFUNCTION("""COMPUTED_VALUE"""),850.0)</f>
        <v>850</v>
      </c>
      <c r="C1243" s="13">
        <f>IFERROR(__xludf.DUMMYFUNCTION("""COMPUTED_VALUE"""),50.0)</f>
        <v>50</v>
      </c>
      <c r="D1243" s="12"/>
      <c r="E1243" s="12" t="str">
        <f>IFERROR(__xludf.DUMMYFUNCTION("""COMPUTED_VALUE"""),"I initially purchased this shirt in the grey motif color, size l (my usual size, i'm 5'8"" size 14). unfortunately i found the shirt very roomy, but loved the pattern and style. so i ordered a medium and much to my surprise it fit much better. i'm very ha"&amp;"ppy with my purchase.")</f>
        <v>I initially purchased this shirt in the grey motif color, size l (my usual size, i'm 5'8" size 14). unfortunately i found the shirt very roomy, but loved the pattern and style. so i ordered a medium and much to my surprise it fit much better. i'm very happy with my purchase.</v>
      </c>
      <c r="F1243" s="13">
        <f>IFERROR(__xludf.DUMMYFUNCTION("""COMPUTED_VALUE"""),5.0)</f>
        <v>5</v>
      </c>
      <c r="G1243" s="13">
        <f>IFERROR(__xludf.DUMMYFUNCTION("""COMPUTED_VALUE"""),1.0)</f>
        <v>1</v>
      </c>
      <c r="H1243" s="13">
        <f>IFERROR(__xludf.DUMMYFUNCTION("""COMPUTED_VALUE"""),1.0)</f>
        <v>1</v>
      </c>
      <c r="I1243" s="13" t="str">
        <f>IFERROR(__xludf.DUMMYFUNCTION("""COMPUTED_VALUE"""),"General Petite")</f>
        <v>General Petite</v>
      </c>
      <c r="J1243" s="13" t="str">
        <f>IFERROR(__xludf.DUMMYFUNCTION("""COMPUTED_VALUE"""),"Tops")</f>
        <v>Tops</v>
      </c>
      <c r="K1243" s="13" t="str">
        <f>IFERROR(__xludf.DUMMYFUNCTION("""COMPUTED_VALUE"""),"Blouses")</f>
        <v>Blouses</v>
      </c>
      <c r="L1243" s="13"/>
    </row>
    <row r="1244">
      <c r="A1244" s="13">
        <f>IFERROR(__xludf.DUMMYFUNCTION("""COMPUTED_VALUE"""),1242.0)</f>
        <v>1242</v>
      </c>
      <c r="B1244" s="13">
        <f>IFERROR(__xludf.DUMMYFUNCTION("""COMPUTED_VALUE"""),1094.0)</f>
        <v>1094</v>
      </c>
      <c r="C1244" s="13">
        <f>IFERROR(__xludf.DUMMYFUNCTION("""COMPUTED_VALUE"""),44.0)</f>
        <v>44</v>
      </c>
      <c r="D1244" s="12" t="str">
        <f>IFERROR(__xludf.DUMMYFUNCTION("""COMPUTED_VALUE"""),"New year party dress")</f>
        <v>New year party dress</v>
      </c>
      <c r="E1244" s="12" t="str">
        <f>IFERROR(__xludf.DUMMYFUNCTION("""COMPUTED_VALUE"""),"I bought the dress in black. it is very elegant with a fun flare, suits my taste. it does run a size too small like other reviewer mentioned. the material has no give at all. i couldn't breathe in my regular size. one size up fits like a glove. it is a pe"&amp;"rfect party dress to show your free and fun spirit!")</f>
        <v>I bought the dress in black. it is very elegant with a fun flare, suits my taste. it does run a size too small like other reviewer mentioned. the material has no give at all. i couldn't breathe in my regular size. one size up fits like a glove. it is a perfect party dress to show your free and fun spirit!</v>
      </c>
      <c r="F1244" s="13">
        <f>IFERROR(__xludf.DUMMYFUNCTION("""COMPUTED_VALUE"""),5.0)</f>
        <v>5</v>
      </c>
      <c r="G1244" s="13">
        <f>IFERROR(__xludf.DUMMYFUNCTION("""COMPUTED_VALUE"""),1.0)</f>
        <v>1</v>
      </c>
      <c r="H1244" s="13">
        <f>IFERROR(__xludf.DUMMYFUNCTION("""COMPUTED_VALUE"""),0.0)</f>
        <v>0</v>
      </c>
      <c r="I1244" s="13" t="str">
        <f>IFERROR(__xludf.DUMMYFUNCTION("""COMPUTED_VALUE"""),"General")</f>
        <v>General</v>
      </c>
      <c r="J1244" s="13" t="str">
        <f>IFERROR(__xludf.DUMMYFUNCTION("""COMPUTED_VALUE"""),"Dresses")</f>
        <v>Dresses</v>
      </c>
      <c r="K1244" s="13" t="str">
        <f>IFERROR(__xludf.DUMMYFUNCTION("""COMPUTED_VALUE"""),"Dresses")</f>
        <v>Dresses</v>
      </c>
      <c r="L1244" s="13"/>
    </row>
    <row r="1245">
      <c r="A1245" s="13">
        <f>IFERROR(__xludf.DUMMYFUNCTION("""COMPUTED_VALUE"""),1243.0)</f>
        <v>1243</v>
      </c>
      <c r="B1245" s="13">
        <f>IFERROR(__xludf.DUMMYFUNCTION("""COMPUTED_VALUE"""),979.0)</f>
        <v>979</v>
      </c>
      <c r="C1245" s="13">
        <f>IFERROR(__xludf.DUMMYFUNCTION("""COMPUTED_VALUE"""),63.0)</f>
        <v>63</v>
      </c>
      <c r="D1245" s="12" t="str">
        <f>IFERROR(__xludf.DUMMYFUNCTION("""COMPUTED_VALUE"""),"Wonderful!")</f>
        <v>Wonderful!</v>
      </c>
      <c r="E1245" s="12" t="str">
        <f>IFERROR(__xludf.DUMMYFUNCTION("""COMPUTED_VALUE"""),"I agree with the previous comments. the vest runs a little large, so you can easily size down for a more form-fitting fit. it is so soft and the colors are lovely ... will be a welcome addition when the weather turns a little cooler. i am so glad i purcha"&amp;"sed this vest!")</f>
        <v>I agree with the previous comments. the vest runs a little large, so you can easily size down for a more form-fitting fit. it is so soft and the colors are lovely ... will be a welcome addition when the weather turns a little cooler. i am so glad i purchased this vest!</v>
      </c>
      <c r="F1245" s="13">
        <f>IFERROR(__xludf.DUMMYFUNCTION("""COMPUTED_VALUE"""),5.0)</f>
        <v>5</v>
      </c>
      <c r="G1245" s="13">
        <f>IFERROR(__xludf.DUMMYFUNCTION("""COMPUTED_VALUE"""),1.0)</f>
        <v>1</v>
      </c>
      <c r="H1245" s="13">
        <f>IFERROR(__xludf.DUMMYFUNCTION("""COMPUTED_VALUE"""),1.0)</f>
        <v>1</v>
      </c>
      <c r="I1245" s="13" t="str">
        <f>IFERROR(__xludf.DUMMYFUNCTION("""COMPUTED_VALUE"""),"General")</f>
        <v>General</v>
      </c>
      <c r="J1245" s="13" t="str">
        <f>IFERROR(__xludf.DUMMYFUNCTION("""COMPUTED_VALUE"""),"Jackets")</f>
        <v>Jackets</v>
      </c>
      <c r="K1245" s="13" t="str">
        <f>IFERROR(__xludf.DUMMYFUNCTION("""COMPUTED_VALUE"""),"Jackets")</f>
        <v>Jackets</v>
      </c>
      <c r="L1245" s="13"/>
    </row>
    <row r="1246">
      <c r="A1246" s="13">
        <f>IFERROR(__xludf.DUMMYFUNCTION("""COMPUTED_VALUE"""),1244.0)</f>
        <v>1244</v>
      </c>
      <c r="B1246" s="13">
        <f>IFERROR(__xludf.DUMMYFUNCTION("""COMPUTED_VALUE"""),979.0)</f>
        <v>979</v>
      </c>
      <c r="C1246" s="13">
        <f>IFERROR(__xludf.DUMMYFUNCTION("""COMPUTED_VALUE"""),61.0)</f>
        <v>61</v>
      </c>
      <c r="D1246" s="12" t="str">
        <f>IFERROR(__xludf.DUMMYFUNCTION("""COMPUTED_VALUE"""),"Soft, warm and stylish!")</f>
        <v>Soft, warm and stylish!</v>
      </c>
      <c r="E1246" s="12" t="str">
        <f>IFERROR(__xludf.DUMMYFUNCTION("""COMPUTED_VALUE"""),"Fit great - maybe a bit large....i bought a l (typically i go between a large and extra large) and there is room to put a thick sweater on underneath it.  this goes with just about everything!")</f>
        <v>Fit great - maybe a bit large....i bought a l (typically i go between a large and extra large) and there is room to put a thick sweater on underneath it.  this goes with just about everything!</v>
      </c>
      <c r="F1246" s="13">
        <f>IFERROR(__xludf.DUMMYFUNCTION("""COMPUTED_VALUE"""),5.0)</f>
        <v>5</v>
      </c>
      <c r="G1246" s="13">
        <f>IFERROR(__xludf.DUMMYFUNCTION("""COMPUTED_VALUE"""),1.0)</f>
        <v>1</v>
      </c>
      <c r="H1246" s="13">
        <f>IFERROR(__xludf.DUMMYFUNCTION("""COMPUTED_VALUE"""),0.0)</f>
        <v>0</v>
      </c>
      <c r="I1246" s="13" t="str">
        <f>IFERROR(__xludf.DUMMYFUNCTION("""COMPUTED_VALUE"""),"General")</f>
        <v>General</v>
      </c>
      <c r="J1246" s="13" t="str">
        <f>IFERROR(__xludf.DUMMYFUNCTION("""COMPUTED_VALUE"""),"Jackets")</f>
        <v>Jackets</v>
      </c>
      <c r="K1246" s="13" t="str">
        <f>IFERROR(__xludf.DUMMYFUNCTION("""COMPUTED_VALUE"""),"Jackets")</f>
        <v>Jackets</v>
      </c>
      <c r="L1246" s="13"/>
    </row>
    <row r="1247">
      <c r="A1247" s="13">
        <f>IFERROR(__xludf.DUMMYFUNCTION("""COMPUTED_VALUE"""),1245.0)</f>
        <v>1245</v>
      </c>
      <c r="B1247" s="13">
        <f>IFERROR(__xludf.DUMMYFUNCTION("""COMPUTED_VALUE"""),850.0)</f>
        <v>850</v>
      </c>
      <c r="C1247" s="13">
        <f>IFERROR(__xludf.DUMMYFUNCTION("""COMPUTED_VALUE"""),55.0)</f>
        <v>55</v>
      </c>
      <c r="D1247" s="12" t="str">
        <f>IFERROR(__xludf.DUMMYFUNCTION("""COMPUTED_VALUE"""),"Darling top- runs large and long!")</f>
        <v>Darling top- runs large and long!</v>
      </c>
      <c r="E1247" s="12" t="str">
        <f>IFERROR(__xludf.DUMMYFUNCTION("""COMPUTED_VALUE"""),"I am a solid size 6 in most brands, top and bottom, 5'3"" tall, 125#. i have long legs, short torso, and fairly broad shoulders - i almost never wear petite sizes.however, this top in the regular small size could be a maternity dress on me! i am literally"&amp;" swimming in it, and it is quite long. however, i can still make it work, with a cami underneath and leggings or skinny jeans... i like it, did not return, and will buy another color, but will go with petite x-small in the future.")</f>
        <v>I am a solid size 6 in most brands, top and bottom, 5'3" tall, 125#. i have long legs, short torso, and fairly broad shoulders - i almost never wear petite sizes.however, this top in the regular small size could be a maternity dress on me! i am literally swimming in it, and it is quite long. however, i can still make it work, with a cami underneath and leggings or skinny jeans... i like it, did not return, and will buy another color, but will go with petite x-small in the future.</v>
      </c>
      <c r="F1247" s="13">
        <f>IFERROR(__xludf.DUMMYFUNCTION("""COMPUTED_VALUE"""),4.0)</f>
        <v>4</v>
      </c>
      <c r="G1247" s="13">
        <f>IFERROR(__xludf.DUMMYFUNCTION("""COMPUTED_VALUE"""),1.0)</f>
        <v>1</v>
      </c>
      <c r="H1247" s="13">
        <f>IFERROR(__xludf.DUMMYFUNCTION("""COMPUTED_VALUE"""),0.0)</f>
        <v>0</v>
      </c>
      <c r="I1247" s="13" t="str">
        <f>IFERROR(__xludf.DUMMYFUNCTION("""COMPUTED_VALUE"""),"General Petite")</f>
        <v>General Petite</v>
      </c>
      <c r="J1247" s="13" t="str">
        <f>IFERROR(__xludf.DUMMYFUNCTION("""COMPUTED_VALUE"""),"Tops")</f>
        <v>Tops</v>
      </c>
      <c r="K1247" s="13" t="str">
        <f>IFERROR(__xludf.DUMMYFUNCTION("""COMPUTED_VALUE"""),"Blouses")</f>
        <v>Blouses</v>
      </c>
      <c r="L1247" s="13"/>
    </row>
    <row r="1248">
      <c r="A1248" s="13">
        <f>IFERROR(__xludf.DUMMYFUNCTION("""COMPUTED_VALUE"""),1246.0)</f>
        <v>1246</v>
      </c>
      <c r="B1248" s="13">
        <f>IFERROR(__xludf.DUMMYFUNCTION("""COMPUTED_VALUE"""),850.0)</f>
        <v>850</v>
      </c>
      <c r="C1248" s="13">
        <f>IFERROR(__xludf.DUMMYFUNCTION("""COMPUTED_VALUE"""),29.0)</f>
        <v>29</v>
      </c>
      <c r="D1248" s="12"/>
      <c r="E1248" s="12" t="str">
        <f>IFERROR(__xludf.DUMMYFUNCTION("""COMPUTED_VALUE"""),"This top is such a great color and style. i did have to go a size down, as i typically wear a medium. the style is very forgiving. it looks great with shorts and jeans! it's staple!")</f>
        <v>This top is such a great color and style. i did have to go a size down, as i typically wear a medium. the style is very forgiving. it looks great with shorts and jeans! it's staple!</v>
      </c>
      <c r="F1248" s="13">
        <f>IFERROR(__xludf.DUMMYFUNCTION("""COMPUTED_VALUE"""),4.0)</f>
        <v>4</v>
      </c>
      <c r="G1248" s="13">
        <f>IFERROR(__xludf.DUMMYFUNCTION("""COMPUTED_VALUE"""),1.0)</f>
        <v>1</v>
      </c>
      <c r="H1248" s="13">
        <f>IFERROR(__xludf.DUMMYFUNCTION("""COMPUTED_VALUE"""),0.0)</f>
        <v>0</v>
      </c>
      <c r="I1248" s="13" t="str">
        <f>IFERROR(__xludf.DUMMYFUNCTION("""COMPUTED_VALUE"""),"General Petite")</f>
        <v>General Petite</v>
      </c>
      <c r="J1248" s="13" t="str">
        <f>IFERROR(__xludf.DUMMYFUNCTION("""COMPUTED_VALUE"""),"Tops")</f>
        <v>Tops</v>
      </c>
      <c r="K1248" s="13" t="str">
        <f>IFERROR(__xludf.DUMMYFUNCTION("""COMPUTED_VALUE"""),"Blouses")</f>
        <v>Blouses</v>
      </c>
      <c r="L1248" s="13"/>
    </row>
    <row r="1249">
      <c r="A1249" s="13">
        <f>IFERROR(__xludf.DUMMYFUNCTION("""COMPUTED_VALUE"""),1247.0)</f>
        <v>1247</v>
      </c>
      <c r="B1249" s="13">
        <f>IFERROR(__xludf.DUMMYFUNCTION("""COMPUTED_VALUE"""),850.0)</f>
        <v>850</v>
      </c>
      <c r="C1249" s="13">
        <f>IFERROR(__xludf.DUMMYFUNCTION("""COMPUTED_VALUE"""),51.0)</f>
        <v>51</v>
      </c>
      <c r="D1249" s="12" t="str">
        <f>IFERROR(__xludf.DUMMYFUNCTION("""COMPUTED_VALUE"""),"This top is really cute")</f>
        <v>This top is really cute</v>
      </c>
      <c r="E1249" s="12" t="str">
        <f>IFERROR(__xludf.DUMMYFUNCTION("""COMPUTED_VALUE"""),"I just bought this top yesterday in the yellow. i can't wait until it warms up a little more to wear it. it's very comfortable and very cute. i did have to size down. i may get one of the other prints as well.")</f>
        <v>I just bought this top yesterday in the yellow. i can't wait until it warms up a little more to wear it. it's very comfortable and very cute. i did have to size down. i may get one of the other prints as well.</v>
      </c>
      <c r="F1249" s="13">
        <f>IFERROR(__xludf.DUMMYFUNCTION("""COMPUTED_VALUE"""),5.0)</f>
        <v>5</v>
      </c>
      <c r="G1249" s="13">
        <f>IFERROR(__xludf.DUMMYFUNCTION("""COMPUTED_VALUE"""),1.0)</f>
        <v>1</v>
      </c>
      <c r="H1249" s="13">
        <f>IFERROR(__xludf.DUMMYFUNCTION("""COMPUTED_VALUE"""),0.0)</f>
        <v>0</v>
      </c>
      <c r="I1249" s="13" t="str">
        <f>IFERROR(__xludf.DUMMYFUNCTION("""COMPUTED_VALUE"""),"General Petite")</f>
        <v>General Petite</v>
      </c>
      <c r="J1249" s="13" t="str">
        <f>IFERROR(__xludf.DUMMYFUNCTION("""COMPUTED_VALUE"""),"Tops")</f>
        <v>Tops</v>
      </c>
      <c r="K1249" s="13" t="str">
        <f>IFERROR(__xludf.DUMMYFUNCTION("""COMPUTED_VALUE"""),"Blouses")</f>
        <v>Blouses</v>
      </c>
      <c r="L1249" s="13"/>
    </row>
    <row r="1250">
      <c r="A1250" s="13">
        <f>IFERROR(__xludf.DUMMYFUNCTION("""COMPUTED_VALUE"""),1248.0)</f>
        <v>1248</v>
      </c>
      <c r="B1250" s="13">
        <f>IFERROR(__xludf.DUMMYFUNCTION("""COMPUTED_VALUE"""),850.0)</f>
        <v>850</v>
      </c>
      <c r="C1250" s="13">
        <f>IFERROR(__xludf.DUMMYFUNCTION("""COMPUTED_VALUE"""),46.0)</f>
        <v>46</v>
      </c>
      <c r="D1250" s="12" t="str">
        <f>IFERROR(__xludf.DUMMYFUNCTION("""COMPUTED_VALUE"""),"Xl fits great")</f>
        <v>Xl fits great</v>
      </c>
      <c r="E1250" s="12" t="str">
        <f>IFERROR(__xludf.DUMMYFUNCTION("""COMPUTED_VALUE"""),"I ordered the yellow/floral version in size xl. it fits me just as shown with the model so it's true to size. it's very comfortable and made well. the floral looks the same in person as in the photos too.")</f>
        <v>I ordered the yellow/floral version in size xl. it fits me just as shown with the model so it's true to size. it's very comfortable and made well. the floral looks the same in person as in the photos too.</v>
      </c>
      <c r="F1250" s="13">
        <f>IFERROR(__xludf.DUMMYFUNCTION("""COMPUTED_VALUE"""),5.0)</f>
        <v>5</v>
      </c>
      <c r="G1250" s="13">
        <f>IFERROR(__xludf.DUMMYFUNCTION("""COMPUTED_VALUE"""),1.0)</f>
        <v>1</v>
      </c>
      <c r="H1250" s="13">
        <f>IFERROR(__xludf.DUMMYFUNCTION("""COMPUTED_VALUE"""),0.0)</f>
        <v>0</v>
      </c>
      <c r="I1250" s="13" t="str">
        <f>IFERROR(__xludf.DUMMYFUNCTION("""COMPUTED_VALUE"""),"General Petite")</f>
        <v>General Petite</v>
      </c>
      <c r="J1250" s="13" t="str">
        <f>IFERROR(__xludf.DUMMYFUNCTION("""COMPUTED_VALUE"""),"Tops")</f>
        <v>Tops</v>
      </c>
      <c r="K1250" s="13" t="str">
        <f>IFERROR(__xludf.DUMMYFUNCTION("""COMPUTED_VALUE"""),"Blouses")</f>
        <v>Blouses</v>
      </c>
      <c r="L1250" s="13"/>
    </row>
    <row r="1251">
      <c r="A1251" s="13">
        <f>IFERROR(__xludf.DUMMYFUNCTION("""COMPUTED_VALUE"""),1249.0)</f>
        <v>1249</v>
      </c>
      <c r="B1251" s="13">
        <f>IFERROR(__xludf.DUMMYFUNCTION("""COMPUTED_VALUE"""),1095.0)</f>
        <v>1095</v>
      </c>
      <c r="C1251" s="13">
        <f>IFERROR(__xludf.DUMMYFUNCTION("""COMPUTED_VALUE"""),41.0)</f>
        <v>41</v>
      </c>
      <c r="D1251" s="12" t="str">
        <f>IFERROR(__xludf.DUMMYFUNCTION("""COMPUTED_VALUE"""),"European flair")</f>
        <v>European flair</v>
      </c>
      <c r="E1251" s="12" t="str">
        <f>IFERROR(__xludf.DUMMYFUNCTION("""COMPUTED_VALUE"""),"I love this dress!! it has a beautiful european flair, and more beautiful in person. i don't agree with the other reviewers that its see through-the fabric is a good quality, and thicker than you would think. the variable length is the best part of the dr"&amp;"ess. the color looks beautiful with a tan summer glow!")</f>
        <v>I love this dress!! it has a beautiful european flair, and more beautiful in person. i don't agree with the other reviewers that its see through-the fabric is a good quality, and thicker than you would think. the variable length is the best part of the dress. the color looks beautiful with a tan summer glow!</v>
      </c>
      <c r="F1251" s="13">
        <f>IFERROR(__xludf.DUMMYFUNCTION("""COMPUTED_VALUE"""),5.0)</f>
        <v>5</v>
      </c>
      <c r="G1251" s="13">
        <f>IFERROR(__xludf.DUMMYFUNCTION("""COMPUTED_VALUE"""),1.0)</f>
        <v>1</v>
      </c>
      <c r="H1251" s="13">
        <f>IFERROR(__xludf.DUMMYFUNCTION("""COMPUTED_VALUE"""),0.0)</f>
        <v>0</v>
      </c>
      <c r="I1251" s="13" t="str">
        <f>IFERROR(__xludf.DUMMYFUNCTION("""COMPUTED_VALUE"""),"General")</f>
        <v>General</v>
      </c>
      <c r="J1251" s="13" t="str">
        <f>IFERROR(__xludf.DUMMYFUNCTION("""COMPUTED_VALUE"""),"Dresses")</f>
        <v>Dresses</v>
      </c>
      <c r="K1251" s="13" t="str">
        <f>IFERROR(__xludf.DUMMYFUNCTION("""COMPUTED_VALUE"""),"Dresses")</f>
        <v>Dresses</v>
      </c>
      <c r="L1251" s="13"/>
    </row>
    <row r="1252">
      <c r="A1252" s="13">
        <f>IFERROR(__xludf.DUMMYFUNCTION("""COMPUTED_VALUE"""),1250.0)</f>
        <v>1250</v>
      </c>
      <c r="B1252" s="13">
        <f>IFERROR(__xludf.DUMMYFUNCTION("""COMPUTED_VALUE"""),850.0)</f>
        <v>850</v>
      </c>
      <c r="C1252" s="13">
        <f>IFERROR(__xludf.DUMMYFUNCTION("""COMPUTED_VALUE"""),59.0)</f>
        <v>59</v>
      </c>
      <c r="D1252" s="12" t="str">
        <f>IFERROR(__xludf.DUMMYFUNCTION("""COMPUTED_VALUE"""),"Cute summer top")</f>
        <v>Cute summer top</v>
      </c>
      <c r="E1252" s="12" t="str">
        <f>IFERROR(__xludf.DUMMYFUNCTION("""COMPUTED_VALUE"""),"Got the flower print and it is really a nice top. covers the butt!. i normally need a xl, but in this top i got a large.")</f>
        <v>Got the flower print and it is really a nice top. covers the butt!. i normally need a xl, but in this top i got a large.</v>
      </c>
      <c r="F1252" s="13">
        <f>IFERROR(__xludf.DUMMYFUNCTION("""COMPUTED_VALUE"""),5.0)</f>
        <v>5</v>
      </c>
      <c r="G1252" s="13">
        <f>IFERROR(__xludf.DUMMYFUNCTION("""COMPUTED_VALUE"""),1.0)</f>
        <v>1</v>
      </c>
      <c r="H1252" s="13">
        <f>IFERROR(__xludf.DUMMYFUNCTION("""COMPUTED_VALUE"""),1.0)</f>
        <v>1</v>
      </c>
      <c r="I1252" s="13" t="str">
        <f>IFERROR(__xludf.DUMMYFUNCTION("""COMPUTED_VALUE"""),"General Petite")</f>
        <v>General Petite</v>
      </c>
      <c r="J1252" s="13" t="str">
        <f>IFERROR(__xludf.DUMMYFUNCTION("""COMPUTED_VALUE"""),"Tops")</f>
        <v>Tops</v>
      </c>
      <c r="K1252" s="13" t="str">
        <f>IFERROR(__xludf.DUMMYFUNCTION("""COMPUTED_VALUE"""),"Blouses")</f>
        <v>Blouses</v>
      </c>
      <c r="L1252" s="13"/>
    </row>
    <row r="1253">
      <c r="A1253" s="13">
        <f>IFERROR(__xludf.DUMMYFUNCTION("""COMPUTED_VALUE"""),1251.0)</f>
        <v>1251</v>
      </c>
      <c r="B1253" s="13">
        <f>IFERROR(__xludf.DUMMYFUNCTION("""COMPUTED_VALUE"""),940.0)</f>
        <v>940</v>
      </c>
      <c r="C1253" s="13">
        <f>IFERROR(__xludf.DUMMYFUNCTION("""COMPUTED_VALUE"""),39.0)</f>
        <v>39</v>
      </c>
      <c r="D1253" s="12" t="str">
        <f>IFERROR(__xludf.DUMMYFUNCTION("""COMPUTED_VALUE"""),"Beautiful and versatile, but big...")</f>
        <v>Beautiful and versatile, but big...</v>
      </c>
      <c r="E1253" s="12" t="str">
        <f>IFERROR(__xludf.DUMMYFUNCTION("""COMPUTED_VALUE"""),"I love the idea, and color, very flattrering and easy to trhrow on, however, i need the petite in this one, and they sold out in the neutral color. it looks too big in eregular sizing, and since it combines xs/s, it is made slightly bigger. material is so"&amp;"ft enough.")</f>
        <v>I love the idea, and color, very flattrering and easy to trhrow on, however, i need the petite in this one, and they sold out in the neutral color. it looks too big in eregular sizing, and since it combines xs/s, it is made slightly bigger. material is soft enough.</v>
      </c>
      <c r="F1253" s="13">
        <f>IFERROR(__xludf.DUMMYFUNCTION("""COMPUTED_VALUE"""),4.0)</f>
        <v>4</v>
      </c>
      <c r="G1253" s="13">
        <f>IFERROR(__xludf.DUMMYFUNCTION("""COMPUTED_VALUE"""),1.0)</f>
        <v>1</v>
      </c>
      <c r="H1253" s="13">
        <f>IFERROR(__xludf.DUMMYFUNCTION("""COMPUTED_VALUE"""),0.0)</f>
        <v>0</v>
      </c>
      <c r="I1253" s="13" t="str">
        <f>IFERROR(__xludf.DUMMYFUNCTION("""COMPUTED_VALUE"""),"General Petite")</f>
        <v>General Petite</v>
      </c>
      <c r="J1253" s="13" t="str">
        <f>IFERROR(__xludf.DUMMYFUNCTION("""COMPUTED_VALUE"""),"Tops")</f>
        <v>Tops</v>
      </c>
      <c r="K1253" s="13" t="str">
        <f>IFERROR(__xludf.DUMMYFUNCTION("""COMPUTED_VALUE"""),"Sweaters")</f>
        <v>Sweaters</v>
      </c>
      <c r="L1253" s="13"/>
    </row>
    <row r="1254">
      <c r="A1254" s="13">
        <f>IFERROR(__xludf.DUMMYFUNCTION("""COMPUTED_VALUE"""),1252.0)</f>
        <v>1252</v>
      </c>
      <c r="B1254" s="13">
        <f>IFERROR(__xludf.DUMMYFUNCTION("""COMPUTED_VALUE"""),850.0)</f>
        <v>850</v>
      </c>
      <c r="C1254" s="13">
        <f>IFERROR(__xludf.DUMMYFUNCTION("""COMPUTED_VALUE"""),28.0)</f>
        <v>28</v>
      </c>
      <c r="D1254" s="12" t="str">
        <f>IFERROR(__xludf.DUMMYFUNCTION("""COMPUTED_VALUE"""),"Runs large - order down!")</f>
        <v>Runs large - order down!</v>
      </c>
      <c r="E1254" s="12" t="str">
        <f>IFERROR(__xludf.DUMMYFUNCTION("""COMPUTED_VALUE"""),"I received this in the mail a few days ago, and was so pleased with it except that it was huge! i am normally a 10/12 in most things so i ordered a large. i was swimming in it in all areas - shoulders and bust bothered me most because i need a waist on sh"&amp;"irts so i don't look larger than i am. i liked it enough to o ahead and order a size down. i ordered a medium and medium petite because the top is quite long and i think i could get away with wearing it with leggings or tights if i were looking")</f>
        <v>I received this in the mail a few days ago, and was so pleased with it except that it was huge! i am normally a 10/12 in most things so i ordered a large. i was swimming in it in all areas - shoulders and bust bothered me most because i need a waist on shirts so i don't look larger than i am. i liked it enough to o ahead and order a size down. i ordered a medium and medium petite because the top is quite long and i think i could get away with wearing it with leggings or tights if i were looking</v>
      </c>
      <c r="F1254" s="13">
        <f>IFERROR(__xludf.DUMMYFUNCTION("""COMPUTED_VALUE"""),4.0)</f>
        <v>4</v>
      </c>
      <c r="G1254" s="13">
        <f>IFERROR(__xludf.DUMMYFUNCTION("""COMPUTED_VALUE"""),1.0)</f>
        <v>1</v>
      </c>
      <c r="H1254" s="13">
        <f>IFERROR(__xludf.DUMMYFUNCTION("""COMPUTED_VALUE"""),11.0)</f>
        <v>11</v>
      </c>
      <c r="I1254" s="13" t="str">
        <f>IFERROR(__xludf.DUMMYFUNCTION("""COMPUTED_VALUE"""),"General Petite")</f>
        <v>General Petite</v>
      </c>
      <c r="J1254" s="13" t="str">
        <f>IFERROR(__xludf.DUMMYFUNCTION("""COMPUTED_VALUE"""),"Tops")</f>
        <v>Tops</v>
      </c>
      <c r="K1254" s="13" t="str">
        <f>IFERROR(__xludf.DUMMYFUNCTION("""COMPUTED_VALUE"""),"Blouses")</f>
        <v>Blouses</v>
      </c>
      <c r="L1254" s="13"/>
    </row>
    <row r="1255">
      <c r="A1255" s="13">
        <f>IFERROR(__xludf.DUMMYFUNCTION("""COMPUTED_VALUE"""),1253.0)</f>
        <v>1253</v>
      </c>
      <c r="B1255" s="13">
        <f>IFERROR(__xludf.DUMMYFUNCTION("""COMPUTED_VALUE"""),850.0)</f>
        <v>850</v>
      </c>
      <c r="C1255" s="13">
        <f>IFERROR(__xludf.DUMMYFUNCTION("""COMPUTED_VALUE"""),52.0)</f>
        <v>52</v>
      </c>
      <c r="D1255" s="12" t="str">
        <f>IFERROR(__xludf.DUMMYFUNCTION("""COMPUTED_VALUE"""),"Adorable")</f>
        <v>Adorable</v>
      </c>
      <c r="E1255" s="12" t="str">
        <f>IFERROR(__xludf.DUMMYFUNCTION("""COMPUTED_VALUE"""),"I have received so many compliments on this top. it really looks exactly like it does on the model, and i'm not as thin as she is. i am 5'5"" and 134 lbs,, small on top, and bought the small in this top. the v-neck is very flattering and is hangs so nicel"&amp;"y that it does not make me look hippy. looks great from all views. i paired it with white pencil pants and wedge heels. also, the black lace detail down the sides looked great when i paired it with black yoga pants and flip flops. the colors are")</f>
        <v>I have received so many compliments on this top. it really looks exactly like it does on the model, and i'm not as thin as she is. i am 5'5" and 134 lbs,, small on top, and bought the small in this top. the v-neck is very flattering and is hangs so nicely that it does not make me look hippy. looks great from all views. i paired it with white pencil pants and wedge heels. also, the black lace detail down the sides looked great when i paired it with black yoga pants and flip flops. the colors are</v>
      </c>
      <c r="F1255" s="13">
        <f>IFERROR(__xludf.DUMMYFUNCTION("""COMPUTED_VALUE"""),5.0)</f>
        <v>5</v>
      </c>
      <c r="G1255" s="13">
        <f>IFERROR(__xludf.DUMMYFUNCTION("""COMPUTED_VALUE"""),1.0)</f>
        <v>1</v>
      </c>
      <c r="H1255" s="13">
        <f>IFERROR(__xludf.DUMMYFUNCTION("""COMPUTED_VALUE"""),1.0)</f>
        <v>1</v>
      </c>
      <c r="I1255" s="13" t="str">
        <f>IFERROR(__xludf.DUMMYFUNCTION("""COMPUTED_VALUE"""),"General Petite")</f>
        <v>General Petite</v>
      </c>
      <c r="J1255" s="13" t="str">
        <f>IFERROR(__xludf.DUMMYFUNCTION("""COMPUTED_VALUE"""),"Tops")</f>
        <v>Tops</v>
      </c>
      <c r="K1255" s="13" t="str">
        <f>IFERROR(__xludf.DUMMYFUNCTION("""COMPUTED_VALUE"""),"Blouses")</f>
        <v>Blouses</v>
      </c>
      <c r="L1255" s="13"/>
    </row>
    <row r="1256">
      <c r="A1256" s="13">
        <f>IFERROR(__xludf.DUMMYFUNCTION("""COMPUTED_VALUE"""),1254.0)</f>
        <v>1254</v>
      </c>
      <c r="B1256" s="13">
        <f>IFERROR(__xludf.DUMMYFUNCTION("""COMPUTED_VALUE"""),850.0)</f>
        <v>850</v>
      </c>
      <c r="C1256" s="13">
        <f>IFERROR(__xludf.DUMMYFUNCTION("""COMPUTED_VALUE"""),49.0)</f>
        <v>49</v>
      </c>
      <c r="D1256" s="12" t="str">
        <f>IFERROR(__xludf.DUMMYFUNCTION("""COMPUTED_VALUE"""),"Flattering, comfy top")</f>
        <v>Flattering, comfy top</v>
      </c>
      <c r="E1256" s="12" t="str">
        <f>IFERROR(__xludf.DUMMYFUNCTION("""COMPUTED_VALUE"""),"Everyone has said it, so i'll just add my two cents - this is a great, soft, flattering top. i bought two, one in white and one in black, and i have never worn them without getting compliments. i sometimes wear them buttoned up, and sometimes completely u"&amp;"nbuttoned to expose tanks or bathing suits. (i live in florida, and these tops make great beach cover ups). i am 5'7"" and over 160 but not busty, and the medium was swimming on me, but i think this particular shirt is supposed to be that way. su")</f>
        <v>Everyone has said it, so i'll just add my two cents - this is a great, soft, flattering top. i bought two, one in white and one in black, and i have never worn them without getting compliments. i sometimes wear them buttoned up, and sometimes completely unbuttoned to expose tanks or bathing suits. (i live in florida, and these tops make great beach cover ups). i am 5'7" and over 160 but not busty, and the medium was swimming on me, but i think this particular shirt is supposed to be that way. su</v>
      </c>
      <c r="F1256" s="13">
        <f>IFERROR(__xludf.DUMMYFUNCTION("""COMPUTED_VALUE"""),4.0)</f>
        <v>4</v>
      </c>
      <c r="G1256" s="13">
        <f>IFERROR(__xludf.DUMMYFUNCTION("""COMPUTED_VALUE"""),1.0)</f>
        <v>1</v>
      </c>
      <c r="H1256" s="13">
        <f>IFERROR(__xludf.DUMMYFUNCTION("""COMPUTED_VALUE"""),0.0)</f>
        <v>0</v>
      </c>
      <c r="I1256" s="13" t="str">
        <f>IFERROR(__xludf.DUMMYFUNCTION("""COMPUTED_VALUE"""),"General Petite")</f>
        <v>General Petite</v>
      </c>
      <c r="J1256" s="13" t="str">
        <f>IFERROR(__xludf.DUMMYFUNCTION("""COMPUTED_VALUE"""),"Tops")</f>
        <v>Tops</v>
      </c>
      <c r="K1256" s="13" t="str">
        <f>IFERROR(__xludf.DUMMYFUNCTION("""COMPUTED_VALUE"""),"Blouses")</f>
        <v>Blouses</v>
      </c>
      <c r="L1256" s="13"/>
    </row>
    <row r="1257">
      <c r="A1257" s="13">
        <f>IFERROR(__xludf.DUMMYFUNCTION("""COMPUTED_VALUE"""),1255.0)</f>
        <v>1255</v>
      </c>
      <c r="B1257" s="13">
        <f>IFERROR(__xludf.DUMMYFUNCTION("""COMPUTED_VALUE"""),1094.0)</f>
        <v>1094</v>
      </c>
      <c r="C1257" s="13">
        <f>IFERROR(__xludf.DUMMYFUNCTION("""COMPUTED_VALUE"""),35.0)</f>
        <v>35</v>
      </c>
      <c r="D1257" s="12" t="str">
        <f>IFERROR(__xludf.DUMMYFUNCTION("""COMPUTED_VALUE"""),"Amazing retro style")</f>
        <v>Amazing retro style</v>
      </c>
      <c r="E1257" s="12" t="str">
        <f>IFERROR(__xludf.DUMMYFUNCTION("""COMPUTED_VALUE"""),"Perfect party dress - well constructed, bra hidden at arms and on top, what more can you ask for? i felt like betty draper the moment i put it on. i'm normally a 6, but the 4 (while fitted) looked amazing and didn't pull.")</f>
        <v>Perfect party dress - well constructed, bra hidden at arms and on top, what more can you ask for? i felt like betty draper the moment i put it on. i'm normally a 6, but the 4 (while fitted) looked amazing and didn't pull.</v>
      </c>
      <c r="F1257" s="13">
        <f>IFERROR(__xludf.DUMMYFUNCTION("""COMPUTED_VALUE"""),5.0)</f>
        <v>5</v>
      </c>
      <c r="G1257" s="13">
        <f>IFERROR(__xludf.DUMMYFUNCTION("""COMPUTED_VALUE"""),1.0)</f>
        <v>1</v>
      </c>
      <c r="H1257" s="13">
        <f>IFERROR(__xludf.DUMMYFUNCTION("""COMPUTED_VALUE"""),0.0)</f>
        <v>0</v>
      </c>
      <c r="I1257" s="13" t="str">
        <f>IFERROR(__xludf.DUMMYFUNCTION("""COMPUTED_VALUE"""),"General")</f>
        <v>General</v>
      </c>
      <c r="J1257" s="13" t="str">
        <f>IFERROR(__xludf.DUMMYFUNCTION("""COMPUTED_VALUE"""),"Dresses")</f>
        <v>Dresses</v>
      </c>
      <c r="K1257" s="13" t="str">
        <f>IFERROR(__xludf.DUMMYFUNCTION("""COMPUTED_VALUE"""),"Dresses")</f>
        <v>Dresses</v>
      </c>
      <c r="L1257" s="13"/>
    </row>
    <row r="1258">
      <c r="A1258" s="13">
        <f>IFERROR(__xludf.DUMMYFUNCTION("""COMPUTED_VALUE"""),1256.0)</f>
        <v>1256</v>
      </c>
      <c r="B1258" s="13">
        <f>IFERROR(__xludf.DUMMYFUNCTION("""COMPUTED_VALUE"""),868.0)</f>
        <v>868</v>
      </c>
      <c r="C1258" s="13">
        <f>IFERROR(__xludf.DUMMYFUNCTION("""COMPUTED_VALUE"""),41.0)</f>
        <v>41</v>
      </c>
      <c r="D1258" s="12" t="str">
        <f>IFERROR(__xludf.DUMMYFUNCTION("""COMPUTED_VALUE"""),"Love it!")</f>
        <v>Love it!</v>
      </c>
      <c r="E1258" s="12" t="str">
        <f>IFERROR(__xludf.DUMMYFUNCTION("""COMPUTED_VALUE"""),"I love this shirt! it hides my tummy perfectly without being too baggy! super cute!!")</f>
        <v>I love this shirt! it hides my tummy perfectly without being too baggy! super cute!!</v>
      </c>
      <c r="F1258" s="13">
        <f>IFERROR(__xludf.DUMMYFUNCTION("""COMPUTED_VALUE"""),5.0)</f>
        <v>5</v>
      </c>
      <c r="G1258" s="13">
        <f>IFERROR(__xludf.DUMMYFUNCTION("""COMPUTED_VALUE"""),1.0)</f>
        <v>1</v>
      </c>
      <c r="H1258" s="13">
        <f>IFERROR(__xludf.DUMMYFUNCTION("""COMPUTED_VALUE"""),6.0)</f>
        <v>6</v>
      </c>
      <c r="I1258" s="13" t="str">
        <f>IFERROR(__xludf.DUMMYFUNCTION("""COMPUTED_VALUE"""),"General")</f>
        <v>General</v>
      </c>
      <c r="J1258" s="13" t="str">
        <f>IFERROR(__xludf.DUMMYFUNCTION("""COMPUTED_VALUE"""),"Tops")</f>
        <v>Tops</v>
      </c>
      <c r="K1258" s="13" t="str">
        <f>IFERROR(__xludf.DUMMYFUNCTION("""COMPUTED_VALUE"""),"Knits")</f>
        <v>Knits</v>
      </c>
      <c r="L1258" s="13"/>
    </row>
    <row r="1259">
      <c r="A1259" s="13">
        <f>IFERROR(__xludf.DUMMYFUNCTION("""COMPUTED_VALUE"""),1257.0)</f>
        <v>1257</v>
      </c>
      <c r="B1259" s="13">
        <f>IFERROR(__xludf.DUMMYFUNCTION("""COMPUTED_VALUE"""),850.0)</f>
        <v>850</v>
      </c>
      <c r="C1259" s="13">
        <f>IFERROR(__xludf.DUMMYFUNCTION("""COMPUTED_VALUE"""),36.0)</f>
        <v>36</v>
      </c>
      <c r="D1259" s="12" t="str">
        <f>IFERROR(__xludf.DUMMYFUNCTION("""COMPUTED_VALUE"""),"Wanted to love...")</f>
        <v>Wanted to love...</v>
      </c>
      <c r="E1259" s="12" t="str">
        <f>IFERROR(__xludf.DUMMYFUNCTION("""COMPUTED_VALUE"""),"I wanted to love this top, but it unfortunately did not work for me. the material has a nice weight and feel to it, and while i love the pattern, the shape leaves something to be desired. the cap sleeves were a little tight on my arms, and the cut of the "&amp;"sleeves made my arms look big. the body of this shirt reminded me of a loose maternity top. for reference, i am 5'10"" 140 lbs and typically a size 6. i wear a small in retailer clothes, and got a small in this top. i think an xs would have been to")</f>
        <v>I wanted to love this top, but it unfortunately did not work for me. the material has a nice weight and feel to it, and while i love the pattern, the shape leaves something to be desired. the cap sleeves were a little tight on my arms, and the cut of the sleeves made my arms look big. the body of this shirt reminded me of a loose maternity top. for reference, i am 5'10" 140 lbs and typically a size 6. i wear a small in retailer clothes, and got a small in this top. i think an xs would have been to</v>
      </c>
      <c r="F1259" s="13">
        <f>IFERROR(__xludf.DUMMYFUNCTION("""COMPUTED_VALUE"""),2.0)</f>
        <v>2</v>
      </c>
      <c r="G1259" s="13">
        <f>IFERROR(__xludf.DUMMYFUNCTION("""COMPUTED_VALUE"""),0.0)</f>
        <v>0</v>
      </c>
      <c r="H1259" s="13">
        <f>IFERROR(__xludf.DUMMYFUNCTION("""COMPUTED_VALUE"""),35.0)</f>
        <v>35</v>
      </c>
      <c r="I1259" s="13" t="str">
        <f>IFERROR(__xludf.DUMMYFUNCTION("""COMPUTED_VALUE"""),"General Petite")</f>
        <v>General Petite</v>
      </c>
      <c r="J1259" s="13" t="str">
        <f>IFERROR(__xludf.DUMMYFUNCTION("""COMPUTED_VALUE"""),"Tops")</f>
        <v>Tops</v>
      </c>
      <c r="K1259" s="13" t="str">
        <f>IFERROR(__xludf.DUMMYFUNCTION("""COMPUTED_VALUE"""),"Blouses")</f>
        <v>Blouses</v>
      </c>
      <c r="L1259" s="13"/>
    </row>
    <row r="1260">
      <c r="A1260" s="13">
        <f>IFERROR(__xludf.DUMMYFUNCTION("""COMPUTED_VALUE"""),1258.0)</f>
        <v>1258</v>
      </c>
      <c r="B1260" s="13">
        <f>IFERROR(__xludf.DUMMYFUNCTION("""COMPUTED_VALUE"""),850.0)</f>
        <v>850</v>
      </c>
      <c r="C1260" s="13">
        <f>IFERROR(__xludf.DUMMYFUNCTION("""COMPUTED_VALUE"""),73.0)</f>
        <v>73</v>
      </c>
      <c r="D1260" s="12" t="str">
        <f>IFERROR(__xludf.DUMMYFUNCTION("""COMPUTED_VALUE"""),"Wanted to love this")</f>
        <v>Wanted to love this</v>
      </c>
      <c r="E1260" s="12" t="str">
        <f>IFERROR(__xludf.DUMMYFUNCTION("""COMPUTED_VALUE"""),"The fabric is wonderful, flows nicely and soft. i am 5'7"", 145lbs and usually wear between a s and m. i ordered a s in this due to the majority of reviews and found it to fit my shoulders well and length was fine. after reading the reviews i was so excit"&amp;"ed to get it but for me it actually made me look larger. there was too much material for me on the bottom and it actually made me look like i had a ""pooch"", never a good thing. i thought of returning for a m as i thought maybe it would have hung")</f>
        <v>The fabric is wonderful, flows nicely and soft. i am 5'7", 145lbs and usually wear between a s and m. i ordered a s in this due to the majority of reviews and found it to fit my shoulders well and length was fine. after reading the reviews i was so excited to get it but for me it actually made me look larger. there was too much material for me on the bottom and it actually made me look like i had a "pooch", never a good thing. i thought of returning for a m as i thought maybe it would have hung</v>
      </c>
      <c r="F1260" s="13">
        <f>IFERROR(__xludf.DUMMYFUNCTION("""COMPUTED_VALUE"""),3.0)</f>
        <v>3</v>
      </c>
      <c r="G1260" s="13">
        <f>IFERROR(__xludf.DUMMYFUNCTION("""COMPUTED_VALUE"""),1.0)</f>
        <v>1</v>
      </c>
      <c r="H1260" s="13">
        <f>IFERROR(__xludf.DUMMYFUNCTION("""COMPUTED_VALUE"""),0.0)</f>
        <v>0</v>
      </c>
      <c r="I1260" s="13" t="str">
        <f>IFERROR(__xludf.DUMMYFUNCTION("""COMPUTED_VALUE"""),"General Petite")</f>
        <v>General Petite</v>
      </c>
      <c r="J1260" s="13" t="str">
        <f>IFERROR(__xludf.DUMMYFUNCTION("""COMPUTED_VALUE"""),"Tops")</f>
        <v>Tops</v>
      </c>
      <c r="K1260" s="13" t="str">
        <f>IFERROR(__xludf.DUMMYFUNCTION("""COMPUTED_VALUE"""),"Blouses")</f>
        <v>Blouses</v>
      </c>
      <c r="L1260" s="13"/>
    </row>
    <row r="1261">
      <c r="A1261" s="13">
        <f>IFERROR(__xludf.DUMMYFUNCTION("""COMPUTED_VALUE"""),1259.0)</f>
        <v>1259</v>
      </c>
      <c r="B1261" s="13">
        <f>IFERROR(__xludf.DUMMYFUNCTION("""COMPUTED_VALUE"""),1095.0)</f>
        <v>1095</v>
      </c>
      <c r="C1261" s="13">
        <f>IFERROR(__xludf.DUMMYFUNCTION("""COMPUTED_VALUE"""),32.0)</f>
        <v>32</v>
      </c>
      <c r="D1261" s="12" t="str">
        <f>IFERROR(__xludf.DUMMYFUNCTION("""COMPUTED_VALUE"""),"Special")</f>
        <v>Special</v>
      </c>
      <c r="E1261" s="12" t="str">
        <f>IFERROR(__xludf.DUMMYFUNCTION("""COMPUTED_VALUE"""),"I bought the tangerine version of this dress for my brother's summer wedding in the south, and i can't wait to wear it. cotton material has a touch almost like linen, but not rough. nice and hearty fabric. tangerine color is beautiful, more salmon than co"&amp;"ral. wearing it with a little shoulder shrug and the laika inca shoes?the shoes aren't on the retailer site anymore, but i found them at my local store. just perfect.")</f>
        <v>I bought the tangerine version of this dress for my brother's summer wedding in the south, and i can't wait to wear it. cotton material has a touch almost like linen, but not rough. nice and hearty fabric. tangerine color is beautiful, more salmon than coral. wearing it with a little shoulder shrug and the laika inca shoes?the shoes aren't on the retailer site anymore, but i found them at my local store. just perfect.</v>
      </c>
      <c r="F1261" s="13">
        <f>IFERROR(__xludf.DUMMYFUNCTION("""COMPUTED_VALUE"""),5.0)</f>
        <v>5</v>
      </c>
      <c r="G1261" s="13">
        <f>IFERROR(__xludf.DUMMYFUNCTION("""COMPUTED_VALUE"""),1.0)</f>
        <v>1</v>
      </c>
      <c r="H1261" s="13">
        <f>IFERROR(__xludf.DUMMYFUNCTION("""COMPUTED_VALUE"""),0.0)</f>
        <v>0</v>
      </c>
      <c r="I1261" s="13" t="str">
        <f>IFERROR(__xludf.DUMMYFUNCTION("""COMPUTED_VALUE"""),"General")</f>
        <v>General</v>
      </c>
      <c r="J1261" s="13" t="str">
        <f>IFERROR(__xludf.DUMMYFUNCTION("""COMPUTED_VALUE"""),"Dresses")</f>
        <v>Dresses</v>
      </c>
      <c r="K1261" s="13" t="str">
        <f>IFERROR(__xludf.DUMMYFUNCTION("""COMPUTED_VALUE"""),"Dresses")</f>
        <v>Dresses</v>
      </c>
      <c r="L1261" s="13"/>
    </row>
    <row r="1262">
      <c r="A1262" s="13">
        <f>IFERROR(__xludf.DUMMYFUNCTION("""COMPUTED_VALUE"""),1260.0)</f>
        <v>1260</v>
      </c>
      <c r="B1262" s="13">
        <f>IFERROR(__xludf.DUMMYFUNCTION("""COMPUTED_VALUE"""),850.0)</f>
        <v>850</v>
      </c>
      <c r="C1262" s="13">
        <f>IFERROR(__xludf.DUMMYFUNCTION("""COMPUTED_VALUE"""),59.0)</f>
        <v>59</v>
      </c>
      <c r="D1262" s="12" t="str">
        <f>IFERROR(__xludf.DUMMYFUNCTION("""COMPUTED_VALUE"""),"Perfect for summer")</f>
        <v>Perfect for summer</v>
      </c>
      <c r="E1262" s="12" t="str">
        <f>IFERROR(__xludf.DUMMYFUNCTION("""COMPUTED_VALUE"""),"I purchased this top in white. it is see through so i wear a tank or cami underneath. i usually wear xs or s in retailer tops and in this one, i purchased the xs, but wish i had bought a s. the problem is the top is just small enough to pull slightly betw"&amp;"een the top two buttons. for reference, i am 5'6, weigh 128 lbs, 34b bra size, 28 jean size, and small boned. i currently carry most of my weight in my hips and waist. my normal weight is 110-112 lbs and i add this to point out that i am out of sh")</f>
        <v>I purchased this top in white. it is see through so i wear a tank or cami underneath. i usually wear xs or s in retailer tops and in this one, i purchased the xs, but wish i had bought a s. the problem is the top is just small enough to pull slightly between the top two buttons. for reference, i am 5'6, weigh 128 lbs, 34b bra size, 28 jean size, and small boned. i currently carry most of my weight in my hips and waist. my normal weight is 110-112 lbs and i add this to point out that i am out of sh</v>
      </c>
      <c r="F1262" s="13">
        <f>IFERROR(__xludf.DUMMYFUNCTION("""COMPUTED_VALUE"""),5.0)</f>
        <v>5</v>
      </c>
      <c r="G1262" s="13">
        <f>IFERROR(__xludf.DUMMYFUNCTION("""COMPUTED_VALUE"""),1.0)</f>
        <v>1</v>
      </c>
      <c r="H1262" s="13">
        <f>IFERROR(__xludf.DUMMYFUNCTION("""COMPUTED_VALUE"""),1.0)</f>
        <v>1</v>
      </c>
      <c r="I1262" s="13" t="str">
        <f>IFERROR(__xludf.DUMMYFUNCTION("""COMPUTED_VALUE"""),"General Petite")</f>
        <v>General Petite</v>
      </c>
      <c r="J1262" s="13" t="str">
        <f>IFERROR(__xludf.DUMMYFUNCTION("""COMPUTED_VALUE"""),"Tops")</f>
        <v>Tops</v>
      </c>
      <c r="K1262" s="13" t="str">
        <f>IFERROR(__xludf.DUMMYFUNCTION("""COMPUTED_VALUE"""),"Blouses")</f>
        <v>Blouses</v>
      </c>
      <c r="L1262" s="13"/>
    </row>
    <row r="1263">
      <c r="A1263" s="13">
        <f>IFERROR(__xludf.DUMMYFUNCTION("""COMPUTED_VALUE"""),1261.0)</f>
        <v>1261</v>
      </c>
      <c r="B1263" s="13">
        <f>IFERROR(__xludf.DUMMYFUNCTION("""COMPUTED_VALUE"""),979.0)</f>
        <v>979</v>
      </c>
      <c r="C1263" s="13">
        <f>IFERROR(__xludf.DUMMYFUNCTION("""COMPUTED_VALUE"""),60.0)</f>
        <v>60</v>
      </c>
      <c r="D1263" s="12" t="str">
        <f>IFERROR(__xludf.DUMMYFUNCTION("""COMPUTED_VALUE"""),"Fell in love")</f>
        <v>Fell in love</v>
      </c>
      <c r="E1263" s="12" t="str">
        <f>IFERROR(__xludf.DUMMYFUNCTION("""COMPUTED_VALUE"""),"Picture definitely does not do this vest justice.  i saw it on a rack and had to try on and instantly loved the look and feel.  i am 5'9"" - 135 lbs - size 6 and the small works for me.  the vest will work with ivory, black, grey, and red underneath.  i l"&amp;"ove the little bits of fur sticking out of the seams.  the back has fitted seams to give it a trim look.  there are small pockets in the front as well.  definitely worth the 108$ asking price.")</f>
        <v>Picture definitely does not do this vest justice.  i saw it on a rack and had to try on and instantly loved the look and feel.  i am 5'9" - 135 lbs - size 6 and the small works for me.  the vest will work with ivory, black, grey, and red underneath.  i love the little bits of fur sticking out of the seams.  the back has fitted seams to give it a trim look.  there are small pockets in the front as well.  definitely worth the 108$ asking price.</v>
      </c>
      <c r="F1263" s="13">
        <f>IFERROR(__xludf.DUMMYFUNCTION("""COMPUTED_VALUE"""),5.0)</f>
        <v>5</v>
      </c>
      <c r="G1263" s="13">
        <f>IFERROR(__xludf.DUMMYFUNCTION("""COMPUTED_VALUE"""),1.0)</f>
        <v>1</v>
      </c>
      <c r="H1263" s="13">
        <f>IFERROR(__xludf.DUMMYFUNCTION("""COMPUTED_VALUE"""),0.0)</f>
        <v>0</v>
      </c>
      <c r="I1263" s="13" t="str">
        <f>IFERROR(__xludf.DUMMYFUNCTION("""COMPUTED_VALUE"""),"General")</f>
        <v>General</v>
      </c>
      <c r="J1263" s="13" t="str">
        <f>IFERROR(__xludf.DUMMYFUNCTION("""COMPUTED_VALUE"""),"Jackets")</f>
        <v>Jackets</v>
      </c>
      <c r="K1263" s="13" t="str">
        <f>IFERROR(__xludf.DUMMYFUNCTION("""COMPUTED_VALUE"""),"Jackets")</f>
        <v>Jackets</v>
      </c>
      <c r="L1263" s="13"/>
    </row>
    <row r="1264">
      <c r="A1264" s="13">
        <f>IFERROR(__xludf.DUMMYFUNCTION("""COMPUTED_VALUE"""),1262.0)</f>
        <v>1262</v>
      </c>
      <c r="B1264" s="13">
        <f>IFERROR(__xludf.DUMMYFUNCTION("""COMPUTED_VALUE"""),1095.0)</f>
        <v>1095</v>
      </c>
      <c r="C1264" s="13">
        <f>IFERROR(__xludf.DUMMYFUNCTION("""COMPUTED_VALUE"""),20.0)</f>
        <v>20</v>
      </c>
      <c r="D1264" s="12"/>
      <c r="E1264" s="12" t="str">
        <f>IFERROR(__xludf.DUMMYFUNCTION("""COMPUTED_VALUE"""),"This dress is great! it fits true to size and the pockets are very unnoticable!
my only note is that the first picture of the dress show the dress to be a bit darker than the actual dress. the dress colour more closely resembles that of the other two phot"&amp;"os.")</f>
        <v>This dress is great! it fits true to size and the pockets are very unnoticable!
my only note is that the first picture of the dress show the dress to be a bit darker than the actual dress. the dress colour more closely resembles that of the other two photos.</v>
      </c>
      <c r="F1264" s="13">
        <f>IFERROR(__xludf.DUMMYFUNCTION("""COMPUTED_VALUE"""),4.0)</f>
        <v>4</v>
      </c>
      <c r="G1264" s="13">
        <f>IFERROR(__xludf.DUMMYFUNCTION("""COMPUTED_VALUE"""),1.0)</f>
        <v>1</v>
      </c>
      <c r="H1264" s="13">
        <f>IFERROR(__xludf.DUMMYFUNCTION("""COMPUTED_VALUE"""),0.0)</f>
        <v>0</v>
      </c>
      <c r="I1264" s="13" t="str">
        <f>IFERROR(__xludf.DUMMYFUNCTION("""COMPUTED_VALUE"""),"General")</f>
        <v>General</v>
      </c>
      <c r="J1264" s="13" t="str">
        <f>IFERROR(__xludf.DUMMYFUNCTION("""COMPUTED_VALUE"""),"Dresses")</f>
        <v>Dresses</v>
      </c>
      <c r="K1264" s="13" t="str">
        <f>IFERROR(__xludf.DUMMYFUNCTION("""COMPUTED_VALUE"""),"Dresses")</f>
        <v>Dresses</v>
      </c>
      <c r="L1264" s="13"/>
    </row>
    <row r="1265">
      <c r="A1265" s="13">
        <f>IFERROR(__xludf.DUMMYFUNCTION("""COMPUTED_VALUE"""),1263.0)</f>
        <v>1263</v>
      </c>
      <c r="B1265" s="13">
        <f>IFERROR(__xludf.DUMMYFUNCTION("""COMPUTED_VALUE"""),1095.0)</f>
        <v>1095</v>
      </c>
      <c r="C1265" s="13">
        <f>IFERROR(__xludf.DUMMYFUNCTION("""COMPUTED_VALUE"""),47.0)</f>
        <v>47</v>
      </c>
      <c r="D1265" s="12" t="str">
        <f>IFERROR(__xludf.DUMMYFUNCTION("""COMPUTED_VALUE"""),"Recommended for tan to dark complexions")</f>
        <v>Recommended for tan to dark complexions</v>
      </c>
      <c r="E1265" s="12" t="str">
        <f>IFERROR(__xludf.DUMMYFUNCTION("""COMPUTED_VALUE"""),"I'm very pale, and on me the rose color looked really washed out. the catalog photo is not an accurate representation. look at the product shot for a truer representation. it's slightly see-through and was too close to the color of my skin. i think it wou"&amp;"ld look delicious on someone who has darker skin, though.")</f>
        <v>I'm very pale, and on me the rose color looked really washed out. the catalog photo is not an accurate representation. look at the product shot for a truer representation. it's slightly see-through and was too close to the color of my skin. i think it would look delicious on someone who has darker skin, though.</v>
      </c>
      <c r="F1265" s="13">
        <f>IFERROR(__xludf.DUMMYFUNCTION("""COMPUTED_VALUE"""),3.0)</f>
        <v>3</v>
      </c>
      <c r="G1265" s="13">
        <f>IFERROR(__xludf.DUMMYFUNCTION("""COMPUTED_VALUE"""),1.0)</f>
        <v>1</v>
      </c>
      <c r="H1265" s="13">
        <f>IFERROR(__xludf.DUMMYFUNCTION("""COMPUTED_VALUE"""),1.0)</f>
        <v>1</v>
      </c>
      <c r="I1265" s="13" t="str">
        <f>IFERROR(__xludf.DUMMYFUNCTION("""COMPUTED_VALUE"""),"General")</f>
        <v>General</v>
      </c>
      <c r="J1265" s="13" t="str">
        <f>IFERROR(__xludf.DUMMYFUNCTION("""COMPUTED_VALUE"""),"Dresses")</f>
        <v>Dresses</v>
      </c>
      <c r="K1265" s="13" t="str">
        <f>IFERROR(__xludf.DUMMYFUNCTION("""COMPUTED_VALUE"""),"Dresses")</f>
        <v>Dresses</v>
      </c>
      <c r="L1265" s="13"/>
    </row>
    <row r="1266">
      <c r="A1266" s="13">
        <f>IFERROR(__xludf.DUMMYFUNCTION("""COMPUTED_VALUE"""),1264.0)</f>
        <v>1264</v>
      </c>
      <c r="B1266" s="13">
        <f>IFERROR(__xludf.DUMMYFUNCTION("""COMPUTED_VALUE"""),850.0)</f>
        <v>850</v>
      </c>
      <c r="C1266" s="13">
        <f>IFERROR(__xludf.DUMMYFUNCTION("""COMPUTED_VALUE"""),40.0)</f>
        <v>40</v>
      </c>
      <c r="D1266" s="12" t="str">
        <f>IFERROR(__xludf.DUMMYFUNCTION("""COMPUTED_VALUE"""),"Perfect tunic")</f>
        <v>Perfect tunic</v>
      </c>
      <c r="E1266" s="12" t="str">
        <f>IFERROR(__xludf.DUMMYFUNCTION("""COMPUTED_VALUE"""),"I purchased this in 2 colors. the black which is really actually a dark grey( no complaints) and the cream with black print version. i have worn both at least once a week and receive compliments everytime! looks great with skinny pants or jeans. great alo"&amp;"ne or layered with a jacket or cardigan. does run on the looser side fyi")</f>
        <v>I purchased this in 2 colors. the black which is really actually a dark grey( no complaints) and the cream with black print version. i have worn both at least once a week and receive compliments everytime! looks great with skinny pants or jeans. great alone or layered with a jacket or cardigan. does run on the looser side fyi</v>
      </c>
      <c r="F1266" s="13">
        <f>IFERROR(__xludf.DUMMYFUNCTION("""COMPUTED_VALUE"""),5.0)</f>
        <v>5</v>
      </c>
      <c r="G1266" s="13">
        <f>IFERROR(__xludf.DUMMYFUNCTION("""COMPUTED_VALUE"""),1.0)</f>
        <v>1</v>
      </c>
      <c r="H1266" s="13">
        <f>IFERROR(__xludf.DUMMYFUNCTION("""COMPUTED_VALUE"""),0.0)</f>
        <v>0</v>
      </c>
      <c r="I1266" s="13" t="str">
        <f>IFERROR(__xludf.DUMMYFUNCTION("""COMPUTED_VALUE"""),"General Petite")</f>
        <v>General Petite</v>
      </c>
      <c r="J1266" s="13" t="str">
        <f>IFERROR(__xludf.DUMMYFUNCTION("""COMPUTED_VALUE"""),"Tops")</f>
        <v>Tops</v>
      </c>
      <c r="K1266" s="13" t="str">
        <f>IFERROR(__xludf.DUMMYFUNCTION("""COMPUTED_VALUE"""),"Blouses")</f>
        <v>Blouses</v>
      </c>
      <c r="L1266" s="13"/>
    </row>
    <row r="1267">
      <c r="A1267" s="13">
        <f>IFERROR(__xludf.DUMMYFUNCTION("""COMPUTED_VALUE"""),1265.0)</f>
        <v>1265</v>
      </c>
      <c r="B1267" s="13">
        <f>IFERROR(__xludf.DUMMYFUNCTION("""COMPUTED_VALUE"""),1095.0)</f>
        <v>1095</v>
      </c>
      <c r="C1267" s="13">
        <f>IFERROR(__xludf.DUMMYFUNCTION("""COMPUTED_VALUE"""),63.0)</f>
        <v>63</v>
      </c>
      <c r="D1267" s="12" t="str">
        <f>IFERROR(__xludf.DUMMYFUNCTION("""COMPUTED_VALUE"""),"Not as pictured")</f>
        <v>Not as pictured</v>
      </c>
      <c r="E1267" s="12" t="str">
        <f>IFERROR(__xludf.DUMMYFUNCTION("""COMPUTED_VALUE"""),"I ordered this dress in the blood orange and have a few complaints. while it appears to be made with quality, it runs really large. also, in the picture the fabric appears to have a sheen and be somewhat dressy. the actual fabric is just flat cotton. it's"&amp;" a very casual dress, not as dressy as pictured. it's also quite shapeless on. i'm returning it.")</f>
        <v>I ordered this dress in the blood orange and have a few complaints. while it appears to be made with quality, it runs really large. also, in the picture the fabric appears to have a sheen and be somewhat dressy. the actual fabric is just flat cotton. it's a very casual dress, not as dressy as pictured. it's also quite shapeless on. i'm returning it.</v>
      </c>
      <c r="F1267" s="13">
        <f>IFERROR(__xludf.DUMMYFUNCTION("""COMPUTED_VALUE"""),2.0)</f>
        <v>2</v>
      </c>
      <c r="G1267" s="13">
        <f>IFERROR(__xludf.DUMMYFUNCTION("""COMPUTED_VALUE"""),0.0)</f>
        <v>0</v>
      </c>
      <c r="H1267" s="13">
        <f>IFERROR(__xludf.DUMMYFUNCTION("""COMPUTED_VALUE"""),1.0)</f>
        <v>1</v>
      </c>
      <c r="I1267" s="13" t="str">
        <f>IFERROR(__xludf.DUMMYFUNCTION("""COMPUTED_VALUE"""),"General")</f>
        <v>General</v>
      </c>
      <c r="J1267" s="13" t="str">
        <f>IFERROR(__xludf.DUMMYFUNCTION("""COMPUTED_VALUE"""),"Dresses")</f>
        <v>Dresses</v>
      </c>
      <c r="K1267" s="13" t="str">
        <f>IFERROR(__xludf.DUMMYFUNCTION("""COMPUTED_VALUE"""),"Dresses")</f>
        <v>Dresses</v>
      </c>
      <c r="L1267" s="13"/>
    </row>
    <row r="1268">
      <c r="A1268" s="13">
        <f>IFERROR(__xludf.DUMMYFUNCTION("""COMPUTED_VALUE"""),1266.0)</f>
        <v>1266</v>
      </c>
      <c r="B1268" s="13">
        <f>IFERROR(__xludf.DUMMYFUNCTION("""COMPUTED_VALUE"""),1095.0)</f>
        <v>1095</v>
      </c>
      <c r="C1268" s="13">
        <f>IFERROR(__xludf.DUMMYFUNCTION("""COMPUTED_VALUE"""),26.0)</f>
        <v>26</v>
      </c>
      <c r="D1268" s="12" t="str">
        <f>IFERROR(__xludf.DUMMYFUNCTION("""COMPUTED_VALUE"""),"Can't get enough")</f>
        <v>Can't get enough</v>
      </c>
      <c r="E1268" s="12" t="str">
        <f>IFERROR(__xludf.DUMMYFUNCTION("""COMPUTED_VALUE"""),"This is my favorite dress i have ever purchased. as a 6' tall woman, it's hard to find flattering dresses that are long enough for my legs. this dress is classic, comfortable, and truly flattering. i love the blush color and did not have the issues that o"&amp;"ther people listed for the color being see-through. i can't get enough of this style...i'll be buying it in black too...ooopss :)")</f>
        <v>This is my favorite dress i have ever purchased. as a 6' tall woman, it's hard to find flattering dresses that are long enough for my legs. this dress is classic, comfortable, and truly flattering. i love the blush color and did not have the issues that other people listed for the color being see-through. i can't get enough of this style...i'll be buying it in black too...ooopss :)</v>
      </c>
      <c r="F1268" s="13">
        <f>IFERROR(__xludf.DUMMYFUNCTION("""COMPUTED_VALUE"""),5.0)</f>
        <v>5</v>
      </c>
      <c r="G1268" s="13">
        <f>IFERROR(__xludf.DUMMYFUNCTION("""COMPUTED_VALUE"""),1.0)</f>
        <v>1</v>
      </c>
      <c r="H1268" s="13">
        <f>IFERROR(__xludf.DUMMYFUNCTION("""COMPUTED_VALUE"""),0.0)</f>
        <v>0</v>
      </c>
      <c r="I1268" s="13" t="str">
        <f>IFERROR(__xludf.DUMMYFUNCTION("""COMPUTED_VALUE"""),"General")</f>
        <v>General</v>
      </c>
      <c r="J1268" s="13" t="str">
        <f>IFERROR(__xludf.DUMMYFUNCTION("""COMPUTED_VALUE"""),"Dresses")</f>
        <v>Dresses</v>
      </c>
      <c r="K1268" s="13" t="str">
        <f>IFERROR(__xludf.DUMMYFUNCTION("""COMPUTED_VALUE"""),"Dresses")</f>
        <v>Dresses</v>
      </c>
      <c r="L1268" s="13"/>
    </row>
    <row r="1269">
      <c r="A1269" s="13">
        <f>IFERROR(__xludf.DUMMYFUNCTION("""COMPUTED_VALUE"""),1267.0)</f>
        <v>1267</v>
      </c>
      <c r="B1269" s="13">
        <f>IFERROR(__xludf.DUMMYFUNCTION("""COMPUTED_VALUE"""),1095.0)</f>
        <v>1095</v>
      </c>
      <c r="C1269" s="13">
        <f>IFERROR(__xludf.DUMMYFUNCTION("""COMPUTED_VALUE"""),27.0)</f>
        <v>27</v>
      </c>
      <c r="D1269" s="12" t="str">
        <f>IFERROR(__xludf.DUMMYFUNCTION("""COMPUTED_VALUE"""),"Disappointing")</f>
        <v>Disappointing</v>
      </c>
      <c r="E1269" s="12" t="str">
        <f>IFERROR(__xludf.DUMMYFUNCTION("""COMPUTED_VALUE"""),"This dress was not what i had hoped! from the online pictures, i had high hopes, but the fit was really wonky and the material seemed cheap. the arm holes were too big and made the dress seem more like a bathing suit cover up than a classy summer dress. n"&amp;"eedless to say, it's going back!")</f>
        <v>This dress was not what i had hoped! from the online pictures, i had high hopes, but the fit was really wonky and the material seemed cheap. the arm holes were too big and made the dress seem more like a bathing suit cover up than a classy summer dress. needless to say, it's going back!</v>
      </c>
      <c r="F1269" s="13">
        <f>IFERROR(__xludf.DUMMYFUNCTION("""COMPUTED_VALUE"""),2.0)</f>
        <v>2</v>
      </c>
      <c r="G1269" s="13">
        <f>IFERROR(__xludf.DUMMYFUNCTION("""COMPUTED_VALUE"""),0.0)</f>
        <v>0</v>
      </c>
      <c r="H1269" s="13">
        <f>IFERROR(__xludf.DUMMYFUNCTION("""COMPUTED_VALUE"""),3.0)</f>
        <v>3</v>
      </c>
      <c r="I1269" s="13" t="str">
        <f>IFERROR(__xludf.DUMMYFUNCTION("""COMPUTED_VALUE"""),"General")</f>
        <v>General</v>
      </c>
      <c r="J1269" s="13" t="str">
        <f>IFERROR(__xludf.DUMMYFUNCTION("""COMPUTED_VALUE"""),"Dresses")</f>
        <v>Dresses</v>
      </c>
      <c r="K1269" s="13" t="str">
        <f>IFERROR(__xludf.DUMMYFUNCTION("""COMPUTED_VALUE"""),"Dresses")</f>
        <v>Dresses</v>
      </c>
      <c r="L1269" s="13"/>
    </row>
    <row r="1270">
      <c r="A1270" s="13">
        <f>IFERROR(__xludf.DUMMYFUNCTION("""COMPUTED_VALUE"""),1268.0)</f>
        <v>1268</v>
      </c>
      <c r="B1270" s="13">
        <f>IFERROR(__xludf.DUMMYFUNCTION("""COMPUTED_VALUE"""),850.0)</f>
        <v>850</v>
      </c>
      <c r="C1270" s="13">
        <f>IFERROR(__xludf.DUMMYFUNCTION("""COMPUTED_VALUE"""),41.0)</f>
        <v>41</v>
      </c>
      <c r="D1270" s="12" t="str">
        <f>IFERROR(__xludf.DUMMYFUNCTION("""COMPUTED_VALUE"""),"Adorable")</f>
        <v>Adorable</v>
      </c>
      <c r="E1270" s="12" t="str">
        <f>IFERROR(__xludf.DUMMYFUNCTION("""COMPUTED_VALUE"""),"Bought this top in white and blue motif. it fits me great and looks adorable. the only comment is that the holes for the buttons are a little too big but it's an easy fix.
this top looks great dressed up or down. would definitely recommend!")</f>
        <v>Bought this top in white and blue motif. it fits me great and looks adorable. the only comment is that the holes for the buttons are a little too big but it's an easy fix.
this top looks great dressed up or down. would definitely recommend!</v>
      </c>
      <c r="F1270" s="13">
        <f>IFERROR(__xludf.DUMMYFUNCTION("""COMPUTED_VALUE"""),5.0)</f>
        <v>5</v>
      </c>
      <c r="G1270" s="13">
        <f>IFERROR(__xludf.DUMMYFUNCTION("""COMPUTED_VALUE"""),1.0)</f>
        <v>1</v>
      </c>
      <c r="H1270" s="13">
        <f>IFERROR(__xludf.DUMMYFUNCTION("""COMPUTED_VALUE"""),0.0)</f>
        <v>0</v>
      </c>
      <c r="I1270" s="13" t="str">
        <f>IFERROR(__xludf.DUMMYFUNCTION("""COMPUTED_VALUE"""),"General")</f>
        <v>General</v>
      </c>
      <c r="J1270" s="13" t="str">
        <f>IFERROR(__xludf.DUMMYFUNCTION("""COMPUTED_VALUE"""),"Tops")</f>
        <v>Tops</v>
      </c>
      <c r="K1270" s="13" t="str">
        <f>IFERROR(__xludf.DUMMYFUNCTION("""COMPUTED_VALUE"""),"Blouses")</f>
        <v>Blouses</v>
      </c>
      <c r="L1270" s="13"/>
    </row>
    <row r="1271">
      <c r="A1271" s="13">
        <f>IFERROR(__xludf.DUMMYFUNCTION("""COMPUTED_VALUE"""),1269.0)</f>
        <v>1269</v>
      </c>
      <c r="B1271" s="13">
        <f>IFERROR(__xludf.DUMMYFUNCTION("""COMPUTED_VALUE"""),850.0)</f>
        <v>850</v>
      </c>
      <c r="C1271" s="13">
        <f>IFERROR(__xludf.DUMMYFUNCTION("""COMPUTED_VALUE"""),47.0)</f>
        <v>47</v>
      </c>
      <c r="D1271" s="12" t="str">
        <f>IFERROR(__xludf.DUMMYFUNCTION("""COMPUTED_VALUE"""),"Cute and comfy!")</f>
        <v>Cute and comfy!</v>
      </c>
      <c r="E1271" s="12" t="str">
        <f>IFERROR(__xludf.DUMMYFUNCTION("""COMPUTED_VALUE"""),"Just purchased this yesterday in the store and i can't wait to wear it! it is a perfect spring/summer top when you just want to wear something pretty and comfortable! i agree that it is big but that is the style of this shirt. so if you're ok with this lo"&amp;"ok, you will love this shirt! i took my usual medium and the prints are adorable! a great addition to my wardrobe!")</f>
        <v>Just purchased this yesterday in the store and i can't wait to wear it! it is a perfect spring/summer top when you just want to wear something pretty and comfortable! i agree that it is big but that is the style of this shirt. so if you're ok with this look, you will love this shirt! i took my usual medium and the prints are adorable! a great addition to my wardrobe!</v>
      </c>
      <c r="F1271" s="13">
        <f>IFERROR(__xludf.DUMMYFUNCTION("""COMPUTED_VALUE"""),5.0)</f>
        <v>5</v>
      </c>
      <c r="G1271" s="13">
        <f>IFERROR(__xludf.DUMMYFUNCTION("""COMPUTED_VALUE"""),1.0)</f>
        <v>1</v>
      </c>
      <c r="H1271" s="13">
        <f>IFERROR(__xludf.DUMMYFUNCTION("""COMPUTED_VALUE"""),0.0)</f>
        <v>0</v>
      </c>
      <c r="I1271" s="13" t="str">
        <f>IFERROR(__xludf.DUMMYFUNCTION("""COMPUTED_VALUE"""),"General")</f>
        <v>General</v>
      </c>
      <c r="J1271" s="13" t="str">
        <f>IFERROR(__xludf.DUMMYFUNCTION("""COMPUTED_VALUE"""),"Tops")</f>
        <v>Tops</v>
      </c>
      <c r="K1271" s="13" t="str">
        <f>IFERROR(__xludf.DUMMYFUNCTION("""COMPUTED_VALUE"""),"Blouses")</f>
        <v>Blouses</v>
      </c>
      <c r="L1271" s="13"/>
    </row>
    <row r="1272">
      <c r="A1272" s="13">
        <f>IFERROR(__xludf.DUMMYFUNCTION("""COMPUTED_VALUE"""),1270.0)</f>
        <v>1270</v>
      </c>
      <c r="B1272" s="13">
        <f>IFERROR(__xludf.DUMMYFUNCTION("""COMPUTED_VALUE"""),850.0)</f>
        <v>850</v>
      </c>
      <c r="C1272" s="13">
        <f>IFERROR(__xludf.DUMMYFUNCTION("""COMPUTED_VALUE"""),21.0)</f>
        <v>21</v>
      </c>
      <c r="D1272" s="12" t="str">
        <f>IFERROR(__xludf.DUMMYFUNCTION("""COMPUTED_VALUE"""),"Great quality!")</f>
        <v>Great quality!</v>
      </c>
      <c r="E1272" s="12" t="str">
        <f>IFERROR(__xludf.DUMMYFUNCTION("""COMPUTED_VALUE"""),"Love this shirt. tried it on in 2 of the colors and both were very flattering. the quality of the shirt is great. worth the price for sure!")</f>
        <v>Love this shirt. tried it on in 2 of the colors and both were very flattering. the quality of the shirt is great. worth the price for sure!</v>
      </c>
      <c r="F1272" s="13">
        <f>IFERROR(__xludf.DUMMYFUNCTION("""COMPUTED_VALUE"""),5.0)</f>
        <v>5</v>
      </c>
      <c r="G1272" s="13">
        <f>IFERROR(__xludf.DUMMYFUNCTION("""COMPUTED_VALUE"""),1.0)</f>
        <v>1</v>
      </c>
      <c r="H1272" s="13">
        <f>IFERROR(__xludf.DUMMYFUNCTION("""COMPUTED_VALUE"""),1.0)</f>
        <v>1</v>
      </c>
      <c r="I1272" s="13" t="str">
        <f>IFERROR(__xludf.DUMMYFUNCTION("""COMPUTED_VALUE"""),"General")</f>
        <v>General</v>
      </c>
      <c r="J1272" s="13" t="str">
        <f>IFERROR(__xludf.DUMMYFUNCTION("""COMPUTED_VALUE"""),"Tops")</f>
        <v>Tops</v>
      </c>
      <c r="K1272" s="13" t="str">
        <f>IFERROR(__xludf.DUMMYFUNCTION("""COMPUTED_VALUE"""),"Blouses")</f>
        <v>Blouses</v>
      </c>
      <c r="L1272" s="13"/>
    </row>
    <row r="1273">
      <c r="A1273" s="13">
        <f>IFERROR(__xludf.DUMMYFUNCTION("""COMPUTED_VALUE"""),1271.0)</f>
        <v>1271</v>
      </c>
      <c r="B1273" s="13">
        <f>IFERROR(__xludf.DUMMYFUNCTION("""COMPUTED_VALUE"""),850.0)</f>
        <v>850</v>
      </c>
      <c r="C1273" s="13">
        <f>IFERROR(__xludf.DUMMYFUNCTION("""COMPUTED_VALUE"""),54.0)</f>
        <v>54</v>
      </c>
      <c r="D1273" s="12"/>
      <c r="E1273" s="12" t="str">
        <f>IFERROR(__xludf.DUMMYFUNCTION("""COMPUTED_VALUE"""),"Love this top! i receive so many compliments wearing it, even from my teenage boys! runs large, but that's the style of it, very flowy. very flattering.")</f>
        <v>Love this top! i receive so many compliments wearing it, even from my teenage boys! runs large, but that's the style of it, very flowy. very flattering.</v>
      </c>
      <c r="F1273" s="13">
        <f>IFERROR(__xludf.DUMMYFUNCTION("""COMPUTED_VALUE"""),5.0)</f>
        <v>5</v>
      </c>
      <c r="G1273" s="13">
        <f>IFERROR(__xludf.DUMMYFUNCTION("""COMPUTED_VALUE"""),1.0)</f>
        <v>1</v>
      </c>
      <c r="H1273" s="13">
        <f>IFERROR(__xludf.DUMMYFUNCTION("""COMPUTED_VALUE"""),0.0)</f>
        <v>0</v>
      </c>
      <c r="I1273" s="13" t="str">
        <f>IFERROR(__xludf.DUMMYFUNCTION("""COMPUTED_VALUE"""),"General")</f>
        <v>General</v>
      </c>
      <c r="J1273" s="13" t="str">
        <f>IFERROR(__xludf.DUMMYFUNCTION("""COMPUTED_VALUE"""),"Tops")</f>
        <v>Tops</v>
      </c>
      <c r="K1273" s="13" t="str">
        <f>IFERROR(__xludf.DUMMYFUNCTION("""COMPUTED_VALUE"""),"Blouses")</f>
        <v>Blouses</v>
      </c>
      <c r="L1273" s="13"/>
    </row>
    <row r="1274">
      <c r="A1274" s="13">
        <f>IFERROR(__xludf.DUMMYFUNCTION("""COMPUTED_VALUE"""),1272.0)</f>
        <v>1272</v>
      </c>
      <c r="B1274" s="13">
        <f>IFERROR(__xludf.DUMMYFUNCTION("""COMPUTED_VALUE"""),850.0)</f>
        <v>850</v>
      </c>
      <c r="C1274" s="13">
        <f>IFERROR(__xludf.DUMMYFUNCTION("""COMPUTED_VALUE"""),33.0)</f>
        <v>33</v>
      </c>
      <c r="D1274" s="12" t="str">
        <f>IFERROR(__xludf.DUMMYFUNCTION("""COMPUTED_VALUE"""),"Pretty top poor fit")</f>
        <v>Pretty top poor fit</v>
      </c>
      <c r="E1274" s="12" t="str">
        <f>IFERROR(__xludf.DUMMYFUNCTION("""COMPUTED_VALUE"""),"I loved this top in the blue and wanted so badly for it to fit however it was very unflattering on my 5'7"" frame. the bottom hemline is straight across all around whereas i thought it was longer in the back. i could see this looking great on a really pet"&amp;"ite frame. runs large, xs fit however wasn't flattering")</f>
        <v>I loved this top in the blue and wanted so badly for it to fit however it was very unflattering on my 5'7" frame. the bottom hemline is straight across all around whereas i thought it was longer in the back. i could see this looking great on a really petite frame. runs large, xs fit however wasn't flattering</v>
      </c>
      <c r="F1274" s="13">
        <f>IFERROR(__xludf.DUMMYFUNCTION("""COMPUTED_VALUE"""),3.0)</f>
        <v>3</v>
      </c>
      <c r="G1274" s="13">
        <f>IFERROR(__xludf.DUMMYFUNCTION("""COMPUTED_VALUE"""),0.0)</f>
        <v>0</v>
      </c>
      <c r="H1274" s="13">
        <f>IFERROR(__xludf.DUMMYFUNCTION("""COMPUTED_VALUE"""),2.0)</f>
        <v>2</v>
      </c>
      <c r="I1274" s="13" t="str">
        <f>IFERROR(__xludf.DUMMYFUNCTION("""COMPUTED_VALUE"""),"General")</f>
        <v>General</v>
      </c>
      <c r="J1274" s="13" t="str">
        <f>IFERROR(__xludf.DUMMYFUNCTION("""COMPUTED_VALUE"""),"Tops")</f>
        <v>Tops</v>
      </c>
      <c r="K1274" s="13" t="str">
        <f>IFERROR(__xludf.DUMMYFUNCTION("""COMPUTED_VALUE"""),"Blouses")</f>
        <v>Blouses</v>
      </c>
      <c r="L1274" s="13"/>
    </row>
    <row r="1275">
      <c r="A1275" s="13">
        <f>IFERROR(__xludf.DUMMYFUNCTION("""COMPUTED_VALUE"""),1273.0)</f>
        <v>1273</v>
      </c>
      <c r="B1275" s="13">
        <f>IFERROR(__xludf.DUMMYFUNCTION("""COMPUTED_VALUE"""),850.0)</f>
        <v>850</v>
      </c>
      <c r="C1275" s="13">
        <f>IFERROR(__xludf.DUMMYFUNCTION("""COMPUTED_VALUE"""),34.0)</f>
        <v>34</v>
      </c>
      <c r="D1275" s="12" t="str">
        <f>IFERROR(__xludf.DUMMYFUNCTION("""COMPUTED_VALUE"""),"Avoid if you're curvy...")</f>
        <v>Avoid if you're curvy...</v>
      </c>
      <c r="E1275" s="12" t="str">
        <f>IFERROR(__xludf.DUMMYFUNCTION("""COMPUTED_VALUE"""),"Didn't work on this curvy gal.
sizing up would have helped with the button gaps, but the flowy shape of the blouse would have looked too maternity on a larger size.
major pass.")</f>
        <v>Didn't work on this curvy gal.
sizing up would have helped with the button gaps, but the flowy shape of the blouse would have looked too maternity on a larger size.
major pass.</v>
      </c>
      <c r="F1275" s="13">
        <f>IFERROR(__xludf.DUMMYFUNCTION("""COMPUTED_VALUE"""),2.0)</f>
        <v>2</v>
      </c>
      <c r="G1275" s="13">
        <f>IFERROR(__xludf.DUMMYFUNCTION("""COMPUTED_VALUE"""),0.0)</f>
        <v>0</v>
      </c>
      <c r="H1275" s="13">
        <f>IFERROR(__xludf.DUMMYFUNCTION("""COMPUTED_VALUE"""),0.0)</f>
        <v>0</v>
      </c>
      <c r="I1275" s="13" t="str">
        <f>IFERROR(__xludf.DUMMYFUNCTION("""COMPUTED_VALUE"""),"General")</f>
        <v>General</v>
      </c>
      <c r="J1275" s="13" t="str">
        <f>IFERROR(__xludf.DUMMYFUNCTION("""COMPUTED_VALUE"""),"Tops")</f>
        <v>Tops</v>
      </c>
      <c r="K1275" s="13" t="str">
        <f>IFERROR(__xludf.DUMMYFUNCTION("""COMPUTED_VALUE"""),"Blouses")</f>
        <v>Blouses</v>
      </c>
      <c r="L1275" s="13"/>
    </row>
    <row r="1276">
      <c r="A1276" s="13">
        <f>IFERROR(__xludf.DUMMYFUNCTION("""COMPUTED_VALUE"""),1274.0)</f>
        <v>1274</v>
      </c>
      <c r="B1276" s="13">
        <f>IFERROR(__xludf.DUMMYFUNCTION("""COMPUTED_VALUE"""),1095.0)</f>
        <v>1095</v>
      </c>
      <c r="C1276" s="13">
        <f>IFERROR(__xludf.DUMMYFUNCTION("""COMPUTED_VALUE"""),45.0)</f>
        <v>45</v>
      </c>
      <c r="D1276" s="12" t="str">
        <f>IFERROR(__xludf.DUMMYFUNCTION("""COMPUTED_VALUE"""),"Beautiful")</f>
        <v>Beautiful</v>
      </c>
      <c r="E1276" s="12" t="str">
        <f>IFERROR(__xludf.DUMMYFUNCTION("""COMPUTED_VALUE"""),"The rose color is lighter than the photo of the model in front of the pink building, but on the other photos it does look lighter so i wasn't surprised.  my dress fits very nicely. i love the drop waist, the loose fit at the hips, and the flare of the ruf"&amp;"fles.  the back is just like the model too. i thought it may be boxy but it comes in at the waist and goes a-line. perfect. i ordered the xl because it wanted it to be loose like on the model.  i was afraid because of my large dd chest it would")</f>
        <v>The rose color is lighter than the photo of the model in front of the pink building, but on the other photos it does look lighter so i wasn't surprised.  my dress fits very nicely. i love the drop waist, the loose fit at the hips, and the flare of the ruffles.  the back is just like the model too. i thought it may be boxy but it comes in at the waist and goes a-line. perfect. i ordered the xl because it wanted it to be loose like on the model.  i was afraid because of my large dd chest it would</v>
      </c>
      <c r="F1276" s="13">
        <f>IFERROR(__xludf.DUMMYFUNCTION("""COMPUTED_VALUE"""),4.0)</f>
        <v>4</v>
      </c>
      <c r="G1276" s="13">
        <f>IFERROR(__xludf.DUMMYFUNCTION("""COMPUTED_VALUE"""),1.0)</f>
        <v>1</v>
      </c>
      <c r="H1276" s="13">
        <f>IFERROR(__xludf.DUMMYFUNCTION("""COMPUTED_VALUE"""),65.0)</f>
        <v>65</v>
      </c>
      <c r="I1276" s="13" t="str">
        <f>IFERROR(__xludf.DUMMYFUNCTION("""COMPUTED_VALUE"""),"General")</f>
        <v>General</v>
      </c>
      <c r="J1276" s="13" t="str">
        <f>IFERROR(__xludf.DUMMYFUNCTION("""COMPUTED_VALUE"""),"Dresses")</f>
        <v>Dresses</v>
      </c>
      <c r="K1276" s="13" t="str">
        <f>IFERROR(__xludf.DUMMYFUNCTION("""COMPUTED_VALUE"""),"Dresses")</f>
        <v>Dresses</v>
      </c>
      <c r="L1276" s="13"/>
    </row>
    <row r="1277">
      <c r="A1277" s="13">
        <f>IFERROR(__xludf.DUMMYFUNCTION("""COMPUTED_VALUE"""),1275.0)</f>
        <v>1275</v>
      </c>
      <c r="B1277" s="13">
        <f>IFERROR(__xludf.DUMMYFUNCTION("""COMPUTED_VALUE"""),850.0)</f>
        <v>850</v>
      </c>
      <c r="C1277" s="13">
        <f>IFERROR(__xludf.DUMMYFUNCTION("""COMPUTED_VALUE"""),34.0)</f>
        <v>34</v>
      </c>
      <c r="D1277" s="12" t="str">
        <f>IFERROR(__xludf.DUMMYFUNCTION("""COMPUTED_VALUE"""),"Fun top for all seasons")</f>
        <v>Fun top for all seasons</v>
      </c>
      <c r="E1277" s="12" t="str">
        <f>IFERROR(__xludf.DUMMYFUNCTION("""COMPUTED_VALUE"""),"I am so happy i purchased this top in 2 colors while it was on sale. i have the navy/white pattern and the green. both are vibrant and fun. i'm 8 months pregnant and these fit me currently. i can see them being a great top for post baby and on as well. i'"&amp;"ll probably layer this in the fall and winter with a chambray jacket or a loose knit sweater. my only complaint (which is why i gave 4 stars) the top button comes undone very easily. it also pulls a bit at the top 2 buttons, but i may be able to")</f>
        <v>I am so happy i purchased this top in 2 colors while it was on sale. i have the navy/white pattern and the green. both are vibrant and fun. i'm 8 months pregnant and these fit me currently. i can see them being a great top for post baby and on as well. i'll probably layer this in the fall and winter with a chambray jacket or a loose knit sweater. my only complaint (which is why i gave 4 stars) the top button comes undone very easily. it also pulls a bit at the top 2 buttons, but i may be able to</v>
      </c>
      <c r="F1277" s="13">
        <f>IFERROR(__xludf.DUMMYFUNCTION("""COMPUTED_VALUE"""),4.0)</f>
        <v>4</v>
      </c>
      <c r="G1277" s="13">
        <f>IFERROR(__xludf.DUMMYFUNCTION("""COMPUTED_VALUE"""),1.0)</f>
        <v>1</v>
      </c>
      <c r="H1277" s="13">
        <f>IFERROR(__xludf.DUMMYFUNCTION("""COMPUTED_VALUE"""),0.0)</f>
        <v>0</v>
      </c>
      <c r="I1277" s="13" t="str">
        <f>IFERROR(__xludf.DUMMYFUNCTION("""COMPUTED_VALUE"""),"General")</f>
        <v>General</v>
      </c>
      <c r="J1277" s="13" t="str">
        <f>IFERROR(__xludf.DUMMYFUNCTION("""COMPUTED_VALUE"""),"Tops")</f>
        <v>Tops</v>
      </c>
      <c r="K1277" s="13" t="str">
        <f>IFERROR(__xludf.DUMMYFUNCTION("""COMPUTED_VALUE"""),"Blouses")</f>
        <v>Blouses</v>
      </c>
      <c r="L1277" s="13"/>
    </row>
    <row r="1278">
      <c r="A1278" s="13">
        <f>IFERROR(__xludf.DUMMYFUNCTION("""COMPUTED_VALUE"""),1276.0)</f>
        <v>1276</v>
      </c>
      <c r="B1278" s="13">
        <f>IFERROR(__xludf.DUMMYFUNCTION("""COMPUTED_VALUE"""),850.0)</f>
        <v>850</v>
      </c>
      <c r="C1278" s="13">
        <f>IFERROR(__xludf.DUMMYFUNCTION("""COMPUTED_VALUE"""),37.0)</f>
        <v>37</v>
      </c>
      <c r="D1278" s="12" t="str">
        <f>IFERROR(__xludf.DUMMYFUNCTION("""COMPUTED_VALUE"""),"Very flattering and comfy")</f>
        <v>Very flattering and comfy</v>
      </c>
      <c r="E1278" s="12" t="str">
        <f>IFERROR(__xludf.DUMMYFUNCTION("""COMPUTED_VALUE"""),"I'm so short that this could be a dress! runs a little big, but very forgiving. the green color is so vibrant! love love love!")</f>
        <v>I'm so short that this could be a dress! runs a little big, but very forgiving. the green color is so vibrant! love love love!</v>
      </c>
      <c r="F1278" s="13">
        <f>IFERROR(__xludf.DUMMYFUNCTION("""COMPUTED_VALUE"""),5.0)</f>
        <v>5</v>
      </c>
      <c r="G1278" s="13">
        <f>IFERROR(__xludf.DUMMYFUNCTION("""COMPUTED_VALUE"""),1.0)</f>
        <v>1</v>
      </c>
      <c r="H1278" s="13">
        <f>IFERROR(__xludf.DUMMYFUNCTION("""COMPUTED_VALUE"""),2.0)</f>
        <v>2</v>
      </c>
      <c r="I1278" s="13" t="str">
        <f>IFERROR(__xludf.DUMMYFUNCTION("""COMPUTED_VALUE"""),"General")</f>
        <v>General</v>
      </c>
      <c r="J1278" s="13" t="str">
        <f>IFERROR(__xludf.DUMMYFUNCTION("""COMPUTED_VALUE"""),"Tops")</f>
        <v>Tops</v>
      </c>
      <c r="K1278" s="13" t="str">
        <f>IFERROR(__xludf.DUMMYFUNCTION("""COMPUTED_VALUE"""),"Blouses")</f>
        <v>Blouses</v>
      </c>
      <c r="L1278" s="13"/>
    </row>
    <row r="1279">
      <c r="A1279" s="13">
        <f>IFERROR(__xludf.DUMMYFUNCTION("""COMPUTED_VALUE"""),1277.0)</f>
        <v>1277</v>
      </c>
      <c r="B1279" s="13">
        <f>IFERROR(__xludf.DUMMYFUNCTION("""COMPUTED_VALUE"""),850.0)</f>
        <v>850</v>
      </c>
      <c r="C1279" s="13">
        <f>IFERROR(__xludf.DUMMYFUNCTION("""COMPUTED_VALUE"""),49.0)</f>
        <v>49</v>
      </c>
      <c r="D1279" s="12" t="str">
        <f>IFERROR(__xludf.DUMMYFUNCTION("""COMPUTED_VALUE"""),"Blouse")</f>
        <v>Blouse</v>
      </c>
      <c r="E1279" s="12" t="str">
        <f>IFERROR(__xludf.DUMMYFUNCTION("""COMPUTED_VALUE"""),"This light blouse is beautiful and true to size. i ordered the black one and love it!
i would recommend this product")</f>
        <v>This light blouse is beautiful and true to size. i ordered the black one and love it!
i would recommend this product</v>
      </c>
      <c r="F1279" s="13">
        <f>IFERROR(__xludf.DUMMYFUNCTION("""COMPUTED_VALUE"""),5.0)</f>
        <v>5</v>
      </c>
      <c r="G1279" s="13">
        <f>IFERROR(__xludf.DUMMYFUNCTION("""COMPUTED_VALUE"""),1.0)</f>
        <v>1</v>
      </c>
      <c r="H1279" s="13">
        <f>IFERROR(__xludf.DUMMYFUNCTION("""COMPUTED_VALUE"""),0.0)</f>
        <v>0</v>
      </c>
      <c r="I1279" s="13" t="str">
        <f>IFERROR(__xludf.DUMMYFUNCTION("""COMPUTED_VALUE"""),"General")</f>
        <v>General</v>
      </c>
      <c r="J1279" s="13" t="str">
        <f>IFERROR(__xludf.DUMMYFUNCTION("""COMPUTED_VALUE"""),"Tops")</f>
        <v>Tops</v>
      </c>
      <c r="K1279" s="13" t="str">
        <f>IFERROR(__xludf.DUMMYFUNCTION("""COMPUTED_VALUE"""),"Blouses")</f>
        <v>Blouses</v>
      </c>
      <c r="L1279" s="13"/>
    </row>
    <row r="1280">
      <c r="A1280" s="13">
        <f>IFERROR(__xludf.DUMMYFUNCTION("""COMPUTED_VALUE"""),1278.0)</f>
        <v>1278</v>
      </c>
      <c r="B1280" s="13">
        <f>IFERROR(__xludf.DUMMYFUNCTION("""COMPUTED_VALUE"""),850.0)</f>
        <v>850</v>
      </c>
      <c r="C1280" s="13">
        <f>IFERROR(__xludf.DUMMYFUNCTION("""COMPUTED_VALUE"""),59.0)</f>
        <v>59</v>
      </c>
      <c r="D1280" s="12" t="str">
        <f>IFERROR(__xludf.DUMMYFUNCTION("""COMPUTED_VALUE"""),"Beautiful")</f>
        <v>Beautiful</v>
      </c>
      <c r="E1280" s="12" t="str">
        <f>IFERROR(__xludf.DUMMYFUNCTION("""COMPUTED_VALUE"""),"Stopped in to my local retailer today specifically for this top. i was pleasantly surprised - the green is even more vibrant in person! just gorgeous. typically a size small but based on reviews tried on the extra small. still a tad roomy but portland doe"&amp;"sn't carry petite sizing aaaaandidon'twanttopayforshipping... remedy that, retailer portland!")</f>
        <v>Stopped in to my local retailer today specifically for this top. i was pleasantly surprised - the green is even more vibrant in person! just gorgeous. typically a size small but based on reviews tried on the extra small. still a tad roomy but portland doesn't carry petite sizing aaaaandidon'twanttopayforshipping... remedy that, retailer portland!</v>
      </c>
      <c r="F1280" s="13">
        <f>IFERROR(__xludf.DUMMYFUNCTION("""COMPUTED_VALUE"""),5.0)</f>
        <v>5</v>
      </c>
      <c r="G1280" s="13">
        <f>IFERROR(__xludf.DUMMYFUNCTION("""COMPUTED_VALUE"""),1.0)</f>
        <v>1</v>
      </c>
      <c r="H1280" s="13">
        <f>IFERROR(__xludf.DUMMYFUNCTION("""COMPUTED_VALUE"""),8.0)</f>
        <v>8</v>
      </c>
      <c r="I1280" s="13" t="str">
        <f>IFERROR(__xludf.DUMMYFUNCTION("""COMPUTED_VALUE"""),"General")</f>
        <v>General</v>
      </c>
      <c r="J1280" s="13" t="str">
        <f>IFERROR(__xludf.DUMMYFUNCTION("""COMPUTED_VALUE"""),"Tops")</f>
        <v>Tops</v>
      </c>
      <c r="K1280" s="13" t="str">
        <f>IFERROR(__xludf.DUMMYFUNCTION("""COMPUTED_VALUE"""),"Blouses")</f>
        <v>Blouses</v>
      </c>
      <c r="L1280" s="13"/>
    </row>
    <row r="1281">
      <c r="A1281" s="13">
        <f>IFERROR(__xludf.DUMMYFUNCTION("""COMPUTED_VALUE"""),1279.0)</f>
        <v>1279</v>
      </c>
      <c r="B1281" s="13">
        <f>IFERROR(__xludf.DUMMYFUNCTION("""COMPUTED_VALUE"""),850.0)</f>
        <v>850</v>
      </c>
      <c r="C1281" s="13">
        <f>IFERROR(__xludf.DUMMYFUNCTION("""COMPUTED_VALUE"""),32.0)</f>
        <v>32</v>
      </c>
      <c r="D1281" s="12" t="str">
        <f>IFERROR(__xludf.DUMMYFUNCTION("""COMPUTED_VALUE"""),"Awful fit")</f>
        <v>Awful fit</v>
      </c>
      <c r="E1281" s="12" t="str">
        <f>IFERROR(__xludf.DUMMYFUNCTION("""COMPUTED_VALUE"""),"Wanted to like this top but it looks terrible and does not lay right. the bust line is not tight enough to contrast the rest of the top being flowy. does not give any shape to the body. do not recommend for anyone with a medium to large chest.")</f>
        <v>Wanted to like this top but it looks terrible and does not lay right. the bust line is not tight enough to contrast the rest of the top being flowy. does not give any shape to the body. do not recommend for anyone with a medium to large chest.</v>
      </c>
      <c r="F1281" s="13">
        <f>IFERROR(__xludf.DUMMYFUNCTION("""COMPUTED_VALUE"""),2.0)</f>
        <v>2</v>
      </c>
      <c r="G1281" s="13">
        <f>IFERROR(__xludf.DUMMYFUNCTION("""COMPUTED_VALUE"""),0.0)</f>
        <v>0</v>
      </c>
      <c r="H1281" s="13">
        <f>IFERROR(__xludf.DUMMYFUNCTION("""COMPUTED_VALUE"""),0.0)</f>
        <v>0</v>
      </c>
      <c r="I1281" s="13" t="str">
        <f>IFERROR(__xludf.DUMMYFUNCTION("""COMPUTED_VALUE"""),"General")</f>
        <v>General</v>
      </c>
      <c r="J1281" s="13" t="str">
        <f>IFERROR(__xludf.DUMMYFUNCTION("""COMPUTED_VALUE"""),"Tops")</f>
        <v>Tops</v>
      </c>
      <c r="K1281" s="13" t="str">
        <f>IFERROR(__xludf.DUMMYFUNCTION("""COMPUTED_VALUE"""),"Blouses")</f>
        <v>Blouses</v>
      </c>
      <c r="L1281" s="13"/>
    </row>
    <row r="1282">
      <c r="A1282" s="13">
        <f>IFERROR(__xludf.DUMMYFUNCTION("""COMPUTED_VALUE"""),1280.0)</f>
        <v>1280</v>
      </c>
      <c r="B1282" s="13">
        <f>IFERROR(__xludf.DUMMYFUNCTION("""COMPUTED_VALUE"""),940.0)</f>
        <v>940</v>
      </c>
      <c r="C1282" s="13">
        <f>IFERROR(__xludf.DUMMYFUNCTION("""COMPUTED_VALUE"""),48.0)</f>
        <v>48</v>
      </c>
      <c r="D1282" s="12" t="str">
        <f>IFERROR(__xludf.DUMMYFUNCTION("""COMPUTED_VALUE"""),"Great fall piece")</f>
        <v>Great fall piece</v>
      </c>
      <c r="E1282" s="12" t="str">
        <f>IFERROR(__xludf.DUMMYFUNCTION("""COMPUTED_VALUE"""),"This sweater poncho is a nice versatile piece to wear in the fall. wear a blouse or tee under for extra warmth for the maine winters. love the side buttons and the uniqueness of this poncho. true to size, great color. lot's of compliments.")</f>
        <v>This sweater poncho is a nice versatile piece to wear in the fall. wear a blouse or tee under for extra warmth for the maine winters. love the side buttons and the uniqueness of this poncho. true to size, great color. lot's of compliments.</v>
      </c>
      <c r="F1282" s="13">
        <f>IFERROR(__xludf.DUMMYFUNCTION("""COMPUTED_VALUE"""),5.0)</f>
        <v>5</v>
      </c>
      <c r="G1282" s="13">
        <f>IFERROR(__xludf.DUMMYFUNCTION("""COMPUTED_VALUE"""),1.0)</f>
        <v>1</v>
      </c>
      <c r="H1282" s="13">
        <f>IFERROR(__xludf.DUMMYFUNCTION("""COMPUTED_VALUE"""),2.0)</f>
        <v>2</v>
      </c>
      <c r="I1282" s="13" t="str">
        <f>IFERROR(__xludf.DUMMYFUNCTION("""COMPUTED_VALUE"""),"General Petite")</f>
        <v>General Petite</v>
      </c>
      <c r="J1282" s="13" t="str">
        <f>IFERROR(__xludf.DUMMYFUNCTION("""COMPUTED_VALUE"""),"Tops")</f>
        <v>Tops</v>
      </c>
      <c r="K1282" s="13" t="str">
        <f>IFERROR(__xludf.DUMMYFUNCTION("""COMPUTED_VALUE"""),"Sweaters")</f>
        <v>Sweaters</v>
      </c>
      <c r="L1282" s="13"/>
    </row>
    <row r="1283">
      <c r="A1283" s="13">
        <f>IFERROR(__xludf.DUMMYFUNCTION("""COMPUTED_VALUE"""),1281.0)</f>
        <v>1281</v>
      </c>
      <c r="B1283" s="13">
        <f>IFERROR(__xludf.DUMMYFUNCTION("""COMPUTED_VALUE"""),875.0)</f>
        <v>875</v>
      </c>
      <c r="C1283" s="13">
        <f>IFERROR(__xludf.DUMMYFUNCTION("""COMPUTED_VALUE"""),50.0)</f>
        <v>50</v>
      </c>
      <c r="D1283" s="12" t="str">
        <f>IFERROR(__xludf.DUMMYFUNCTION("""COMPUTED_VALUE"""),"Super cute")</f>
        <v>Super cute</v>
      </c>
      <c r="E1283" s="12" t="str">
        <f>IFERROR(__xludf.DUMMYFUNCTION("""COMPUTED_VALUE"""),"Love this top. bought it in both color ways. just adorable and washes well. great option for larger ladies. 
retailer needs to provide more xls to be available in the stores. i shop at the pasadena store and see so many women my size shopping right next t"&amp;"o me, and there is nothing for us. it is so sad that we want to spend our money with you, but you don't want it.")</f>
        <v>Love this top. bought it in both color ways. just adorable and washes well. great option for larger ladies. 
retailer needs to provide more xls to be available in the stores. i shop at the pasadena store and see so many women my size shopping right next to me, and there is nothing for us. it is so sad that we want to spend our money with you, but you don't want it.</v>
      </c>
      <c r="F1283" s="13">
        <f>IFERROR(__xludf.DUMMYFUNCTION("""COMPUTED_VALUE"""),5.0)</f>
        <v>5</v>
      </c>
      <c r="G1283" s="13">
        <f>IFERROR(__xludf.DUMMYFUNCTION("""COMPUTED_VALUE"""),1.0)</f>
        <v>1</v>
      </c>
      <c r="H1283" s="13">
        <f>IFERROR(__xludf.DUMMYFUNCTION("""COMPUTED_VALUE"""),1.0)</f>
        <v>1</v>
      </c>
      <c r="I1283" s="13" t="str">
        <f>IFERROR(__xludf.DUMMYFUNCTION("""COMPUTED_VALUE"""),"General")</f>
        <v>General</v>
      </c>
      <c r="J1283" s="13" t="str">
        <f>IFERROR(__xludf.DUMMYFUNCTION("""COMPUTED_VALUE"""),"Tops")</f>
        <v>Tops</v>
      </c>
      <c r="K1283" s="13" t="str">
        <f>IFERROR(__xludf.DUMMYFUNCTION("""COMPUTED_VALUE"""),"Knits")</f>
        <v>Knits</v>
      </c>
      <c r="L1283" s="13"/>
    </row>
    <row r="1284">
      <c r="A1284" s="13">
        <f>IFERROR(__xludf.DUMMYFUNCTION("""COMPUTED_VALUE"""),1282.0)</f>
        <v>1282</v>
      </c>
      <c r="B1284" s="13">
        <f>IFERROR(__xludf.DUMMYFUNCTION("""COMPUTED_VALUE"""),868.0)</f>
        <v>868</v>
      </c>
      <c r="C1284" s="13">
        <f>IFERROR(__xludf.DUMMYFUNCTION("""COMPUTED_VALUE"""),38.0)</f>
        <v>38</v>
      </c>
      <c r="D1284" s="12" t="str">
        <f>IFERROR(__xludf.DUMMYFUNCTION("""COMPUTED_VALUE"""),"Comfortable style")</f>
        <v>Comfortable style</v>
      </c>
      <c r="E1284" s="12" t="str">
        <f>IFERROR(__xludf.DUMMYFUNCTION("""COMPUTED_VALUE"""),"Like the extra details on the neck and back - and it's versatile to wear everywhere")</f>
        <v>Like the extra details on the neck and back - and it's versatile to wear everywhere</v>
      </c>
      <c r="F1284" s="13">
        <f>IFERROR(__xludf.DUMMYFUNCTION("""COMPUTED_VALUE"""),4.0)</f>
        <v>4</v>
      </c>
      <c r="G1284" s="13">
        <f>IFERROR(__xludf.DUMMYFUNCTION("""COMPUTED_VALUE"""),1.0)</f>
        <v>1</v>
      </c>
      <c r="H1284" s="13">
        <f>IFERROR(__xludf.DUMMYFUNCTION("""COMPUTED_VALUE"""),3.0)</f>
        <v>3</v>
      </c>
      <c r="I1284" s="13" t="str">
        <f>IFERROR(__xludf.DUMMYFUNCTION("""COMPUTED_VALUE"""),"General")</f>
        <v>General</v>
      </c>
      <c r="J1284" s="13" t="str">
        <f>IFERROR(__xludf.DUMMYFUNCTION("""COMPUTED_VALUE"""),"Tops")</f>
        <v>Tops</v>
      </c>
      <c r="K1284" s="13" t="str">
        <f>IFERROR(__xludf.DUMMYFUNCTION("""COMPUTED_VALUE"""),"Knits")</f>
        <v>Knits</v>
      </c>
      <c r="L1284" s="13"/>
    </row>
    <row r="1285">
      <c r="A1285" s="13">
        <f>IFERROR(__xludf.DUMMYFUNCTION("""COMPUTED_VALUE"""),1283.0)</f>
        <v>1283</v>
      </c>
      <c r="B1285" s="13">
        <f>IFERROR(__xludf.DUMMYFUNCTION("""COMPUTED_VALUE"""),850.0)</f>
        <v>850</v>
      </c>
      <c r="C1285" s="13">
        <f>IFERROR(__xludf.DUMMYFUNCTION("""COMPUTED_VALUE"""),33.0)</f>
        <v>33</v>
      </c>
      <c r="D1285" s="12" t="str">
        <f>IFERROR(__xludf.DUMMYFUNCTION("""COMPUTED_VALUE"""),"Versatile blouse!")</f>
        <v>Versatile blouse!</v>
      </c>
      <c r="E1285" s="12" t="str">
        <f>IFERROR(__xludf.DUMMYFUNCTION("""COMPUTED_VALUE"""),"Agree with other contributer - this is a great piece to snag on sale. i bought this 2 months post partum with the intention of hiding the post baby belly - which is does well! i think it fits true to size (i'm typically l and this l fit well). i can see h"&amp;"ow certain body types it would look maternity, but i'm short and curvy and the blouse is flattering. it's lightweight, so i plan to add a cardigan in the fall/winter.")</f>
        <v>Agree with other contributer - this is a great piece to snag on sale. i bought this 2 months post partum with the intention of hiding the post baby belly - which is does well! i think it fits true to size (i'm typically l and this l fit well). i can see how certain body types it would look maternity, but i'm short and curvy and the blouse is flattering. it's lightweight, so i plan to add a cardigan in the fall/winter.</v>
      </c>
      <c r="F1285" s="13">
        <f>IFERROR(__xludf.DUMMYFUNCTION("""COMPUTED_VALUE"""),4.0)</f>
        <v>4</v>
      </c>
      <c r="G1285" s="13">
        <f>IFERROR(__xludf.DUMMYFUNCTION("""COMPUTED_VALUE"""),1.0)</f>
        <v>1</v>
      </c>
      <c r="H1285" s="13">
        <f>IFERROR(__xludf.DUMMYFUNCTION("""COMPUTED_VALUE"""),0.0)</f>
        <v>0</v>
      </c>
      <c r="I1285" s="13" t="str">
        <f>IFERROR(__xludf.DUMMYFUNCTION("""COMPUTED_VALUE"""),"General")</f>
        <v>General</v>
      </c>
      <c r="J1285" s="13" t="str">
        <f>IFERROR(__xludf.DUMMYFUNCTION("""COMPUTED_VALUE"""),"Tops")</f>
        <v>Tops</v>
      </c>
      <c r="K1285" s="13" t="str">
        <f>IFERROR(__xludf.DUMMYFUNCTION("""COMPUTED_VALUE"""),"Blouses")</f>
        <v>Blouses</v>
      </c>
      <c r="L1285" s="13"/>
    </row>
    <row r="1286">
      <c r="A1286" s="13">
        <f>IFERROR(__xludf.DUMMYFUNCTION("""COMPUTED_VALUE"""),1284.0)</f>
        <v>1284</v>
      </c>
      <c r="B1286" s="13">
        <f>IFERROR(__xludf.DUMMYFUNCTION("""COMPUTED_VALUE"""),1095.0)</f>
        <v>1095</v>
      </c>
      <c r="C1286" s="13">
        <f>IFERROR(__xludf.DUMMYFUNCTION("""COMPUTED_VALUE"""),43.0)</f>
        <v>43</v>
      </c>
      <c r="D1286" s="12" t="str">
        <f>IFERROR(__xludf.DUMMYFUNCTION("""COMPUTED_VALUE"""),"Lovely but not awesome")</f>
        <v>Lovely but not awesome</v>
      </c>
      <c r="E1286" s="12" t="str">
        <f>IFERROR(__xludf.DUMMYFUNCTION("""COMPUTED_VALUE"""),"This dress is a bit scratchy, but overall i liked the fabric well enough. on someone blond and fair, the peach color washes out a bit. the issue for me with the dress is that front is just too short for my height (i'm 5 9 1/2). it looked a bit obscene. 
"&amp;"the small otherwise fit me great. i have broad shoulders, small chest and and slim.")</f>
        <v>This dress is a bit scratchy, but overall i liked the fabric well enough. on someone blond and fair, the peach color washes out a bit. the issue for me with the dress is that front is just too short for my height (i'm 5 9 1/2). it looked a bit obscene. 
the small otherwise fit me great. i have broad shoulders, small chest and and slim.</v>
      </c>
      <c r="F1286" s="13">
        <f>IFERROR(__xludf.DUMMYFUNCTION("""COMPUTED_VALUE"""),3.0)</f>
        <v>3</v>
      </c>
      <c r="G1286" s="13">
        <f>IFERROR(__xludf.DUMMYFUNCTION("""COMPUTED_VALUE"""),1.0)</f>
        <v>1</v>
      </c>
      <c r="H1286" s="13">
        <f>IFERROR(__xludf.DUMMYFUNCTION("""COMPUTED_VALUE"""),0.0)</f>
        <v>0</v>
      </c>
      <c r="I1286" s="13" t="str">
        <f>IFERROR(__xludf.DUMMYFUNCTION("""COMPUTED_VALUE"""),"General")</f>
        <v>General</v>
      </c>
      <c r="J1286" s="13" t="str">
        <f>IFERROR(__xludf.DUMMYFUNCTION("""COMPUTED_VALUE"""),"Dresses")</f>
        <v>Dresses</v>
      </c>
      <c r="K1286" s="13" t="str">
        <f>IFERROR(__xludf.DUMMYFUNCTION("""COMPUTED_VALUE"""),"Dresses")</f>
        <v>Dresses</v>
      </c>
      <c r="L1286" s="13"/>
    </row>
    <row r="1287">
      <c r="A1287" s="13">
        <f>IFERROR(__xludf.DUMMYFUNCTION("""COMPUTED_VALUE"""),1285.0)</f>
        <v>1285</v>
      </c>
      <c r="B1287" s="13">
        <f>IFERROR(__xludf.DUMMYFUNCTION("""COMPUTED_VALUE"""),979.0)</f>
        <v>979</v>
      </c>
      <c r="C1287" s="13">
        <f>IFERROR(__xludf.DUMMYFUNCTION("""COMPUTED_VALUE"""),37.0)</f>
        <v>37</v>
      </c>
      <c r="D1287" s="12" t="str">
        <f>IFERROR(__xludf.DUMMYFUNCTION("""COMPUTED_VALUE"""),"Cozy amazingness!!")</f>
        <v>Cozy amazingness!!</v>
      </c>
      <c r="E1287" s="12" t="str">
        <f>IFERROR(__xludf.DUMMYFUNCTION("""COMPUTED_VALUE"""),"This beauty arrived in my store today...and despite all my gals telling me that i own too many vests, i just had to have this one. i've always wanted a cozy fur or sherpa vest...but i'm curvy and always feel like those add bulk. this one only has sherpa o"&amp;"n one side (the softest most cozy sherpa ever) and its not too bulky! the print is even better than it appears online...in fact, the vest almost appears pink online, and its not in person. there is much more variation in color in person! i adore")</f>
        <v>This beauty arrived in my store today...and despite all my gals telling me that i own too many vests, i just had to have this one. i've always wanted a cozy fur or sherpa vest...but i'm curvy and always feel like those add bulk. this one only has sherpa on one side (the softest most cozy sherpa ever) and its not too bulky! the print is even better than it appears online...in fact, the vest almost appears pink online, and its not in person. there is much more variation in color in person! i adore</v>
      </c>
      <c r="F1287" s="13">
        <f>IFERROR(__xludf.DUMMYFUNCTION("""COMPUTED_VALUE"""),5.0)</f>
        <v>5</v>
      </c>
      <c r="G1287" s="13">
        <f>IFERROR(__xludf.DUMMYFUNCTION("""COMPUTED_VALUE"""),1.0)</f>
        <v>1</v>
      </c>
      <c r="H1287" s="13">
        <f>IFERROR(__xludf.DUMMYFUNCTION("""COMPUTED_VALUE"""),1.0)</f>
        <v>1</v>
      </c>
      <c r="I1287" s="13" t="str">
        <f>IFERROR(__xludf.DUMMYFUNCTION("""COMPUTED_VALUE"""),"General")</f>
        <v>General</v>
      </c>
      <c r="J1287" s="13" t="str">
        <f>IFERROR(__xludf.DUMMYFUNCTION("""COMPUTED_VALUE"""),"Jackets")</f>
        <v>Jackets</v>
      </c>
      <c r="K1287" s="13" t="str">
        <f>IFERROR(__xludf.DUMMYFUNCTION("""COMPUTED_VALUE"""),"Jackets")</f>
        <v>Jackets</v>
      </c>
      <c r="L1287" s="13"/>
    </row>
    <row r="1288">
      <c r="A1288" s="13">
        <f>IFERROR(__xludf.DUMMYFUNCTION("""COMPUTED_VALUE"""),1286.0)</f>
        <v>1286</v>
      </c>
      <c r="B1288" s="13">
        <f>IFERROR(__xludf.DUMMYFUNCTION("""COMPUTED_VALUE"""),875.0)</f>
        <v>875</v>
      </c>
      <c r="C1288" s="13">
        <f>IFERROR(__xludf.DUMMYFUNCTION("""COMPUTED_VALUE"""),37.0)</f>
        <v>37</v>
      </c>
      <c r="D1288" s="12" t="str">
        <f>IFERROR(__xludf.DUMMYFUNCTION("""COMPUTED_VALUE"""),"Cute and fun top!")</f>
        <v>Cute and fun top!</v>
      </c>
      <c r="E1288" s="12" t="str">
        <f>IFERROR(__xludf.DUMMYFUNCTION("""COMPUTED_VALUE"""),"I love swing tops. the more swingy, the better! this top is so fun. its a little hard to tell online, but its made of two fabrics. most of the fabric is a thin t-shirt material, and then theres a panel on one side thats more of a silky fabric. its so so c"&amp;"ool! the colors are just as they appear online, and the print is fun and edgy. i have larger arms, so i love the length of the sleeves. the other reviewer said it was cropped, but i did not have that experience. in fact i was able to wear mine w")</f>
        <v>I love swing tops. the more swingy, the better! this top is so fun. its a little hard to tell online, but its made of two fabrics. most of the fabric is a thin t-shirt material, and then theres a panel on one side thats more of a silky fabric. its so so cool! the colors are just as they appear online, and the print is fun and edgy. i have larger arms, so i love the length of the sleeves. the other reviewer said it was cropped, but i did not have that experience. in fact i was able to wear mine w</v>
      </c>
      <c r="F1288" s="13">
        <f>IFERROR(__xludf.DUMMYFUNCTION("""COMPUTED_VALUE"""),5.0)</f>
        <v>5</v>
      </c>
      <c r="G1288" s="13">
        <f>IFERROR(__xludf.DUMMYFUNCTION("""COMPUTED_VALUE"""),1.0)</f>
        <v>1</v>
      </c>
      <c r="H1288" s="13">
        <f>IFERROR(__xludf.DUMMYFUNCTION("""COMPUTED_VALUE"""),5.0)</f>
        <v>5</v>
      </c>
      <c r="I1288" s="13" t="str">
        <f>IFERROR(__xludf.DUMMYFUNCTION("""COMPUTED_VALUE"""),"General")</f>
        <v>General</v>
      </c>
      <c r="J1288" s="13" t="str">
        <f>IFERROR(__xludf.DUMMYFUNCTION("""COMPUTED_VALUE"""),"Tops")</f>
        <v>Tops</v>
      </c>
      <c r="K1288" s="13" t="str">
        <f>IFERROR(__xludf.DUMMYFUNCTION("""COMPUTED_VALUE"""),"Knits")</f>
        <v>Knits</v>
      </c>
      <c r="L1288" s="13"/>
    </row>
    <row r="1289">
      <c r="A1289" s="13">
        <f>IFERROR(__xludf.DUMMYFUNCTION("""COMPUTED_VALUE"""),1287.0)</f>
        <v>1287</v>
      </c>
      <c r="B1289" s="13">
        <f>IFERROR(__xludf.DUMMYFUNCTION("""COMPUTED_VALUE"""),1095.0)</f>
        <v>1095</v>
      </c>
      <c r="C1289" s="13">
        <f>IFERROR(__xludf.DUMMYFUNCTION("""COMPUTED_VALUE"""),23.0)</f>
        <v>23</v>
      </c>
      <c r="D1289" s="12" t="str">
        <f>IFERROR(__xludf.DUMMYFUNCTION("""COMPUTED_VALUE"""),"Lovely, unique and odd")</f>
        <v>Lovely, unique and odd</v>
      </c>
      <c r="E1289" s="12" t="str">
        <f>IFERROR(__xludf.DUMMYFUNCTION("""COMPUTED_VALUE"""),"I really wanted to love this dress. two lovely associates paired it with the desideria bib necklace and the black dakota cardigan, which gives the outfit definition and elegance. but the dress by itself would have needed altering to fit my 34-b top. i cho"&amp;"se size m because of the length-- the small was 1 1/2 "" shorter in front (i am 5'8"") in the end, i realized i would probably choose my other favorites from my closet. but it will be stunning on the right person.")</f>
        <v>I really wanted to love this dress. two lovely associates paired it with the desideria bib necklace and the black dakota cardigan, which gives the outfit definition and elegance. but the dress by itself would have needed altering to fit my 34-b top. i chose size m because of the length-- the small was 1 1/2 " shorter in front (i am 5'8") in the end, i realized i would probably choose my other favorites from my closet. but it will be stunning on the right person.</v>
      </c>
      <c r="F1289" s="13">
        <f>IFERROR(__xludf.DUMMYFUNCTION("""COMPUTED_VALUE"""),5.0)</f>
        <v>5</v>
      </c>
      <c r="G1289" s="13">
        <f>IFERROR(__xludf.DUMMYFUNCTION("""COMPUTED_VALUE"""),1.0)</f>
        <v>1</v>
      </c>
      <c r="H1289" s="13">
        <f>IFERROR(__xludf.DUMMYFUNCTION("""COMPUTED_VALUE"""),6.0)</f>
        <v>6</v>
      </c>
      <c r="I1289" s="13" t="str">
        <f>IFERROR(__xludf.DUMMYFUNCTION("""COMPUTED_VALUE"""),"General")</f>
        <v>General</v>
      </c>
      <c r="J1289" s="13" t="str">
        <f>IFERROR(__xludf.DUMMYFUNCTION("""COMPUTED_VALUE"""),"Dresses")</f>
        <v>Dresses</v>
      </c>
      <c r="K1289" s="13" t="str">
        <f>IFERROR(__xludf.DUMMYFUNCTION("""COMPUTED_VALUE"""),"Dresses")</f>
        <v>Dresses</v>
      </c>
      <c r="L1289" s="13"/>
    </row>
    <row r="1290">
      <c r="A1290" s="13">
        <f>IFERROR(__xludf.DUMMYFUNCTION("""COMPUTED_VALUE"""),1288.0)</f>
        <v>1288</v>
      </c>
      <c r="B1290" s="13">
        <f>IFERROR(__xludf.DUMMYFUNCTION("""COMPUTED_VALUE"""),850.0)</f>
        <v>850</v>
      </c>
      <c r="C1290" s="13">
        <f>IFERROR(__xludf.DUMMYFUNCTION("""COMPUTED_VALUE"""),39.0)</f>
        <v>39</v>
      </c>
      <c r="D1290" s="12" t="str">
        <f>IFERROR(__xludf.DUMMYFUNCTION("""COMPUTED_VALUE"""),"Cute, but not on me!")</f>
        <v>Cute, but not on me!</v>
      </c>
      <c r="E1290" s="12" t="str">
        <f>IFERROR(__xludf.DUMMYFUNCTION("""COMPUTED_VALUE"""),"I read all the reviews and was hoping that this top would work for me, but it did not. i ordered a size smaller than usual and it was still way too big. it was not flattering at all on my curvy frame. overall, it looked more like a maternity top on me the"&amp;"n anything else! if you're tall and slender, i think this top would work!")</f>
        <v>I read all the reviews and was hoping that this top would work for me, but it did not. i ordered a size smaller than usual and it was still way too big. it was not flattering at all on my curvy frame. overall, it looked more like a maternity top on me then anything else! if you're tall and slender, i think this top would work!</v>
      </c>
      <c r="F1290" s="13">
        <f>IFERROR(__xludf.DUMMYFUNCTION("""COMPUTED_VALUE"""),2.0)</f>
        <v>2</v>
      </c>
      <c r="G1290" s="13">
        <f>IFERROR(__xludf.DUMMYFUNCTION("""COMPUTED_VALUE"""),0.0)</f>
        <v>0</v>
      </c>
      <c r="H1290" s="13">
        <f>IFERROR(__xludf.DUMMYFUNCTION("""COMPUTED_VALUE"""),0.0)</f>
        <v>0</v>
      </c>
      <c r="I1290" s="13" t="str">
        <f>IFERROR(__xludf.DUMMYFUNCTION("""COMPUTED_VALUE"""),"General")</f>
        <v>General</v>
      </c>
      <c r="J1290" s="13" t="str">
        <f>IFERROR(__xludf.DUMMYFUNCTION("""COMPUTED_VALUE"""),"Tops")</f>
        <v>Tops</v>
      </c>
      <c r="K1290" s="13" t="str">
        <f>IFERROR(__xludf.DUMMYFUNCTION("""COMPUTED_VALUE"""),"Blouses")</f>
        <v>Blouses</v>
      </c>
      <c r="L1290" s="13"/>
    </row>
    <row r="1291">
      <c r="A1291" s="13">
        <f>IFERROR(__xludf.DUMMYFUNCTION("""COMPUTED_VALUE"""),1289.0)</f>
        <v>1289</v>
      </c>
      <c r="B1291" s="13">
        <f>IFERROR(__xludf.DUMMYFUNCTION("""COMPUTED_VALUE"""),850.0)</f>
        <v>850</v>
      </c>
      <c r="C1291" s="13">
        <f>IFERROR(__xludf.DUMMYFUNCTION("""COMPUTED_VALUE"""),34.0)</f>
        <v>34</v>
      </c>
      <c r="D1291" s="12"/>
      <c r="E1291" s="12" t="str">
        <f>IFERROR(__xludf.DUMMYFUNCTION("""COMPUTED_VALUE"""),"I'm still on the fence with this shirt. i have the grey - it almost looks like a cheetah design up close. i'm 5'3""")</f>
        <v>I'm still on the fence with this shirt. i have the grey - it almost looks like a cheetah design up close. i'm 5'3"</v>
      </c>
      <c r="F1291" s="13">
        <f>IFERROR(__xludf.DUMMYFUNCTION("""COMPUTED_VALUE"""),3.0)</f>
        <v>3</v>
      </c>
      <c r="G1291" s="13">
        <f>IFERROR(__xludf.DUMMYFUNCTION("""COMPUTED_VALUE"""),1.0)</f>
        <v>1</v>
      </c>
      <c r="H1291" s="13">
        <f>IFERROR(__xludf.DUMMYFUNCTION("""COMPUTED_VALUE"""),0.0)</f>
        <v>0</v>
      </c>
      <c r="I1291" s="13" t="str">
        <f>IFERROR(__xludf.DUMMYFUNCTION("""COMPUTED_VALUE"""),"General")</f>
        <v>General</v>
      </c>
      <c r="J1291" s="13" t="str">
        <f>IFERROR(__xludf.DUMMYFUNCTION("""COMPUTED_VALUE"""),"Tops")</f>
        <v>Tops</v>
      </c>
      <c r="K1291" s="13" t="str">
        <f>IFERROR(__xludf.DUMMYFUNCTION("""COMPUTED_VALUE"""),"Blouses")</f>
        <v>Blouses</v>
      </c>
      <c r="L1291" s="13"/>
    </row>
    <row r="1292">
      <c r="A1292" s="13">
        <f>IFERROR(__xludf.DUMMYFUNCTION("""COMPUTED_VALUE"""),1290.0)</f>
        <v>1290</v>
      </c>
      <c r="B1292" s="13">
        <f>IFERROR(__xludf.DUMMYFUNCTION("""COMPUTED_VALUE"""),1095.0)</f>
        <v>1095</v>
      </c>
      <c r="C1292" s="13">
        <f>IFERROR(__xludf.DUMMYFUNCTION("""COMPUTED_VALUE"""),35.0)</f>
        <v>35</v>
      </c>
      <c r="D1292" s="12" t="str">
        <f>IFERROR(__xludf.DUMMYFUNCTION("""COMPUTED_VALUE"""),"Love it so much")</f>
        <v>Love it so much</v>
      </c>
      <c r="E1292" s="12" t="str">
        <f>IFERROR(__xludf.DUMMYFUNCTION("""COMPUTED_VALUE"""),"I love this dress - originally ordered the medium, which is my normal size, especially because i am tall. the arm holes were gaping, and so i returned for the small. the small is perfect. it fits exactly as on the model, and i didn't have a problem with t"&amp;"he color being see-through. it really is so unique but so simple. the color is perfect. 
i took a single star off because it is not lined - for the price, this would have been nice.")</f>
        <v>I love this dress - originally ordered the medium, which is my normal size, especially because i am tall. the arm holes were gaping, and so i returned for the small. the small is perfect. it fits exactly as on the model, and i didn't have a problem with the color being see-through. it really is so unique but so simple. the color is perfect. 
i took a single star off because it is not lined - for the price, this would have been nice.</v>
      </c>
      <c r="F1292" s="13">
        <f>IFERROR(__xludf.DUMMYFUNCTION("""COMPUTED_VALUE"""),5.0)</f>
        <v>5</v>
      </c>
      <c r="G1292" s="13">
        <f>IFERROR(__xludf.DUMMYFUNCTION("""COMPUTED_VALUE"""),1.0)</f>
        <v>1</v>
      </c>
      <c r="H1292" s="13">
        <f>IFERROR(__xludf.DUMMYFUNCTION("""COMPUTED_VALUE"""),7.0)</f>
        <v>7</v>
      </c>
      <c r="I1292" s="13" t="str">
        <f>IFERROR(__xludf.DUMMYFUNCTION("""COMPUTED_VALUE"""),"General")</f>
        <v>General</v>
      </c>
      <c r="J1292" s="13" t="str">
        <f>IFERROR(__xludf.DUMMYFUNCTION("""COMPUTED_VALUE"""),"Dresses")</f>
        <v>Dresses</v>
      </c>
      <c r="K1292" s="13" t="str">
        <f>IFERROR(__xludf.DUMMYFUNCTION("""COMPUTED_VALUE"""),"Dresses")</f>
        <v>Dresses</v>
      </c>
      <c r="L1292" s="13"/>
    </row>
    <row r="1293">
      <c r="A1293" s="13">
        <f>IFERROR(__xludf.DUMMYFUNCTION("""COMPUTED_VALUE"""),1291.0)</f>
        <v>1291</v>
      </c>
      <c r="B1293" s="13">
        <f>IFERROR(__xludf.DUMMYFUNCTION("""COMPUTED_VALUE"""),850.0)</f>
        <v>850</v>
      </c>
      <c r="C1293" s="13">
        <f>IFERROR(__xludf.DUMMYFUNCTION("""COMPUTED_VALUE"""),61.0)</f>
        <v>61</v>
      </c>
      <c r="D1293" s="12" t="str">
        <f>IFERROR(__xludf.DUMMYFUNCTION("""COMPUTED_VALUE"""),"Adorable top")</f>
        <v>Adorable top</v>
      </c>
      <c r="E1293" s="12" t="str">
        <f>IFERROR(__xludf.DUMMYFUNCTION("""COMPUTED_VALUE"""),"This is a cute top, especially the material design. i like tops that go over my bottom and this does. if i had a problem it is with the sizing. the fact that it was only online so i could not try it on made it difficult to know really what size to get. so"&amp;"me reviews said it was true to size and others said go down a size. i did go down a size but it still hangs a little big. but i still love the overall look. i am also petite which is what i ordered.")</f>
        <v>This is a cute top, especially the material design. i like tops that go over my bottom and this does. if i had a problem it is with the sizing. the fact that it was only online so i could not try it on made it difficult to know really what size to get. some reviews said it was true to size and others said go down a size. i did go down a size but it still hangs a little big. but i still love the overall look. i am also petite which is what i ordered.</v>
      </c>
      <c r="F1293" s="13">
        <f>IFERROR(__xludf.DUMMYFUNCTION("""COMPUTED_VALUE"""),4.0)</f>
        <v>4</v>
      </c>
      <c r="G1293" s="13">
        <f>IFERROR(__xludf.DUMMYFUNCTION("""COMPUTED_VALUE"""),1.0)</f>
        <v>1</v>
      </c>
      <c r="H1293" s="13">
        <f>IFERROR(__xludf.DUMMYFUNCTION("""COMPUTED_VALUE"""),0.0)</f>
        <v>0</v>
      </c>
      <c r="I1293" s="13" t="str">
        <f>IFERROR(__xludf.DUMMYFUNCTION("""COMPUTED_VALUE"""),"General")</f>
        <v>General</v>
      </c>
      <c r="J1293" s="13" t="str">
        <f>IFERROR(__xludf.DUMMYFUNCTION("""COMPUTED_VALUE"""),"Tops")</f>
        <v>Tops</v>
      </c>
      <c r="K1293" s="13" t="str">
        <f>IFERROR(__xludf.DUMMYFUNCTION("""COMPUTED_VALUE"""),"Blouses")</f>
        <v>Blouses</v>
      </c>
      <c r="L1293" s="13"/>
    </row>
    <row r="1294">
      <c r="A1294" s="13">
        <f>IFERROR(__xludf.DUMMYFUNCTION("""COMPUTED_VALUE"""),1292.0)</f>
        <v>1292</v>
      </c>
      <c r="B1294" s="13">
        <f>IFERROR(__xludf.DUMMYFUNCTION("""COMPUTED_VALUE"""),873.0)</f>
        <v>873</v>
      </c>
      <c r="C1294" s="13">
        <f>IFERROR(__xludf.DUMMYFUNCTION("""COMPUTED_VALUE"""),60.0)</f>
        <v>60</v>
      </c>
      <c r="D1294" s="12" t="str">
        <f>IFERROR(__xludf.DUMMYFUNCTION("""COMPUTED_VALUE"""),"Cute white tee")</f>
        <v>Cute white tee</v>
      </c>
      <c r="E1294" s="12" t="str">
        <f>IFERROR(__xludf.DUMMYFUNCTION("""COMPUTED_VALUE"""),"Cute white t-shirt different style but didn't work on my body type so i returned it 
 good price point 
 basic fabric")</f>
        <v>Cute white t-shirt different style but didn't work on my body type so i returned it 
 good price point 
 basic fabric</v>
      </c>
      <c r="F1294" s="13">
        <f>IFERROR(__xludf.DUMMYFUNCTION("""COMPUTED_VALUE"""),4.0)</f>
        <v>4</v>
      </c>
      <c r="G1294" s="13">
        <f>IFERROR(__xludf.DUMMYFUNCTION("""COMPUTED_VALUE"""),1.0)</f>
        <v>1</v>
      </c>
      <c r="H1294" s="13">
        <f>IFERROR(__xludf.DUMMYFUNCTION("""COMPUTED_VALUE"""),1.0)</f>
        <v>1</v>
      </c>
      <c r="I1294" s="13" t="str">
        <f>IFERROR(__xludf.DUMMYFUNCTION("""COMPUTED_VALUE"""),"General")</f>
        <v>General</v>
      </c>
      <c r="J1294" s="13" t="str">
        <f>IFERROR(__xludf.DUMMYFUNCTION("""COMPUTED_VALUE"""),"Tops")</f>
        <v>Tops</v>
      </c>
      <c r="K1294" s="13" t="str">
        <f>IFERROR(__xludf.DUMMYFUNCTION("""COMPUTED_VALUE"""),"Knits")</f>
        <v>Knits</v>
      </c>
      <c r="L1294" s="13"/>
    </row>
    <row r="1295">
      <c r="A1295" s="13">
        <f>IFERROR(__xludf.DUMMYFUNCTION("""COMPUTED_VALUE"""),1293.0)</f>
        <v>1293</v>
      </c>
      <c r="B1295" s="13">
        <f>IFERROR(__xludf.DUMMYFUNCTION("""COMPUTED_VALUE"""),850.0)</f>
        <v>850</v>
      </c>
      <c r="C1295" s="13">
        <f>IFERROR(__xludf.DUMMYFUNCTION("""COMPUTED_VALUE"""),36.0)</f>
        <v>36</v>
      </c>
      <c r="D1295" s="12"/>
      <c r="E1295" s="12" t="str">
        <f>IFERROR(__xludf.DUMMYFUNCTION("""COMPUTED_VALUE"""),"Nice, flowy, comfy top with soft fabric. there's a lot of fabric below the waist - it could probably work as a maternity top - but it drapes nicely rather than looking overwhelming. i do find that the buttons gap a little at the chest, despite the top fit"&amp;"ting loosely on me, so i have to wear a layer under it.")</f>
        <v>Nice, flowy, comfy top with soft fabric. there's a lot of fabric below the waist - it could probably work as a maternity top - but it drapes nicely rather than looking overwhelming. i do find that the buttons gap a little at the chest, despite the top fitting loosely on me, so i have to wear a layer under it.</v>
      </c>
      <c r="F1295" s="13">
        <f>IFERROR(__xludf.DUMMYFUNCTION("""COMPUTED_VALUE"""),4.0)</f>
        <v>4</v>
      </c>
      <c r="G1295" s="13">
        <f>IFERROR(__xludf.DUMMYFUNCTION("""COMPUTED_VALUE"""),1.0)</f>
        <v>1</v>
      </c>
      <c r="H1295" s="13">
        <f>IFERROR(__xludf.DUMMYFUNCTION("""COMPUTED_VALUE"""),0.0)</f>
        <v>0</v>
      </c>
      <c r="I1295" s="13" t="str">
        <f>IFERROR(__xludf.DUMMYFUNCTION("""COMPUTED_VALUE"""),"General")</f>
        <v>General</v>
      </c>
      <c r="J1295" s="13" t="str">
        <f>IFERROR(__xludf.DUMMYFUNCTION("""COMPUTED_VALUE"""),"Tops")</f>
        <v>Tops</v>
      </c>
      <c r="K1295" s="13" t="str">
        <f>IFERROR(__xludf.DUMMYFUNCTION("""COMPUTED_VALUE"""),"Blouses")</f>
        <v>Blouses</v>
      </c>
      <c r="L1295" s="13"/>
    </row>
    <row r="1296">
      <c r="A1296" s="13">
        <f>IFERROR(__xludf.DUMMYFUNCTION("""COMPUTED_VALUE"""),1294.0)</f>
        <v>1294</v>
      </c>
      <c r="B1296" s="13">
        <f>IFERROR(__xludf.DUMMYFUNCTION("""COMPUTED_VALUE"""),1095.0)</f>
        <v>1095</v>
      </c>
      <c r="C1296" s="13">
        <f>IFERROR(__xludf.DUMMYFUNCTION("""COMPUTED_VALUE"""),29.0)</f>
        <v>29</v>
      </c>
      <c r="D1296" s="12"/>
      <c r="E1296" s="12" t="str">
        <f>IFERROR(__xludf.DUMMYFUNCTION("""COMPUTED_VALUE"""),"I've been on the hunt for the perfect dress to wear for my daughter's first birthday party. since we are throwing a traditional korean first birthday, i was looking for a dress you might wear to a daytime wedding or a fancy brunch. i just purchased this d"&amp;"ress today in the store and it fits my needs perfectly. 
i disagree with the first reviewer who mentioned that this dress was too sheer. this dress is a thicker fabric so i do not think i will need a slip when wearing it. it does drape nicely")</f>
        <v>I've been on the hunt for the perfect dress to wear for my daughter's first birthday party. since we are throwing a traditional korean first birthday, i was looking for a dress you might wear to a daytime wedding or a fancy brunch. i just purchased this dress today in the store and it fits my needs perfectly. 
i disagree with the first reviewer who mentioned that this dress was too sheer. this dress is a thicker fabric so i do not think i will need a slip when wearing it. it does drape nicely</v>
      </c>
      <c r="F1296" s="13">
        <f>IFERROR(__xludf.DUMMYFUNCTION("""COMPUTED_VALUE"""),5.0)</f>
        <v>5</v>
      </c>
      <c r="G1296" s="13">
        <f>IFERROR(__xludf.DUMMYFUNCTION("""COMPUTED_VALUE"""),1.0)</f>
        <v>1</v>
      </c>
      <c r="H1296" s="13">
        <f>IFERROR(__xludf.DUMMYFUNCTION("""COMPUTED_VALUE"""),117.0)</f>
        <v>117</v>
      </c>
      <c r="I1296" s="13" t="str">
        <f>IFERROR(__xludf.DUMMYFUNCTION("""COMPUTED_VALUE"""),"General")</f>
        <v>General</v>
      </c>
      <c r="J1296" s="13" t="str">
        <f>IFERROR(__xludf.DUMMYFUNCTION("""COMPUTED_VALUE"""),"Dresses")</f>
        <v>Dresses</v>
      </c>
      <c r="K1296" s="13" t="str">
        <f>IFERROR(__xludf.DUMMYFUNCTION("""COMPUTED_VALUE"""),"Dresses")</f>
        <v>Dresses</v>
      </c>
      <c r="L1296" s="13"/>
    </row>
    <row r="1297">
      <c r="A1297" s="13">
        <f>IFERROR(__xludf.DUMMYFUNCTION("""COMPUTED_VALUE"""),1295.0)</f>
        <v>1295</v>
      </c>
      <c r="B1297" s="13">
        <f>IFERROR(__xludf.DUMMYFUNCTION("""COMPUTED_VALUE"""),875.0)</f>
        <v>875</v>
      </c>
      <c r="C1297" s="13">
        <f>IFERROR(__xludf.DUMMYFUNCTION("""COMPUTED_VALUE"""),42.0)</f>
        <v>42</v>
      </c>
      <c r="D1297" s="12" t="str">
        <f>IFERROR(__xludf.DUMMYFUNCTION("""COMPUTED_VALUE"""),"A unique one of a kind t shirt")</f>
        <v>A unique one of a kind t shirt</v>
      </c>
      <c r="E1297" s="12" t="str">
        <f>IFERROR(__xludf.DUMMYFUNCTION("""COMPUTED_VALUE"""),"I absolutely love this shirt! even though it has a large flowy design it looks wonderful. the print is so unique and will transition to autumn beautifully! i loved it so much i got both colors.")</f>
        <v>I absolutely love this shirt! even though it has a large flowy design it looks wonderful. the print is so unique and will transition to autumn beautifully! i loved it so much i got both colors.</v>
      </c>
      <c r="F1297" s="13">
        <f>IFERROR(__xludf.DUMMYFUNCTION("""COMPUTED_VALUE"""),4.0)</f>
        <v>4</v>
      </c>
      <c r="G1297" s="13">
        <f>IFERROR(__xludf.DUMMYFUNCTION("""COMPUTED_VALUE"""),1.0)</f>
        <v>1</v>
      </c>
      <c r="H1297" s="13">
        <f>IFERROR(__xludf.DUMMYFUNCTION("""COMPUTED_VALUE"""),1.0)</f>
        <v>1</v>
      </c>
      <c r="I1297" s="13" t="str">
        <f>IFERROR(__xludf.DUMMYFUNCTION("""COMPUTED_VALUE"""),"General")</f>
        <v>General</v>
      </c>
      <c r="J1297" s="13" t="str">
        <f>IFERROR(__xludf.DUMMYFUNCTION("""COMPUTED_VALUE"""),"Tops")</f>
        <v>Tops</v>
      </c>
      <c r="K1297" s="13" t="str">
        <f>IFERROR(__xludf.DUMMYFUNCTION("""COMPUTED_VALUE"""),"Knits")</f>
        <v>Knits</v>
      </c>
      <c r="L1297" s="13"/>
    </row>
    <row r="1298">
      <c r="A1298" s="13">
        <f>IFERROR(__xludf.DUMMYFUNCTION("""COMPUTED_VALUE"""),1296.0)</f>
        <v>1296</v>
      </c>
      <c r="B1298" s="13">
        <f>IFERROR(__xludf.DUMMYFUNCTION("""COMPUTED_VALUE"""),1095.0)</f>
        <v>1095</v>
      </c>
      <c r="C1298" s="13">
        <f>IFERROR(__xludf.DUMMYFUNCTION("""COMPUTED_VALUE"""),56.0)</f>
        <v>56</v>
      </c>
      <c r="D1298" s="12"/>
      <c r="E1298" s="12" t="str">
        <f>IFERROR(__xludf.DUMMYFUNCTION("""COMPUTED_VALUE"""),"I would describe the color as more blush. the fabric does not have a sheen as in the model picture. the fit is much cuter on than hanging. i'm a 36c and the extra small is just a bit tight in the bust, otherwise i like the fit everywhere else. i'm going t"&amp;"o order a small and see how it fits. at 5' 3"" it's also longer on me than on the model but not a deal breaker. looks kind of 1920's vintage on. my fabric is not see through it's more of a twill fabric but not quite as heavy as that.")</f>
        <v>I would describe the color as more blush. the fabric does not have a sheen as in the model picture. the fit is much cuter on than hanging. i'm a 36c and the extra small is just a bit tight in the bust, otherwise i like the fit everywhere else. i'm going to order a small and see how it fits. at 5' 3" it's also longer on me than on the model but not a deal breaker. looks kind of 1920's vintage on. my fabric is not see through it's more of a twill fabric but not quite as heavy as that.</v>
      </c>
      <c r="F1298" s="13">
        <f>IFERROR(__xludf.DUMMYFUNCTION("""COMPUTED_VALUE"""),4.0)</f>
        <v>4</v>
      </c>
      <c r="G1298" s="13">
        <f>IFERROR(__xludf.DUMMYFUNCTION("""COMPUTED_VALUE"""),1.0)</f>
        <v>1</v>
      </c>
      <c r="H1298" s="13">
        <f>IFERROR(__xludf.DUMMYFUNCTION("""COMPUTED_VALUE"""),0.0)</f>
        <v>0</v>
      </c>
      <c r="I1298" s="13" t="str">
        <f>IFERROR(__xludf.DUMMYFUNCTION("""COMPUTED_VALUE"""),"General")</f>
        <v>General</v>
      </c>
      <c r="J1298" s="13" t="str">
        <f>IFERROR(__xludf.DUMMYFUNCTION("""COMPUTED_VALUE"""),"Dresses")</f>
        <v>Dresses</v>
      </c>
      <c r="K1298" s="13" t="str">
        <f>IFERROR(__xludf.DUMMYFUNCTION("""COMPUTED_VALUE"""),"Dresses")</f>
        <v>Dresses</v>
      </c>
      <c r="L1298" s="13"/>
    </row>
    <row r="1299">
      <c r="A1299" s="13">
        <f>IFERROR(__xludf.DUMMYFUNCTION("""COMPUTED_VALUE"""),1297.0)</f>
        <v>1297</v>
      </c>
      <c r="B1299" s="13">
        <f>IFERROR(__xludf.DUMMYFUNCTION("""COMPUTED_VALUE"""),1095.0)</f>
        <v>1095</v>
      </c>
      <c r="C1299" s="13">
        <f>IFERROR(__xludf.DUMMYFUNCTION("""COMPUTED_VALUE"""),34.0)</f>
        <v>34</v>
      </c>
      <c r="D1299" s="12" t="str">
        <f>IFERROR(__xludf.DUMMYFUNCTION("""COMPUTED_VALUE"""),"Size up if busty")</f>
        <v>Size up if busty</v>
      </c>
      <c r="E1299" s="12" t="str">
        <f>IFERROR(__xludf.DUMMYFUNCTION("""COMPUTED_VALUE"""),"I agree with the other reviewer that the color isn't as pink in person and more subtle. my thoughts below on some other things:
__________
pros:
- pockets! makes it so fun and chic with the overall style.
- the material is lovely and breathable. i didn't "&amp;"find it sheer at all! of course, i didn't wear it outside the dressing room. the material is thicker but it hangs on the body well.
- runs ""mostly"" tts. i only tried on the medium and it fit everywhere being slightly tighter in the chest. i")</f>
        <v>I agree with the other reviewer that the color isn't as pink in person and more subtle. my thoughts below on some other things:
__________
pros:
- pockets! makes it so fun and chic with the overall style.
- the material is lovely and breathable. i didn't find it sheer at all! of course, i didn't wear it outside the dressing room. the material is thicker but it hangs on the body well.
- runs "mostly" tts. i only tried on the medium and it fit everywhere being slightly tighter in the chest. i</v>
      </c>
      <c r="F1299" s="13">
        <f>IFERROR(__xludf.DUMMYFUNCTION("""COMPUTED_VALUE"""),4.0)</f>
        <v>4</v>
      </c>
      <c r="G1299" s="13">
        <f>IFERROR(__xludf.DUMMYFUNCTION("""COMPUTED_VALUE"""),1.0)</f>
        <v>1</v>
      </c>
      <c r="H1299" s="13">
        <f>IFERROR(__xludf.DUMMYFUNCTION("""COMPUTED_VALUE"""),19.0)</f>
        <v>19</v>
      </c>
      <c r="I1299" s="13" t="str">
        <f>IFERROR(__xludf.DUMMYFUNCTION("""COMPUTED_VALUE"""),"General")</f>
        <v>General</v>
      </c>
      <c r="J1299" s="13" t="str">
        <f>IFERROR(__xludf.DUMMYFUNCTION("""COMPUTED_VALUE"""),"Dresses")</f>
        <v>Dresses</v>
      </c>
      <c r="K1299" s="13" t="str">
        <f>IFERROR(__xludf.DUMMYFUNCTION("""COMPUTED_VALUE"""),"Dresses")</f>
        <v>Dresses</v>
      </c>
      <c r="L1299" s="13"/>
    </row>
    <row r="1300">
      <c r="A1300" s="13">
        <f>IFERROR(__xludf.DUMMYFUNCTION("""COMPUTED_VALUE"""),1298.0)</f>
        <v>1298</v>
      </c>
      <c r="B1300" s="13">
        <f>IFERROR(__xludf.DUMMYFUNCTION("""COMPUTED_VALUE"""),1095.0)</f>
        <v>1095</v>
      </c>
      <c r="C1300" s="13">
        <f>IFERROR(__xludf.DUMMYFUNCTION("""COMPUTED_VALUE"""),55.0)</f>
        <v>55</v>
      </c>
      <c r="D1300" s="12"/>
      <c r="E1300" s="12"/>
      <c r="F1300" s="13">
        <f>IFERROR(__xludf.DUMMYFUNCTION("""COMPUTED_VALUE"""),5.0)</f>
        <v>5</v>
      </c>
      <c r="G1300" s="13">
        <f>IFERROR(__xludf.DUMMYFUNCTION("""COMPUTED_VALUE"""),1.0)</f>
        <v>1</v>
      </c>
      <c r="H1300" s="13">
        <f>IFERROR(__xludf.DUMMYFUNCTION("""COMPUTED_VALUE"""),0.0)</f>
        <v>0</v>
      </c>
      <c r="I1300" s="13" t="str">
        <f>IFERROR(__xludf.DUMMYFUNCTION("""COMPUTED_VALUE"""),"General")</f>
        <v>General</v>
      </c>
      <c r="J1300" s="13" t="str">
        <f>IFERROR(__xludf.DUMMYFUNCTION("""COMPUTED_VALUE"""),"Dresses")</f>
        <v>Dresses</v>
      </c>
      <c r="K1300" s="13" t="str">
        <f>IFERROR(__xludf.DUMMYFUNCTION("""COMPUTED_VALUE"""),"Dresses")</f>
        <v>Dresses</v>
      </c>
      <c r="L1300" s="13"/>
    </row>
    <row r="1301">
      <c r="A1301" s="13">
        <f>IFERROR(__xludf.DUMMYFUNCTION("""COMPUTED_VALUE"""),1299.0)</f>
        <v>1299</v>
      </c>
      <c r="B1301" s="13">
        <f>IFERROR(__xludf.DUMMYFUNCTION("""COMPUTED_VALUE"""),868.0)</f>
        <v>868</v>
      </c>
      <c r="C1301" s="13">
        <f>IFERROR(__xludf.DUMMYFUNCTION("""COMPUTED_VALUE"""),42.0)</f>
        <v>42</v>
      </c>
      <c r="D1301" s="12" t="str">
        <f>IFERROR(__xludf.DUMMYFUNCTION("""COMPUTED_VALUE"""),"Comfy and lovely")</f>
        <v>Comfy and lovely</v>
      </c>
      <c r="E1301" s="12" t="str">
        <f>IFERROR(__xludf.DUMMYFUNCTION("""COMPUTED_VALUE"""),"This shirt is so very pretty in person. the detail on the neckline and the lace up on the back are so cute and give the shirt just a bit of whimsy, making it more unique than your usual flowy t-shirt. it lays perfectly and the material is very soft and co"&amp;"mfy. you can wear it casual or dress it up. i may get another one because this is the kind of shirt i will wear constantly!")</f>
        <v>This shirt is so very pretty in person. the detail on the neckline and the lace up on the back are so cute and give the shirt just a bit of whimsy, making it more unique than your usual flowy t-shirt. it lays perfectly and the material is very soft and comfy. you can wear it casual or dress it up. i may get another one because this is the kind of shirt i will wear constantly!</v>
      </c>
      <c r="F1301" s="13">
        <f>IFERROR(__xludf.DUMMYFUNCTION("""COMPUTED_VALUE"""),5.0)</f>
        <v>5</v>
      </c>
      <c r="G1301" s="13">
        <f>IFERROR(__xludf.DUMMYFUNCTION("""COMPUTED_VALUE"""),1.0)</f>
        <v>1</v>
      </c>
      <c r="H1301" s="13">
        <f>IFERROR(__xludf.DUMMYFUNCTION("""COMPUTED_VALUE"""),4.0)</f>
        <v>4</v>
      </c>
      <c r="I1301" s="13" t="str">
        <f>IFERROR(__xludf.DUMMYFUNCTION("""COMPUTED_VALUE"""),"General Petite")</f>
        <v>General Petite</v>
      </c>
      <c r="J1301" s="13" t="str">
        <f>IFERROR(__xludf.DUMMYFUNCTION("""COMPUTED_VALUE"""),"Tops")</f>
        <v>Tops</v>
      </c>
      <c r="K1301" s="13" t="str">
        <f>IFERROR(__xludf.DUMMYFUNCTION("""COMPUTED_VALUE"""),"Knits")</f>
        <v>Knits</v>
      </c>
      <c r="L1301" s="13"/>
    </row>
    <row r="1302">
      <c r="A1302" s="13">
        <f>IFERROR(__xludf.DUMMYFUNCTION("""COMPUTED_VALUE"""),1300.0)</f>
        <v>1300</v>
      </c>
      <c r="B1302" s="13">
        <f>IFERROR(__xludf.DUMMYFUNCTION("""COMPUTED_VALUE"""),850.0)</f>
        <v>850</v>
      </c>
      <c r="C1302" s="13">
        <f>IFERROR(__xludf.DUMMYFUNCTION("""COMPUTED_VALUE"""),65.0)</f>
        <v>65</v>
      </c>
      <c r="D1302" s="12" t="str">
        <f>IFERROR(__xludf.DUMMYFUNCTION("""COMPUTED_VALUE"""),"Wanted to love")</f>
        <v>Wanted to love</v>
      </c>
      <c r="E1302" s="12" t="str">
        <f>IFERROR(__xludf.DUMMYFUNCTION("""COMPUTED_VALUE"""),"I bought two, one in white and one in blue print and wore the blue print top once and loved it. then i washed it according to the instructions on the tag (in cold gentle cycle and hung to dry). it shrunk up 4"" in the length and 2"" in the width and now i"&amp;"t doesn't fit at all. also, after one wear, the buttons are coming off (before i even put it in the wash) and it's covered in loose threads. the quality is just not there. i'm going to return both and show the sales lady the difference in size on")</f>
        <v>I bought two, one in white and one in blue print and wore the blue print top once and loved it. then i washed it according to the instructions on the tag (in cold gentle cycle and hung to dry). it shrunk up 4" in the length and 2" in the width and now it doesn't fit at all. also, after one wear, the buttons are coming off (before i even put it in the wash) and it's covered in loose threads. the quality is just not there. i'm going to return both and show the sales lady the difference in size on</v>
      </c>
      <c r="F1302" s="13">
        <f>IFERROR(__xludf.DUMMYFUNCTION("""COMPUTED_VALUE"""),2.0)</f>
        <v>2</v>
      </c>
      <c r="G1302" s="13">
        <f>IFERROR(__xludf.DUMMYFUNCTION("""COMPUTED_VALUE"""),0.0)</f>
        <v>0</v>
      </c>
      <c r="H1302" s="13">
        <f>IFERROR(__xludf.DUMMYFUNCTION("""COMPUTED_VALUE"""),1.0)</f>
        <v>1</v>
      </c>
      <c r="I1302" s="13" t="str">
        <f>IFERROR(__xludf.DUMMYFUNCTION("""COMPUTED_VALUE"""),"General")</f>
        <v>General</v>
      </c>
      <c r="J1302" s="13" t="str">
        <f>IFERROR(__xludf.DUMMYFUNCTION("""COMPUTED_VALUE"""),"Tops")</f>
        <v>Tops</v>
      </c>
      <c r="K1302" s="13" t="str">
        <f>IFERROR(__xludf.DUMMYFUNCTION("""COMPUTED_VALUE"""),"Blouses")</f>
        <v>Blouses</v>
      </c>
      <c r="L1302" s="13"/>
    </row>
    <row r="1303">
      <c r="A1303" s="13">
        <f>IFERROR(__xludf.DUMMYFUNCTION("""COMPUTED_VALUE"""),1301.0)</f>
        <v>1301</v>
      </c>
      <c r="B1303" s="13">
        <f>IFERROR(__xludf.DUMMYFUNCTION("""COMPUTED_VALUE"""),1028.0)</f>
        <v>1028</v>
      </c>
      <c r="C1303" s="13">
        <f>IFERROR(__xludf.DUMMYFUNCTION("""COMPUTED_VALUE"""),35.0)</f>
        <v>35</v>
      </c>
      <c r="D1303" s="12" t="str">
        <f>IFERROR(__xludf.DUMMYFUNCTION("""COMPUTED_VALUE"""),"Great denim")</f>
        <v>Great denim</v>
      </c>
      <c r="E1303" s="12" t="str">
        <f>IFERROR(__xludf.DUMMYFUNCTION("""COMPUTED_VALUE"""),"I usually wear a size 28 &amp; the fit was perfect. highly recommend, many compliments.")</f>
        <v>I usually wear a size 28 &amp; the fit was perfect. highly recommend, many compliments.</v>
      </c>
      <c r="F1303" s="13">
        <f>IFERROR(__xludf.DUMMYFUNCTION("""COMPUTED_VALUE"""),5.0)</f>
        <v>5</v>
      </c>
      <c r="G1303" s="13">
        <f>IFERROR(__xludf.DUMMYFUNCTION("""COMPUTED_VALUE"""),1.0)</f>
        <v>1</v>
      </c>
      <c r="H1303" s="13">
        <f>IFERROR(__xludf.DUMMYFUNCTION("""COMPUTED_VALUE"""),2.0)</f>
        <v>2</v>
      </c>
      <c r="I1303" s="13" t="str">
        <f>IFERROR(__xludf.DUMMYFUNCTION("""COMPUTED_VALUE"""),"General")</f>
        <v>General</v>
      </c>
      <c r="J1303" s="13" t="str">
        <f>IFERROR(__xludf.DUMMYFUNCTION("""COMPUTED_VALUE"""),"Bottoms")</f>
        <v>Bottoms</v>
      </c>
      <c r="K1303" s="13" t="str">
        <f>IFERROR(__xludf.DUMMYFUNCTION("""COMPUTED_VALUE"""),"Jeans")</f>
        <v>Jeans</v>
      </c>
      <c r="L1303" s="13"/>
    </row>
    <row r="1304">
      <c r="A1304" s="13">
        <f>IFERROR(__xludf.DUMMYFUNCTION("""COMPUTED_VALUE"""),1302.0)</f>
        <v>1302</v>
      </c>
      <c r="B1304" s="13">
        <f>IFERROR(__xludf.DUMMYFUNCTION("""COMPUTED_VALUE"""),1095.0)</f>
        <v>1095</v>
      </c>
      <c r="C1304" s="13">
        <f>IFERROR(__xludf.DUMMYFUNCTION("""COMPUTED_VALUE"""),35.0)</f>
        <v>35</v>
      </c>
      <c r="D1304" s="12" t="str">
        <f>IFERROR(__xludf.DUMMYFUNCTION("""COMPUTED_VALUE"""),"This dress is so classic!")</f>
        <v>This dress is so classic!</v>
      </c>
      <c r="E1304" s="12" t="str">
        <f>IFERROR(__xludf.DUMMYFUNCTION("""COMPUTED_VALUE"""),"I fell in love with this dress from the moment i saw it in store. i tried it on immediately and knew i had to have it. it fits a little big -- definitely size down. but other than that, i have never felt more beautiful than when i wear this. the color is "&amp;"a perfect blush pink and the drop waist/tiered skirt make you feel downright bridal when wearing it, despite it being the perfect fabric for day. i find that this dress is perfect for those days at work when i have an event later.. it can be dre")</f>
        <v>I fell in love with this dress from the moment i saw it in store. i tried it on immediately and knew i had to have it. it fits a little big -- definitely size down. but other than that, i have never felt more beautiful than when i wear this. the color is a perfect blush pink and the drop waist/tiered skirt make you feel downright bridal when wearing it, despite it being the perfect fabric for day. i find that this dress is perfect for those days at work when i have an event later.. it can be dre</v>
      </c>
      <c r="F1304" s="13">
        <f>IFERROR(__xludf.DUMMYFUNCTION("""COMPUTED_VALUE"""),5.0)</f>
        <v>5</v>
      </c>
      <c r="G1304" s="13">
        <f>IFERROR(__xludf.DUMMYFUNCTION("""COMPUTED_VALUE"""),1.0)</f>
        <v>1</v>
      </c>
      <c r="H1304" s="13">
        <f>IFERROR(__xludf.DUMMYFUNCTION("""COMPUTED_VALUE"""),8.0)</f>
        <v>8</v>
      </c>
      <c r="I1304" s="13" t="str">
        <f>IFERROR(__xludf.DUMMYFUNCTION("""COMPUTED_VALUE"""),"General")</f>
        <v>General</v>
      </c>
      <c r="J1304" s="13" t="str">
        <f>IFERROR(__xludf.DUMMYFUNCTION("""COMPUTED_VALUE"""),"Dresses")</f>
        <v>Dresses</v>
      </c>
      <c r="K1304" s="13" t="str">
        <f>IFERROR(__xludf.DUMMYFUNCTION("""COMPUTED_VALUE"""),"Dresses")</f>
        <v>Dresses</v>
      </c>
      <c r="L1304" s="13"/>
    </row>
    <row r="1305">
      <c r="A1305" s="13">
        <f>IFERROR(__xludf.DUMMYFUNCTION("""COMPUTED_VALUE"""),1303.0)</f>
        <v>1303</v>
      </c>
      <c r="B1305" s="13">
        <f>IFERROR(__xludf.DUMMYFUNCTION("""COMPUTED_VALUE"""),1095.0)</f>
        <v>1095</v>
      </c>
      <c r="C1305" s="13">
        <f>IFERROR(__xludf.DUMMYFUNCTION("""COMPUTED_VALUE"""),38.0)</f>
        <v>38</v>
      </c>
      <c r="D1305" s="12" t="str">
        <f>IFERROR(__xludf.DUMMYFUNCTION("""COMPUTED_VALUE"""),"Sad sack")</f>
        <v>Sad sack</v>
      </c>
      <c r="E1305" s="12" t="str">
        <f>IFERROR(__xludf.DUMMYFUNCTION("""COMPUTED_VALUE"""),"....that's what i look like wearing this dress. a sad, sad, sack. the fabric is less than ideal, and there is no shape to speak of. i love that it has pockets but that's about it. there was just way too much fabric for a petite person. this dress has got "&amp;"to be good on someone, sadly that person was not me.")</f>
        <v>....that's what i look like wearing this dress. a sad, sad, sack. the fabric is less than ideal, and there is no shape to speak of. i love that it has pockets but that's about it. there was just way too much fabric for a petite person. this dress has got to be good on someone, sadly that person was not me.</v>
      </c>
      <c r="F1305" s="13">
        <f>IFERROR(__xludf.DUMMYFUNCTION("""COMPUTED_VALUE"""),2.0)</f>
        <v>2</v>
      </c>
      <c r="G1305" s="13">
        <f>IFERROR(__xludf.DUMMYFUNCTION("""COMPUTED_VALUE"""),0.0)</f>
        <v>0</v>
      </c>
      <c r="H1305" s="13">
        <f>IFERROR(__xludf.DUMMYFUNCTION("""COMPUTED_VALUE"""),0.0)</f>
        <v>0</v>
      </c>
      <c r="I1305" s="13" t="str">
        <f>IFERROR(__xludf.DUMMYFUNCTION("""COMPUTED_VALUE"""),"General")</f>
        <v>General</v>
      </c>
      <c r="J1305" s="13" t="str">
        <f>IFERROR(__xludf.DUMMYFUNCTION("""COMPUTED_VALUE"""),"Dresses")</f>
        <v>Dresses</v>
      </c>
      <c r="K1305" s="13" t="str">
        <f>IFERROR(__xludf.DUMMYFUNCTION("""COMPUTED_VALUE"""),"Dresses")</f>
        <v>Dresses</v>
      </c>
      <c r="L1305" s="13"/>
    </row>
    <row r="1306">
      <c r="A1306" s="13">
        <f>IFERROR(__xludf.DUMMYFUNCTION("""COMPUTED_VALUE"""),1304.0)</f>
        <v>1304</v>
      </c>
      <c r="B1306" s="13">
        <f>IFERROR(__xludf.DUMMYFUNCTION("""COMPUTED_VALUE"""),850.0)</f>
        <v>850</v>
      </c>
      <c r="C1306" s="13">
        <f>IFERROR(__xludf.DUMMYFUNCTION("""COMPUTED_VALUE"""),51.0)</f>
        <v>51</v>
      </c>
      <c r="D1306" s="12" t="str">
        <f>IFERROR(__xludf.DUMMYFUNCTION("""COMPUTED_VALUE"""),"Cute top!")</f>
        <v>Cute top!</v>
      </c>
      <c r="E1306" s="12" t="str">
        <f>IFERROR(__xludf.DUMMYFUNCTION("""COMPUTED_VALUE"""),"This is a such a cute top. can be dressed up for work or worn more casually. very flattering. i'm 5'6"" and 125lb. i was borderline between the xs and s but ended up with the s because it was a tad longer and more 'tunic-y.' bought two colors!")</f>
        <v>This is a such a cute top. can be dressed up for work or worn more casually. very flattering. i'm 5'6" and 125lb. i was borderline between the xs and s but ended up with the s because it was a tad longer and more 'tunic-y.' bought two colors!</v>
      </c>
      <c r="F1306" s="13">
        <f>IFERROR(__xludf.DUMMYFUNCTION("""COMPUTED_VALUE"""),5.0)</f>
        <v>5</v>
      </c>
      <c r="G1306" s="13">
        <f>IFERROR(__xludf.DUMMYFUNCTION("""COMPUTED_VALUE"""),1.0)</f>
        <v>1</v>
      </c>
      <c r="H1306" s="13">
        <f>IFERROR(__xludf.DUMMYFUNCTION("""COMPUTED_VALUE"""),0.0)</f>
        <v>0</v>
      </c>
      <c r="I1306" s="13" t="str">
        <f>IFERROR(__xludf.DUMMYFUNCTION("""COMPUTED_VALUE"""),"General")</f>
        <v>General</v>
      </c>
      <c r="J1306" s="13" t="str">
        <f>IFERROR(__xludf.DUMMYFUNCTION("""COMPUTED_VALUE"""),"Tops")</f>
        <v>Tops</v>
      </c>
      <c r="K1306" s="13" t="str">
        <f>IFERROR(__xludf.DUMMYFUNCTION("""COMPUTED_VALUE"""),"Blouses")</f>
        <v>Blouses</v>
      </c>
      <c r="L1306" s="13"/>
    </row>
    <row r="1307">
      <c r="A1307" s="13">
        <f>IFERROR(__xludf.DUMMYFUNCTION("""COMPUTED_VALUE"""),1305.0)</f>
        <v>1305</v>
      </c>
      <c r="B1307" s="13">
        <f>IFERROR(__xludf.DUMMYFUNCTION("""COMPUTED_VALUE"""),875.0)</f>
        <v>875</v>
      </c>
      <c r="C1307" s="13">
        <f>IFERROR(__xludf.DUMMYFUNCTION("""COMPUTED_VALUE"""),40.0)</f>
        <v>40</v>
      </c>
      <c r="D1307" s="12" t="str">
        <f>IFERROR(__xludf.DUMMYFUNCTION("""COMPUTED_VALUE"""),"Love this top!")</f>
        <v>Love this top!</v>
      </c>
      <c r="E1307" s="12" t="str">
        <f>IFERROR(__xludf.DUMMYFUNCTION("""COMPUTED_VALUE"""),"I loved this top so much i bought it in both colors. size down because it run very large, but it is nice and flowy. i'm 5'11"" and slim and the top hung nicely on me.")</f>
        <v>I loved this top so much i bought it in both colors. size down because it run very large, but it is nice and flowy. i'm 5'11" and slim and the top hung nicely on me.</v>
      </c>
      <c r="F1307" s="13">
        <f>IFERROR(__xludf.DUMMYFUNCTION("""COMPUTED_VALUE"""),5.0)</f>
        <v>5</v>
      </c>
      <c r="G1307" s="13">
        <f>IFERROR(__xludf.DUMMYFUNCTION("""COMPUTED_VALUE"""),1.0)</f>
        <v>1</v>
      </c>
      <c r="H1307" s="13">
        <f>IFERROR(__xludf.DUMMYFUNCTION("""COMPUTED_VALUE"""),0.0)</f>
        <v>0</v>
      </c>
      <c r="I1307" s="13" t="str">
        <f>IFERROR(__xludf.DUMMYFUNCTION("""COMPUTED_VALUE"""),"General")</f>
        <v>General</v>
      </c>
      <c r="J1307" s="13" t="str">
        <f>IFERROR(__xludf.DUMMYFUNCTION("""COMPUTED_VALUE"""),"Tops")</f>
        <v>Tops</v>
      </c>
      <c r="K1307" s="13" t="str">
        <f>IFERROR(__xludf.DUMMYFUNCTION("""COMPUTED_VALUE"""),"Knits")</f>
        <v>Knits</v>
      </c>
      <c r="L1307" s="13"/>
    </row>
    <row r="1308">
      <c r="A1308" s="13">
        <f>IFERROR(__xludf.DUMMYFUNCTION("""COMPUTED_VALUE"""),1306.0)</f>
        <v>1306</v>
      </c>
      <c r="B1308" s="13">
        <f>IFERROR(__xludf.DUMMYFUNCTION("""COMPUTED_VALUE"""),850.0)</f>
        <v>850</v>
      </c>
      <c r="C1308" s="13">
        <f>IFERROR(__xludf.DUMMYFUNCTION("""COMPUTED_VALUE"""),48.0)</f>
        <v>48</v>
      </c>
      <c r="D1308" s="12" t="str">
        <f>IFERROR(__xludf.DUMMYFUNCTION("""COMPUTED_VALUE"""),"Fits like maternity")</f>
        <v>Fits like maternity</v>
      </c>
      <c r="E1308" s="12" t="str">
        <f>IFERROR(__xludf.DUMMYFUNCTION("""COMPUTED_VALUE"""),"I wanted to love this, was so excited when i ordered it online. the fabric (blue and white) was beautiful, but the cut was bad. it fit me like a maternity top, and made me look like i was 6 months along. i have a feeling that the models had theirs pinned "&amp;"back, in the back, because it does not lay flat like that in front, it has a lot of fabric with no place to go but up and out. returning.")</f>
        <v>I wanted to love this, was so excited when i ordered it online. the fabric (blue and white) was beautiful, but the cut was bad. it fit me like a maternity top, and made me look like i was 6 months along. i have a feeling that the models had theirs pinned back, in the back, because it does not lay flat like that in front, it has a lot of fabric with no place to go but up and out. returning.</v>
      </c>
      <c r="F1308" s="13">
        <f>IFERROR(__xludf.DUMMYFUNCTION("""COMPUTED_VALUE"""),2.0)</f>
        <v>2</v>
      </c>
      <c r="G1308" s="13">
        <f>IFERROR(__xludf.DUMMYFUNCTION("""COMPUTED_VALUE"""),0.0)</f>
        <v>0</v>
      </c>
      <c r="H1308" s="13">
        <f>IFERROR(__xludf.DUMMYFUNCTION("""COMPUTED_VALUE"""),0.0)</f>
        <v>0</v>
      </c>
      <c r="I1308" s="13" t="str">
        <f>IFERROR(__xludf.DUMMYFUNCTION("""COMPUTED_VALUE"""),"General")</f>
        <v>General</v>
      </c>
      <c r="J1308" s="13" t="str">
        <f>IFERROR(__xludf.DUMMYFUNCTION("""COMPUTED_VALUE"""),"Tops")</f>
        <v>Tops</v>
      </c>
      <c r="K1308" s="13" t="str">
        <f>IFERROR(__xludf.DUMMYFUNCTION("""COMPUTED_VALUE"""),"Blouses")</f>
        <v>Blouses</v>
      </c>
      <c r="L1308" s="13"/>
    </row>
    <row r="1309">
      <c r="A1309" s="13">
        <f>IFERROR(__xludf.DUMMYFUNCTION("""COMPUTED_VALUE"""),1307.0)</f>
        <v>1307</v>
      </c>
      <c r="B1309" s="13">
        <f>IFERROR(__xludf.DUMMYFUNCTION("""COMPUTED_VALUE"""),940.0)</f>
        <v>940</v>
      </c>
      <c r="C1309" s="13">
        <f>IFERROR(__xludf.DUMMYFUNCTION("""COMPUTED_VALUE"""),45.0)</f>
        <v>45</v>
      </c>
      <c r="D1309" s="12" t="str">
        <f>IFERROR(__xludf.DUMMYFUNCTION("""COMPUTED_VALUE"""),"Love!")</f>
        <v>Love!</v>
      </c>
      <c r="E1309" s="12" t="str">
        <f>IFERROR(__xludf.DUMMYFUNCTION("""COMPUTED_VALUE"""),"This is a very flattering / soft sweater. the pockets make it so much cuter &amp; do not make me look ""thick"". highly recommend!")</f>
        <v>This is a very flattering / soft sweater. the pockets make it so much cuter &amp; do not make me look "thick". highly recommend!</v>
      </c>
      <c r="F1309" s="13">
        <f>IFERROR(__xludf.DUMMYFUNCTION("""COMPUTED_VALUE"""),5.0)</f>
        <v>5</v>
      </c>
      <c r="G1309" s="13">
        <f>IFERROR(__xludf.DUMMYFUNCTION("""COMPUTED_VALUE"""),1.0)</f>
        <v>1</v>
      </c>
      <c r="H1309" s="13">
        <f>IFERROR(__xludf.DUMMYFUNCTION("""COMPUTED_VALUE"""),0.0)</f>
        <v>0</v>
      </c>
      <c r="I1309" s="13" t="str">
        <f>IFERROR(__xludf.DUMMYFUNCTION("""COMPUTED_VALUE"""),"General")</f>
        <v>General</v>
      </c>
      <c r="J1309" s="13" t="str">
        <f>IFERROR(__xludf.DUMMYFUNCTION("""COMPUTED_VALUE"""),"Tops")</f>
        <v>Tops</v>
      </c>
      <c r="K1309" s="13" t="str">
        <f>IFERROR(__xludf.DUMMYFUNCTION("""COMPUTED_VALUE"""),"Sweaters")</f>
        <v>Sweaters</v>
      </c>
      <c r="L1309" s="13"/>
    </row>
    <row r="1310">
      <c r="A1310" s="13">
        <f>IFERROR(__xludf.DUMMYFUNCTION("""COMPUTED_VALUE"""),1308.0)</f>
        <v>1308</v>
      </c>
      <c r="B1310" s="13">
        <f>IFERROR(__xludf.DUMMYFUNCTION("""COMPUTED_VALUE"""),1095.0)</f>
        <v>1095</v>
      </c>
      <c r="C1310" s="13">
        <f>IFERROR(__xludf.DUMMYFUNCTION("""COMPUTED_VALUE"""),35.0)</f>
        <v>35</v>
      </c>
      <c r="D1310" s="12" t="str">
        <f>IFERROR(__xludf.DUMMYFUNCTION("""COMPUTED_VALUE"""),"I ended up loving this dress")</f>
        <v>I ended up loving this dress</v>
      </c>
      <c r="E1310" s="12" t="str">
        <f>IFERROR(__xludf.DUMMYFUNCTION("""COMPUTED_VALUE"""),"I fell in love with this dress when i saw it in the catalog and ordered it immediately. i was a bit disappointed that the dress is a little lighter than the pink showed in the catalog but it didn't deter my liking it because it's still a lovely shade of p"&amp;"ink. the fabric takes a bit getting used to though - i thought it would be silkier but it's really a thicker fabric. i ordered a size small and i usually wear size 4. the dress drowned me. so i returned it for an xs, which fit me beautifully. so")</f>
        <v>I fell in love with this dress when i saw it in the catalog and ordered it immediately. i was a bit disappointed that the dress is a little lighter than the pink showed in the catalog but it didn't deter my liking it because it's still a lovely shade of pink. the fabric takes a bit getting used to though - i thought it would be silkier but it's really a thicker fabric. i ordered a size small and i usually wear size 4. the dress drowned me. so i returned it for an xs, which fit me beautifully. so</v>
      </c>
      <c r="F1310" s="13">
        <f>IFERROR(__xludf.DUMMYFUNCTION("""COMPUTED_VALUE"""),5.0)</f>
        <v>5</v>
      </c>
      <c r="G1310" s="13">
        <f>IFERROR(__xludf.DUMMYFUNCTION("""COMPUTED_VALUE"""),1.0)</f>
        <v>1</v>
      </c>
      <c r="H1310" s="13">
        <f>IFERROR(__xludf.DUMMYFUNCTION("""COMPUTED_VALUE"""),2.0)</f>
        <v>2</v>
      </c>
      <c r="I1310" s="13" t="str">
        <f>IFERROR(__xludf.DUMMYFUNCTION("""COMPUTED_VALUE"""),"General")</f>
        <v>General</v>
      </c>
      <c r="J1310" s="13" t="str">
        <f>IFERROR(__xludf.DUMMYFUNCTION("""COMPUTED_VALUE"""),"Dresses")</f>
        <v>Dresses</v>
      </c>
      <c r="K1310" s="13" t="str">
        <f>IFERROR(__xludf.DUMMYFUNCTION("""COMPUTED_VALUE"""),"Dresses")</f>
        <v>Dresses</v>
      </c>
      <c r="L1310" s="13"/>
    </row>
    <row r="1311">
      <c r="A1311" s="13">
        <f>IFERROR(__xludf.DUMMYFUNCTION("""COMPUTED_VALUE"""),1309.0)</f>
        <v>1309</v>
      </c>
      <c r="B1311" s="13">
        <f>IFERROR(__xludf.DUMMYFUNCTION("""COMPUTED_VALUE"""),868.0)</f>
        <v>868</v>
      </c>
      <c r="C1311" s="13">
        <f>IFERROR(__xludf.DUMMYFUNCTION("""COMPUTED_VALUE"""),41.0)</f>
        <v>41</v>
      </c>
      <c r="D1311" s="12" t="str">
        <f>IFERROR(__xludf.DUMMYFUNCTION("""COMPUTED_VALUE"""),"Adorable!")</f>
        <v>Adorable!</v>
      </c>
      <c r="E1311" s="12" t="str">
        <f>IFERROR(__xludf.DUMMYFUNCTION("""COMPUTED_VALUE"""),"This is such an adorable tee. the stripes and lace up details are super cute and on trend. i usually take a xxs and that is what i took in this tee. i tried the xs and at 5""1 and 104 pounds it looked a bit loose and long on me. love this tee and highly r"&amp;"ecommend this one!")</f>
        <v>This is such an adorable tee. the stripes and lace up details are super cute and on trend. i usually take a xxs and that is what i took in this tee. i tried the xs and at 5"1 and 104 pounds it looked a bit loose and long on me. love this tee and highly recommend this one!</v>
      </c>
      <c r="F1311" s="13">
        <f>IFERROR(__xludf.DUMMYFUNCTION("""COMPUTED_VALUE"""),5.0)</f>
        <v>5</v>
      </c>
      <c r="G1311" s="13">
        <f>IFERROR(__xludf.DUMMYFUNCTION("""COMPUTED_VALUE"""),1.0)</f>
        <v>1</v>
      </c>
      <c r="H1311" s="13">
        <f>IFERROR(__xludf.DUMMYFUNCTION("""COMPUTED_VALUE"""),7.0)</f>
        <v>7</v>
      </c>
      <c r="I1311" s="13" t="str">
        <f>IFERROR(__xludf.DUMMYFUNCTION("""COMPUTED_VALUE"""),"General Petite")</f>
        <v>General Petite</v>
      </c>
      <c r="J1311" s="13" t="str">
        <f>IFERROR(__xludf.DUMMYFUNCTION("""COMPUTED_VALUE"""),"Tops")</f>
        <v>Tops</v>
      </c>
      <c r="K1311" s="13" t="str">
        <f>IFERROR(__xludf.DUMMYFUNCTION("""COMPUTED_VALUE"""),"Knits")</f>
        <v>Knits</v>
      </c>
      <c r="L1311" s="13"/>
    </row>
    <row r="1312">
      <c r="A1312" s="13">
        <f>IFERROR(__xludf.DUMMYFUNCTION("""COMPUTED_VALUE"""),1310.0)</f>
        <v>1310</v>
      </c>
      <c r="B1312" s="13">
        <f>IFERROR(__xludf.DUMMYFUNCTION("""COMPUTED_VALUE"""),875.0)</f>
        <v>875</v>
      </c>
      <c r="C1312" s="13">
        <f>IFERROR(__xludf.DUMMYFUNCTION("""COMPUTED_VALUE"""),65.0)</f>
        <v>65</v>
      </c>
      <c r="D1312" s="12" t="str">
        <f>IFERROR(__xludf.DUMMYFUNCTION("""COMPUTED_VALUE"""),"Order down a size; sooooooooooooo cute!!!")</f>
        <v>Order down a size; sooooooooooooo cute!!!</v>
      </c>
      <c r="E1312" s="12" t="str">
        <f>IFERROR(__xludf.DUMMYFUNCTION("""COMPUTED_VALUE"""),"This shirt runs large, so order down a size. it is comfortable, cute and great for transitioning from summer into fall. adding jewelry really dresses this top up. can't wait to layer it with kimono, vest, pashminas or wraps. great with sandals or boots. g"&amp;"lad i bought both colors. it looks much better on, than in the photo/on hanger. great purchase and can't wait to wear!")</f>
        <v>This shirt runs large, so order down a size. it is comfortable, cute and great for transitioning from summer into fall. adding jewelry really dresses this top up. can't wait to layer it with kimono, vest, pashminas or wraps. great with sandals or boots. glad i bought both colors. it looks much better on, than in the photo/on hanger. great purchase and can't wait to wear!</v>
      </c>
      <c r="F1312" s="13">
        <f>IFERROR(__xludf.DUMMYFUNCTION("""COMPUTED_VALUE"""),5.0)</f>
        <v>5</v>
      </c>
      <c r="G1312" s="13">
        <f>IFERROR(__xludf.DUMMYFUNCTION("""COMPUTED_VALUE"""),1.0)</f>
        <v>1</v>
      </c>
      <c r="H1312" s="13">
        <f>IFERROR(__xludf.DUMMYFUNCTION("""COMPUTED_VALUE"""),1.0)</f>
        <v>1</v>
      </c>
      <c r="I1312" s="13" t="str">
        <f>IFERROR(__xludf.DUMMYFUNCTION("""COMPUTED_VALUE"""),"General")</f>
        <v>General</v>
      </c>
      <c r="J1312" s="13" t="str">
        <f>IFERROR(__xludf.DUMMYFUNCTION("""COMPUTED_VALUE"""),"Tops")</f>
        <v>Tops</v>
      </c>
      <c r="K1312" s="13" t="str">
        <f>IFERROR(__xludf.DUMMYFUNCTION("""COMPUTED_VALUE"""),"Knits")</f>
        <v>Knits</v>
      </c>
      <c r="L1312" s="13"/>
    </row>
    <row r="1313">
      <c r="A1313" s="13">
        <f>IFERROR(__xludf.DUMMYFUNCTION("""COMPUTED_VALUE"""),1311.0)</f>
        <v>1311</v>
      </c>
      <c r="B1313" s="13">
        <f>IFERROR(__xludf.DUMMYFUNCTION("""COMPUTED_VALUE"""),940.0)</f>
        <v>940</v>
      </c>
      <c r="C1313" s="13">
        <f>IFERROR(__xludf.DUMMYFUNCTION("""COMPUTED_VALUE"""),54.0)</f>
        <v>54</v>
      </c>
      <c r="D1313" s="12" t="str">
        <f>IFERROR(__xludf.DUMMYFUNCTION("""COMPUTED_VALUE"""),"Beautiful poncho")</f>
        <v>Beautiful poncho</v>
      </c>
      <c r="E1313" s="12" t="str">
        <f>IFERROR(__xludf.DUMMYFUNCTION("""COMPUTED_VALUE"""),"I purchased this poncho online in the cream color. when it arrived i tried it on to decide whether or not to keep it. i immediately went on line and purchased the taupe color , as well. thank goodness it didn't come in 5 more colors! this sweater is so ve"&amp;"rsatile and beautifully detailed, plus it is very soft. you take one look at it and you know the quality! i think you could wear this dressed up or down and it would be perfect either way. i do agree, it is not quite as long as pictured , but pe")</f>
        <v>I purchased this poncho online in the cream color. when it arrived i tried it on to decide whether or not to keep it. i immediately went on line and purchased the taupe color , as well. thank goodness it didn't come in 5 more colors! this sweater is so versatile and beautifully detailed, plus it is very soft. you take one look at it and you know the quality! i think you could wear this dressed up or down and it would be perfect either way. i do agree, it is not quite as long as pictured , but pe</v>
      </c>
      <c r="F1313" s="13">
        <f>IFERROR(__xludf.DUMMYFUNCTION("""COMPUTED_VALUE"""),5.0)</f>
        <v>5</v>
      </c>
      <c r="G1313" s="13">
        <f>IFERROR(__xludf.DUMMYFUNCTION("""COMPUTED_VALUE"""),1.0)</f>
        <v>1</v>
      </c>
      <c r="H1313" s="13">
        <f>IFERROR(__xludf.DUMMYFUNCTION("""COMPUTED_VALUE"""),0.0)</f>
        <v>0</v>
      </c>
      <c r="I1313" s="13" t="str">
        <f>IFERROR(__xludf.DUMMYFUNCTION("""COMPUTED_VALUE"""),"General")</f>
        <v>General</v>
      </c>
      <c r="J1313" s="13" t="str">
        <f>IFERROR(__xludf.DUMMYFUNCTION("""COMPUTED_VALUE"""),"Tops")</f>
        <v>Tops</v>
      </c>
      <c r="K1313" s="13" t="str">
        <f>IFERROR(__xludf.DUMMYFUNCTION("""COMPUTED_VALUE"""),"Sweaters")</f>
        <v>Sweaters</v>
      </c>
      <c r="L1313" s="13"/>
    </row>
    <row r="1314">
      <c r="A1314" s="13">
        <f>IFERROR(__xludf.DUMMYFUNCTION("""COMPUTED_VALUE"""),1312.0)</f>
        <v>1312</v>
      </c>
      <c r="B1314" s="13">
        <f>IFERROR(__xludf.DUMMYFUNCTION("""COMPUTED_VALUE"""),850.0)</f>
        <v>850</v>
      </c>
      <c r="C1314" s="13">
        <f>IFERROR(__xludf.DUMMYFUNCTION("""COMPUTED_VALUE"""),41.0)</f>
        <v>41</v>
      </c>
      <c r="D1314" s="12" t="str">
        <f>IFERROR(__xludf.DUMMYFUNCTION("""COMPUTED_VALUE"""),"Love the color")</f>
        <v>Love the color</v>
      </c>
      <c r="E1314" s="12" t="str">
        <f>IFERROR(__xludf.DUMMYFUNCTION("""COMPUTED_VALUE"""),"The green is a deep, beautiful shade. the fabric and fir is very flattering!")</f>
        <v>The green is a deep, beautiful shade. the fabric and fir is very flattering!</v>
      </c>
      <c r="F1314" s="13">
        <f>IFERROR(__xludf.DUMMYFUNCTION("""COMPUTED_VALUE"""),5.0)</f>
        <v>5</v>
      </c>
      <c r="G1314" s="13">
        <f>IFERROR(__xludf.DUMMYFUNCTION("""COMPUTED_VALUE"""),1.0)</f>
        <v>1</v>
      </c>
      <c r="H1314" s="13">
        <f>IFERROR(__xludf.DUMMYFUNCTION("""COMPUTED_VALUE"""),0.0)</f>
        <v>0</v>
      </c>
      <c r="I1314" s="13" t="str">
        <f>IFERROR(__xludf.DUMMYFUNCTION("""COMPUTED_VALUE"""),"General")</f>
        <v>General</v>
      </c>
      <c r="J1314" s="13" t="str">
        <f>IFERROR(__xludf.DUMMYFUNCTION("""COMPUTED_VALUE"""),"Tops")</f>
        <v>Tops</v>
      </c>
      <c r="K1314" s="13" t="str">
        <f>IFERROR(__xludf.DUMMYFUNCTION("""COMPUTED_VALUE"""),"Blouses")</f>
        <v>Blouses</v>
      </c>
      <c r="L1314" s="13"/>
    </row>
    <row r="1315">
      <c r="A1315" s="13">
        <f>IFERROR(__xludf.DUMMYFUNCTION("""COMPUTED_VALUE"""),1313.0)</f>
        <v>1313</v>
      </c>
      <c r="B1315" s="13">
        <f>IFERROR(__xludf.DUMMYFUNCTION("""COMPUTED_VALUE"""),873.0)</f>
        <v>873</v>
      </c>
      <c r="C1315" s="13">
        <f>IFERROR(__xludf.DUMMYFUNCTION("""COMPUTED_VALUE"""),43.0)</f>
        <v>43</v>
      </c>
      <c r="D1315" s="12" t="str">
        <f>IFERROR(__xludf.DUMMYFUNCTION("""COMPUTED_VALUE"""),"Perfect t-shirt")</f>
        <v>Perfect t-shirt</v>
      </c>
      <c r="E1315" s="12" t="str">
        <f>IFERROR(__xludf.DUMMYFUNCTION("""COMPUTED_VALUE"""),"Love this white shirt! it fits great and gives you a little breathing room around the waist. this goes with shorts, skirts, and jeans. i will be wearing it all summer")</f>
        <v>Love this white shirt! it fits great and gives you a little breathing room around the waist. this goes with shorts, skirts, and jeans. i will be wearing it all summer</v>
      </c>
      <c r="F1315" s="13">
        <f>IFERROR(__xludf.DUMMYFUNCTION("""COMPUTED_VALUE"""),5.0)</f>
        <v>5</v>
      </c>
      <c r="G1315" s="13">
        <f>IFERROR(__xludf.DUMMYFUNCTION("""COMPUTED_VALUE"""),1.0)</f>
        <v>1</v>
      </c>
      <c r="H1315" s="13">
        <f>IFERROR(__xludf.DUMMYFUNCTION("""COMPUTED_VALUE"""),1.0)</f>
        <v>1</v>
      </c>
      <c r="I1315" s="13" t="str">
        <f>IFERROR(__xludf.DUMMYFUNCTION("""COMPUTED_VALUE"""),"General")</f>
        <v>General</v>
      </c>
      <c r="J1315" s="13" t="str">
        <f>IFERROR(__xludf.DUMMYFUNCTION("""COMPUTED_VALUE"""),"Tops")</f>
        <v>Tops</v>
      </c>
      <c r="K1315" s="13" t="str">
        <f>IFERROR(__xludf.DUMMYFUNCTION("""COMPUTED_VALUE"""),"Knits")</f>
        <v>Knits</v>
      </c>
      <c r="L1315" s="13"/>
    </row>
    <row r="1316">
      <c r="A1316" s="13">
        <f>IFERROR(__xludf.DUMMYFUNCTION("""COMPUTED_VALUE"""),1314.0)</f>
        <v>1314</v>
      </c>
      <c r="B1316" s="13">
        <f>IFERROR(__xludf.DUMMYFUNCTION("""COMPUTED_VALUE"""),1095.0)</f>
        <v>1095</v>
      </c>
      <c r="C1316" s="13">
        <f>IFERROR(__xludf.DUMMYFUNCTION("""COMPUTED_VALUE"""),32.0)</f>
        <v>32</v>
      </c>
      <c r="D1316" s="12" t="str">
        <f>IFERROR(__xludf.DUMMYFUNCTION("""COMPUTED_VALUE"""),"Cute!")</f>
        <v>Cute!</v>
      </c>
      <c r="E1316" s="12" t="str">
        <f>IFERROR(__xludf.DUMMYFUNCTION("""COMPUTED_VALUE"""),"I loved this dress on. the material was quite different than expected, almost a canvas-y feel to it. ran a little large, but so cute.")</f>
        <v>I loved this dress on. the material was quite different than expected, almost a canvas-y feel to it. ran a little large, but so cute.</v>
      </c>
      <c r="F1316" s="13">
        <f>IFERROR(__xludf.DUMMYFUNCTION("""COMPUTED_VALUE"""),4.0)</f>
        <v>4</v>
      </c>
      <c r="G1316" s="13">
        <f>IFERROR(__xludf.DUMMYFUNCTION("""COMPUTED_VALUE"""),1.0)</f>
        <v>1</v>
      </c>
      <c r="H1316" s="13">
        <f>IFERROR(__xludf.DUMMYFUNCTION("""COMPUTED_VALUE"""),0.0)</f>
        <v>0</v>
      </c>
      <c r="I1316" s="13" t="str">
        <f>IFERROR(__xludf.DUMMYFUNCTION("""COMPUTED_VALUE"""),"General")</f>
        <v>General</v>
      </c>
      <c r="J1316" s="13" t="str">
        <f>IFERROR(__xludf.DUMMYFUNCTION("""COMPUTED_VALUE"""),"Dresses")</f>
        <v>Dresses</v>
      </c>
      <c r="K1316" s="13" t="str">
        <f>IFERROR(__xludf.DUMMYFUNCTION("""COMPUTED_VALUE"""),"Dresses")</f>
        <v>Dresses</v>
      </c>
      <c r="L1316" s="13"/>
    </row>
    <row r="1317">
      <c r="A1317" s="13">
        <f>IFERROR(__xludf.DUMMYFUNCTION("""COMPUTED_VALUE"""),1315.0)</f>
        <v>1315</v>
      </c>
      <c r="B1317" s="13">
        <f>IFERROR(__xludf.DUMMYFUNCTION("""COMPUTED_VALUE"""),836.0)</f>
        <v>836</v>
      </c>
      <c r="C1317" s="13">
        <f>IFERROR(__xludf.DUMMYFUNCTION("""COMPUTED_VALUE"""),33.0)</f>
        <v>33</v>
      </c>
      <c r="D1317" s="12"/>
      <c r="E1317" s="12"/>
      <c r="F1317" s="13">
        <f>IFERROR(__xludf.DUMMYFUNCTION("""COMPUTED_VALUE"""),4.0)</f>
        <v>4</v>
      </c>
      <c r="G1317" s="13">
        <f>IFERROR(__xludf.DUMMYFUNCTION("""COMPUTED_VALUE"""),1.0)</f>
        <v>1</v>
      </c>
      <c r="H1317" s="13">
        <f>IFERROR(__xludf.DUMMYFUNCTION("""COMPUTED_VALUE"""),0.0)</f>
        <v>0</v>
      </c>
      <c r="I1317" s="13" t="str">
        <f>IFERROR(__xludf.DUMMYFUNCTION("""COMPUTED_VALUE"""),"General")</f>
        <v>General</v>
      </c>
      <c r="J1317" s="13" t="str">
        <f>IFERROR(__xludf.DUMMYFUNCTION("""COMPUTED_VALUE"""),"Tops")</f>
        <v>Tops</v>
      </c>
      <c r="K1317" s="13" t="str">
        <f>IFERROR(__xludf.DUMMYFUNCTION("""COMPUTED_VALUE"""),"Blouses")</f>
        <v>Blouses</v>
      </c>
      <c r="L1317" s="13"/>
    </row>
    <row r="1318">
      <c r="A1318" s="13">
        <f>IFERROR(__xludf.DUMMYFUNCTION("""COMPUTED_VALUE"""),1316.0)</f>
        <v>1316</v>
      </c>
      <c r="B1318" s="13">
        <f>IFERROR(__xludf.DUMMYFUNCTION("""COMPUTED_VALUE"""),836.0)</f>
        <v>836</v>
      </c>
      <c r="C1318" s="13">
        <f>IFERROR(__xludf.DUMMYFUNCTION("""COMPUTED_VALUE"""),35.0)</f>
        <v>35</v>
      </c>
      <c r="D1318" s="12" t="str">
        <f>IFERROR(__xludf.DUMMYFUNCTION("""COMPUTED_VALUE"""),"I wanted to love it...")</f>
        <v>I wanted to love it...</v>
      </c>
      <c r="E1318" s="12" t="str">
        <f>IFERROR(__xludf.DUMMYFUNCTION("""COMPUTED_VALUE"""),"I really like the look of the top when it is photographed on other people but it just isn't for me. the fabric is stiffer than i would have expected and not very moveable. the fit is not quite right on me. the longer sleeves detract from the look of the s"&amp;"hirt. i also generally prefer things a little more form fitting of which this is not. it was not very comfortable for me either, so this was clearly not a win for me.")</f>
        <v>I really like the look of the top when it is photographed on other people but it just isn't for me. the fabric is stiffer than i would have expected and not very moveable. the fit is not quite right on me. the longer sleeves detract from the look of the shirt. i also generally prefer things a little more form fitting of which this is not. it was not very comfortable for me either, so this was clearly not a win for me.</v>
      </c>
      <c r="F1318" s="13">
        <f>IFERROR(__xludf.DUMMYFUNCTION("""COMPUTED_VALUE"""),2.0)</f>
        <v>2</v>
      </c>
      <c r="G1318" s="13">
        <f>IFERROR(__xludf.DUMMYFUNCTION("""COMPUTED_VALUE"""),1.0)</f>
        <v>1</v>
      </c>
      <c r="H1318" s="13">
        <f>IFERROR(__xludf.DUMMYFUNCTION("""COMPUTED_VALUE"""),8.0)</f>
        <v>8</v>
      </c>
      <c r="I1318" s="13" t="str">
        <f>IFERROR(__xludf.DUMMYFUNCTION("""COMPUTED_VALUE"""),"General")</f>
        <v>General</v>
      </c>
      <c r="J1318" s="13" t="str">
        <f>IFERROR(__xludf.DUMMYFUNCTION("""COMPUTED_VALUE"""),"Tops")</f>
        <v>Tops</v>
      </c>
      <c r="K1318" s="13" t="str">
        <f>IFERROR(__xludf.DUMMYFUNCTION("""COMPUTED_VALUE"""),"Blouses")</f>
        <v>Blouses</v>
      </c>
      <c r="L1318" s="13"/>
    </row>
    <row r="1319">
      <c r="A1319" s="13">
        <f>IFERROR(__xludf.DUMMYFUNCTION("""COMPUTED_VALUE"""),1317.0)</f>
        <v>1317</v>
      </c>
      <c r="B1319" s="13">
        <f>IFERROR(__xludf.DUMMYFUNCTION("""COMPUTED_VALUE"""),836.0)</f>
        <v>836</v>
      </c>
      <c r="C1319" s="13">
        <f>IFERROR(__xludf.DUMMYFUNCTION("""COMPUTED_VALUE"""),47.0)</f>
        <v>47</v>
      </c>
      <c r="D1319" s="12"/>
      <c r="E1319" s="12" t="str">
        <f>IFERROR(__xludf.DUMMYFUNCTION("""COMPUTED_VALUE"""),"This top is absolutely adorable, fits small on top and then flares out a bit as shown. i bought it months ago and haven't worn it yet though. might try it with white jeans as shown.")</f>
        <v>This top is absolutely adorable, fits small on top and then flares out a bit as shown. i bought it months ago and haven't worn it yet though. might try it with white jeans as shown.</v>
      </c>
      <c r="F1319" s="13">
        <f>IFERROR(__xludf.DUMMYFUNCTION("""COMPUTED_VALUE"""),4.0)</f>
        <v>4</v>
      </c>
      <c r="G1319" s="13">
        <f>IFERROR(__xludf.DUMMYFUNCTION("""COMPUTED_VALUE"""),1.0)</f>
        <v>1</v>
      </c>
      <c r="H1319" s="13">
        <f>IFERROR(__xludf.DUMMYFUNCTION("""COMPUTED_VALUE"""),0.0)</f>
        <v>0</v>
      </c>
      <c r="I1319" s="13" t="str">
        <f>IFERROR(__xludf.DUMMYFUNCTION("""COMPUTED_VALUE"""),"General")</f>
        <v>General</v>
      </c>
      <c r="J1319" s="13" t="str">
        <f>IFERROR(__xludf.DUMMYFUNCTION("""COMPUTED_VALUE"""),"Tops")</f>
        <v>Tops</v>
      </c>
      <c r="K1319" s="13" t="str">
        <f>IFERROR(__xludf.DUMMYFUNCTION("""COMPUTED_VALUE"""),"Blouses")</f>
        <v>Blouses</v>
      </c>
      <c r="L1319" s="13"/>
    </row>
    <row r="1320">
      <c r="A1320" s="13">
        <f>IFERROR(__xludf.DUMMYFUNCTION("""COMPUTED_VALUE"""),1318.0)</f>
        <v>1318</v>
      </c>
      <c r="B1320" s="13">
        <f>IFERROR(__xludf.DUMMYFUNCTION("""COMPUTED_VALUE"""),836.0)</f>
        <v>836</v>
      </c>
      <c r="C1320" s="13">
        <f>IFERROR(__xludf.DUMMYFUNCTION("""COMPUTED_VALUE"""),59.0)</f>
        <v>59</v>
      </c>
      <c r="D1320" s="12" t="str">
        <f>IFERROR(__xludf.DUMMYFUNCTION("""COMPUTED_VALUE"""),"Too billowy")</f>
        <v>Too billowy</v>
      </c>
      <c r="E1320" s="12" t="str">
        <f>IFERROR(__xludf.DUMMYFUNCTION("""COMPUTED_VALUE"""),"Bought this top at my local store and tried it on as soon as i got home. yikes! it was way too billowy, i looked like i was pregnant. will be trying the next size down on in the store to see if it is billowy.")</f>
        <v>Bought this top at my local store and tried it on as soon as i got home. yikes! it was way too billowy, i looked like i was pregnant. will be trying the next size down on in the store to see if it is billowy.</v>
      </c>
      <c r="F1320" s="13">
        <f>IFERROR(__xludf.DUMMYFUNCTION("""COMPUTED_VALUE"""),3.0)</f>
        <v>3</v>
      </c>
      <c r="G1320" s="13">
        <f>IFERROR(__xludf.DUMMYFUNCTION("""COMPUTED_VALUE"""),1.0)</f>
        <v>1</v>
      </c>
      <c r="H1320" s="13">
        <f>IFERROR(__xludf.DUMMYFUNCTION("""COMPUTED_VALUE"""),16.0)</f>
        <v>16</v>
      </c>
      <c r="I1320" s="13" t="str">
        <f>IFERROR(__xludf.DUMMYFUNCTION("""COMPUTED_VALUE"""),"General")</f>
        <v>General</v>
      </c>
      <c r="J1320" s="13" t="str">
        <f>IFERROR(__xludf.DUMMYFUNCTION("""COMPUTED_VALUE"""),"Tops")</f>
        <v>Tops</v>
      </c>
      <c r="K1320" s="13" t="str">
        <f>IFERROR(__xludf.DUMMYFUNCTION("""COMPUTED_VALUE"""),"Blouses")</f>
        <v>Blouses</v>
      </c>
      <c r="L1320" s="13"/>
    </row>
    <row r="1321">
      <c r="A1321" s="13">
        <f>IFERROR(__xludf.DUMMYFUNCTION("""COMPUTED_VALUE"""),1319.0)</f>
        <v>1319</v>
      </c>
      <c r="B1321" s="13">
        <f>IFERROR(__xludf.DUMMYFUNCTION("""COMPUTED_VALUE"""),836.0)</f>
        <v>836</v>
      </c>
      <c r="C1321" s="13">
        <f>IFERROR(__xludf.DUMMYFUNCTION("""COMPUTED_VALUE"""),31.0)</f>
        <v>31</v>
      </c>
      <c r="D1321" s="12" t="str">
        <f>IFERROR(__xludf.DUMMYFUNCTION("""COMPUTED_VALUE"""),"Must see in person")</f>
        <v>Must see in person</v>
      </c>
      <c r="E1321" s="12" t="str">
        <f>IFERROR(__xludf.DUMMYFUNCTION("""COMPUTED_VALUE"""),"Gorgeous baby blue lace is a must see. i received many compliments. my only gripe is that i don't love when shirts have those connecting camisoles (which make it harder to put on) as i would much rather just have a sewn in lining, but it didn't deter me. "&amp;"i am 5'5"", 135lbs, 34c, muscular/curvy frame and a size 4 fit perfectly.")</f>
        <v>Gorgeous baby blue lace is a must see. i received many compliments. my only gripe is that i don't love when shirts have those connecting camisoles (which make it harder to put on) as i would much rather just have a sewn in lining, but it didn't deter me. i am 5'5", 135lbs, 34c, muscular/curvy frame and a size 4 fit perfectly.</v>
      </c>
      <c r="F1321" s="13">
        <f>IFERROR(__xludf.DUMMYFUNCTION("""COMPUTED_VALUE"""),5.0)</f>
        <v>5</v>
      </c>
      <c r="G1321" s="13">
        <f>IFERROR(__xludf.DUMMYFUNCTION("""COMPUTED_VALUE"""),1.0)</f>
        <v>1</v>
      </c>
      <c r="H1321" s="13">
        <f>IFERROR(__xludf.DUMMYFUNCTION("""COMPUTED_VALUE"""),2.0)</f>
        <v>2</v>
      </c>
      <c r="I1321" s="13" t="str">
        <f>IFERROR(__xludf.DUMMYFUNCTION("""COMPUTED_VALUE"""),"General")</f>
        <v>General</v>
      </c>
      <c r="J1321" s="13" t="str">
        <f>IFERROR(__xludf.DUMMYFUNCTION("""COMPUTED_VALUE"""),"Tops")</f>
        <v>Tops</v>
      </c>
      <c r="K1321" s="13" t="str">
        <f>IFERROR(__xludf.DUMMYFUNCTION("""COMPUTED_VALUE"""),"Blouses")</f>
        <v>Blouses</v>
      </c>
      <c r="L1321" s="13"/>
    </row>
    <row r="1322">
      <c r="A1322" s="13">
        <f>IFERROR(__xludf.DUMMYFUNCTION("""COMPUTED_VALUE"""),1320.0)</f>
        <v>1320</v>
      </c>
      <c r="B1322" s="13">
        <f>IFERROR(__xludf.DUMMYFUNCTION("""COMPUTED_VALUE"""),865.0)</f>
        <v>865</v>
      </c>
      <c r="C1322" s="13">
        <f>IFERROR(__xludf.DUMMYFUNCTION("""COMPUTED_VALUE"""),44.0)</f>
        <v>44</v>
      </c>
      <c r="D1322" s="12"/>
      <c r="E1322" s="12" t="str">
        <f>IFERROR(__xludf.DUMMYFUNCTION("""COMPUTED_VALUE"""),"Super cute poncho to add to my wardrobe.  love the grey color and the material is super soft.  glad i snagged this up for less than $30!")</f>
        <v>Super cute poncho to add to my wardrobe.  love the grey color and the material is super soft.  glad i snagged this up for less than $30!</v>
      </c>
      <c r="F1322" s="13">
        <f>IFERROR(__xludf.DUMMYFUNCTION("""COMPUTED_VALUE"""),5.0)</f>
        <v>5</v>
      </c>
      <c r="G1322" s="13">
        <f>IFERROR(__xludf.DUMMYFUNCTION("""COMPUTED_VALUE"""),1.0)</f>
        <v>1</v>
      </c>
      <c r="H1322" s="13">
        <f>IFERROR(__xludf.DUMMYFUNCTION("""COMPUTED_VALUE"""),0.0)</f>
        <v>0</v>
      </c>
      <c r="I1322" s="13" t="str">
        <f>IFERROR(__xludf.DUMMYFUNCTION("""COMPUTED_VALUE"""),"General")</f>
        <v>General</v>
      </c>
      <c r="J1322" s="13" t="str">
        <f>IFERROR(__xludf.DUMMYFUNCTION("""COMPUTED_VALUE"""),"Tops")</f>
        <v>Tops</v>
      </c>
      <c r="K1322" s="13" t="str">
        <f>IFERROR(__xludf.DUMMYFUNCTION("""COMPUTED_VALUE"""),"Knits")</f>
        <v>Knits</v>
      </c>
      <c r="L1322" s="13"/>
    </row>
    <row r="1323">
      <c r="A1323" s="13">
        <f>IFERROR(__xludf.DUMMYFUNCTION("""COMPUTED_VALUE"""),1321.0)</f>
        <v>1321</v>
      </c>
      <c r="B1323" s="13">
        <f>IFERROR(__xludf.DUMMYFUNCTION("""COMPUTED_VALUE"""),836.0)</f>
        <v>836</v>
      </c>
      <c r="C1323" s="13">
        <f>IFERROR(__xludf.DUMMYFUNCTION("""COMPUTED_VALUE"""),35.0)</f>
        <v>35</v>
      </c>
      <c r="D1323" s="12" t="str">
        <f>IFERROR(__xludf.DUMMYFUNCTION("""COMPUTED_VALUE"""),"Stunning top")</f>
        <v>Stunning top</v>
      </c>
      <c r="E1323" s="12" t="str">
        <f>IFERROR(__xludf.DUMMYFUNCTION("""COMPUTED_VALUE"""),"Great top!! love the fit, it pairs great with dark denim and pearls!! i ordered a 00 and am a 32c cup and 24-25 waist")</f>
        <v>Great top!! love the fit, it pairs great with dark denim and pearls!! i ordered a 00 and am a 32c cup and 24-25 waist</v>
      </c>
      <c r="F1323" s="13">
        <f>IFERROR(__xludf.DUMMYFUNCTION("""COMPUTED_VALUE"""),5.0)</f>
        <v>5</v>
      </c>
      <c r="G1323" s="13">
        <f>IFERROR(__xludf.DUMMYFUNCTION("""COMPUTED_VALUE"""),1.0)</f>
        <v>1</v>
      </c>
      <c r="H1323" s="13">
        <f>IFERROR(__xludf.DUMMYFUNCTION("""COMPUTED_VALUE"""),33.0)</f>
        <v>33</v>
      </c>
      <c r="I1323" s="13" t="str">
        <f>IFERROR(__xludf.DUMMYFUNCTION("""COMPUTED_VALUE"""),"General")</f>
        <v>General</v>
      </c>
      <c r="J1323" s="13" t="str">
        <f>IFERROR(__xludf.DUMMYFUNCTION("""COMPUTED_VALUE"""),"Tops")</f>
        <v>Tops</v>
      </c>
      <c r="K1323" s="13" t="str">
        <f>IFERROR(__xludf.DUMMYFUNCTION("""COMPUTED_VALUE"""),"Blouses")</f>
        <v>Blouses</v>
      </c>
      <c r="L1323" s="13"/>
    </row>
    <row r="1324">
      <c r="A1324" s="13">
        <f>IFERROR(__xludf.DUMMYFUNCTION("""COMPUTED_VALUE"""),1322.0)</f>
        <v>1322</v>
      </c>
      <c r="B1324" s="13">
        <f>IFERROR(__xludf.DUMMYFUNCTION("""COMPUTED_VALUE"""),819.0)</f>
        <v>819</v>
      </c>
      <c r="C1324" s="13">
        <f>IFERROR(__xludf.DUMMYFUNCTION("""COMPUTED_VALUE"""),31.0)</f>
        <v>31</v>
      </c>
      <c r="D1324" s="12"/>
      <c r="E1324" s="12" t="str">
        <f>IFERROR(__xludf.DUMMYFUNCTION("""COMPUTED_VALUE"""),"This top/jacket is less red than it appears in the pictures - more of a wine color (as it is labeled) but it is pretty and the gold details are nice.")</f>
        <v>This top/jacket is less red than it appears in the pictures - more of a wine color (as it is labeled) but it is pretty and the gold details are nice.</v>
      </c>
      <c r="F1324" s="13">
        <f>IFERROR(__xludf.DUMMYFUNCTION("""COMPUTED_VALUE"""),4.0)</f>
        <v>4</v>
      </c>
      <c r="G1324" s="13">
        <f>IFERROR(__xludf.DUMMYFUNCTION("""COMPUTED_VALUE"""),1.0)</f>
        <v>1</v>
      </c>
      <c r="H1324" s="13">
        <f>IFERROR(__xludf.DUMMYFUNCTION("""COMPUTED_VALUE"""),1.0)</f>
        <v>1</v>
      </c>
      <c r="I1324" s="13" t="str">
        <f>IFERROR(__xludf.DUMMYFUNCTION("""COMPUTED_VALUE"""),"General")</f>
        <v>General</v>
      </c>
      <c r="J1324" s="13" t="str">
        <f>IFERROR(__xludf.DUMMYFUNCTION("""COMPUTED_VALUE"""),"Tops")</f>
        <v>Tops</v>
      </c>
      <c r="K1324" s="13" t="str">
        <f>IFERROR(__xludf.DUMMYFUNCTION("""COMPUTED_VALUE"""),"Blouses")</f>
        <v>Blouses</v>
      </c>
      <c r="L1324" s="13"/>
    </row>
    <row r="1325">
      <c r="A1325" s="13">
        <f>IFERROR(__xludf.DUMMYFUNCTION("""COMPUTED_VALUE"""),1323.0)</f>
        <v>1323</v>
      </c>
      <c r="B1325" s="13">
        <f>IFERROR(__xludf.DUMMYFUNCTION("""COMPUTED_VALUE"""),865.0)</f>
        <v>865</v>
      </c>
      <c r="C1325" s="13">
        <f>IFERROR(__xludf.DUMMYFUNCTION("""COMPUTED_VALUE"""),44.0)</f>
        <v>44</v>
      </c>
      <c r="D1325" s="12"/>
      <c r="E1325" s="12" t="str">
        <f>IFERROR(__xludf.DUMMYFUNCTION("""COMPUTED_VALUE"""),"This sweater is a perfect transition piece!  the material is really soft. while it has the shape of a poncho it is cut nicely and doesn't make you look like a big blob.")</f>
        <v>This sweater is a perfect transition piece!  the material is really soft. while it has the shape of a poncho it is cut nicely and doesn't make you look like a big blob.</v>
      </c>
      <c r="F1325" s="13">
        <f>IFERROR(__xludf.DUMMYFUNCTION("""COMPUTED_VALUE"""),5.0)</f>
        <v>5</v>
      </c>
      <c r="G1325" s="13">
        <f>IFERROR(__xludf.DUMMYFUNCTION("""COMPUTED_VALUE"""),1.0)</f>
        <v>1</v>
      </c>
      <c r="H1325" s="13">
        <f>IFERROR(__xludf.DUMMYFUNCTION("""COMPUTED_VALUE"""),3.0)</f>
        <v>3</v>
      </c>
      <c r="I1325" s="13" t="str">
        <f>IFERROR(__xludf.DUMMYFUNCTION("""COMPUTED_VALUE"""),"General")</f>
        <v>General</v>
      </c>
      <c r="J1325" s="13" t="str">
        <f>IFERROR(__xludf.DUMMYFUNCTION("""COMPUTED_VALUE"""),"Tops")</f>
        <v>Tops</v>
      </c>
      <c r="K1325" s="13" t="str">
        <f>IFERROR(__xludf.DUMMYFUNCTION("""COMPUTED_VALUE"""),"Knits")</f>
        <v>Knits</v>
      </c>
      <c r="L1325" s="13"/>
    </row>
    <row r="1326">
      <c r="A1326" s="13">
        <f>IFERROR(__xludf.DUMMYFUNCTION("""COMPUTED_VALUE"""),1324.0)</f>
        <v>1324</v>
      </c>
      <c r="B1326" s="13">
        <f>IFERROR(__xludf.DUMMYFUNCTION("""COMPUTED_VALUE"""),836.0)</f>
        <v>836</v>
      </c>
      <c r="C1326" s="13">
        <f>IFERROR(__xludf.DUMMYFUNCTION("""COMPUTED_VALUE"""),34.0)</f>
        <v>34</v>
      </c>
      <c r="D1326" s="12" t="str">
        <f>IFERROR(__xludf.DUMMYFUNCTION("""COMPUTED_VALUE"""),"Love!!!")</f>
        <v>Love!!!</v>
      </c>
      <c r="E1326" s="12" t="str">
        <f>IFERROR(__xludf.DUMMYFUNCTION("""COMPUTED_VALUE"""),"I am obsessed with this top. it is even more gorgeous in person.... a real showstopper!")</f>
        <v>I am obsessed with this top. it is even more gorgeous in person.... a real showstopper!</v>
      </c>
      <c r="F1326" s="13">
        <f>IFERROR(__xludf.DUMMYFUNCTION("""COMPUTED_VALUE"""),5.0)</f>
        <v>5</v>
      </c>
      <c r="G1326" s="13">
        <f>IFERROR(__xludf.DUMMYFUNCTION("""COMPUTED_VALUE"""),1.0)</f>
        <v>1</v>
      </c>
      <c r="H1326" s="13">
        <f>IFERROR(__xludf.DUMMYFUNCTION("""COMPUTED_VALUE"""),9.0)</f>
        <v>9</v>
      </c>
      <c r="I1326" s="13" t="str">
        <f>IFERROR(__xludf.DUMMYFUNCTION("""COMPUTED_VALUE"""),"General")</f>
        <v>General</v>
      </c>
      <c r="J1326" s="13" t="str">
        <f>IFERROR(__xludf.DUMMYFUNCTION("""COMPUTED_VALUE"""),"Tops")</f>
        <v>Tops</v>
      </c>
      <c r="K1326" s="13" t="str">
        <f>IFERROR(__xludf.DUMMYFUNCTION("""COMPUTED_VALUE"""),"Blouses")</f>
        <v>Blouses</v>
      </c>
      <c r="L1326" s="13"/>
    </row>
    <row r="1327">
      <c r="A1327" s="13">
        <f>IFERROR(__xludf.DUMMYFUNCTION("""COMPUTED_VALUE"""),1325.0)</f>
        <v>1325</v>
      </c>
      <c r="B1327" s="13">
        <f>IFERROR(__xludf.DUMMYFUNCTION("""COMPUTED_VALUE"""),819.0)</f>
        <v>819</v>
      </c>
      <c r="C1327" s="13">
        <f>IFERROR(__xludf.DUMMYFUNCTION("""COMPUTED_VALUE"""),33.0)</f>
        <v>33</v>
      </c>
      <c r="D1327" s="12" t="str">
        <f>IFERROR(__xludf.DUMMYFUNCTION("""COMPUTED_VALUE"""),"Perfect for fall layering")</f>
        <v>Perfect for fall layering</v>
      </c>
      <c r="E1327" s="12" t="str">
        <f>IFERROR(__xludf.DUMMYFUNCTION("""COMPUTED_VALUE"""),"Beautiful color and a great lightweight piece for fall layering. the petite sizing was perfect for me. more like a belted kimono. very happy with this purchase")</f>
        <v>Beautiful color and a great lightweight piece for fall layering. the petite sizing was perfect for me. more like a belted kimono. very happy with this purchase</v>
      </c>
      <c r="F1327" s="13">
        <f>IFERROR(__xludf.DUMMYFUNCTION("""COMPUTED_VALUE"""),5.0)</f>
        <v>5</v>
      </c>
      <c r="G1327" s="13">
        <f>IFERROR(__xludf.DUMMYFUNCTION("""COMPUTED_VALUE"""),1.0)</f>
        <v>1</v>
      </c>
      <c r="H1327" s="13">
        <f>IFERROR(__xludf.DUMMYFUNCTION("""COMPUTED_VALUE"""),3.0)</f>
        <v>3</v>
      </c>
      <c r="I1327" s="13" t="str">
        <f>IFERROR(__xludf.DUMMYFUNCTION("""COMPUTED_VALUE"""),"General")</f>
        <v>General</v>
      </c>
      <c r="J1327" s="13" t="str">
        <f>IFERROR(__xludf.DUMMYFUNCTION("""COMPUTED_VALUE"""),"Tops")</f>
        <v>Tops</v>
      </c>
      <c r="K1327" s="13" t="str">
        <f>IFERROR(__xludf.DUMMYFUNCTION("""COMPUTED_VALUE"""),"Blouses")</f>
        <v>Blouses</v>
      </c>
      <c r="L1327" s="13"/>
    </row>
    <row r="1328">
      <c r="A1328" s="13">
        <f>IFERROR(__xludf.DUMMYFUNCTION("""COMPUTED_VALUE"""),1326.0)</f>
        <v>1326</v>
      </c>
      <c r="B1328" s="13">
        <f>IFERROR(__xludf.DUMMYFUNCTION("""COMPUTED_VALUE"""),819.0)</f>
        <v>819</v>
      </c>
      <c r="C1328" s="13">
        <f>IFERROR(__xludf.DUMMYFUNCTION("""COMPUTED_VALUE"""),51.0)</f>
        <v>51</v>
      </c>
      <c r="D1328" s="12"/>
      <c r="E1328" s="12" t="str">
        <f>IFERROR(__xludf.DUMMYFUNCTION("""COMPUTED_VALUE"""),"It's really cute but seems expensive for the type of fabric. i thought it would be more substantial. got lots of compliments .")</f>
        <v>It's really cute but seems expensive for the type of fabric. i thought it would be more substantial. got lots of compliments .</v>
      </c>
      <c r="F1328" s="13">
        <f>IFERROR(__xludf.DUMMYFUNCTION("""COMPUTED_VALUE"""),3.0)</f>
        <v>3</v>
      </c>
      <c r="G1328" s="13">
        <f>IFERROR(__xludf.DUMMYFUNCTION("""COMPUTED_VALUE"""),1.0)</f>
        <v>1</v>
      </c>
      <c r="H1328" s="13">
        <f>IFERROR(__xludf.DUMMYFUNCTION("""COMPUTED_VALUE"""),1.0)</f>
        <v>1</v>
      </c>
      <c r="I1328" s="13" t="str">
        <f>IFERROR(__xludf.DUMMYFUNCTION("""COMPUTED_VALUE"""),"General")</f>
        <v>General</v>
      </c>
      <c r="J1328" s="13" t="str">
        <f>IFERROR(__xludf.DUMMYFUNCTION("""COMPUTED_VALUE"""),"Tops")</f>
        <v>Tops</v>
      </c>
      <c r="K1328" s="13" t="str">
        <f>IFERROR(__xludf.DUMMYFUNCTION("""COMPUTED_VALUE"""),"Blouses")</f>
        <v>Blouses</v>
      </c>
      <c r="L1328" s="13"/>
    </row>
    <row r="1329">
      <c r="A1329" s="13">
        <f>IFERROR(__xludf.DUMMYFUNCTION("""COMPUTED_VALUE"""),1327.0)</f>
        <v>1327</v>
      </c>
      <c r="B1329" s="13">
        <f>IFERROR(__xludf.DUMMYFUNCTION("""COMPUTED_VALUE"""),1080.0)</f>
        <v>1080</v>
      </c>
      <c r="C1329" s="13">
        <f>IFERROR(__xludf.DUMMYFUNCTION("""COMPUTED_VALUE"""),49.0)</f>
        <v>49</v>
      </c>
      <c r="D1329" s="12" t="str">
        <f>IFERROR(__xludf.DUMMYFUNCTION("""COMPUTED_VALUE"""),"Beautiful fabric / odd fit")</f>
        <v>Beautiful fabric / odd fit</v>
      </c>
      <c r="E1329" s="12" t="str">
        <f>IFERROR(__xludf.DUMMYFUNCTION("""COMPUTED_VALUE"""),"Really wanted to love dress but something was off with fit. fabric is lovely and zipper detail nice unfortunately style was not for me.")</f>
        <v>Really wanted to love dress but something was off with fit. fabric is lovely and zipper detail nice unfortunately style was not for me.</v>
      </c>
      <c r="F1329" s="13">
        <f>IFERROR(__xludf.DUMMYFUNCTION("""COMPUTED_VALUE"""),3.0)</f>
        <v>3</v>
      </c>
      <c r="G1329" s="13">
        <f>IFERROR(__xludf.DUMMYFUNCTION("""COMPUTED_VALUE"""),0.0)</f>
        <v>0</v>
      </c>
      <c r="H1329" s="13">
        <f>IFERROR(__xludf.DUMMYFUNCTION("""COMPUTED_VALUE"""),1.0)</f>
        <v>1</v>
      </c>
      <c r="I1329" s="13" t="str">
        <f>IFERROR(__xludf.DUMMYFUNCTION("""COMPUTED_VALUE"""),"General")</f>
        <v>General</v>
      </c>
      <c r="J1329" s="13" t="str">
        <f>IFERROR(__xludf.DUMMYFUNCTION("""COMPUTED_VALUE"""),"Dresses")</f>
        <v>Dresses</v>
      </c>
      <c r="K1329" s="13" t="str">
        <f>IFERROR(__xludf.DUMMYFUNCTION("""COMPUTED_VALUE"""),"Dresses")</f>
        <v>Dresses</v>
      </c>
      <c r="L1329" s="13"/>
    </row>
    <row r="1330">
      <c r="A1330" s="13">
        <f>IFERROR(__xludf.DUMMYFUNCTION("""COMPUTED_VALUE"""),1328.0)</f>
        <v>1328</v>
      </c>
      <c r="B1330" s="13">
        <f>IFERROR(__xludf.DUMMYFUNCTION("""COMPUTED_VALUE"""),865.0)</f>
        <v>865</v>
      </c>
      <c r="C1330" s="13">
        <f>IFERROR(__xludf.DUMMYFUNCTION("""COMPUTED_VALUE"""),53.0)</f>
        <v>53</v>
      </c>
      <c r="D1330" s="12" t="str">
        <f>IFERROR(__xludf.DUMMYFUNCTION("""COMPUTED_VALUE"""),"Soft, subtle loveliness")</f>
        <v>Soft, subtle loveliness</v>
      </c>
      <c r="E1330" s="12" t="str">
        <f>IFERROR(__xludf.DUMMYFUNCTION("""COMPUTED_VALUE"""),"This a lovely piece. you have to see it close up to appreciate the subtle details. i typically wear xxsp or xsp, so i did not expect this to fit, but decided to try it because i liked the style. as a petite, many poncho styles overwhelm me and look like t"&amp;"ents. not this one. the xxs fit nicely - just the right length and width. i am 5'1"" and 108 lbs. i think one of the reasons this has not been popular is because it only shows up when searching on ponchos, and not when you search for sweaters. it")</f>
        <v>This a lovely piece. you have to see it close up to appreciate the subtle details. i typically wear xxsp or xsp, so i did not expect this to fit, but decided to try it because i liked the style. as a petite, many poncho styles overwhelm me and look like tents. not this one. the xxs fit nicely - just the right length and width. i am 5'1" and 108 lbs. i think one of the reasons this has not been popular is because it only shows up when searching on ponchos, and not when you search for sweaters. it</v>
      </c>
      <c r="F1330" s="13">
        <f>IFERROR(__xludf.DUMMYFUNCTION("""COMPUTED_VALUE"""),5.0)</f>
        <v>5</v>
      </c>
      <c r="G1330" s="13">
        <f>IFERROR(__xludf.DUMMYFUNCTION("""COMPUTED_VALUE"""),1.0)</f>
        <v>1</v>
      </c>
      <c r="H1330" s="13">
        <f>IFERROR(__xludf.DUMMYFUNCTION("""COMPUTED_VALUE"""),0.0)</f>
        <v>0</v>
      </c>
      <c r="I1330" s="13" t="str">
        <f>IFERROR(__xludf.DUMMYFUNCTION("""COMPUTED_VALUE"""),"General")</f>
        <v>General</v>
      </c>
      <c r="J1330" s="13" t="str">
        <f>IFERROR(__xludf.DUMMYFUNCTION("""COMPUTED_VALUE"""),"Tops")</f>
        <v>Tops</v>
      </c>
      <c r="K1330" s="13" t="str">
        <f>IFERROR(__xludf.DUMMYFUNCTION("""COMPUTED_VALUE"""),"Knits")</f>
        <v>Knits</v>
      </c>
      <c r="L1330" s="13"/>
    </row>
    <row r="1331">
      <c r="A1331" s="13">
        <f>IFERROR(__xludf.DUMMYFUNCTION("""COMPUTED_VALUE"""),1329.0)</f>
        <v>1329</v>
      </c>
      <c r="B1331" s="13">
        <f>IFERROR(__xludf.DUMMYFUNCTION("""COMPUTED_VALUE"""),836.0)</f>
        <v>836</v>
      </c>
      <c r="C1331" s="13">
        <f>IFERROR(__xludf.DUMMYFUNCTION("""COMPUTED_VALUE"""),51.0)</f>
        <v>51</v>
      </c>
      <c r="D1331" s="12" t="str">
        <f>IFERROR(__xludf.DUMMYFUNCTION("""COMPUTED_VALUE"""),"Happy top!")</f>
        <v>Happy top!</v>
      </c>
      <c r="E1331" s="12" t="str">
        <f>IFERROR(__xludf.DUMMYFUNCTION("""COMPUTED_VALUE"""),"In the midst of the end-of-winter doldrums, i tried this cute top on. springy. powdery. happy. the lace is soft, not too stiff or scratchy, and lightweight enough to transition nicely into summer. because the cami is a separate piece, i also envision wear"&amp;"ing this as a top over a slip-dress with some retro mary janes. the sleeve length makes it fair game for late winter, too. yay!")</f>
        <v>In the midst of the end-of-winter doldrums, i tried this cute top on. springy. powdery. happy. the lace is soft, not too stiff or scratchy, and lightweight enough to transition nicely into summer. because the cami is a separate piece, i also envision wearing this as a top over a slip-dress with some retro mary janes. the sleeve length makes it fair game for late winter, too. yay!</v>
      </c>
      <c r="F1331" s="13">
        <f>IFERROR(__xludf.DUMMYFUNCTION("""COMPUTED_VALUE"""),4.0)</f>
        <v>4</v>
      </c>
      <c r="G1331" s="13">
        <f>IFERROR(__xludf.DUMMYFUNCTION("""COMPUTED_VALUE"""),1.0)</f>
        <v>1</v>
      </c>
      <c r="H1331" s="13">
        <f>IFERROR(__xludf.DUMMYFUNCTION("""COMPUTED_VALUE"""),1.0)</f>
        <v>1</v>
      </c>
      <c r="I1331" s="13" t="str">
        <f>IFERROR(__xludf.DUMMYFUNCTION("""COMPUTED_VALUE"""),"General")</f>
        <v>General</v>
      </c>
      <c r="J1331" s="13" t="str">
        <f>IFERROR(__xludf.DUMMYFUNCTION("""COMPUTED_VALUE"""),"Tops")</f>
        <v>Tops</v>
      </c>
      <c r="K1331" s="13" t="str">
        <f>IFERROR(__xludf.DUMMYFUNCTION("""COMPUTED_VALUE"""),"Blouses")</f>
        <v>Blouses</v>
      </c>
      <c r="L1331" s="13"/>
    </row>
    <row r="1332">
      <c r="A1332" s="13">
        <f>IFERROR(__xludf.DUMMYFUNCTION("""COMPUTED_VALUE"""),1330.0)</f>
        <v>1330</v>
      </c>
      <c r="B1332" s="13">
        <f>IFERROR(__xludf.DUMMYFUNCTION("""COMPUTED_VALUE"""),836.0)</f>
        <v>836</v>
      </c>
      <c r="C1332" s="13">
        <f>IFERROR(__xludf.DUMMYFUNCTION("""COMPUTED_VALUE"""),39.0)</f>
        <v>39</v>
      </c>
      <c r="D1332" s="12"/>
      <c r="E1332" s="12" t="str">
        <f>IFERROR(__xludf.DUMMYFUNCTION("""COMPUTED_VALUE"""),"Absolutely love this top. it is beautiful, well made and so unique.")</f>
        <v>Absolutely love this top. it is beautiful, well made and so unique.</v>
      </c>
      <c r="F1332" s="13">
        <f>IFERROR(__xludf.DUMMYFUNCTION("""COMPUTED_VALUE"""),5.0)</f>
        <v>5</v>
      </c>
      <c r="G1332" s="13">
        <f>IFERROR(__xludf.DUMMYFUNCTION("""COMPUTED_VALUE"""),1.0)</f>
        <v>1</v>
      </c>
      <c r="H1332" s="13">
        <f>IFERROR(__xludf.DUMMYFUNCTION("""COMPUTED_VALUE"""),9.0)</f>
        <v>9</v>
      </c>
      <c r="I1332" s="13" t="str">
        <f>IFERROR(__xludf.DUMMYFUNCTION("""COMPUTED_VALUE"""),"General")</f>
        <v>General</v>
      </c>
      <c r="J1332" s="13" t="str">
        <f>IFERROR(__xludf.DUMMYFUNCTION("""COMPUTED_VALUE"""),"Tops")</f>
        <v>Tops</v>
      </c>
      <c r="K1332" s="13" t="str">
        <f>IFERROR(__xludf.DUMMYFUNCTION("""COMPUTED_VALUE"""),"Blouses")</f>
        <v>Blouses</v>
      </c>
      <c r="L1332" s="13"/>
    </row>
    <row r="1333">
      <c r="A1333" s="13">
        <f>IFERROR(__xludf.DUMMYFUNCTION("""COMPUTED_VALUE"""),1331.0)</f>
        <v>1331</v>
      </c>
      <c r="B1333" s="13">
        <f>IFERROR(__xludf.DUMMYFUNCTION("""COMPUTED_VALUE"""),836.0)</f>
        <v>836</v>
      </c>
      <c r="C1333" s="13">
        <f>IFERROR(__xludf.DUMMYFUNCTION("""COMPUTED_VALUE"""),48.0)</f>
        <v>48</v>
      </c>
      <c r="D1333" s="12" t="str">
        <f>IFERROR(__xludf.DUMMYFUNCTION("""COMPUTED_VALUE"""),"Wanted to love it")</f>
        <v>Wanted to love it</v>
      </c>
      <c r="E1333" s="12" t="str">
        <f>IFERROR(__xludf.DUMMYFUNCTION("""COMPUTED_VALUE"""),"An absolutely gorgeous, but poorly fitting blouse. the bottom part is way too billowy and inconsistent with the fitted top half. got it on sale and still returned it.")</f>
        <v>An absolutely gorgeous, but poorly fitting blouse. the bottom part is way too billowy and inconsistent with the fitted top half. got it on sale and still returned it.</v>
      </c>
      <c r="F1333" s="13">
        <f>IFERROR(__xludf.DUMMYFUNCTION("""COMPUTED_VALUE"""),2.0)</f>
        <v>2</v>
      </c>
      <c r="G1333" s="13">
        <f>IFERROR(__xludf.DUMMYFUNCTION("""COMPUTED_VALUE"""),0.0)</f>
        <v>0</v>
      </c>
      <c r="H1333" s="13">
        <f>IFERROR(__xludf.DUMMYFUNCTION("""COMPUTED_VALUE"""),0.0)</f>
        <v>0</v>
      </c>
      <c r="I1333" s="13" t="str">
        <f>IFERROR(__xludf.DUMMYFUNCTION("""COMPUTED_VALUE"""),"General")</f>
        <v>General</v>
      </c>
      <c r="J1333" s="13" t="str">
        <f>IFERROR(__xludf.DUMMYFUNCTION("""COMPUTED_VALUE"""),"Tops")</f>
        <v>Tops</v>
      </c>
      <c r="K1333" s="13" t="str">
        <f>IFERROR(__xludf.DUMMYFUNCTION("""COMPUTED_VALUE"""),"Blouses")</f>
        <v>Blouses</v>
      </c>
      <c r="L1333" s="13"/>
    </row>
    <row r="1334">
      <c r="A1334" s="13">
        <f>IFERROR(__xludf.DUMMYFUNCTION("""COMPUTED_VALUE"""),1332.0)</f>
        <v>1332</v>
      </c>
      <c r="B1334" s="13">
        <f>IFERROR(__xludf.DUMMYFUNCTION("""COMPUTED_VALUE"""),836.0)</f>
        <v>836</v>
      </c>
      <c r="C1334" s="13">
        <f>IFERROR(__xludf.DUMMYFUNCTION("""COMPUTED_VALUE"""),26.0)</f>
        <v>26</v>
      </c>
      <c r="D1334" s="12" t="str">
        <f>IFERROR(__xludf.DUMMYFUNCTION("""COMPUTED_VALUE"""),"Great overall, but with it's issues")</f>
        <v>Great overall, but with it's issues</v>
      </c>
      <c r="E1334" s="12" t="str">
        <f>IFERROR(__xludf.DUMMYFUNCTION("""COMPUTED_VALUE"""),"This top is really pretty and i received a lot of compliments on it. i said it ran true to size, but really the torso part runs a little big. if i had sized down, i think it would have been too tight in the arms. the cami that came with it kept falling ou"&amp;"t, which is no big deal, but be aware that the strings might not hold the cami with the shirt. overall, it's a really pretty blue and the details make it worth it.")</f>
        <v>This top is really pretty and i received a lot of compliments on it. i said it ran true to size, but really the torso part runs a little big. if i had sized down, i think it would have been too tight in the arms. the cami that came with it kept falling out, which is no big deal, but be aware that the strings might not hold the cami with the shirt. overall, it's a really pretty blue and the details make it worth it.</v>
      </c>
      <c r="F1334" s="13">
        <f>IFERROR(__xludf.DUMMYFUNCTION("""COMPUTED_VALUE"""),4.0)</f>
        <v>4</v>
      </c>
      <c r="G1334" s="13">
        <f>IFERROR(__xludf.DUMMYFUNCTION("""COMPUTED_VALUE"""),1.0)</f>
        <v>1</v>
      </c>
      <c r="H1334" s="13">
        <f>IFERROR(__xludf.DUMMYFUNCTION("""COMPUTED_VALUE"""),0.0)</f>
        <v>0</v>
      </c>
      <c r="I1334" s="13" t="str">
        <f>IFERROR(__xludf.DUMMYFUNCTION("""COMPUTED_VALUE"""),"General")</f>
        <v>General</v>
      </c>
      <c r="J1334" s="13" t="str">
        <f>IFERROR(__xludf.DUMMYFUNCTION("""COMPUTED_VALUE"""),"Tops")</f>
        <v>Tops</v>
      </c>
      <c r="K1334" s="13" t="str">
        <f>IFERROR(__xludf.DUMMYFUNCTION("""COMPUTED_VALUE"""),"Blouses")</f>
        <v>Blouses</v>
      </c>
      <c r="L1334" s="13"/>
    </row>
    <row r="1335">
      <c r="A1335" s="13">
        <f>IFERROR(__xludf.DUMMYFUNCTION("""COMPUTED_VALUE"""),1333.0)</f>
        <v>1333</v>
      </c>
      <c r="B1335" s="13">
        <f>IFERROR(__xludf.DUMMYFUNCTION("""COMPUTED_VALUE"""),836.0)</f>
        <v>836</v>
      </c>
      <c r="C1335" s="13">
        <f>IFERROR(__xludf.DUMMYFUNCTION("""COMPUTED_VALUE"""),25.0)</f>
        <v>25</v>
      </c>
      <c r="D1335" s="12" t="str">
        <f>IFERROR(__xludf.DUMMYFUNCTION("""COMPUTED_VALUE"""),"Cute shirt, but not for me")</f>
        <v>Cute shirt, but not for me</v>
      </c>
      <c r="E1335" s="12" t="str">
        <f>IFERROR(__xludf.DUMMYFUNCTION("""COMPUTED_VALUE"""),"The blue lace with the white top underneath is very pretty. unfortunately i did not like how billowy it was below the bra line.")</f>
        <v>The blue lace with the white top underneath is very pretty. unfortunately i did not like how billowy it was below the bra line.</v>
      </c>
      <c r="F1335" s="13">
        <f>IFERROR(__xludf.DUMMYFUNCTION("""COMPUTED_VALUE"""),5.0)</f>
        <v>5</v>
      </c>
      <c r="G1335" s="13">
        <f>IFERROR(__xludf.DUMMYFUNCTION("""COMPUTED_VALUE"""),0.0)</f>
        <v>0</v>
      </c>
      <c r="H1335" s="13">
        <f>IFERROR(__xludf.DUMMYFUNCTION("""COMPUTED_VALUE"""),0.0)</f>
        <v>0</v>
      </c>
      <c r="I1335" s="13" t="str">
        <f>IFERROR(__xludf.DUMMYFUNCTION("""COMPUTED_VALUE"""),"General")</f>
        <v>General</v>
      </c>
      <c r="J1335" s="13" t="str">
        <f>IFERROR(__xludf.DUMMYFUNCTION("""COMPUTED_VALUE"""),"Tops")</f>
        <v>Tops</v>
      </c>
      <c r="K1335" s="13" t="str">
        <f>IFERROR(__xludf.DUMMYFUNCTION("""COMPUTED_VALUE"""),"Blouses")</f>
        <v>Blouses</v>
      </c>
      <c r="L1335" s="13"/>
    </row>
    <row r="1336">
      <c r="A1336" s="13">
        <f>IFERROR(__xludf.DUMMYFUNCTION("""COMPUTED_VALUE"""),1334.0)</f>
        <v>1334</v>
      </c>
      <c r="B1336" s="13">
        <f>IFERROR(__xludf.DUMMYFUNCTION("""COMPUTED_VALUE"""),836.0)</f>
        <v>836</v>
      </c>
      <c r="C1336" s="13">
        <f>IFERROR(__xludf.DUMMYFUNCTION("""COMPUTED_VALUE"""),31.0)</f>
        <v>31</v>
      </c>
      <c r="D1336" s="12" t="str">
        <f>IFERROR(__xludf.DUMMYFUNCTION("""COMPUTED_VALUE"""),"Not as pictured")</f>
        <v>Not as pictured</v>
      </c>
      <c r="E1336" s="12" t="str">
        <f>IFERROR(__xludf.DUMMYFUNCTION("""COMPUTED_VALUE"""),"It is definitely pinned back on the model in the photograph. it made my 5 foot frame look short and wide.")</f>
        <v>It is definitely pinned back on the model in the photograph. it made my 5 foot frame look short and wide.</v>
      </c>
      <c r="F1336" s="13">
        <f>IFERROR(__xludf.DUMMYFUNCTION("""COMPUTED_VALUE"""),2.0)</f>
        <v>2</v>
      </c>
      <c r="G1336" s="13">
        <f>IFERROR(__xludf.DUMMYFUNCTION("""COMPUTED_VALUE"""),0.0)</f>
        <v>0</v>
      </c>
      <c r="H1336" s="13">
        <f>IFERROR(__xludf.DUMMYFUNCTION("""COMPUTED_VALUE"""),6.0)</f>
        <v>6</v>
      </c>
      <c r="I1336" s="13" t="str">
        <f>IFERROR(__xludf.DUMMYFUNCTION("""COMPUTED_VALUE"""),"General")</f>
        <v>General</v>
      </c>
      <c r="J1336" s="13" t="str">
        <f>IFERROR(__xludf.DUMMYFUNCTION("""COMPUTED_VALUE"""),"Tops")</f>
        <v>Tops</v>
      </c>
      <c r="K1336" s="13" t="str">
        <f>IFERROR(__xludf.DUMMYFUNCTION("""COMPUTED_VALUE"""),"Blouses")</f>
        <v>Blouses</v>
      </c>
      <c r="L1336" s="13"/>
    </row>
    <row r="1337">
      <c r="A1337" s="13">
        <f>IFERROR(__xludf.DUMMYFUNCTION("""COMPUTED_VALUE"""),1335.0)</f>
        <v>1335</v>
      </c>
      <c r="B1337" s="13">
        <f>IFERROR(__xludf.DUMMYFUNCTION("""COMPUTED_VALUE"""),1003.0)</f>
        <v>1003</v>
      </c>
      <c r="C1337" s="13">
        <f>IFERROR(__xludf.DUMMYFUNCTION("""COMPUTED_VALUE"""),23.0)</f>
        <v>23</v>
      </c>
      <c r="D1337" s="12" t="str">
        <f>IFERROR(__xludf.DUMMYFUNCTION("""COMPUTED_VALUE"""),"Not black")</f>
        <v>Not black</v>
      </c>
      <c r="E1337" s="12" t="str">
        <f>IFERROR(__xludf.DUMMYFUNCTION("""COMPUTED_VALUE"""),"For reference i am 5'5' 138 lbs with an hourglass figure and my usual small fit perfectly. the problems: 1. this skirt is not black but a charcoal gray/purple. 2. the sipper is reinforces with a stiff boarder on the inside so no matter where i put the wai"&amp;"st it sticks straight out making me look like i have a tail under my skirt. in other words, i had a very pointy butt. also the slit or tulip part of the skirt goes all the way up to the waist, it needed to be tacked to the other part of the skir")</f>
        <v>For reference i am 5'5' 138 lbs with an hourglass figure and my usual small fit perfectly. the problems: 1. this skirt is not black but a charcoal gray/purple. 2. the sipper is reinforces with a stiff boarder on the inside so no matter where i put the waist it sticks straight out making me look like i have a tail under my skirt. in other words, i had a very pointy butt. also the slit or tulip part of the skirt goes all the way up to the waist, it needed to be tacked to the other part of the skir</v>
      </c>
      <c r="F1337" s="13">
        <f>IFERROR(__xludf.DUMMYFUNCTION("""COMPUTED_VALUE"""),2.0)</f>
        <v>2</v>
      </c>
      <c r="G1337" s="13">
        <f>IFERROR(__xludf.DUMMYFUNCTION("""COMPUTED_VALUE"""),0.0)</f>
        <v>0</v>
      </c>
      <c r="H1337" s="13">
        <f>IFERROR(__xludf.DUMMYFUNCTION("""COMPUTED_VALUE"""),2.0)</f>
        <v>2</v>
      </c>
      <c r="I1337" s="13" t="str">
        <f>IFERROR(__xludf.DUMMYFUNCTION("""COMPUTED_VALUE"""),"General")</f>
        <v>General</v>
      </c>
      <c r="J1337" s="13" t="str">
        <f>IFERROR(__xludf.DUMMYFUNCTION("""COMPUTED_VALUE"""),"Bottoms")</f>
        <v>Bottoms</v>
      </c>
      <c r="K1337" s="13" t="str">
        <f>IFERROR(__xludf.DUMMYFUNCTION("""COMPUTED_VALUE"""),"Skirts")</f>
        <v>Skirts</v>
      </c>
      <c r="L1337" s="13"/>
    </row>
    <row r="1338">
      <c r="A1338" s="13">
        <f>IFERROR(__xludf.DUMMYFUNCTION("""COMPUTED_VALUE"""),1336.0)</f>
        <v>1336</v>
      </c>
      <c r="B1338" s="13">
        <f>IFERROR(__xludf.DUMMYFUNCTION("""COMPUTED_VALUE"""),836.0)</f>
        <v>836</v>
      </c>
      <c r="C1338" s="13">
        <f>IFERROR(__xludf.DUMMYFUNCTION("""COMPUTED_VALUE"""),36.0)</f>
        <v>36</v>
      </c>
      <c r="D1338" s="12" t="str">
        <f>IFERROR(__xludf.DUMMYFUNCTION("""COMPUTED_VALUE"""),"Stunning!")</f>
        <v>Stunning!</v>
      </c>
      <c r="E1338" s="12" t="str">
        <f>IFERROR(__xludf.DUMMYFUNCTION("""COMPUTED_VALUE"""),"I knew i wanted this top the moment i saw it, so onto my wishlist it went until it went on sale! it fits beautifully in my normal size and i love that it already has a coordinating tank top. i get compliments whenever i wear it- think hd in paris might be"&amp;" my new go-to!")</f>
        <v>I knew i wanted this top the moment i saw it, so onto my wishlist it went until it went on sale! it fits beautifully in my normal size and i love that it already has a coordinating tank top. i get compliments whenever i wear it- think hd in paris might be my new go-to!</v>
      </c>
      <c r="F1338" s="13">
        <f>IFERROR(__xludf.DUMMYFUNCTION("""COMPUTED_VALUE"""),5.0)</f>
        <v>5</v>
      </c>
      <c r="G1338" s="13">
        <f>IFERROR(__xludf.DUMMYFUNCTION("""COMPUTED_VALUE"""),1.0)</f>
        <v>1</v>
      </c>
      <c r="H1338" s="13">
        <f>IFERROR(__xludf.DUMMYFUNCTION("""COMPUTED_VALUE"""),0.0)</f>
        <v>0</v>
      </c>
      <c r="I1338" s="13" t="str">
        <f>IFERROR(__xludf.DUMMYFUNCTION("""COMPUTED_VALUE"""),"General Petite")</f>
        <v>General Petite</v>
      </c>
      <c r="J1338" s="13" t="str">
        <f>IFERROR(__xludf.DUMMYFUNCTION("""COMPUTED_VALUE"""),"Tops")</f>
        <v>Tops</v>
      </c>
      <c r="K1338" s="13" t="str">
        <f>IFERROR(__xludf.DUMMYFUNCTION("""COMPUTED_VALUE"""),"Blouses")</f>
        <v>Blouses</v>
      </c>
      <c r="L1338" s="13"/>
    </row>
    <row r="1339">
      <c r="A1339" s="13">
        <f>IFERROR(__xludf.DUMMYFUNCTION("""COMPUTED_VALUE"""),1337.0)</f>
        <v>1337</v>
      </c>
      <c r="B1339" s="13">
        <f>IFERROR(__xludf.DUMMYFUNCTION("""COMPUTED_VALUE"""),860.0)</f>
        <v>860</v>
      </c>
      <c r="C1339" s="13">
        <f>IFERROR(__xludf.DUMMYFUNCTION("""COMPUTED_VALUE"""),56.0)</f>
        <v>56</v>
      </c>
      <c r="D1339" s="12"/>
      <c r="E1339" s="12" t="str">
        <f>IFERROR(__xludf.DUMMYFUNCTION("""COMPUTED_VALUE"""),"This is probably a blouse for curvy women. with that i mean large breasted. i am a 40d and the xl fits well and the cleavage is in the limit of ok for the office. the bottom is a little too large but not too long. however, the fabric feels extremely comfo"&amp;"rtable and it stretches but it doesn't lose the shape. i am tempted to buy 2 more. if you are thin, you probably need to size down.")</f>
        <v>This is probably a blouse for curvy women. with that i mean large breasted. i am a 40d and the xl fits well and the cleavage is in the limit of ok for the office. the bottom is a little too large but not too long. however, the fabric feels extremely comfortable and it stretches but it doesn't lose the shape. i am tempted to buy 2 more. if you are thin, you probably need to size down.</v>
      </c>
      <c r="F1339" s="13">
        <f>IFERROR(__xludf.DUMMYFUNCTION("""COMPUTED_VALUE"""),5.0)</f>
        <v>5</v>
      </c>
      <c r="G1339" s="13">
        <f>IFERROR(__xludf.DUMMYFUNCTION("""COMPUTED_VALUE"""),1.0)</f>
        <v>1</v>
      </c>
      <c r="H1339" s="13">
        <f>IFERROR(__xludf.DUMMYFUNCTION("""COMPUTED_VALUE"""),2.0)</f>
        <v>2</v>
      </c>
      <c r="I1339" s="13" t="str">
        <f>IFERROR(__xludf.DUMMYFUNCTION("""COMPUTED_VALUE"""),"General")</f>
        <v>General</v>
      </c>
      <c r="J1339" s="13" t="str">
        <f>IFERROR(__xludf.DUMMYFUNCTION("""COMPUTED_VALUE"""),"Tops")</f>
        <v>Tops</v>
      </c>
      <c r="K1339" s="13" t="str">
        <f>IFERROR(__xludf.DUMMYFUNCTION("""COMPUTED_VALUE"""),"Knits")</f>
        <v>Knits</v>
      </c>
      <c r="L1339" s="13"/>
    </row>
    <row r="1340">
      <c r="A1340" s="13">
        <f>IFERROR(__xludf.DUMMYFUNCTION("""COMPUTED_VALUE"""),1338.0)</f>
        <v>1338</v>
      </c>
      <c r="B1340" s="13">
        <f>IFERROR(__xludf.DUMMYFUNCTION("""COMPUTED_VALUE"""),867.0)</f>
        <v>867</v>
      </c>
      <c r="C1340" s="13">
        <f>IFERROR(__xludf.DUMMYFUNCTION("""COMPUTED_VALUE"""),48.0)</f>
        <v>48</v>
      </c>
      <c r="D1340" s="12" t="str">
        <f>IFERROR(__xludf.DUMMYFUNCTION("""COMPUTED_VALUE"""),"Soft lightweight and cool")</f>
        <v>Soft lightweight and cool</v>
      </c>
      <c r="E1340" s="12" t="str">
        <f>IFERROR(__xludf.DUMMYFUNCTION("""COMPUTED_VALUE"""),"This tee is super soft and thin. perfect for hot humid days. i went with the neutral version and it is adorable with chino shorts or jean shorts. i found it ran big.. i purchased in xs and still pretty baggy.")</f>
        <v>This tee is super soft and thin. perfect for hot humid days. i went with the neutral version and it is adorable with chino shorts or jean shorts. i found it ran big.. i purchased in xs and still pretty baggy.</v>
      </c>
      <c r="F1340" s="13">
        <f>IFERROR(__xludf.DUMMYFUNCTION("""COMPUTED_VALUE"""),5.0)</f>
        <v>5</v>
      </c>
      <c r="G1340" s="13">
        <f>IFERROR(__xludf.DUMMYFUNCTION("""COMPUTED_VALUE"""),1.0)</f>
        <v>1</v>
      </c>
      <c r="H1340" s="13">
        <f>IFERROR(__xludf.DUMMYFUNCTION("""COMPUTED_VALUE"""),3.0)</f>
        <v>3</v>
      </c>
      <c r="I1340" s="13" t="str">
        <f>IFERROR(__xludf.DUMMYFUNCTION("""COMPUTED_VALUE"""),"General")</f>
        <v>General</v>
      </c>
      <c r="J1340" s="13" t="str">
        <f>IFERROR(__xludf.DUMMYFUNCTION("""COMPUTED_VALUE"""),"Tops")</f>
        <v>Tops</v>
      </c>
      <c r="K1340" s="13" t="str">
        <f>IFERROR(__xludf.DUMMYFUNCTION("""COMPUTED_VALUE"""),"Knits")</f>
        <v>Knits</v>
      </c>
      <c r="L1340" s="13"/>
    </row>
    <row r="1341">
      <c r="A1341" s="13">
        <f>IFERROR(__xludf.DUMMYFUNCTION("""COMPUTED_VALUE"""),1339.0)</f>
        <v>1339</v>
      </c>
      <c r="B1341" s="13">
        <f>IFERROR(__xludf.DUMMYFUNCTION("""COMPUTED_VALUE"""),1022.0)</f>
        <v>1022</v>
      </c>
      <c r="C1341" s="13">
        <f>IFERROR(__xludf.DUMMYFUNCTION("""COMPUTED_VALUE"""),40.0)</f>
        <v>40</v>
      </c>
      <c r="D1341" s="12" t="str">
        <f>IFERROR(__xludf.DUMMYFUNCTION("""COMPUTED_VALUE"""),"Not the same")</f>
        <v>Not the same</v>
      </c>
      <c r="E1341" s="12" t="str">
        <f>IFERROR(__xludf.DUMMYFUNCTION("""COMPUTED_VALUE"""),"I've been buying stevie ankles for years from retailer and been very happy. the past two pairs i bought had a heavy chemical smell, which i imagine is some kind of starch/chemical to keep the denim stiff. with the first pair, after enough washes to get ri"&amp;"d of the bad smell (4), they lost all form and looked terrible since they were washed i couldn't return them. the 2nd pair arrived with the same heavy smell and i returned them. it may be they are made elsewhere now, but it's disappointing.")</f>
        <v>I've been buying stevie ankles for years from retailer and been very happy. the past two pairs i bought had a heavy chemical smell, which i imagine is some kind of starch/chemical to keep the denim stiff. with the first pair, after enough washes to get rid of the bad smell (4), they lost all form and looked terrible since they were washed i couldn't return them. the 2nd pair arrived with the same heavy smell and i returned them. it may be they are made elsewhere now, but it's disappointing.</v>
      </c>
      <c r="F1341" s="13">
        <f>IFERROR(__xludf.DUMMYFUNCTION("""COMPUTED_VALUE"""),1.0)</f>
        <v>1</v>
      </c>
      <c r="G1341" s="13">
        <f>IFERROR(__xludf.DUMMYFUNCTION("""COMPUTED_VALUE"""),0.0)</f>
        <v>0</v>
      </c>
      <c r="H1341" s="13">
        <f>IFERROR(__xludf.DUMMYFUNCTION("""COMPUTED_VALUE"""),0.0)</f>
        <v>0</v>
      </c>
      <c r="I1341" s="13" t="str">
        <f>IFERROR(__xludf.DUMMYFUNCTION("""COMPUTED_VALUE"""),"General")</f>
        <v>General</v>
      </c>
      <c r="J1341" s="13" t="str">
        <f>IFERROR(__xludf.DUMMYFUNCTION("""COMPUTED_VALUE"""),"Bottoms")</f>
        <v>Bottoms</v>
      </c>
      <c r="K1341" s="13" t="str">
        <f>IFERROR(__xludf.DUMMYFUNCTION("""COMPUTED_VALUE"""),"Jeans")</f>
        <v>Jeans</v>
      </c>
      <c r="L1341" s="13"/>
    </row>
    <row r="1342">
      <c r="A1342" s="13">
        <f>IFERROR(__xludf.DUMMYFUNCTION("""COMPUTED_VALUE"""),1340.0)</f>
        <v>1340</v>
      </c>
      <c r="B1342" s="13">
        <f>IFERROR(__xludf.DUMMYFUNCTION("""COMPUTED_VALUE"""),1098.0)</f>
        <v>1098</v>
      </c>
      <c r="C1342" s="13">
        <f>IFERROR(__xludf.DUMMYFUNCTION("""COMPUTED_VALUE"""),42.0)</f>
        <v>42</v>
      </c>
      <c r="D1342" s="12" t="str">
        <f>IFERROR(__xludf.DUMMYFUNCTION("""COMPUTED_VALUE"""),"Beautiful!")</f>
        <v>Beautiful!</v>
      </c>
      <c r="E1342" s="12" t="str">
        <f>IFERROR(__xludf.DUMMYFUNCTION("""COMPUTED_VALUE"""),"Beautiful dress! excellent detail! loved everything about this dress except for the weight. this dress is very heavy which limits my wearing options in fl. given the fabric, this is a great special occasion dress.")</f>
        <v>Beautiful dress! excellent detail! loved everything about this dress except for the weight. this dress is very heavy which limits my wearing options in fl. given the fabric, this is a great special occasion dress.</v>
      </c>
      <c r="F1342" s="13">
        <f>IFERROR(__xludf.DUMMYFUNCTION("""COMPUTED_VALUE"""),4.0)</f>
        <v>4</v>
      </c>
      <c r="G1342" s="13">
        <f>IFERROR(__xludf.DUMMYFUNCTION("""COMPUTED_VALUE"""),1.0)</f>
        <v>1</v>
      </c>
      <c r="H1342" s="13">
        <f>IFERROR(__xludf.DUMMYFUNCTION("""COMPUTED_VALUE"""),6.0)</f>
        <v>6</v>
      </c>
      <c r="I1342" s="13" t="str">
        <f>IFERROR(__xludf.DUMMYFUNCTION("""COMPUTED_VALUE"""),"General")</f>
        <v>General</v>
      </c>
      <c r="J1342" s="13" t="str">
        <f>IFERROR(__xludf.DUMMYFUNCTION("""COMPUTED_VALUE"""),"Dresses")</f>
        <v>Dresses</v>
      </c>
      <c r="K1342" s="13" t="str">
        <f>IFERROR(__xludf.DUMMYFUNCTION("""COMPUTED_VALUE"""),"Dresses")</f>
        <v>Dresses</v>
      </c>
      <c r="L1342" s="13"/>
    </row>
    <row r="1343">
      <c r="A1343" s="13">
        <f>IFERROR(__xludf.DUMMYFUNCTION("""COMPUTED_VALUE"""),1341.0)</f>
        <v>1341</v>
      </c>
      <c r="B1343" s="13">
        <f>IFERROR(__xludf.DUMMYFUNCTION("""COMPUTED_VALUE"""),1098.0)</f>
        <v>1098</v>
      </c>
      <c r="C1343" s="13">
        <f>IFERROR(__xludf.DUMMYFUNCTION("""COMPUTED_VALUE"""),37.0)</f>
        <v>37</v>
      </c>
      <c r="D1343" s="12" t="str">
        <f>IFERROR(__xludf.DUMMYFUNCTION("""COMPUTED_VALUE"""),"Disappointed")</f>
        <v>Disappointed</v>
      </c>
      <c r="E1343" s="12" t="str">
        <f>IFERROR(__xludf.DUMMYFUNCTION("""COMPUTED_VALUE"""),"I'm so incredibly disappointed. the dress is beautiful but the one i received is torn and has multiple strands of beads missing. poor quality control.")</f>
        <v>I'm so incredibly disappointed. the dress is beautiful but the one i received is torn and has multiple strands of beads missing. poor quality control.</v>
      </c>
      <c r="F1343" s="13">
        <f>IFERROR(__xludf.DUMMYFUNCTION("""COMPUTED_VALUE"""),1.0)</f>
        <v>1</v>
      </c>
      <c r="G1343" s="13">
        <f>IFERROR(__xludf.DUMMYFUNCTION("""COMPUTED_VALUE"""),0.0)</f>
        <v>0</v>
      </c>
      <c r="H1343" s="13">
        <f>IFERROR(__xludf.DUMMYFUNCTION("""COMPUTED_VALUE"""),0.0)</f>
        <v>0</v>
      </c>
      <c r="I1343" s="13" t="str">
        <f>IFERROR(__xludf.DUMMYFUNCTION("""COMPUTED_VALUE"""),"General")</f>
        <v>General</v>
      </c>
      <c r="J1343" s="13" t="str">
        <f>IFERROR(__xludf.DUMMYFUNCTION("""COMPUTED_VALUE"""),"Dresses")</f>
        <v>Dresses</v>
      </c>
      <c r="K1343" s="13" t="str">
        <f>IFERROR(__xludf.DUMMYFUNCTION("""COMPUTED_VALUE"""),"Dresses")</f>
        <v>Dresses</v>
      </c>
      <c r="L1343" s="13"/>
    </row>
    <row r="1344">
      <c r="A1344" s="13">
        <f>IFERROR(__xludf.DUMMYFUNCTION("""COMPUTED_VALUE"""),1342.0)</f>
        <v>1342</v>
      </c>
      <c r="B1344" s="13">
        <f>IFERROR(__xludf.DUMMYFUNCTION("""COMPUTED_VALUE"""),825.0)</f>
        <v>825</v>
      </c>
      <c r="C1344" s="13">
        <f>IFERROR(__xludf.DUMMYFUNCTION("""COMPUTED_VALUE"""),42.0)</f>
        <v>42</v>
      </c>
      <c r="D1344" s="12" t="str">
        <f>IFERROR(__xludf.DUMMYFUNCTION("""COMPUTED_VALUE"""),"Yeh, what she said.....")</f>
        <v>Yeh, what she said.....</v>
      </c>
      <c r="E1344" s="12" t="str">
        <f>IFERROR(__xludf.DUMMYFUNCTION("""COMPUTED_VALUE"""),"Yep. this is snug, so maybe you might consider upping your normal size. but here's the annoying thing for me...the buttons fell off. not kidding. the first i wore this blouse and two buttons came off. when i looked at the other ones i saw that they all ne"&amp;"eded to be resewn to keep them attached. what a bother. but i'm doing it because the cotton poplin is nice and the little ruffle is a nice touch that i really like . where am i going to find another? so i'll fix it up the way it should have been")</f>
        <v>Yep. this is snug, so maybe you might consider upping your normal size. but here's the annoying thing for me...the buttons fell off. not kidding. the first i wore this blouse and two buttons came off. when i looked at the other ones i saw that they all needed to be resewn to keep them attached. what a bother. but i'm doing it because the cotton poplin is nice and the little ruffle is a nice touch that i really like . where am i going to find another? so i'll fix it up the way it should have been</v>
      </c>
      <c r="F1344" s="13">
        <f>IFERROR(__xludf.DUMMYFUNCTION("""COMPUTED_VALUE"""),4.0)</f>
        <v>4</v>
      </c>
      <c r="G1344" s="13">
        <f>IFERROR(__xludf.DUMMYFUNCTION("""COMPUTED_VALUE"""),1.0)</f>
        <v>1</v>
      </c>
      <c r="H1344" s="13">
        <f>IFERROR(__xludf.DUMMYFUNCTION("""COMPUTED_VALUE"""),1.0)</f>
        <v>1</v>
      </c>
      <c r="I1344" s="13" t="str">
        <f>IFERROR(__xludf.DUMMYFUNCTION("""COMPUTED_VALUE"""),"General")</f>
        <v>General</v>
      </c>
      <c r="J1344" s="13" t="str">
        <f>IFERROR(__xludf.DUMMYFUNCTION("""COMPUTED_VALUE"""),"Tops")</f>
        <v>Tops</v>
      </c>
      <c r="K1344" s="13" t="str">
        <f>IFERROR(__xludf.DUMMYFUNCTION("""COMPUTED_VALUE"""),"Blouses")</f>
        <v>Blouses</v>
      </c>
      <c r="L1344" s="13"/>
    </row>
    <row r="1345">
      <c r="A1345" s="13">
        <f>IFERROR(__xludf.DUMMYFUNCTION("""COMPUTED_VALUE"""),1343.0)</f>
        <v>1343</v>
      </c>
      <c r="B1345" s="13">
        <f>IFERROR(__xludf.DUMMYFUNCTION("""COMPUTED_VALUE"""),708.0)</f>
        <v>708</v>
      </c>
      <c r="C1345" s="13">
        <f>IFERROR(__xludf.DUMMYFUNCTION("""COMPUTED_VALUE"""),27.0)</f>
        <v>27</v>
      </c>
      <c r="D1345" s="12" t="str">
        <f>IFERROR(__xludf.DUMMYFUNCTION("""COMPUTED_VALUE"""),"My favorite workout leggings")</f>
        <v>My favorite workout leggings</v>
      </c>
      <c r="E1345" s="12" t="str">
        <f>IFERROR(__xludf.DUMMYFUNCTION("""COMPUTED_VALUE"""),"These leggings are wonderful. they are incredibly soft, and stay in place when working out.")</f>
        <v>These leggings are wonderful. they are incredibly soft, and stay in place when working out.</v>
      </c>
      <c r="F1345" s="13">
        <f>IFERROR(__xludf.DUMMYFUNCTION("""COMPUTED_VALUE"""),5.0)</f>
        <v>5</v>
      </c>
      <c r="G1345" s="13">
        <f>IFERROR(__xludf.DUMMYFUNCTION("""COMPUTED_VALUE"""),1.0)</f>
        <v>1</v>
      </c>
      <c r="H1345" s="13">
        <f>IFERROR(__xludf.DUMMYFUNCTION("""COMPUTED_VALUE"""),0.0)</f>
        <v>0</v>
      </c>
      <c r="I1345" s="13" t="str">
        <f>IFERROR(__xludf.DUMMYFUNCTION("""COMPUTED_VALUE"""),"Initmates")</f>
        <v>Initmates</v>
      </c>
      <c r="J1345" s="13" t="str">
        <f>IFERROR(__xludf.DUMMYFUNCTION("""COMPUTED_VALUE"""),"Intimate")</f>
        <v>Intimate</v>
      </c>
      <c r="K1345" s="13" t="str">
        <f>IFERROR(__xludf.DUMMYFUNCTION("""COMPUTED_VALUE"""),"Lounge")</f>
        <v>Lounge</v>
      </c>
      <c r="L1345" s="13"/>
    </row>
    <row r="1346">
      <c r="A1346" s="13">
        <f>IFERROR(__xludf.DUMMYFUNCTION("""COMPUTED_VALUE"""),1344.0)</f>
        <v>1344</v>
      </c>
      <c r="B1346" s="13">
        <f>IFERROR(__xludf.DUMMYFUNCTION("""COMPUTED_VALUE"""),867.0)</f>
        <v>867</v>
      </c>
      <c r="C1346" s="13">
        <f>IFERROR(__xludf.DUMMYFUNCTION("""COMPUTED_VALUE"""),71.0)</f>
        <v>71</v>
      </c>
      <c r="D1346" s="12"/>
      <c r="E1346" s="12"/>
      <c r="F1346" s="13">
        <f>IFERROR(__xludf.DUMMYFUNCTION("""COMPUTED_VALUE"""),4.0)</f>
        <v>4</v>
      </c>
      <c r="G1346" s="13">
        <f>IFERROR(__xludf.DUMMYFUNCTION("""COMPUTED_VALUE"""),1.0)</f>
        <v>1</v>
      </c>
      <c r="H1346" s="13">
        <f>IFERROR(__xludf.DUMMYFUNCTION("""COMPUTED_VALUE"""),0.0)</f>
        <v>0</v>
      </c>
      <c r="I1346" s="13" t="str">
        <f>IFERROR(__xludf.DUMMYFUNCTION("""COMPUTED_VALUE"""),"General")</f>
        <v>General</v>
      </c>
      <c r="J1346" s="13" t="str">
        <f>IFERROR(__xludf.DUMMYFUNCTION("""COMPUTED_VALUE"""),"Tops")</f>
        <v>Tops</v>
      </c>
      <c r="K1346" s="13" t="str">
        <f>IFERROR(__xludf.DUMMYFUNCTION("""COMPUTED_VALUE"""),"Knits")</f>
        <v>Knits</v>
      </c>
      <c r="L1346" s="13"/>
    </row>
    <row r="1347">
      <c r="A1347" s="13">
        <f>IFERROR(__xludf.DUMMYFUNCTION("""COMPUTED_VALUE"""),1345.0)</f>
        <v>1345</v>
      </c>
      <c r="B1347" s="13">
        <f>IFERROR(__xludf.DUMMYFUNCTION("""COMPUTED_VALUE"""),850.0)</f>
        <v>850</v>
      </c>
      <c r="C1347" s="13">
        <f>IFERROR(__xludf.DUMMYFUNCTION("""COMPUTED_VALUE"""),25.0)</f>
        <v>25</v>
      </c>
      <c r="D1347" s="12" t="str">
        <f>IFERROR(__xludf.DUMMYFUNCTION("""COMPUTED_VALUE"""),"Pretty details")</f>
        <v>Pretty details</v>
      </c>
      <c r="E1347" s="12" t="str">
        <f>IFERROR(__xludf.DUMMYFUNCTION("""COMPUTED_VALUE"""),"I initially tried this on in store and fell in love with the beautiful cut out details and fit. the star design is really cute and unique and the blue color is not see-through at all. i eventually had to buy the blouse online because i could not stop thin"&amp;"king about it. also machine washable is a major plus.")</f>
        <v>I initially tried this on in store and fell in love with the beautiful cut out details and fit. the star design is really cute and unique and the blue color is not see-through at all. i eventually had to buy the blouse online because i could not stop thinking about it. also machine washable is a major plus.</v>
      </c>
      <c r="F1347" s="13">
        <f>IFERROR(__xludf.DUMMYFUNCTION("""COMPUTED_VALUE"""),5.0)</f>
        <v>5</v>
      </c>
      <c r="G1347" s="13">
        <f>IFERROR(__xludf.DUMMYFUNCTION("""COMPUTED_VALUE"""),1.0)</f>
        <v>1</v>
      </c>
      <c r="H1347" s="13">
        <f>IFERROR(__xludf.DUMMYFUNCTION("""COMPUTED_VALUE"""),0.0)</f>
        <v>0</v>
      </c>
      <c r="I1347" s="13" t="str">
        <f>IFERROR(__xludf.DUMMYFUNCTION("""COMPUTED_VALUE"""),"General")</f>
        <v>General</v>
      </c>
      <c r="J1347" s="13" t="str">
        <f>IFERROR(__xludf.DUMMYFUNCTION("""COMPUTED_VALUE"""),"Tops")</f>
        <v>Tops</v>
      </c>
      <c r="K1347" s="13" t="str">
        <f>IFERROR(__xludf.DUMMYFUNCTION("""COMPUTED_VALUE"""),"Blouses")</f>
        <v>Blouses</v>
      </c>
      <c r="L1347" s="13"/>
    </row>
    <row r="1348">
      <c r="A1348" s="13">
        <f>IFERROR(__xludf.DUMMYFUNCTION("""COMPUTED_VALUE"""),1346.0)</f>
        <v>1346</v>
      </c>
      <c r="B1348" s="13">
        <f>IFERROR(__xludf.DUMMYFUNCTION("""COMPUTED_VALUE"""),860.0)</f>
        <v>860</v>
      </c>
      <c r="C1348" s="13">
        <f>IFERROR(__xludf.DUMMYFUNCTION("""COMPUTED_VALUE"""),38.0)</f>
        <v>38</v>
      </c>
      <c r="D1348" s="12"/>
      <c r="E1348" s="12" t="str">
        <f>IFERROR(__xludf.DUMMYFUNCTION("""COMPUTED_VALUE"""),"Another shirt i really wanted to love. i adore green but so few tops are made in this color. (please make more!!) however, this shirt didn't work for me. i think it's a matter of where your curves live. the shirt was true to size, but my boobs meant i was"&amp;" showing more cleavage than the model, and the top part felt more like a bib than embroidery. sad coz it is lovely and feels lovely on. probably a great shirt for different body types. would love to see more green clothing....")</f>
        <v>Another shirt i really wanted to love. i adore green but so few tops are made in this color. (please make more!!) however, this shirt didn't work for me. i think it's a matter of where your curves live. the shirt was true to size, but my boobs meant i was showing more cleavage than the model, and the top part felt more like a bib than embroidery. sad coz it is lovely and feels lovely on. probably a great shirt for different body types. would love to see more green clothing....</v>
      </c>
      <c r="F1348" s="13">
        <f>IFERROR(__xludf.DUMMYFUNCTION("""COMPUTED_VALUE"""),3.0)</f>
        <v>3</v>
      </c>
      <c r="G1348" s="13">
        <f>IFERROR(__xludf.DUMMYFUNCTION("""COMPUTED_VALUE"""),1.0)</f>
        <v>1</v>
      </c>
      <c r="H1348" s="13">
        <f>IFERROR(__xludf.DUMMYFUNCTION("""COMPUTED_VALUE"""),1.0)</f>
        <v>1</v>
      </c>
      <c r="I1348" s="13" t="str">
        <f>IFERROR(__xludf.DUMMYFUNCTION("""COMPUTED_VALUE"""),"General")</f>
        <v>General</v>
      </c>
      <c r="J1348" s="13" t="str">
        <f>IFERROR(__xludf.DUMMYFUNCTION("""COMPUTED_VALUE"""),"Tops")</f>
        <v>Tops</v>
      </c>
      <c r="K1348" s="13" t="str">
        <f>IFERROR(__xludf.DUMMYFUNCTION("""COMPUTED_VALUE"""),"Knits")</f>
        <v>Knits</v>
      </c>
      <c r="L1348" s="13"/>
    </row>
    <row r="1349">
      <c r="A1349" s="13">
        <f>IFERROR(__xludf.DUMMYFUNCTION("""COMPUTED_VALUE"""),1347.0)</f>
        <v>1347</v>
      </c>
      <c r="B1349" s="13">
        <f>IFERROR(__xludf.DUMMYFUNCTION("""COMPUTED_VALUE"""),946.0)</f>
        <v>946</v>
      </c>
      <c r="C1349" s="13">
        <f>IFERROR(__xludf.DUMMYFUNCTION("""COMPUTED_VALUE"""),48.0)</f>
        <v>48</v>
      </c>
      <c r="D1349" s="12" t="str">
        <f>IFERROR(__xludf.DUMMYFUNCTION("""COMPUTED_VALUE"""),"Not what i wanted")</f>
        <v>Not what i wanted</v>
      </c>
      <c r="E1349" s="12" t="str">
        <f>IFERROR(__xludf.DUMMYFUNCTION("""COMPUTED_VALUE"""),"I am reasonably petite, but i like sweaters very oversized and large, so i ordered this sweater in a large. i was very disappointed when the sweater came because while the sleeves and upper chest area were in large, the length of the sweater did not at al"&amp;"l increase when the size did. because the lower part of the sweater did not increase in size, the sweater ended up looking very awkward, with the chest and sleeves very large and long but then a very tight and short (waist-length) stomach. i do")</f>
        <v>I am reasonably petite, but i like sweaters very oversized and large, so i ordered this sweater in a large. i was very disappointed when the sweater came because while the sleeves and upper chest area were in large, the length of the sweater did not at all increase when the size did. because the lower part of the sweater did not increase in size, the sweater ended up looking very awkward, with the chest and sleeves very large and long but then a very tight and short (waist-length) stomach. i do</v>
      </c>
      <c r="F1349" s="13">
        <f>IFERROR(__xludf.DUMMYFUNCTION("""COMPUTED_VALUE"""),2.0)</f>
        <v>2</v>
      </c>
      <c r="G1349" s="13">
        <f>IFERROR(__xludf.DUMMYFUNCTION("""COMPUTED_VALUE"""),0.0)</f>
        <v>0</v>
      </c>
      <c r="H1349" s="13">
        <f>IFERROR(__xludf.DUMMYFUNCTION("""COMPUTED_VALUE"""),0.0)</f>
        <v>0</v>
      </c>
      <c r="I1349" s="13" t="str">
        <f>IFERROR(__xludf.DUMMYFUNCTION("""COMPUTED_VALUE"""),"General")</f>
        <v>General</v>
      </c>
      <c r="J1349" s="13" t="str">
        <f>IFERROR(__xludf.DUMMYFUNCTION("""COMPUTED_VALUE"""),"Tops")</f>
        <v>Tops</v>
      </c>
      <c r="K1349" s="13" t="str">
        <f>IFERROR(__xludf.DUMMYFUNCTION("""COMPUTED_VALUE"""),"Sweaters")</f>
        <v>Sweaters</v>
      </c>
      <c r="L1349" s="13"/>
    </row>
    <row r="1350">
      <c r="A1350" s="13">
        <f>IFERROR(__xludf.DUMMYFUNCTION("""COMPUTED_VALUE"""),1348.0)</f>
        <v>1348</v>
      </c>
      <c r="B1350" s="13">
        <f>IFERROR(__xludf.DUMMYFUNCTION("""COMPUTED_VALUE"""),1098.0)</f>
        <v>1098</v>
      </c>
      <c r="C1350" s="13">
        <f>IFERROR(__xludf.DUMMYFUNCTION("""COMPUTED_VALUE"""),25.0)</f>
        <v>25</v>
      </c>
      <c r="D1350" s="12" t="str">
        <f>IFERROR(__xludf.DUMMYFUNCTION("""COMPUTED_VALUE"""),"Weird boobs")</f>
        <v>Weird boobs</v>
      </c>
      <c r="E1350" s="12" t="str">
        <f>IFERROR(__xludf.DUMMYFUNCTION("""COMPUTED_VALUE"""),"I wanted to love this dress, and thought it would be perfect for a barn wedding i have coming up. it was allllllmost right but sadly fell short. the bib that hangs over the bust hits in a really unflattering mid point that makes you look wide. nipple tass"&amp;"els effect. plus i would feel the urge to keep pulling it down. did notice some of the puckering others mentioned but didn't bother me, however, the way the lining and the dress line up at the bottom did. so close, so sad")</f>
        <v>I wanted to love this dress, and thought it would be perfect for a barn wedding i have coming up. it was allllllmost right but sadly fell short. the bib that hangs over the bust hits in a really unflattering mid point that makes you look wide. nipple tassels effect. plus i would feel the urge to keep pulling it down. did notice some of the puckering others mentioned but didn't bother me, however, the way the lining and the dress line up at the bottom did. so close, so sad</v>
      </c>
      <c r="F1350" s="13">
        <f>IFERROR(__xludf.DUMMYFUNCTION("""COMPUTED_VALUE"""),3.0)</f>
        <v>3</v>
      </c>
      <c r="G1350" s="13">
        <f>IFERROR(__xludf.DUMMYFUNCTION("""COMPUTED_VALUE"""),0.0)</f>
        <v>0</v>
      </c>
      <c r="H1350" s="13">
        <f>IFERROR(__xludf.DUMMYFUNCTION("""COMPUTED_VALUE"""),1.0)</f>
        <v>1</v>
      </c>
      <c r="I1350" s="13" t="str">
        <f>IFERROR(__xludf.DUMMYFUNCTION("""COMPUTED_VALUE"""),"General")</f>
        <v>General</v>
      </c>
      <c r="J1350" s="13" t="str">
        <f>IFERROR(__xludf.DUMMYFUNCTION("""COMPUTED_VALUE"""),"Dresses")</f>
        <v>Dresses</v>
      </c>
      <c r="K1350" s="13" t="str">
        <f>IFERROR(__xludf.DUMMYFUNCTION("""COMPUTED_VALUE"""),"Dresses")</f>
        <v>Dresses</v>
      </c>
      <c r="L1350" s="13"/>
    </row>
    <row r="1351">
      <c r="A1351" s="13">
        <f>IFERROR(__xludf.DUMMYFUNCTION("""COMPUTED_VALUE"""),1349.0)</f>
        <v>1349</v>
      </c>
      <c r="B1351" s="13">
        <f>IFERROR(__xludf.DUMMYFUNCTION("""COMPUTED_VALUE"""),867.0)</f>
        <v>867</v>
      </c>
      <c r="C1351" s="13">
        <f>IFERROR(__xludf.DUMMYFUNCTION("""COMPUTED_VALUE"""),28.0)</f>
        <v>28</v>
      </c>
      <c r="D1351" s="12" t="str">
        <f>IFERROR(__xludf.DUMMYFUNCTION("""COMPUTED_VALUE"""),"Nothing special")</f>
        <v>Nothing special</v>
      </c>
      <c r="E1351" s="12" t="str">
        <f>IFERROR(__xludf.DUMMYFUNCTION("""COMPUTED_VALUE"""),"I ordered the grey/yellow ""here comes the sun"" shirt. it's cute, but it runs quite large and isn't special enough for the price. meh.")</f>
        <v>I ordered the grey/yellow "here comes the sun" shirt. it's cute, but it runs quite large and isn't special enough for the price. meh.</v>
      </c>
      <c r="F1351" s="13">
        <f>IFERROR(__xludf.DUMMYFUNCTION("""COMPUTED_VALUE"""),4.0)</f>
        <v>4</v>
      </c>
      <c r="G1351" s="13">
        <f>IFERROR(__xludf.DUMMYFUNCTION("""COMPUTED_VALUE"""),0.0)</f>
        <v>0</v>
      </c>
      <c r="H1351" s="13">
        <f>IFERROR(__xludf.DUMMYFUNCTION("""COMPUTED_VALUE"""),3.0)</f>
        <v>3</v>
      </c>
      <c r="I1351" s="13" t="str">
        <f>IFERROR(__xludf.DUMMYFUNCTION("""COMPUTED_VALUE"""),"General")</f>
        <v>General</v>
      </c>
      <c r="J1351" s="13" t="str">
        <f>IFERROR(__xludf.DUMMYFUNCTION("""COMPUTED_VALUE"""),"Tops")</f>
        <v>Tops</v>
      </c>
      <c r="K1351" s="13" t="str">
        <f>IFERROR(__xludf.DUMMYFUNCTION("""COMPUTED_VALUE"""),"Knits")</f>
        <v>Knits</v>
      </c>
      <c r="L1351" s="13"/>
    </row>
    <row r="1352">
      <c r="A1352" s="13">
        <f>IFERROR(__xludf.DUMMYFUNCTION("""COMPUTED_VALUE"""),1350.0)</f>
        <v>1350</v>
      </c>
      <c r="B1352" s="13">
        <f>IFERROR(__xludf.DUMMYFUNCTION("""COMPUTED_VALUE"""),1098.0)</f>
        <v>1098</v>
      </c>
      <c r="C1352" s="13">
        <f>IFERROR(__xludf.DUMMYFUNCTION("""COMPUTED_VALUE"""),56.0)</f>
        <v>56</v>
      </c>
      <c r="D1352" s="12" t="str">
        <f>IFERROR(__xludf.DUMMYFUNCTION("""COMPUTED_VALUE"""),"Great find.")</f>
        <v>Great find.</v>
      </c>
      <c r="E1352" s="12" t="str">
        <f>IFERROR(__xludf.DUMMYFUNCTION("""COMPUTED_VALUE"""),"This dress has special written all over it. the poms at the hem and bodice, as well as the rows of black seed beads push are the kind of details that stand out. i like all the varying textures. it looks great with sandals or short boots. fits true to size"&amp;". a nice sassy length.")</f>
        <v>This dress has special written all over it. the poms at the hem and bodice, as well as the rows of black seed beads push are the kind of details that stand out. i like all the varying textures. it looks great with sandals or short boots. fits true to size. a nice sassy length.</v>
      </c>
      <c r="F1352" s="13">
        <f>IFERROR(__xludf.DUMMYFUNCTION("""COMPUTED_VALUE"""),5.0)</f>
        <v>5</v>
      </c>
      <c r="G1352" s="13">
        <f>IFERROR(__xludf.DUMMYFUNCTION("""COMPUTED_VALUE"""),1.0)</f>
        <v>1</v>
      </c>
      <c r="H1352" s="13">
        <f>IFERROR(__xludf.DUMMYFUNCTION("""COMPUTED_VALUE"""),0.0)</f>
        <v>0</v>
      </c>
      <c r="I1352" s="13" t="str">
        <f>IFERROR(__xludf.DUMMYFUNCTION("""COMPUTED_VALUE"""),"General")</f>
        <v>General</v>
      </c>
      <c r="J1352" s="13" t="str">
        <f>IFERROR(__xludf.DUMMYFUNCTION("""COMPUTED_VALUE"""),"Dresses")</f>
        <v>Dresses</v>
      </c>
      <c r="K1352" s="13" t="str">
        <f>IFERROR(__xludf.DUMMYFUNCTION("""COMPUTED_VALUE"""),"Dresses")</f>
        <v>Dresses</v>
      </c>
      <c r="L1352" s="13"/>
    </row>
    <row r="1353">
      <c r="A1353" s="13">
        <f>IFERROR(__xludf.DUMMYFUNCTION("""COMPUTED_VALUE"""),1351.0)</f>
        <v>1351</v>
      </c>
      <c r="B1353" s="13">
        <f>IFERROR(__xludf.DUMMYFUNCTION("""COMPUTED_VALUE"""),860.0)</f>
        <v>860</v>
      </c>
      <c r="C1353" s="13">
        <f>IFERROR(__xludf.DUMMYFUNCTION("""COMPUTED_VALUE"""),46.0)</f>
        <v>46</v>
      </c>
      <c r="D1353" s="12" t="str">
        <f>IFERROR(__xludf.DUMMYFUNCTION("""COMPUTED_VALUE"""),"Wish it was longer length")</f>
        <v>Wish it was longer length</v>
      </c>
      <c r="E1353" s="12" t="str">
        <f>IFERROR(__xludf.DUMMYFUNCTION("""COMPUTED_VALUE"""),"I ordered the light pink version in size xl. the details of the top and the shade of pink are pretty. but, the shirt fits me much shorter than on the model. i'm not quite 5 ft. 6 inches so it should have worked. the material is thin so i was able to stret"&amp;"ch it out to give more length. it does look stretched-out now though. i washed it and it shrank a bit so i stretched it again. this is a top that i kept to wear under vests. the pretty colors and the softness of the material make it worth keepin")</f>
        <v>I ordered the light pink version in size xl. the details of the top and the shade of pink are pretty. but, the shirt fits me much shorter than on the model. i'm not quite 5 ft. 6 inches so it should have worked. the material is thin so i was able to stretch it out to give more length. it does look stretched-out now though. i washed it and it shrank a bit so i stretched it again. this is a top that i kept to wear under vests. the pretty colors and the softness of the material make it worth keepin</v>
      </c>
      <c r="F1353" s="13">
        <f>IFERROR(__xludf.DUMMYFUNCTION("""COMPUTED_VALUE"""),3.0)</f>
        <v>3</v>
      </c>
      <c r="G1353" s="13">
        <f>IFERROR(__xludf.DUMMYFUNCTION("""COMPUTED_VALUE"""),0.0)</f>
        <v>0</v>
      </c>
      <c r="H1353" s="13">
        <f>IFERROR(__xludf.DUMMYFUNCTION("""COMPUTED_VALUE"""),0.0)</f>
        <v>0</v>
      </c>
      <c r="I1353" s="13" t="str">
        <f>IFERROR(__xludf.DUMMYFUNCTION("""COMPUTED_VALUE"""),"General")</f>
        <v>General</v>
      </c>
      <c r="J1353" s="13" t="str">
        <f>IFERROR(__xludf.DUMMYFUNCTION("""COMPUTED_VALUE"""),"Tops")</f>
        <v>Tops</v>
      </c>
      <c r="K1353" s="13" t="str">
        <f>IFERROR(__xludf.DUMMYFUNCTION("""COMPUTED_VALUE"""),"Knits")</f>
        <v>Knits</v>
      </c>
      <c r="L1353" s="13"/>
    </row>
    <row r="1354">
      <c r="A1354" s="13">
        <f>IFERROR(__xludf.DUMMYFUNCTION("""COMPUTED_VALUE"""),1352.0)</f>
        <v>1352</v>
      </c>
      <c r="B1354" s="13">
        <f>IFERROR(__xludf.DUMMYFUNCTION("""COMPUTED_VALUE"""),1098.0)</f>
        <v>1098</v>
      </c>
      <c r="C1354" s="13">
        <f>IFERROR(__xludf.DUMMYFUNCTION("""COMPUTED_VALUE"""),50.0)</f>
        <v>50</v>
      </c>
      <c r="D1354" s="12" t="str">
        <f>IFERROR(__xludf.DUMMYFUNCTION("""COMPUTED_VALUE"""),"Great summer  dress")</f>
        <v>Great summer  dress</v>
      </c>
      <c r="E1354" s="12" t="str">
        <f>IFERROR(__xludf.DUMMYFUNCTION("""COMPUTED_VALUE"""),"I found this dress at my local retailer must be a web order return i feel in love with it once i put it on its better in person that online but it does run a little tight in the chest area  it was fine for me as i'm not big busted")</f>
        <v>I found this dress at my local retailer must be a web order return i feel in love with it once i put it on its better in person that online but it does run a little tight in the chest area  it was fine for me as i'm not big busted</v>
      </c>
      <c r="F1354" s="13">
        <f>IFERROR(__xludf.DUMMYFUNCTION("""COMPUTED_VALUE"""),5.0)</f>
        <v>5</v>
      </c>
      <c r="G1354" s="13">
        <f>IFERROR(__xludf.DUMMYFUNCTION("""COMPUTED_VALUE"""),1.0)</f>
        <v>1</v>
      </c>
      <c r="H1354" s="13">
        <f>IFERROR(__xludf.DUMMYFUNCTION("""COMPUTED_VALUE"""),2.0)</f>
        <v>2</v>
      </c>
      <c r="I1354" s="13" t="str">
        <f>IFERROR(__xludf.DUMMYFUNCTION("""COMPUTED_VALUE"""),"General")</f>
        <v>General</v>
      </c>
      <c r="J1354" s="13" t="str">
        <f>IFERROR(__xludf.DUMMYFUNCTION("""COMPUTED_VALUE"""),"Dresses")</f>
        <v>Dresses</v>
      </c>
      <c r="K1354" s="13" t="str">
        <f>IFERROR(__xludf.DUMMYFUNCTION("""COMPUTED_VALUE"""),"Dresses")</f>
        <v>Dresses</v>
      </c>
      <c r="L1354" s="13"/>
    </row>
    <row r="1355">
      <c r="A1355" s="13">
        <f>IFERROR(__xludf.DUMMYFUNCTION("""COMPUTED_VALUE"""),1353.0)</f>
        <v>1353</v>
      </c>
      <c r="B1355" s="13">
        <f>IFERROR(__xludf.DUMMYFUNCTION("""COMPUTED_VALUE"""),1098.0)</f>
        <v>1098</v>
      </c>
      <c r="C1355" s="13">
        <f>IFERROR(__xludf.DUMMYFUNCTION("""COMPUTED_VALUE"""),61.0)</f>
        <v>61</v>
      </c>
      <c r="D1355" s="12" t="str">
        <f>IFERROR(__xludf.DUMMYFUNCTION("""COMPUTED_VALUE"""),"Looks like a babydoll dress")</f>
        <v>Looks like a babydoll dress</v>
      </c>
      <c r="E1355" s="12" t="str">
        <f>IFERROR(__xludf.DUMMYFUNCTION("""COMPUTED_VALUE"""),"I wanted to love this dress as it would have been perfect for a wedding i have in october however, the fit was awful;. the dress was heavy with a funky liner. it also had these little black straps around the top of the arm/neck that looked out of place. i"&amp;"t ran true to size but i have a large chest (32dd) and it was pretty fitted around the area but loose everywhere else. 
sadly, dress had to be returned.")</f>
        <v>I wanted to love this dress as it would have been perfect for a wedding i have in october however, the fit was awful;. the dress was heavy with a funky liner. it also had these little black straps around the top of the arm/neck that looked out of place. it ran true to size but i have a large chest (32dd) and it was pretty fitted around the area but loose everywhere else. 
sadly, dress had to be returned.</v>
      </c>
      <c r="F1355" s="13">
        <f>IFERROR(__xludf.DUMMYFUNCTION("""COMPUTED_VALUE"""),3.0)</f>
        <v>3</v>
      </c>
      <c r="G1355" s="13">
        <f>IFERROR(__xludf.DUMMYFUNCTION("""COMPUTED_VALUE"""),0.0)</f>
        <v>0</v>
      </c>
      <c r="H1355" s="13">
        <f>IFERROR(__xludf.DUMMYFUNCTION("""COMPUTED_VALUE"""),0.0)</f>
        <v>0</v>
      </c>
      <c r="I1355" s="13" t="str">
        <f>IFERROR(__xludf.DUMMYFUNCTION("""COMPUTED_VALUE"""),"General")</f>
        <v>General</v>
      </c>
      <c r="J1355" s="13" t="str">
        <f>IFERROR(__xludf.DUMMYFUNCTION("""COMPUTED_VALUE"""),"Dresses")</f>
        <v>Dresses</v>
      </c>
      <c r="K1355" s="13" t="str">
        <f>IFERROR(__xludf.DUMMYFUNCTION("""COMPUTED_VALUE"""),"Dresses")</f>
        <v>Dresses</v>
      </c>
      <c r="L1355" s="13"/>
    </row>
    <row r="1356">
      <c r="A1356" s="13">
        <f>IFERROR(__xludf.DUMMYFUNCTION("""COMPUTED_VALUE"""),1354.0)</f>
        <v>1354</v>
      </c>
      <c r="B1356" s="13">
        <f>IFERROR(__xludf.DUMMYFUNCTION("""COMPUTED_VALUE"""),1022.0)</f>
        <v>1022</v>
      </c>
      <c r="C1356" s="13">
        <f>IFERROR(__xludf.DUMMYFUNCTION("""COMPUTED_VALUE"""),42.0)</f>
        <v>42</v>
      </c>
      <c r="D1356" s="12" t="str">
        <f>IFERROR(__xludf.DUMMYFUNCTION("""COMPUTED_VALUE"""),"Great jeans!")</f>
        <v>Great jeans!</v>
      </c>
      <c r="E1356" s="12" t="str">
        <f>IFERROR(__xludf.DUMMYFUNCTION("""COMPUTED_VALUE"""),"I tried these on in-store not intending to buy them (was trying on shirts and needed to see how they would look with jeans!) and loved them! great ""medium blue"" color and they fit me so nicely (i am 5'2"" with actual hips and thighs :) ...the price is a"&amp;" bit high for me though. hoping to find a pair at some point when they are on sale!")</f>
        <v>I tried these on in-store not intending to buy them (was trying on shirts and needed to see how they would look with jeans!) and loved them! great "medium blue" color and they fit me so nicely (i am 5'2" with actual hips and thighs :) ...the price is a bit high for me though. hoping to find a pair at some point when they are on sale!</v>
      </c>
      <c r="F1356" s="13">
        <f>IFERROR(__xludf.DUMMYFUNCTION("""COMPUTED_VALUE"""),5.0)</f>
        <v>5</v>
      </c>
      <c r="G1356" s="13">
        <f>IFERROR(__xludf.DUMMYFUNCTION("""COMPUTED_VALUE"""),1.0)</f>
        <v>1</v>
      </c>
      <c r="H1356" s="13">
        <f>IFERROR(__xludf.DUMMYFUNCTION("""COMPUTED_VALUE"""),1.0)</f>
        <v>1</v>
      </c>
      <c r="I1356" s="13" t="str">
        <f>IFERROR(__xludf.DUMMYFUNCTION("""COMPUTED_VALUE"""),"General")</f>
        <v>General</v>
      </c>
      <c r="J1356" s="13" t="str">
        <f>IFERROR(__xludf.DUMMYFUNCTION("""COMPUTED_VALUE"""),"Bottoms")</f>
        <v>Bottoms</v>
      </c>
      <c r="K1356" s="13" t="str">
        <f>IFERROR(__xludf.DUMMYFUNCTION("""COMPUTED_VALUE"""),"Jeans")</f>
        <v>Jeans</v>
      </c>
      <c r="L1356" s="13"/>
    </row>
    <row r="1357">
      <c r="A1357" s="13">
        <f>IFERROR(__xludf.DUMMYFUNCTION("""COMPUTED_VALUE"""),1355.0)</f>
        <v>1355</v>
      </c>
      <c r="B1357" s="13">
        <f>IFERROR(__xludf.DUMMYFUNCTION("""COMPUTED_VALUE"""),946.0)</f>
        <v>946</v>
      </c>
      <c r="C1357" s="13">
        <f>IFERROR(__xludf.DUMMYFUNCTION("""COMPUTED_VALUE"""),40.0)</f>
        <v>40</v>
      </c>
      <c r="D1357" s="12" t="str">
        <f>IFERROR(__xludf.DUMMYFUNCTION("""COMPUTED_VALUE"""),"Beautiful and soft, yet length is deceiving!")</f>
        <v>Beautiful and soft, yet length is deceiving!</v>
      </c>
      <c r="E1357" s="12" t="str">
        <f>IFERROR(__xludf.DUMMYFUNCTION("""COMPUTED_VALUE"""),"It is such a cute design and very soft and comfortable, but the picture for this product is very deceiving! it looks like the sweater is fairly long in the pictured product page, but it is considerably short. i am nearly six foot tall, but thought by this"&amp;" picture it would be lengthy, not at all!
it is a beautiful sweater, might work better for a shorter stature.")</f>
        <v>It is such a cute design and very soft and comfortable, but the picture for this product is very deceiving! it looks like the sweater is fairly long in the pictured product page, but it is considerably short. i am nearly six foot tall, but thought by this picture it would be lengthy, not at all!
it is a beautiful sweater, might work better for a shorter stature.</v>
      </c>
      <c r="F1357" s="13">
        <f>IFERROR(__xludf.DUMMYFUNCTION("""COMPUTED_VALUE"""),2.0)</f>
        <v>2</v>
      </c>
      <c r="G1357" s="13">
        <f>IFERROR(__xludf.DUMMYFUNCTION("""COMPUTED_VALUE"""),1.0)</f>
        <v>1</v>
      </c>
      <c r="H1357" s="13">
        <f>IFERROR(__xludf.DUMMYFUNCTION("""COMPUTED_VALUE"""),0.0)</f>
        <v>0</v>
      </c>
      <c r="I1357" s="13" t="str">
        <f>IFERROR(__xludf.DUMMYFUNCTION("""COMPUTED_VALUE"""),"General")</f>
        <v>General</v>
      </c>
      <c r="J1357" s="13" t="str">
        <f>IFERROR(__xludf.DUMMYFUNCTION("""COMPUTED_VALUE"""),"Tops")</f>
        <v>Tops</v>
      </c>
      <c r="K1357" s="13" t="str">
        <f>IFERROR(__xludf.DUMMYFUNCTION("""COMPUTED_VALUE"""),"Sweaters")</f>
        <v>Sweaters</v>
      </c>
      <c r="L1357" s="13"/>
    </row>
    <row r="1358">
      <c r="A1358" s="13">
        <f>IFERROR(__xludf.DUMMYFUNCTION("""COMPUTED_VALUE"""),1356.0)</f>
        <v>1356</v>
      </c>
      <c r="B1358" s="13">
        <f>IFERROR(__xludf.DUMMYFUNCTION("""COMPUTED_VALUE"""),850.0)</f>
        <v>850</v>
      </c>
      <c r="C1358" s="13">
        <f>IFERROR(__xludf.DUMMYFUNCTION("""COMPUTED_VALUE"""),40.0)</f>
        <v>40</v>
      </c>
      <c r="D1358" s="12" t="str">
        <f>IFERROR(__xludf.DUMMYFUNCTION("""COMPUTED_VALUE"""),"Love the way it looks, but couldn't keep it")</f>
        <v>Love the way it looks, but couldn't keep it</v>
      </c>
      <c r="E1358" s="12" t="str">
        <f>IFERROR(__xludf.DUMMYFUNCTION("""COMPUTED_VALUE"""),"I ordered this blouse online bc i couldn't find it in my local stores once it was on sale. the fabric is so delicate. the cutouts had already frayed and in some places torn. had to return it.")</f>
        <v>I ordered this blouse online bc i couldn't find it in my local stores once it was on sale. the fabric is so delicate. the cutouts had already frayed and in some places torn. had to return it.</v>
      </c>
      <c r="F1358" s="13">
        <f>IFERROR(__xludf.DUMMYFUNCTION("""COMPUTED_VALUE"""),2.0)</f>
        <v>2</v>
      </c>
      <c r="G1358" s="13">
        <f>IFERROR(__xludf.DUMMYFUNCTION("""COMPUTED_VALUE"""),0.0)</f>
        <v>0</v>
      </c>
      <c r="H1358" s="13">
        <f>IFERROR(__xludf.DUMMYFUNCTION("""COMPUTED_VALUE"""),0.0)</f>
        <v>0</v>
      </c>
      <c r="I1358" s="13" t="str">
        <f>IFERROR(__xludf.DUMMYFUNCTION("""COMPUTED_VALUE"""),"General")</f>
        <v>General</v>
      </c>
      <c r="J1358" s="13" t="str">
        <f>IFERROR(__xludf.DUMMYFUNCTION("""COMPUTED_VALUE"""),"Tops")</f>
        <v>Tops</v>
      </c>
      <c r="K1358" s="13" t="str">
        <f>IFERROR(__xludf.DUMMYFUNCTION("""COMPUTED_VALUE"""),"Blouses")</f>
        <v>Blouses</v>
      </c>
      <c r="L1358" s="13"/>
    </row>
    <row r="1359">
      <c r="A1359" s="13">
        <f>IFERROR(__xludf.DUMMYFUNCTION("""COMPUTED_VALUE"""),1357.0)</f>
        <v>1357</v>
      </c>
      <c r="B1359" s="13">
        <f>IFERROR(__xludf.DUMMYFUNCTION("""COMPUTED_VALUE"""),895.0)</f>
        <v>895</v>
      </c>
      <c r="C1359" s="13">
        <f>IFERROR(__xludf.DUMMYFUNCTION("""COMPUTED_VALUE"""),52.0)</f>
        <v>52</v>
      </c>
      <c r="D1359" s="12" t="str">
        <f>IFERROR(__xludf.DUMMYFUNCTION("""COMPUTED_VALUE"""),"As expected")</f>
        <v>As expected</v>
      </c>
      <c r="E1359" s="12" t="str">
        <f>IFERROR(__xludf.DUMMYFUNCTION("""COMPUTED_VALUE"""),"I like this top. yes it is very cropped and fitted but that's the style as shown on the model in the picture. but its true this style may not fits everyone. it probably flatters those of athletic or petite figure more than a full figure. i am 5' 6"" 110#."&amp;" my usual size is xs. the top looks small to me at first so i tried both size xs and s. i took the xs cause i like it look fitted than loose. i wear this top with high waist fitted skirts or pants and it looks great. if this top can be an inch lo")</f>
        <v>I like this top. yes it is very cropped and fitted but that's the style as shown on the model in the picture. but its true this style may not fits everyone. it probably flatters those of athletic or petite figure more than a full figure. i am 5' 6" 110#. my usual size is xs. the top looks small to me at first so i tried both size xs and s. i took the xs cause i like it look fitted than loose. i wear this top with high waist fitted skirts or pants and it looks great. if this top can be an inch lo</v>
      </c>
      <c r="F1359" s="13">
        <f>IFERROR(__xludf.DUMMYFUNCTION("""COMPUTED_VALUE"""),4.0)</f>
        <v>4</v>
      </c>
      <c r="G1359" s="13">
        <f>IFERROR(__xludf.DUMMYFUNCTION("""COMPUTED_VALUE"""),1.0)</f>
        <v>1</v>
      </c>
      <c r="H1359" s="13">
        <f>IFERROR(__xludf.DUMMYFUNCTION("""COMPUTED_VALUE"""),2.0)</f>
        <v>2</v>
      </c>
      <c r="I1359" s="13" t="str">
        <f>IFERROR(__xludf.DUMMYFUNCTION("""COMPUTED_VALUE"""),"General Petite")</f>
        <v>General Petite</v>
      </c>
      <c r="J1359" s="13" t="str">
        <f>IFERROR(__xludf.DUMMYFUNCTION("""COMPUTED_VALUE"""),"Tops")</f>
        <v>Tops</v>
      </c>
      <c r="K1359" s="13" t="str">
        <f>IFERROR(__xludf.DUMMYFUNCTION("""COMPUTED_VALUE"""),"Fine gauge")</f>
        <v>Fine gauge</v>
      </c>
      <c r="L1359" s="13"/>
    </row>
    <row r="1360">
      <c r="A1360" s="13">
        <f>IFERROR(__xludf.DUMMYFUNCTION("""COMPUTED_VALUE"""),1358.0)</f>
        <v>1358</v>
      </c>
      <c r="B1360" s="13">
        <f>IFERROR(__xludf.DUMMYFUNCTION("""COMPUTED_VALUE"""),850.0)</f>
        <v>850</v>
      </c>
      <c r="C1360" s="13">
        <f>IFERROR(__xludf.DUMMYFUNCTION("""COMPUTED_VALUE"""),33.0)</f>
        <v>33</v>
      </c>
      <c r="D1360" s="12"/>
      <c r="E1360" s="12" t="str">
        <f>IFERROR(__xludf.DUMMYFUNCTION("""COMPUTED_VALUE"""),"Very disappointed. the cutouts started to rip the first time i wore it. i've only worn it twice and i love it but the cut outs are embarrassing.")</f>
        <v>Very disappointed. the cutouts started to rip the first time i wore it. i've only worn it twice and i love it but the cut outs are embarrassing.</v>
      </c>
      <c r="F1360" s="13">
        <f>IFERROR(__xludf.DUMMYFUNCTION("""COMPUTED_VALUE"""),1.0)</f>
        <v>1</v>
      </c>
      <c r="G1360" s="13">
        <f>IFERROR(__xludf.DUMMYFUNCTION("""COMPUTED_VALUE"""),0.0)</f>
        <v>0</v>
      </c>
      <c r="H1360" s="13">
        <f>IFERROR(__xludf.DUMMYFUNCTION("""COMPUTED_VALUE"""),0.0)</f>
        <v>0</v>
      </c>
      <c r="I1360" s="13" t="str">
        <f>IFERROR(__xludf.DUMMYFUNCTION("""COMPUTED_VALUE"""),"General")</f>
        <v>General</v>
      </c>
      <c r="J1360" s="13" t="str">
        <f>IFERROR(__xludf.DUMMYFUNCTION("""COMPUTED_VALUE"""),"Tops")</f>
        <v>Tops</v>
      </c>
      <c r="K1360" s="13" t="str">
        <f>IFERROR(__xludf.DUMMYFUNCTION("""COMPUTED_VALUE"""),"Blouses")</f>
        <v>Blouses</v>
      </c>
      <c r="L1360" s="13"/>
    </row>
    <row r="1361">
      <c r="A1361" s="13">
        <f>IFERROR(__xludf.DUMMYFUNCTION("""COMPUTED_VALUE"""),1359.0)</f>
        <v>1359</v>
      </c>
      <c r="B1361" s="13">
        <f>IFERROR(__xludf.DUMMYFUNCTION("""COMPUTED_VALUE"""),895.0)</f>
        <v>895</v>
      </c>
      <c r="C1361" s="13">
        <f>IFERROR(__xludf.DUMMYFUNCTION("""COMPUTED_VALUE"""),32.0)</f>
        <v>32</v>
      </c>
      <c r="D1361" s="12" t="str">
        <f>IFERROR(__xludf.DUMMYFUNCTION("""COMPUTED_VALUE"""),"Not what i expected")</f>
        <v>Not what i expected</v>
      </c>
      <c r="E1361" s="12" t="str">
        <f>IFERROR(__xludf.DUMMYFUNCTION("""COMPUTED_VALUE"""),"Huge bummer. this top is definitely a crop/midi-top. plus, it's cream, not white like shown in the photos. i'm returning it today.")</f>
        <v>Huge bummer. this top is definitely a crop/midi-top. plus, it's cream, not white like shown in the photos. i'm returning it today.</v>
      </c>
      <c r="F1361" s="13">
        <f>IFERROR(__xludf.DUMMYFUNCTION("""COMPUTED_VALUE"""),2.0)</f>
        <v>2</v>
      </c>
      <c r="G1361" s="13">
        <f>IFERROR(__xludf.DUMMYFUNCTION("""COMPUTED_VALUE"""),0.0)</f>
        <v>0</v>
      </c>
      <c r="H1361" s="13">
        <f>IFERROR(__xludf.DUMMYFUNCTION("""COMPUTED_VALUE"""),4.0)</f>
        <v>4</v>
      </c>
      <c r="I1361" s="13" t="str">
        <f>IFERROR(__xludf.DUMMYFUNCTION("""COMPUTED_VALUE"""),"General Petite")</f>
        <v>General Petite</v>
      </c>
      <c r="J1361" s="13" t="str">
        <f>IFERROR(__xludf.DUMMYFUNCTION("""COMPUTED_VALUE"""),"Tops")</f>
        <v>Tops</v>
      </c>
      <c r="K1361" s="13" t="str">
        <f>IFERROR(__xludf.DUMMYFUNCTION("""COMPUTED_VALUE"""),"Fine gauge")</f>
        <v>Fine gauge</v>
      </c>
      <c r="L1361" s="13"/>
    </row>
    <row r="1362">
      <c r="A1362" s="13">
        <f>IFERROR(__xludf.DUMMYFUNCTION("""COMPUTED_VALUE"""),1360.0)</f>
        <v>1360</v>
      </c>
      <c r="B1362" s="13">
        <f>IFERROR(__xludf.DUMMYFUNCTION("""COMPUTED_VALUE"""),861.0)</f>
        <v>861</v>
      </c>
      <c r="C1362" s="13">
        <f>IFERROR(__xludf.DUMMYFUNCTION("""COMPUTED_VALUE"""),47.0)</f>
        <v>47</v>
      </c>
      <c r="D1362" s="12" t="str">
        <f>IFERROR(__xludf.DUMMYFUNCTION("""COMPUTED_VALUE"""),"Comfy")</f>
        <v>Comfy</v>
      </c>
      <c r="E1362" s="12" t="str">
        <f>IFERROR(__xludf.DUMMYFUNCTION("""COMPUTED_VALUE"""),"Love this soft sweatshirt. the peplum makes it a little different and the quality is great. go to piece for spring. loose fitting but true to size in shoulders.")</f>
        <v>Love this soft sweatshirt. the peplum makes it a little different and the quality is great. go to piece for spring. loose fitting but true to size in shoulders.</v>
      </c>
      <c r="F1362" s="13">
        <f>IFERROR(__xludf.DUMMYFUNCTION("""COMPUTED_VALUE"""),5.0)</f>
        <v>5</v>
      </c>
      <c r="G1362" s="13">
        <f>IFERROR(__xludf.DUMMYFUNCTION("""COMPUTED_VALUE"""),1.0)</f>
        <v>1</v>
      </c>
      <c r="H1362" s="13">
        <f>IFERROR(__xludf.DUMMYFUNCTION("""COMPUTED_VALUE"""),0.0)</f>
        <v>0</v>
      </c>
      <c r="I1362" s="13" t="str">
        <f>IFERROR(__xludf.DUMMYFUNCTION("""COMPUTED_VALUE"""),"General")</f>
        <v>General</v>
      </c>
      <c r="J1362" s="13" t="str">
        <f>IFERROR(__xludf.DUMMYFUNCTION("""COMPUTED_VALUE"""),"Tops")</f>
        <v>Tops</v>
      </c>
      <c r="K1362" s="13" t="str">
        <f>IFERROR(__xludf.DUMMYFUNCTION("""COMPUTED_VALUE"""),"Knits")</f>
        <v>Knits</v>
      </c>
      <c r="L1362" s="13"/>
    </row>
    <row r="1363">
      <c r="A1363" s="13">
        <f>IFERROR(__xludf.DUMMYFUNCTION("""COMPUTED_VALUE"""),1361.0)</f>
        <v>1361</v>
      </c>
      <c r="B1363" s="13">
        <f>IFERROR(__xludf.DUMMYFUNCTION("""COMPUTED_VALUE"""),1098.0)</f>
        <v>1098</v>
      </c>
      <c r="C1363" s="13">
        <f>IFERROR(__xludf.DUMMYFUNCTION("""COMPUTED_VALUE"""),69.0)</f>
        <v>69</v>
      </c>
      <c r="D1363" s="12"/>
      <c r="E1363" s="12" t="str">
        <f>IFERROR(__xludf.DUMMYFUNCTION("""COMPUTED_VALUE"""),"I was so excited to get this dress. i need it for a wedding, and i thought i had hit the jackpot. the dress arrived with a small tear. the seams are puckered and badly seen.  for an almost $300.00 dress, the quality is terrible. i expect better from retai"&amp;"ler. i'm so disappointed.")</f>
        <v>I was so excited to get this dress. i need it for a wedding, and i thought i had hit the jackpot. the dress arrived with a small tear. the seams are puckered and badly seen.  for an almost $300.00 dress, the quality is terrible. i expect better from retailer. i'm so disappointed.</v>
      </c>
      <c r="F1363" s="13">
        <f>IFERROR(__xludf.DUMMYFUNCTION("""COMPUTED_VALUE"""),2.0)</f>
        <v>2</v>
      </c>
      <c r="G1363" s="13">
        <f>IFERROR(__xludf.DUMMYFUNCTION("""COMPUTED_VALUE"""),0.0)</f>
        <v>0</v>
      </c>
      <c r="H1363" s="13">
        <f>IFERROR(__xludf.DUMMYFUNCTION("""COMPUTED_VALUE"""),7.0)</f>
        <v>7</v>
      </c>
      <c r="I1363" s="13" t="str">
        <f>IFERROR(__xludf.DUMMYFUNCTION("""COMPUTED_VALUE"""),"General")</f>
        <v>General</v>
      </c>
      <c r="J1363" s="13" t="str">
        <f>IFERROR(__xludf.DUMMYFUNCTION("""COMPUTED_VALUE"""),"Dresses")</f>
        <v>Dresses</v>
      </c>
      <c r="K1363" s="13" t="str">
        <f>IFERROR(__xludf.DUMMYFUNCTION("""COMPUTED_VALUE"""),"Dresses")</f>
        <v>Dresses</v>
      </c>
      <c r="L1363" s="13"/>
    </row>
    <row r="1364">
      <c r="A1364" s="13">
        <f>IFERROR(__xludf.DUMMYFUNCTION("""COMPUTED_VALUE"""),1362.0)</f>
        <v>1362</v>
      </c>
      <c r="B1364" s="13">
        <f>IFERROR(__xludf.DUMMYFUNCTION("""COMPUTED_VALUE"""),825.0)</f>
        <v>825</v>
      </c>
      <c r="C1364" s="13">
        <f>IFERROR(__xludf.DUMMYFUNCTION("""COMPUTED_VALUE"""),48.0)</f>
        <v>48</v>
      </c>
      <c r="D1364" s="12" t="str">
        <f>IFERROR(__xludf.DUMMYFUNCTION("""COMPUTED_VALUE"""),"Odd cut")</f>
        <v>Odd cut</v>
      </c>
      <c r="E1364" s="12" t="str">
        <f>IFERROR(__xludf.DUMMYFUNCTION("""COMPUTED_VALUE"""),"This is a very pretty shirt which is too narrow across the back. i need to be able to move my arms freely at work, so this did not work for me. you may be able to size up for a better fit if moving your arms is important to you.")</f>
        <v>This is a very pretty shirt which is too narrow across the back. i need to be able to move my arms freely at work, so this did not work for me. you may be able to size up for a better fit if moving your arms is important to you.</v>
      </c>
      <c r="F1364" s="13">
        <f>IFERROR(__xludf.DUMMYFUNCTION("""COMPUTED_VALUE"""),3.0)</f>
        <v>3</v>
      </c>
      <c r="G1364" s="13">
        <f>IFERROR(__xludf.DUMMYFUNCTION("""COMPUTED_VALUE"""),0.0)</f>
        <v>0</v>
      </c>
      <c r="H1364" s="13">
        <f>IFERROR(__xludf.DUMMYFUNCTION("""COMPUTED_VALUE"""),1.0)</f>
        <v>1</v>
      </c>
      <c r="I1364" s="13" t="str">
        <f>IFERROR(__xludf.DUMMYFUNCTION("""COMPUTED_VALUE"""),"General")</f>
        <v>General</v>
      </c>
      <c r="J1364" s="13" t="str">
        <f>IFERROR(__xludf.DUMMYFUNCTION("""COMPUTED_VALUE"""),"Tops")</f>
        <v>Tops</v>
      </c>
      <c r="K1364" s="13" t="str">
        <f>IFERROR(__xludf.DUMMYFUNCTION("""COMPUTED_VALUE"""),"Blouses")</f>
        <v>Blouses</v>
      </c>
      <c r="L1364" s="13"/>
    </row>
    <row r="1365">
      <c r="A1365" s="13">
        <f>IFERROR(__xludf.DUMMYFUNCTION("""COMPUTED_VALUE"""),1363.0)</f>
        <v>1363</v>
      </c>
      <c r="B1365" s="13">
        <f>IFERROR(__xludf.DUMMYFUNCTION("""COMPUTED_VALUE"""),850.0)</f>
        <v>850</v>
      </c>
      <c r="C1365" s="13">
        <f>IFERROR(__xludf.DUMMYFUNCTION("""COMPUTED_VALUE"""),41.0)</f>
        <v>41</v>
      </c>
      <c r="D1365" s="12" t="str">
        <f>IFERROR(__xludf.DUMMYFUNCTION("""COMPUTED_VALUE"""),"Beautiful winter color")</f>
        <v>Beautiful winter color</v>
      </c>
      <c r="E1365" s="12" t="str">
        <f>IFERROR(__xludf.DUMMYFUNCTION("""COMPUTED_VALUE"""),"Beautiful and very feminine look but run big. i m 5ft 105 lbs curvy , size 00 fit me well")</f>
        <v>Beautiful and very feminine look but run big. i m 5ft 105 lbs curvy , size 00 fit me well</v>
      </c>
      <c r="F1365" s="13">
        <f>IFERROR(__xludf.DUMMYFUNCTION("""COMPUTED_VALUE"""),5.0)</f>
        <v>5</v>
      </c>
      <c r="G1365" s="13">
        <f>IFERROR(__xludf.DUMMYFUNCTION("""COMPUTED_VALUE"""),1.0)</f>
        <v>1</v>
      </c>
      <c r="H1365" s="13">
        <f>IFERROR(__xludf.DUMMYFUNCTION("""COMPUTED_VALUE"""),10.0)</f>
        <v>10</v>
      </c>
      <c r="I1365" s="13" t="str">
        <f>IFERROR(__xludf.DUMMYFUNCTION("""COMPUTED_VALUE"""),"General")</f>
        <v>General</v>
      </c>
      <c r="J1365" s="13" t="str">
        <f>IFERROR(__xludf.DUMMYFUNCTION("""COMPUTED_VALUE"""),"Tops")</f>
        <v>Tops</v>
      </c>
      <c r="K1365" s="13" t="str">
        <f>IFERROR(__xludf.DUMMYFUNCTION("""COMPUTED_VALUE"""),"Blouses")</f>
        <v>Blouses</v>
      </c>
      <c r="L1365" s="13"/>
    </row>
    <row r="1366">
      <c r="A1366" s="13">
        <f>IFERROR(__xludf.DUMMYFUNCTION("""COMPUTED_VALUE"""),1364.0)</f>
        <v>1364</v>
      </c>
      <c r="B1366" s="13">
        <f>IFERROR(__xludf.DUMMYFUNCTION("""COMPUTED_VALUE"""),861.0)</f>
        <v>861</v>
      </c>
      <c r="C1366" s="13">
        <f>IFERROR(__xludf.DUMMYFUNCTION("""COMPUTED_VALUE"""),66.0)</f>
        <v>66</v>
      </c>
      <c r="D1366" s="12" t="str">
        <f>IFERROR(__xludf.DUMMYFUNCTION("""COMPUTED_VALUE"""),"Comfortable")</f>
        <v>Comfortable</v>
      </c>
      <c r="E1366" s="12" t="str">
        <f>IFERROR(__xludf.DUMMYFUNCTION("""COMPUTED_VALUE"""),"I really like this jacket. very comfortable, nice material. i like the weight of this jacket, i wore it alone but it will be cute with a t-shirt under it too.")</f>
        <v>I really like this jacket. very comfortable, nice material. i like the weight of this jacket, i wore it alone but it will be cute with a t-shirt under it too.</v>
      </c>
      <c r="F1366" s="13">
        <f>IFERROR(__xludf.DUMMYFUNCTION("""COMPUTED_VALUE"""),5.0)</f>
        <v>5</v>
      </c>
      <c r="G1366" s="13">
        <f>IFERROR(__xludf.DUMMYFUNCTION("""COMPUTED_VALUE"""),1.0)</f>
        <v>1</v>
      </c>
      <c r="H1366" s="13">
        <f>IFERROR(__xludf.DUMMYFUNCTION("""COMPUTED_VALUE"""),2.0)</f>
        <v>2</v>
      </c>
      <c r="I1366" s="13" t="str">
        <f>IFERROR(__xludf.DUMMYFUNCTION("""COMPUTED_VALUE"""),"General")</f>
        <v>General</v>
      </c>
      <c r="J1366" s="13" t="str">
        <f>IFERROR(__xludf.DUMMYFUNCTION("""COMPUTED_VALUE"""),"Tops")</f>
        <v>Tops</v>
      </c>
      <c r="K1366" s="13" t="str">
        <f>IFERROR(__xludf.DUMMYFUNCTION("""COMPUTED_VALUE"""),"Knits")</f>
        <v>Knits</v>
      </c>
      <c r="L1366" s="13"/>
    </row>
    <row r="1367">
      <c r="A1367" s="13">
        <f>IFERROR(__xludf.DUMMYFUNCTION("""COMPUTED_VALUE"""),1365.0)</f>
        <v>1365</v>
      </c>
      <c r="B1367" s="13">
        <f>IFERROR(__xludf.DUMMYFUNCTION("""COMPUTED_VALUE"""),1110.0)</f>
        <v>1110</v>
      </c>
      <c r="C1367" s="13">
        <f>IFERROR(__xludf.DUMMYFUNCTION("""COMPUTED_VALUE"""),38.0)</f>
        <v>38</v>
      </c>
      <c r="D1367" s="12" t="str">
        <f>IFERROR(__xludf.DUMMYFUNCTION("""COMPUTED_VALUE"""),"Love it!")</f>
        <v>Love it!</v>
      </c>
      <c r="E1367" s="12" t="str">
        <f>IFERROR(__xludf.DUMMYFUNCTION("""COMPUTED_VALUE"""),"Ordered this dress for a summer wedding. it is so cute! true to size, well made with a hint of tulle. super comfortable for moving and dancing. winner!")</f>
        <v>Ordered this dress for a summer wedding. it is so cute! true to size, well made with a hint of tulle. super comfortable for moving and dancing. winner!</v>
      </c>
      <c r="F1367" s="13">
        <f>IFERROR(__xludf.DUMMYFUNCTION("""COMPUTED_VALUE"""),5.0)</f>
        <v>5</v>
      </c>
      <c r="G1367" s="13">
        <f>IFERROR(__xludf.DUMMYFUNCTION("""COMPUTED_VALUE"""),1.0)</f>
        <v>1</v>
      </c>
      <c r="H1367" s="13">
        <f>IFERROR(__xludf.DUMMYFUNCTION("""COMPUTED_VALUE"""),6.0)</f>
        <v>6</v>
      </c>
      <c r="I1367" s="13" t="str">
        <f>IFERROR(__xludf.DUMMYFUNCTION("""COMPUTED_VALUE"""),"General Petite")</f>
        <v>General Petite</v>
      </c>
      <c r="J1367" s="13" t="str">
        <f>IFERROR(__xludf.DUMMYFUNCTION("""COMPUTED_VALUE"""),"Dresses")</f>
        <v>Dresses</v>
      </c>
      <c r="K1367" s="13" t="str">
        <f>IFERROR(__xludf.DUMMYFUNCTION("""COMPUTED_VALUE"""),"Dresses")</f>
        <v>Dresses</v>
      </c>
      <c r="L1367" s="13"/>
    </row>
    <row r="1368">
      <c r="A1368" s="13">
        <f>IFERROR(__xludf.DUMMYFUNCTION("""COMPUTED_VALUE"""),1366.0)</f>
        <v>1366</v>
      </c>
      <c r="B1368" s="13">
        <f>IFERROR(__xludf.DUMMYFUNCTION("""COMPUTED_VALUE"""),867.0)</f>
        <v>867</v>
      </c>
      <c r="C1368" s="13">
        <f>IFERROR(__xludf.DUMMYFUNCTION("""COMPUTED_VALUE"""),44.0)</f>
        <v>44</v>
      </c>
      <c r="D1368" s="12"/>
      <c r="E1368" s="12"/>
      <c r="F1368" s="13">
        <f>IFERROR(__xludf.DUMMYFUNCTION("""COMPUTED_VALUE"""),5.0)</f>
        <v>5</v>
      </c>
      <c r="G1368" s="13">
        <f>IFERROR(__xludf.DUMMYFUNCTION("""COMPUTED_VALUE"""),1.0)</f>
        <v>1</v>
      </c>
      <c r="H1368" s="13">
        <f>IFERROR(__xludf.DUMMYFUNCTION("""COMPUTED_VALUE"""),0.0)</f>
        <v>0</v>
      </c>
      <c r="I1368" s="13" t="str">
        <f>IFERROR(__xludf.DUMMYFUNCTION("""COMPUTED_VALUE"""),"General")</f>
        <v>General</v>
      </c>
      <c r="J1368" s="13" t="str">
        <f>IFERROR(__xludf.DUMMYFUNCTION("""COMPUTED_VALUE"""),"Tops")</f>
        <v>Tops</v>
      </c>
      <c r="K1368" s="13" t="str">
        <f>IFERROR(__xludf.DUMMYFUNCTION("""COMPUTED_VALUE"""),"Knits")</f>
        <v>Knits</v>
      </c>
      <c r="L1368" s="13"/>
    </row>
    <row r="1369">
      <c r="A1369" s="13">
        <f>IFERROR(__xludf.DUMMYFUNCTION("""COMPUTED_VALUE"""),1367.0)</f>
        <v>1367</v>
      </c>
      <c r="B1369" s="13">
        <f>IFERROR(__xludf.DUMMYFUNCTION("""COMPUTED_VALUE"""),860.0)</f>
        <v>860</v>
      </c>
      <c r="C1369" s="13">
        <f>IFERROR(__xludf.DUMMYFUNCTION("""COMPUTED_VALUE"""),40.0)</f>
        <v>40</v>
      </c>
      <c r="D1369" s="12" t="str">
        <f>IFERROR(__xludf.DUMMYFUNCTION("""COMPUTED_VALUE"""),"Odd, boxy fit")</f>
        <v>Odd, boxy fit</v>
      </c>
      <c r="E1369" s="12" t="str">
        <f>IFERROR(__xludf.DUMMYFUNCTION("""COMPUTED_VALUE"""),"I purchased this shirt in grey. i loved the color and the details, especially the lace on the shoulders. i just found the fit to be off for me. the style certainly calls for a relaxed fit but the small was loose in an unflattering way. had the xs been ava"&amp;"ilable i might have considered exchanging for an xs but the s was already a bit short on me. (strange because although i am not petite, i am fairly short wasted.) i also wasn't in love with the neckline. i will continue my search for a weekend-w")</f>
        <v>I purchased this shirt in grey. i loved the color and the details, especially the lace on the shoulders. i just found the fit to be off for me. the style certainly calls for a relaxed fit but the small was loose in an unflattering way. had the xs been available i might have considered exchanging for an xs but the s was already a bit short on me. (strange because although i am not petite, i am fairly short wasted.) i also wasn't in love with the neckline. i will continue my search for a weekend-w</v>
      </c>
      <c r="F1369" s="13">
        <f>IFERROR(__xludf.DUMMYFUNCTION("""COMPUTED_VALUE"""),3.0)</f>
        <v>3</v>
      </c>
      <c r="G1369" s="13">
        <f>IFERROR(__xludf.DUMMYFUNCTION("""COMPUTED_VALUE"""),0.0)</f>
        <v>0</v>
      </c>
      <c r="H1369" s="13">
        <f>IFERROR(__xludf.DUMMYFUNCTION("""COMPUTED_VALUE"""),0.0)</f>
        <v>0</v>
      </c>
      <c r="I1369" s="13" t="str">
        <f>IFERROR(__xludf.DUMMYFUNCTION("""COMPUTED_VALUE"""),"General")</f>
        <v>General</v>
      </c>
      <c r="J1369" s="13" t="str">
        <f>IFERROR(__xludf.DUMMYFUNCTION("""COMPUTED_VALUE"""),"Tops")</f>
        <v>Tops</v>
      </c>
      <c r="K1369" s="13" t="str">
        <f>IFERROR(__xludf.DUMMYFUNCTION("""COMPUTED_VALUE"""),"Knits")</f>
        <v>Knits</v>
      </c>
      <c r="L1369" s="13"/>
    </row>
    <row r="1370">
      <c r="A1370" s="13">
        <f>IFERROR(__xludf.DUMMYFUNCTION("""COMPUTED_VALUE"""),1368.0)</f>
        <v>1368</v>
      </c>
      <c r="B1370" s="13">
        <f>IFERROR(__xludf.DUMMYFUNCTION("""COMPUTED_VALUE"""),860.0)</f>
        <v>860</v>
      </c>
      <c r="C1370" s="13">
        <f>IFERROR(__xludf.DUMMYFUNCTION("""COMPUTED_VALUE"""),36.0)</f>
        <v>36</v>
      </c>
      <c r="D1370" s="12"/>
      <c r="E1370" s="12" t="str">
        <f>IFERROR(__xludf.DUMMYFUNCTION("""COMPUTED_VALUE"""),"Very nice top, fits true to size, a little short buy looks nice with jeans or work pants")</f>
        <v>Very nice top, fits true to size, a little short buy looks nice with jeans or work pants</v>
      </c>
      <c r="F1370" s="13">
        <f>IFERROR(__xludf.DUMMYFUNCTION("""COMPUTED_VALUE"""),4.0)</f>
        <v>4</v>
      </c>
      <c r="G1370" s="13">
        <f>IFERROR(__xludf.DUMMYFUNCTION("""COMPUTED_VALUE"""),1.0)</f>
        <v>1</v>
      </c>
      <c r="H1370" s="13">
        <f>IFERROR(__xludf.DUMMYFUNCTION("""COMPUTED_VALUE"""),0.0)</f>
        <v>0</v>
      </c>
      <c r="I1370" s="13" t="str">
        <f>IFERROR(__xludf.DUMMYFUNCTION("""COMPUTED_VALUE"""),"General")</f>
        <v>General</v>
      </c>
      <c r="J1370" s="13" t="str">
        <f>IFERROR(__xludf.DUMMYFUNCTION("""COMPUTED_VALUE"""),"Tops")</f>
        <v>Tops</v>
      </c>
      <c r="K1370" s="13" t="str">
        <f>IFERROR(__xludf.DUMMYFUNCTION("""COMPUTED_VALUE"""),"Knits")</f>
        <v>Knits</v>
      </c>
      <c r="L1370" s="13"/>
    </row>
    <row r="1371">
      <c r="A1371" s="13">
        <f>IFERROR(__xludf.DUMMYFUNCTION("""COMPUTED_VALUE"""),1369.0)</f>
        <v>1369</v>
      </c>
      <c r="B1371" s="13">
        <f>IFERROR(__xludf.DUMMYFUNCTION("""COMPUTED_VALUE"""),860.0)</f>
        <v>860</v>
      </c>
      <c r="C1371" s="13">
        <f>IFERROR(__xludf.DUMMYFUNCTION("""COMPUTED_VALUE"""),40.0)</f>
        <v>40</v>
      </c>
      <c r="D1371" s="12" t="str">
        <f>IFERROR(__xludf.DUMMYFUNCTION("""COMPUTED_VALUE"""),"Unflattering")</f>
        <v>Unflattering</v>
      </c>
      <c r="E1371" s="12" t="str">
        <f>IFERROR(__xludf.DUMMYFUNCTION("""COMPUTED_VALUE"""),"It's short and wide. not a good combo for anyone who isn't stick thin.")</f>
        <v>It's short and wide. not a good combo for anyone who isn't stick thin.</v>
      </c>
      <c r="F1371" s="13">
        <f>IFERROR(__xludf.DUMMYFUNCTION("""COMPUTED_VALUE"""),1.0)</f>
        <v>1</v>
      </c>
      <c r="G1371" s="13">
        <f>IFERROR(__xludf.DUMMYFUNCTION("""COMPUTED_VALUE"""),0.0)</f>
        <v>0</v>
      </c>
      <c r="H1371" s="13">
        <f>IFERROR(__xludf.DUMMYFUNCTION("""COMPUTED_VALUE"""),7.0)</f>
        <v>7</v>
      </c>
      <c r="I1371" s="13" t="str">
        <f>IFERROR(__xludf.DUMMYFUNCTION("""COMPUTED_VALUE"""),"General")</f>
        <v>General</v>
      </c>
      <c r="J1371" s="13" t="str">
        <f>IFERROR(__xludf.DUMMYFUNCTION("""COMPUTED_VALUE"""),"Tops")</f>
        <v>Tops</v>
      </c>
      <c r="K1371" s="13" t="str">
        <f>IFERROR(__xludf.DUMMYFUNCTION("""COMPUTED_VALUE"""),"Knits")</f>
        <v>Knits</v>
      </c>
      <c r="L1371" s="13"/>
    </row>
    <row r="1372">
      <c r="A1372" s="13">
        <f>IFERROR(__xludf.DUMMYFUNCTION("""COMPUTED_VALUE"""),1370.0)</f>
        <v>1370</v>
      </c>
      <c r="B1372" s="13">
        <f>IFERROR(__xludf.DUMMYFUNCTION("""COMPUTED_VALUE"""),946.0)</f>
        <v>946</v>
      </c>
      <c r="C1372" s="13">
        <f>IFERROR(__xludf.DUMMYFUNCTION("""COMPUTED_VALUE"""),36.0)</f>
        <v>36</v>
      </c>
      <c r="D1372" s="12" t="str">
        <f>IFERROR(__xludf.DUMMYFUNCTION("""COMPUTED_VALUE"""),"Umm what is this")</f>
        <v>Umm what is this</v>
      </c>
      <c r="E1372" s="12" t="str">
        <f>IFERROR(__xludf.DUMMYFUNCTION("""COMPUTED_VALUE"""),"I wish i had read all the reviews before purchasing. the sweater looked liked everything i would be interested in online. once i pulled it out of the bag, my first thought was how could retailer send me a used, washed and shrunken sweater. it is nothing l"&amp;"ike the picture. it fits like a midriff top, not exaggerating. i'm 5.6, ordered the m, don't waste your shipping money on this.")</f>
        <v>I wish i had read all the reviews before purchasing. the sweater looked liked everything i would be interested in online. once i pulled it out of the bag, my first thought was how could retailer send me a used, washed and shrunken sweater. it is nothing like the picture. it fits like a midriff top, not exaggerating. i'm 5.6, ordered the m, don't waste your shipping money on this.</v>
      </c>
      <c r="F1372" s="13">
        <f>IFERROR(__xludf.DUMMYFUNCTION("""COMPUTED_VALUE"""),1.0)</f>
        <v>1</v>
      </c>
      <c r="G1372" s="13">
        <f>IFERROR(__xludf.DUMMYFUNCTION("""COMPUTED_VALUE"""),0.0)</f>
        <v>0</v>
      </c>
      <c r="H1372" s="13">
        <f>IFERROR(__xludf.DUMMYFUNCTION("""COMPUTED_VALUE"""),1.0)</f>
        <v>1</v>
      </c>
      <c r="I1372" s="13" t="str">
        <f>IFERROR(__xludf.DUMMYFUNCTION("""COMPUTED_VALUE"""),"General")</f>
        <v>General</v>
      </c>
      <c r="J1372" s="13" t="str">
        <f>IFERROR(__xludf.DUMMYFUNCTION("""COMPUTED_VALUE"""),"Tops")</f>
        <v>Tops</v>
      </c>
      <c r="K1372" s="13" t="str">
        <f>IFERROR(__xludf.DUMMYFUNCTION("""COMPUTED_VALUE"""),"Sweaters")</f>
        <v>Sweaters</v>
      </c>
      <c r="L1372" s="13"/>
    </row>
    <row r="1373">
      <c r="A1373" s="13">
        <f>IFERROR(__xludf.DUMMYFUNCTION("""COMPUTED_VALUE"""),1371.0)</f>
        <v>1371</v>
      </c>
      <c r="B1373" s="13">
        <f>IFERROR(__xludf.DUMMYFUNCTION("""COMPUTED_VALUE"""),946.0)</f>
        <v>946</v>
      </c>
      <c r="C1373" s="13">
        <f>IFERROR(__xludf.DUMMYFUNCTION("""COMPUTED_VALUE"""),48.0)</f>
        <v>48</v>
      </c>
      <c r="D1373" s="12"/>
      <c r="E1373" s="12" t="str">
        <f>IFERROR(__xludf.DUMMYFUNCTION("""COMPUTED_VALUE"""),"I purchased this sweater in a small . nothing on the web site states it has dolman sleeves! it looked sloppy and made my bust disappear! it went back i hate dolman sleeves.")</f>
        <v>I purchased this sweater in a small . nothing on the web site states it has dolman sleeves! it looked sloppy and made my bust disappear! it went back i hate dolman sleeves.</v>
      </c>
      <c r="F1373" s="13">
        <f>IFERROR(__xludf.DUMMYFUNCTION("""COMPUTED_VALUE"""),2.0)</f>
        <v>2</v>
      </c>
      <c r="G1373" s="13">
        <f>IFERROR(__xludf.DUMMYFUNCTION("""COMPUTED_VALUE"""),0.0)</f>
        <v>0</v>
      </c>
      <c r="H1373" s="13">
        <f>IFERROR(__xludf.DUMMYFUNCTION("""COMPUTED_VALUE"""),1.0)</f>
        <v>1</v>
      </c>
      <c r="I1373" s="13" t="str">
        <f>IFERROR(__xludf.DUMMYFUNCTION("""COMPUTED_VALUE"""),"General")</f>
        <v>General</v>
      </c>
      <c r="J1373" s="13" t="str">
        <f>IFERROR(__xludf.DUMMYFUNCTION("""COMPUTED_VALUE"""),"Tops")</f>
        <v>Tops</v>
      </c>
      <c r="K1373" s="13" t="str">
        <f>IFERROR(__xludf.DUMMYFUNCTION("""COMPUTED_VALUE"""),"Sweaters")</f>
        <v>Sweaters</v>
      </c>
      <c r="L1373" s="13"/>
    </row>
    <row r="1374">
      <c r="A1374" s="13">
        <f>IFERROR(__xludf.DUMMYFUNCTION("""COMPUTED_VALUE"""),1372.0)</f>
        <v>1372</v>
      </c>
      <c r="B1374" s="13">
        <f>IFERROR(__xludf.DUMMYFUNCTION("""COMPUTED_VALUE"""),867.0)</f>
        <v>867</v>
      </c>
      <c r="C1374" s="13">
        <f>IFERROR(__xludf.DUMMYFUNCTION("""COMPUTED_VALUE"""),52.0)</f>
        <v>52</v>
      </c>
      <c r="D1374" s="12"/>
      <c r="E1374" s="12" t="str">
        <f>IFERROR(__xludf.DUMMYFUNCTION("""COMPUTED_VALUE"""),"Love this t-shirt. the weight is great for the impending heat and humidity of summer. it looks positively fabulous for casual occasions with pilcro chinos in moss and fuchsia suede pumps.")</f>
        <v>Love this t-shirt. the weight is great for the impending heat and humidity of summer. it looks positively fabulous for casual occasions with pilcro chinos in moss and fuchsia suede pumps.</v>
      </c>
      <c r="F1374" s="13">
        <f>IFERROR(__xludf.DUMMYFUNCTION("""COMPUTED_VALUE"""),5.0)</f>
        <v>5</v>
      </c>
      <c r="G1374" s="13">
        <f>IFERROR(__xludf.DUMMYFUNCTION("""COMPUTED_VALUE"""),1.0)</f>
        <v>1</v>
      </c>
      <c r="H1374" s="13">
        <f>IFERROR(__xludf.DUMMYFUNCTION("""COMPUTED_VALUE"""),2.0)</f>
        <v>2</v>
      </c>
      <c r="I1374" s="13" t="str">
        <f>IFERROR(__xludf.DUMMYFUNCTION("""COMPUTED_VALUE"""),"General")</f>
        <v>General</v>
      </c>
      <c r="J1374" s="13" t="str">
        <f>IFERROR(__xludf.DUMMYFUNCTION("""COMPUTED_VALUE"""),"Tops")</f>
        <v>Tops</v>
      </c>
      <c r="K1374" s="13" t="str">
        <f>IFERROR(__xludf.DUMMYFUNCTION("""COMPUTED_VALUE"""),"Knits")</f>
        <v>Knits</v>
      </c>
      <c r="L1374" s="13"/>
    </row>
    <row r="1375">
      <c r="A1375" s="13">
        <f>IFERROR(__xludf.DUMMYFUNCTION("""COMPUTED_VALUE"""),1373.0)</f>
        <v>1373</v>
      </c>
      <c r="B1375" s="13">
        <f>IFERROR(__xludf.DUMMYFUNCTION("""COMPUTED_VALUE"""),850.0)</f>
        <v>850</v>
      </c>
      <c r="C1375" s="13">
        <f>IFERROR(__xludf.DUMMYFUNCTION("""COMPUTED_VALUE"""),44.0)</f>
        <v>44</v>
      </c>
      <c r="D1375" s="12" t="str">
        <f>IFERROR(__xludf.DUMMYFUNCTION("""COMPUTED_VALUE"""),"Very delicate")</f>
        <v>Very delicate</v>
      </c>
      <c r="E1375" s="12" t="str">
        <f>IFERROR(__xludf.DUMMYFUNCTION("""COMPUTED_VALUE"""),"Cute top but started disintegrating after two washes. the delicate cutouts in the top tore apart. i machine washed it in the gentle cycle and didn't use the dryer. disappointed to have to discard the top after just buying it.")</f>
        <v>Cute top but started disintegrating after two washes. the delicate cutouts in the top tore apart. i machine washed it in the gentle cycle and didn't use the dryer. disappointed to have to discard the top after just buying it.</v>
      </c>
      <c r="F1375" s="13">
        <f>IFERROR(__xludf.DUMMYFUNCTION("""COMPUTED_VALUE"""),1.0)</f>
        <v>1</v>
      </c>
      <c r="G1375" s="13">
        <f>IFERROR(__xludf.DUMMYFUNCTION("""COMPUTED_VALUE"""),0.0)</f>
        <v>0</v>
      </c>
      <c r="H1375" s="13">
        <f>IFERROR(__xludf.DUMMYFUNCTION("""COMPUTED_VALUE"""),5.0)</f>
        <v>5</v>
      </c>
      <c r="I1375" s="13" t="str">
        <f>IFERROR(__xludf.DUMMYFUNCTION("""COMPUTED_VALUE"""),"General")</f>
        <v>General</v>
      </c>
      <c r="J1375" s="13" t="str">
        <f>IFERROR(__xludf.DUMMYFUNCTION("""COMPUTED_VALUE"""),"Tops")</f>
        <v>Tops</v>
      </c>
      <c r="K1375" s="13" t="str">
        <f>IFERROR(__xludf.DUMMYFUNCTION("""COMPUTED_VALUE"""),"Blouses")</f>
        <v>Blouses</v>
      </c>
      <c r="L1375" s="13"/>
    </row>
    <row r="1376">
      <c r="A1376" s="13">
        <f>IFERROR(__xludf.DUMMYFUNCTION("""COMPUTED_VALUE"""),1374.0)</f>
        <v>1374</v>
      </c>
      <c r="B1376" s="13">
        <f>IFERROR(__xludf.DUMMYFUNCTION("""COMPUTED_VALUE"""),867.0)</f>
        <v>867</v>
      </c>
      <c r="C1376" s="13">
        <f>IFERROR(__xludf.DUMMYFUNCTION("""COMPUTED_VALUE"""),49.0)</f>
        <v>49</v>
      </c>
      <c r="D1376" s="12" t="str">
        <f>IFERROR(__xludf.DUMMYFUNCTION("""COMPUTED_VALUE"""),"Nice summer t-shirt")</f>
        <v>Nice summer t-shirt</v>
      </c>
      <c r="E1376" s="12" t="str">
        <f>IFERROR(__xludf.DUMMYFUNCTION("""COMPUTED_VALUE"""),"I purchased the yellow and i am quite happy. it matches a lot of things that i already own. nice summer tee.")</f>
        <v>I purchased the yellow and i am quite happy. it matches a lot of things that i already own. nice summer tee.</v>
      </c>
      <c r="F1376" s="13">
        <f>IFERROR(__xludf.DUMMYFUNCTION("""COMPUTED_VALUE"""),5.0)</f>
        <v>5</v>
      </c>
      <c r="G1376" s="13">
        <f>IFERROR(__xludf.DUMMYFUNCTION("""COMPUTED_VALUE"""),1.0)</f>
        <v>1</v>
      </c>
      <c r="H1376" s="13">
        <f>IFERROR(__xludf.DUMMYFUNCTION("""COMPUTED_VALUE"""),1.0)</f>
        <v>1</v>
      </c>
      <c r="I1376" s="13" t="str">
        <f>IFERROR(__xludf.DUMMYFUNCTION("""COMPUTED_VALUE"""),"General")</f>
        <v>General</v>
      </c>
      <c r="J1376" s="13" t="str">
        <f>IFERROR(__xludf.DUMMYFUNCTION("""COMPUTED_VALUE"""),"Tops")</f>
        <v>Tops</v>
      </c>
      <c r="K1376" s="13" t="str">
        <f>IFERROR(__xludf.DUMMYFUNCTION("""COMPUTED_VALUE"""),"Knits")</f>
        <v>Knits</v>
      </c>
      <c r="L1376" s="13"/>
    </row>
    <row r="1377">
      <c r="A1377" s="13">
        <f>IFERROR(__xludf.DUMMYFUNCTION("""COMPUTED_VALUE"""),1375.0)</f>
        <v>1375</v>
      </c>
      <c r="B1377" s="13">
        <f>IFERROR(__xludf.DUMMYFUNCTION("""COMPUTED_VALUE"""),867.0)</f>
        <v>867</v>
      </c>
      <c r="C1377" s="13">
        <f>IFERROR(__xludf.DUMMYFUNCTION("""COMPUTED_VALUE"""),40.0)</f>
        <v>40</v>
      </c>
      <c r="D1377" s="12" t="str">
        <f>IFERROR(__xludf.DUMMYFUNCTION("""COMPUTED_VALUE"""),"This shirt will brighten you day")</f>
        <v>This shirt will brighten you day</v>
      </c>
      <c r="E1377" s="12" t="str">
        <f>IFERROR(__xludf.DUMMYFUNCTION("""COMPUTED_VALUE"""),"I bought the ""here comes the sun"" version of this shirt. i had to have it. i'm a cervical cancer survivor who is still dealing with some health issues. i recently attended a cancer survivor event where a women talked about her life with cancer. she said"&amp;" that you no longer counts the years of her life, instead she counts her sunny days. i was inspired to do the same. so, i love this shirt. i got it on sale, but it still could've been cheaper.")</f>
        <v>I bought the "here comes the sun" version of this shirt. i had to have it. i'm a cervical cancer survivor who is still dealing with some health issues. i recently attended a cancer survivor event where a women talked about her life with cancer. she said that you no longer counts the years of her life, instead she counts her sunny days. i was inspired to do the same. so, i love this shirt. i got it on sale, but it still could've been cheaper.</v>
      </c>
      <c r="F1377" s="13">
        <f>IFERROR(__xludf.DUMMYFUNCTION("""COMPUTED_VALUE"""),5.0)</f>
        <v>5</v>
      </c>
      <c r="G1377" s="13">
        <f>IFERROR(__xludf.DUMMYFUNCTION("""COMPUTED_VALUE"""),1.0)</f>
        <v>1</v>
      </c>
      <c r="H1377" s="13">
        <f>IFERROR(__xludf.DUMMYFUNCTION("""COMPUTED_VALUE"""),0.0)</f>
        <v>0</v>
      </c>
      <c r="I1377" s="13" t="str">
        <f>IFERROR(__xludf.DUMMYFUNCTION("""COMPUTED_VALUE"""),"General")</f>
        <v>General</v>
      </c>
      <c r="J1377" s="13" t="str">
        <f>IFERROR(__xludf.DUMMYFUNCTION("""COMPUTED_VALUE"""),"Tops")</f>
        <v>Tops</v>
      </c>
      <c r="K1377" s="13" t="str">
        <f>IFERROR(__xludf.DUMMYFUNCTION("""COMPUTED_VALUE"""),"Knits")</f>
        <v>Knits</v>
      </c>
      <c r="L1377" s="13"/>
    </row>
    <row r="1378">
      <c r="A1378" s="13">
        <f>IFERROR(__xludf.DUMMYFUNCTION("""COMPUTED_VALUE"""),1376.0)</f>
        <v>1376</v>
      </c>
      <c r="B1378" s="13">
        <f>IFERROR(__xludf.DUMMYFUNCTION("""COMPUTED_VALUE"""),850.0)</f>
        <v>850</v>
      </c>
      <c r="C1378" s="13">
        <f>IFERROR(__xludf.DUMMYFUNCTION("""COMPUTED_VALUE"""),43.0)</f>
        <v>43</v>
      </c>
      <c r="D1378" s="12" t="str">
        <f>IFERROR(__xludf.DUMMYFUNCTION("""COMPUTED_VALUE"""),"Too delicate")</f>
        <v>Too delicate</v>
      </c>
      <c r="E1378" s="12" t="str">
        <f>IFERROR(__xludf.DUMMYFUNCTION("""COMPUTED_VALUE"""),"I received this as a gift. it is a very pretty top, but the material is sooo delicate that the cutout areas were torn in many spots and where it wasn't torn completely you could see it fraying. the sales associate said they get many returns on this item.")</f>
        <v>I received this as a gift. it is a very pretty top, but the material is sooo delicate that the cutout areas were torn in many spots and where it wasn't torn completely you could see it fraying. the sales associate said they get many returns on this item.</v>
      </c>
      <c r="F1378" s="13">
        <f>IFERROR(__xludf.DUMMYFUNCTION("""COMPUTED_VALUE"""),1.0)</f>
        <v>1</v>
      </c>
      <c r="G1378" s="13">
        <f>IFERROR(__xludf.DUMMYFUNCTION("""COMPUTED_VALUE"""),0.0)</f>
        <v>0</v>
      </c>
      <c r="H1378" s="13">
        <f>IFERROR(__xludf.DUMMYFUNCTION("""COMPUTED_VALUE"""),4.0)</f>
        <v>4</v>
      </c>
      <c r="I1378" s="13" t="str">
        <f>IFERROR(__xludf.DUMMYFUNCTION("""COMPUTED_VALUE"""),"General")</f>
        <v>General</v>
      </c>
      <c r="J1378" s="13" t="str">
        <f>IFERROR(__xludf.DUMMYFUNCTION("""COMPUTED_VALUE"""),"Tops")</f>
        <v>Tops</v>
      </c>
      <c r="K1378" s="13" t="str">
        <f>IFERROR(__xludf.DUMMYFUNCTION("""COMPUTED_VALUE"""),"Blouses")</f>
        <v>Blouses</v>
      </c>
      <c r="L1378" s="13"/>
    </row>
    <row r="1379">
      <c r="A1379" s="13">
        <f>IFERROR(__xludf.DUMMYFUNCTION("""COMPUTED_VALUE"""),1377.0)</f>
        <v>1377</v>
      </c>
      <c r="B1379" s="13">
        <f>IFERROR(__xludf.DUMMYFUNCTION("""COMPUTED_VALUE"""),867.0)</f>
        <v>867</v>
      </c>
      <c r="C1379" s="13">
        <f>IFERROR(__xludf.DUMMYFUNCTION("""COMPUTED_VALUE"""),49.0)</f>
        <v>49</v>
      </c>
      <c r="D1379" s="12" t="str">
        <f>IFERROR(__xludf.DUMMYFUNCTION("""COMPUTED_VALUE"""),"Very cute tee!")</f>
        <v>Very cute tee!</v>
      </c>
      <c r="E1379" s="12" t="str">
        <f>IFERROR(__xludf.DUMMYFUNCTION("""COMPUTED_VALUE"""),"Love this tee! lightweight, airy and comfy. i think it fits true to size. so soft and summery. can't wait to wear it this summer!")</f>
        <v>Love this tee! lightweight, airy and comfy. i think it fits true to size. so soft and summery. can't wait to wear it this summer!</v>
      </c>
      <c r="F1379" s="13">
        <f>IFERROR(__xludf.DUMMYFUNCTION("""COMPUTED_VALUE"""),5.0)</f>
        <v>5</v>
      </c>
      <c r="G1379" s="13">
        <f>IFERROR(__xludf.DUMMYFUNCTION("""COMPUTED_VALUE"""),1.0)</f>
        <v>1</v>
      </c>
      <c r="H1379" s="13">
        <f>IFERROR(__xludf.DUMMYFUNCTION("""COMPUTED_VALUE"""),2.0)</f>
        <v>2</v>
      </c>
      <c r="I1379" s="13" t="str">
        <f>IFERROR(__xludf.DUMMYFUNCTION("""COMPUTED_VALUE"""),"General")</f>
        <v>General</v>
      </c>
      <c r="J1379" s="13" t="str">
        <f>IFERROR(__xludf.DUMMYFUNCTION("""COMPUTED_VALUE"""),"Tops")</f>
        <v>Tops</v>
      </c>
      <c r="K1379" s="13" t="str">
        <f>IFERROR(__xludf.DUMMYFUNCTION("""COMPUTED_VALUE"""),"Knits")</f>
        <v>Knits</v>
      </c>
      <c r="L1379" s="13"/>
    </row>
    <row r="1380">
      <c r="A1380" s="13">
        <f>IFERROR(__xludf.DUMMYFUNCTION("""COMPUTED_VALUE"""),1378.0)</f>
        <v>1378</v>
      </c>
      <c r="B1380" s="13">
        <f>IFERROR(__xludf.DUMMYFUNCTION("""COMPUTED_VALUE"""),860.0)</f>
        <v>860</v>
      </c>
      <c r="C1380" s="13">
        <f>IFERROR(__xludf.DUMMYFUNCTION("""COMPUTED_VALUE"""),43.0)</f>
        <v>43</v>
      </c>
      <c r="D1380" s="12" t="str">
        <f>IFERROR(__xludf.DUMMYFUNCTION("""COMPUTED_VALUE"""),"Beautiful and tailored.")</f>
        <v>Beautiful and tailored.</v>
      </c>
      <c r="E1380" s="12" t="str">
        <f>IFERROR(__xludf.DUMMYFUNCTION("""COMPUTED_VALUE"""),"This is much more a blouse than a ""tee"". the detailing is beautiful and the fabric on the back is a more stuff, starched cotton, not stretchy jersey. because of that i felt like this top ran small. i had to size up.")</f>
        <v>This is much more a blouse than a "tee". the detailing is beautiful and the fabric on the back is a more stuff, starched cotton, not stretchy jersey. because of that i felt like this top ran small. i had to size up.</v>
      </c>
      <c r="F1380" s="13">
        <f>IFERROR(__xludf.DUMMYFUNCTION("""COMPUTED_VALUE"""),5.0)</f>
        <v>5</v>
      </c>
      <c r="G1380" s="13">
        <f>IFERROR(__xludf.DUMMYFUNCTION("""COMPUTED_VALUE"""),1.0)</f>
        <v>1</v>
      </c>
      <c r="H1380" s="13">
        <f>IFERROR(__xludf.DUMMYFUNCTION("""COMPUTED_VALUE"""),9.0)</f>
        <v>9</v>
      </c>
      <c r="I1380" s="13" t="str">
        <f>IFERROR(__xludf.DUMMYFUNCTION("""COMPUTED_VALUE"""),"General")</f>
        <v>General</v>
      </c>
      <c r="J1380" s="13" t="str">
        <f>IFERROR(__xludf.DUMMYFUNCTION("""COMPUTED_VALUE"""),"Tops")</f>
        <v>Tops</v>
      </c>
      <c r="K1380" s="13" t="str">
        <f>IFERROR(__xludf.DUMMYFUNCTION("""COMPUTED_VALUE"""),"Knits")</f>
        <v>Knits</v>
      </c>
      <c r="L1380" s="13"/>
    </row>
    <row r="1381">
      <c r="A1381" s="13">
        <f>IFERROR(__xludf.DUMMYFUNCTION("""COMPUTED_VALUE"""),1379.0)</f>
        <v>1379</v>
      </c>
      <c r="B1381" s="13">
        <f>IFERROR(__xludf.DUMMYFUNCTION("""COMPUTED_VALUE"""),850.0)</f>
        <v>850</v>
      </c>
      <c r="C1381" s="13">
        <f>IFERROR(__xludf.DUMMYFUNCTION("""COMPUTED_VALUE"""),29.0)</f>
        <v>29</v>
      </c>
      <c r="D1381" s="12" t="str">
        <f>IFERROR(__xludf.DUMMYFUNCTION("""COMPUTED_VALUE"""),"Star print is so pretty!")</f>
        <v>Star print is so pretty!</v>
      </c>
      <c r="E1381" s="12" t="str">
        <f>IFERROR(__xludf.DUMMYFUNCTION("""COMPUTED_VALUE"""),"I tried this on today and i wish i had taken it home. for me it was true to size, and the star print was perfect. flowy but not in maternity way at all. i'm gonna have to go back for this one!")</f>
        <v>I tried this on today and i wish i had taken it home. for me it was true to size, and the star print was perfect. flowy but not in maternity way at all. i'm gonna have to go back for this one!</v>
      </c>
      <c r="F1381" s="13">
        <f>IFERROR(__xludf.DUMMYFUNCTION("""COMPUTED_VALUE"""),5.0)</f>
        <v>5</v>
      </c>
      <c r="G1381" s="13">
        <f>IFERROR(__xludf.DUMMYFUNCTION("""COMPUTED_VALUE"""),1.0)</f>
        <v>1</v>
      </c>
      <c r="H1381" s="13">
        <f>IFERROR(__xludf.DUMMYFUNCTION("""COMPUTED_VALUE"""),3.0)</f>
        <v>3</v>
      </c>
      <c r="I1381" s="13" t="str">
        <f>IFERROR(__xludf.DUMMYFUNCTION("""COMPUTED_VALUE"""),"General")</f>
        <v>General</v>
      </c>
      <c r="J1381" s="13" t="str">
        <f>IFERROR(__xludf.DUMMYFUNCTION("""COMPUTED_VALUE"""),"Tops")</f>
        <v>Tops</v>
      </c>
      <c r="K1381" s="13" t="str">
        <f>IFERROR(__xludf.DUMMYFUNCTION("""COMPUTED_VALUE"""),"Blouses")</f>
        <v>Blouses</v>
      </c>
      <c r="L1381" s="13"/>
    </row>
    <row r="1382">
      <c r="A1382" s="13">
        <f>IFERROR(__xludf.DUMMYFUNCTION("""COMPUTED_VALUE"""),1380.0)</f>
        <v>1380</v>
      </c>
      <c r="B1382" s="13">
        <f>IFERROR(__xludf.DUMMYFUNCTION("""COMPUTED_VALUE"""),867.0)</f>
        <v>867</v>
      </c>
      <c r="C1382" s="13">
        <f>IFERROR(__xludf.DUMMYFUNCTION("""COMPUTED_VALUE"""),66.0)</f>
        <v>66</v>
      </c>
      <c r="D1382" s="12" t="str">
        <f>IFERROR(__xludf.DUMMYFUNCTION("""COMPUTED_VALUE"""),"Soft and cute")</f>
        <v>Soft and cute</v>
      </c>
      <c r="E1382" s="12" t="str">
        <f>IFERROR(__xludf.DUMMYFUNCTION("""COMPUTED_VALUE"""),"This runs way big.  i would recommend sizing down at least one size.  possibly 2.
i got the design with divers.  it's fun and light for summer.  soft material and very comfy.")</f>
        <v>This runs way big.  i would recommend sizing down at least one size.  possibly 2.
i got the design with divers.  it's fun and light for summer.  soft material and very comfy.</v>
      </c>
      <c r="F1382" s="13">
        <f>IFERROR(__xludf.DUMMYFUNCTION("""COMPUTED_VALUE"""),4.0)</f>
        <v>4</v>
      </c>
      <c r="G1382" s="13">
        <f>IFERROR(__xludf.DUMMYFUNCTION("""COMPUTED_VALUE"""),1.0)</f>
        <v>1</v>
      </c>
      <c r="H1382" s="13">
        <f>IFERROR(__xludf.DUMMYFUNCTION("""COMPUTED_VALUE"""),2.0)</f>
        <v>2</v>
      </c>
      <c r="I1382" s="13" t="str">
        <f>IFERROR(__xludf.DUMMYFUNCTION("""COMPUTED_VALUE"""),"General")</f>
        <v>General</v>
      </c>
      <c r="J1382" s="13" t="str">
        <f>IFERROR(__xludf.DUMMYFUNCTION("""COMPUTED_VALUE"""),"Tops")</f>
        <v>Tops</v>
      </c>
      <c r="K1382" s="13" t="str">
        <f>IFERROR(__xludf.DUMMYFUNCTION("""COMPUTED_VALUE"""),"Knits")</f>
        <v>Knits</v>
      </c>
      <c r="L1382" s="13"/>
    </row>
    <row r="1383">
      <c r="A1383" s="13">
        <f>IFERROR(__xludf.DUMMYFUNCTION("""COMPUTED_VALUE"""),1381.0)</f>
        <v>1381</v>
      </c>
      <c r="B1383" s="13">
        <f>IFERROR(__xludf.DUMMYFUNCTION("""COMPUTED_VALUE"""),946.0)</f>
        <v>946</v>
      </c>
      <c r="C1383" s="13">
        <f>IFERROR(__xludf.DUMMYFUNCTION("""COMPUTED_VALUE"""),54.0)</f>
        <v>54</v>
      </c>
      <c r="D1383" s="12"/>
      <c r="E1383" s="12" t="str">
        <f>IFERROR(__xludf.DUMMYFUNCTION("""COMPUTED_VALUE"""),"Although i love the soft feel of the sweater, the zig zag design was very unflattering. also, the length is much shorter than appears in the picture. i will be returning it.")</f>
        <v>Although i love the soft feel of the sweater, the zig zag design was very unflattering. also, the length is much shorter than appears in the picture. i will be returning it.</v>
      </c>
      <c r="F1383" s="13">
        <f>IFERROR(__xludf.DUMMYFUNCTION("""COMPUTED_VALUE"""),2.0)</f>
        <v>2</v>
      </c>
      <c r="G1383" s="13">
        <f>IFERROR(__xludf.DUMMYFUNCTION("""COMPUTED_VALUE"""),0.0)</f>
        <v>0</v>
      </c>
      <c r="H1383" s="13">
        <f>IFERROR(__xludf.DUMMYFUNCTION("""COMPUTED_VALUE"""),0.0)</f>
        <v>0</v>
      </c>
      <c r="I1383" s="13" t="str">
        <f>IFERROR(__xludf.DUMMYFUNCTION("""COMPUTED_VALUE"""),"General")</f>
        <v>General</v>
      </c>
      <c r="J1383" s="13" t="str">
        <f>IFERROR(__xludf.DUMMYFUNCTION("""COMPUTED_VALUE"""),"Tops")</f>
        <v>Tops</v>
      </c>
      <c r="K1383" s="13" t="str">
        <f>IFERROR(__xludf.DUMMYFUNCTION("""COMPUTED_VALUE"""),"Sweaters")</f>
        <v>Sweaters</v>
      </c>
      <c r="L1383" s="13"/>
    </row>
    <row r="1384">
      <c r="A1384" s="13">
        <f>IFERROR(__xludf.DUMMYFUNCTION("""COMPUTED_VALUE"""),1382.0)</f>
        <v>1382</v>
      </c>
      <c r="B1384" s="13">
        <f>IFERROR(__xludf.DUMMYFUNCTION("""COMPUTED_VALUE"""),1110.0)</f>
        <v>1110</v>
      </c>
      <c r="C1384" s="13">
        <f>IFERROR(__xludf.DUMMYFUNCTION("""COMPUTED_VALUE"""),49.0)</f>
        <v>49</v>
      </c>
      <c r="D1384" s="12" t="str">
        <f>IFERROR(__xludf.DUMMYFUNCTION("""COMPUTED_VALUE"""),"Lovely but armholes too revealing for me...")</f>
        <v>Lovely but armholes too revealing for me...</v>
      </c>
      <c r="E1384" s="12" t="str">
        <f>IFERROR(__xludf.DUMMYFUNCTION("""COMPUTED_VALUE"""),"Wished this had worked for me! however, i prefer smaller armholes so my bra and skin (not so young anymore) don't show. the beige lining shows at the armholes as well. on the upside, it's very slimming even with the stiff petticoat. so cute! perfect lengt"&amp;"h for me. another caveat -- if your back is not completely symmetrical, as mine isn't, the decorative back straps sit in a wonky position. i'm 98 lbs, 4' 10"", and the oop was perfect but for the above objections.")</f>
        <v>Wished this had worked for me! however, i prefer smaller armholes so my bra and skin (not so young anymore) don't show. the beige lining shows at the armholes as well. on the upside, it's very slimming even with the stiff petticoat. so cute! perfect length for me. another caveat -- if your back is not completely symmetrical, as mine isn't, the decorative back straps sit in a wonky position. i'm 98 lbs, 4' 10", and the oop was perfect but for the above objections.</v>
      </c>
      <c r="F1384" s="13">
        <f>IFERROR(__xludf.DUMMYFUNCTION("""COMPUTED_VALUE"""),4.0)</f>
        <v>4</v>
      </c>
      <c r="G1384" s="13">
        <f>IFERROR(__xludf.DUMMYFUNCTION("""COMPUTED_VALUE"""),1.0)</f>
        <v>1</v>
      </c>
      <c r="H1384" s="13">
        <f>IFERROR(__xludf.DUMMYFUNCTION("""COMPUTED_VALUE"""),7.0)</f>
        <v>7</v>
      </c>
      <c r="I1384" s="13" t="str">
        <f>IFERROR(__xludf.DUMMYFUNCTION("""COMPUTED_VALUE"""),"General Petite")</f>
        <v>General Petite</v>
      </c>
      <c r="J1384" s="13" t="str">
        <f>IFERROR(__xludf.DUMMYFUNCTION("""COMPUTED_VALUE"""),"Dresses")</f>
        <v>Dresses</v>
      </c>
      <c r="K1384" s="13" t="str">
        <f>IFERROR(__xludf.DUMMYFUNCTION("""COMPUTED_VALUE"""),"Dresses")</f>
        <v>Dresses</v>
      </c>
      <c r="L1384" s="13"/>
    </row>
    <row r="1385">
      <c r="A1385" s="13">
        <f>IFERROR(__xludf.DUMMYFUNCTION("""COMPUTED_VALUE"""),1383.0)</f>
        <v>1383</v>
      </c>
      <c r="B1385" s="13">
        <f>IFERROR(__xludf.DUMMYFUNCTION("""COMPUTED_VALUE"""),1083.0)</f>
        <v>1083</v>
      </c>
      <c r="C1385" s="13">
        <f>IFERROR(__xludf.DUMMYFUNCTION("""COMPUTED_VALUE"""),34.0)</f>
        <v>34</v>
      </c>
      <c r="D1385" s="12" t="str">
        <f>IFERROR(__xludf.DUMMYFUNCTION("""COMPUTED_VALUE"""),"Very cute everyday dress")</f>
        <v>Very cute everyday dress</v>
      </c>
      <c r="E1385" s="12" t="str">
        <f>IFERROR(__xludf.DUMMYFUNCTION("""COMPUTED_VALUE"""),"The retailer store by me only carried these in the petites, but i've learned to always snag a petite just to see because sometimes the petites fit just as well, if not better, depending on the length of the outfit!
______________
pros:
- looks exactly the"&amp;" same in person as online. color runs true.
- well made, good stitching, solid dress.
- great length in the sleeves.
- fits tts. i'm normally a size 10 or 12 and grabbed the 12p to see how it'd fit. other than being too short in length on my")</f>
        <v>The retailer store by me only carried these in the petites, but i've learned to always snag a petite just to see because sometimes the petites fit just as well, if not better, depending on the length of the outfit!
______________
pros:
- looks exactly the same in person as online. color runs true.
- well made, good stitching, solid dress.
- great length in the sleeves.
- fits tts. i'm normally a size 10 or 12 and grabbed the 12p to see how it'd fit. other than being too short in length on my</v>
      </c>
      <c r="F1385" s="13">
        <f>IFERROR(__xludf.DUMMYFUNCTION("""COMPUTED_VALUE"""),4.0)</f>
        <v>4</v>
      </c>
      <c r="G1385" s="13">
        <f>IFERROR(__xludf.DUMMYFUNCTION("""COMPUTED_VALUE"""),1.0)</f>
        <v>1</v>
      </c>
      <c r="H1385" s="13">
        <f>IFERROR(__xludf.DUMMYFUNCTION("""COMPUTED_VALUE"""),8.0)</f>
        <v>8</v>
      </c>
      <c r="I1385" s="13" t="str">
        <f>IFERROR(__xludf.DUMMYFUNCTION("""COMPUTED_VALUE"""),"General Petite")</f>
        <v>General Petite</v>
      </c>
      <c r="J1385" s="13" t="str">
        <f>IFERROR(__xludf.DUMMYFUNCTION("""COMPUTED_VALUE"""),"Dresses")</f>
        <v>Dresses</v>
      </c>
      <c r="K1385" s="13" t="str">
        <f>IFERROR(__xludf.DUMMYFUNCTION("""COMPUTED_VALUE"""),"Dresses")</f>
        <v>Dresses</v>
      </c>
      <c r="L1385" s="13"/>
    </row>
    <row r="1386">
      <c r="A1386" s="13">
        <f>IFERROR(__xludf.DUMMYFUNCTION("""COMPUTED_VALUE"""),1384.0)</f>
        <v>1384</v>
      </c>
      <c r="B1386" s="13">
        <f>IFERROR(__xludf.DUMMYFUNCTION("""COMPUTED_VALUE"""),867.0)</f>
        <v>867</v>
      </c>
      <c r="C1386" s="13">
        <f>IFERROR(__xludf.DUMMYFUNCTION("""COMPUTED_VALUE"""),62.0)</f>
        <v>62</v>
      </c>
      <c r="D1386" s="12" t="str">
        <f>IFERROR(__xludf.DUMMYFUNCTION("""COMPUTED_VALUE"""),"Simply dive-ine!")</f>
        <v>Simply dive-ine!</v>
      </c>
      <c r="E1386" s="12" t="str">
        <f>IFERROR(__xludf.DUMMYFUNCTION("""COMPUTED_VALUE"""),"Love the diving beauty version, it is charming without being too ""cutsie"" which i stay away from. the epitome of summer and that grab and go easy little statement. i find it runs true to size...you could safely size down if need be. love it! thinking of"&amp;" getting the here comes the sun too! tuck it in, tie it in the back or side or great just draping...love the little touch on the sleeve too...nice surprise!")</f>
        <v>Love the diving beauty version, it is charming without being too "cutsie" which i stay away from. the epitome of summer and that grab and go easy little statement. i find it runs true to size...you could safely size down if need be. love it! thinking of getting the here comes the sun too! tuck it in, tie it in the back or side or great just draping...love the little touch on the sleeve too...nice surprise!</v>
      </c>
      <c r="F1386" s="13">
        <f>IFERROR(__xludf.DUMMYFUNCTION("""COMPUTED_VALUE"""),5.0)</f>
        <v>5</v>
      </c>
      <c r="G1386" s="13">
        <f>IFERROR(__xludf.DUMMYFUNCTION("""COMPUTED_VALUE"""),1.0)</f>
        <v>1</v>
      </c>
      <c r="H1386" s="13">
        <f>IFERROR(__xludf.DUMMYFUNCTION("""COMPUTED_VALUE"""),2.0)</f>
        <v>2</v>
      </c>
      <c r="I1386" s="13" t="str">
        <f>IFERROR(__xludf.DUMMYFUNCTION("""COMPUTED_VALUE"""),"General")</f>
        <v>General</v>
      </c>
      <c r="J1386" s="13" t="str">
        <f>IFERROR(__xludf.DUMMYFUNCTION("""COMPUTED_VALUE"""),"Tops")</f>
        <v>Tops</v>
      </c>
      <c r="K1386" s="13" t="str">
        <f>IFERROR(__xludf.DUMMYFUNCTION("""COMPUTED_VALUE"""),"Knits")</f>
        <v>Knits</v>
      </c>
      <c r="L1386" s="13"/>
    </row>
    <row r="1387">
      <c r="A1387" s="13">
        <f>IFERROR(__xludf.DUMMYFUNCTION("""COMPUTED_VALUE"""),1385.0)</f>
        <v>1385</v>
      </c>
      <c r="B1387" s="13">
        <f>IFERROR(__xludf.DUMMYFUNCTION("""COMPUTED_VALUE"""),861.0)</f>
        <v>861</v>
      </c>
      <c r="C1387" s="13">
        <f>IFERROR(__xludf.DUMMYFUNCTION("""COMPUTED_VALUE"""),49.0)</f>
        <v>49</v>
      </c>
      <c r="D1387" s="12" t="str">
        <f>IFERROR(__xludf.DUMMYFUNCTION("""COMPUTED_VALUE"""),"A lovely piece to be worn and cherished")</f>
        <v>A lovely piece to be worn and cherished</v>
      </c>
      <c r="E1387" s="12" t="str">
        <f>IFERROR(__xludf.DUMMYFUNCTION("""COMPUTED_VALUE"""),"This is great. on the model it looks largish, but on me it doesn't. if you're curvier like me (5'10"", 155, 32e) it may be more fitted. long arms with great wrists. design is just as shown. not a sturdy piece. but not cheap looking in any way. i plan to h"&amp;"and-wash and not drop coffee down the front so i can wear it for a long time. just what i want to wear on certain days, and more colors would be great. thanks, retailer.")</f>
        <v>This is great. on the model it looks largish, but on me it doesn't. if you're curvier like me (5'10", 155, 32e) it may be more fitted. long arms with great wrists. design is just as shown. not a sturdy piece. but not cheap looking in any way. i plan to hand-wash and not drop coffee down the front so i can wear it for a long time. just what i want to wear on certain days, and more colors would be great. thanks, retailer.</v>
      </c>
      <c r="F1387" s="13">
        <f>IFERROR(__xludf.DUMMYFUNCTION("""COMPUTED_VALUE"""),5.0)</f>
        <v>5</v>
      </c>
      <c r="G1387" s="13">
        <f>IFERROR(__xludf.DUMMYFUNCTION("""COMPUTED_VALUE"""),1.0)</f>
        <v>1</v>
      </c>
      <c r="H1387" s="13">
        <f>IFERROR(__xludf.DUMMYFUNCTION("""COMPUTED_VALUE"""),13.0)</f>
        <v>13</v>
      </c>
      <c r="I1387" s="13" t="str">
        <f>IFERROR(__xludf.DUMMYFUNCTION("""COMPUTED_VALUE"""),"General")</f>
        <v>General</v>
      </c>
      <c r="J1387" s="13" t="str">
        <f>IFERROR(__xludf.DUMMYFUNCTION("""COMPUTED_VALUE"""),"Tops")</f>
        <v>Tops</v>
      </c>
      <c r="K1387" s="13" t="str">
        <f>IFERROR(__xludf.DUMMYFUNCTION("""COMPUTED_VALUE"""),"Knits")</f>
        <v>Knits</v>
      </c>
      <c r="L1387" s="13"/>
    </row>
    <row r="1388">
      <c r="A1388" s="13">
        <f>IFERROR(__xludf.DUMMYFUNCTION("""COMPUTED_VALUE"""),1386.0)</f>
        <v>1386</v>
      </c>
      <c r="B1388" s="13">
        <f>IFERROR(__xludf.DUMMYFUNCTION("""COMPUTED_VALUE"""),860.0)</f>
        <v>860</v>
      </c>
      <c r="C1388" s="13">
        <f>IFERROR(__xludf.DUMMYFUNCTION("""COMPUTED_VALUE"""),42.0)</f>
        <v>42</v>
      </c>
      <c r="D1388" s="12" t="str">
        <f>IFERROR(__xludf.DUMMYFUNCTION("""COMPUTED_VALUE"""),"Flattering tee")</f>
        <v>Flattering tee</v>
      </c>
      <c r="E1388" s="12" t="str">
        <f>IFERROR(__xludf.DUMMYFUNCTION("""COMPUTED_VALUE"""),"This is a really flattering tee for my curves. pretty lace details. i purchased the gray and ordered the wine. the pink looked more peach to me in the store. only reason for 4 stars is that the back material wrinkles easily. true to size (large) for me.")</f>
        <v>This is a really flattering tee for my curves. pretty lace details. i purchased the gray and ordered the wine. the pink looked more peach to me in the store. only reason for 4 stars is that the back material wrinkles easily. true to size (large) for me.</v>
      </c>
      <c r="F1388" s="13">
        <f>IFERROR(__xludf.DUMMYFUNCTION("""COMPUTED_VALUE"""),4.0)</f>
        <v>4</v>
      </c>
      <c r="G1388" s="13">
        <f>IFERROR(__xludf.DUMMYFUNCTION("""COMPUTED_VALUE"""),1.0)</f>
        <v>1</v>
      </c>
      <c r="H1388" s="13">
        <f>IFERROR(__xludf.DUMMYFUNCTION("""COMPUTED_VALUE"""),8.0)</f>
        <v>8</v>
      </c>
      <c r="I1388" s="13" t="str">
        <f>IFERROR(__xludf.DUMMYFUNCTION("""COMPUTED_VALUE"""),"General")</f>
        <v>General</v>
      </c>
      <c r="J1388" s="13" t="str">
        <f>IFERROR(__xludf.DUMMYFUNCTION("""COMPUTED_VALUE"""),"Tops")</f>
        <v>Tops</v>
      </c>
      <c r="K1388" s="13" t="str">
        <f>IFERROR(__xludf.DUMMYFUNCTION("""COMPUTED_VALUE"""),"Knits")</f>
        <v>Knits</v>
      </c>
      <c r="L1388" s="13"/>
    </row>
    <row r="1389">
      <c r="A1389" s="13">
        <f>IFERROR(__xludf.DUMMYFUNCTION("""COMPUTED_VALUE"""),1387.0)</f>
        <v>1387</v>
      </c>
      <c r="B1389" s="13">
        <f>IFERROR(__xludf.DUMMYFUNCTION("""COMPUTED_VALUE"""),1081.0)</f>
        <v>1081</v>
      </c>
      <c r="C1389" s="13">
        <f>IFERROR(__xludf.DUMMYFUNCTION("""COMPUTED_VALUE"""),55.0)</f>
        <v>55</v>
      </c>
      <c r="D1389" s="12" t="str">
        <f>IFERROR(__xludf.DUMMYFUNCTION("""COMPUTED_VALUE"""),"Classic")</f>
        <v>Classic</v>
      </c>
      <c r="E1389" s="12" t="str">
        <f>IFERROR(__xludf.DUMMYFUNCTION("""COMPUTED_VALUE"""),"Comfortable material, fits true to size, love the color and can wear all year round. selected this dress for a fall wedding and its a keeper!")</f>
        <v>Comfortable material, fits true to size, love the color and can wear all year round. selected this dress for a fall wedding and its a keeper!</v>
      </c>
      <c r="F1389" s="13">
        <f>IFERROR(__xludf.DUMMYFUNCTION("""COMPUTED_VALUE"""),5.0)</f>
        <v>5</v>
      </c>
      <c r="G1389" s="13">
        <f>IFERROR(__xludf.DUMMYFUNCTION("""COMPUTED_VALUE"""),1.0)</f>
        <v>1</v>
      </c>
      <c r="H1389" s="13">
        <f>IFERROR(__xludf.DUMMYFUNCTION("""COMPUTED_VALUE"""),1.0)</f>
        <v>1</v>
      </c>
      <c r="I1389" s="13" t="str">
        <f>IFERROR(__xludf.DUMMYFUNCTION("""COMPUTED_VALUE"""),"General Petite")</f>
        <v>General Petite</v>
      </c>
      <c r="J1389" s="13" t="str">
        <f>IFERROR(__xludf.DUMMYFUNCTION("""COMPUTED_VALUE"""),"Dresses")</f>
        <v>Dresses</v>
      </c>
      <c r="K1389" s="13" t="str">
        <f>IFERROR(__xludf.DUMMYFUNCTION("""COMPUTED_VALUE"""),"Dresses")</f>
        <v>Dresses</v>
      </c>
      <c r="L1389" s="13"/>
    </row>
    <row r="1390">
      <c r="A1390" s="13">
        <f>IFERROR(__xludf.DUMMYFUNCTION("""COMPUTED_VALUE"""),1388.0)</f>
        <v>1388</v>
      </c>
      <c r="B1390" s="13">
        <f>IFERROR(__xludf.DUMMYFUNCTION("""COMPUTED_VALUE"""),1110.0)</f>
        <v>1110</v>
      </c>
      <c r="C1390" s="13">
        <f>IFERROR(__xludf.DUMMYFUNCTION("""COMPUTED_VALUE"""),30.0)</f>
        <v>30</v>
      </c>
      <c r="D1390" s="12" t="str">
        <f>IFERROR(__xludf.DUMMYFUNCTION("""COMPUTED_VALUE"""),"Lovely dress")</f>
        <v>Lovely dress</v>
      </c>
      <c r="E1390" s="12" t="str">
        <f>IFERROR(__xludf.DUMMYFUNCTION("""COMPUTED_VALUE"""),"I stumbled across this dress at the store and fell in love. it's so bright and cheery but still sophisticated enough for most events. i love that the tulle that gives the skirt a slight flare and body is completely concealed. the dress is well lined and d"&amp;"arling. i am small chested so i didn't have an issue with it feeling revealing nor did the lining hang out. i purchased this for my rehearsal and rehearsal dinner for my summer wedding. i look forward to wearing the dress many times after.")</f>
        <v>I stumbled across this dress at the store and fell in love. it's so bright and cheery but still sophisticated enough for most events. i love that the tulle that gives the skirt a slight flare and body is completely concealed. the dress is well lined and darling. i am small chested so i didn't have an issue with it feeling revealing nor did the lining hang out. i purchased this for my rehearsal and rehearsal dinner for my summer wedding. i look forward to wearing the dress many times after.</v>
      </c>
      <c r="F1390" s="13">
        <f>IFERROR(__xludf.DUMMYFUNCTION("""COMPUTED_VALUE"""),5.0)</f>
        <v>5</v>
      </c>
      <c r="G1390" s="13">
        <f>IFERROR(__xludf.DUMMYFUNCTION("""COMPUTED_VALUE"""),1.0)</f>
        <v>1</v>
      </c>
      <c r="H1390" s="13">
        <f>IFERROR(__xludf.DUMMYFUNCTION("""COMPUTED_VALUE"""),1.0)</f>
        <v>1</v>
      </c>
      <c r="I1390" s="13" t="str">
        <f>IFERROR(__xludf.DUMMYFUNCTION("""COMPUTED_VALUE"""),"General Petite")</f>
        <v>General Petite</v>
      </c>
      <c r="J1390" s="13" t="str">
        <f>IFERROR(__xludf.DUMMYFUNCTION("""COMPUTED_VALUE"""),"Dresses")</f>
        <v>Dresses</v>
      </c>
      <c r="K1390" s="13" t="str">
        <f>IFERROR(__xludf.DUMMYFUNCTION("""COMPUTED_VALUE"""),"Dresses")</f>
        <v>Dresses</v>
      </c>
      <c r="L1390" s="13"/>
    </row>
    <row r="1391">
      <c r="A1391" s="13">
        <f>IFERROR(__xludf.DUMMYFUNCTION("""COMPUTED_VALUE"""),1389.0)</f>
        <v>1389</v>
      </c>
      <c r="B1391" s="13">
        <f>IFERROR(__xludf.DUMMYFUNCTION("""COMPUTED_VALUE"""),1098.0)</f>
        <v>1098</v>
      </c>
      <c r="C1391" s="13">
        <f>IFERROR(__xludf.DUMMYFUNCTION("""COMPUTED_VALUE"""),54.0)</f>
        <v>54</v>
      </c>
      <c r="D1391" s="12" t="str">
        <f>IFERROR(__xludf.DUMMYFUNCTION("""COMPUTED_VALUE"""),"Sassy maxi")</f>
        <v>Sassy maxi</v>
      </c>
      <c r="E1391" s="12" t="str">
        <f>IFERROR(__xludf.DUMMYFUNCTION("""COMPUTED_VALUE"""),"I""m not crazy about maxi dresses so when i found this fun print with fringe-it spoke my language. love this dress. feel this dress will work with many seasons. dress falls nicely and feels comfortable. i was worried it would be too long but with a 2 inch"&amp;" heel-its perfect. have paired it with some red dangled earrings that spice it just right.")</f>
        <v>I"m not crazy about maxi dresses so when i found this fun print with fringe-it spoke my language. love this dress. feel this dress will work with many seasons. dress falls nicely and feels comfortable. i was worried it would be too long but with a 2 inch heel-its perfect. have paired it with some red dangled earrings that spice it just right.</v>
      </c>
      <c r="F1391" s="13">
        <f>IFERROR(__xludf.DUMMYFUNCTION("""COMPUTED_VALUE"""),5.0)</f>
        <v>5</v>
      </c>
      <c r="G1391" s="13">
        <f>IFERROR(__xludf.DUMMYFUNCTION("""COMPUTED_VALUE"""),1.0)</f>
        <v>1</v>
      </c>
      <c r="H1391" s="13">
        <f>IFERROR(__xludf.DUMMYFUNCTION("""COMPUTED_VALUE"""),0.0)</f>
        <v>0</v>
      </c>
      <c r="I1391" s="13" t="str">
        <f>IFERROR(__xludf.DUMMYFUNCTION("""COMPUTED_VALUE"""),"General")</f>
        <v>General</v>
      </c>
      <c r="J1391" s="13" t="str">
        <f>IFERROR(__xludf.DUMMYFUNCTION("""COMPUTED_VALUE"""),"Dresses")</f>
        <v>Dresses</v>
      </c>
      <c r="K1391" s="13" t="str">
        <f>IFERROR(__xludf.DUMMYFUNCTION("""COMPUTED_VALUE"""),"Dresses")</f>
        <v>Dresses</v>
      </c>
      <c r="L1391" s="13"/>
    </row>
    <row r="1392">
      <c r="A1392" s="13">
        <f>IFERROR(__xludf.DUMMYFUNCTION("""COMPUTED_VALUE"""),1390.0)</f>
        <v>1390</v>
      </c>
      <c r="B1392" s="13">
        <f>IFERROR(__xludf.DUMMYFUNCTION("""COMPUTED_VALUE"""),1083.0)</f>
        <v>1083</v>
      </c>
      <c r="C1392" s="13">
        <f>IFERROR(__xludf.DUMMYFUNCTION("""COMPUTED_VALUE"""),38.0)</f>
        <v>38</v>
      </c>
      <c r="D1392" s="12" t="str">
        <f>IFERROR(__xludf.DUMMYFUNCTION("""COMPUTED_VALUE"""),"A poor quality dress")</f>
        <v>A poor quality dress</v>
      </c>
      <c r="E1392" s="12" t="str">
        <f>IFERROR(__xludf.DUMMYFUNCTION("""COMPUTED_VALUE"""),"For the price of this dress, i was expecting something decent. the style is cute, but nothing more. however, the type of the polyester that the dress is made of.... oh my. it is a thick unpleasant material, that will cling to a body when it is hot. i neve"&amp;"r came across an item at retailer that was made this cheaply.
the tag on the back was hanging at half and the button on the front was ready to come off before i even tried this dress on.
no need to say - it's going back asap.
you should not sel")</f>
        <v>For the price of this dress, i was expecting something decent. the style is cute, but nothing more. however, the type of the polyester that the dress is made of.... oh my. it is a thick unpleasant material, that will cling to a body when it is hot. i never came across an item at retailer that was made this cheaply.
the tag on the back was hanging at half and the button on the front was ready to come off before i even tried this dress on.
no need to say - it's going back asap.
you should not sel</v>
      </c>
      <c r="F1392" s="13">
        <f>IFERROR(__xludf.DUMMYFUNCTION("""COMPUTED_VALUE"""),2.0)</f>
        <v>2</v>
      </c>
      <c r="G1392" s="13">
        <f>IFERROR(__xludf.DUMMYFUNCTION("""COMPUTED_VALUE"""),0.0)</f>
        <v>0</v>
      </c>
      <c r="H1392" s="13">
        <f>IFERROR(__xludf.DUMMYFUNCTION("""COMPUTED_VALUE"""),4.0)</f>
        <v>4</v>
      </c>
      <c r="I1392" s="13" t="str">
        <f>IFERROR(__xludf.DUMMYFUNCTION("""COMPUTED_VALUE"""),"General Petite")</f>
        <v>General Petite</v>
      </c>
      <c r="J1392" s="13" t="str">
        <f>IFERROR(__xludf.DUMMYFUNCTION("""COMPUTED_VALUE"""),"Dresses")</f>
        <v>Dresses</v>
      </c>
      <c r="K1392" s="13" t="str">
        <f>IFERROR(__xludf.DUMMYFUNCTION("""COMPUTED_VALUE"""),"Dresses")</f>
        <v>Dresses</v>
      </c>
      <c r="L1392" s="13"/>
    </row>
    <row r="1393">
      <c r="A1393" s="13">
        <f>IFERROR(__xludf.DUMMYFUNCTION("""COMPUTED_VALUE"""),1391.0)</f>
        <v>1391</v>
      </c>
      <c r="B1393" s="13">
        <f>IFERROR(__xludf.DUMMYFUNCTION("""COMPUTED_VALUE"""),946.0)</f>
        <v>946</v>
      </c>
      <c r="C1393" s="13">
        <f>IFERROR(__xludf.DUMMYFUNCTION("""COMPUTED_VALUE"""),43.0)</f>
        <v>43</v>
      </c>
      <c r="D1393" s="12" t="str">
        <f>IFERROR(__xludf.DUMMYFUNCTION("""COMPUTED_VALUE"""),"This sweater is short in length")</f>
        <v>This sweater is short in length</v>
      </c>
      <c r="E1393" s="12" t="str">
        <f>IFERROR(__xludf.DUMMYFUNCTION("""COMPUTED_VALUE"""),"I have been wanting this sweater and decided to order. when i received it, there was no tag on the product. it was not in a typical clear bag from retailer and it wasn't packaged nicely. it came from reno, nv. most products i order do not get shipped from"&amp;" there. it is short, and i'm 5'1"". most clothes that are short fit me with no problem. this sweater might hit me at the waist, or maybe shorter. i think the color is nice and the sweater is soft but not what i wanted. i am going to return it")</f>
        <v>I have been wanting this sweater and decided to order. when i received it, there was no tag on the product. it was not in a typical clear bag from retailer and it wasn't packaged nicely. it came from reno, nv. most products i order do not get shipped from there. it is short, and i'm 5'1". most clothes that are short fit me with no problem. this sweater might hit me at the waist, or maybe shorter. i think the color is nice and the sweater is soft but not what i wanted. i am going to return it</v>
      </c>
      <c r="F1393" s="13">
        <f>IFERROR(__xludf.DUMMYFUNCTION("""COMPUTED_VALUE"""),3.0)</f>
        <v>3</v>
      </c>
      <c r="G1393" s="13">
        <f>IFERROR(__xludf.DUMMYFUNCTION("""COMPUTED_VALUE"""),0.0)</f>
        <v>0</v>
      </c>
      <c r="H1393" s="13">
        <f>IFERROR(__xludf.DUMMYFUNCTION("""COMPUTED_VALUE"""),1.0)</f>
        <v>1</v>
      </c>
      <c r="I1393" s="13" t="str">
        <f>IFERROR(__xludf.DUMMYFUNCTION("""COMPUTED_VALUE"""),"General")</f>
        <v>General</v>
      </c>
      <c r="J1393" s="13" t="str">
        <f>IFERROR(__xludf.DUMMYFUNCTION("""COMPUTED_VALUE"""),"Tops")</f>
        <v>Tops</v>
      </c>
      <c r="K1393" s="13" t="str">
        <f>IFERROR(__xludf.DUMMYFUNCTION("""COMPUTED_VALUE"""),"Sweaters")</f>
        <v>Sweaters</v>
      </c>
      <c r="L1393" s="13"/>
    </row>
    <row r="1394">
      <c r="A1394" s="13">
        <f>IFERROR(__xludf.DUMMYFUNCTION("""COMPUTED_VALUE"""),1392.0)</f>
        <v>1392</v>
      </c>
      <c r="B1394" s="13">
        <f>IFERROR(__xludf.DUMMYFUNCTION("""COMPUTED_VALUE"""),936.0)</f>
        <v>936</v>
      </c>
      <c r="C1394" s="13">
        <f>IFERROR(__xludf.DUMMYFUNCTION("""COMPUTED_VALUE"""),39.0)</f>
        <v>39</v>
      </c>
      <c r="D1394" s="12" t="str">
        <f>IFERROR(__xludf.DUMMYFUNCTION("""COMPUTED_VALUE"""),"Signature retailer sweater")</f>
        <v>Signature retailer sweater</v>
      </c>
      <c r="E1394" s="12" t="str">
        <f>IFERROR(__xludf.DUMMYFUNCTION("""COMPUTED_VALUE"""),"Fantastic signature retailer styling with this unique statement sweater. the pattern placement has a slimming look on the front and a rear enhancing look from behind. i've been using the super soft removable fur collar as a scarf and stole for my other ou"&amp;"tfits as well. the length is almost tunic on me, so it looks great with leggings and skinny jeans while buttoned up. if you choose to remove the fur collar the v-neck is very open, so i keep it unbuttoned when i style it that way. knit fabric is s")</f>
        <v>Fantastic signature retailer styling with this unique statement sweater. the pattern placement has a slimming look on the front and a rear enhancing look from behind. i've been using the super soft removable fur collar as a scarf and stole for my other outfits as well. the length is almost tunic on me, so it looks great with leggings and skinny jeans while buttoned up. if you choose to remove the fur collar the v-neck is very open, so i keep it unbuttoned when i style it that way. knit fabric is s</v>
      </c>
      <c r="F1394" s="13">
        <f>IFERROR(__xludf.DUMMYFUNCTION("""COMPUTED_VALUE"""),5.0)</f>
        <v>5</v>
      </c>
      <c r="G1394" s="13">
        <f>IFERROR(__xludf.DUMMYFUNCTION("""COMPUTED_VALUE"""),1.0)</f>
        <v>1</v>
      </c>
      <c r="H1394" s="13">
        <f>IFERROR(__xludf.DUMMYFUNCTION("""COMPUTED_VALUE"""),0.0)</f>
        <v>0</v>
      </c>
      <c r="I1394" s="13" t="str">
        <f>IFERROR(__xludf.DUMMYFUNCTION("""COMPUTED_VALUE"""),"General Petite")</f>
        <v>General Petite</v>
      </c>
      <c r="J1394" s="13" t="str">
        <f>IFERROR(__xludf.DUMMYFUNCTION("""COMPUTED_VALUE"""),"Tops")</f>
        <v>Tops</v>
      </c>
      <c r="K1394" s="13" t="str">
        <f>IFERROR(__xludf.DUMMYFUNCTION("""COMPUTED_VALUE"""),"Sweaters")</f>
        <v>Sweaters</v>
      </c>
      <c r="L1394" s="13"/>
    </row>
    <row r="1395">
      <c r="A1395" s="13">
        <f>IFERROR(__xludf.DUMMYFUNCTION("""COMPUTED_VALUE"""),1393.0)</f>
        <v>1393</v>
      </c>
      <c r="B1395" s="13">
        <f>IFERROR(__xludf.DUMMYFUNCTION("""COMPUTED_VALUE"""),1098.0)</f>
        <v>1098</v>
      </c>
      <c r="C1395" s="13">
        <f>IFERROR(__xludf.DUMMYFUNCTION("""COMPUTED_VALUE"""),26.0)</f>
        <v>26</v>
      </c>
      <c r="D1395" s="12" t="str">
        <f>IFERROR(__xludf.DUMMYFUNCTION("""COMPUTED_VALUE"""),"Beautiful and unique dress")</f>
        <v>Beautiful and unique dress</v>
      </c>
      <c r="E1395" s="12" t="str">
        <f>IFERROR(__xludf.DUMMYFUNCTION("""COMPUTED_VALUE"""),"I purchased this dress for my bridal shower and it was perfect! the details on it are amazing-delicate and lovely! i am 5'11'' and it hit just above my ankles which i loved because i could show off my shoes!")</f>
        <v>I purchased this dress for my bridal shower and it was perfect! the details on it are amazing-delicate and lovely! i am 5'11'' and it hit just above my ankles which i loved because i could show off my shoes!</v>
      </c>
      <c r="F1395" s="13">
        <f>IFERROR(__xludf.DUMMYFUNCTION("""COMPUTED_VALUE"""),5.0)</f>
        <v>5</v>
      </c>
      <c r="G1395" s="13">
        <f>IFERROR(__xludf.DUMMYFUNCTION("""COMPUTED_VALUE"""),1.0)</f>
        <v>1</v>
      </c>
      <c r="H1395" s="13">
        <f>IFERROR(__xludf.DUMMYFUNCTION("""COMPUTED_VALUE"""),0.0)</f>
        <v>0</v>
      </c>
      <c r="I1395" s="13" t="str">
        <f>IFERROR(__xludf.DUMMYFUNCTION("""COMPUTED_VALUE"""),"General")</f>
        <v>General</v>
      </c>
      <c r="J1395" s="13" t="str">
        <f>IFERROR(__xludf.DUMMYFUNCTION("""COMPUTED_VALUE"""),"Dresses")</f>
        <v>Dresses</v>
      </c>
      <c r="K1395" s="13" t="str">
        <f>IFERROR(__xludf.DUMMYFUNCTION("""COMPUTED_VALUE"""),"Dresses")</f>
        <v>Dresses</v>
      </c>
      <c r="L1395" s="13"/>
    </row>
    <row r="1396">
      <c r="A1396" s="13">
        <f>IFERROR(__xludf.DUMMYFUNCTION("""COMPUTED_VALUE"""),1394.0)</f>
        <v>1394</v>
      </c>
      <c r="B1396" s="13">
        <f>IFERROR(__xludf.DUMMYFUNCTION("""COMPUTED_VALUE"""),1081.0)</f>
        <v>1081</v>
      </c>
      <c r="C1396" s="13">
        <f>IFERROR(__xludf.DUMMYFUNCTION("""COMPUTED_VALUE"""),34.0)</f>
        <v>34</v>
      </c>
      <c r="D1396" s="12" t="str">
        <f>IFERROR(__xludf.DUMMYFUNCTION("""COMPUTED_VALUE"""),"Nice dress, fit is ok")</f>
        <v>Nice dress, fit is ok</v>
      </c>
      <c r="E1396" s="12" t="str">
        <f>IFERROR(__xludf.DUMMYFUNCTION("""COMPUTED_VALUE"""),"I love the style of this dress and the color is beautiful and very much like the photo. like previous reviewers mentioned, the top is a little loose in comparison to the bottom. i originally bought a size 4 but then exchanged it for a 2. i tend to be betw"&amp;"een those sizes. the 2 fits great on bottom but the straps are a bit loose. it might be better for bigger busted ladies!")</f>
        <v>I love the style of this dress and the color is beautiful and very much like the photo. like previous reviewers mentioned, the top is a little loose in comparison to the bottom. i originally bought a size 4 but then exchanged it for a 2. i tend to be between those sizes. the 2 fits great on bottom but the straps are a bit loose. it might be better for bigger busted ladies!</v>
      </c>
      <c r="F1396" s="13">
        <f>IFERROR(__xludf.DUMMYFUNCTION("""COMPUTED_VALUE"""),4.0)</f>
        <v>4</v>
      </c>
      <c r="G1396" s="13">
        <f>IFERROR(__xludf.DUMMYFUNCTION("""COMPUTED_VALUE"""),1.0)</f>
        <v>1</v>
      </c>
      <c r="H1396" s="13">
        <f>IFERROR(__xludf.DUMMYFUNCTION("""COMPUTED_VALUE"""),0.0)</f>
        <v>0</v>
      </c>
      <c r="I1396" s="13" t="str">
        <f>IFERROR(__xludf.DUMMYFUNCTION("""COMPUTED_VALUE"""),"General Petite")</f>
        <v>General Petite</v>
      </c>
      <c r="J1396" s="13" t="str">
        <f>IFERROR(__xludf.DUMMYFUNCTION("""COMPUTED_VALUE"""),"Dresses")</f>
        <v>Dresses</v>
      </c>
      <c r="K1396" s="13" t="str">
        <f>IFERROR(__xludf.DUMMYFUNCTION("""COMPUTED_VALUE"""),"Dresses")</f>
        <v>Dresses</v>
      </c>
      <c r="L1396" s="13"/>
    </row>
    <row r="1397">
      <c r="A1397" s="13">
        <f>IFERROR(__xludf.DUMMYFUNCTION("""COMPUTED_VALUE"""),1395.0)</f>
        <v>1395</v>
      </c>
      <c r="B1397" s="13">
        <f>IFERROR(__xludf.DUMMYFUNCTION("""COMPUTED_VALUE"""),867.0)</f>
        <v>867</v>
      </c>
      <c r="C1397" s="13">
        <f>IFERROR(__xludf.DUMMYFUNCTION("""COMPUTED_VALUE"""),65.0)</f>
        <v>65</v>
      </c>
      <c r="D1397" s="12" t="str">
        <f>IFERROR(__xludf.DUMMYFUNCTION("""COMPUTED_VALUE"""),"Really soft")</f>
        <v>Really soft</v>
      </c>
      <c r="E1397" s="12" t="str">
        <f>IFERROR(__xludf.DUMMYFUNCTION("""COMPUTED_VALUE"""),"I bought the design which has now sold out, of the sailboats and waves along the top. the t-shirt is super soft and thin. but, it's not sheer or see-through. very light and cool for hot humid summer days. has some nice stretch as well. a really gentle cot"&amp;"ton knit.
this top does run large. maybe that's so it will be cool and not stick to you? thus, i didn't size down because i don't like clothes too form-fitting on super hot days.")</f>
        <v>I bought the design which has now sold out, of the sailboats and waves along the top. the t-shirt is super soft and thin. but, it's not sheer or see-through. very light and cool for hot humid summer days. has some nice stretch as well. a really gentle cotton knit.
this top does run large. maybe that's so it will be cool and not stick to you? thus, i didn't size down because i don't like clothes too form-fitting on super hot days.</v>
      </c>
      <c r="F1397" s="13">
        <f>IFERROR(__xludf.DUMMYFUNCTION("""COMPUTED_VALUE"""),5.0)</f>
        <v>5</v>
      </c>
      <c r="G1397" s="13">
        <f>IFERROR(__xludf.DUMMYFUNCTION("""COMPUTED_VALUE"""),1.0)</f>
        <v>1</v>
      </c>
      <c r="H1397" s="13">
        <f>IFERROR(__xludf.DUMMYFUNCTION("""COMPUTED_VALUE"""),0.0)</f>
        <v>0</v>
      </c>
      <c r="I1397" s="13" t="str">
        <f>IFERROR(__xludf.DUMMYFUNCTION("""COMPUTED_VALUE"""),"General")</f>
        <v>General</v>
      </c>
      <c r="J1397" s="13" t="str">
        <f>IFERROR(__xludf.DUMMYFUNCTION("""COMPUTED_VALUE"""),"Tops")</f>
        <v>Tops</v>
      </c>
      <c r="K1397" s="13" t="str">
        <f>IFERROR(__xludf.DUMMYFUNCTION("""COMPUTED_VALUE"""),"Knits")</f>
        <v>Knits</v>
      </c>
      <c r="L1397" s="13"/>
    </row>
    <row r="1398">
      <c r="A1398" s="13">
        <f>IFERROR(__xludf.DUMMYFUNCTION("""COMPUTED_VALUE"""),1396.0)</f>
        <v>1396</v>
      </c>
      <c r="B1398" s="13">
        <f>IFERROR(__xludf.DUMMYFUNCTION("""COMPUTED_VALUE"""),1081.0)</f>
        <v>1081</v>
      </c>
      <c r="C1398" s="13">
        <f>IFERROR(__xludf.DUMMYFUNCTION("""COMPUTED_VALUE"""),36.0)</f>
        <v>36</v>
      </c>
      <c r="D1398" s="12" t="str">
        <f>IFERROR(__xludf.DUMMYFUNCTION("""COMPUTED_VALUE"""),"A little big up top")</f>
        <v>A little big up top</v>
      </c>
      <c r="E1398" s="12" t="str">
        <f>IFERROR(__xludf.DUMMYFUNCTION("""COMPUTED_VALUE"""),"Overall i really like this dress. the color is vibrant &amp; unique. the top of the dress especially the shoulder straps seem loose so i'm getting it tailored.")</f>
        <v>Overall i really like this dress. the color is vibrant &amp; unique. the top of the dress especially the shoulder straps seem loose so i'm getting it tailored.</v>
      </c>
      <c r="F1398" s="13">
        <f>IFERROR(__xludf.DUMMYFUNCTION("""COMPUTED_VALUE"""),4.0)</f>
        <v>4</v>
      </c>
      <c r="G1398" s="13">
        <f>IFERROR(__xludf.DUMMYFUNCTION("""COMPUTED_VALUE"""),1.0)</f>
        <v>1</v>
      </c>
      <c r="H1398" s="13">
        <f>IFERROR(__xludf.DUMMYFUNCTION("""COMPUTED_VALUE"""),0.0)</f>
        <v>0</v>
      </c>
      <c r="I1398" s="13" t="str">
        <f>IFERROR(__xludf.DUMMYFUNCTION("""COMPUTED_VALUE"""),"General Petite")</f>
        <v>General Petite</v>
      </c>
      <c r="J1398" s="13" t="str">
        <f>IFERROR(__xludf.DUMMYFUNCTION("""COMPUTED_VALUE"""),"Dresses")</f>
        <v>Dresses</v>
      </c>
      <c r="K1398" s="13" t="str">
        <f>IFERROR(__xludf.DUMMYFUNCTION("""COMPUTED_VALUE"""),"Dresses")</f>
        <v>Dresses</v>
      </c>
      <c r="L1398" s="13"/>
    </row>
    <row r="1399">
      <c r="A1399" s="13">
        <f>IFERROR(__xludf.DUMMYFUNCTION("""COMPUTED_VALUE"""),1397.0)</f>
        <v>1397</v>
      </c>
      <c r="B1399" s="13">
        <f>IFERROR(__xludf.DUMMYFUNCTION("""COMPUTED_VALUE"""),860.0)</f>
        <v>860</v>
      </c>
      <c r="C1399" s="13">
        <f>IFERROR(__xludf.DUMMYFUNCTION("""COMPUTED_VALUE"""),23.0)</f>
        <v>23</v>
      </c>
      <c r="D1399" s="12" t="str">
        <f>IFERROR(__xludf.DUMMYFUNCTION("""COMPUTED_VALUE"""),"Lovely lace top!")</f>
        <v>Lovely lace top!</v>
      </c>
      <c r="E1399" s="12" t="str">
        <f>IFERROR(__xludf.DUMMYFUNCTION("""COMPUTED_VALUE"""),"Bought this in green at my local store and fell in love with it! i also tried one in pink and it was a bit sheer which is why i opted for the green color instead. very nice and feminine.")</f>
        <v>Bought this in green at my local store and fell in love with it! i also tried one in pink and it was a bit sheer which is why i opted for the green color instead. very nice and feminine.</v>
      </c>
      <c r="F1399" s="13">
        <f>IFERROR(__xludf.DUMMYFUNCTION("""COMPUTED_VALUE"""),4.0)</f>
        <v>4</v>
      </c>
      <c r="G1399" s="13">
        <f>IFERROR(__xludf.DUMMYFUNCTION("""COMPUTED_VALUE"""),1.0)</f>
        <v>1</v>
      </c>
      <c r="H1399" s="13">
        <f>IFERROR(__xludf.DUMMYFUNCTION("""COMPUTED_VALUE"""),0.0)</f>
        <v>0</v>
      </c>
      <c r="I1399" s="13" t="str">
        <f>IFERROR(__xludf.DUMMYFUNCTION("""COMPUTED_VALUE"""),"General")</f>
        <v>General</v>
      </c>
      <c r="J1399" s="13" t="str">
        <f>IFERROR(__xludf.DUMMYFUNCTION("""COMPUTED_VALUE"""),"Tops")</f>
        <v>Tops</v>
      </c>
      <c r="K1399" s="13" t="str">
        <f>IFERROR(__xludf.DUMMYFUNCTION("""COMPUTED_VALUE"""),"Knits")</f>
        <v>Knits</v>
      </c>
      <c r="L1399" s="13"/>
    </row>
    <row r="1400">
      <c r="A1400" s="13">
        <f>IFERROR(__xludf.DUMMYFUNCTION("""COMPUTED_VALUE"""),1398.0)</f>
        <v>1398</v>
      </c>
      <c r="B1400" s="13">
        <f>IFERROR(__xludf.DUMMYFUNCTION("""COMPUTED_VALUE"""),1110.0)</f>
        <v>1110</v>
      </c>
      <c r="C1400" s="13">
        <f>IFERROR(__xludf.DUMMYFUNCTION("""COMPUTED_VALUE"""),43.0)</f>
        <v>43</v>
      </c>
      <c r="D1400" s="12" t="str">
        <f>IFERROR(__xludf.DUMMYFUNCTION("""COMPUTED_VALUE"""),"Skirt flares more than it looks")</f>
        <v>Skirt flares more than it looks</v>
      </c>
      <c r="E1400" s="12" t="str">
        <f>IFERROR(__xludf.DUMMYFUNCTION("""COMPUTED_VALUE"""),"Very cute dress but the skirt flares out more than it looks in the picture. this made my midsection look unflattering from the side. also, for some who is on the flat chested side, you need a good bra or alteration (at least for me). despite what i listed"&amp;" above, i kept the dress since it's a versatile dress for many occasions.")</f>
        <v>Very cute dress but the skirt flares out more than it looks in the picture. this made my midsection look unflattering from the side. also, for some who is on the flat chested side, you need a good bra or alteration (at least for me). despite what i listed above, i kept the dress since it's a versatile dress for many occasions.</v>
      </c>
      <c r="F1400" s="13">
        <f>IFERROR(__xludf.DUMMYFUNCTION("""COMPUTED_VALUE"""),4.0)</f>
        <v>4</v>
      </c>
      <c r="G1400" s="13">
        <f>IFERROR(__xludf.DUMMYFUNCTION("""COMPUTED_VALUE"""),1.0)</f>
        <v>1</v>
      </c>
      <c r="H1400" s="13">
        <f>IFERROR(__xludf.DUMMYFUNCTION("""COMPUTED_VALUE"""),2.0)</f>
        <v>2</v>
      </c>
      <c r="I1400" s="13" t="str">
        <f>IFERROR(__xludf.DUMMYFUNCTION("""COMPUTED_VALUE"""),"General")</f>
        <v>General</v>
      </c>
      <c r="J1400" s="13" t="str">
        <f>IFERROR(__xludf.DUMMYFUNCTION("""COMPUTED_VALUE"""),"Dresses")</f>
        <v>Dresses</v>
      </c>
      <c r="K1400" s="13" t="str">
        <f>IFERROR(__xludf.DUMMYFUNCTION("""COMPUTED_VALUE"""),"Dresses")</f>
        <v>Dresses</v>
      </c>
      <c r="L1400" s="13"/>
    </row>
    <row r="1401">
      <c r="A1401" s="13">
        <f>IFERROR(__xludf.DUMMYFUNCTION("""COMPUTED_VALUE"""),1399.0)</f>
        <v>1399</v>
      </c>
      <c r="B1401" s="13">
        <f>IFERROR(__xludf.DUMMYFUNCTION("""COMPUTED_VALUE"""),1110.0)</f>
        <v>1110</v>
      </c>
      <c r="C1401" s="13">
        <f>IFERROR(__xludf.DUMMYFUNCTION("""COMPUTED_VALUE"""),35.0)</f>
        <v>35</v>
      </c>
      <c r="D1401" s="12" t="str">
        <f>IFERROR(__xludf.DUMMYFUNCTION("""COMPUTED_VALUE"""),"Oh, so gorgeous")</f>
        <v>Oh, so gorgeous</v>
      </c>
      <c r="E1401" s="12" t="str">
        <f>IFERROR(__xludf.DUMMYFUNCTION("""COMPUTED_VALUE"""),"I just couldn't resist this dress! it's blue, it's fun, it's feminine. the color is so vivid and beautiful in person. i was worried that the length would be an issue (i bought a regular size instead of my normal petite), but i feel that it is perfect. it "&amp;"fits great, and i know i will wear it a lot this summer.")</f>
        <v>I just couldn't resist this dress! it's blue, it's fun, it's feminine. the color is so vivid and beautiful in person. i was worried that the length would be an issue (i bought a regular size instead of my normal petite), but i feel that it is perfect. it fits great, and i know i will wear it a lot this summer.</v>
      </c>
      <c r="F1401" s="13">
        <f>IFERROR(__xludf.DUMMYFUNCTION("""COMPUTED_VALUE"""),5.0)</f>
        <v>5</v>
      </c>
      <c r="G1401" s="13">
        <f>IFERROR(__xludf.DUMMYFUNCTION("""COMPUTED_VALUE"""),1.0)</f>
        <v>1</v>
      </c>
      <c r="H1401" s="13">
        <f>IFERROR(__xludf.DUMMYFUNCTION("""COMPUTED_VALUE"""),0.0)</f>
        <v>0</v>
      </c>
      <c r="I1401" s="13" t="str">
        <f>IFERROR(__xludf.DUMMYFUNCTION("""COMPUTED_VALUE"""),"General")</f>
        <v>General</v>
      </c>
      <c r="J1401" s="13" t="str">
        <f>IFERROR(__xludf.DUMMYFUNCTION("""COMPUTED_VALUE"""),"Dresses")</f>
        <v>Dresses</v>
      </c>
      <c r="K1401" s="13" t="str">
        <f>IFERROR(__xludf.DUMMYFUNCTION("""COMPUTED_VALUE"""),"Dresses")</f>
        <v>Dresses</v>
      </c>
      <c r="L1401" s="13"/>
    </row>
    <row r="1402">
      <c r="A1402" s="13">
        <f>IFERROR(__xludf.DUMMYFUNCTION("""COMPUTED_VALUE"""),1400.0)</f>
        <v>1400</v>
      </c>
      <c r="B1402" s="13">
        <f>IFERROR(__xludf.DUMMYFUNCTION("""COMPUTED_VALUE"""),1022.0)</f>
        <v>1022</v>
      </c>
      <c r="C1402" s="13">
        <f>IFERROR(__xludf.DUMMYFUNCTION("""COMPUTED_VALUE"""),37.0)</f>
        <v>37</v>
      </c>
      <c r="D1402" s="12" t="str">
        <f>IFERROR(__xludf.DUMMYFUNCTION("""COMPUTED_VALUE"""),"Love these jeans!")</f>
        <v>Love these jeans!</v>
      </c>
      <c r="E1402" s="12" t="str">
        <f>IFERROR(__xludf.DUMMYFUNCTION("""COMPUTED_VALUE"""),"Great fit, perfect length! so happy with these jeans. the fabric is pretty stretchy but definitely still has a denim feel. very soft - love these jeans!")</f>
        <v>Great fit, perfect length! so happy with these jeans. the fabric is pretty stretchy but definitely still has a denim feel. very soft - love these jeans!</v>
      </c>
      <c r="F1402" s="13">
        <f>IFERROR(__xludf.DUMMYFUNCTION("""COMPUTED_VALUE"""),5.0)</f>
        <v>5</v>
      </c>
      <c r="G1402" s="13">
        <f>IFERROR(__xludf.DUMMYFUNCTION("""COMPUTED_VALUE"""),1.0)</f>
        <v>1</v>
      </c>
      <c r="H1402" s="13">
        <f>IFERROR(__xludf.DUMMYFUNCTION("""COMPUTED_VALUE"""),3.0)</f>
        <v>3</v>
      </c>
      <c r="I1402" s="13" t="str">
        <f>IFERROR(__xludf.DUMMYFUNCTION("""COMPUTED_VALUE"""),"General")</f>
        <v>General</v>
      </c>
      <c r="J1402" s="13" t="str">
        <f>IFERROR(__xludf.DUMMYFUNCTION("""COMPUTED_VALUE"""),"Bottoms")</f>
        <v>Bottoms</v>
      </c>
      <c r="K1402" s="13" t="str">
        <f>IFERROR(__xludf.DUMMYFUNCTION("""COMPUTED_VALUE"""),"Jeans")</f>
        <v>Jeans</v>
      </c>
      <c r="L1402" s="13"/>
    </row>
    <row r="1403">
      <c r="A1403" s="13">
        <f>IFERROR(__xludf.DUMMYFUNCTION("""COMPUTED_VALUE"""),1401.0)</f>
        <v>1401</v>
      </c>
      <c r="B1403" s="13">
        <f>IFERROR(__xludf.DUMMYFUNCTION("""COMPUTED_VALUE"""),850.0)</f>
        <v>850</v>
      </c>
      <c r="C1403" s="13">
        <f>IFERROR(__xludf.DUMMYFUNCTION("""COMPUTED_VALUE"""),44.0)</f>
        <v>44</v>
      </c>
      <c r="D1403" s="12" t="str">
        <f>IFERROR(__xludf.DUMMYFUNCTION("""COMPUTED_VALUE"""),"Beautiful feminine blouse")</f>
        <v>Beautiful feminine blouse</v>
      </c>
      <c r="E1403" s="12" t="str">
        <f>IFERROR(__xludf.DUMMYFUNCTION("""COMPUTED_VALUE"""),"I bought this top at my local retailer in a burgundy color. it is so beautiful and feminine. i want to get it in the other color they had in the store and also this black one available on-line. i bought it in a size 6 and i am 5' 2"" , 34d. i sometimes ge"&amp;"t tops in petite but i felt the reg size fit just fine.")</f>
        <v>I bought this top at my local retailer in a burgundy color. it is so beautiful and feminine. i want to get it in the other color they had in the store and also this black one available on-line. i bought it in a size 6 and i am 5' 2" , 34d. i sometimes get tops in petite but i felt the reg size fit just fine.</v>
      </c>
      <c r="F1403" s="13">
        <f>IFERROR(__xludf.DUMMYFUNCTION("""COMPUTED_VALUE"""),5.0)</f>
        <v>5</v>
      </c>
      <c r="G1403" s="13">
        <f>IFERROR(__xludf.DUMMYFUNCTION("""COMPUTED_VALUE"""),1.0)</f>
        <v>1</v>
      </c>
      <c r="H1403" s="13">
        <f>IFERROR(__xludf.DUMMYFUNCTION("""COMPUTED_VALUE"""),21.0)</f>
        <v>21</v>
      </c>
      <c r="I1403" s="13" t="str">
        <f>IFERROR(__xludf.DUMMYFUNCTION("""COMPUTED_VALUE"""),"General")</f>
        <v>General</v>
      </c>
      <c r="J1403" s="13" t="str">
        <f>IFERROR(__xludf.DUMMYFUNCTION("""COMPUTED_VALUE"""),"Tops")</f>
        <v>Tops</v>
      </c>
      <c r="K1403" s="13" t="str">
        <f>IFERROR(__xludf.DUMMYFUNCTION("""COMPUTED_VALUE"""),"Blouses")</f>
        <v>Blouses</v>
      </c>
      <c r="L1403" s="13"/>
    </row>
    <row r="1404">
      <c r="A1404" s="13">
        <f>IFERROR(__xludf.DUMMYFUNCTION("""COMPUTED_VALUE"""),1402.0)</f>
        <v>1402</v>
      </c>
      <c r="B1404" s="13">
        <f>IFERROR(__xludf.DUMMYFUNCTION("""COMPUTED_VALUE"""),860.0)</f>
        <v>860</v>
      </c>
      <c r="C1404" s="13">
        <f>IFERROR(__xludf.DUMMYFUNCTION("""COMPUTED_VALUE"""),48.0)</f>
        <v>48</v>
      </c>
      <c r="D1404" s="12" t="str">
        <f>IFERROR(__xludf.DUMMYFUNCTION("""COMPUTED_VALUE"""),"Great detail")</f>
        <v>Great detail</v>
      </c>
      <c r="E1404" s="12" t="str">
        <f>IFERROR(__xludf.DUMMYFUNCTION("""COMPUTED_VALUE"""),"I purchased this item as a gift for my wife and she loves it. the quality for the price is great. soft and comfortable. needs to be washed with care but is worth it")</f>
        <v>I purchased this item as a gift for my wife and she loves it. the quality for the price is great. soft and comfortable. needs to be washed with care but is worth it</v>
      </c>
      <c r="F1404" s="13">
        <f>IFERROR(__xludf.DUMMYFUNCTION("""COMPUTED_VALUE"""),5.0)</f>
        <v>5</v>
      </c>
      <c r="G1404" s="13">
        <f>IFERROR(__xludf.DUMMYFUNCTION("""COMPUTED_VALUE"""),1.0)</f>
        <v>1</v>
      </c>
      <c r="H1404" s="13">
        <f>IFERROR(__xludf.DUMMYFUNCTION("""COMPUTED_VALUE"""),0.0)</f>
        <v>0</v>
      </c>
      <c r="I1404" s="13" t="str">
        <f>IFERROR(__xludf.DUMMYFUNCTION("""COMPUTED_VALUE"""),"General")</f>
        <v>General</v>
      </c>
      <c r="J1404" s="13" t="str">
        <f>IFERROR(__xludf.DUMMYFUNCTION("""COMPUTED_VALUE"""),"Tops")</f>
        <v>Tops</v>
      </c>
      <c r="K1404" s="13" t="str">
        <f>IFERROR(__xludf.DUMMYFUNCTION("""COMPUTED_VALUE"""),"Knits")</f>
        <v>Knits</v>
      </c>
      <c r="L1404" s="13"/>
    </row>
    <row r="1405">
      <c r="A1405" s="13">
        <f>IFERROR(__xludf.DUMMYFUNCTION("""COMPUTED_VALUE"""),1403.0)</f>
        <v>1403</v>
      </c>
      <c r="B1405" s="13">
        <f>IFERROR(__xludf.DUMMYFUNCTION("""COMPUTED_VALUE"""),1110.0)</f>
        <v>1110</v>
      </c>
      <c r="C1405" s="13">
        <f>IFERROR(__xludf.DUMMYFUNCTION("""COMPUTED_VALUE"""),43.0)</f>
        <v>43</v>
      </c>
      <c r="D1405" s="12" t="str">
        <f>IFERROR(__xludf.DUMMYFUNCTION("""COMPUTED_VALUE"""),"Pretty; low cut arm holes")</f>
        <v>Pretty; low cut arm holes</v>
      </c>
      <c r="E1405" s="12" t="str">
        <f>IFERROR(__xludf.DUMMYFUNCTION("""COMPUTED_VALUE"""),"Gorgeous fun dress, but the cut in the armholes (6 petite) is really low. so low even a strapless bra peeks above it. there are also lining issues (could have been with just my one choice) where the lining is not stitched well around the armholes so it sh"&amp;"ows too much. back is stunning. i would say that if you can go bra less this could be so awesome. it didn't work for my body because i have to wear a bra, but i think its a winner for someone.")</f>
        <v>Gorgeous fun dress, but the cut in the armholes (6 petite) is really low. so low even a strapless bra peeks above it. there are also lining issues (could have been with just my one choice) where the lining is not stitched well around the armholes so it shows too much. back is stunning. i would say that if you can go bra less this could be so awesome. it didn't work for my body because i have to wear a bra, but i think its a winner for someone.</v>
      </c>
      <c r="F1405" s="13">
        <f>IFERROR(__xludf.DUMMYFUNCTION("""COMPUTED_VALUE"""),3.0)</f>
        <v>3</v>
      </c>
      <c r="G1405" s="13">
        <f>IFERROR(__xludf.DUMMYFUNCTION("""COMPUTED_VALUE"""),1.0)</f>
        <v>1</v>
      </c>
      <c r="H1405" s="13">
        <f>IFERROR(__xludf.DUMMYFUNCTION("""COMPUTED_VALUE"""),5.0)</f>
        <v>5</v>
      </c>
      <c r="I1405" s="13" t="str">
        <f>IFERROR(__xludf.DUMMYFUNCTION("""COMPUTED_VALUE"""),"General")</f>
        <v>General</v>
      </c>
      <c r="J1405" s="13" t="str">
        <f>IFERROR(__xludf.DUMMYFUNCTION("""COMPUTED_VALUE"""),"Dresses")</f>
        <v>Dresses</v>
      </c>
      <c r="K1405" s="13" t="str">
        <f>IFERROR(__xludf.DUMMYFUNCTION("""COMPUTED_VALUE"""),"Dresses")</f>
        <v>Dresses</v>
      </c>
      <c r="L1405" s="13"/>
    </row>
    <row r="1406">
      <c r="A1406" s="13">
        <f>IFERROR(__xludf.DUMMYFUNCTION("""COMPUTED_VALUE"""),1404.0)</f>
        <v>1404</v>
      </c>
      <c r="B1406" s="13">
        <f>IFERROR(__xludf.DUMMYFUNCTION("""COMPUTED_VALUE"""),1074.0)</f>
        <v>1074</v>
      </c>
      <c r="C1406" s="13">
        <f>IFERROR(__xludf.DUMMYFUNCTION("""COMPUTED_VALUE"""),50.0)</f>
        <v>50</v>
      </c>
      <c r="D1406" s="12" t="str">
        <f>IFERROR(__xludf.DUMMYFUNCTION("""COMPUTED_VALUE"""),"Very pretty - runs large (busty petites rejoice 3)")</f>
        <v>Very pretty - runs large (busty petites rejoice 3)</v>
      </c>
      <c r="E1406" s="12" t="str">
        <f>IFERROR(__xludf.DUMMYFUNCTION("""COMPUTED_VALUE"""),"I kept the size 8 of the dress and had to return the 10 as it was too roomy at the arms and chest (which is great!!!). material is nice and not too much material, hangs nice (its a swing). another win!")</f>
        <v>I kept the size 8 of the dress and had to return the 10 as it was too roomy at the arms and chest (which is great!!!). material is nice and not too much material, hangs nice (its a swing). another win!</v>
      </c>
      <c r="F1406" s="13">
        <f>IFERROR(__xludf.DUMMYFUNCTION("""COMPUTED_VALUE"""),4.0)</f>
        <v>4</v>
      </c>
      <c r="G1406" s="13">
        <f>IFERROR(__xludf.DUMMYFUNCTION("""COMPUTED_VALUE"""),1.0)</f>
        <v>1</v>
      </c>
      <c r="H1406" s="13">
        <f>IFERROR(__xludf.DUMMYFUNCTION("""COMPUTED_VALUE"""),2.0)</f>
        <v>2</v>
      </c>
      <c r="I1406" s="13" t="str">
        <f>IFERROR(__xludf.DUMMYFUNCTION("""COMPUTED_VALUE"""),"General")</f>
        <v>General</v>
      </c>
      <c r="J1406" s="13" t="str">
        <f>IFERROR(__xludf.DUMMYFUNCTION("""COMPUTED_VALUE"""),"Dresses")</f>
        <v>Dresses</v>
      </c>
      <c r="K1406" s="13" t="str">
        <f>IFERROR(__xludf.DUMMYFUNCTION("""COMPUTED_VALUE"""),"Dresses")</f>
        <v>Dresses</v>
      </c>
      <c r="L1406" s="13"/>
    </row>
    <row r="1407">
      <c r="A1407" s="13">
        <f>IFERROR(__xludf.DUMMYFUNCTION("""COMPUTED_VALUE"""),1405.0)</f>
        <v>1405</v>
      </c>
      <c r="B1407" s="13">
        <f>IFERROR(__xludf.DUMMYFUNCTION("""COMPUTED_VALUE"""),1094.0)</f>
        <v>1094</v>
      </c>
      <c r="C1407" s="13">
        <f>IFERROR(__xludf.DUMMYFUNCTION("""COMPUTED_VALUE"""),37.0)</f>
        <v>37</v>
      </c>
      <c r="D1407" s="12" t="str">
        <f>IFERROR(__xludf.DUMMYFUNCTION("""COMPUTED_VALUE"""),"Love this dress!")</f>
        <v>Love this dress!</v>
      </c>
      <c r="E1407" s="12" t="str">
        <f>IFERROR(__xludf.DUMMYFUNCTION("""COMPUTED_VALUE"""),"Many compliments - great color and so comfy. most of my dresses from retailer are maeve brand, and i have never been disappointed.")</f>
        <v>Many compliments - great color and so comfy. most of my dresses from retailer are maeve brand, and i have never been disappointed.</v>
      </c>
      <c r="F1407" s="13">
        <f>IFERROR(__xludf.DUMMYFUNCTION("""COMPUTED_VALUE"""),5.0)</f>
        <v>5</v>
      </c>
      <c r="G1407" s="13">
        <f>IFERROR(__xludf.DUMMYFUNCTION("""COMPUTED_VALUE"""),1.0)</f>
        <v>1</v>
      </c>
      <c r="H1407" s="13">
        <f>IFERROR(__xludf.DUMMYFUNCTION("""COMPUTED_VALUE"""),0.0)</f>
        <v>0</v>
      </c>
      <c r="I1407" s="13" t="str">
        <f>IFERROR(__xludf.DUMMYFUNCTION("""COMPUTED_VALUE"""),"General")</f>
        <v>General</v>
      </c>
      <c r="J1407" s="13" t="str">
        <f>IFERROR(__xludf.DUMMYFUNCTION("""COMPUTED_VALUE"""),"Dresses")</f>
        <v>Dresses</v>
      </c>
      <c r="K1407" s="13" t="str">
        <f>IFERROR(__xludf.DUMMYFUNCTION("""COMPUTED_VALUE"""),"Dresses")</f>
        <v>Dresses</v>
      </c>
      <c r="L1407" s="13"/>
    </row>
    <row r="1408">
      <c r="A1408" s="13">
        <f>IFERROR(__xludf.DUMMYFUNCTION("""COMPUTED_VALUE"""),1406.0)</f>
        <v>1406</v>
      </c>
      <c r="B1408" s="13">
        <f>IFERROR(__xludf.DUMMYFUNCTION("""COMPUTED_VALUE"""),1025.0)</f>
        <v>1025</v>
      </c>
      <c r="C1408" s="13">
        <f>IFERROR(__xludf.DUMMYFUNCTION("""COMPUTED_VALUE"""),59.0)</f>
        <v>59</v>
      </c>
      <c r="D1408" s="12"/>
      <c r="E1408" s="12" t="str">
        <f>IFERROR(__xludf.DUMMYFUNCTION("""COMPUTED_VALUE"""),"Tts and very very sleek and flattering. just love for summer. nice light weight. feel great on and not saggy. nice color addition since my other favorite are lighter shade of blue.")</f>
        <v>Tts and very very sleek and flattering. just love for summer. nice light weight. feel great on and not saggy. nice color addition since my other favorite are lighter shade of blue.</v>
      </c>
      <c r="F1408" s="13">
        <f>IFERROR(__xludf.DUMMYFUNCTION("""COMPUTED_VALUE"""),5.0)</f>
        <v>5</v>
      </c>
      <c r="G1408" s="13">
        <f>IFERROR(__xludf.DUMMYFUNCTION("""COMPUTED_VALUE"""),1.0)</f>
        <v>1</v>
      </c>
      <c r="H1408" s="13">
        <f>IFERROR(__xludf.DUMMYFUNCTION("""COMPUTED_VALUE"""),1.0)</f>
        <v>1</v>
      </c>
      <c r="I1408" s="13" t="str">
        <f>IFERROR(__xludf.DUMMYFUNCTION("""COMPUTED_VALUE"""),"General Petite")</f>
        <v>General Petite</v>
      </c>
      <c r="J1408" s="13" t="str">
        <f>IFERROR(__xludf.DUMMYFUNCTION("""COMPUTED_VALUE"""),"Bottoms")</f>
        <v>Bottoms</v>
      </c>
      <c r="K1408" s="13" t="str">
        <f>IFERROR(__xludf.DUMMYFUNCTION("""COMPUTED_VALUE"""),"Jeans")</f>
        <v>Jeans</v>
      </c>
      <c r="L1408" s="13"/>
    </row>
    <row r="1409">
      <c r="A1409" s="13">
        <f>IFERROR(__xludf.DUMMYFUNCTION("""COMPUTED_VALUE"""),1407.0)</f>
        <v>1407</v>
      </c>
      <c r="B1409" s="13">
        <f>IFERROR(__xludf.DUMMYFUNCTION("""COMPUTED_VALUE"""),1094.0)</f>
        <v>1094</v>
      </c>
      <c r="C1409" s="13">
        <f>IFERROR(__xludf.DUMMYFUNCTION("""COMPUTED_VALUE"""),56.0)</f>
        <v>56</v>
      </c>
      <c r="D1409" s="12" t="str">
        <f>IFERROR(__xludf.DUMMYFUNCTION("""COMPUTED_VALUE"""),"Gorgeous turquoise color")</f>
        <v>Gorgeous turquoise color</v>
      </c>
      <c r="E1409" s="12" t="str">
        <f>IFERROR(__xludf.DUMMYFUNCTION("""COMPUTED_VALUE"""),"I really love this this dress, but i agree with the previous reviewer about the belt around the waist-it is a draped piece of fabric that is very figure flattering where it wraps, but one side of the dress has no belt and it shows muffin tops/bulges.i wou"&amp;"ld have loved this if the belt went all the way around. one other point i would like to make is that bra straps are hard to conceal. i bought this dress because of the gorgeous color, but ended up returning it because of the belt and bra strap i")</f>
        <v>I really love this this dress, but i agree with the previous reviewer about the belt around the waist-it is a draped piece of fabric that is very figure flattering where it wraps, but one side of the dress has no belt and it shows muffin tops/bulges.i would have loved this if the belt went all the way around. one other point i would like to make is that bra straps are hard to conceal. i bought this dress because of the gorgeous color, but ended up returning it because of the belt and bra strap i</v>
      </c>
      <c r="F1409" s="13">
        <f>IFERROR(__xludf.DUMMYFUNCTION("""COMPUTED_VALUE"""),5.0)</f>
        <v>5</v>
      </c>
      <c r="G1409" s="13">
        <f>IFERROR(__xludf.DUMMYFUNCTION("""COMPUTED_VALUE"""),1.0)</f>
        <v>1</v>
      </c>
      <c r="H1409" s="13">
        <f>IFERROR(__xludf.DUMMYFUNCTION("""COMPUTED_VALUE"""),19.0)</f>
        <v>19</v>
      </c>
      <c r="I1409" s="13" t="str">
        <f>IFERROR(__xludf.DUMMYFUNCTION("""COMPUTED_VALUE"""),"General")</f>
        <v>General</v>
      </c>
      <c r="J1409" s="13" t="str">
        <f>IFERROR(__xludf.DUMMYFUNCTION("""COMPUTED_VALUE"""),"Dresses")</f>
        <v>Dresses</v>
      </c>
      <c r="K1409" s="13" t="str">
        <f>IFERROR(__xludf.DUMMYFUNCTION("""COMPUTED_VALUE"""),"Dresses")</f>
        <v>Dresses</v>
      </c>
      <c r="L1409" s="13"/>
    </row>
    <row r="1410">
      <c r="A1410" s="13">
        <f>IFERROR(__xludf.DUMMYFUNCTION("""COMPUTED_VALUE"""),1408.0)</f>
        <v>1408</v>
      </c>
      <c r="B1410" s="13">
        <f>IFERROR(__xludf.DUMMYFUNCTION("""COMPUTED_VALUE"""),230.0)</f>
        <v>230</v>
      </c>
      <c r="C1410" s="13">
        <f>IFERROR(__xludf.DUMMYFUNCTION("""COMPUTED_VALUE"""),30.0)</f>
        <v>30</v>
      </c>
      <c r="D1410" s="12" t="str">
        <f>IFERROR(__xludf.DUMMYFUNCTION("""COMPUTED_VALUE"""),"Skarlett blue demi convertible bra review")</f>
        <v>Skarlett blue demi convertible bra review</v>
      </c>
      <c r="E1410" s="12" t="str">
        <f>IFERROR(__xludf.DUMMYFUNCTION("""COMPUTED_VALUE"""),"This is by far the most comfortable bra i've ever owned. i love the convertible strap feature. it's great for shirts with a back cutout.")</f>
        <v>This is by far the most comfortable bra i've ever owned. i love the convertible strap feature. it's great for shirts with a back cutout.</v>
      </c>
      <c r="F1410" s="13">
        <f>IFERROR(__xludf.DUMMYFUNCTION("""COMPUTED_VALUE"""),5.0)</f>
        <v>5</v>
      </c>
      <c r="G1410" s="13">
        <f>IFERROR(__xludf.DUMMYFUNCTION("""COMPUTED_VALUE"""),1.0)</f>
        <v>1</v>
      </c>
      <c r="H1410" s="13">
        <f>IFERROR(__xludf.DUMMYFUNCTION("""COMPUTED_VALUE"""),1.0)</f>
        <v>1</v>
      </c>
      <c r="I1410" s="13" t="str">
        <f>IFERROR(__xludf.DUMMYFUNCTION("""COMPUTED_VALUE"""),"Initmates")</f>
        <v>Initmates</v>
      </c>
      <c r="J1410" s="13" t="str">
        <f>IFERROR(__xludf.DUMMYFUNCTION("""COMPUTED_VALUE"""),"Intimate")</f>
        <v>Intimate</v>
      </c>
      <c r="K1410" s="13" t="str">
        <f>IFERROR(__xludf.DUMMYFUNCTION("""COMPUTED_VALUE"""),"Intimates")</f>
        <v>Intimates</v>
      </c>
      <c r="L1410" s="13"/>
    </row>
    <row r="1411">
      <c r="A1411" s="13">
        <f>IFERROR(__xludf.DUMMYFUNCTION("""COMPUTED_VALUE"""),1409.0)</f>
        <v>1409</v>
      </c>
      <c r="B1411" s="13">
        <f>IFERROR(__xludf.DUMMYFUNCTION("""COMPUTED_VALUE"""),837.0)</f>
        <v>837</v>
      </c>
      <c r="C1411" s="13">
        <f>IFERROR(__xludf.DUMMYFUNCTION("""COMPUTED_VALUE"""),67.0)</f>
        <v>67</v>
      </c>
      <c r="D1411" s="12" t="str">
        <f>IFERROR(__xludf.DUMMYFUNCTION("""COMPUTED_VALUE"""),"Much cuter in the picture")</f>
        <v>Much cuter in the picture</v>
      </c>
      <c r="E1411" s="12" t="str">
        <f>IFERROR(__xludf.DUMMYFUNCTION("""COMPUTED_VALUE"""),"This top runs small across the top. i was amazed at the material--polyester, i am sure--because the price was so high. it has a sheer layer underneath, which i think would make it hot in the summer. i love this kind of tank but it just did not look as goo"&amp;"d as it does online.")</f>
        <v>This top runs small across the top. i was amazed at the material--polyester, i am sure--because the price was so high. it has a sheer layer underneath, which i think would make it hot in the summer. i love this kind of tank but it just did not look as good as it does online.</v>
      </c>
      <c r="F1411" s="13">
        <f>IFERROR(__xludf.DUMMYFUNCTION("""COMPUTED_VALUE"""),3.0)</f>
        <v>3</v>
      </c>
      <c r="G1411" s="13">
        <f>IFERROR(__xludf.DUMMYFUNCTION("""COMPUTED_VALUE"""),0.0)</f>
        <v>0</v>
      </c>
      <c r="H1411" s="13">
        <f>IFERROR(__xludf.DUMMYFUNCTION("""COMPUTED_VALUE"""),6.0)</f>
        <v>6</v>
      </c>
      <c r="I1411" s="13" t="str">
        <f>IFERROR(__xludf.DUMMYFUNCTION("""COMPUTED_VALUE"""),"General")</f>
        <v>General</v>
      </c>
      <c r="J1411" s="13" t="str">
        <f>IFERROR(__xludf.DUMMYFUNCTION("""COMPUTED_VALUE"""),"Tops")</f>
        <v>Tops</v>
      </c>
      <c r="K1411" s="13" t="str">
        <f>IFERROR(__xludf.DUMMYFUNCTION("""COMPUTED_VALUE"""),"Blouses")</f>
        <v>Blouses</v>
      </c>
      <c r="L1411" s="13"/>
    </row>
    <row r="1412">
      <c r="A1412" s="13">
        <f>IFERROR(__xludf.DUMMYFUNCTION("""COMPUTED_VALUE"""),1410.0)</f>
        <v>1410</v>
      </c>
      <c r="B1412" s="13">
        <f>IFERROR(__xludf.DUMMYFUNCTION("""COMPUTED_VALUE"""),1081.0)</f>
        <v>1081</v>
      </c>
      <c r="C1412" s="13">
        <f>IFERROR(__xludf.DUMMYFUNCTION("""COMPUTED_VALUE"""),45.0)</f>
        <v>45</v>
      </c>
      <c r="D1412" s="12" t="str">
        <f>IFERROR(__xludf.DUMMYFUNCTION("""COMPUTED_VALUE"""),"Cute and comfy dress")</f>
        <v>Cute and comfy dress</v>
      </c>
      <c r="E1412" s="12" t="str">
        <f>IFERROR(__xludf.DUMMYFUNCTION("""COMPUTED_VALUE"""),"Love this dress. the fabric is super soft and flowy. be aware that the model is a tall gal.... i'm usually a size 8/10 in dresses and purchased a large. returned it for a large petite as it went way past my knees. looks funny if it is below the knee. the "&amp;"petite is perfect.")</f>
        <v>Love this dress. the fabric is super soft and flowy. be aware that the model is a tall gal.... i'm usually a size 8/10 in dresses and purchased a large. returned it for a large petite as it went way past my knees. looks funny if it is below the knee. the petite is perfect.</v>
      </c>
      <c r="F1412" s="13">
        <f>IFERROR(__xludf.DUMMYFUNCTION("""COMPUTED_VALUE"""),4.0)</f>
        <v>4</v>
      </c>
      <c r="G1412" s="13">
        <f>IFERROR(__xludf.DUMMYFUNCTION("""COMPUTED_VALUE"""),1.0)</f>
        <v>1</v>
      </c>
      <c r="H1412" s="13">
        <f>IFERROR(__xludf.DUMMYFUNCTION("""COMPUTED_VALUE"""),2.0)</f>
        <v>2</v>
      </c>
      <c r="I1412" s="13" t="str">
        <f>IFERROR(__xludf.DUMMYFUNCTION("""COMPUTED_VALUE"""),"General")</f>
        <v>General</v>
      </c>
      <c r="J1412" s="13" t="str">
        <f>IFERROR(__xludf.DUMMYFUNCTION("""COMPUTED_VALUE"""),"Dresses")</f>
        <v>Dresses</v>
      </c>
      <c r="K1412" s="13" t="str">
        <f>IFERROR(__xludf.DUMMYFUNCTION("""COMPUTED_VALUE"""),"Dresses")</f>
        <v>Dresses</v>
      </c>
      <c r="L1412" s="13"/>
    </row>
    <row r="1413">
      <c r="A1413" s="13">
        <f>IFERROR(__xludf.DUMMYFUNCTION("""COMPUTED_VALUE"""),1411.0)</f>
        <v>1411</v>
      </c>
      <c r="B1413" s="13">
        <f>IFERROR(__xludf.DUMMYFUNCTION("""COMPUTED_VALUE"""),837.0)</f>
        <v>837</v>
      </c>
      <c r="C1413" s="13">
        <f>IFERROR(__xludf.DUMMYFUNCTION("""COMPUTED_VALUE"""),44.0)</f>
        <v>44</v>
      </c>
      <c r="D1413" s="12" t="str">
        <f>IFERROR(__xludf.DUMMYFUNCTION("""COMPUTED_VALUE"""),"Adorable tank!")</f>
        <v>Adorable tank!</v>
      </c>
      <c r="E1413" s="12" t="str">
        <f>IFERROR(__xludf.DUMMYFUNCTION("""COMPUTED_VALUE"""),"I bought this tank in the blue popsicle print, and i think it's cuter in person than it is online. the beautiful pastel colors on the popsicles really stand out and make it special. i am normally a size 4-6, and the small fits me perfectly. also, i apprec"&amp;"iate that it's lined. i wore it with skinnies, and received lots of compliments. it's the perfect tank for summer!")</f>
        <v>I bought this tank in the blue popsicle print, and i think it's cuter in person than it is online. the beautiful pastel colors on the popsicles really stand out and make it special. i am normally a size 4-6, and the small fits me perfectly. also, i appreciate that it's lined. i wore it with skinnies, and received lots of compliments. it's the perfect tank for summer!</v>
      </c>
      <c r="F1413" s="13">
        <f>IFERROR(__xludf.DUMMYFUNCTION("""COMPUTED_VALUE"""),5.0)</f>
        <v>5</v>
      </c>
      <c r="G1413" s="13">
        <f>IFERROR(__xludf.DUMMYFUNCTION("""COMPUTED_VALUE"""),1.0)</f>
        <v>1</v>
      </c>
      <c r="H1413" s="13">
        <f>IFERROR(__xludf.DUMMYFUNCTION("""COMPUTED_VALUE"""),1.0)</f>
        <v>1</v>
      </c>
      <c r="I1413" s="13" t="str">
        <f>IFERROR(__xludf.DUMMYFUNCTION("""COMPUTED_VALUE"""),"General")</f>
        <v>General</v>
      </c>
      <c r="J1413" s="13" t="str">
        <f>IFERROR(__xludf.DUMMYFUNCTION("""COMPUTED_VALUE"""),"Tops")</f>
        <v>Tops</v>
      </c>
      <c r="K1413" s="13" t="str">
        <f>IFERROR(__xludf.DUMMYFUNCTION("""COMPUTED_VALUE"""),"Blouses")</f>
        <v>Blouses</v>
      </c>
      <c r="L1413" s="13"/>
    </row>
    <row r="1414">
      <c r="A1414" s="13">
        <f>IFERROR(__xludf.DUMMYFUNCTION("""COMPUTED_VALUE"""),1412.0)</f>
        <v>1412</v>
      </c>
      <c r="B1414" s="13">
        <f>IFERROR(__xludf.DUMMYFUNCTION("""COMPUTED_VALUE"""),442.0)</f>
        <v>442</v>
      </c>
      <c r="C1414" s="13">
        <f>IFERROR(__xludf.DUMMYFUNCTION("""COMPUTED_VALUE"""),32.0)</f>
        <v>32</v>
      </c>
      <c r="D1414" s="12"/>
      <c r="E1414" s="12" t="str">
        <f>IFERROR(__xludf.DUMMYFUNCTION("""COMPUTED_VALUE"""),"Very pretty but also very roomy. i'm using it as a swimsuit cover up, so it's perfect!")</f>
        <v>Very pretty but also very roomy. i'm using it as a swimsuit cover up, so it's perfect!</v>
      </c>
      <c r="F1414" s="13">
        <f>IFERROR(__xludf.DUMMYFUNCTION("""COMPUTED_VALUE"""),4.0)</f>
        <v>4</v>
      </c>
      <c r="G1414" s="13">
        <f>IFERROR(__xludf.DUMMYFUNCTION("""COMPUTED_VALUE"""),1.0)</f>
        <v>1</v>
      </c>
      <c r="H1414" s="13">
        <f>IFERROR(__xludf.DUMMYFUNCTION("""COMPUTED_VALUE"""),0.0)</f>
        <v>0</v>
      </c>
      <c r="I1414" s="13" t="str">
        <f>IFERROR(__xludf.DUMMYFUNCTION("""COMPUTED_VALUE"""),"Initmates")</f>
        <v>Initmates</v>
      </c>
      <c r="J1414" s="13" t="str">
        <f>IFERROR(__xludf.DUMMYFUNCTION("""COMPUTED_VALUE"""),"Intimate")</f>
        <v>Intimate</v>
      </c>
      <c r="K1414" s="13" t="str">
        <f>IFERROR(__xludf.DUMMYFUNCTION("""COMPUTED_VALUE"""),"Swim")</f>
        <v>Swim</v>
      </c>
      <c r="L1414" s="13"/>
    </row>
    <row r="1415">
      <c r="A1415" s="13">
        <f>IFERROR(__xludf.DUMMYFUNCTION("""COMPUTED_VALUE"""),1413.0)</f>
        <v>1413</v>
      </c>
      <c r="B1415" s="13">
        <f>IFERROR(__xludf.DUMMYFUNCTION("""COMPUTED_VALUE"""),1025.0)</f>
        <v>1025</v>
      </c>
      <c r="C1415" s="13">
        <f>IFERROR(__xludf.DUMMYFUNCTION("""COMPUTED_VALUE"""),37.0)</f>
        <v>37</v>
      </c>
      <c r="D1415" s="12" t="str">
        <f>IFERROR(__xludf.DUMMYFUNCTION("""COMPUTED_VALUE"""),"Almost")</f>
        <v>Almost</v>
      </c>
      <c r="E1415" s="12" t="str">
        <f>IFERROR(__xludf.DUMMYFUNCTION("""COMPUTED_VALUE"""),"I ordered these in my typical size, 26, and they fit everywhere perfectly except the butt. for me, i found them to be too tight in that area. i went to the store and tried on the 27 and they were too big in the waist. i do recommend them though. they are "&amp;"well made, i loved the wash and the length was perfect. being 5'3"" they came to the lower ankle and that was fine with me. give them a try, hopefully they work better for you.")</f>
        <v>I ordered these in my typical size, 26, and they fit everywhere perfectly except the butt. for me, i found them to be too tight in that area. i went to the store and tried on the 27 and they were too big in the waist. i do recommend them though. they are well made, i loved the wash and the length was perfect. being 5'3" they came to the lower ankle and that was fine with me. give them a try, hopefully they work better for you.</v>
      </c>
      <c r="F1415" s="13">
        <f>IFERROR(__xludf.DUMMYFUNCTION("""COMPUTED_VALUE"""),4.0)</f>
        <v>4</v>
      </c>
      <c r="G1415" s="13">
        <f>IFERROR(__xludf.DUMMYFUNCTION("""COMPUTED_VALUE"""),1.0)</f>
        <v>1</v>
      </c>
      <c r="H1415" s="13">
        <f>IFERROR(__xludf.DUMMYFUNCTION("""COMPUTED_VALUE"""),3.0)</f>
        <v>3</v>
      </c>
      <c r="I1415" s="13" t="str">
        <f>IFERROR(__xludf.DUMMYFUNCTION("""COMPUTED_VALUE"""),"General Petite")</f>
        <v>General Petite</v>
      </c>
      <c r="J1415" s="13" t="str">
        <f>IFERROR(__xludf.DUMMYFUNCTION("""COMPUTED_VALUE"""),"Bottoms")</f>
        <v>Bottoms</v>
      </c>
      <c r="K1415" s="13" t="str">
        <f>IFERROR(__xludf.DUMMYFUNCTION("""COMPUTED_VALUE"""),"Jeans")</f>
        <v>Jeans</v>
      </c>
      <c r="L1415" s="13"/>
    </row>
    <row r="1416">
      <c r="A1416" s="13">
        <f>IFERROR(__xludf.DUMMYFUNCTION("""COMPUTED_VALUE"""),1414.0)</f>
        <v>1414</v>
      </c>
      <c r="B1416" s="13">
        <f>IFERROR(__xludf.DUMMYFUNCTION("""COMPUTED_VALUE"""),1094.0)</f>
        <v>1094</v>
      </c>
      <c r="C1416" s="13">
        <f>IFERROR(__xludf.DUMMYFUNCTION("""COMPUTED_VALUE"""),39.0)</f>
        <v>39</v>
      </c>
      <c r="D1416" s="12" t="str">
        <f>IFERROR(__xludf.DUMMYFUNCTION("""COMPUTED_VALUE"""),"Lovely feel and color")</f>
        <v>Lovely feel and color</v>
      </c>
      <c r="E1416" s="12" t="str">
        <f>IFERROR(__xludf.DUMMYFUNCTION("""COMPUTED_VALUE"""),"I tried on the xs in the store (115 lbs, 30dd chest, short). fit: i think it is a little big, i would tend to go for a xxs petite in this for me, the length was ok, but would look more flattering in petite. also, the waist was on the looser side. the gree"&amp;"n color is amazing though, very flattering and springy/summery. the flow of the dress is also very nice. the weird thing is the belt at the waist, it starts a little off from the seam, and doesn't go all the way around, not sure if i love it or")</f>
        <v>I tried on the xs in the store (115 lbs, 30dd chest, short). fit: i think it is a little big, i would tend to go for a xxs petite in this for me, the length was ok, but would look more flattering in petite. also, the waist was on the looser side. the green color is amazing though, very flattering and springy/summery. the flow of the dress is also very nice. the weird thing is the belt at the waist, it starts a little off from the seam, and doesn't go all the way around, not sure if i love it or</v>
      </c>
      <c r="F1416" s="13">
        <f>IFERROR(__xludf.DUMMYFUNCTION("""COMPUTED_VALUE"""),4.0)</f>
        <v>4</v>
      </c>
      <c r="G1416" s="13">
        <f>IFERROR(__xludf.DUMMYFUNCTION("""COMPUTED_VALUE"""),1.0)</f>
        <v>1</v>
      </c>
      <c r="H1416" s="13">
        <f>IFERROR(__xludf.DUMMYFUNCTION("""COMPUTED_VALUE"""),24.0)</f>
        <v>24</v>
      </c>
      <c r="I1416" s="13" t="str">
        <f>IFERROR(__xludf.DUMMYFUNCTION("""COMPUTED_VALUE"""),"General")</f>
        <v>General</v>
      </c>
      <c r="J1416" s="13" t="str">
        <f>IFERROR(__xludf.DUMMYFUNCTION("""COMPUTED_VALUE"""),"Dresses")</f>
        <v>Dresses</v>
      </c>
      <c r="K1416" s="13" t="str">
        <f>IFERROR(__xludf.DUMMYFUNCTION("""COMPUTED_VALUE"""),"Dresses")</f>
        <v>Dresses</v>
      </c>
      <c r="L1416" s="13"/>
    </row>
    <row r="1417">
      <c r="A1417" s="13">
        <f>IFERROR(__xludf.DUMMYFUNCTION("""COMPUTED_VALUE"""),1415.0)</f>
        <v>1415</v>
      </c>
      <c r="B1417" s="13">
        <f>IFERROR(__xludf.DUMMYFUNCTION("""COMPUTED_VALUE"""),744.0)</f>
        <v>744</v>
      </c>
      <c r="C1417" s="13">
        <f>IFERROR(__xludf.DUMMYFUNCTION("""COMPUTED_VALUE"""),63.0)</f>
        <v>63</v>
      </c>
      <c r="D1417" s="12" t="str">
        <f>IFERROR(__xludf.DUMMYFUNCTION("""COMPUTED_VALUE"""),"Beautiful chemise!")</f>
        <v>Beautiful chemise!</v>
      </c>
      <c r="E1417" s="12" t="str">
        <f>IFERROR(__xludf.DUMMYFUNCTION("""COMPUTED_VALUE"""),"This well made chemise is figure flattering and just the right length for me (5'2""). i would wear it as a slip or a nightie. looking forward to wearing it!")</f>
        <v>This well made chemise is figure flattering and just the right length for me (5'2"). i would wear it as a slip or a nightie. looking forward to wearing it!</v>
      </c>
      <c r="F1417" s="13">
        <f>IFERROR(__xludf.DUMMYFUNCTION("""COMPUTED_VALUE"""),5.0)</f>
        <v>5</v>
      </c>
      <c r="G1417" s="13">
        <f>IFERROR(__xludf.DUMMYFUNCTION("""COMPUTED_VALUE"""),1.0)</f>
        <v>1</v>
      </c>
      <c r="H1417" s="13">
        <f>IFERROR(__xludf.DUMMYFUNCTION("""COMPUTED_VALUE"""),0.0)</f>
        <v>0</v>
      </c>
      <c r="I1417" s="13" t="str">
        <f>IFERROR(__xludf.DUMMYFUNCTION("""COMPUTED_VALUE"""),"Initmates")</f>
        <v>Initmates</v>
      </c>
      <c r="J1417" s="13" t="str">
        <f>IFERROR(__xludf.DUMMYFUNCTION("""COMPUTED_VALUE"""),"Intimate")</f>
        <v>Intimate</v>
      </c>
      <c r="K1417" s="13" t="str">
        <f>IFERROR(__xludf.DUMMYFUNCTION("""COMPUTED_VALUE"""),"Intimates")</f>
        <v>Intimates</v>
      </c>
      <c r="L1417" s="13"/>
    </row>
    <row r="1418">
      <c r="A1418" s="13">
        <f>IFERROR(__xludf.DUMMYFUNCTION("""COMPUTED_VALUE"""),1416.0)</f>
        <v>1416</v>
      </c>
      <c r="B1418" s="13">
        <f>IFERROR(__xludf.DUMMYFUNCTION("""COMPUTED_VALUE"""),1081.0)</f>
        <v>1081</v>
      </c>
      <c r="C1418" s="13">
        <f>IFERROR(__xludf.DUMMYFUNCTION("""COMPUTED_VALUE"""),54.0)</f>
        <v>54</v>
      </c>
      <c r="D1418" s="12" t="str">
        <f>IFERROR(__xludf.DUMMYFUNCTION("""COMPUTED_VALUE"""),"Wow!")</f>
        <v>Wow!</v>
      </c>
      <c r="E1418" s="12" t="str">
        <f>IFERROR(__xludf.DUMMYFUNCTION("""COMPUTED_VALUE"""),"This is just a fantastic dress! i bought it in my usual m in the blue and it fits like a glove. i love the varying lengths and the adorable sleeves and the substantial knit which feels amazing on the body without revealing any bumps and lumps :) i took th"&amp;"e regular length and found it perfect. the front hits about two inches above my knee and the rest hits a bit lower. i'm only 5""1, but i prefer dresses that hit closer to my knee than mini so the regular was perfect for me
definitely a keeper!")</f>
        <v>This is just a fantastic dress! i bought it in my usual m in the blue and it fits like a glove. i love the varying lengths and the adorable sleeves and the substantial knit which feels amazing on the body without revealing any bumps and lumps :) i took the regular length and found it perfect. the front hits about two inches above my knee and the rest hits a bit lower. i'm only 5"1, but i prefer dresses that hit closer to my knee than mini so the regular was perfect for me
definitely a keeper!</v>
      </c>
      <c r="F1418" s="13">
        <f>IFERROR(__xludf.DUMMYFUNCTION("""COMPUTED_VALUE"""),5.0)</f>
        <v>5</v>
      </c>
      <c r="G1418" s="13">
        <f>IFERROR(__xludf.DUMMYFUNCTION("""COMPUTED_VALUE"""),1.0)</f>
        <v>1</v>
      </c>
      <c r="H1418" s="13">
        <f>IFERROR(__xludf.DUMMYFUNCTION("""COMPUTED_VALUE"""),3.0)</f>
        <v>3</v>
      </c>
      <c r="I1418" s="13" t="str">
        <f>IFERROR(__xludf.DUMMYFUNCTION("""COMPUTED_VALUE"""),"General")</f>
        <v>General</v>
      </c>
      <c r="J1418" s="13" t="str">
        <f>IFERROR(__xludf.DUMMYFUNCTION("""COMPUTED_VALUE"""),"Dresses")</f>
        <v>Dresses</v>
      </c>
      <c r="K1418" s="13" t="str">
        <f>IFERROR(__xludf.DUMMYFUNCTION("""COMPUTED_VALUE"""),"Dresses")</f>
        <v>Dresses</v>
      </c>
      <c r="L1418" s="13"/>
    </row>
    <row r="1419">
      <c r="A1419" s="13">
        <f>IFERROR(__xludf.DUMMYFUNCTION("""COMPUTED_VALUE"""),1417.0)</f>
        <v>1417</v>
      </c>
      <c r="B1419" s="13">
        <f>IFERROR(__xludf.DUMMYFUNCTION("""COMPUTED_VALUE"""),1094.0)</f>
        <v>1094</v>
      </c>
      <c r="C1419" s="13">
        <f>IFERROR(__xludf.DUMMYFUNCTION("""COMPUTED_VALUE"""),40.0)</f>
        <v>40</v>
      </c>
      <c r="D1419" s="12" t="str">
        <f>IFERROR(__xludf.DUMMYFUNCTION("""COMPUTED_VALUE"""),"Perfect ease")</f>
        <v>Perfect ease</v>
      </c>
      <c r="E1419" s="12" t="str">
        <f>IFERROR(__xludf.DUMMYFUNCTION("""COMPUTED_VALUE"""),"This dress is perfection it is extremely comfortable and versatile. great for dressing up or down. i am large busted (36g) so was delighted that it stretches as this is a problem for me finding clothing to fit allover. i am petite 5""1 with a curvy figure"&amp;" and a regular medium fit great!")</f>
        <v>This dress is perfection it is extremely comfortable and versatile. great for dressing up or down. i am large busted (36g) so was delighted that it stretches as this is a problem for me finding clothing to fit allover. i am petite 5"1 with a curvy figure and a regular medium fit great!</v>
      </c>
      <c r="F1419" s="13">
        <f>IFERROR(__xludf.DUMMYFUNCTION("""COMPUTED_VALUE"""),5.0)</f>
        <v>5</v>
      </c>
      <c r="G1419" s="13">
        <f>IFERROR(__xludf.DUMMYFUNCTION("""COMPUTED_VALUE"""),1.0)</f>
        <v>1</v>
      </c>
      <c r="H1419" s="13">
        <f>IFERROR(__xludf.DUMMYFUNCTION("""COMPUTED_VALUE"""),1.0)</f>
        <v>1</v>
      </c>
      <c r="I1419" s="13" t="str">
        <f>IFERROR(__xludf.DUMMYFUNCTION("""COMPUTED_VALUE"""),"General")</f>
        <v>General</v>
      </c>
      <c r="J1419" s="13" t="str">
        <f>IFERROR(__xludf.DUMMYFUNCTION("""COMPUTED_VALUE"""),"Dresses")</f>
        <v>Dresses</v>
      </c>
      <c r="K1419" s="13" t="str">
        <f>IFERROR(__xludf.DUMMYFUNCTION("""COMPUTED_VALUE"""),"Dresses")</f>
        <v>Dresses</v>
      </c>
      <c r="L1419" s="13"/>
    </row>
    <row r="1420">
      <c r="A1420" s="13">
        <f>IFERROR(__xludf.DUMMYFUNCTION("""COMPUTED_VALUE"""),1418.0)</f>
        <v>1418</v>
      </c>
      <c r="B1420" s="13">
        <f>IFERROR(__xludf.DUMMYFUNCTION("""COMPUTED_VALUE"""),1081.0)</f>
        <v>1081</v>
      </c>
      <c r="C1420" s="13">
        <f>IFERROR(__xludf.DUMMYFUNCTION("""COMPUTED_VALUE"""),46.0)</f>
        <v>46</v>
      </c>
      <c r="D1420" s="12" t="str">
        <f>IFERROR(__xludf.DUMMYFUNCTION("""COMPUTED_VALUE"""),"Very messy t-shirt")</f>
        <v>Very messy t-shirt</v>
      </c>
      <c r="E1420" s="12" t="str">
        <f>IFERROR(__xludf.DUMMYFUNCTION("""COMPUTED_VALUE"""),"I ordered this in the ""plum"" color, which in real life just looks like a very, very dark brown. that would probably be okay, but the dress is actually about 3 inches shorter than the listed measurements. i ordered the regular length, but the shortest pa"&amp;"rt of the hem hits me only about halfway down my thigh...way, way too short. i am 5'5"", for reference. lastly, i think the fabric is just awful quality, especially for this price point. the slight texture makes it want to cling to itself - worn ou")</f>
        <v>I ordered this in the "plum" color, which in real life just looks like a very, very dark brown. that would probably be okay, but the dress is actually about 3 inches shorter than the listed measurements. i ordered the regular length, but the shortest part of the hem hits me only about halfway down my thigh...way, way too short. i am 5'5", for reference. lastly, i think the fabric is just awful quality, especially for this price point. the slight texture makes it want to cling to itself - worn ou</v>
      </c>
      <c r="F1420" s="13">
        <f>IFERROR(__xludf.DUMMYFUNCTION("""COMPUTED_VALUE"""),2.0)</f>
        <v>2</v>
      </c>
      <c r="G1420" s="13">
        <f>IFERROR(__xludf.DUMMYFUNCTION("""COMPUTED_VALUE"""),0.0)</f>
        <v>0</v>
      </c>
      <c r="H1420" s="13">
        <f>IFERROR(__xludf.DUMMYFUNCTION("""COMPUTED_VALUE"""),0.0)</f>
        <v>0</v>
      </c>
      <c r="I1420" s="13" t="str">
        <f>IFERROR(__xludf.DUMMYFUNCTION("""COMPUTED_VALUE"""),"General Petite")</f>
        <v>General Petite</v>
      </c>
      <c r="J1420" s="13" t="str">
        <f>IFERROR(__xludf.DUMMYFUNCTION("""COMPUTED_VALUE"""),"Dresses")</f>
        <v>Dresses</v>
      </c>
      <c r="K1420" s="13" t="str">
        <f>IFERROR(__xludf.DUMMYFUNCTION("""COMPUTED_VALUE"""),"Dresses")</f>
        <v>Dresses</v>
      </c>
      <c r="L1420" s="13"/>
    </row>
    <row r="1421">
      <c r="A1421" s="13">
        <f>IFERROR(__xludf.DUMMYFUNCTION("""COMPUTED_VALUE"""),1419.0)</f>
        <v>1419</v>
      </c>
      <c r="B1421" s="13">
        <f>IFERROR(__xludf.DUMMYFUNCTION("""COMPUTED_VALUE"""),837.0)</f>
        <v>837</v>
      </c>
      <c r="C1421" s="13">
        <f>IFERROR(__xludf.DUMMYFUNCTION("""COMPUTED_VALUE"""),23.0)</f>
        <v>23</v>
      </c>
      <c r="D1421" s="12" t="str">
        <f>IFERROR(__xludf.DUMMYFUNCTION("""COMPUTED_VALUE"""),"Down with drycleaning")</f>
        <v>Down with drycleaning</v>
      </c>
      <c r="E1421" s="12" t="str">
        <f>IFERROR(__xludf.DUMMYFUNCTION("""COMPUTED_VALUE"""),"The price is high and i have to dry clean this? no thanks.")</f>
        <v>The price is high and i have to dry clean this? no thanks.</v>
      </c>
      <c r="F1421" s="13">
        <f>IFERROR(__xludf.DUMMYFUNCTION("""COMPUTED_VALUE"""),2.0)</f>
        <v>2</v>
      </c>
      <c r="G1421" s="13">
        <f>IFERROR(__xludf.DUMMYFUNCTION("""COMPUTED_VALUE"""),0.0)</f>
        <v>0</v>
      </c>
      <c r="H1421" s="13">
        <f>IFERROR(__xludf.DUMMYFUNCTION("""COMPUTED_VALUE"""),0.0)</f>
        <v>0</v>
      </c>
      <c r="I1421" s="13" t="str">
        <f>IFERROR(__xludf.DUMMYFUNCTION("""COMPUTED_VALUE"""),"General")</f>
        <v>General</v>
      </c>
      <c r="J1421" s="13" t="str">
        <f>IFERROR(__xludf.DUMMYFUNCTION("""COMPUTED_VALUE"""),"Tops")</f>
        <v>Tops</v>
      </c>
      <c r="K1421" s="13" t="str">
        <f>IFERROR(__xludf.DUMMYFUNCTION("""COMPUTED_VALUE"""),"Blouses")</f>
        <v>Blouses</v>
      </c>
      <c r="L1421" s="13"/>
    </row>
    <row r="1422">
      <c r="A1422" s="13">
        <f>IFERROR(__xludf.DUMMYFUNCTION("""COMPUTED_VALUE"""),1420.0)</f>
        <v>1420</v>
      </c>
      <c r="B1422" s="13">
        <f>IFERROR(__xludf.DUMMYFUNCTION("""COMPUTED_VALUE"""),1094.0)</f>
        <v>1094</v>
      </c>
      <c r="C1422" s="13">
        <f>IFERROR(__xludf.DUMMYFUNCTION("""COMPUTED_VALUE"""),42.0)</f>
        <v>42</v>
      </c>
      <c r="D1422" s="12" t="str">
        <f>IFERROR(__xludf.DUMMYFUNCTION("""COMPUTED_VALUE"""),"Great maxi dress")</f>
        <v>Great maxi dress</v>
      </c>
      <c r="E1422" s="12" t="str">
        <f>IFERROR(__xludf.DUMMYFUNCTION("""COMPUTED_VALUE"""),"This is a great summer maxi dress. i am 5'4"" 120lbs, about a size 4 in dresses, 32dd. i got this in an extra small. i was really happy that on someone my height, it's just a few inches above my ankle, so did not shorten me at all. the straps were a good "&amp;"length, and the waist hit at the right spot. i don't think the waist detail not going all the way around is a big deal, there are the little snaps in the straps for your bra, and skirt is lined. the turquoise color is really pretty and the fabric")</f>
        <v>This is a great summer maxi dress. i am 5'4" 120lbs, about a size 4 in dresses, 32dd. i got this in an extra small. i was really happy that on someone my height, it's just a few inches above my ankle, so did not shorten me at all. the straps were a good length, and the waist hit at the right spot. i don't think the waist detail not going all the way around is a big deal, there are the little snaps in the straps for your bra, and skirt is lined. the turquoise color is really pretty and the fabric</v>
      </c>
      <c r="F1422" s="13">
        <f>IFERROR(__xludf.DUMMYFUNCTION("""COMPUTED_VALUE"""),5.0)</f>
        <v>5</v>
      </c>
      <c r="G1422" s="13">
        <f>IFERROR(__xludf.DUMMYFUNCTION("""COMPUTED_VALUE"""),1.0)</f>
        <v>1</v>
      </c>
      <c r="H1422" s="13">
        <f>IFERROR(__xludf.DUMMYFUNCTION("""COMPUTED_VALUE"""),5.0)</f>
        <v>5</v>
      </c>
      <c r="I1422" s="13" t="str">
        <f>IFERROR(__xludf.DUMMYFUNCTION("""COMPUTED_VALUE"""),"General")</f>
        <v>General</v>
      </c>
      <c r="J1422" s="13" t="str">
        <f>IFERROR(__xludf.DUMMYFUNCTION("""COMPUTED_VALUE"""),"Dresses")</f>
        <v>Dresses</v>
      </c>
      <c r="K1422" s="13" t="str">
        <f>IFERROR(__xludf.DUMMYFUNCTION("""COMPUTED_VALUE"""),"Dresses")</f>
        <v>Dresses</v>
      </c>
      <c r="L1422" s="13"/>
    </row>
    <row r="1423">
      <c r="A1423" s="13">
        <f>IFERROR(__xludf.DUMMYFUNCTION("""COMPUTED_VALUE"""),1421.0)</f>
        <v>1421</v>
      </c>
      <c r="B1423" s="13">
        <f>IFERROR(__xludf.DUMMYFUNCTION("""COMPUTED_VALUE"""),1094.0)</f>
        <v>1094</v>
      </c>
      <c r="C1423" s="13">
        <f>IFERROR(__xludf.DUMMYFUNCTION("""COMPUTED_VALUE"""),30.0)</f>
        <v>30</v>
      </c>
      <c r="D1423" s="12" t="str">
        <f>IFERROR(__xludf.DUMMYFUNCTION("""COMPUTED_VALUE"""),"Bad fit for me")</f>
        <v>Bad fit for me</v>
      </c>
      <c r="E1423" s="12" t="str">
        <f>IFERROR(__xludf.DUMMYFUNCTION("""COMPUTED_VALUE"""),"This dress had so much promise from the picture. i loved the midi length, color, and fascinating waist detail. i ordered online, so there was no way to try on before purchasing. the fit was disappointing. it fell in an unflattering manner at every point; "&amp;"a tad too low at the waist; a tad too long at the shin. just kind of saggy all around. bummed, but this is not to say it wouldn't fit someone with a different body shape better. the quality of fabric is nice, and the color is lovely.")</f>
        <v>This dress had so much promise from the picture. i loved the midi length, color, and fascinating waist detail. i ordered online, so there was no way to try on before purchasing. the fit was disappointing. it fell in an unflattering manner at every point; a tad too low at the waist; a tad too long at the shin. just kind of saggy all around. bummed, but this is not to say it wouldn't fit someone with a different body shape better. the quality of fabric is nice, and the color is lovely.</v>
      </c>
      <c r="F1423" s="13">
        <f>IFERROR(__xludf.DUMMYFUNCTION("""COMPUTED_VALUE"""),3.0)</f>
        <v>3</v>
      </c>
      <c r="G1423" s="13">
        <f>IFERROR(__xludf.DUMMYFUNCTION("""COMPUTED_VALUE"""),1.0)</f>
        <v>1</v>
      </c>
      <c r="H1423" s="13">
        <f>IFERROR(__xludf.DUMMYFUNCTION("""COMPUTED_VALUE"""),0.0)</f>
        <v>0</v>
      </c>
      <c r="I1423" s="13" t="str">
        <f>IFERROR(__xludf.DUMMYFUNCTION("""COMPUTED_VALUE"""),"General")</f>
        <v>General</v>
      </c>
      <c r="J1423" s="13" t="str">
        <f>IFERROR(__xludf.DUMMYFUNCTION("""COMPUTED_VALUE"""),"Dresses")</f>
        <v>Dresses</v>
      </c>
      <c r="K1423" s="13" t="str">
        <f>IFERROR(__xludf.DUMMYFUNCTION("""COMPUTED_VALUE"""),"Dresses")</f>
        <v>Dresses</v>
      </c>
      <c r="L1423" s="13"/>
    </row>
    <row r="1424">
      <c r="A1424" s="13">
        <f>IFERROR(__xludf.DUMMYFUNCTION("""COMPUTED_VALUE"""),1422.0)</f>
        <v>1422</v>
      </c>
      <c r="B1424" s="13">
        <f>IFERROR(__xludf.DUMMYFUNCTION("""COMPUTED_VALUE"""),1081.0)</f>
        <v>1081</v>
      </c>
      <c r="C1424" s="13">
        <f>IFERROR(__xludf.DUMMYFUNCTION("""COMPUTED_VALUE"""),29.0)</f>
        <v>29</v>
      </c>
      <c r="D1424" s="12" t="str">
        <f>IFERROR(__xludf.DUMMYFUNCTION("""COMPUTED_VALUE"""),"Comfort")</f>
        <v>Comfort</v>
      </c>
      <c r="E1424" s="12" t="str">
        <f>IFERROR(__xludf.DUMMYFUNCTION("""COMPUTED_VALUE"""),"This dress is super comfortable and the material is so soft. the fit is very flattering and will cover any imperfections if you are heavier and want to hide anything. its more fitted in the top and drapes on the body very nicely. the hem is asymmetrical a"&amp;"nd the highest part of the hem hits about 2 inches above my knee and i am 5'3.'' i will wear this with tights for work. color is very nice also.")</f>
        <v>This dress is super comfortable and the material is so soft. the fit is very flattering and will cover any imperfections if you are heavier and want to hide anything. its more fitted in the top and drapes on the body very nicely. the hem is asymmetrical and the highest part of the hem hits about 2 inches above my knee and i am 5'3.'' i will wear this with tights for work. color is very nice also.</v>
      </c>
      <c r="F1424" s="13">
        <f>IFERROR(__xludf.DUMMYFUNCTION("""COMPUTED_VALUE"""),5.0)</f>
        <v>5</v>
      </c>
      <c r="G1424" s="13">
        <f>IFERROR(__xludf.DUMMYFUNCTION("""COMPUTED_VALUE"""),1.0)</f>
        <v>1</v>
      </c>
      <c r="H1424" s="13">
        <f>IFERROR(__xludf.DUMMYFUNCTION("""COMPUTED_VALUE"""),0.0)</f>
        <v>0</v>
      </c>
      <c r="I1424" s="13" t="str">
        <f>IFERROR(__xludf.DUMMYFUNCTION("""COMPUTED_VALUE"""),"General Petite")</f>
        <v>General Petite</v>
      </c>
      <c r="J1424" s="13" t="str">
        <f>IFERROR(__xludf.DUMMYFUNCTION("""COMPUTED_VALUE"""),"Dresses")</f>
        <v>Dresses</v>
      </c>
      <c r="K1424" s="13" t="str">
        <f>IFERROR(__xludf.DUMMYFUNCTION("""COMPUTED_VALUE"""),"Dresses")</f>
        <v>Dresses</v>
      </c>
      <c r="L1424" s="13"/>
    </row>
    <row r="1425">
      <c r="A1425" s="13">
        <f>IFERROR(__xludf.DUMMYFUNCTION("""COMPUTED_VALUE"""),1423.0)</f>
        <v>1423</v>
      </c>
      <c r="B1425" s="13">
        <f>IFERROR(__xludf.DUMMYFUNCTION("""COMPUTED_VALUE"""),1081.0)</f>
        <v>1081</v>
      </c>
      <c r="C1425" s="13">
        <f>IFERROR(__xludf.DUMMYFUNCTION("""COMPUTED_VALUE"""),47.0)</f>
        <v>47</v>
      </c>
      <c r="D1425" s="12" t="str">
        <f>IFERROR(__xludf.DUMMYFUNCTION("""COMPUTED_VALUE"""),"Great dress, too short")</f>
        <v>Great dress, too short</v>
      </c>
      <c r="E1425" s="12" t="str">
        <f>IFERROR(__xludf.DUMMYFUNCTION("""COMPUTED_VALUE"""),"Dress is very pretty, but very short, almost tunic length.")</f>
        <v>Dress is very pretty, but very short, almost tunic length.</v>
      </c>
      <c r="F1425" s="13">
        <f>IFERROR(__xludf.DUMMYFUNCTION("""COMPUTED_VALUE"""),3.0)</f>
        <v>3</v>
      </c>
      <c r="G1425" s="13">
        <f>IFERROR(__xludf.DUMMYFUNCTION("""COMPUTED_VALUE"""),1.0)</f>
        <v>1</v>
      </c>
      <c r="H1425" s="13">
        <f>IFERROR(__xludf.DUMMYFUNCTION("""COMPUTED_VALUE"""),0.0)</f>
        <v>0</v>
      </c>
      <c r="I1425" s="13" t="str">
        <f>IFERROR(__xludf.DUMMYFUNCTION("""COMPUTED_VALUE"""),"General Petite")</f>
        <v>General Petite</v>
      </c>
      <c r="J1425" s="13" t="str">
        <f>IFERROR(__xludf.DUMMYFUNCTION("""COMPUTED_VALUE"""),"Dresses")</f>
        <v>Dresses</v>
      </c>
      <c r="K1425" s="13" t="str">
        <f>IFERROR(__xludf.DUMMYFUNCTION("""COMPUTED_VALUE"""),"Dresses")</f>
        <v>Dresses</v>
      </c>
      <c r="L1425" s="13"/>
    </row>
    <row r="1426">
      <c r="A1426" s="13">
        <f>IFERROR(__xludf.DUMMYFUNCTION("""COMPUTED_VALUE"""),1424.0)</f>
        <v>1424</v>
      </c>
      <c r="B1426" s="13">
        <f>IFERROR(__xludf.DUMMYFUNCTION("""COMPUTED_VALUE"""),1081.0)</f>
        <v>1081</v>
      </c>
      <c r="C1426" s="13">
        <f>IFERROR(__xludf.DUMMYFUNCTION("""COMPUTED_VALUE"""),36.0)</f>
        <v>36</v>
      </c>
      <c r="D1426" s="12" t="str">
        <f>IFERROR(__xludf.DUMMYFUNCTION("""COMPUTED_VALUE"""),"Perfect for everyone!!!!")</f>
        <v>Perfect for everyone!!!!</v>
      </c>
      <c r="E1426" s="12" t="str">
        <f>IFERROR(__xludf.DUMMYFUNCTION("""COMPUTED_VALUE"""),"I love this dress!!! it's comfortable, flattering and stylish. looks great with flats or boots - awesome with a chunky scarf and tights.")</f>
        <v>I love this dress!!! it's comfortable, flattering and stylish. looks great with flats or boots - awesome with a chunky scarf and tights.</v>
      </c>
      <c r="F1426" s="13">
        <f>IFERROR(__xludf.DUMMYFUNCTION("""COMPUTED_VALUE"""),5.0)</f>
        <v>5</v>
      </c>
      <c r="G1426" s="13">
        <f>IFERROR(__xludf.DUMMYFUNCTION("""COMPUTED_VALUE"""),1.0)</f>
        <v>1</v>
      </c>
      <c r="H1426" s="13">
        <f>IFERROR(__xludf.DUMMYFUNCTION("""COMPUTED_VALUE"""),0.0)</f>
        <v>0</v>
      </c>
      <c r="I1426" s="13" t="str">
        <f>IFERROR(__xludf.DUMMYFUNCTION("""COMPUTED_VALUE"""),"General Petite")</f>
        <v>General Petite</v>
      </c>
      <c r="J1426" s="13" t="str">
        <f>IFERROR(__xludf.DUMMYFUNCTION("""COMPUTED_VALUE"""),"Dresses")</f>
        <v>Dresses</v>
      </c>
      <c r="K1426" s="13" t="str">
        <f>IFERROR(__xludf.DUMMYFUNCTION("""COMPUTED_VALUE"""),"Dresses")</f>
        <v>Dresses</v>
      </c>
      <c r="L1426" s="13"/>
    </row>
    <row r="1427">
      <c r="A1427" s="13">
        <f>IFERROR(__xludf.DUMMYFUNCTION("""COMPUTED_VALUE"""),1425.0)</f>
        <v>1425</v>
      </c>
      <c r="B1427" s="13">
        <f>IFERROR(__xludf.DUMMYFUNCTION("""COMPUTED_VALUE"""),1081.0)</f>
        <v>1081</v>
      </c>
      <c r="C1427" s="13">
        <f>IFERROR(__xludf.DUMMYFUNCTION("""COMPUTED_VALUE"""),52.0)</f>
        <v>52</v>
      </c>
      <c r="D1427" s="12"/>
      <c r="E1427" s="12"/>
      <c r="F1427" s="13">
        <f>IFERROR(__xludf.DUMMYFUNCTION("""COMPUTED_VALUE"""),5.0)</f>
        <v>5</v>
      </c>
      <c r="G1427" s="13">
        <f>IFERROR(__xludf.DUMMYFUNCTION("""COMPUTED_VALUE"""),1.0)</f>
        <v>1</v>
      </c>
      <c r="H1427" s="13">
        <f>IFERROR(__xludf.DUMMYFUNCTION("""COMPUTED_VALUE"""),0.0)</f>
        <v>0</v>
      </c>
      <c r="I1427" s="13" t="str">
        <f>IFERROR(__xludf.DUMMYFUNCTION("""COMPUTED_VALUE"""),"General Petite")</f>
        <v>General Petite</v>
      </c>
      <c r="J1427" s="13" t="str">
        <f>IFERROR(__xludf.DUMMYFUNCTION("""COMPUTED_VALUE"""),"Dresses")</f>
        <v>Dresses</v>
      </c>
      <c r="K1427" s="13" t="str">
        <f>IFERROR(__xludf.DUMMYFUNCTION("""COMPUTED_VALUE"""),"Dresses")</f>
        <v>Dresses</v>
      </c>
      <c r="L1427" s="13"/>
    </row>
    <row r="1428">
      <c r="A1428" s="13">
        <f>IFERROR(__xludf.DUMMYFUNCTION("""COMPUTED_VALUE"""),1426.0)</f>
        <v>1426</v>
      </c>
      <c r="B1428" s="13">
        <f>IFERROR(__xludf.DUMMYFUNCTION("""COMPUTED_VALUE"""),1094.0)</f>
        <v>1094</v>
      </c>
      <c r="C1428" s="13">
        <f>IFERROR(__xludf.DUMMYFUNCTION("""COMPUTED_VALUE"""),40.0)</f>
        <v>40</v>
      </c>
      <c r="D1428" s="12" t="str">
        <f>IFERROR(__xludf.DUMMYFUNCTION("""COMPUTED_VALUE"""),"Beautiful summer dress")</f>
        <v>Beautiful summer dress</v>
      </c>
      <c r="E1428" s="12" t="str">
        <f>IFERROR(__xludf.DUMMYFUNCTION("""COMPUTED_VALUE"""),"I loved this dress on way more than i expected to - the pictures don't do it justice. the fabric is soft and is a really nice weight - heavier than i expected, which makes the dress hang in a really flattering way. the belt doesn't go all the way around, "&amp;"as other reviewers said, but i actually kind of like it that way. i almost didn't try it on based on some of the other reviews, but i'm sooooo glad i did. it's a really cute dress - will look great as is, or with a light cardigan if it's a littl")</f>
        <v>I loved this dress on way more than i expected to - the pictures don't do it justice. the fabric is soft and is a really nice weight - heavier than i expected, which makes the dress hang in a really flattering way. the belt doesn't go all the way around, as other reviewers said, but i actually kind of like it that way. i almost didn't try it on based on some of the other reviews, but i'm sooooo glad i did. it's a really cute dress - will look great as is, or with a light cardigan if it's a littl</v>
      </c>
      <c r="F1428" s="13">
        <f>IFERROR(__xludf.DUMMYFUNCTION("""COMPUTED_VALUE"""),4.0)</f>
        <v>4</v>
      </c>
      <c r="G1428" s="13">
        <f>IFERROR(__xludf.DUMMYFUNCTION("""COMPUTED_VALUE"""),1.0)</f>
        <v>1</v>
      </c>
      <c r="H1428" s="13">
        <f>IFERROR(__xludf.DUMMYFUNCTION("""COMPUTED_VALUE"""),2.0)</f>
        <v>2</v>
      </c>
      <c r="I1428" s="13" t="str">
        <f>IFERROR(__xludf.DUMMYFUNCTION("""COMPUTED_VALUE"""),"General")</f>
        <v>General</v>
      </c>
      <c r="J1428" s="13" t="str">
        <f>IFERROR(__xludf.DUMMYFUNCTION("""COMPUTED_VALUE"""),"Dresses")</f>
        <v>Dresses</v>
      </c>
      <c r="K1428" s="13" t="str">
        <f>IFERROR(__xludf.DUMMYFUNCTION("""COMPUTED_VALUE"""),"Dresses")</f>
        <v>Dresses</v>
      </c>
      <c r="L1428" s="13"/>
    </row>
    <row r="1429">
      <c r="A1429" s="13">
        <f>IFERROR(__xludf.DUMMYFUNCTION("""COMPUTED_VALUE"""),1427.0)</f>
        <v>1427</v>
      </c>
      <c r="B1429" s="13">
        <f>IFERROR(__xludf.DUMMYFUNCTION("""COMPUTED_VALUE"""),1081.0)</f>
        <v>1081</v>
      </c>
      <c r="C1429" s="13">
        <f>IFERROR(__xludf.DUMMYFUNCTION("""COMPUTED_VALUE"""),45.0)</f>
        <v>45</v>
      </c>
      <c r="D1429" s="12" t="str">
        <f>IFERROR(__xludf.DUMMYFUNCTION("""COMPUTED_VALUE"""),"Comfy, runs large")</f>
        <v>Comfy, runs large</v>
      </c>
      <c r="E1429" s="12" t="str">
        <f>IFERROR(__xludf.DUMMYFUNCTION("""COMPUTED_VALUE"""),"I like the style, but i ordered an extra small (i am5'4' 120#) and it was still too loose fitting on me, had to return, hopefully exchange for xxs")</f>
        <v>I like the style, but i ordered an extra small (i am5'4' 120#) and it was still too loose fitting on me, had to return, hopefully exchange for xxs</v>
      </c>
      <c r="F1429" s="13">
        <f>IFERROR(__xludf.DUMMYFUNCTION("""COMPUTED_VALUE"""),4.0)</f>
        <v>4</v>
      </c>
      <c r="G1429" s="13">
        <f>IFERROR(__xludf.DUMMYFUNCTION("""COMPUTED_VALUE"""),1.0)</f>
        <v>1</v>
      </c>
      <c r="H1429" s="13">
        <f>IFERROR(__xludf.DUMMYFUNCTION("""COMPUTED_VALUE"""),0.0)</f>
        <v>0</v>
      </c>
      <c r="I1429" s="13" t="str">
        <f>IFERROR(__xludf.DUMMYFUNCTION("""COMPUTED_VALUE"""),"General Petite")</f>
        <v>General Petite</v>
      </c>
      <c r="J1429" s="13" t="str">
        <f>IFERROR(__xludf.DUMMYFUNCTION("""COMPUTED_VALUE"""),"Dresses")</f>
        <v>Dresses</v>
      </c>
      <c r="K1429" s="13" t="str">
        <f>IFERROR(__xludf.DUMMYFUNCTION("""COMPUTED_VALUE"""),"Dresses")</f>
        <v>Dresses</v>
      </c>
      <c r="L1429" s="13"/>
    </row>
    <row r="1430">
      <c r="A1430" s="13">
        <f>IFERROR(__xludf.DUMMYFUNCTION("""COMPUTED_VALUE"""),1428.0)</f>
        <v>1428</v>
      </c>
      <c r="B1430" s="13">
        <f>IFERROR(__xludf.DUMMYFUNCTION("""COMPUTED_VALUE"""),1094.0)</f>
        <v>1094</v>
      </c>
      <c r="C1430" s="13">
        <f>IFERROR(__xludf.DUMMYFUNCTION("""COMPUTED_VALUE"""),36.0)</f>
        <v>36</v>
      </c>
      <c r="D1430" s="12" t="str">
        <f>IFERROR(__xludf.DUMMYFUNCTION("""COMPUTED_VALUE"""),"Super comfy dress")</f>
        <v>Super comfy dress</v>
      </c>
      <c r="E1430" s="12" t="str">
        <f>IFERROR(__xludf.DUMMYFUNCTION("""COMPUTED_VALUE"""),"I ordered a regular size xs and the length is still fine for me at 5'2"". i love the color and the fabric is super soft and comfortable. i'll get a lot of use out of it this summer and the sale price is a great bargain!")</f>
        <v>I ordered a regular size xs and the length is still fine for me at 5'2". i love the color and the fabric is super soft and comfortable. i'll get a lot of use out of it this summer and the sale price is a great bargain!</v>
      </c>
      <c r="F1430" s="13">
        <f>IFERROR(__xludf.DUMMYFUNCTION("""COMPUTED_VALUE"""),5.0)</f>
        <v>5</v>
      </c>
      <c r="G1430" s="13">
        <f>IFERROR(__xludf.DUMMYFUNCTION("""COMPUTED_VALUE"""),1.0)</f>
        <v>1</v>
      </c>
      <c r="H1430" s="13">
        <f>IFERROR(__xludf.DUMMYFUNCTION("""COMPUTED_VALUE"""),1.0)</f>
        <v>1</v>
      </c>
      <c r="I1430" s="13" t="str">
        <f>IFERROR(__xludf.DUMMYFUNCTION("""COMPUTED_VALUE"""),"General")</f>
        <v>General</v>
      </c>
      <c r="J1430" s="13" t="str">
        <f>IFERROR(__xludf.DUMMYFUNCTION("""COMPUTED_VALUE"""),"Dresses")</f>
        <v>Dresses</v>
      </c>
      <c r="K1430" s="13" t="str">
        <f>IFERROR(__xludf.DUMMYFUNCTION("""COMPUTED_VALUE"""),"Dresses")</f>
        <v>Dresses</v>
      </c>
      <c r="L1430" s="13"/>
    </row>
    <row r="1431">
      <c r="A1431" s="13">
        <f>IFERROR(__xludf.DUMMYFUNCTION("""COMPUTED_VALUE"""),1429.0)</f>
        <v>1429</v>
      </c>
      <c r="B1431" s="13">
        <f>IFERROR(__xludf.DUMMYFUNCTION("""COMPUTED_VALUE"""),1025.0)</f>
        <v>1025</v>
      </c>
      <c r="C1431" s="13">
        <f>IFERROR(__xludf.DUMMYFUNCTION("""COMPUTED_VALUE"""),34.0)</f>
        <v>34</v>
      </c>
      <c r="D1431" s="12" t="str">
        <f>IFERROR(__xludf.DUMMYFUNCTION("""COMPUTED_VALUE"""),"They keep their shape")</f>
        <v>They keep their shape</v>
      </c>
      <c r="E1431" s="12" t="str">
        <f>IFERROR(__xludf.DUMMYFUNCTION("""COMPUTED_VALUE"""),"I'm a big fan of paige jeans. these are perfect for my petite frame. at 5""3' they were ankle length. i tried my normal paige size and ultimately sized up for a better fit at the waist.")</f>
        <v>I'm a big fan of paige jeans. these are perfect for my petite frame. at 5"3' they were ankle length. i tried my normal paige size and ultimately sized up for a better fit at the waist.</v>
      </c>
      <c r="F1431" s="13">
        <f>IFERROR(__xludf.DUMMYFUNCTION("""COMPUTED_VALUE"""),4.0)</f>
        <v>4</v>
      </c>
      <c r="G1431" s="13">
        <f>IFERROR(__xludf.DUMMYFUNCTION("""COMPUTED_VALUE"""),1.0)</f>
        <v>1</v>
      </c>
      <c r="H1431" s="13">
        <f>IFERROR(__xludf.DUMMYFUNCTION("""COMPUTED_VALUE"""),2.0)</f>
        <v>2</v>
      </c>
      <c r="I1431" s="13" t="str">
        <f>IFERROR(__xludf.DUMMYFUNCTION("""COMPUTED_VALUE"""),"General Petite")</f>
        <v>General Petite</v>
      </c>
      <c r="J1431" s="13" t="str">
        <f>IFERROR(__xludf.DUMMYFUNCTION("""COMPUTED_VALUE"""),"Bottoms")</f>
        <v>Bottoms</v>
      </c>
      <c r="K1431" s="13" t="str">
        <f>IFERROR(__xludf.DUMMYFUNCTION("""COMPUTED_VALUE"""),"Jeans")</f>
        <v>Jeans</v>
      </c>
      <c r="L1431" s="13"/>
    </row>
    <row r="1432">
      <c r="A1432" s="13">
        <f>IFERROR(__xludf.DUMMYFUNCTION("""COMPUTED_VALUE"""),1430.0)</f>
        <v>1430</v>
      </c>
      <c r="B1432" s="13">
        <f>IFERROR(__xludf.DUMMYFUNCTION("""COMPUTED_VALUE"""),775.0)</f>
        <v>775</v>
      </c>
      <c r="C1432" s="13">
        <f>IFERROR(__xludf.DUMMYFUNCTION("""COMPUTED_VALUE"""),66.0)</f>
        <v>66</v>
      </c>
      <c r="D1432" s="12" t="str">
        <f>IFERROR(__xludf.DUMMYFUNCTION("""COMPUTED_VALUE"""),"Don't size up")</f>
        <v>Don't size up</v>
      </c>
      <c r="E1432" s="12" t="str">
        <f>IFERROR(__xludf.DUMMYFUNCTION("""COMPUTED_VALUE"""),"This top is oversized. i normally wear large but thought an xl would be best for sleeping. it's huge. so stick with your normal size or a size down. pretty print. fabric is a bit coarse. undecided about trying a size down because i'm particular and they d"&amp;"idn't wow me. also ordered these in the lighter color and they fit the same.")</f>
        <v>This top is oversized. i normally wear large but thought an xl would be best for sleeping. it's huge. so stick with your normal size or a size down. pretty print. fabric is a bit coarse. undecided about trying a size down because i'm particular and they didn't wow me. also ordered these in the lighter color and they fit the same.</v>
      </c>
      <c r="F1432" s="13">
        <f>IFERROR(__xludf.DUMMYFUNCTION("""COMPUTED_VALUE"""),3.0)</f>
        <v>3</v>
      </c>
      <c r="G1432" s="13">
        <f>IFERROR(__xludf.DUMMYFUNCTION("""COMPUTED_VALUE"""),1.0)</f>
        <v>1</v>
      </c>
      <c r="H1432" s="13">
        <f>IFERROR(__xludf.DUMMYFUNCTION("""COMPUTED_VALUE"""),0.0)</f>
        <v>0</v>
      </c>
      <c r="I1432" s="13" t="str">
        <f>IFERROR(__xludf.DUMMYFUNCTION("""COMPUTED_VALUE"""),"Initmates")</f>
        <v>Initmates</v>
      </c>
      <c r="J1432" s="13" t="str">
        <f>IFERROR(__xludf.DUMMYFUNCTION("""COMPUTED_VALUE"""),"Intimate")</f>
        <v>Intimate</v>
      </c>
      <c r="K1432" s="13" t="str">
        <f>IFERROR(__xludf.DUMMYFUNCTION("""COMPUTED_VALUE"""),"Sleep")</f>
        <v>Sleep</v>
      </c>
      <c r="L1432" s="13"/>
    </row>
    <row r="1433">
      <c r="A1433" s="13">
        <f>IFERROR(__xludf.DUMMYFUNCTION("""COMPUTED_VALUE"""),1431.0)</f>
        <v>1431</v>
      </c>
      <c r="B1433" s="13">
        <f>IFERROR(__xludf.DUMMYFUNCTION("""COMPUTED_VALUE"""),1081.0)</f>
        <v>1081</v>
      </c>
      <c r="C1433" s="13">
        <f>IFERROR(__xludf.DUMMYFUNCTION("""COMPUTED_VALUE"""),45.0)</f>
        <v>45</v>
      </c>
      <c r="D1433" s="12" t="str">
        <f>IFERROR(__xludf.DUMMYFUNCTION("""COMPUTED_VALUE"""),"Really cute dress, if you can do the handkerchief")</f>
        <v>Really cute dress, if you can do the handkerchief</v>
      </c>
      <c r="E1433" s="12" t="str">
        <f>IFERROR(__xludf.DUMMYFUNCTION("""COMPUTED_VALUE"""),"This is, like many reviewers stated, a very flattering and nice dress. the sleeves were particularly great, because they are slightly longer than most of this type and went past the meaty (for lack of a better word!) part of my arm, only exposing the slim"&amp;"mer bits. it looked great on me, and i imagine it would on most people. i just did not like the handkerchief hem....too young, too trendy? i don't know, when you're in your 40s, you start to feel ridiculous in certain styles! i just didn't feel")</f>
        <v>This is, like many reviewers stated, a very flattering and nice dress. the sleeves were particularly great, because they are slightly longer than most of this type and went past the meaty (for lack of a better word!) part of my arm, only exposing the slimmer bits. it looked great on me, and i imagine it would on most people. i just did not like the handkerchief hem....too young, too trendy? i don't know, when you're in your 40s, you start to feel ridiculous in certain styles! i just didn't feel</v>
      </c>
      <c r="F1433" s="13">
        <f>IFERROR(__xludf.DUMMYFUNCTION("""COMPUTED_VALUE"""),3.0)</f>
        <v>3</v>
      </c>
      <c r="G1433" s="13">
        <f>IFERROR(__xludf.DUMMYFUNCTION("""COMPUTED_VALUE"""),1.0)</f>
        <v>1</v>
      </c>
      <c r="H1433" s="13">
        <f>IFERROR(__xludf.DUMMYFUNCTION("""COMPUTED_VALUE"""),0.0)</f>
        <v>0</v>
      </c>
      <c r="I1433" s="13" t="str">
        <f>IFERROR(__xludf.DUMMYFUNCTION("""COMPUTED_VALUE"""),"General Petite")</f>
        <v>General Petite</v>
      </c>
      <c r="J1433" s="13" t="str">
        <f>IFERROR(__xludf.DUMMYFUNCTION("""COMPUTED_VALUE"""),"Dresses")</f>
        <v>Dresses</v>
      </c>
      <c r="K1433" s="13" t="str">
        <f>IFERROR(__xludf.DUMMYFUNCTION("""COMPUTED_VALUE"""),"Dresses")</f>
        <v>Dresses</v>
      </c>
      <c r="L1433" s="13"/>
    </row>
    <row r="1434">
      <c r="A1434" s="13">
        <f>IFERROR(__xludf.DUMMYFUNCTION("""COMPUTED_VALUE"""),1432.0)</f>
        <v>1432</v>
      </c>
      <c r="B1434" s="13">
        <f>IFERROR(__xludf.DUMMYFUNCTION("""COMPUTED_VALUE"""),1094.0)</f>
        <v>1094</v>
      </c>
      <c r="C1434" s="13">
        <f>IFERROR(__xludf.DUMMYFUNCTION("""COMPUTED_VALUE"""),48.0)</f>
        <v>48</v>
      </c>
      <c r="D1434" s="12" t="str">
        <f>IFERROR(__xludf.DUMMYFUNCTION("""COMPUTED_VALUE"""),"Gorgeous")</f>
        <v>Gorgeous</v>
      </c>
      <c r="E1434" s="12" t="str">
        <f>IFERROR(__xludf.DUMMYFUNCTION("""COMPUTED_VALUE"""),"I am so glad i tried this dress on. it is so chic and beautiful! perfect for an evening out or during the day. i can't believe the price!")</f>
        <v>I am so glad i tried this dress on. it is so chic and beautiful! perfect for an evening out or during the day. i can't believe the price!</v>
      </c>
      <c r="F1434" s="13">
        <f>IFERROR(__xludf.DUMMYFUNCTION("""COMPUTED_VALUE"""),5.0)</f>
        <v>5</v>
      </c>
      <c r="G1434" s="13">
        <f>IFERROR(__xludf.DUMMYFUNCTION("""COMPUTED_VALUE"""),1.0)</f>
        <v>1</v>
      </c>
      <c r="H1434" s="13">
        <f>IFERROR(__xludf.DUMMYFUNCTION("""COMPUTED_VALUE"""),0.0)</f>
        <v>0</v>
      </c>
      <c r="I1434" s="13" t="str">
        <f>IFERROR(__xludf.DUMMYFUNCTION("""COMPUTED_VALUE"""),"General")</f>
        <v>General</v>
      </c>
      <c r="J1434" s="13" t="str">
        <f>IFERROR(__xludf.DUMMYFUNCTION("""COMPUTED_VALUE"""),"Dresses")</f>
        <v>Dresses</v>
      </c>
      <c r="K1434" s="13" t="str">
        <f>IFERROR(__xludf.DUMMYFUNCTION("""COMPUTED_VALUE"""),"Dresses")</f>
        <v>Dresses</v>
      </c>
      <c r="L1434" s="13"/>
    </row>
    <row r="1435">
      <c r="A1435" s="13">
        <f>IFERROR(__xludf.DUMMYFUNCTION("""COMPUTED_VALUE"""),1433.0)</f>
        <v>1433</v>
      </c>
      <c r="B1435" s="13">
        <f>IFERROR(__xludf.DUMMYFUNCTION("""COMPUTED_VALUE"""),1094.0)</f>
        <v>1094</v>
      </c>
      <c r="C1435" s="13">
        <f>IFERROR(__xludf.DUMMYFUNCTION("""COMPUTED_VALUE"""),26.0)</f>
        <v>26</v>
      </c>
      <c r="D1435" s="12" t="str">
        <f>IFERROR(__xludf.DUMMYFUNCTION("""COMPUTED_VALUE"""),"Worst purchase ever")</f>
        <v>Worst purchase ever</v>
      </c>
      <c r="E1435" s="12" t="str">
        <f>IFERROR(__xludf.DUMMYFUNCTION("""COMPUTED_VALUE"""),"I'm a big retailer buyer- and usually love the dresses, especially the petite xs maxis. this was the worst retailer purchase i have ever made. 
it was humongous and gave me no shape. even if i purchased an xxsp it probably would be the same. i'm small bu"&amp;"t i mean come on- this would only fit a giantess-- which also makes no sense because it's the petite size. 
do not buy. i'm very upset i have to pay the $5.95 return fee since i ordered this.")</f>
        <v>I'm a big retailer buyer- and usually love the dresses, especially the petite xs maxis. this was the worst retailer purchase i have ever made. 
it was humongous and gave me no shape. even if i purchased an xxsp it probably would be the same. i'm small but i mean come on- this would only fit a giantess-- which also makes no sense because it's the petite size. 
do not buy. i'm very upset i have to pay the $5.95 return fee since i ordered this.</v>
      </c>
      <c r="F1435" s="13">
        <f>IFERROR(__xludf.DUMMYFUNCTION("""COMPUTED_VALUE"""),1.0)</f>
        <v>1</v>
      </c>
      <c r="G1435" s="13">
        <f>IFERROR(__xludf.DUMMYFUNCTION("""COMPUTED_VALUE"""),0.0)</f>
        <v>0</v>
      </c>
      <c r="H1435" s="13">
        <f>IFERROR(__xludf.DUMMYFUNCTION("""COMPUTED_VALUE"""),0.0)</f>
        <v>0</v>
      </c>
      <c r="I1435" s="13" t="str">
        <f>IFERROR(__xludf.DUMMYFUNCTION("""COMPUTED_VALUE"""),"General")</f>
        <v>General</v>
      </c>
      <c r="J1435" s="13" t="str">
        <f>IFERROR(__xludf.DUMMYFUNCTION("""COMPUTED_VALUE"""),"Dresses")</f>
        <v>Dresses</v>
      </c>
      <c r="K1435" s="13" t="str">
        <f>IFERROR(__xludf.DUMMYFUNCTION("""COMPUTED_VALUE"""),"Dresses")</f>
        <v>Dresses</v>
      </c>
      <c r="L1435" s="13"/>
    </row>
    <row r="1436">
      <c r="A1436" s="13">
        <f>IFERROR(__xludf.DUMMYFUNCTION("""COMPUTED_VALUE"""),1434.0)</f>
        <v>1434</v>
      </c>
      <c r="B1436" s="13">
        <f>IFERROR(__xludf.DUMMYFUNCTION("""COMPUTED_VALUE"""),1094.0)</f>
        <v>1094</v>
      </c>
      <c r="C1436" s="13">
        <f>IFERROR(__xludf.DUMMYFUNCTION("""COMPUTED_VALUE"""),59.0)</f>
        <v>59</v>
      </c>
      <c r="D1436" s="12" t="str">
        <f>IFERROR(__xludf.DUMMYFUNCTION("""COMPUTED_VALUE"""),"Not good quality")</f>
        <v>Not good quality</v>
      </c>
      <c r="E1436" s="12" t="str">
        <f>IFERROR(__xludf.DUMMYFUNCTION("""COMPUTED_VALUE"""),"The dress is just ok. i cannot imagine having paid full price for this. i got it for florida vacation. i put it on to wear to church first and spilled a drop of lavender oil on it and it stained!!!! cant get it out. thats punk for a dress that even on sal"&amp;"e is like. 
sending back")</f>
        <v>The dress is just ok. i cannot imagine having paid full price for this. i got it for florida vacation. i put it on to wear to church first and spilled a drop of lavender oil on it and it stained!!!! cant get it out. thats punk for a dress that even on sale is like. 
sending back</v>
      </c>
      <c r="F1436" s="13">
        <f>IFERROR(__xludf.DUMMYFUNCTION("""COMPUTED_VALUE"""),2.0)</f>
        <v>2</v>
      </c>
      <c r="G1436" s="13">
        <f>IFERROR(__xludf.DUMMYFUNCTION("""COMPUTED_VALUE"""),0.0)</f>
        <v>0</v>
      </c>
      <c r="H1436" s="13">
        <f>IFERROR(__xludf.DUMMYFUNCTION("""COMPUTED_VALUE"""),2.0)</f>
        <v>2</v>
      </c>
      <c r="I1436" s="13" t="str">
        <f>IFERROR(__xludf.DUMMYFUNCTION("""COMPUTED_VALUE"""),"General")</f>
        <v>General</v>
      </c>
      <c r="J1436" s="13" t="str">
        <f>IFERROR(__xludf.DUMMYFUNCTION("""COMPUTED_VALUE"""),"Dresses")</f>
        <v>Dresses</v>
      </c>
      <c r="K1436" s="13" t="str">
        <f>IFERROR(__xludf.DUMMYFUNCTION("""COMPUTED_VALUE"""),"Dresses")</f>
        <v>Dresses</v>
      </c>
      <c r="L1436" s="13"/>
    </row>
    <row r="1437">
      <c r="A1437" s="13">
        <f>IFERROR(__xludf.DUMMYFUNCTION("""COMPUTED_VALUE"""),1435.0)</f>
        <v>1435</v>
      </c>
      <c r="B1437" s="13">
        <f>IFERROR(__xludf.DUMMYFUNCTION("""COMPUTED_VALUE"""),1094.0)</f>
        <v>1094</v>
      </c>
      <c r="C1437" s="13">
        <f>IFERROR(__xludf.DUMMYFUNCTION("""COMPUTED_VALUE"""),33.0)</f>
        <v>33</v>
      </c>
      <c r="D1437" s="12" t="str">
        <f>IFERROR(__xludf.DUMMYFUNCTION("""COMPUTED_VALUE"""),"Great summer dress")</f>
        <v>Great summer dress</v>
      </c>
      <c r="E1437" s="12" t="str">
        <f>IFERROR(__xludf.DUMMYFUNCTION("""COMPUTED_VALUE"""),"I tried this on in store and was very close to purchasing, but ultimately decided against it because it was too in between causal and dressy to me. i couldn't imagine where i would wear the dress. it was great quality and the green color was very pretty o"&amp;"n. you could find a way to wear a bra with the dress.")</f>
        <v>I tried this on in store and was very close to purchasing, but ultimately decided against it because it was too in between causal and dressy to me. i couldn't imagine where i would wear the dress. it was great quality and the green color was very pretty on. you could find a way to wear a bra with the dress.</v>
      </c>
      <c r="F1437" s="13">
        <f>IFERROR(__xludf.DUMMYFUNCTION("""COMPUTED_VALUE"""),4.0)</f>
        <v>4</v>
      </c>
      <c r="G1437" s="13">
        <f>IFERROR(__xludf.DUMMYFUNCTION("""COMPUTED_VALUE"""),1.0)</f>
        <v>1</v>
      </c>
      <c r="H1437" s="13">
        <f>IFERROR(__xludf.DUMMYFUNCTION("""COMPUTED_VALUE"""),0.0)</f>
        <v>0</v>
      </c>
      <c r="I1437" s="13" t="str">
        <f>IFERROR(__xludf.DUMMYFUNCTION("""COMPUTED_VALUE"""),"General")</f>
        <v>General</v>
      </c>
      <c r="J1437" s="13" t="str">
        <f>IFERROR(__xludf.DUMMYFUNCTION("""COMPUTED_VALUE"""),"Dresses")</f>
        <v>Dresses</v>
      </c>
      <c r="K1437" s="13" t="str">
        <f>IFERROR(__xludf.DUMMYFUNCTION("""COMPUTED_VALUE"""),"Dresses")</f>
        <v>Dresses</v>
      </c>
      <c r="L1437" s="13"/>
    </row>
    <row r="1438">
      <c r="A1438" s="13">
        <f>IFERROR(__xludf.DUMMYFUNCTION("""COMPUTED_VALUE"""),1436.0)</f>
        <v>1436</v>
      </c>
      <c r="B1438" s="13">
        <f>IFERROR(__xludf.DUMMYFUNCTION("""COMPUTED_VALUE"""),442.0)</f>
        <v>442</v>
      </c>
      <c r="C1438" s="13">
        <f>IFERROR(__xludf.DUMMYFUNCTION("""COMPUTED_VALUE"""),53.0)</f>
        <v>53</v>
      </c>
      <c r="D1438" s="12" t="str">
        <f>IFERROR(__xludf.DUMMYFUNCTION("""COMPUTED_VALUE"""),"Summer and spring go to tunic")</f>
        <v>Summer and spring go to tunic</v>
      </c>
      <c r="E1438" s="12" t="str">
        <f>IFERROR(__xludf.DUMMYFUNCTION("""COMPUTED_VALUE"""),"I love this! i will sport it in the spring with white capris/ leggings and awesome for a beach cover-up! the fit is comfy the embroidery gives it a feminine touch. i purchased the large but could've gotten away with a slender fit in medium. i am 5'4 170 l"&amp;"bs.")</f>
        <v>I love this! i will sport it in the spring with white capris/ leggings and awesome for a beach cover-up! the fit is comfy the embroidery gives it a feminine touch. i purchased the large but could've gotten away with a slender fit in medium. i am 5'4 170 lbs.</v>
      </c>
      <c r="F1438" s="13">
        <f>IFERROR(__xludf.DUMMYFUNCTION("""COMPUTED_VALUE"""),5.0)</f>
        <v>5</v>
      </c>
      <c r="G1438" s="13">
        <f>IFERROR(__xludf.DUMMYFUNCTION("""COMPUTED_VALUE"""),1.0)</f>
        <v>1</v>
      </c>
      <c r="H1438" s="13">
        <f>IFERROR(__xludf.DUMMYFUNCTION("""COMPUTED_VALUE"""),1.0)</f>
        <v>1</v>
      </c>
      <c r="I1438" s="13" t="str">
        <f>IFERROR(__xludf.DUMMYFUNCTION("""COMPUTED_VALUE"""),"Initmates")</f>
        <v>Initmates</v>
      </c>
      <c r="J1438" s="13" t="str">
        <f>IFERROR(__xludf.DUMMYFUNCTION("""COMPUTED_VALUE"""),"Intimate")</f>
        <v>Intimate</v>
      </c>
      <c r="K1438" s="13" t="str">
        <f>IFERROR(__xludf.DUMMYFUNCTION("""COMPUTED_VALUE"""),"Swim")</f>
        <v>Swim</v>
      </c>
      <c r="L1438" s="13"/>
    </row>
    <row r="1439">
      <c r="A1439" s="13">
        <f>IFERROR(__xludf.DUMMYFUNCTION("""COMPUTED_VALUE"""),1437.0)</f>
        <v>1437</v>
      </c>
      <c r="B1439" s="13">
        <f>IFERROR(__xludf.DUMMYFUNCTION("""COMPUTED_VALUE"""),1081.0)</f>
        <v>1081</v>
      </c>
      <c r="C1439" s="13">
        <f>IFERROR(__xludf.DUMMYFUNCTION("""COMPUTED_VALUE"""),52.0)</f>
        <v>52</v>
      </c>
      <c r="D1439" s="12" t="str">
        <f>IFERROR(__xludf.DUMMYFUNCTION("""COMPUTED_VALUE"""),"Great style")</f>
        <v>Great style</v>
      </c>
      <c r="E1439" s="12" t="str">
        <f>IFERROR(__xludf.DUMMYFUNCTION("""COMPUTED_VALUE"""),"I loved this dress and purchased it in my usual m. however, i agree with another reviewer that it is too long for me at least, so i returned this and will buy it in petite instead. if you are shorter (i'm 5'2), the regular length doesn't fall right, the s"&amp;"horter front section falling right at the knee and the longer section falling halfway on my calf . but great style! looking forward to seeing it on me in the petite.")</f>
        <v>I loved this dress and purchased it in my usual m. however, i agree with another reviewer that it is too long for me at least, so i returned this and will buy it in petite instead. if you are shorter (i'm 5'2), the regular length doesn't fall right, the shorter front section falling right at the knee and the longer section falling halfway on my calf . but great style! looking forward to seeing it on me in the petite.</v>
      </c>
      <c r="F1439" s="13">
        <f>IFERROR(__xludf.DUMMYFUNCTION("""COMPUTED_VALUE"""),4.0)</f>
        <v>4</v>
      </c>
      <c r="G1439" s="13">
        <f>IFERROR(__xludf.DUMMYFUNCTION("""COMPUTED_VALUE"""),1.0)</f>
        <v>1</v>
      </c>
      <c r="H1439" s="13">
        <f>IFERROR(__xludf.DUMMYFUNCTION("""COMPUTED_VALUE"""),0.0)</f>
        <v>0</v>
      </c>
      <c r="I1439" s="13" t="str">
        <f>IFERROR(__xludf.DUMMYFUNCTION("""COMPUTED_VALUE"""),"General Petite")</f>
        <v>General Petite</v>
      </c>
      <c r="J1439" s="13" t="str">
        <f>IFERROR(__xludf.DUMMYFUNCTION("""COMPUTED_VALUE"""),"Dresses")</f>
        <v>Dresses</v>
      </c>
      <c r="K1439" s="13" t="str">
        <f>IFERROR(__xludf.DUMMYFUNCTION("""COMPUTED_VALUE"""),"Dresses")</f>
        <v>Dresses</v>
      </c>
      <c r="L1439" s="13"/>
    </row>
    <row r="1440">
      <c r="A1440" s="13">
        <f>IFERROR(__xludf.DUMMYFUNCTION("""COMPUTED_VALUE"""),1438.0)</f>
        <v>1438</v>
      </c>
      <c r="B1440" s="13">
        <f>IFERROR(__xludf.DUMMYFUNCTION("""COMPUTED_VALUE"""),1081.0)</f>
        <v>1081</v>
      </c>
      <c r="C1440" s="13">
        <f>IFERROR(__xludf.DUMMYFUNCTION("""COMPUTED_VALUE"""),39.0)</f>
        <v>39</v>
      </c>
      <c r="D1440" s="12" t="str">
        <f>IFERROR(__xludf.DUMMYFUNCTION("""COMPUTED_VALUE"""),"Beautiful casual dress")</f>
        <v>Beautiful casual dress</v>
      </c>
      <c r="E1440" s="12" t="str">
        <f>IFERROR(__xludf.DUMMYFUNCTION("""COMPUTED_VALUE"""),"Love! highly recommend...usually i wait for sale price but this was worth the extra splurge. so flattering!")</f>
        <v>Love! highly recommend...usually i wait for sale price but this was worth the extra splurge. so flattering!</v>
      </c>
      <c r="F1440" s="13">
        <f>IFERROR(__xludf.DUMMYFUNCTION("""COMPUTED_VALUE"""),5.0)</f>
        <v>5</v>
      </c>
      <c r="G1440" s="13">
        <f>IFERROR(__xludf.DUMMYFUNCTION("""COMPUTED_VALUE"""),1.0)</f>
        <v>1</v>
      </c>
      <c r="H1440" s="13">
        <f>IFERROR(__xludf.DUMMYFUNCTION("""COMPUTED_VALUE"""),0.0)</f>
        <v>0</v>
      </c>
      <c r="I1440" s="13" t="str">
        <f>IFERROR(__xludf.DUMMYFUNCTION("""COMPUTED_VALUE"""),"General Petite")</f>
        <v>General Petite</v>
      </c>
      <c r="J1440" s="13" t="str">
        <f>IFERROR(__xludf.DUMMYFUNCTION("""COMPUTED_VALUE"""),"Dresses")</f>
        <v>Dresses</v>
      </c>
      <c r="K1440" s="13" t="str">
        <f>IFERROR(__xludf.DUMMYFUNCTION("""COMPUTED_VALUE"""),"Dresses")</f>
        <v>Dresses</v>
      </c>
      <c r="L1440" s="13"/>
    </row>
    <row r="1441">
      <c r="A1441" s="13">
        <f>IFERROR(__xludf.DUMMYFUNCTION("""COMPUTED_VALUE"""),1439.0)</f>
        <v>1439</v>
      </c>
      <c r="B1441" s="13">
        <f>IFERROR(__xludf.DUMMYFUNCTION("""COMPUTED_VALUE"""),1081.0)</f>
        <v>1081</v>
      </c>
      <c r="C1441" s="13">
        <f>IFERROR(__xludf.DUMMYFUNCTION("""COMPUTED_VALUE"""),51.0)</f>
        <v>51</v>
      </c>
      <c r="D1441" s="12" t="str">
        <f>IFERROR(__xludf.DUMMYFUNCTION("""COMPUTED_VALUE"""),"Perfect and easy to wear dress")</f>
        <v>Perfect and easy to wear dress</v>
      </c>
      <c r="E1441" s="12" t="str">
        <f>IFERROR(__xludf.DUMMYFUNCTION("""COMPUTED_VALUE"""),"This is a great dress for all body types. the fabric is substantial and soft.  i sized down for a closer fit, but i could have also bought my usual medium and had the extra space to belt it and wear a looser fit. i busted out the boots, a little early, an"&amp;"d the outfit was done.  super easy to wear, dressed up or dressed down.  totally worth the price, i'm glad i didn't wait until it went on sale for fear of selling out.")</f>
        <v>This is a great dress for all body types. the fabric is substantial and soft.  i sized down for a closer fit, but i could have also bought my usual medium and had the extra space to belt it and wear a looser fit. i busted out the boots, a little early, and the outfit was done.  super easy to wear, dressed up or dressed down.  totally worth the price, i'm glad i didn't wait until it went on sale for fear of selling out.</v>
      </c>
      <c r="F1441" s="13">
        <f>IFERROR(__xludf.DUMMYFUNCTION("""COMPUTED_VALUE"""),5.0)</f>
        <v>5</v>
      </c>
      <c r="G1441" s="13">
        <f>IFERROR(__xludf.DUMMYFUNCTION("""COMPUTED_VALUE"""),1.0)</f>
        <v>1</v>
      </c>
      <c r="H1441" s="13">
        <f>IFERROR(__xludf.DUMMYFUNCTION("""COMPUTED_VALUE"""),0.0)</f>
        <v>0</v>
      </c>
      <c r="I1441" s="13" t="str">
        <f>IFERROR(__xludf.DUMMYFUNCTION("""COMPUTED_VALUE"""),"General Petite")</f>
        <v>General Petite</v>
      </c>
      <c r="J1441" s="13" t="str">
        <f>IFERROR(__xludf.DUMMYFUNCTION("""COMPUTED_VALUE"""),"Dresses")</f>
        <v>Dresses</v>
      </c>
      <c r="K1441" s="13" t="str">
        <f>IFERROR(__xludf.DUMMYFUNCTION("""COMPUTED_VALUE"""),"Dresses")</f>
        <v>Dresses</v>
      </c>
      <c r="L1441" s="13"/>
    </row>
    <row r="1442">
      <c r="A1442" s="13">
        <f>IFERROR(__xludf.DUMMYFUNCTION("""COMPUTED_VALUE"""),1440.0)</f>
        <v>1440</v>
      </c>
      <c r="B1442" s="13">
        <f>IFERROR(__xludf.DUMMYFUNCTION("""COMPUTED_VALUE"""),1087.0)</f>
        <v>1087</v>
      </c>
      <c r="C1442" s="13">
        <f>IFERROR(__xludf.DUMMYFUNCTION("""COMPUTED_VALUE"""),31.0)</f>
        <v>31</v>
      </c>
      <c r="D1442" s="12" t="str">
        <f>IFERROR(__xludf.DUMMYFUNCTION("""COMPUTED_VALUE"""),"Muumuu")</f>
        <v>Muumuu</v>
      </c>
      <c r="E1442" s="12" t="str">
        <f>IFERROR(__xludf.DUMMYFUNCTION("""COMPUTED_VALUE"""),"Looks fitted on, but this just turned out to be an oversized muumuu on. the fabric also felt cheap.")</f>
        <v>Looks fitted on, but this just turned out to be an oversized muumuu on. the fabric also felt cheap.</v>
      </c>
      <c r="F1442" s="13">
        <f>IFERROR(__xludf.DUMMYFUNCTION("""COMPUTED_VALUE"""),1.0)</f>
        <v>1</v>
      </c>
      <c r="G1442" s="13">
        <f>IFERROR(__xludf.DUMMYFUNCTION("""COMPUTED_VALUE"""),0.0)</f>
        <v>0</v>
      </c>
      <c r="H1442" s="13">
        <f>IFERROR(__xludf.DUMMYFUNCTION("""COMPUTED_VALUE"""),0.0)</f>
        <v>0</v>
      </c>
      <c r="I1442" s="13" t="str">
        <f>IFERROR(__xludf.DUMMYFUNCTION("""COMPUTED_VALUE"""),"General")</f>
        <v>General</v>
      </c>
      <c r="J1442" s="13" t="str">
        <f>IFERROR(__xludf.DUMMYFUNCTION("""COMPUTED_VALUE"""),"Dresses")</f>
        <v>Dresses</v>
      </c>
      <c r="K1442" s="13" t="str">
        <f>IFERROR(__xludf.DUMMYFUNCTION("""COMPUTED_VALUE"""),"Dresses")</f>
        <v>Dresses</v>
      </c>
      <c r="L1442" s="13"/>
    </row>
    <row r="1443">
      <c r="A1443" s="13">
        <f>IFERROR(__xludf.DUMMYFUNCTION("""COMPUTED_VALUE"""),1441.0)</f>
        <v>1441</v>
      </c>
      <c r="B1443" s="13">
        <f>IFERROR(__xludf.DUMMYFUNCTION("""COMPUTED_VALUE"""),1081.0)</f>
        <v>1081</v>
      </c>
      <c r="C1443" s="13">
        <f>IFERROR(__xludf.DUMMYFUNCTION("""COMPUTED_VALUE"""),43.0)</f>
        <v>43</v>
      </c>
      <c r="D1443" s="12" t="str">
        <f>IFERROR(__xludf.DUMMYFUNCTION("""COMPUTED_VALUE"""),"Great fall dress")</f>
        <v>Great fall dress</v>
      </c>
      <c r="E1443" s="12" t="str">
        <f>IFERROR(__xludf.DUMMYFUNCTION("""COMPUTED_VALUE"""),"This is a solid well made transistional dress going from late summer to fall. i'm 5'7"" and got the medium and it falls a little above my knee. i could see it being very flattering on many body types. i do think you need to accessorize the dress as it is "&amp;"on the bland side. i bought the plum/brown color and am very happy with it.")</f>
        <v>This is a solid well made transistional dress going from late summer to fall. i'm 5'7" and got the medium and it falls a little above my knee. i could see it being very flattering on many body types. i do think you need to accessorize the dress as it is on the bland side. i bought the plum/brown color and am very happy with it.</v>
      </c>
      <c r="F1443" s="13">
        <f>IFERROR(__xludf.DUMMYFUNCTION("""COMPUTED_VALUE"""),5.0)</f>
        <v>5</v>
      </c>
      <c r="G1443" s="13">
        <f>IFERROR(__xludf.DUMMYFUNCTION("""COMPUTED_VALUE"""),1.0)</f>
        <v>1</v>
      </c>
      <c r="H1443" s="13">
        <f>IFERROR(__xludf.DUMMYFUNCTION("""COMPUTED_VALUE"""),0.0)</f>
        <v>0</v>
      </c>
      <c r="I1443" s="13" t="str">
        <f>IFERROR(__xludf.DUMMYFUNCTION("""COMPUTED_VALUE"""),"General Petite")</f>
        <v>General Petite</v>
      </c>
      <c r="J1443" s="13" t="str">
        <f>IFERROR(__xludf.DUMMYFUNCTION("""COMPUTED_VALUE"""),"Dresses")</f>
        <v>Dresses</v>
      </c>
      <c r="K1443" s="13" t="str">
        <f>IFERROR(__xludf.DUMMYFUNCTION("""COMPUTED_VALUE"""),"Dresses")</f>
        <v>Dresses</v>
      </c>
      <c r="L1443" s="13"/>
    </row>
    <row r="1444">
      <c r="A1444" s="13">
        <f>IFERROR(__xludf.DUMMYFUNCTION("""COMPUTED_VALUE"""),1442.0)</f>
        <v>1442</v>
      </c>
      <c r="B1444" s="13">
        <f>IFERROR(__xludf.DUMMYFUNCTION("""COMPUTED_VALUE"""),1025.0)</f>
        <v>1025</v>
      </c>
      <c r="C1444" s="13">
        <f>IFERROR(__xludf.DUMMYFUNCTION("""COMPUTED_VALUE"""),57.0)</f>
        <v>57</v>
      </c>
      <c r="D1444" s="12" t="str">
        <f>IFERROR(__xludf.DUMMYFUNCTION("""COMPUTED_VALUE"""),"Makes my butt look amazing!!")</f>
        <v>Makes my butt look amazing!!</v>
      </c>
      <c r="E1444" s="12" t="str">
        <f>IFERROR(__xludf.DUMMYFUNCTION("""COMPUTED_VALUE"""),"Perfection! i am 5'3""/108 and the size 25 fit me like a glove. beautiful color too!! highly recommend!!")</f>
        <v>Perfection! i am 5'3"/108 and the size 25 fit me like a glove. beautiful color too!! highly recommend!!</v>
      </c>
      <c r="F1444" s="13">
        <f>IFERROR(__xludf.DUMMYFUNCTION("""COMPUTED_VALUE"""),5.0)</f>
        <v>5</v>
      </c>
      <c r="G1444" s="13">
        <f>IFERROR(__xludf.DUMMYFUNCTION("""COMPUTED_VALUE"""),1.0)</f>
        <v>1</v>
      </c>
      <c r="H1444" s="13">
        <f>IFERROR(__xludf.DUMMYFUNCTION("""COMPUTED_VALUE"""),0.0)</f>
        <v>0</v>
      </c>
      <c r="I1444" s="13" t="str">
        <f>IFERROR(__xludf.DUMMYFUNCTION("""COMPUTED_VALUE"""),"General Petite")</f>
        <v>General Petite</v>
      </c>
      <c r="J1444" s="13" t="str">
        <f>IFERROR(__xludf.DUMMYFUNCTION("""COMPUTED_VALUE"""),"Bottoms")</f>
        <v>Bottoms</v>
      </c>
      <c r="K1444" s="13" t="str">
        <f>IFERROR(__xludf.DUMMYFUNCTION("""COMPUTED_VALUE"""),"Jeans")</f>
        <v>Jeans</v>
      </c>
      <c r="L1444" s="13"/>
    </row>
    <row r="1445">
      <c r="A1445" s="13">
        <f>IFERROR(__xludf.DUMMYFUNCTION("""COMPUTED_VALUE"""),1443.0)</f>
        <v>1443</v>
      </c>
      <c r="B1445" s="13">
        <f>IFERROR(__xludf.DUMMYFUNCTION("""COMPUTED_VALUE"""),1094.0)</f>
        <v>1094</v>
      </c>
      <c r="C1445" s="13">
        <f>IFERROR(__xludf.DUMMYFUNCTION("""COMPUTED_VALUE"""),39.0)</f>
        <v>39</v>
      </c>
      <c r="D1445" s="12" t="str">
        <f>IFERROR(__xludf.DUMMYFUNCTION("""COMPUTED_VALUE"""),"Not a halter?")</f>
        <v>Not a halter?</v>
      </c>
      <c r="E1445" s="12" t="str">
        <f>IFERROR(__xludf.DUMMYFUNCTION("""COMPUTED_VALUE"""),"Thrilled that this not only fits great on me but i got it at a deep sale price!  all the problems that the negative reviewers had did not apply to me at all.  i'm so glad i gave this a try.  my body is large on top with a square waist, a bit of a tummy, n"&amp;"o hips or bum and the medium petite skimmed over all my flaws and made me look more proportionate.  not sure why this is called halter though.  i am 5'3"" 36dd, wide torso, size 28 jeans, 140#.")</f>
        <v>Thrilled that this not only fits great on me but i got it at a deep sale price!  all the problems that the negative reviewers had did not apply to me at all.  i'm so glad i gave this a try.  my body is large on top with a square waist, a bit of a tummy, no hips or bum and the medium petite skimmed over all my flaws and made me look more proportionate.  not sure why this is called halter though.  i am 5'3" 36dd, wide torso, size 28 jeans, 140#.</v>
      </c>
      <c r="F1445" s="13">
        <f>IFERROR(__xludf.DUMMYFUNCTION("""COMPUTED_VALUE"""),5.0)</f>
        <v>5</v>
      </c>
      <c r="G1445" s="13">
        <f>IFERROR(__xludf.DUMMYFUNCTION("""COMPUTED_VALUE"""),1.0)</f>
        <v>1</v>
      </c>
      <c r="H1445" s="13">
        <f>IFERROR(__xludf.DUMMYFUNCTION("""COMPUTED_VALUE"""),2.0)</f>
        <v>2</v>
      </c>
      <c r="I1445" s="13" t="str">
        <f>IFERROR(__xludf.DUMMYFUNCTION("""COMPUTED_VALUE"""),"General")</f>
        <v>General</v>
      </c>
      <c r="J1445" s="13" t="str">
        <f>IFERROR(__xludf.DUMMYFUNCTION("""COMPUTED_VALUE"""),"Dresses")</f>
        <v>Dresses</v>
      </c>
      <c r="K1445" s="13" t="str">
        <f>IFERROR(__xludf.DUMMYFUNCTION("""COMPUTED_VALUE"""),"Dresses")</f>
        <v>Dresses</v>
      </c>
      <c r="L1445" s="13"/>
    </row>
    <row r="1446">
      <c r="A1446" s="13">
        <f>IFERROR(__xludf.DUMMYFUNCTION("""COMPUTED_VALUE"""),1444.0)</f>
        <v>1444</v>
      </c>
      <c r="B1446" s="13">
        <f>IFERROR(__xludf.DUMMYFUNCTION("""COMPUTED_VALUE"""),1094.0)</f>
        <v>1094</v>
      </c>
      <c r="C1446" s="13">
        <f>IFERROR(__xludf.DUMMYFUNCTION("""COMPUTED_VALUE"""),36.0)</f>
        <v>36</v>
      </c>
      <c r="D1446" s="12" t="str">
        <f>IFERROR(__xludf.DUMMYFUNCTION("""COMPUTED_VALUE"""),"Beautiful color and drape")</f>
        <v>Beautiful color and drape</v>
      </c>
      <c r="E1446" s="12" t="str">
        <f>IFERROR(__xludf.DUMMYFUNCTION("""COMPUTED_VALUE"""),"Love the style of this dress (length, hem, waist details, material)! i think it looks best on curvy women due to the waist detail only going part way around. it doesn't give the entire waist definition, which is why it would look best on someone who has a"&amp;" naturally defined waist. this is a pretty unique dress, which is one of the reasons i liked it. i agree with one of the previous reviewers about it being hard to conceal your bra straps. unfortunately for me that is a deal breaker because i rea")</f>
        <v>Love the style of this dress (length, hem, waist details, material)! i think it looks best on curvy women due to the waist detail only going part way around. it doesn't give the entire waist definition, which is why it would look best on someone who has a naturally defined waist. this is a pretty unique dress, which is one of the reasons i liked it. i agree with one of the previous reviewers about it being hard to conceal your bra straps. unfortunately for me that is a deal breaker because i rea</v>
      </c>
      <c r="F1446" s="13">
        <f>IFERROR(__xludf.DUMMYFUNCTION("""COMPUTED_VALUE"""),4.0)</f>
        <v>4</v>
      </c>
      <c r="G1446" s="13">
        <f>IFERROR(__xludf.DUMMYFUNCTION("""COMPUTED_VALUE"""),1.0)</f>
        <v>1</v>
      </c>
      <c r="H1446" s="13">
        <f>IFERROR(__xludf.DUMMYFUNCTION("""COMPUTED_VALUE"""),3.0)</f>
        <v>3</v>
      </c>
      <c r="I1446" s="13" t="str">
        <f>IFERROR(__xludf.DUMMYFUNCTION("""COMPUTED_VALUE"""),"General")</f>
        <v>General</v>
      </c>
      <c r="J1446" s="13" t="str">
        <f>IFERROR(__xludf.DUMMYFUNCTION("""COMPUTED_VALUE"""),"Dresses")</f>
        <v>Dresses</v>
      </c>
      <c r="K1446" s="13" t="str">
        <f>IFERROR(__xludf.DUMMYFUNCTION("""COMPUTED_VALUE"""),"Dresses")</f>
        <v>Dresses</v>
      </c>
      <c r="L1446" s="13"/>
    </row>
    <row r="1447">
      <c r="A1447" s="13">
        <f>IFERROR(__xludf.DUMMYFUNCTION("""COMPUTED_VALUE"""),1445.0)</f>
        <v>1445</v>
      </c>
      <c r="B1447" s="13">
        <f>IFERROR(__xludf.DUMMYFUNCTION("""COMPUTED_VALUE"""),1087.0)</f>
        <v>1087</v>
      </c>
      <c r="C1447" s="13">
        <f>IFERROR(__xludf.DUMMYFUNCTION("""COMPUTED_VALUE"""),38.0)</f>
        <v>38</v>
      </c>
      <c r="D1447" s="12" t="str">
        <f>IFERROR(__xludf.DUMMYFUNCTION("""COMPUTED_VALUE"""),"Not a midi on me but still so cute")</f>
        <v>Not a midi on me but still so cute</v>
      </c>
      <c r="E1447" s="12" t="str">
        <f>IFERROR(__xludf.DUMMYFUNCTION("""COMPUTED_VALUE"""),"So i got this on sale and the only size they had was a xs petite. i didn't have my hopes very high but i thought i would give it a shot. the dress came today and it fit great. i am 5""6"" so the petite came just above my knees but the dress is still adora"&amp;"ble. the material and cut is great. this is not what i was looking for but it is a welcome addition.")</f>
        <v>So i got this on sale and the only size they had was a xs petite. i didn't have my hopes very high but i thought i would give it a shot. the dress came today and it fit great. i am 5"6" so the petite came just above my knees but the dress is still adorable. the material and cut is great. this is not what i was looking for but it is a welcome addition.</v>
      </c>
      <c r="F1447" s="13">
        <f>IFERROR(__xludf.DUMMYFUNCTION("""COMPUTED_VALUE"""),5.0)</f>
        <v>5</v>
      </c>
      <c r="G1447" s="13">
        <f>IFERROR(__xludf.DUMMYFUNCTION("""COMPUTED_VALUE"""),1.0)</f>
        <v>1</v>
      </c>
      <c r="H1447" s="13">
        <f>IFERROR(__xludf.DUMMYFUNCTION("""COMPUTED_VALUE"""),0.0)</f>
        <v>0</v>
      </c>
      <c r="I1447" s="13" t="str">
        <f>IFERROR(__xludf.DUMMYFUNCTION("""COMPUTED_VALUE"""),"General")</f>
        <v>General</v>
      </c>
      <c r="J1447" s="13" t="str">
        <f>IFERROR(__xludf.DUMMYFUNCTION("""COMPUTED_VALUE"""),"Dresses")</f>
        <v>Dresses</v>
      </c>
      <c r="K1447" s="13" t="str">
        <f>IFERROR(__xludf.DUMMYFUNCTION("""COMPUTED_VALUE"""),"Dresses")</f>
        <v>Dresses</v>
      </c>
      <c r="L1447" s="13"/>
    </row>
    <row r="1448">
      <c r="A1448" s="13">
        <f>IFERROR(__xludf.DUMMYFUNCTION("""COMPUTED_VALUE"""),1446.0)</f>
        <v>1446</v>
      </c>
      <c r="B1448" s="13">
        <f>IFERROR(__xludf.DUMMYFUNCTION("""COMPUTED_VALUE"""),1094.0)</f>
        <v>1094</v>
      </c>
      <c r="C1448" s="13">
        <f>IFERROR(__xludf.DUMMYFUNCTION("""COMPUTED_VALUE"""),59.0)</f>
        <v>59</v>
      </c>
      <c r="D1448" s="12"/>
      <c r="E1448" s="12" t="str">
        <f>IFERROR(__xludf.DUMMYFUNCTION("""COMPUTED_VALUE"""),"This dress is beautiful. it is longer than it looks on the model (i'm 5/5) but drapes beautifully. it is perfect for a wedding or a special event. i love it!")</f>
        <v>This dress is beautiful. it is longer than it looks on the model (i'm 5/5) but drapes beautifully. it is perfect for a wedding or a special event. i love it!</v>
      </c>
      <c r="F1448" s="13">
        <f>IFERROR(__xludf.DUMMYFUNCTION("""COMPUTED_VALUE"""),5.0)</f>
        <v>5</v>
      </c>
      <c r="G1448" s="13">
        <f>IFERROR(__xludf.DUMMYFUNCTION("""COMPUTED_VALUE"""),1.0)</f>
        <v>1</v>
      </c>
      <c r="H1448" s="13">
        <f>IFERROR(__xludf.DUMMYFUNCTION("""COMPUTED_VALUE"""),0.0)</f>
        <v>0</v>
      </c>
      <c r="I1448" s="13" t="str">
        <f>IFERROR(__xludf.DUMMYFUNCTION("""COMPUTED_VALUE"""),"General")</f>
        <v>General</v>
      </c>
      <c r="J1448" s="13" t="str">
        <f>IFERROR(__xludf.DUMMYFUNCTION("""COMPUTED_VALUE"""),"Dresses")</f>
        <v>Dresses</v>
      </c>
      <c r="K1448" s="13" t="str">
        <f>IFERROR(__xludf.DUMMYFUNCTION("""COMPUTED_VALUE"""),"Dresses")</f>
        <v>Dresses</v>
      </c>
      <c r="L1448" s="13"/>
    </row>
    <row r="1449">
      <c r="A1449" s="13">
        <f>IFERROR(__xludf.DUMMYFUNCTION("""COMPUTED_VALUE"""),1447.0)</f>
        <v>1447</v>
      </c>
      <c r="B1449" s="13">
        <f>IFERROR(__xludf.DUMMYFUNCTION("""COMPUTED_VALUE"""),1094.0)</f>
        <v>1094</v>
      </c>
      <c r="C1449" s="13">
        <f>IFERROR(__xludf.DUMMYFUNCTION("""COMPUTED_VALUE"""),37.0)</f>
        <v>37</v>
      </c>
      <c r="D1449" s="12" t="str">
        <f>IFERROR(__xludf.DUMMYFUNCTION("""COMPUTED_VALUE"""),"Comfortable and pretty")</f>
        <v>Comfortable and pretty</v>
      </c>
      <c r="E1449" s="12" t="str">
        <f>IFERROR(__xludf.DUMMYFUNCTION("""COMPUTED_VALUE"""),"I have mixed feelings about this dress. the color is fantastic. not too bright, not too dark. the material is super soft and comfortable and the length was perfect. i did end up returning this item though as no matter which bra i chose, the straps showed."&amp;" it just was not hitting my right on the shoulders. i do not like having my bra straps show or constantly be trying to tuck them away (especially at a wedding or work?). this is what ultimately led me to return the dress ? even though it is beau")</f>
        <v>I have mixed feelings about this dress. the color is fantastic. not too bright, not too dark. the material is super soft and comfortable and the length was perfect. i did end up returning this item though as no matter which bra i chose, the straps showed. it just was not hitting my right on the shoulders. i do not like having my bra straps show or constantly be trying to tuck them away (especially at a wedding or work?). this is what ultimately led me to return the dress ? even though it is beau</v>
      </c>
      <c r="F1449" s="13">
        <f>IFERROR(__xludf.DUMMYFUNCTION("""COMPUTED_VALUE"""),3.0)</f>
        <v>3</v>
      </c>
      <c r="G1449" s="13">
        <f>IFERROR(__xludf.DUMMYFUNCTION("""COMPUTED_VALUE"""),0.0)</f>
        <v>0</v>
      </c>
      <c r="H1449" s="13">
        <f>IFERROR(__xludf.DUMMYFUNCTION("""COMPUTED_VALUE"""),2.0)</f>
        <v>2</v>
      </c>
      <c r="I1449" s="13" t="str">
        <f>IFERROR(__xludf.DUMMYFUNCTION("""COMPUTED_VALUE"""),"General")</f>
        <v>General</v>
      </c>
      <c r="J1449" s="13" t="str">
        <f>IFERROR(__xludf.DUMMYFUNCTION("""COMPUTED_VALUE"""),"Dresses")</f>
        <v>Dresses</v>
      </c>
      <c r="K1449" s="13" t="str">
        <f>IFERROR(__xludf.DUMMYFUNCTION("""COMPUTED_VALUE"""),"Dresses")</f>
        <v>Dresses</v>
      </c>
      <c r="L1449" s="13"/>
    </row>
    <row r="1450">
      <c r="A1450" s="13">
        <f>IFERROR(__xludf.DUMMYFUNCTION("""COMPUTED_VALUE"""),1448.0)</f>
        <v>1448</v>
      </c>
      <c r="B1450" s="13">
        <f>IFERROR(__xludf.DUMMYFUNCTION("""COMPUTED_VALUE"""),1081.0)</f>
        <v>1081</v>
      </c>
      <c r="C1450" s="13">
        <f>IFERROR(__xludf.DUMMYFUNCTION("""COMPUTED_VALUE"""),48.0)</f>
        <v>48</v>
      </c>
      <c r="D1450" s="12" t="str">
        <f>IFERROR(__xludf.DUMMYFUNCTION("""COMPUTED_VALUE"""),"Perfect everyday dress")</f>
        <v>Perfect everyday dress</v>
      </c>
      <c r="E1450" s="12" t="str">
        <f>IFERROR(__xludf.DUMMYFUNCTION("""COMPUTED_VALUE"""),"This dress is super soft and really flattering. i'm 5'2"" and i tried a regular size m in the store and hated it on me, but decided to order a petite m and give it a try and i love it. it's one i've been wearing a lot with ankle boots and all sorts of jac"&amp;"kets. it's great for these fall days that are still warm-ish. would be really cute with tights.")</f>
        <v>This dress is super soft and really flattering. i'm 5'2" and i tried a regular size m in the store and hated it on me, but decided to order a petite m and give it a try and i love it. it's one i've been wearing a lot with ankle boots and all sorts of jackets. it's great for these fall days that are still warm-ish. would be really cute with tights.</v>
      </c>
      <c r="F1450" s="13">
        <f>IFERROR(__xludf.DUMMYFUNCTION("""COMPUTED_VALUE"""),5.0)</f>
        <v>5</v>
      </c>
      <c r="G1450" s="13">
        <f>IFERROR(__xludf.DUMMYFUNCTION("""COMPUTED_VALUE"""),1.0)</f>
        <v>1</v>
      </c>
      <c r="H1450" s="13">
        <f>IFERROR(__xludf.DUMMYFUNCTION("""COMPUTED_VALUE"""),0.0)</f>
        <v>0</v>
      </c>
      <c r="I1450" s="13" t="str">
        <f>IFERROR(__xludf.DUMMYFUNCTION("""COMPUTED_VALUE"""),"General")</f>
        <v>General</v>
      </c>
      <c r="J1450" s="13" t="str">
        <f>IFERROR(__xludf.DUMMYFUNCTION("""COMPUTED_VALUE"""),"Dresses")</f>
        <v>Dresses</v>
      </c>
      <c r="K1450" s="13" t="str">
        <f>IFERROR(__xludf.DUMMYFUNCTION("""COMPUTED_VALUE"""),"Dresses")</f>
        <v>Dresses</v>
      </c>
      <c r="L1450" s="13"/>
    </row>
    <row r="1451">
      <c r="A1451" s="13">
        <f>IFERROR(__xludf.DUMMYFUNCTION("""COMPUTED_VALUE"""),1449.0)</f>
        <v>1449</v>
      </c>
      <c r="B1451" s="13">
        <f>IFERROR(__xludf.DUMMYFUNCTION("""COMPUTED_VALUE"""),442.0)</f>
        <v>442</v>
      </c>
      <c r="C1451" s="13">
        <f>IFERROR(__xludf.DUMMYFUNCTION("""COMPUTED_VALUE"""),47.0)</f>
        <v>47</v>
      </c>
      <c r="D1451" s="12" t="str">
        <f>IFERROR(__xludf.DUMMYFUNCTION("""COMPUTED_VALUE"""),"Beautiful embroidery")</f>
        <v>Beautiful embroidery</v>
      </c>
      <c r="E1451" s="12" t="str">
        <f>IFERROR(__xludf.DUMMYFUNCTION("""COMPUTED_VALUE"""),"This cover up has great potential. i love the embroidery. the colors and design are great. however, it has a number of loose strings. it makes me wonder what might happen when i wash it. the fabric is on the thinner side, but it is not see through. the fa"&amp;"bric would be nice for a hot day by the pool. i caught it on sale, so i am keeping it.")</f>
        <v>This cover up has great potential. i love the embroidery. the colors and design are great. however, it has a number of loose strings. it makes me wonder what might happen when i wash it. the fabric is on the thinner side, but it is not see through. the fabric would be nice for a hot day by the pool. i caught it on sale, so i am keeping it.</v>
      </c>
      <c r="F1451" s="13">
        <f>IFERROR(__xludf.DUMMYFUNCTION("""COMPUTED_VALUE"""),4.0)</f>
        <v>4</v>
      </c>
      <c r="G1451" s="13">
        <f>IFERROR(__xludf.DUMMYFUNCTION("""COMPUTED_VALUE"""),1.0)</f>
        <v>1</v>
      </c>
      <c r="H1451" s="13">
        <f>IFERROR(__xludf.DUMMYFUNCTION("""COMPUTED_VALUE"""),0.0)</f>
        <v>0</v>
      </c>
      <c r="I1451" s="13" t="str">
        <f>IFERROR(__xludf.DUMMYFUNCTION("""COMPUTED_VALUE"""),"Initmates")</f>
        <v>Initmates</v>
      </c>
      <c r="J1451" s="13" t="str">
        <f>IFERROR(__xludf.DUMMYFUNCTION("""COMPUTED_VALUE"""),"Intimate")</f>
        <v>Intimate</v>
      </c>
      <c r="K1451" s="13" t="str">
        <f>IFERROR(__xludf.DUMMYFUNCTION("""COMPUTED_VALUE"""),"Swim")</f>
        <v>Swim</v>
      </c>
      <c r="L1451" s="13"/>
    </row>
    <row r="1452">
      <c r="A1452" s="13">
        <f>IFERROR(__xludf.DUMMYFUNCTION("""COMPUTED_VALUE"""),1450.0)</f>
        <v>1450</v>
      </c>
      <c r="B1452" s="13">
        <f>IFERROR(__xludf.DUMMYFUNCTION("""COMPUTED_VALUE"""),1072.0)</f>
        <v>1072</v>
      </c>
      <c r="C1452" s="13">
        <f>IFERROR(__xludf.DUMMYFUNCTION("""COMPUTED_VALUE"""),36.0)</f>
        <v>36</v>
      </c>
      <c r="D1452" s="12" t="str">
        <f>IFERROR(__xludf.DUMMYFUNCTION("""COMPUTED_VALUE"""),"So cute, but so big!")</f>
        <v>So cute, but so big!</v>
      </c>
      <c r="E1452" s="12" t="str">
        <f>IFERROR(__xludf.DUMMYFUNCTION("""COMPUTED_VALUE"""),"The design of this dress is darling and so unique, and it's very well made. but i agree it's very boxy and overwhelming for a petite frame. i'm 5'3"" and ordered the 2, and it was like wearing a hospital gown. if a petite were available i'd have tried tha"&amp;"t, but this one's going back. shame, too, because it's adorable. the gap in the neckline could easily be stitched or sewn shut, but that's an inconvenience when this dress is already priced so high.")</f>
        <v>The design of this dress is darling and so unique, and it's very well made. but i agree it's very boxy and overwhelming for a petite frame. i'm 5'3" and ordered the 2, and it was like wearing a hospital gown. if a petite were available i'd have tried that, but this one's going back. shame, too, because it's adorable. the gap in the neckline could easily be stitched or sewn shut, but that's an inconvenience when this dress is already priced so high.</v>
      </c>
      <c r="F1452" s="13">
        <f>IFERROR(__xludf.DUMMYFUNCTION("""COMPUTED_VALUE"""),3.0)</f>
        <v>3</v>
      </c>
      <c r="G1452" s="13">
        <f>IFERROR(__xludf.DUMMYFUNCTION("""COMPUTED_VALUE"""),1.0)</f>
        <v>1</v>
      </c>
      <c r="H1452" s="13">
        <f>IFERROR(__xludf.DUMMYFUNCTION("""COMPUTED_VALUE"""),3.0)</f>
        <v>3</v>
      </c>
      <c r="I1452" s="13" t="str">
        <f>IFERROR(__xludf.DUMMYFUNCTION("""COMPUTED_VALUE"""),"General")</f>
        <v>General</v>
      </c>
      <c r="J1452" s="13" t="str">
        <f>IFERROR(__xludf.DUMMYFUNCTION("""COMPUTED_VALUE"""),"Dresses")</f>
        <v>Dresses</v>
      </c>
      <c r="K1452" s="13" t="str">
        <f>IFERROR(__xludf.DUMMYFUNCTION("""COMPUTED_VALUE"""),"Dresses")</f>
        <v>Dresses</v>
      </c>
      <c r="L1452" s="13"/>
    </row>
    <row r="1453">
      <c r="A1453" s="13">
        <f>IFERROR(__xludf.DUMMYFUNCTION("""COMPUTED_VALUE"""),1451.0)</f>
        <v>1451</v>
      </c>
      <c r="B1453" s="13">
        <f>IFERROR(__xludf.DUMMYFUNCTION("""COMPUTED_VALUE"""),829.0)</f>
        <v>829</v>
      </c>
      <c r="C1453" s="13">
        <f>IFERROR(__xludf.DUMMYFUNCTION("""COMPUTED_VALUE"""),25.0)</f>
        <v>25</v>
      </c>
      <c r="D1453" s="12" t="str">
        <f>IFERROR(__xludf.DUMMYFUNCTION("""COMPUTED_VALUE"""),"Excellent cut and idea,poor fabric c")</f>
        <v>Excellent cut and idea,poor fabric c</v>
      </c>
      <c r="E1453" s="12" t="str">
        <f>IFERROR(__xludf.DUMMYFUNCTION("""COMPUTED_VALUE"""),"I love the cut and aesthetic of this shirt, but the fabric unfortunately shows even the slightest hint of sweat, which makes it difficult to wear without being self conscious")</f>
        <v>I love the cut and aesthetic of this shirt, but the fabric unfortunately shows even the slightest hint of sweat, which makes it difficult to wear without being self conscious</v>
      </c>
      <c r="F1453" s="13">
        <f>IFERROR(__xludf.DUMMYFUNCTION("""COMPUTED_VALUE"""),3.0)</f>
        <v>3</v>
      </c>
      <c r="G1453" s="13">
        <f>IFERROR(__xludf.DUMMYFUNCTION("""COMPUTED_VALUE"""),1.0)</f>
        <v>1</v>
      </c>
      <c r="H1453" s="13">
        <f>IFERROR(__xludf.DUMMYFUNCTION("""COMPUTED_VALUE"""),2.0)</f>
        <v>2</v>
      </c>
      <c r="I1453" s="13" t="str">
        <f>IFERROR(__xludf.DUMMYFUNCTION("""COMPUTED_VALUE"""),"General Petite")</f>
        <v>General Petite</v>
      </c>
      <c r="J1453" s="13" t="str">
        <f>IFERROR(__xludf.DUMMYFUNCTION("""COMPUTED_VALUE"""),"Tops")</f>
        <v>Tops</v>
      </c>
      <c r="K1453" s="13" t="str">
        <f>IFERROR(__xludf.DUMMYFUNCTION("""COMPUTED_VALUE"""),"Blouses")</f>
        <v>Blouses</v>
      </c>
      <c r="L1453" s="13"/>
    </row>
    <row r="1454">
      <c r="A1454" s="13">
        <f>IFERROR(__xludf.DUMMYFUNCTION("""COMPUTED_VALUE"""),1452.0)</f>
        <v>1452</v>
      </c>
      <c r="B1454" s="13">
        <f>IFERROR(__xludf.DUMMYFUNCTION("""COMPUTED_VALUE"""),1175.0)</f>
        <v>1175</v>
      </c>
      <c r="C1454" s="13">
        <f>IFERROR(__xludf.DUMMYFUNCTION("""COMPUTED_VALUE"""),30.0)</f>
        <v>30</v>
      </c>
      <c r="D1454" s="12" t="str">
        <f>IFERROR(__xludf.DUMMYFUNCTION("""COMPUTED_VALUE"""),"Very cute, runs small")</f>
        <v>Very cute, runs small</v>
      </c>
      <c r="E1454" s="12" t="str">
        <f>IFERROR(__xludf.DUMMYFUNCTION("""COMPUTED_VALUE"""),"Despite other reviewers comments on size - i really wanted this one to work so i ordered it. i'm typically a size xs and d chest and instead i ordered a small. the body of the sit for well but the cups of the suit i'd said for more for a b. (if i lifted m"&amp;"y arms i would literally come out of it)")</f>
        <v>Despite other reviewers comments on size - i really wanted this one to work so i ordered it. i'm typically a size xs and d chest and instead i ordered a small. the body of the sit for well but the cups of the suit i'd said for more for a b. (if i lifted my arms i would literally come out of it)</v>
      </c>
      <c r="F1454" s="13">
        <f>IFERROR(__xludf.DUMMYFUNCTION("""COMPUTED_VALUE"""),3.0)</f>
        <v>3</v>
      </c>
      <c r="G1454" s="13">
        <f>IFERROR(__xludf.DUMMYFUNCTION("""COMPUTED_VALUE"""),0.0)</f>
        <v>0</v>
      </c>
      <c r="H1454" s="13">
        <f>IFERROR(__xludf.DUMMYFUNCTION("""COMPUTED_VALUE"""),5.0)</f>
        <v>5</v>
      </c>
      <c r="I1454" s="13" t="str">
        <f>IFERROR(__xludf.DUMMYFUNCTION("""COMPUTED_VALUE"""),"Initmates")</f>
        <v>Initmates</v>
      </c>
      <c r="J1454" s="13" t="str">
        <f>IFERROR(__xludf.DUMMYFUNCTION("""COMPUTED_VALUE"""),"Intimate")</f>
        <v>Intimate</v>
      </c>
      <c r="K1454" s="13" t="str">
        <f>IFERROR(__xludf.DUMMYFUNCTION("""COMPUTED_VALUE"""),"Swim")</f>
        <v>Swim</v>
      </c>
      <c r="L1454" s="13"/>
    </row>
    <row r="1455">
      <c r="A1455" s="13">
        <f>IFERROR(__xludf.DUMMYFUNCTION("""COMPUTED_VALUE"""),1453.0)</f>
        <v>1453</v>
      </c>
      <c r="B1455" s="13">
        <f>IFERROR(__xludf.DUMMYFUNCTION("""COMPUTED_VALUE"""),952.0)</f>
        <v>952</v>
      </c>
      <c r="C1455" s="13">
        <f>IFERROR(__xludf.DUMMYFUNCTION("""COMPUTED_VALUE"""),57.0)</f>
        <v>57</v>
      </c>
      <c r="D1455" s="12"/>
      <c r="E1455" s="12" t="str">
        <f>IFERROR(__xludf.DUMMYFUNCTION("""COMPUTED_VALUE"""),"Love the sweater. the knit has a rich look and the fit is perfect. i paired it with a printed pencil skirt for an eclectic look. strongly recommend to your wardrobe.")</f>
        <v>Love the sweater. the knit has a rich look and the fit is perfect. i paired it with a printed pencil skirt for an eclectic look. strongly recommend to your wardrobe.</v>
      </c>
      <c r="F1455" s="13">
        <f>IFERROR(__xludf.DUMMYFUNCTION("""COMPUTED_VALUE"""),5.0)</f>
        <v>5</v>
      </c>
      <c r="G1455" s="13">
        <f>IFERROR(__xludf.DUMMYFUNCTION("""COMPUTED_VALUE"""),1.0)</f>
        <v>1</v>
      </c>
      <c r="H1455" s="13">
        <f>IFERROR(__xludf.DUMMYFUNCTION("""COMPUTED_VALUE"""),0.0)</f>
        <v>0</v>
      </c>
      <c r="I1455" s="13" t="str">
        <f>IFERROR(__xludf.DUMMYFUNCTION("""COMPUTED_VALUE"""),"General")</f>
        <v>General</v>
      </c>
      <c r="J1455" s="13" t="str">
        <f>IFERROR(__xludf.DUMMYFUNCTION("""COMPUTED_VALUE"""),"Tops")</f>
        <v>Tops</v>
      </c>
      <c r="K1455" s="13" t="str">
        <f>IFERROR(__xludf.DUMMYFUNCTION("""COMPUTED_VALUE"""),"Sweaters")</f>
        <v>Sweaters</v>
      </c>
      <c r="L1455" s="13"/>
    </row>
    <row r="1456">
      <c r="A1456" s="13">
        <f>IFERROR(__xludf.DUMMYFUNCTION("""COMPUTED_VALUE"""),1454.0)</f>
        <v>1454</v>
      </c>
      <c r="B1456" s="13">
        <f>IFERROR(__xludf.DUMMYFUNCTION("""COMPUTED_VALUE"""),411.0)</f>
        <v>411</v>
      </c>
      <c r="C1456" s="13">
        <f>IFERROR(__xludf.DUMMYFUNCTION("""COMPUTED_VALUE"""),55.0)</f>
        <v>55</v>
      </c>
      <c r="D1456" s="12"/>
      <c r="E1456" s="12"/>
      <c r="F1456" s="13">
        <f>IFERROR(__xludf.DUMMYFUNCTION("""COMPUTED_VALUE"""),5.0)</f>
        <v>5</v>
      </c>
      <c r="G1456" s="13">
        <f>IFERROR(__xludf.DUMMYFUNCTION("""COMPUTED_VALUE"""),1.0)</f>
        <v>1</v>
      </c>
      <c r="H1456" s="13">
        <f>IFERROR(__xludf.DUMMYFUNCTION("""COMPUTED_VALUE"""),0.0)</f>
        <v>0</v>
      </c>
      <c r="I1456" s="13" t="str">
        <f>IFERROR(__xludf.DUMMYFUNCTION("""COMPUTED_VALUE"""),"Initmates")</f>
        <v>Initmates</v>
      </c>
      <c r="J1456" s="13" t="str">
        <f>IFERROR(__xludf.DUMMYFUNCTION("""COMPUTED_VALUE"""),"Intimate")</f>
        <v>Intimate</v>
      </c>
      <c r="K1456" s="13" t="str">
        <f>IFERROR(__xludf.DUMMYFUNCTION("""COMPUTED_VALUE"""),"Intimates")</f>
        <v>Intimates</v>
      </c>
      <c r="L1456" s="13"/>
    </row>
    <row r="1457">
      <c r="A1457" s="13">
        <f>IFERROR(__xludf.DUMMYFUNCTION("""COMPUTED_VALUE"""),1455.0)</f>
        <v>1455</v>
      </c>
      <c r="B1457" s="13">
        <f>IFERROR(__xludf.DUMMYFUNCTION("""COMPUTED_VALUE"""),829.0)</f>
        <v>829</v>
      </c>
      <c r="C1457" s="13">
        <f>IFERROR(__xludf.DUMMYFUNCTION("""COMPUTED_VALUE"""),24.0)</f>
        <v>24</v>
      </c>
      <c r="D1457" s="12" t="str">
        <f>IFERROR(__xludf.DUMMYFUNCTION("""COMPUTED_VALUE"""),"Cute shirt but really strange design")</f>
        <v>Cute shirt but really strange design</v>
      </c>
      <c r="E1457" s="12" t="str">
        <f>IFERROR(__xludf.DUMMYFUNCTION("""COMPUTED_VALUE"""),"This is a nice shirt, but i can't keep it. i ordered a 0 and i do have an athletic build with somewhat wider shoulders given how petite i am (usually wear 00 petite in all pants) and i think this size was perfect (fit across the back perfectly) when you l"&amp;"ift your arms the way it is cut makes it really tight across the chest and shows your stomach. at the same time, the high low styling makes for a really strange shirt-tail in the back. i'm sure this is the trend but it really does not look cute")</f>
        <v>This is a nice shirt, but i can't keep it. i ordered a 0 and i do have an athletic build with somewhat wider shoulders given how petite i am (usually wear 00 petite in all pants) and i think this size was perfect (fit across the back perfectly) when you lift your arms the way it is cut makes it really tight across the chest and shows your stomach. at the same time, the high low styling makes for a really strange shirt-tail in the back. i'm sure this is the trend but it really does not look cute</v>
      </c>
      <c r="F1457" s="13">
        <f>IFERROR(__xludf.DUMMYFUNCTION("""COMPUTED_VALUE"""),2.0)</f>
        <v>2</v>
      </c>
      <c r="G1457" s="13">
        <f>IFERROR(__xludf.DUMMYFUNCTION("""COMPUTED_VALUE"""),0.0)</f>
        <v>0</v>
      </c>
      <c r="H1457" s="13">
        <f>IFERROR(__xludf.DUMMYFUNCTION("""COMPUTED_VALUE"""),3.0)</f>
        <v>3</v>
      </c>
      <c r="I1457" s="13" t="str">
        <f>IFERROR(__xludf.DUMMYFUNCTION("""COMPUTED_VALUE"""),"General Petite")</f>
        <v>General Petite</v>
      </c>
      <c r="J1457" s="13" t="str">
        <f>IFERROR(__xludf.DUMMYFUNCTION("""COMPUTED_VALUE"""),"Tops")</f>
        <v>Tops</v>
      </c>
      <c r="K1457" s="13" t="str">
        <f>IFERROR(__xludf.DUMMYFUNCTION("""COMPUTED_VALUE"""),"Blouses")</f>
        <v>Blouses</v>
      </c>
      <c r="L1457" s="13"/>
    </row>
    <row r="1458">
      <c r="A1458" s="13">
        <f>IFERROR(__xludf.DUMMYFUNCTION("""COMPUTED_VALUE"""),1456.0)</f>
        <v>1456</v>
      </c>
      <c r="B1458" s="13">
        <f>IFERROR(__xludf.DUMMYFUNCTION("""COMPUTED_VALUE"""),411.0)</f>
        <v>411</v>
      </c>
      <c r="C1458" s="13">
        <f>IFERROR(__xludf.DUMMYFUNCTION("""COMPUTED_VALUE"""),38.0)</f>
        <v>38</v>
      </c>
      <c r="D1458" s="12" t="str">
        <f>IFERROR(__xludf.DUMMYFUNCTION("""COMPUTED_VALUE"""),"Too tight and too big at the same time.")</f>
        <v>Too tight and too big at the same time.</v>
      </c>
      <c r="E1458" s="12" t="str">
        <f>IFERROR(__xludf.DUMMYFUNCTION("""COMPUTED_VALUE"""),"I'm a 32-a, and i bought a small. i found that the tube portion is pretty tight, but probably needed to keep things up. because there is not a clasp in the front or back, it is really hard to get in and out of. i'd probably be ok with it, but the cups wer"&amp;"e too big for me. i think i would need to be a c to fill it.
the quality is really nice and the molded cups are a good shape. i wish i could have made it work, because it was really comfortable. i returned it in the end.")</f>
        <v>I'm a 32-a, and i bought a small. i found that the tube portion is pretty tight, but probably needed to keep things up. because there is not a clasp in the front or back, it is really hard to get in and out of. i'd probably be ok with it, but the cups were too big for me. i think i would need to be a c to fill it.
the quality is really nice and the molded cups are a good shape. i wish i could have made it work, because it was really comfortable. i returned it in the end.</v>
      </c>
      <c r="F1458" s="13">
        <f>IFERROR(__xludf.DUMMYFUNCTION("""COMPUTED_VALUE"""),3.0)</f>
        <v>3</v>
      </c>
      <c r="G1458" s="13">
        <f>IFERROR(__xludf.DUMMYFUNCTION("""COMPUTED_VALUE"""),1.0)</f>
        <v>1</v>
      </c>
      <c r="H1458" s="13">
        <f>IFERROR(__xludf.DUMMYFUNCTION("""COMPUTED_VALUE"""),0.0)</f>
        <v>0</v>
      </c>
      <c r="I1458" s="13" t="str">
        <f>IFERROR(__xludf.DUMMYFUNCTION("""COMPUTED_VALUE"""),"Initmates")</f>
        <v>Initmates</v>
      </c>
      <c r="J1458" s="13" t="str">
        <f>IFERROR(__xludf.DUMMYFUNCTION("""COMPUTED_VALUE"""),"Intimate")</f>
        <v>Intimate</v>
      </c>
      <c r="K1458" s="13" t="str">
        <f>IFERROR(__xludf.DUMMYFUNCTION("""COMPUTED_VALUE"""),"Intimates")</f>
        <v>Intimates</v>
      </c>
      <c r="L1458" s="13"/>
    </row>
    <row r="1459">
      <c r="A1459" s="13">
        <f>IFERROR(__xludf.DUMMYFUNCTION("""COMPUTED_VALUE"""),1457.0)</f>
        <v>1457</v>
      </c>
      <c r="B1459" s="13">
        <f>IFERROR(__xludf.DUMMYFUNCTION("""COMPUTED_VALUE"""),411.0)</f>
        <v>411</v>
      </c>
      <c r="C1459" s="13">
        <f>IFERROR(__xludf.DUMMYFUNCTION("""COMPUTED_VALUE"""),37.0)</f>
        <v>37</v>
      </c>
      <c r="D1459" s="12" t="str">
        <f>IFERROR(__xludf.DUMMYFUNCTION("""COMPUTED_VALUE"""),"Best strapless ever")</f>
        <v>Best strapless ever</v>
      </c>
      <c r="E1459" s="12" t="str">
        <f>IFERROR(__xludf.DUMMYFUNCTION("""COMPUTED_VALUE"""),"Hi ladies,
does this bra take a contortionist to put it on the first time? yes. did my boyfriend laugh at me hysterically while i tried to get it over the girls? yes. however, i am a large chested girl 34d, i bought the large and this is honestly the abso"&amp;"lute best, most comfortable, amazing, non hurting/poking best strapless bra i have ever owned. i just bought three more, just in case the first two wear out. i love this, i love how far it comes down on the sides, i love that it doesn't slip do")</f>
        <v>Hi ladies,
does this bra take a contortionist to put it on the first time? yes. did my boyfriend laugh at me hysterically while i tried to get it over the girls? yes. however, i am a large chested girl 34d, i bought the large and this is honestly the absolute best, most comfortable, amazing, non hurting/poking best strapless bra i have ever owned. i just bought three more, just in case the first two wear out. i love this, i love how far it comes down on the sides, i love that it doesn't slip do</v>
      </c>
      <c r="F1459" s="13">
        <f>IFERROR(__xludf.DUMMYFUNCTION("""COMPUTED_VALUE"""),5.0)</f>
        <v>5</v>
      </c>
      <c r="G1459" s="13">
        <f>IFERROR(__xludf.DUMMYFUNCTION("""COMPUTED_VALUE"""),1.0)</f>
        <v>1</v>
      </c>
      <c r="H1459" s="13">
        <f>IFERROR(__xludf.DUMMYFUNCTION("""COMPUTED_VALUE"""),0.0)</f>
        <v>0</v>
      </c>
      <c r="I1459" s="13" t="str">
        <f>IFERROR(__xludf.DUMMYFUNCTION("""COMPUTED_VALUE"""),"Initmates")</f>
        <v>Initmates</v>
      </c>
      <c r="J1459" s="13" t="str">
        <f>IFERROR(__xludf.DUMMYFUNCTION("""COMPUTED_VALUE"""),"Intimate")</f>
        <v>Intimate</v>
      </c>
      <c r="K1459" s="13" t="str">
        <f>IFERROR(__xludf.DUMMYFUNCTION("""COMPUTED_VALUE"""),"Intimates")</f>
        <v>Intimates</v>
      </c>
      <c r="L1459" s="13"/>
    </row>
    <row r="1460">
      <c r="A1460" s="13">
        <f>IFERROR(__xludf.DUMMYFUNCTION("""COMPUTED_VALUE"""),1458.0)</f>
        <v>1458</v>
      </c>
      <c r="B1460" s="13">
        <f>IFERROR(__xludf.DUMMYFUNCTION("""COMPUTED_VALUE"""),952.0)</f>
        <v>952</v>
      </c>
      <c r="C1460" s="13">
        <f>IFERROR(__xludf.DUMMYFUNCTION("""COMPUTED_VALUE"""),35.0)</f>
        <v>35</v>
      </c>
      <c r="D1460" s="12" t="str">
        <f>IFERROR(__xludf.DUMMYFUNCTION("""COMPUTED_VALUE"""),"Perfect")</f>
        <v>Perfect</v>
      </c>
      <c r="E1460" s="12" t="str">
        <f>IFERROR(__xludf.DUMMYFUNCTION("""COMPUTED_VALUE"""),"I just got this in the mail &amp; had to immediately write a review. i love it!. i took a risk &amp; ordered the xxs, which i assume is a 00. it fits me perfectly so i would say it runs large. i'm a true dress size 2 but usually wear a 0 or xs in us sizing. the s"&amp;"houlder length from seam to seam is about 14 inches. i'm 32c-24-34. hope this helps!")</f>
        <v>I just got this in the mail &amp; had to immediately write a review. i love it!. i took a risk &amp; ordered the xxs, which i assume is a 00. it fits me perfectly so i would say it runs large. i'm a true dress size 2 but usually wear a 0 or xs in us sizing. the shoulder length from seam to seam is about 14 inches. i'm 32c-24-34. hope this helps!</v>
      </c>
      <c r="F1460" s="13">
        <f>IFERROR(__xludf.DUMMYFUNCTION("""COMPUTED_VALUE"""),5.0)</f>
        <v>5</v>
      </c>
      <c r="G1460" s="13">
        <f>IFERROR(__xludf.DUMMYFUNCTION("""COMPUTED_VALUE"""),1.0)</f>
        <v>1</v>
      </c>
      <c r="H1460" s="13">
        <f>IFERROR(__xludf.DUMMYFUNCTION("""COMPUTED_VALUE"""),0.0)</f>
        <v>0</v>
      </c>
      <c r="I1460" s="13" t="str">
        <f>IFERROR(__xludf.DUMMYFUNCTION("""COMPUTED_VALUE"""),"General")</f>
        <v>General</v>
      </c>
      <c r="J1460" s="13" t="str">
        <f>IFERROR(__xludf.DUMMYFUNCTION("""COMPUTED_VALUE"""),"Tops")</f>
        <v>Tops</v>
      </c>
      <c r="K1460" s="13" t="str">
        <f>IFERROR(__xludf.DUMMYFUNCTION("""COMPUTED_VALUE"""),"Sweaters")</f>
        <v>Sweaters</v>
      </c>
      <c r="L1460" s="13"/>
    </row>
    <row r="1461">
      <c r="A1461" s="13">
        <f>IFERROR(__xludf.DUMMYFUNCTION("""COMPUTED_VALUE"""),1459.0)</f>
        <v>1459</v>
      </c>
      <c r="B1461" s="13">
        <f>IFERROR(__xludf.DUMMYFUNCTION("""COMPUTED_VALUE"""),829.0)</f>
        <v>829</v>
      </c>
      <c r="C1461" s="13">
        <f>IFERROR(__xludf.DUMMYFUNCTION("""COMPUTED_VALUE"""),34.0)</f>
        <v>34</v>
      </c>
      <c r="D1461" s="12" t="str">
        <f>IFERROR(__xludf.DUMMYFUNCTION("""COMPUTED_VALUE"""),"Love it")</f>
        <v>Love it</v>
      </c>
      <c r="E1461" s="12" t="str">
        <f>IFERROR(__xludf.DUMMYFUNCTION("""COMPUTED_VALUE"""),"This shirt feels so nice, it's heavier weight and so soft.. i think it's lyocel... such a great drape to the shirt that is so flattering. i am 5'8'' 128lbs and 34c/d and purchased a size 4. found this item to be true to size, if not slightly loose, but i "&amp;"love the flow of it. highly recommend, the green is classic and timeless, very versatile.")</f>
        <v>This shirt feels so nice, it's heavier weight and so soft.. i think it's lyocel... such a great drape to the shirt that is so flattering. i am 5'8'' 128lbs and 34c/d and purchased a size 4. found this item to be true to size, if not slightly loose, but i love the flow of it. highly recommend, the green is classic and timeless, very versatile.</v>
      </c>
      <c r="F1461" s="13">
        <f>IFERROR(__xludf.DUMMYFUNCTION("""COMPUTED_VALUE"""),5.0)</f>
        <v>5</v>
      </c>
      <c r="G1461" s="13">
        <f>IFERROR(__xludf.DUMMYFUNCTION("""COMPUTED_VALUE"""),1.0)</f>
        <v>1</v>
      </c>
      <c r="H1461" s="13">
        <f>IFERROR(__xludf.DUMMYFUNCTION("""COMPUTED_VALUE"""),3.0)</f>
        <v>3</v>
      </c>
      <c r="I1461" s="13" t="str">
        <f>IFERROR(__xludf.DUMMYFUNCTION("""COMPUTED_VALUE"""),"General")</f>
        <v>General</v>
      </c>
      <c r="J1461" s="13" t="str">
        <f>IFERROR(__xludf.DUMMYFUNCTION("""COMPUTED_VALUE"""),"Tops")</f>
        <v>Tops</v>
      </c>
      <c r="K1461" s="13" t="str">
        <f>IFERROR(__xludf.DUMMYFUNCTION("""COMPUTED_VALUE"""),"Blouses")</f>
        <v>Blouses</v>
      </c>
      <c r="L1461" s="13"/>
    </row>
    <row r="1462">
      <c r="A1462" s="13">
        <f>IFERROR(__xludf.DUMMYFUNCTION("""COMPUTED_VALUE"""),1460.0)</f>
        <v>1460</v>
      </c>
      <c r="B1462" s="13">
        <f>IFERROR(__xludf.DUMMYFUNCTION("""COMPUTED_VALUE"""),829.0)</f>
        <v>829</v>
      </c>
      <c r="C1462" s="13">
        <f>IFERROR(__xludf.DUMMYFUNCTION("""COMPUTED_VALUE"""),34.0)</f>
        <v>34</v>
      </c>
      <c r="D1462" s="12" t="str">
        <f>IFERROR(__xludf.DUMMYFUNCTION("""COMPUTED_VALUE"""),"Great shirt")</f>
        <v>Great shirt</v>
      </c>
      <c r="E1462" s="12" t="str">
        <f>IFERROR(__xludf.DUMMYFUNCTION("""COMPUTED_VALUE"""),"Love it! the light blue is a gorgeous color. i thought this might be more chambray, but i'm happy it's not. it's also stitched at the top so no awkward accidental peep show or need for annoying tape.")</f>
        <v>Love it! the light blue is a gorgeous color. i thought this might be more chambray, but i'm happy it's not. it's also stitched at the top so no awkward accidental peep show or need for annoying tape.</v>
      </c>
      <c r="F1462" s="13">
        <f>IFERROR(__xludf.DUMMYFUNCTION("""COMPUTED_VALUE"""),5.0)</f>
        <v>5</v>
      </c>
      <c r="G1462" s="13">
        <f>IFERROR(__xludf.DUMMYFUNCTION("""COMPUTED_VALUE"""),1.0)</f>
        <v>1</v>
      </c>
      <c r="H1462" s="13">
        <f>IFERROR(__xludf.DUMMYFUNCTION("""COMPUTED_VALUE"""),3.0)</f>
        <v>3</v>
      </c>
      <c r="I1462" s="13" t="str">
        <f>IFERROR(__xludf.DUMMYFUNCTION("""COMPUTED_VALUE"""),"General")</f>
        <v>General</v>
      </c>
      <c r="J1462" s="13" t="str">
        <f>IFERROR(__xludf.DUMMYFUNCTION("""COMPUTED_VALUE"""),"Tops")</f>
        <v>Tops</v>
      </c>
      <c r="K1462" s="13" t="str">
        <f>IFERROR(__xludf.DUMMYFUNCTION("""COMPUTED_VALUE"""),"Blouses")</f>
        <v>Blouses</v>
      </c>
      <c r="L1462" s="13"/>
    </row>
    <row r="1463">
      <c r="A1463" s="13">
        <f>IFERROR(__xludf.DUMMYFUNCTION("""COMPUTED_VALUE"""),1461.0)</f>
        <v>1461</v>
      </c>
      <c r="B1463" s="13">
        <f>IFERROR(__xludf.DUMMYFUNCTION("""COMPUTED_VALUE"""),829.0)</f>
        <v>829</v>
      </c>
      <c r="C1463" s="13">
        <f>IFERROR(__xludf.DUMMYFUNCTION("""COMPUTED_VALUE"""),49.0)</f>
        <v>49</v>
      </c>
      <c r="D1463" s="12" t="str">
        <f>IFERROR(__xludf.DUMMYFUNCTION("""COMPUTED_VALUE"""),"Great purchase")</f>
        <v>Great purchase</v>
      </c>
      <c r="E1463" s="12" t="str">
        <f>IFERROR(__xludf.DUMMYFUNCTION("""COMPUTED_VALUE"""),"Love this top! i bought it last month in the olive green color and love it. great quality fabric, comfortable and can be dressed up or down.")</f>
        <v>Love this top! i bought it last month in the olive green color and love it. great quality fabric, comfortable and can be dressed up or down.</v>
      </c>
      <c r="F1463" s="13">
        <f>IFERROR(__xludf.DUMMYFUNCTION("""COMPUTED_VALUE"""),5.0)</f>
        <v>5</v>
      </c>
      <c r="G1463" s="13">
        <f>IFERROR(__xludf.DUMMYFUNCTION("""COMPUTED_VALUE"""),1.0)</f>
        <v>1</v>
      </c>
      <c r="H1463" s="13">
        <f>IFERROR(__xludf.DUMMYFUNCTION("""COMPUTED_VALUE"""),0.0)</f>
        <v>0</v>
      </c>
      <c r="I1463" s="13" t="str">
        <f>IFERROR(__xludf.DUMMYFUNCTION("""COMPUTED_VALUE"""),"General")</f>
        <v>General</v>
      </c>
      <c r="J1463" s="13" t="str">
        <f>IFERROR(__xludf.DUMMYFUNCTION("""COMPUTED_VALUE"""),"Tops")</f>
        <v>Tops</v>
      </c>
      <c r="K1463" s="13" t="str">
        <f>IFERROR(__xludf.DUMMYFUNCTION("""COMPUTED_VALUE"""),"Blouses")</f>
        <v>Blouses</v>
      </c>
      <c r="L1463" s="13"/>
    </row>
    <row r="1464">
      <c r="A1464" s="13">
        <f>IFERROR(__xludf.DUMMYFUNCTION("""COMPUTED_VALUE"""),1462.0)</f>
        <v>1462</v>
      </c>
      <c r="B1464" s="13">
        <f>IFERROR(__xludf.DUMMYFUNCTION("""COMPUTED_VALUE"""),411.0)</f>
        <v>411</v>
      </c>
      <c r="C1464" s="13">
        <f>IFERROR(__xludf.DUMMYFUNCTION("""COMPUTED_VALUE"""),29.0)</f>
        <v>29</v>
      </c>
      <c r="D1464" s="12" t="str">
        <f>IFERROR(__xludf.DUMMYFUNCTION("""COMPUTED_VALUE"""),"Runs very small")</f>
        <v>Runs very small</v>
      </c>
      <c r="E1464" s="12" t="str">
        <f>IFERROR(__xludf.DUMMYFUNCTION("""COMPUTED_VALUE"""),"This bra runs very small, and is hard to get on and off. i think if i went a size up i would be happier.")</f>
        <v>This bra runs very small, and is hard to get on and off. i think if i went a size up i would be happier.</v>
      </c>
      <c r="F1464" s="13">
        <f>IFERROR(__xludf.DUMMYFUNCTION("""COMPUTED_VALUE"""),2.0)</f>
        <v>2</v>
      </c>
      <c r="G1464" s="13">
        <f>IFERROR(__xludf.DUMMYFUNCTION("""COMPUTED_VALUE"""),0.0)</f>
        <v>0</v>
      </c>
      <c r="H1464" s="13">
        <f>IFERROR(__xludf.DUMMYFUNCTION("""COMPUTED_VALUE"""),0.0)</f>
        <v>0</v>
      </c>
      <c r="I1464" s="13" t="str">
        <f>IFERROR(__xludf.DUMMYFUNCTION("""COMPUTED_VALUE"""),"Initmates")</f>
        <v>Initmates</v>
      </c>
      <c r="J1464" s="13" t="str">
        <f>IFERROR(__xludf.DUMMYFUNCTION("""COMPUTED_VALUE"""),"Intimate")</f>
        <v>Intimate</v>
      </c>
      <c r="K1464" s="13" t="str">
        <f>IFERROR(__xludf.DUMMYFUNCTION("""COMPUTED_VALUE"""),"Intimates")</f>
        <v>Intimates</v>
      </c>
      <c r="L1464" s="13"/>
    </row>
    <row r="1465">
      <c r="A1465" s="13">
        <f>IFERROR(__xludf.DUMMYFUNCTION("""COMPUTED_VALUE"""),1463.0)</f>
        <v>1463</v>
      </c>
      <c r="B1465" s="13">
        <f>IFERROR(__xludf.DUMMYFUNCTION("""COMPUTED_VALUE"""),839.0)</f>
        <v>839</v>
      </c>
      <c r="C1465" s="13">
        <f>IFERROR(__xludf.DUMMYFUNCTION("""COMPUTED_VALUE"""),44.0)</f>
        <v>44</v>
      </c>
      <c r="D1465" s="12" t="str">
        <f>IFERROR(__xludf.DUMMYFUNCTION("""COMPUTED_VALUE"""),"Much thinner")</f>
        <v>Much thinner</v>
      </c>
      <c r="E1465" s="12" t="str">
        <f>IFERROR(__xludf.DUMMYFUNCTION("""COMPUTED_VALUE"""),"I was so excited to receive this top but was immediately disappointed! it is much thinner than it seems &amp; it almost feels like a cheap top. it's also see-through but i'm not bothered by that. it has a very boxy cut which i like with slimmer bottoms. but o"&amp;"verall, i didn't care for this top &amp; expected it to be more structured &amp; stiff rather than flimsy &amp; thin. it's going back...")</f>
        <v>I was so excited to receive this top but was immediately disappointed! it is much thinner than it seems &amp; it almost feels like a cheap top. it's also see-through but i'm not bothered by that. it has a very boxy cut which i like with slimmer bottoms. but overall, i didn't care for this top &amp; expected it to be more structured &amp; stiff rather than flimsy &amp; thin. it's going back...</v>
      </c>
      <c r="F1465" s="13">
        <f>IFERROR(__xludf.DUMMYFUNCTION("""COMPUTED_VALUE"""),3.0)</f>
        <v>3</v>
      </c>
      <c r="G1465" s="13">
        <f>IFERROR(__xludf.DUMMYFUNCTION("""COMPUTED_VALUE"""),1.0)</f>
        <v>1</v>
      </c>
      <c r="H1465" s="13">
        <f>IFERROR(__xludf.DUMMYFUNCTION("""COMPUTED_VALUE"""),3.0)</f>
        <v>3</v>
      </c>
      <c r="I1465" s="13" t="str">
        <f>IFERROR(__xludf.DUMMYFUNCTION("""COMPUTED_VALUE"""),"General")</f>
        <v>General</v>
      </c>
      <c r="J1465" s="13" t="str">
        <f>IFERROR(__xludf.DUMMYFUNCTION("""COMPUTED_VALUE"""),"Tops")</f>
        <v>Tops</v>
      </c>
      <c r="K1465" s="13" t="str">
        <f>IFERROR(__xludf.DUMMYFUNCTION("""COMPUTED_VALUE"""),"Blouses")</f>
        <v>Blouses</v>
      </c>
      <c r="L1465" s="13"/>
    </row>
    <row r="1466">
      <c r="A1466" s="13">
        <f>IFERROR(__xludf.DUMMYFUNCTION("""COMPUTED_VALUE"""),1464.0)</f>
        <v>1464</v>
      </c>
      <c r="B1466" s="13">
        <f>IFERROR(__xludf.DUMMYFUNCTION("""COMPUTED_VALUE"""),411.0)</f>
        <v>411</v>
      </c>
      <c r="C1466" s="13">
        <f>IFERROR(__xludf.DUMMYFUNCTION("""COMPUTED_VALUE"""),48.0)</f>
        <v>48</v>
      </c>
      <c r="D1466" s="12" t="str">
        <f>IFERROR(__xludf.DUMMYFUNCTION("""COMPUTED_VALUE"""),"Good luck getting it on!")</f>
        <v>Good luck getting it on!</v>
      </c>
      <c r="E1466" s="12" t="str">
        <f>IFERROR(__xludf.DUMMYFUNCTION("""COMPUTED_VALUE"""),"You have to be a contortionist to get this bra on. it slips over your head and i needed my 8yo daughter to help me pull it down past my elbows. ridiculously impractical. why oh why didn't heather give it a hook and loop closure instead?")</f>
        <v>You have to be a contortionist to get this bra on. it slips over your head and i needed my 8yo daughter to help me pull it down past my elbows. ridiculously impractical. why oh why didn't heather give it a hook and loop closure instead?</v>
      </c>
      <c r="F1466" s="13">
        <f>IFERROR(__xludf.DUMMYFUNCTION("""COMPUTED_VALUE"""),2.0)</f>
        <v>2</v>
      </c>
      <c r="G1466" s="13">
        <f>IFERROR(__xludf.DUMMYFUNCTION("""COMPUTED_VALUE"""),0.0)</f>
        <v>0</v>
      </c>
      <c r="H1466" s="13">
        <f>IFERROR(__xludf.DUMMYFUNCTION("""COMPUTED_VALUE"""),1.0)</f>
        <v>1</v>
      </c>
      <c r="I1466" s="13" t="str">
        <f>IFERROR(__xludf.DUMMYFUNCTION("""COMPUTED_VALUE"""),"Initmates")</f>
        <v>Initmates</v>
      </c>
      <c r="J1466" s="13" t="str">
        <f>IFERROR(__xludf.DUMMYFUNCTION("""COMPUTED_VALUE"""),"Intimate")</f>
        <v>Intimate</v>
      </c>
      <c r="K1466" s="13" t="str">
        <f>IFERROR(__xludf.DUMMYFUNCTION("""COMPUTED_VALUE"""),"Intimates")</f>
        <v>Intimates</v>
      </c>
      <c r="L1466" s="13"/>
    </row>
    <row r="1467">
      <c r="A1467" s="13">
        <f>IFERROR(__xludf.DUMMYFUNCTION("""COMPUTED_VALUE"""),1465.0)</f>
        <v>1465</v>
      </c>
      <c r="B1467" s="13">
        <f>IFERROR(__xludf.DUMMYFUNCTION("""COMPUTED_VALUE"""),839.0)</f>
        <v>839</v>
      </c>
      <c r="C1467" s="13">
        <f>IFERROR(__xludf.DUMMYFUNCTION("""COMPUTED_VALUE"""),23.0)</f>
        <v>23</v>
      </c>
      <c r="D1467" s="12" t="str">
        <f>IFERROR(__xludf.DUMMYFUNCTION("""COMPUTED_VALUE"""),"Very versatile")</f>
        <v>Very versatile</v>
      </c>
      <c r="E1467" s="12" t="str">
        <f>IFERROR(__xludf.DUMMYFUNCTION("""COMPUTED_VALUE"""),"I love this top, i dress it up when i need to be more professional and i dress it down with a pair of cutoffs when it's warm. it is delicate, however, so i try not to wash it too frequently. the front is a bit boxy, which the model demonstrates. the model"&amp;" really encompasses the crisp whiteness of the shirt, the flow of it and the length.")</f>
        <v>I love this top, i dress it up when i need to be more professional and i dress it down with a pair of cutoffs when it's warm. it is delicate, however, so i try not to wash it too frequently. the front is a bit boxy, which the model demonstrates. the model really encompasses the crisp whiteness of the shirt, the flow of it and the length.</v>
      </c>
      <c r="F1467" s="13">
        <f>IFERROR(__xludf.DUMMYFUNCTION("""COMPUTED_VALUE"""),5.0)</f>
        <v>5</v>
      </c>
      <c r="G1467" s="13">
        <f>IFERROR(__xludf.DUMMYFUNCTION("""COMPUTED_VALUE"""),1.0)</f>
        <v>1</v>
      </c>
      <c r="H1467" s="13">
        <f>IFERROR(__xludf.DUMMYFUNCTION("""COMPUTED_VALUE"""),0.0)</f>
        <v>0</v>
      </c>
      <c r="I1467" s="13" t="str">
        <f>IFERROR(__xludf.DUMMYFUNCTION("""COMPUTED_VALUE"""),"General")</f>
        <v>General</v>
      </c>
      <c r="J1467" s="13" t="str">
        <f>IFERROR(__xludf.DUMMYFUNCTION("""COMPUTED_VALUE"""),"Tops")</f>
        <v>Tops</v>
      </c>
      <c r="K1467" s="13" t="str">
        <f>IFERROR(__xludf.DUMMYFUNCTION("""COMPUTED_VALUE"""),"Blouses")</f>
        <v>Blouses</v>
      </c>
      <c r="L1467" s="13"/>
    </row>
    <row r="1468">
      <c r="A1468" s="13">
        <f>IFERROR(__xludf.DUMMYFUNCTION("""COMPUTED_VALUE"""),1466.0)</f>
        <v>1466</v>
      </c>
      <c r="B1468" s="13">
        <f>IFERROR(__xludf.DUMMYFUNCTION("""COMPUTED_VALUE"""),952.0)</f>
        <v>952</v>
      </c>
      <c r="C1468" s="13">
        <f>IFERROR(__xludf.DUMMYFUNCTION("""COMPUTED_VALUE"""),45.0)</f>
        <v>45</v>
      </c>
      <c r="D1468" s="12" t="str">
        <f>IFERROR(__xludf.DUMMYFUNCTION("""COMPUTED_VALUE"""),"Cute but itchy")</f>
        <v>Cute but itchy</v>
      </c>
      <c r="E1468" s="12" t="str">
        <f>IFERROR(__xludf.DUMMYFUNCTION("""COMPUTED_VALUE"""),"Great fit and design but the wool is too itchy and rough. will need a layer underneath")</f>
        <v>Great fit and design but the wool is too itchy and rough. will need a layer underneath</v>
      </c>
      <c r="F1468" s="13">
        <f>IFERROR(__xludf.DUMMYFUNCTION("""COMPUTED_VALUE"""),4.0)</f>
        <v>4</v>
      </c>
      <c r="G1468" s="13">
        <f>IFERROR(__xludf.DUMMYFUNCTION("""COMPUTED_VALUE"""),1.0)</f>
        <v>1</v>
      </c>
      <c r="H1468" s="13">
        <f>IFERROR(__xludf.DUMMYFUNCTION("""COMPUTED_VALUE"""),6.0)</f>
        <v>6</v>
      </c>
      <c r="I1468" s="13" t="str">
        <f>IFERROR(__xludf.DUMMYFUNCTION("""COMPUTED_VALUE"""),"General")</f>
        <v>General</v>
      </c>
      <c r="J1468" s="13" t="str">
        <f>IFERROR(__xludf.DUMMYFUNCTION("""COMPUTED_VALUE"""),"Tops")</f>
        <v>Tops</v>
      </c>
      <c r="K1468" s="13" t="str">
        <f>IFERROR(__xludf.DUMMYFUNCTION("""COMPUTED_VALUE"""),"Sweaters")</f>
        <v>Sweaters</v>
      </c>
      <c r="L1468" s="13"/>
    </row>
    <row r="1469">
      <c r="A1469" s="13">
        <f>IFERROR(__xludf.DUMMYFUNCTION("""COMPUTED_VALUE"""),1467.0)</f>
        <v>1467</v>
      </c>
      <c r="B1469" s="13">
        <f>IFERROR(__xludf.DUMMYFUNCTION("""COMPUTED_VALUE"""),829.0)</f>
        <v>829</v>
      </c>
      <c r="C1469" s="13">
        <f>IFERROR(__xludf.DUMMYFUNCTION("""COMPUTED_VALUE"""),38.0)</f>
        <v>38</v>
      </c>
      <c r="D1469" s="12" t="str">
        <f>IFERROR(__xludf.DUMMYFUNCTION("""COMPUTED_VALUE"""),"Would love the cut but")</f>
        <v>Would love the cut but</v>
      </c>
      <c r="E1469" s="12" t="str">
        <f>IFERROR(__xludf.DUMMYFUNCTION("""COMPUTED_VALUE"""),"This was going to be my go to top. i loved the look of the billowy shirt, especially in light blue. when it arrived, i knew it wouldn't work for my body. i'm athletic build with muscular upper arms and a d cup. i tried it on anyway. i really wish it fit. "&amp;"it was snug in the upper arms and pulled a bit in the front. i knew if i ordered a size up the arms would still be tight. it's just the cut of the shirt. this top is best for someone that isn't busty and has slender upper arms.")</f>
        <v>This was going to be my go to top. i loved the look of the billowy shirt, especially in light blue. when it arrived, i knew it wouldn't work for my body. i'm athletic build with muscular upper arms and a d cup. i tried it on anyway. i really wish it fit. it was snug in the upper arms and pulled a bit in the front. i knew if i ordered a size up the arms would still be tight. it's just the cut of the shirt. this top is best for someone that isn't busty and has slender upper arms.</v>
      </c>
      <c r="F1469" s="13">
        <f>IFERROR(__xludf.DUMMYFUNCTION("""COMPUTED_VALUE"""),3.0)</f>
        <v>3</v>
      </c>
      <c r="G1469" s="13">
        <f>IFERROR(__xludf.DUMMYFUNCTION("""COMPUTED_VALUE"""),0.0)</f>
        <v>0</v>
      </c>
      <c r="H1469" s="13">
        <f>IFERROR(__xludf.DUMMYFUNCTION("""COMPUTED_VALUE"""),17.0)</f>
        <v>17</v>
      </c>
      <c r="I1469" s="13" t="str">
        <f>IFERROR(__xludf.DUMMYFUNCTION("""COMPUTED_VALUE"""),"General")</f>
        <v>General</v>
      </c>
      <c r="J1469" s="13" t="str">
        <f>IFERROR(__xludf.DUMMYFUNCTION("""COMPUTED_VALUE"""),"Tops")</f>
        <v>Tops</v>
      </c>
      <c r="K1469" s="13" t="str">
        <f>IFERROR(__xludf.DUMMYFUNCTION("""COMPUTED_VALUE"""),"Blouses")</f>
        <v>Blouses</v>
      </c>
      <c r="L1469" s="13"/>
    </row>
    <row r="1470">
      <c r="A1470" s="13">
        <f>IFERROR(__xludf.DUMMYFUNCTION("""COMPUTED_VALUE"""),1468.0)</f>
        <v>1468</v>
      </c>
      <c r="B1470" s="13">
        <f>IFERROR(__xludf.DUMMYFUNCTION("""COMPUTED_VALUE"""),411.0)</f>
        <v>411</v>
      </c>
      <c r="C1470" s="13">
        <f>IFERROR(__xludf.DUMMYFUNCTION("""COMPUTED_VALUE"""),41.0)</f>
        <v>41</v>
      </c>
      <c r="D1470" s="12" t="str">
        <f>IFERROR(__xludf.DUMMYFUNCTION("""COMPUTED_VALUE"""),"Comfortable strapless")</f>
        <v>Comfortable strapless</v>
      </c>
      <c r="E1470" s="12" t="str">
        <f>IFERROR(__xludf.DUMMYFUNCTION("""COMPUTED_VALUE"""),"While there us no clasp and this bra does require you to pull it over your head, i did not find it to be too difficult. i love that the bra stays in place and that i do not have to constantly pull it up throughout the day! it's quite comfortable too. i wi"&amp;"sh i had ordered the same bra with the straps too before they sold out of my size!")</f>
        <v>While there us no clasp and this bra does require you to pull it over your head, i did not find it to be too difficult. i love that the bra stays in place and that i do not have to constantly pull it up throughout the day! it's quite comfortable too. i wish i had ordered the same bra with the straps too before they sold out of my size!</v>
      </c>
      <c r="F1470" s="13">
        <f>IFERROR(__xludf.DUMMYFUNCTION("""COMPUTED_VALUE"""),5.0)</f>
        <v>5</v>
      </c>
      <c r="G1470" s="13">
        <f>IFERROR(__xludf.DUMMYFUNCTION("""COMPUTED_VALUE"""),1.0)</f>
        <v>1</v>
      </c>
      <c r="H1470" s="13">
        <f>IFERROR(__xludf.DUMMYFUNCTION("""COMPUTED_VALUE"""),2.0)</f>
        <v>2</v>
      </c>
      <c r="I1470" s="13" t="str">
        <f>IFERROR(__xludf.DUMMYFUNCTION("""COMPUTED_VALUE"""),"Initmates")</f>
        <v>Initmates</v>
      </c>
      <c r="J1470" s="13" t="str">
        <f>IFERROR(__xludf.DUMMYFUNCTION("""COMPUTED_VALUE"""),"Intimate")</f>
        <v>Intimate</v>
      </c>
      <c r="K1470" s="13" t="str">
        <f>IFERROR(__xludf.DUMMYFUNCTION("""COMPUTED_VALUE"""),"Intimates")</f>
        <v>Intimates</v>
      </c>
      <c r="L1470" s="13"/>
    </row>
    <row r="1471">
      <c r="A1471" s="13">
        <f>IFERROR(__xludf.DUMMYFUNCTION("""COMPUTED_VALUE"""),1469.0)</f>
        <v>1469</v>
      </c>
      <c r="B1471" s="13">
        <f>IFERROR(__xludf.DUMMYFUNCTION("""COMPUTED_VALUE"""),952.0)</f>
        <v>952</v>
      </c>
      <c r="C1471" s="13">
        <f>IFERROR(__xludf.DUMMYFUNCTION("""COMPUTED_VALUE"""),53.0)</f>
        <v>53</v>
      </c>
      <c r="D1471" s="12" t="str">
        <f>IFERROR(__xludf.DUMMYFUNCTION("""COMPUTED_VALUE"""),"My new favorite pullover")</f>
        <v>My new favorite pullover</v>
      </c>
      <c r="E1471" s="12" t="str">
        <f>IFERROR(__xludf.DUMMYFUNCTION("""COMPUTED_VALUE"""),"Slighty fitted, flattering, very soft and not itchy. the orange is a very nice color.")</f>
        <v>Slighty fitted, flattering, very soft and not itchy. the orange is a very nice color.</v>
      </c>
      <c r="F1471" s="13">
        <f>IFERROR(__xludf.DUMMYFUNCTION("""COMPUTED_VALUE"""),5.0)</f>
        <v>5</v>
      </c>
      <c r="G1471" s="13">
        <f>IFERROR(__xludf.DUMMYFUNCTION("""COMPUTED_VALUE"""),1.0)</f>
        <v>1</v>
      </c>
      <c r="H1471" s="13">
        <f>IFERROR(__xludf.DUMMYFUNCTION("""COMPUTED_VALUE"""),0.0)</f>
        <v>0</v>
      </c>
      <c r="I1471" s="13" t="str">
        <f>IFERROR(__xludf.DUMMYFUNCTION("""COMPUTED_VALUE"""),"General")</f>
        <v>General</v>
      </c>
      <c r="J1471" s="13" t="str">
        <f>IFERROR(__xludf.DUMMYFUNCTION("""COMPUTED_VALUE"""),"Tops")</f>
        <v>Tops</v>
      </c>
      <c r="K1471" s="13" t="str">
        <f>IFERROR(__xludf.DUMMYFUNCTION("""COMPUTED_VALUE"""),"Sweaters")</f>
        <v>Sweaters</v>
      </c>
      <c r="L1471" s="13"/>
    </row>
    <row r="1472">
      <c r="A1472" s="13">
        <f>IFERROR(__xludf.DUMMYFUNCTION("""COMPUTED_VALUE"""),1470.0)</f>
        <v>1470</v>
      </c>
      <c r="B1472" s="13">
        <f>IFERROR(__xludf.DUMMYFUNCTION("""COMPUTED_VALUE"""),1072.0)</f>
        <v>1072</v>
      </c>
      <c r="C1472" s="13">
        <f>IFERROR(__xludf.DUMMYFUNCTION("""COMPUTED_VALUE"""),29.0)</f>
        <v>29</v>
      </c>
      <c r="D1472" s="12" t="str">
        <f>IFERROR(__xludf.DUMMYFUNCTION("""COMPUTED_VALUE"""),"Top gapes open")</f>
        <v>Top gapes open</v>
      </c>
      <c r="E1472" s="12" t="str">
        <f>IFERROR(__xludf.DUMMYFUNCTION("""COMPUTED_VALUE"""),"I was looking for an oversized silhouette but this is more like a beach cover-up. the waist does not have elastic or any structure. the top fabric is crossed over but not sewn closed, and because the fit is so loose it just gaps open. the fabric is nice q"&amp;"uality but i am returning.")</f>
        <v>I was looking for an oversized silhouette but this is more like a beach cover-up. the waist does not have elastic or any structure. the top fabric is crossed over but not sewn closed, and because the fit is so loose it just gaps open. the fabric is nice quality but i am returning.</v>
      </c>
      <c r="F1472" s="13">
        <f>IFERROR(__xludf.DUMMYFUNCTION("""COMPUTED_VALUE"""),2.0)</f>
        <v>2</v>
      </c>
      <c r="G1472" s="13">
        <f>IFERROR(__xludf.DUMMYFUNCTION("""COMPUTED_VALUE"""),0.0)</f>
        <v>0</v>
      </c>
      <c r="H1472" s="13">
        <f>IFERROR(__xludf.DUMMYFUNCTION("""COMPUTED_VALUE"""),2.0)</f>
        <v>2</v>
      </c>
      <c r="I1472" s="13" t="str">
        <f>IFERROR(__xludf.DUMMYFUNCTION("""COMPUTED_VALUE"""),"General")</f>
        <v>General</v>
      </c>
      <c r="J1472" s="13" t="str">
        <f>IFERROR(__xludf.DUMMYFUNCTION("""COMPUTED_VALUE"""),"Dresses")</f>
        <v>Dresses</v>
      </c>
      <c r="K1472" s="13" t="str">
        <f>IFERROR(__xludf.DUMMYFUNCTION("""COMPUTED_VALUE"""),"Dresses")</f>
        <v>Dresses</v>
      </c>
      <c r="L1472" s="13"/>
    </row>
    <row r="1473">
      <c r="A1473" s="13">
        <f>IFERROR(__xludf.DUMMYFUNCTION("""COMPUTED_VALUE"""),1471.0)</f>
        <v>1471</v>
      </c>
      <c r="B1473" s="13">
        <f>IFERROR(__xludf.DUMMYFUNCTION("""COMPUTED_VALUE"""),993.0)</f>
        <v>993</v>
      </c>
      <c r="C1473" s="13">
        <f>IFERROR(__xludf.DUMMYFUNCTION("""COMPUTED_VALUE"""),35.0)</f>
        <v>35</v>
      </c>
      <c r="D1473" s="12"/>
      <c r="E1473" s="12"/>
      <c r="F1473" s="13">
        <f>IFERROR(__xludf.DUMMYFUNCTION("""COMPUTED_VALUE"""),3.0)</f>
        <v>3</v>
      </c>
      <c r="G1473" s="13">
        <f>IFERROR(__xludf.DUMMYFUNCTION("""COMPUTED_VALUE"""),0.0)</f>
        <v>0</v>
      </c>
      <c r="H1473" s="13">
        <f>IFERROR(__xludf.DUMMYFUNCTION("""COMPUTED_VALUE"""),0.0)</f>
        <v>0</v>
      </c>
      <c r="I1473" s="13" t="str">
        <f>IFERROR(__xludf.DUMMYFUNCTION("""COMPUTED_VALUE"""),"General Petite")</f>
        <v>General Petite</v>
      </c>
      <c r="J1473" s="13" t="str">
        <f>IFERROR(__xludf.DUMMYFUNCTION("""COMPUTED_VALUE"""),"Bottoms")</f>
        <v>Bottoms</v>
      </c>
      <c r="K1473" s="13" t="str">
        <f>IFERROR(__xludf.DUMMYFUNCTION("""COMPUTED_VALUE"""),"Skirts")</f>
        <v>Skirts</v>
      </c>
      <c r="L1473" s="13"/>
    </row>
    <row r="1474">
      <c r="A1474" s="13">
        <f>IFERROR(__xludf.DUMMYFUNCTION("""COMPUTED_VALUE"""),1472.0)</f>
        <v>1472</v>
      </c>
      <c r="B1474" s="13">
        <f>IFERROR(__xludf.DUMMYFUNCTION("""COMPUTED_VALUE"""),829.0)</f>
        <v>829</v>
      </c>
      <c r="C1474" s="13">
        <f>IFERROR(__xludf.DUMMYFUNCTION("""COMPUTED_VALUE"""),33.0)</f>
        <v>33</v>
      </c>
      <c r="D1474" s="12" t="str">
        <f>IFERROR(__xludf.DUMMYFUNCTION("""COMPUTED_VALUE"""),"Great top to transition to fall!")</f>
        <v>Great top to transition to fall!</v>
      </c>
      <c r="E1474" s="12" t="str">
        <f>IFERROR(__xludf.DUMMYFUNCTION("""COMPUTED_VALUE"""),"I got tons of compliments when i wore this top out a couple weeks ago. it is a little bit shorter than i thought, and a little bit loose (not ""baggy"" but just kind of hangs). if you have a larger chest, this may not be super-flattering. the color is rea"&amp;"lly pretty and looked great with dark skinnies. i bought my normal size (after trying on a size down, which was just too short...and i'm 5'2)")</f>
        <v>I got tons of compliments when i wore this top out a couple weeks ago. it is a little bit shorter than i thought, and a little bit loose (not "baggy" but just kind of hangs). if you have a larger chest, this may not be super-flattering. the color is really pretty and looked great with dark skinnies. i bought my normal size (after trying on a size down, which was just too short...and i'm 5'2)</v>
      </c>
      <c r="F1474" s="13">
        <f>IFERROR(__xludf.DUMMYFUNCTION("""COMPUTED_VALUE"""),4.0)</f>
        <v>4</v>
      </c>
      <c r="G1474" s="13">
        <f>IFERROR(__xludf.DUMMYFUNCTION("""COMPUTED_VALUE"""),1.0)</f>
        <v>1</v>
      </c>
      <c r="H1474" s="13">
        <f>IFERROR(__xludf.DUMMYFUNCTION("""COMPUTED_VALUE"""),0.0)</f>
        <v>0</v>
      </c>
      <c r="I1474" s="13" t="str">
        <f>IFERROR(__xludf.DUMMYFUNCTION("""COMPUTED_VALUE"""),"General")</f>
        <v>General</v>
      </c>
      <c r="J1474" s="13" t="str">
        <f>IFERROR(__xludf.DUMMYFUNCTION("""COMPUTED_VALUE"""),"Tops")</f>
        <v>Tops</v>
      </c>
      <c r="K1474" s="13" t="str">
        <f>IFERROR(__xludf.DUMMYFUNCTION("""COMPUTED_VALUE"""),"Blouses")</f>
        <v>Blouses</v>
      </c>
      <c r="L1474" s="13"/>
    </row>
    <row r="1475">
      <c r="A1475" s="13">
        <f>IFERROR(__xludf.DUMMYFUNCTION("""COMPUTED_VALUE"""),1473.0)</f>
        <v>1473</v>
      </c>
      <c r="B1475" s="13">
        <f>IFERROR(__xludf.DUMMYFUNCTION("""COMPUTED_VALUE"""),829.0)</f>
        <v>829</v>
      </c>
      <c r="C1475" s="13">
        <f>IFERROR(__xludf.DUMMYFUNCTION("""COMPUTED_VALUE"""),28.0)</f>
        <v>28</v>
      </c>
      <c r="D1475" s="12" t="str">
        <f>IFERROR(__xludf.DUMMYFUNCTION("""COMPUTED_VALUE"""),"Nice shirt")</f>
        <v>Nice shirt</v>
      </c>
      <c r="E1475" s="12" t="str">
        <f>IFERROR(__xludf.DUMMYFUNCTION("""COMPUTED_VALUE"""),"I loved the color and the style of the sleeves.  it was a bit too short on me and i thought it made me look boxy so i didn't end up keeping it")</f>
        <v>I loved the color and the style of the sleeves.  it was a bit too short on me and i thought it made me look boxy so i didn't end up keeping it</v>
      </c>
      <c r="F1475" s="13">
        <f>IFERROR(__xludf.DUMMYFUNCTION("""COMPUTED_VALUE"""),4.0)</f>
        <v>4</v>
      </c>
      <c r="G1475" s="13">
        <f>IFERROR(__xludf.DUMMYFUNCTION("""COMPUTED_VALUE"""),1.0)</f>
        <v>1</v>
      </c>
      <c r="H1475" s="13">
        <f>IFERROR(__xludf.DUMMYFUNCTION("""COMPUTED_VALUE"""),0.0)</f>
        <v>0</v>
      </c>
      <c r="I1475" s="13" t="str">
        <f>IFERROR(__xludf.DUMMYFUNCTION("""COMPUTED_VALUE"""),"General")</f>
        <v>General</v>
      </c>
      <c r="J1475" s="13" t="str">
        <f>IFERROR(__xludf.DUMMYFUNCTION("""COMPUTED_VALUE"""),"Tops")</f>
        <v>Tops</v>
      </c>
      <c r="K1475" s="13" t="str">
        <f>IFERROR(__xludf.DUMMYFUNCTION("""COMPUTED_VALUE"""),"Blouses")</f>
        <v>Blouses</v>
      </c>
      <c r="L1475" s="13"/>
    </row>
    <row r="1476">
      <c r="A1476" s="13">
        <f>IFERROR(__xludf.DUMMYFUNCTION("""COMPUTED_VALUE"""),1474.0)</f>
        <v>1474</v>
      </c>
      <c r="B1476" s="13">
        <f>IFERROR(__xludf.DUMMYFUNCTION("""COMPUTED_VALUE"""),860.0)</f>
        <v>860</v>
      </c>
      <c r="C1476" s="13">
        <f>IFERROR(__xludf.DUMMYFUNCTION("""COMPUTED_VALUE"""),45.0)</f>
        <v>45</v>
      </c>
      <c r="D1476" s="12"/>
      <c r="E1476" s="12" t="str">
        <f>IFERROR(__xludf.DUMMYFUNCTION("""COMPUTED_VALUE"""),"Saw this on the sale rack and decided to try on. i looked like the dancing hypos in the movie fantasia. i am petite and not heavy but this is for very slim and tall people. too much fabric in the peplum part.")</f>
        <v>Saw this on the sale rack and decided to try on. i looked like the dancing hypos in the movie fantasia. i am petite and not heavy but this is for very slim and tall people. too much fabric in the peplum part.</v>
      </c>
      <c r="F1476" s="13">
        <f>IFERROR(__xludf.DUMMYFUNCTION("""COMPUTED_VALUE"""),1.0)</f>
        <v>1</v>
      </c>
      <c r="G1476" s="13">
        <f>IFERROR(__xludf.DUMMYFUNCTION("""COMPUTED_VALUE"""),0.0)</f>
        <v>0</v>
      </c>
      <c r="H1476" s="13">
        <f>IFERROR(__xludf.DUMMYFUNCTION("""COMPUTED_VALUE"""),2.0)</f>
        <v>2</v>
      </c>
      <c r="I1476" s="13" t="str">
        <f>IFERROR(__xludf.DUMMYFUNCTION("""COMPUTED_VALUE"""),"General")</f>
        <v>General</v>
      </c>
      <c r="J1476" s="13" t="str">
        <f>IFERROR(__xludf.DUMMYFUNCTION("""COMPUTED_VALUE"""),"Tops")</f>
        <v>Tops</v>
      </c>
      <c r="K1476" s="13" t="str">
        <f>IFERROR(__xludf.DUMMYFUNCTION("""COMPUTED_VALUE"""),"Knits")</f>
        <v>Knits</v>
      </c>
      <c r="L1476" s="13"/>
    </row>
    <row r="1477">
      <c r="A1477" s="13">
        <f>IFERROR(__xludf.DUMMYFUNCTION("""COMPUTED_VALUE"""),1475.0)</f>
        <v>1475</v>
      </c>
      <c r="B1477" s="13">
        <f>IFERROR(__xludf.DUMMYFUNCTION("""COMPUTED_VALUE"""),860.0)</f>
        <v>860</v>
      </c>
      <c r="C1477" s="13">
        <f>IFERROR(__xludf.DUMMYFUNCTION("""COMPUTED_VALUE"""),54.0)</f>
        <v>54</v>
      </c>
      <c r="D1477" s="12" t="str">
        <f>IFERROR(__xludf.DUMMYFUNCTION("""COMPUTED_VALUE"""),"Amazing product")</f>
        <v>Amazing product</v>
      </c>
      <c r="E1477" s="12" t="str">
        <f>IFERROR(__xludf.DUMMYFUNCTION("""COMPUTED_VALUE"""),"This product is comfortable and stylish. i love the design and the color print. i can dresss it up and dress it down. it goes with everything and also fits great.")</f>
        <v>This product is comfortable and stylish. i love the design and the color print. i can dresss it up and dress it down. it goes with everything and also fits great.</v>
      </c>
      <c r="F1477" s="13">
        <f>IFERROR(__xludf.DUMMYFUNCTION("""COMPUTED_VALUE"""),5.0)</f>
        <v>5</v>
      </c>
      <c r="G1477" s="13">
        <f>IFERROR(__xludf.DUMMYFUNCTION("""COMPUTED_VALUE"""),1.0)</f>
        <v>1</v>
      </c>
      <c r="H1477" s="13">
        <f>IFERROR(__xludf.DUMMYFUNCTION("""COMPUTED_VALUE"""),0.0)</f>
        <v>0</v>
      </c>
      <c r="I1477" s="13" t="str">
        <f>IFERROR(__xludf.DUMMYFUNCTION("""COMPUTED_VALUE"""),"General")</f>
        <v>General</v>
      </c>
      <c r="J1477" s="13" t="str">
        <f>IFERROR(__xludf.DUMMYFUNCTION("""COMPUTED_VALUE"""),"Tops")</f>
        <v>Tops</v>
      </c>
      <c r="K1477" s="13" t="str">
        <f>IFERROR(__xludf.DUMMYFUNCTION("""COMPUTED_VALUE"""),"Knits")</f>
        <v>Knits</v>
      </c>
      <c r="L1477" s="13"/>
    </row>
    <row r="1478">
      <c r="A1478" s="13">
        <f>IFERROR(__xludf.DUMMYFUNCTION("""COMPUTED_VALUE"""),1476.0)</f>
        <v>1476</v>
      </c>
      <c r="B1478" s="13">
        <f>IFERROR(__xludf.DUMMYFUNCTION("""COMPUTED_VALUE"""),1027.0)</f>
        <v>1027</v>
      </c>
      <c r="C1478" s="13">
        <f>IFERROR(__xludf.DUMMYFUNCTION("""COMPUTED_VALUE"""),39.0)</f>
        <v>39</v>
      </c>
      <c r="D1478" s="12" t="str">
        <f>IFERROR(__xludf.DUMMYFUNCTION("""COMPUTED_VALUE"""),"Best jeans!")</f>
        <v>Best jeans!</v>
      </c>
      <c r="E1478" s="12" t="str">
        <f>IFERROR(__xludf.DUMMYFUNCTION("""COMPUTED_VALUE"""),"I got these on sale a few months ago. they are the most comfortable jeans i've ever owned. i'm 5'4 and they are the perfect length for me but i like my jeans a little long.")</f>
        <v>I got these on sale a few months ago. they are the most comfortable jeans i've ever owned. i'm 5'4 and they are the perfect length for me but i like my jeans a little long.</v>
      </c>
      <c r="F1478" s="13">
        <f>IFERROR(__xludf.DUMMYFUNCTION("""COMPUTED_VALUE"""),5.0)</f>
        <v>5</v>
      </c>
      <c r="G1478" s="13">
        <f>IFERROR(__xludf.DUMMYFUNCTION("""COMPUTED_VALUE"""),1.0)</f>
        <v>1</v>
      </c>
      <c r="H1478" s="13">
        <f>IFERROR(__xludf.DUMMYFUNCTION("""COMPUTED_VALUE"""),0.0)</f>
        <v>0</v>
      </c>
      <c r="I1478" s="13" t="str">
        <f>IFERROR(__xludf.DUMMYFUNCTION("""COMPUTED_VALUE"""),"General")</f>
        <v>General</v>
      </c>
      <c r="J1478" s="13" t="str">
        <f>IFERROR(__xludf.DUMMYFUNCTION("""COMPUTED_VALUE"""),"Bottoms")</f>
        <v>Bottoms</v>
      </c>
      <c r="K1478" s="13" t="str">
        <f>IFERROR(__xludf.DUMMYFUNCTION("""COMPUTED_VALUE"""),"Jeans")</f>
        <v>Jeans</v>
      </c>
      <c r="L1478" s="13"/>
    </row>
    <row r="1479">
      <c r="A1479" s="13">
        <f>IFERROR(__xludf.DUMMYFUNCTION("""COMPUTED_VALUE"""),1477.0)</f>
        <v>1477</v>
      </c>
      <c r="B1479" s="13">
        <f>IFERROR(__xludf.DUMMYFUNCTION("""COMPUTED_VALUE"""),1098.0)</f>
        <v>1098</v>
      </c>
      <c r="C1479" s="13">
        <f>IFERROR(__xludf.DUMMYFUNCTION("""COMPUTED_VALUE"""),39.0)</f>
        <v>39</v>
      </c>
      <c r="D1479" s="12" t="str">
        <f>IFERROR(__xludf.DUMMYFUNCTION("""COMPUTED_VALUE"""),"Is this really black?")</f>
        <v>Is this really black?</v>
      </c>
      <c r="E1479" s="12" t="str">
        <f>IFERROR(__xludf.DUMMYFUNCTION("""COMPUTED_VALUE"""),"I had this dress in my basket for a long tiem waiting for free shipping. i liekd how it looked on the model. read the reviews, and wasn't sure, so waited... then my usual size sold out, so i decided ot try the smaller size (in petites, otherwsie i would h"&amp;"ave gotten it in the store :_)) i needed pettie and the smaller size is perfect! the color says black, but it looks more mifnight (aka blue), my friend even said (when i tried it on), you know i laways love anything blue... so don't expect dark")</f>
        <v>I had this dress in my basket for a long tiem waiting for free shipping. i liekd how it looked on the model. read the reviews, and wasn't sure, so waited... then my usual size sold out, so i decided ot try the smaller size (in petites, otherwsie i would have gotten it in the store :_)) i needed pettie and the smaller size is perfect! the color says black, but it looks more mifnight (aka blue), my friend even said (when i tried it on), you know i laways love anything blue... so don't expect dark</v>
      </c>
      <c r="F1479" s="13">
        <f>IFERROR(__xludf.DUMMYFUNCTION("""COMPUTED_VALUE"""),5.0)</f>
        <v>5</v>
      </c>
      <c r="G1479" s="13">
        <f>IFERROR(__xludf.DUMMYFUNCTION("""COMPUTED_VALUE"""),1.0)</f>
        <v>1</v>
      </c>
      <c r="H1479" s="13">
        <f>IFERROR(__xludf.DUMMYFUNCTION("""COMPUTED_VALUE"""),0.0)</f>
        <v>0</v>
      </c>
      <c r="I1479" s="13" t="str">
        <f>IFERROR(__xludf.DUMMYFUNCTION("""COMPUTED_VALUE"""),"General Petite")</f>
        <v>General Petite</v>
      </c>
      <c r="J1479" s="13" t="str">
        <f>IFERROR(__xludf.DUMMYFUNCTION("""COMPUTED_VALUE"""),"Dresses")</f>
        <v>Dresses</v>
      </c>
      <c r="K1479" s="13" t="str">
        <f>IFERROR(__xludf.DUMMYFUNCTION("""COMPUTED_VALUE"""),"Dresses")</f>
        <v>Dresses</v>
      </c>
      <c r="L1479" s="13"/>
    </row>
    <row r="1480">
      <c r="A1480" s="13">
        <f>IFERROR(__xludf.DUMMYFUNCTION("""COMPUTED_VALUE"""),1478.0)</f>
        <v>1478</v>
      </c>
      <c r="B1480" s="13">
        <f>IFERROR(__xludf.DUMMYFUNCTION("""COMPUTED_VALUE"""),829.0)</f>
        <v>829</v>
      </c>
      <c r="C1480" s="13">
        <f>IFERROR(__xludf.DUMMYFUNCTION("""COMPUTED_VALUE"""),36.0)</f>
        <v>36</v>
      </c>
      <c r="D1480" s="12" t="str">
        <f>IFERROR(__xludf.DUMMYFUNCTION("""COMPUTED_VALUE"""),"Great fall top")</f>
        <v>Great fall top</v>
      </c>
      <c r="E1480" s="12" t="str">
        <f>IFERROR(__xludf.DUMMYFUNCTION("""COMPUTED_VALUE"""),"Love this top for the fall. looks great with dark skinny jean and booties.")</f>
        <v>Love this top for the fall. looks great with dark skinny jean and booties.</v>
      </c>
      <c r="F1480" s="13">
        <f>IFERROR(__xludf.DUMMYFUNCTION("""COMPUTED_VALUE"""),5.0)</f>
        <v>5</v>
      </c>
      <c r="G1480" s="13">
        <f>IFERROR(__xludf.DUMMYFUNCTION("""COMPUTED_VALUE"""),1.0)</f>
        <v>1</v>
      </c>
      <c r="H1480" s="13">
        <f>IFERROR(__xludf.DUMMYFUNCTION("""COMPUTED_VALUE"""),0.0)</f>
        <v>0</v>
      </c>
      <c r="I1480" s="13" t="str">
        <f>IFERROR(__xludf.DUMMYFUNCTION("""COMPUTED_VALUE"""),"General")</f>
        <v>General</v>
      </c>
      <c r="J1480" s="13" t="str">
        <f>IFERROR(__xludf.DUMMYFUNCTION("""COMPUTED_VALUE"""),"Tops")</f>
        <v>Tops</v>
      </c>
      <c r="K1480" s="13" t="str">
        <f>IFERROR(__xludf.DUMMYFUNCTION("""COMPUTED_VALUE"""),"Blouses")</f>
        <v>Blouses</v>
      </c>
      <c r="L1480" s="13"/>
    </row>
    <row r="1481">
      <c r="A1481" s="13">
        <f>IFERROR(__xludf.DUMMYFUNCTION("""COMPUTED_VALUE"""),1479.0)</f>
        <v>1479</v>
      </c>
      <c r="B1481" s="13">
        <f>IFERROR(__xludf.DUMMYFUNCTION("""COMPUTED_VALUE"""),936.0)</f>
        <v>936</v>
      </c>
      <c r="C1481" s="13">
        <f>IFERROR(__xludf.DUMMYFUNCTION("""COMPUTED_VALUE"""),21.0)</f>
        <v>21</v>
      </c>
      <c r="D1481" s="12"/>
      <c r="E1481" s="12" t="str">
        <f>IFERROR(__xludf.DUMMYFUNCTION("""COMPUTED_VALUE"""),"Love this design it puts a twist on a turtle neck sweater. the only problem i had is that the tie kept coming undone but if you do a double knot the problem is solved! wish i would have bought all the other colors.")</f>
        <v>Love this design it puts a twist on a turtle neck sweater. the only problem i had is that the tie kept coming undone but if you do a double knot the problem is solved! wish i would have bought all the other colors.</v>
      </c>
      <c r="F1481" s="13">
        <f>IFERROR(__xludf.DUMMYFUNCTION("""COMPUTED_VALUE"""),5.0)</f>
        <v>5</v>
      </c>
      <c r="G1481" s="13">
        <f>IFERROR(__xludf.DUMMYFUNCTION("""COMPUTED_VALUE"""),1.0)</f>
        <v>1</v>
      </c>
      <c r="H1481" s="13">
        <f>IFERROR(__xludf.DUMMYFUNCTION("""COMPUTED_VALUE"""),0.0)</f>
        <v>0</v>
      </c>
      <c r="I1481" s="13" t="str">
        <f>IFERROR(__xludf.DUMMYFUNCTION("""COMPUTED_VALUE"""),"General")</f>
        <v>General</v>
      </c>
      <c r="J1481" s="13" t="str">
        <f>IFERROR(__xludf.DUMMYFUNCTION("""COMPUTED_VALUE"""),"Tops")</f>
        <v>Tops</v>
      </c>
      <c r="K1481" s="13" t="str">
        <f>IFERROR(__xludf.DUMMYFUNCTION("""COMPUTED_VALUE"""),"Sweaters")</f>
        <v>Sweaters</v>
      </c>
      <c r="L1481" s="13"/>
    </row>
    <row r="1482">
      <c r="A1482" s="13">
        <f>IFERROR(__xludf.DUMMYFUNCTION("""COMPUTED_VALUE"""),1480.0)</f>
        <v>1480</v>
      </c>
      <c r="B1482" s="13">
        <f>IFERROR(__xludf.DUMMYFUNCTION("""COMPUTED_VALUE"""),1066.0)</f>
        <v>1066</v>
      </c>
      <c r="C1482" s="13">
        <f>IFERROR(__xludf.DUMMYFUNCTION("""COMPUTED_VALUE"""),26.0)</f>
        <v>26</v>
      </c>
      <c r="D1482" s="12" t="str">
        <f>IFERROR(__xludf.DUMMYFUNCTION("""COMPUTED_VALUE"""),"Loved these!")</f>
        <v>Loved these!</v>
      </c>
      <c r="E1482" s="12" t="str">
        <f>IFERROR(__xludf.DUMMYFUNCTION("""COMPUTED_VALUE"""),"I tried these in store, didn't have much hope as flare usually looks terrible on me (small waist and athletic, fuller legs). but surprisingly these work great. they seem to very good quality and the flare is super cute and on trend. i do think they run a "&amp;"little small. i am almost always a 2/26, but i took these in a 4. they didn't have a 2 in store for me to compare but i think they would have been too tight. highly recommend!")</f>
        <v>I tried these in store, didn't have much hope as flare usually looks terrible on me (small waist and athletic, fuller legs). but surprisingly these work great. they seem to very good quality and the flare is super cute and on trend. i do think they run a little small. i am almost always a 2/26, but i took these in a 4. they didn't have a 2 in store for me to compare but i think they would have been too tight. highly recommend!</v>
      </c>
      <c r="F1482" s="13">
        <f>IFERROR(__xludf.DUMMYFUNCTION("""COMPUTED_VALUE"""),5.0)</f>
        <v>5</v>
      </c>
      <c r="G1482" s="13">
        <f>IFERROR(__xludf.DUMMYFUNCTION("""COMPUTED_VALUE"""),1.0)</f>
        <v>1</v>
      </c>
      <c r="H1482" s="13">
        <f>IFERROR(__xludf.DUMMYFUNCTION("""COMPUTED_VALUE"""),1.0)</f>
        <v>1</v>
      </c>
      <c r="I1482" s="13" t="str">
        <f>IFERROR(__xludf.DUMMYFUNCTION("""COMPUTED_VALUE"""),"General")</f>
        <v>General</v>
      </c>
      <c r="J1482" s="13" t="str">
        <f>IFERROR(__xludf.DUMMYFUNCTION("""COMPUTED_VALUE"""),"Bottoms")</f>
        <v>Bottoms</v>
      </c>
      <c r="K1482" s="13" t="str">
        <f>IFERROR(__xludf.DUMMYFUNCTION("""COMPUTED_VALUE"""),"Pants")</f>
        <v>Pants</v>
      </c>
      <c r="L1482" s="13"/>
    </row>
    <row r="1483">
      <c r="A1483" s="13">
        <f>IFERROR(__xludf.DUMMYFUNCTION("""COMPUTED_VALUE"""),1481.0)</f>
        <v>1481</v>
      </c>
      <c r="B1483" s="13">
        <f>IFERROR(__xludf.DUMMYFUNCTION("""COMPUTED_VALUE"""),936.0)</f>
        <v>936</v>
      </c>
      <c r="C1483" s="13">
        <f>IFERROR(__xludf.DUMMYFUNCTION("""COMPUTED_VALUE"""),39.0)</f>
        <v>39</v>
      </c>
      <c r="D1483" s="12"/>
      <c r="E1483" s="12" t="str">
        <f>IFERROR(__xludf.DUMMYFUNCTION("""COMPUTED_VALUE"""),"Runs a size big unless you want it really boxy. felt the matl was flimsy and would prob pill soon. turquoise was a pretty color but returning this one.")</f>
        <v>Runs a size big unless you want it really boxy. felt the matl was flimsy and would prob pill soon. turquoise was a pretty color but returning this one.</v>
      </c>
      <c r="F1483" s="13">
        <f>IFERROR(__xludf.DUMMYFUNCTION("""COMPUTED_VALUE"""),3.0)</f>
        <v>3</v>
      </c>
      <c r="G1483" s="13">
        <f>IFERROR(__xludf.DUMMYFUNCTION("""COMPUTED_VALUE"""),0.0)</f>
        <v>0</v>
      </c>
      <c r="H1483" s="13">
        <f>IFERROR(__xludf.DUMMYFUNCTION("""COMPUTED_VALUE"""),0.0)</f>
        <v>0</v>
      </c>
      <c r="I1483" s="13" t="str">
        <f>IFERROR(__xludf.DUMMYFUNCTION("""COMPUTED_VALUE"""),"General")</f>
        <v>General</v>
      </c>
      <c r="J1483" s="13" t="str">
        <f>IFERROR(__xludf.DUMMYFUNCTION("""COMPUTED_VALUE"""),"Tops")</f>
        <v>Tops</v>
      </c>
      <c r="K1483" s="13" t="str">
        <f>IFERROR(__xludf.DUMMYFUNCTION("""COMPUTED_VALUE"""),"Sweaters")</f>
        <v>Sweaters</v>
      </c>
      <c r="L1483" s="13"/>
    </row>
    <row r="1484">
      <c r="A1484" s="13">
        <f>IFERROR(__xludf.DUMMYFUNCTION("""COMPUTED_VALUE"""),1482.0)</f>
        <v>1482</v>
      </c>
      <c r="B1484" s="13">
        <f>IFERROR(__xludf.DUMMYFUNCTION("""COMPUTED_VALUE"""),1022.0)</f>
        <v>1022</v>
      </c>
      <c r="C1484" s="13">
        <f>IFERROR(__xludf.DUMMYFUNCTION("""COMPUTED_VALUE"""),36.0)</f>
        <v>36</v>
      </c>
      <c r="D1484" s="12"/>
      <c r="E1484" s="12" t="str">
        <f>IFERROR(__xludf.DUMMYFUNCTION("""COMPUTED_VALUE"""),"I ordered these because i loved the wide cut and overall look. but returned them because they fit weird. too tight around the too high waistline (and normally, i like a high waistline). fit ran small. and the overall quality of the fabric wasn't as nice a"&amp;"s i was hoping for. pretty disappointed.")</f>
        <v>I ordered these because i loved the wide cut and overall look. but returned them because they fit weird. too tight around the too high waistline (and normally, i like a high waistline). fit ran small. and the overall quality of the fabric wasn't as nice as i was hoping for. pretty disappointed.</v>
      </c>
      <c r="F1484" s="13">
        <f>IFERROR(__xludf.DUMMYFUNCTION("""COMPUTED_VALUE"""),1.0)</f>
        <v>1</v>
      </c>
      <c r="G1484" s="13">
        <f>IFERROR(__xludf.DUMMYFUNCTION("""COMPUTED_VALUE"""),0.0)</f>
        <v>0</v>
      </c>
      <c r="H1484" s="13">
        <f>IFERROR(__xludf.DUMMYFUNCTION("""COMPUTED_VALUE"""),0.0)</f>
        <v>0</v>
      </c>
      <c r="I1484" s="13" t="str">
        <f>IFERROR(__xludf.DUMMYFUNCTION("""COMPUTED_VALUE"""),"General")</f>
        <v>General</v>
      </c>
      <c r="J1484" s="13" t="str">
        <f>IFERROR(__xludf.DUMMYFUNCTION("""COMPUTED_VALUE"""),"Bottoms")</f>
        <v>Bottoms</v>
      </c>
      <c r="K1484" s="13" t="str">
        <f>IFERROR(__xludf.DUMMYFUNCTION("""COMPUTED_VALUE"""),"Jeans")</f>
        <v>Jeans</v>
      </c>
      <c r="L1484" s="13"/>
    </row>
    <row r="1485">
      <c r="A1485" s="13">
        <f>IFERROR(__xludf.DUMMYFUNCTION("""COMPUTED_VALUE"""),1483.0)</f>
        <v>1483</v>
      </c>
      <c r="B1485" s="13">
        <f>IFERROR(__xludf.DUMMYFUNCTION("""COMPUTED_VALUE"""),860.0)</f>
        <v>860</v>
      </c>
      <c r="C1485" s="13">
        <f>IFERROR(__xludf.DUMMYFUNCTION("""COMPUTED_VALUE"""),31.0)</f>
        <v>31</v>
      </c>
      <c r="D1485" s="12" t="str">
        <f>IFERROR(__xludf.DUMMYFUNCTION("""COMPUTED_VALUE"""),"Odd dimensions")</f>
        <v>Odd dimensions</v>
      </c>
      <c r="E1485" s="12" t="str">
        <f>IFERROR(__xludf.DUMMYFUNCTION("""COMPUTED_VALUE"""),"I wanted this tank to work so badly! it was a great deal and so beautiful. unfortunately the top fitted portion ends right below my chest then the shirt flares out so i looked like a cupcake. my belly also showed slightly because the shirt is short. if yo"&amp;"u have a short torso, this would work great. if not, unfortunately, its not great - tear")</f>
        <v>I wanted this tank to work so badly! it was a great deal and so beautiful. unfortunately the top fitted portion ends right below my chest then the shirt flares out so i looked like a cupcake. my belly also showed slightly because the shirt is short. if you have a short torso, this would work great. if not, unfortunately, its not great - tear</v>
      </c>
      <c r="F1485" s="13">
        <f>IFERROR(__xludf.DUMMYFUNCTION("""COMPUTED_VALUE"""),2.0)</f>
        <v>2</v>
      </c>
      <c r="G1485" s="13">
        <f>IFERROR(__xludf.DUMMYFUNCTION("""COMPUTED_VALUE"""),0.0)</f>
        <v>0</v>
      </c>
      <c r="H1485" s="13">
        <f>IFERROR(__xludf.DUMMYFUNCTION("""COMPUTED_VALUE"""),0.0)</f>
        <v>0</v>
      </c>
      <c r="I1485" s="13" t="str">
        <f>IFERROR(__xludf.DUMMYFUNCTION("""COMPUTED_VALUE"""),"General")</f>
        <v>General</v>
      </c>
      <c r="J1485" s="13" t="str">
        <f>IFERROR(__xludf.DUMMYFUNCTION("""COMPUTED_VALUE"""),"Tops")</f>
        <v>Tops</v>
      </c>
      <c r="K1485" s="13" t="str">
        <f>IFERROR(__xludf.DUMMYFUNCTION("""COMPUTED_VALUE"""),"Knits")</f>
        <v>Knits</v>
      </c>
      <c r="L1485" s="13"/>
    </row>
    <row r="1486">
      <c r="A1486" s="13">
        <f>IFERROR(__xludf.DUMMYFUNCTION("""COMPUTED_VALUE"""),1484.0)</f>
        <v>1484</v>
      </c>
      <c r="B1486" s="13">
        <f>IFERROR(__xludf.DUMMYFUNCTION("""COMPUTED_VALUE"""),860.0)</f>
        <v>860</v>
      </c>
      <c r="C1486" s="13">
        <f>IFERROR(__xludf.DUMMYFUNCTION("""COMPUTED_VALUE"""),20.0)</f>
        <v>20</v>
      </c>
      <c r="D1486" s="12" t="str">
        <f>IFERROR(__xludf.DUMMYFUNCTION("""COMPUTED_VALUE"""),"Not for the well endowed")</f>
        <v>Not for the well endowed</v>
      </c>
      <c r="E1486" s="12" t="str">
        <f>IFERROR(__xludf.DUMMYFUNCTION("""COMPUTED_VALUE"""),"I am 5'8 with curvy, muscular body and 36ddd boobs. the ruffle ends up hitting me right below my breasts and creates the look of being about 6 months pregnant. the beading is beautiful and i wish that it fit.")</f>
        <v>I am 5'8 with curvy, muscular body and 36ddd boobs. the ruffle ends up hitting me right below my breasts and creates the look of being about 6 months pregnant. the beading is beautiful and i wish that it fit.</v>
      </c>
      <c r="F1486" s="13">
        <f>IFERROR(__xludf.DUMMYFUNCTION("""COMPUTED_VALUE"""),3.0)</f>
        <v>3</v>
      </c>
      <c r="G1486" s="13">
        <f>IFERROR(__xludf.DUMMYFUNCTION("""COMPUTED_VALUE"""),0.0)</f>
        <v>0</v>
      </c>
      <c r="H1486" s="13">
        <f>IFERROR(__xludf.DUMMYFUNCTION("""COMPUTED_VALUE"""),0.0)</f>
        <v>0</v>
      </c>
      <c r="I1486" s="13" t="str">
        <f>IFERROR(__xludf.DUMMYFUNCTION("""COMPUTED_VALUE"""),"General")</f>
        <v>General</v>
      </c>
      <c r="J1486" s="13" t="str">
        <f>IFERROR(__xludf.DUMMYFUNCTION("""COMPUTED_VALUE"""),"Tops")</f>
        <v>Tops</v>
      </c>
      <c r="K1486" s="13" t="str">
        <f>IFERROR(__xludf.DUMMYFUNCTION("""COMPUTED_VALUE"""),"Knits")</f>
        <v>Knits</v>
      </c>
      <c r="L1486" s="13"/>
    </row>
    <row r="1487">
      <c r="A1487" s="13">
        <f>IFERROR(__xludf.DUMMYFUNCTION("""COMPUTED_VALUE"""),1485.0)</f>
        <v>1485</v>
      </c>
      <c r="B1487" s="13">
        <f>IFERROR(__xludf.DUMMYFUNCTION("""COMPUTED_VALUE"""),1098.0)</f>
        <v>1098</v>
      </c>
      <c r="C1487" s="13">
        <f>IFERROR(__xludf.DUMMYFUNCTION("""COMPUTED_VALUE"""),35.0)</f>
        <v>35</v>
      </c>
      <c r="D1487" s="12"/>
      <c r="E1487" s="12"/>
      <c r="F1487" s="13">
        <f>IFERROR(__xludf.DUMMYFUNCTION("""COMPUTED_VALUE"""),5.0)</f>
        <v>5</v>
      </c>
      <c r="G1487" s="13">
        <f>IFERROR(__xludf.DUMMYFUNCTION("""COMPUTED_VALUE"""),1.0)</f>
        <v>1</v>
      </c>
      <c r="H1487" s="13">
        <f>IFERROR(__xludf.DUMMYFUNCTION("""COMPUTED_VALUE"""),0.0)</f>
        <v>0</v>
      </c>
      <c r="I1487" s="13" t="str">
        <f>IFERROR(__xludf.DUMMYFUNCTION("""COMPUTED_VALUE"""),"General Petite")</f>
        <v>General Petite</v>
      </c>
      <c r="J1487" s="13" t="str">
        <f>IFERROR(__xludf.DUMMYFUNCTION("""COMPUTED_VALUE"""),"Dresses")</f>
        <v>Dresses</v>
      </c>
      <c r="K1487" s="13" t="str">
        <f>IFERROR(__xludf.DUMMYFUNCTION("""COMPUTED_VALUE"""),"Dresses")</f>
        <v>Dresses</v>
      </c>
      <c r="L1487" s="13"/>
    </row>
    <row r="1488">
      <c r="A1488" s="13">
        <f>IFERROR(__xludf.DUMMYFUNCTION("""COMPUTED_VALUE"""),1486.0)</f>
        <v>1486</v>
      </c>
      <c r="B1488" s="13">
        <f>IFERROR(__xludf.DUMMYFUNCTION("""COMPUTED_VALUE"""),949.0)</f>
        <v>949</v>
      </c>
      <c r="C1488" s="13">
        <f>IFERROR(__xludf.DUMMYFUNCTION("""COMPUTED_VALUE"""),70.0)</f>
        <v>70</v>
      </c>
      <c r="D1488" s="12" t="str">
        <f>IFERROR(__xludf.DUMMYFUNCTION("""COMPUTED_VALUE"""),"Versatile jacket")</f>
        <v>Versatile jacket</v>
      </c>
      <c r="E1488" s="12" t="str">
        <f>IFERROR(__xludf.DUMMYFUNCTION("""COMPUTED_VALUE"""),"The sweater coat would be wonderful for cooler weather this fall. i ordered it in medium because the small sizes were sold out. sometimes a medium is the right size depending on the brand. i was disappointed that the coat was so large; i don't think it wi"&amp;"ll work for me even with layers underneath. it's a great design but i may have to return it.")</f>
        <v>The sweater coat would be wonderful for cooler weather this fall. i ordered it in medium because the small sizes were sold out. sometimes a medium is the right size depending on the brand. i was disappointed that the coat was so large; i don't think it will work for me even with layers underneath. it's a great design but i may have to return it.</v>
      </c>
      <c r="F1488" s="13">
        <f>IFERROR(__xludf.DUMMYFUNCTION("""COMPUTED_VALUE"""),4.0)</f>
        <v>4</v>
      </c>
      <c r="G1488" s="13">
        <f>IFERROR(__xludf.DUMMYFUNCTION("""COMPUTED_VALUE"""),1.0)</f>
        <v>1</v>
      </c>
      <c r="H1488" s="13">
        <f>IFERROR(__xludf.DUMMYFUNCTION("""COMPUTED_VALUE"""),1.0)</f>
        <v>1</v>
      </c>
      <c r="I1488" s="13" t="str">
        <f>IFERROR(__xludf.DUMMYFUNCTION("""COMPUTED_VALUE"""),"General Petite")</f>
        <v>General Petite</v>
      </c>
      <c r="J1488" s="13" t="str">
        <f>IFERROR(__xludf.DUMMYFUNCTION("""COMPUTED_VALUE"""),"Tops")</f>
        <v>Tops</v>
      </c>
      <c r="K1488" s="13" t="str">
        <f>IFERROR(__xludf.DUMMYFUNCTION("""COMPUTED_VALUE"""),"Sweaters")</f>
        <v>Sweaters</v>
      </c>
      <c r="L1488" s="13"/>
    </row>
    <row r="1489">
      <c r="A1489" s="13">
        <f>IFERROR(__xludf.DUMMYFUNCTION("""COMPUTED_VALUE"""),1487.0)</f>
        <v>1487</v>
      </c>
      <c r="B1489" s="13">
        <f>IFERROR(__xludf.DUMMYFUNCTION("""COMPUTED_VALUE"""),1066.0)</f>
        <v>1066</v>
      </c>
      <c r="C1489" s="13">
        <f>IFERROR(__xludf.DUMMYFUNCTION("""COMPUTED_VALUE"""),39.0)</f>
        <v>39</v>
      </c>
      <c r="D1489" s="12"/>
      <c r="E1489" s="12" t="str">
        <f>IFERROR(__xludf.DUMMYFUNCTION("""COMPUTED_VALUE"""),"Love these pants!!! retailer - please sell more colors and patterns of these! i have a hard time finding work pants that fit right, don't have to be hemmed (i'm 5'3"") and aren't boring. this is just enough pattern to be interesting, but still neutral eno"&amp;"ugh to pair with other things. i bought them full price and would happily do so again for another pattern!")</f>
        <v>Love these pants!!! retailer - please sell more colors and patterns of these! i have a hard time finding work pants that fit right, don't have to be hemmed (i'm 5'3") and aren't boring. this is just enough pattern to be interesting, but still neutral enough to pair with other things. i bought them full price and would happily do so again for another pattern!</v>
      </c>
      <c r="F1489" s="13">
        <f>IFERROR(__xludf.DUMMYFUNCTION("""COMPUTED_VALUE"""),5.0)</f>
        <v>5</v>
      </c>
      <c r="G1489" s="13">
        <f>IFERROR(__xludf.DUMMYFUNCTION("""COMPUTED_VALUE"""),1.0)</f>
        <v>1</v>
      </c>
      <c r="H1489" s="13">
        <f>IFERROR(__xludf.DUMMYFUNCTION("""COMPUTED_VALUE"""),0.0)</f>
        <v>0</v>
      </c>
      <c r="I1489" s="13" t="str">
        <f>IFERROR(__xludf.DUMMYFUNCTION("""COMPUTED_VALUE"""),"General")</f>
        <v>General</v>
      </c>
      <c r="J1489" s="13" t="str">
        <f>IFERROR(__xludf.DUMMYFUNCTION("""COMPUTED_VALUE"""),"Bottoms")</f>
        <v>Bottoms</v>
      </c>
      <c r="K1489" s="13" t="str">
        <f>IFERROR(__xludf.DUMMYFUNCTION("""COMPUTED_VALUE"""),"Pants")</f>
        <v>Pants</v>
      </c>
      <c r="L1489" s="13"/>
    </row>
    <row r="1490">
      <c r="A1490" s="13">
        <f>IFERROR(__xludf.DUMMYFUNCTION("""COMPUTED_VALUE"""),1488.0)</f>
        <v>1488</v>
      </c>
      <c r="B1490" s="13">
        <f>IFERROR(__xludf.DUMMYFUNCTION("""COMPUTED_VALUE"""),1027.0)</f>
        <v>1027</v>
      </c>
      <c r="C1490" s="13">
        <f>IFERROR(__xludf.DUMMYFUNCTION("""COMPUTED_VALUE"""),45.0)</f>
        <v>45</v>
      </c>
      <c r="D1490" s="12" t="str">
        <f>IFERROR(__xludf.DUMMYFUNCTION("""COMPUTED_VALUE"""),"Ok, lightweight jean")</f>
        <v>Ok, lightweight jean</v>
      </c>
      <c r="E1490" s="12" t="str">
        <f>IFERROR(__xludf.DUMMYFUNCTION("""COMPUTED_VALUE"""),"I agree with the other reviews that these jeans run big. for my body, straight up and down, i ordered 2 sizes down, but would have ordered one size down had i been able to try them on in the store. the jeans i received were lighter, not blue, and more gre"&amp;"y with very noticeable white whiskering. i need a new pair of jearns and i love the cut of these so i am keeping this pair, but, for me, because of the color they are just ok compared to the wow i was expecting from the picture.")</f>
        <v>I agree with the other reviews that these jeans run big. for my body, straight up and down, i ordered 2 sizes down, but would have ordered one size down had i been able to try them on in the store. the jeans i received were lighter, not blue, and more grey with very noticeable white whiskering. i need a new pair of jearns and i love the cut of these so i am keeping this pair, but, for me, because of the color they are just ok compared to the wow i was expecting from the picture.</v>
      </c>
      <c r="F1490" s="13">
        <f>IFERROR(__xludf.DUMMYFUNCTION("""COMPUTED_VALUE"""),3.0)</f>
        <v>3</v>
      </c>
      <c r="G1490" s="13">
        <f>IFERROR(__xludf.DUMMYFUNCTION("""COMPUTED_VALUE"""),1.0)</f>
        <v>1</v>
      </c>
      <c r="H1490" s="13">
        <f>IFERROR(__xludf.DUMMYFUNCTION("""COMPUTED_VALUE"""),0.0)</f>
        <v>0</v>
      </c>
      <c r="I1490" s="13" t="str">
        <f>IFERROR(__xludf.DUMMYFUNCTION("""COMPUTED_VALUE"""),"General")</f>
        <v>General</v>
      </c>
      <c r="J1490" s="13" t="str">
        <f>IFERROR(__xludf.DUMMYFUNCTION("""COMPUTED_VALUE"""),"Bottoms")</f>
        <v>Bottoms</v>
      </c>
      <c r="K1490" s="13" t="str">
        <f>IFERROR(__xludf.DUMMYFUNCTION("""COMPUTED_VALUE"""),"Jeans")</f>
        <v>Jeans</v>
      </c>
      <c r="L1490" s="13"/>
    </row>
    <row r="1491">
      <c r="A1491" s="13">
        <f>IFERROR(__xludf.DUMMYFUNCTION("""COMPUTED_VALUE"""),1489.0)</f>
        <v>1489</v>
      </c>
      <c r="B1491" s="13">
        <f>IFERROR(__xludf.DUMMYFUNCTION("""COMPUTED_VALUE"""),829.0)</f>
        <v>829</v>
      </c>
      <c r="C1491" s="13">
        <f>IFERROR(__xludf.DUMMYFUNCTION("""COMPUTED_VALUE"""),36.0)</f>
        <v>36</v>
      </c>
      <c r="D1491" s="12" t="str">
        <f>IFERROR(__xludf.DUMMYFUNCTION("""COMPUTED_VALUE"""),"Great top for everyday wear!")</f>
        <v>Great top for everyday wear!</v>
      </c>
      <c r="E1491" s="12" t="str">
        <f>IFERROR(__xludf.DUMMYFUNCTION("""COMPUTED_VALUE"""),"This is a very well made top. i love everything about this top! bought it in both colors. i think it's fancy enough to wear out at night or in the daytime with shorts and flip flops. i got it on sale but would have totally paid regular price for it!")</f>
        <v>This is a very well made top. i love everything about this top! bought it in both colors. i think it's fancy enough to wear out at night or in the daytime with shorts and flip flops. i got it on sale but would have totally paid regular price for it!</v>
      </c>
      <c r="F1491" s="13">
        <f>IFERROR(__xludf.DUMMYFUNCTION("""COMPUTED_VALUE"""),5.0)</f>
        <v>5</v>
      </c>
      <c r="G1491" s="13">
        <f>IFERROR(__xludf.DUMMYFUNCTION("""COMPUTED_VALUE"""),1.0)</f>
        <v>1</v>
      </c>
      <c r="H1491" s="13">
        <f>IFERROR(__xludf.DUMMYFUNCTION("""COMPUTED_VALUE"""),0.0)</f>
        <v>0</v>
      </c>
      <c r="I1491" s="13" t="str">
        <f>IFERROR(__xludf.DUMMYFUNCTION("""COMPUTED_VALUE"""),"General Petite")</f>
        <v>General Petite</v>
      </c>
      <c r="J1491" s="13" t="str">
        <f>IFERROR(__xludf.DUMMYFUNCTION("""COMPUTED_VALUE"""),"Tops")</f>
        <v>Tops</v>
      </c>
      <c r="K1491" s="13" t="str">
        <f>IFERROR(__xludf.DUMMYFUNCTION("""COMPUTED_VALUE"""),"Blouses")</f>
        <v>Blouses</v>
      </c>
      <c r="L1491" s="13"/>
    </row>
    <row r="1492">
      <c r="A1492" s="13">
        <f>IFERROR(__xludf.DUMMYFUNCTION("""COMPUTED_VALUE"""),1490.0)</f>
        <v>1490</v>
      </c>
      <c r="B1492" s="13">
        <f>IFERROR(__xludf.DUMMYFUNCTION("""COMPUTED_VALUE"""),936.0)</f>
        <v>936</v>
      </c>
      <c r="C1492" s="13">
        <f>IFERROR(__xludf.DUMMYFUNCTION("""COMPUTED_VALUE"""),26.0)</f>
        <v>26</v>
      </c>
      <c r="D1492" s="12" t="str">
        <f>IFERROR(__xludf.DUMMYFUNCTION("""COMPUTED_VALUE"""),"Classic with a twist")</f>
        <v>Classic with a twist</v>
      </c>
      <c r="E1492" s="12" t="str">
        <f>IFERROR(__xludf.DUMMYFUNCTION("""COMPUTED_VALUE"""),"I wish i hadn't waited so long to buy this! the smalls were sold out in grey by the time i finially did, but the medium ended up being totally fine. perfect for a warmer winter, it is pretty thin so i wouldn't trust it on it's own to keep you warm in cold"&amp;" weather, but easily could be layered! i love the fun aspect of the tie front for this sweater as the front tuck is becoming a little tired in my eyes. i love that you can make it shorter or longer or even tuck it in because the ties aren't sewn")</f>
        <v>I wish i hadn't waited so long to buy this! the smalls were sold out in grey by the time i finially did, but the medium ended up being totally fine. perfect for a warmer winter, it is pretty thin so i wouldn't trust it on it's own to keep you warm in cold weather, but easily could be layered! i love the fun aspect of the tie front for this sweater as the front tuck is becoming a little tired in my eyes. i love that you can make it shorter or longer or even tuck it in because the ties aren't sewn</v>
      </c>
      <c r="F1492" s="13">
        <f>IFERROR(__xludf.DUMMYFUNCTION("""COMPUTED_VALUE"""),5.0)</f>
        <v>5</v>
      </c>
      <c r="G1492" s="13">
        <f>IFERROR(__xludf.DUMMYFUNCTION("""COMPUTED_VALUE"""),1.0)</f>
        <v>1</v>
      </c>
      <c r="H1492" s="13">
        <f>IFERROR(__xludf.DUMMYFUNCTION("""COMPUTED_VALUE"""),1.0)</f>
        <v>1</v>
      </c>
      <c r="I1492" s="13" t="str">
        <f>IFERROR(__xludf.DUMMYFUNCTION("""COMPUTED_VALUE"""),"General")</f>
        <v>General</v>
      </c>
      <c r="J1492" s="13" t="str">
        <f>IFERROR(__xludf.DUMMYFUNCTION("""COMPUTED_VALUE"""),"Tops")</f>
        <v>Tops</v>
      </c>
      <c r="K1492" s="13" t="str">
        <f>IFERROR(__xludf.DUMMYFUNCTION("""COMPUTED_VALUE"""),"Sweaters")</f>
        <v>Sweaters</v>
      </c>
      <c r="L1492" s="13"/>
    </row>
    <row r="1493">
      <c r="A1493" s="13">
        <f>IFERROR(__xludf.DUMMYFUNCTION("""COMPUTED_VALUE"""),1491.0)</f>
        <v>1491</v>
      </c>
      <c r="B1493" s="13">
        <f>IFERROR(__xludf.DUMMYFUNCTION("""COMPUTED_VALUE"""),936.0)</f>
        <v>936</v>
      </c>
      <c r="C1493" s="13">
        <f>IFERROR(__xludf.DUMMYFUNCTION("""COMPUTED_VALUE"""),78.0)</f>
        <v>78</v>
      </c>
      <c r="D1493" s="12" t="str">
        <f>IFERROR(__xludf.DUMMYFUNCTION("""COMPUTED_VALUE"""),"Stylish, comfortable and affordable!!!!")</f>
        <v>Stylish, comfortable and affordable!!!!</v>
      </c>
      <c r="E1493" s="12" t="str">
        <f>IFERROR(__xludf.DUMMYFUNCTION("""COMPUTED_VALUE"""),"Love this sweater. i have it in cream and ordering navy. it is comfortable and looks great with pants or a skirt. i do not like my sweaters tight so i have a large and love the fit. i am 5' 4'' and weigh 135 and usually buy medium to large.")</f>
        <v>Love this sweater. i have it in cream and ordering navy. it is comfortable and looks great with pants or a skirt. i do not like my sweaters tight so i have a large and love the fit. i am 5' 4'' and weigh 135 and usually buy medium to large.</v>
      </c>
      <c r="F1493" s="13">
        <f>IFERROR(__xludf.DUMMYFUNCTION("""COMPUTED_VALUE"""),5.0)</f>
        <v>5</v>
      </c>
      <c r="G1493" s="13">
        <f>IFERROR(__xludf.DUMMYFUNCTION("""COMPUTED_VALUE"""),1.0)</f>
        <v>1</v>
      </c>
      <c r="H1493" s="13">
        <f>IFERROR(__xludf.DUMMYFUNCTION("""COMPUTED_VALUE"""),2.0)</f>
        <v>2</v>
      </c>
      <c r="I1493" s="13" t="str">
        <f>IFERROR(__xludf.DUMMYFUNCTION("""COMPUTED_VALUE"""),"General")</f>
        <v>General</v>
      </c>
      <c r="J1493" s="13" t="str">
        <f>IFERROR(__xludf.DUMMYFUNCTION("""COMPUTED_VALUE"""),"Tops")</f>
        <v>Tops</v>
      </c>
      <c r="K1493" s="13" t="str">
        <f>IFERROR(__xludf.DUMMYFUNCTION("""COMPUTED_VALUE"""),"Sweaters")</f>
        <v>Sweaters</v>
      </c>
      <c r="L1493" s="13"/>
    </row>
    <row r="1494">
      <c r="A1494" s="13">
        <f>IFERROR(__xludf.DUMMYFUNCTION("""COMPUTED_VALUE"""),1492.0)</f>
        <v>1492</v>
      </c>
      <c r="B1494" s="13">
        <f>IFERROR(__xludf.DUMMYFUNCTION("""COMPUTED_VALUE"""),860.0)</f>
        <v>860</v>
      </c>
      <c r="C1494" s="13">
        <f>IFERROR(__xludf.DUMMYFUNCTION("""COMPUTED_VALUE"""),39.0)</f>
        <v>39</v>
      </c>
      <c r="D1494" s="12" t="str">
        <f>IFERROR(__xludf.DUMMYFUNCTION("""COMPUTED_VALUE"""),"So cute!")</f>
        <v>So cute!</v>
      </c>
      <c r="E1494" s="12" t="str">
        <f>IFERROR(__xludf.DUMMYFUNCTION("""COMPUTED_VALUE"""),"I love this! seriously would buy again. i wish it was warmer out so i could wear it")</f>
        <v>I love this! seriously would buy again. i wish it was warmer out so i could wear it</v>
      </c>
      <c r="F1494" s="13">
        <f>IFERROR(__xludf.DUMMYFUNCTION("""COMPUTED_VALUE"""),5.0)</f>
        <v>5</v>
      </c>
      <c r="G1494" s="13">
        <f>IFERROR(__xludf.DUMMYFUNCTION("""COMPUTED_VALUE"""),1.0)</f>
        <v>1</v>
      </c>
      <c r="H1494" s="13">
        <f>IFERROR(__xludf.DUMMYFUNCTION("""COMPUTED_VALUE"""),0.0)</f>
        <v>0</v>
      </c>
      <c r="I1494" s="13" t="str">
        <f>IFERROR(__xludf.DUMMYFUNCTION("""COMPUTED_VALUE"""),"General")</f>
        <v>General</v>
      </c>
      <c r="J1494" s="13" t="str">
        <f>IFERROR(__xludf.DUMMYFUNCTION("""COMPUTED_VALUE"""),"Tops")</f>
        <v>Tops</v>
      </c>
      <c r="K1494" s="13" t="str">
        <f>IFERROR(__xludf.DUMMYFUNCTION("""COMPUTED_VALUE"""),"Knits")</f>
        <v>Knits</v>
      </c>
      <c r="L1494" s="13"/>
    </row>
    <row r="1495">
      <c r="A1495" s="13">
        <f>IFERROR(__xludf.DUMMYFUNCTION("""COMPUTED_VALUE"""),1493.0)</f>
        <v>1493</v>
      </c>
      <c r="B1495" s="13">
        <f>IFERROR(__xludf.DUMMYFUNCTION("""COMPUTED_VALUE"""),860.0)</f>
        <v>860</v>
      </c>
      <c r="C1495" s="13">
        <f>IFERROR(__xludf.DUMMYFUNCTION("""COMPUTED_VALUE"""),43.0)</f>
        <v>43</v>
      </c>
      <c r="D1495" s="12" t="str">
        <f>IFERROR(__xludf.DUMMYFUNCTION("""COMPUTED_VALUE"""),"Adorable")</f>
        <v>Adorable</v>
      </c>
      <c r="E1495" s="12" t="str">
        <f>IFERROR(__xludf.DUMMYFUNCTION("""COMPUTED_VALUE"""),"I love this top. it is very short and hits at a potentially unflattering area if one has wider hips. the fabric and swing to the ""skirt"" is adorable.")</f>
        <v>I love this top. it is very short and hits at a potentially unflattering area if one has wider hips. the fabric and swing to the "skirt" is adorable.</v>
      </c>
      <c r="F1495" s="13">
        <f>IFERROR(__xludf.DUMMYFUNCTION("""COMPUTED_VALUE"""),3.0)</f>
        <v>3</v>
      </c>
      <c r="G1495" s="13">
        <f>IFERROR(__xludf.DUMMYFUNCTION("""COMPUTED_VALUE"""),1.0)</f>
        <v>1</v>
      </c>
      <c r="H1495" s="13">
        <f>IFERROR(__xludf.DUMMYFUNCTION("""COMPUTED_VALUE"""),0.0)</f>
        <v>0</v>
      </c>
      <c r="I1495" s="13" t="str">
        <f>IFERROR(__xludf.DUMMYFUNCTION("""COMPUTED_VALUE"""),"General")</f>
        <v>General</v>
      </c>
      <c r="J1495" s="13" t="str">
        <f>IFERROR(__xludf.DUMMYFUNCTION("""COMPUTED_VALUE"""),"Tops")</f>
        <v>Tops</v>
      </c>
      <c r="K1495" s="13" t="str">
        <f>IFERROR(__xludf.DUMMYFUNCTION("""COMPUTED_VALUE"""),"Knits")</f>
        <v>Knits</v>
      </c>
      <c r="L1495" s="13"/>
    </row>
    <row r="1496">
      <c r="A1496" s="13">
        <f>IFERROR(__xludf.DUMMYFUNCTION("""COMPUTED_VALUE"""),1494.0)</f>
        <v>1494</v>
      </c>
      <c r="B1496" s="13">
        <f>IFERROR(__xludf.DUMMYFUNCTION("""COMPUTED_VALUE"""),1066.0)</f>
        <v>1066</v>
      </c>
      <c r="C1496" s="13">
        <f>IFERROR(__xludf.DUMMYFUNCTION("""COMPUTED_VALUE"""),33.0)</f>
        <v>33</v>
      </c>
      <c r="D1496" s="12" t="str">
        <f>IFERROR(__xludf.DUMMYFUNCTION("""COMPUTED_VALUE"""),"Nice fit, nice quality")</f>
        <v>Nice fit, nice quality</v>
      </c>
      <c r="E1496" s="12" t="str">
        <f>IFERROR(__xludf.DUMMYFUNCTION("""COMPUTED_VALUE"""),"I have a small collection of retailer pants for work, and this pair fit neatly into a hole-- i don't have a fun, patterned pair. i am short (5'2"") and definitely needed a petite to get the crop to land in the right spot. my usual 0p fit perfectly up abov"&amp;"e. the flare seems a bit more pronounced on me than in the picture. the fabric is nice quality, smooth and medium weight with a bit of stretch, and i like the fact that these are machine washable. this gal has other things to do with her life besid")</f>
        <v>I have a small collection of retailer pants for work, and this pair fit neatly into a hole-- i don't have a fun, patterned pair. i am short (5'2") and definitely needed a petite to get the crop to land in the right spot. my usual 0p fit perfectly up above. the flare seems a bit more pronounced on me than in the picture. the fabric is nice quality, smooth and medium weight with a bit of stretch, and i like the fact that these are machine washable. this gal has other things to do with her life besid</v>
      </c>
      <c r="F1496" s="13">
        <f>IFERROR(__xludf.DUMMYFUNCTION("""COMPUTED_VALUE"""),5.0)</f>
        <v>5</v>
      </c>
      <c r="G1496" s="13">
        <f>IFERROR(__xludf.DUMMYFUNCTION("""COMPUTED_VALUE"""),1.0)</f>
        <v>1</v>
      </c>
      <c r="H1496" s="13">
        <f>IFERROR(__xludf.DUMMYFUNCTION("""COMPUTED_VALUE"""),5.0)</f>
        <v>5</v>
      </c>
      <c r="I1496" s="13" t="str">
        <f>IFERROR(__xludf.DUMMYFUNCTION("""COMPUTED_VALUE"""),"General")</f>
        <v>General</v>
      </c>
      <c r="J1496" s="13" t="str">
        <f>IFERROR(__xludf.DUMMYFUNCTION("""COMPUTED_VALUE"""),"Bottoms")</f>
        <v>Bottoms</v>
      </c>
      <c r="K1496" s="13" t="str">
        <f>IFERROR(__xludf.DUMMYFUNCTION("""COMPUTED_VALUE"""),"Pants")</f>
        <v>Pants</v>
      </c>
      <c r="L1496" s="13"/>
    </row>
    <row r="1497">
      <c r="A1497" s="13">
        <f>IFERROR(__xludf.DUMMYFUNCTION("""COMPUTED_VALUE"""),1495.0)</f>
        <v>1495</v>
      </c>
      <c r="B1497" s="13">
        <f>IFERROR(__xludf.DUMMYFUNCTION("""COMPUTED_VALUE"""),949.0)</f>
        <v>949</v>
      </c>
      <c r="C1497" s="13">
        <f>IFERROR(__xludf.DUMMYFUNCTION("""COMPUTED_VALUE"""),35.0)</f>
        <v>35</v>
      </c>
      <c r="D1497" s="12" t="str">
        <f>IFERROR(__xludf.DUMMYFUNCTION("""COMPUTED_VALUE"""),"Huge")</f>
        <v>Huge</v>
      </c>
      <c r="E1497" s="12" t="str">
        <f>IFERROR(__xludf.DUMMYFUNCTION("""COMPUTED_VALUE"""),"This jacket runs very large. i usually wear an xl but probably could fit into a medium. i have long arms, and the sleeves were way past my hands. i love the jacket, but it's just too sloppy.")</f>
        <v>This jacket runs very large. i usually wear an xl but probably could fit into a medium. i have long arms, and the sleeves were way past my hands. i love the jacket, but it's just too sloppy.</v>
      </c>
      <c r="F1497" s="13">
        <f>IFERROR(__xludf.DUMMYFUNCTION("""COMPUTED_VALUE"""),3.0)</f>
        <v>3</v>
      </c>
      <c r="G1497" s="13">
        <f>IFERROR(__xludf.DUMMYFUNCTION("""COMPUTED_VALUE"""),1.0)</f>
        <v>1</v>
      </c>
      <c r="H1497" s="13">
        <f>IFERROR(__xludf.DUMMYFUNCTION("""COMPUTED_VALUE"""),1.0)</f>
        <v>1</v>
      </c>
      <c r="I1497" s="13" t="str">
        <f>IFERROR(__xludf.DUMMYFUNCTION("""COMPUTED_VALUE"""),"General Petite")</f>
        <v>General Petite</v>
      </c>
      <c r="J1497" s="13" t="str">
        <f>IFERROR(__xludf.DUMMYFUNCTION("""COMPUTED_VALUE"""),"Tops")</f>
        <v>Tops</v>
      </c>
      <c r="K1497" s="13" t="str">
        <f>IFERROR(__xludf.DUMMYFUNCTION("""COMPUTED_VALUE"""),"Sweaters")</f>
        <v>Sweaters</v>
      </c>
      <c r="L1497" s="13"/>
    </row>
    <row r="1498">
      <c r="A1498" s="13">
        <f>IFERROR(__xludf.DUMMYFUNCTION("""COMPUTED_VALUE"""),1496.0)</f>
        <v>1496</v>
      </c>
      <c r="B1498" s="13">
        <f>IFERROR(__xludf.DUMMYFUNCTION("""COMPUTED_VALUE"""),860.0)</f>
        <v>860</v>
      </c>
      <c r="C1498" s="13">
        <f>IFERROR(__xludf.DUMMYFUNCTION("""COMPUTED_VALUE"""),51.0)</f>
        <v>51</v>
      </c>
      <c r="D1498" s="12" t="str">
        <f>IFERROR(__xludf.DUMMYFUNCTION("""COMPUTED_VALUE"""),"I wanted to like this...")</f>
        <v>I wanted to like this...</v>
      </c>
      <c r="E1498" s="12" t="str">
        <f>IFERROR(__xludf.DUMMYFUNCTION("""COMPUTED_VALUE"""),"I wanted to like this top so so so so badly. so badly in fact, that after the first size didn't fit, i ordered two other sizes to make sure: xl, l, m. none of them worked i really wanted to like this top. the online photo makes the clothing look so flatte"&amp;"ring and the shirt is just not....at least on me. the shirt online on the model looks slimming and a lot longer than the actual piece of the clothing. the beaded work is very beautiful, but short causing the very poofy peplum to start at the mos")</f>
        <v>I wanted to like this top so so so so badly. so badly in fact, that after the first size didn't fit, i ordered two other sizes to make sure: xl, l, m. none of them worked i really wanted to like this top. the online photo makes the clothing look so flattering and the shirt is just not....at least on me. the shirt online on the model looks slimming and a lot longer than the actual piece of the clothing. the beaded work is very beautiful, but short causing the very poofy peplum to start at the mos</v>
      </c>
      <c r="F1498" s="13">
        <f>IFERROR(__xludf.DUMMYFUNCTION("""COMPUTED_VALUE"""),1.0)</f>
        <v>1</v>
      </c>
      <c r="G1498" s="13">
        <f>IFERROR(__xludf.DUMMYFUNCTION("""COMPUTED_VALUE"""),0.0)</f>
        <v>0</v>
      </c>
      <c r="H1498" s="13">
        <f>IFERROR(__xludf.DUMMYFUNCTION("""COMPUTED_VALUE"""),0.0)</f>
        <v>0</v>
      </c>
      <c r="I1498" s="13" t="str">
        <f>IFERROR(__xludf.DUMMYFUNCTION("""COMPUTED_VALUE"""),"General")</f>
        <v>General</v>
      </c>
      <c r="J1498" s="13" t="str">
        <f>IFERROR(__xludf.DUMMYFUNCTION("""COMPUTED_VALUE"""),"Tops")</f>
        <v>Tops</v>
      </c>
      <c r="K1498" s="13" t="str">
        <f>IFERROR(__xludf.DUMMYFUNCTION("""COMPUTED_VALUE"""),"Knits")</f>
        <v>Knits</v>
      </c>
      <c r="L1498" s="13"/>
    </row>
    <row r="1499">
      <c r="A1499" s="13">
        <f>IFERROR(__xludf.DUMMYFUNCTION("""COMPUTED_VALUE"""),1497.0)</f>
        <v>1497</v>
      </c>
      <c r="B1499" s="13">
        <f>IFERROR(__xludf.DUMMYFUNCTION("""COMPUTED_VALUE"""),1066.0)</f>
        <v>1066</v>
      </c>
      <c r="C1499" s="13">
        <f>IFERROR(__xludf.DUMMYFUNCTION("""COMPUTED_VALUE"""),41.0)</f>
        <v>41</v>
      </c>
      <c r="D1499" s="12" t="str">
        <f>IFERROR(__xludf.DUMMYFUNCTION("""COMPUTED_VALUE"""),"Perfect work pants!")</f>
        <v>Perfect work pants!</v>
      </c>
      <c r="E1499" s="12" t="str">
        <f>IFERROR(__xludf.DUMMYFUNCTION("""COMPUTED_VALUE"""),"I love these pants so much i even paid full price for them.  i'm going to order them in navy too.  super cute fit.  cute with flats or heels.")</f>
        <v>I love these pants so much i even paid full price for them.  i'm going to order them in navy too.  super cute fit.  cute with flats or heels.</v>
      </c>
      <c r="F1499" s="13">
        <f>IFERROR(__xludf.DUMMYFUNCTION("""COMPUTED_VALUE"""),5.0)</f>
        <v>5</v>
      </c>
      <c r="G1499" s="13">
        <f>IFERROR(__xludf.DUMMYFUNCTION("""COMPUTED_VALUE"""),1.0)</f>
        <v>1</v>
      </c>
      <c r="H1499" s="13">
        <f>IFERROR(__xludf.DUMMYFUNCTION("""COMPUTED_VALUE"""),0.0)</f>
        <v>0</v>
      </c>
      <c r="I1499" s="13" t="str">
        <f>IFERROR(__xludf.DUMMYFUNCTION("""COMPUTED_VALUE"""),"General")</f>
        <v>General</v>
      </c>
      <c r="J1499" s="13" t="str">
        <f>IFERROR(__xludf.DUMMYFUNCTION("""COMPUTED_VALUE"""),"Bottoms")</f>
        <v>Bottoms</v>
      </c>
      <c r="K1499" s="13" t="str">
        <f>IFERROR(__xludf.DUMMYFUNCTION("""COMPUTED_VALUE"""),"Pants")</f>
        <v>Pants</v>
      </c>
      <c r="L1499" s="13"/>
    </row>
    <row r="1500">
      <c r="A1500" s="13">
        <f>IFERROR(__xludf.DUMMYFUNCTION("""COMPUTED_VALUE"""),1498.0)</f>
        <v>1498</v>
      </c>
      <c r="B1500" s="13">
        <f>IFERROR(__xludf.DUMMYFUNCTION("""COMPUTED_VALUE"""),949.0)</f>
        <v>949</v>
      </c>
      <c r="C1500" s="13">
        <f>IFERROR(__xludf.DUMMYFUNCTION("""COMPUTED_VALUE"""),27.0)</f>
        <v>27</v>
      </c>
      <c r="D1500" s="12" t="str">
        <f>IFERROR(__xludf.DUMMYFUNCTION("""COMPUTED_VALUE"""),"Size down")</f>
        <v>Size down</v>
      </c>
      <c r="E1500" s="12" t="str">
        <f>IFERROR(__xludf.DUMMYFUNCTION("""COMPUTED_VALUE"""),"I followed the advice of other reviewers and sized down. however, the jacket was still too large. it fit fine in the arms but the body/width of the jacket was huge. also i found the wool material to be extremely itchy. it might work if you are layering it"&amp;" over long sleeves but still make sure to size down at least one or maybe even two sizes.")</f>
        <v>I followed the advice of other reviewers and sized down. however, the jacket was still too large. it fit fine in the arms but the body/width of the jacket was huge. also i found the wool material to be extremely itchy. it might work if you are layering it over long sleeves but still make sure to size down at least one or maybe even two sizes.</v>
      </c>
      <c r="F1500" s="13">
        <f>IFERROR(__xludf.DUMMYFUNCTION("""COMPUTED_VALUE"""),3.0)</f>
        <v>3</v>
      </c>
      <c r="G1500" s="13">
        <f>IFERROR(__xludf.DUMMYFUNCTION("""COMPUTED_VALUE"""),0.0)</f>
        <v>0</v>
      </c>
      <c r="H1500" s="13">
        <f>IFERROR(__xludf.DUMMYFUNCTION("""COMPUTED_VALUE"""),1.0)</f>
        <v>1</v>
      </c>
      <c r="I1500" s="13" t="str">
        <f>IFERROR(__xludf.DUMMYFUNCTION("""COMPUTED_VALUE"""),"General Petite")</f>
        <v>General Petite</v>
      </c>
      <c r="J1500" s="13" t="str">
        <f>IFERROR(__xludf.DUMMYFUNCTION("""COMPUTED_VALUE"""),"Tops")</f>
        <v>Tops</v>
      </c>
      <c r="K1500" s="13" t="str">
        <f>IFERROR(__xludf.DUMMYFUNCTION("""COMPUTED_VALUE"""),"Sweaters")</f>
        <v>Sweaters</v>
      </c>
      <c r="L1500" s="13"/>
    </row>
    <row r="1501">
      <c r="A1501" s="13">
        <f>IFERROR(__xludf.DUMMYFUNCTION("""COMPUTED_VALUE"""),1499.0)</f>
        <v>1499</v>
      </c>
      <c r="B1501" s="13">
        <f>IFERROR(__xludf.DUMMYFUNCTION("""COMPUTED_VALUE"""),829.0)</f>
        <v>829</v>
      </c>
      <c r="C1501" s="13">
        <f>IFERROR(__xludf.DUMMYFUNCTION("""COMPUTED_VALUE"""),44.0)</f>
        <v>44</v>
      </c>
      <c r="D1501" s="12" t="str">
        <f>IFERROR(__xludf.DUMMYFUNCTION("""COMPUTED_VALUE"""),"Subtle beauty")</f>
        <v>Subtle beauty</v>
      </c>
      <c r="E1501" s="12" t="str">
        <f>IFERROR(__xludf.DUMMYFUNCTION("""COMPUTED_VALUE"""),"I stumbled upon this by accident and i thought the turquoise color looks unique so i tried it on, and it was a great fit first time around. i dislike open shoulder blouses because most of them are too open but this one is very sutble which gives it a girl"&amp;" next door sexy look. the material is very soft, the pattern is subtle plaid, and the liner is a plus. size 2 regular fits me very comfortably (i'm 5'2"", 34b, 26 waist, 36 hips). i could size down more but i like the relaxed look like on the mod")</f>
        <v>I stumbled upon this by accident and i thought the turquoise color looks unique so i tried it on, and it was a great fit first time around. i dislike open shoulder blouses because most of them are too open but this one is very sutble which gives it a girl next door sexy look. the material is very soft, the pattern is subtle plaid, and the liner is a plus. size 2 regular fits me very comfortably (i'm 5'2", 34b, 26 waist, 36 hips). i could size down more but i like the relaxed look like on the mod</v>
      </c>
      <c r="F1501" s="13">
        <f>IFERROR(__xludf.DUMMYFUNCTION("""COMPUTED_VALUE"""),5.0)</f>
        <v>5</v>
      </c>
      <c r="G1501" s="13">
        <f>IFERROR(__xludf.DUMMYFUNCTION("""COMPUTED_VALUE"""),1.0)</f>
        <v>1</v>
      </c>
      <c r="H1501" s="13">
        <f>IFERROR(__xludf.DUMMYFUNCTION("""COMPUTED_VALUE"""),4.0)</f>
        <v>4</v>
      </c>
      <c r="I1501" s="13" t="str">
        <f>IFERROR(__xludf.DUMMYFUNCTION("""COMPUTED_VALUE"""),"General Petite")</f>
        <v>General Petite</v>
      </c>
      <c r="J1501" s="13" t="str">
        <f>IFERROR(__xludf.DUMMYFUNCTION("""COMPUTED_VALUE"""),"Tops")</f>
        <v>Tops</v>
      </c>
      <c r="K1501" s="13" t="str">
        <f>IFERROR(__xludf.DUMMYFUNCTION("""COMPUTED_VALUE"""),"Blouses")</f>
        <v>Blouses</v>
      </c>
      <c r="L1501" s="13"/>
    </row>
    <row r="1502">
      <c r="A1502" s="13">
        <f>IFERROR(__xludf.DUMMYFUNCTION("""COMPUTED_VALUE"""),1500.0)</f>
        <v>1500</v>
      </c>
      <c r="B1502" s="13">
        <f>IFERROR(__xludf.DUMMYFUNCTION("""COMPUTED_VALUE"""),1003.0)</f>
        <v>1003</v>
      </c>
      <c r="C1502" s="13">
        <f>IFERROR(__xludf.DUMMYFUNCTION("""COMPUTED_VALUE"""),38.0)</f>
        <v>38</v>
      </c>
      <c r="D1502" s="12" t="str">
        <f>IFERROR(__xludf.DUMMYFUNCTION("""COMPUTED_VALUE"""),"Small in the waist")</f>
        <v>Small in the waist</v>
      </c>
      <c r="E1502" s="12" t="str">
        <f>IFERROR(__xludf.DUMMYFUNCTION("""COMPUTED_VALUE"""),"Gorgeous colors on lovely silk skirt. longer on me than in photo, but i'm only 5'4"". i usually wear a size 12 or 32"" waist jeans, but i could not zip up the large. by several inches. i'm not sure if i can possibly cover the waist and still wear it that "&amp;"way. sad because i've had my eye on this for months:(")</f>
        <v>Gorgeous colors on lovely silk skirt. longer on me than in photo, but i'm only 5'4". i usually wear a size 12 or 32" waist jeans, but i could not zip up the large. by several inches. i'm not sure if i can possibly cover the waist and still wear it that way. sad because i've had my eye on this for months:(</v>
      </c>
      <c r="F1502" s="13">
        <f>IFERROR(__xludf.DUMMYFUNCTION("""COMPUTED_VALUE"""),5.0)</f>
        <v>5</v>
      </c>
      <c r="G1502" s="13">
        <f>IFERROR(__xludf.DUMMYFUNCTION("""COMPUTED_VALUE"""),1.0)</f>
        <v>1</v>
      </c>
      <c r="H1502" s="13">
        <f>IFERROR(__xludf.DUMMYFUNCTION("""COMPUTED_VALUE"""),0.0)</f>
        <v>0</v>
      </c>
      <c r="I1502" s="13" t="str">
        <f>IFERROR(__xludf.DUMMYFUNCTION("""COMPUTED_VALUE"""),"General")</f>
        <v>General</v>
      </c>
      <c r="J1502" s="13" t="str">
        <f>IFERROR(__xludf.DUMMYFUNCTION("""COMPUTED_VALUE"""),"Bottoms")</f>
        <v>Bottoms</v>
      </c>
      <c r="K1502" s="13" t="str">
        <f>IFERROR(__xludf.DUMMYFUNCTION("""COMPUTED_VALUE"""),"Skirts")</f>
        <v>Skirts</v>
      </c>
      <c r="L1502" s="13"/>
    </row>
    <row r="1503">
      <c r="A1503" s="13">
        <f>IFERROR(__xludf.DUMMYFUNCTION("""COMPUTED_VALUE"""),1501.0)</f>
        <v>1501</v>
      </c>
      <c r="B1503" s="13">
        <f>IFERROR(__xludf.DUMMYFUNCTION("""COMPUTED_VALUE"""),860.0)</f>
        <v>860</v>
      </c>
      <c r="C1503" s="13">
        <f>IFERROR(__xludf.DUMMYFUNCTION("""COMPUTED_VALUE"""),52.0)</f>
        <v>52</v>
      </c>
      <c r="D1503" s="12" t="str">
        <f>IFERROR(__xludf.DUMMYFUNCTION("""COMPUTED_VALUE"""),"~~so very retailer~~")</f>
        <v>~~so very retailer~~</v>
      </c>
      <c r="E1503" s="12" t="str">
        <f>IFERROR(__xludf.DUMMYFUNCTION("""COMPUTED_VALUE"""),"Absolutely beautiful - 
usually don't leave reviews here, but this top (material, beading, style) is so gorgeous i would be remiss if i didn't. i have a short torso, so the peplum hit me above the belly-button. it's very voluminous, but with the right pan"&amp;"ts and heels, it is a perfect outfit. as a full-time student, i'm apt to find retailer expensive - but this purchase was so very much worth it. in terms of sizing- i initially got the s to accommodate my bust (30f) but preferred the xs.")</f>
        <v>Absolutely beautiful - 
usually don't leave reviews here, but this top (material, beading, style) is so gorgeous i would be remiss if i didn't. i have a short torso, so the peplum hit me above the belly-button. it's very voluminous, but with the right pants and heels, it is a perfect outfit. as a full-time student, i'm apt to find retailer expensive - but this purchase was so very much worth it. in terms of sizing- i initially got the s to accommodate my bust (30f) but preferred the xs.</v>
      </c>
      <c r="F1503" s="13">
        <f>IFERROR(__xludf.DUMMYFUNCTION("""COMPUTED_VALUE"""),5.0)</f>
        <v>5</v>
      </c>
      <c r="G1503" s="13">
        <f>IFERROR(__xludf.DUMMYFUNCTION("""COMPUTED_VALUE"""),1.0)</f>
        <v>1</v>
      </c>
      <c r="H1503" s="13">
        <f>IFERROR(__xludf.DUMMYFUNCTION("""COMPUTED_VALUE"""),0.0)</f>
        <v>0</v>
      </c>
      <c r="I1503" s="13" t="str">
        <f>IFERROR(__xludf.DUMMYFUNCTION("""COMPUTED_VALUE"""),"General")</f>
        <v>General</v>
      </c>
      <c r="J1503" s="13" t="str">
        <f>IFERROR(__xludf.DUMMYFUNCTION("""COMPUTED_VALUE"""),"Tops")</f>
        <v>Tops</v>
      </c>
      <c r="K1503" s="13" t="str">
        <f>IFERROR(__xludf.DUMMYFUNCTION("""COMPUTED_VALUE"""),"Knits")</f>
        <v>Knits</v>
      </c>
      <c r="L1503" s="13"/>
    </row>
    <row r="1504">
      <c r="A1504" s="13">
        <f>IFERROR(__xludf.DUMMYFUNCTION("""COMPUTED_VALUE"""),1502.0)</f>
        <v>1502</v>
      </c>
      <c r="B1504" s="13">
        <f>IFERROR(__xludf.DUMMYFUNCTION("""COMPUTED_VALUE"""),1008.0)</f>
        <v>1008</v>
      </c>
      <c r="C1504" s="13">
        <f>IFERROR(__xludf.DUMMYFUNCTION("""COMPUTED_VALUE"""),60.0)</f>
        <v>60</v>
      </c>
      <c r="D1504" s="12" t="str">
        <f>IFERROR(__xludf.DUMMYFUNCTION("""COMPUTED_VALUE"""),"My new favorite skirt!")</f>
        <v>My new favorite skirt!</v>
      </c>
      <c r="E1504" s="12" t="str">
        <f>IFERROR(__xludf.DUMMYFUNCTION("""COMPUTED_VALUE"""),"Very cute! waist is a little big for me but overall a pretty good fit.")</f>
        <v>Very cute! waist is a little big for me but overall a pretty good fit.</v>
      </c>
      <c r="F1504" s="13">
        <f>IFERROR(__xludf.DUMMYFUNCTION("""COMPUTED_VALUE"""),5.0)</f>
        <v>5</v>
      </c>
      <c r="G1504" s="13">
        <f>IFERROR(__xludf.DUMMYFUNCTION("""COMPUTED_VALUE"""),1.0)</f>
        <v>1</v>
      </c>
      <c r="H1504" s="13">
        <f>IFERROR(__xludf.DUMMYFUNCTION("""COMPUTED_VALUE"""),0.0)</f>
        <v>0</v>
      </c>
      <c r="I1504" s="13" t="str">
        <f>IFERROR(__xludf.DUMMYFUNCTION("""COMPUTED_VALUE"""),"General")</f>
        <v>General</v>
      </c>
      <c r="J1504" s="13" t="str">
        <f>IFERROR(__xludf.DUMMYFUNCTION("""COMPUTED_VALUE"""),"Bottoms")</f>
        <v>Bottoms</v>
      </c>
      <c r="K1504" s="13" t="str">
        <f>IFERROR(__xludf.DUMMYFUNCTION("""COMPUTED_VALUE"""),"Skirts")</f>
        <v>Skirts</v>
      </c>
      <c r="L1504" s="13"/>
    </row>
    <row r="1505">
      <c r="A1505" s="13">
        <f>IFERROR(__xludf.DUMMYFUNCTION("""COMPUTED_VALUE"""),1503.0)</f>
        <v>1503</v>
      </c>
      <c r="B1505" s="13">
        <f>IFERROR(__xludf.DUMMYFUNCTION("""COMPUTED_VALUE"""),1080.0)</f>
        <v>1080</v>
      </c>
      <c r="C1505" s="13">
        <f>IFERROR(__xludf.DUMMYFUNCTION("""COMPUTED_VALUE"""),36.0)</f>
        <v>36</v>
      </c>
      <c r="D1505" s="12" t="str">
        <f>IFERROR(__xludf.DUMMYFUNCTION("""COMPUTED_VALUE"""),"Bad zipper")</f>
        <v>Bad zipper</v>
      </c>
      <c r="E1505" s="12" t="str">
        <f>IFERROR(__xludf.DUMMYFUNCTION("""COMPUTED_VALUE"""),"Beautiful dress with the colors and pleats. i did not have the same problems with the bust area that others did. my biggest complaint is the exposed zipper doesn&amp;#39;t lay flat, even when just hanging on the hanger. when actually on a person the zipper ju"&amp;"ts out. had to be returned!")</f>
        <v>Beautiful dress with the colors and pleats. i did not have the same problems with the bust area that others did. my biggest complaint is the exposed zipper doesn&amp;#39;t lay flat, even when just hanging on the hanger. when actually on a person the zipper juts out. had to be returned!</v>
      </c>
      <c r="F1505" s="13">
        <f>IFERROR(__xludf.DUMMYFUNCTION("""COMPUTED_VALUE"""),3.0)</f>
        <v>3</v>
      </c>
      <c r="G1505" s="13">
        <f>IFERROR(__xludf.DUMMYFUNCTION("""COMPUTED_VALUE"""),0.0)</f>
        <v>0</v>
      </c>
      <c r="H1505" s="13">
        <f>IFERROR(__xludf.DUMMYFUNCTION("""COMPUTED_VALUE"""),0.0)</f>
        <v>0</v>
      </c>
      <c r="I1505" s="13" t="str">
        <f>IFERROR(__xludf.DUMMYFUNCTION("""COMPUTED_VALUE"""),"General")</f>
        <v>General</v>
      </c>
      <c r="J1505" s="13" t="str">
        <f>IFERROR(__xludf.DUMMYFUNCTION("""COMPUTED_VALUE"""),"Dresses")</f>
        <v>Dresses</v>
      </c>
      <c r="K1505" s="13" t="str">
        <f>IFERROR(__xludf.DUMMYFUNCTION("""COMPUTED_VALUE"""),"Dresses")</f>
        <v>Dresses</v>
      </c>
      <c r="L1505" s="13"/>
    </row>
    <row r="1506">
      <c r="A1506" s="13">
        <f>IFERROR(__xludf.DUMMYFUNCTION("""COMPUTED_VALUE"""),1504.0)</f>
        <v>1504</v>
      </c>
      <c r="B1506" s="13">
        <f>IFERROR(__xludf.DUMMYFUNCTION("""COMPUTED_VALUE"""),927.0)</f>
        <v>927</v>
      </c>
      <c r="C1506" s="13">
        <f>IFERROR(__xludf.DUMMYFUNCTION("""COMPUTED_VALUE"""),44.0)</f>
        <v>44</v>
      </c>
      <c r="D1506" s="12"/>
      <c r="E1506" s="12" t="str">
        <f>IFERROR(__xludf.DUMMYFUNCTION("""COMPUTED_VALUE"""),"Tried this on and loved it! chic, lightweight, warm, cute left as is and cuter belted. ended up letting a friend buy it since it was the last one but will be adding to my iso list for sure!")</f>
        <v>Tried this on and loved it! chic, lightweight, warm, cute left as is and cuter belted. ended up letting a friend buy it since it was the last one but will be adding to my iso list for sure!</v>
      </c>
      <c r="F1506" s="13">
        <f>IFERROR(__xludf.DUMMYFUNCTION("""COMPUTED_VALUE"""),5.0)</f>
        <v>5</v>
      </c>
      <c r="G1506" s="13">
        <f>IFERROR(__xludf.DUMMYFUNCTION("""COMPUTED_VALUE"""),1.0)</f>
        <v>1</v>
      </c>
      <c r="H1506" s="13">
        <f>IFERROR(__xludf.DUMMYFUNCTION("""COMPUTED_VALUE"""),0.0)</f>
        <v>0</v>
      </c>
      <c r="I1506" s="13" t="str">
        <f>IFERROR(__xludf.DUMMYFUNCTION("""COMPUTED_VALUE"""),"General")</f>
        <v>General</v>
      </c>
      <c r="J1506" s="13" t="str">
        <f>IFERROR(__xludf.DUMMYFUNCTION("""COMPUTED_VALUE"""),"Tops")</f>
        <v>Tops</v>
      </c>
      <c r="K1506" s="13" t="str">
        <f>IFERROR(__xludf.DUMMYFUNCTION("""COMPUTED_VALUE"""),"Sweaters")</f>
        <v>Sweaters</v>
      </c>
      <c r="L1506" s="13"/>
    </row>
    <row r="1507">
      <c r="A1507" s="13">
        <f>IFERROR(__xludf.DUMMYFUNCTION("""COMPUTED_VALUE"""),1505.0)</f>
        <v>1505</v>
      </c>
      <c r="B1507" s="13">
        <f>IFERROR(__xludf.DUMMYFUNCTION("""COMPUTED_VALUE"""),1098.0)</f>
        <v>1098</v>
      </c>
      <c r="C1507" s="13">
        <f>IFERROR(__xludf.DUMMYFUNCTION("""COMPUTED_VALUE"""),34.0)</f>
        <v>34</v>
      </c>
      <c r="D1507" s="12" t="str">
        <f>IFERROR(__xludf.DUMMYFUNCTION("""COMPUTED_VALUE"""),"Dissapointed")</f>
        <v>Dissapointed</v>
      </c>
      <c r="E1507" s="12" t="str">
        <f>IFERROR(__xludf.DUMMYFUNCTION("""COMPUTED_VALUE"""),"I have to confess i had very high hopes for this dress. i was buying it as a stylish, modern alternative to a business suit. i wanted this dress to work as a piece to deliver presentations in or attend faculty functions. tailored, conservative, and edgy a"&amp;"t the same time. several hundred dollars dress should meet the aforementioned needs, i thought. but it did not. the best description for the dress is ""blah"", average.
the material is textures and crinkly, not slick. the top is cream/ivory color")</f>
        <v>I have to confess i had very high hopes for this dress. i was buying it as a stylish, modern alternative to a business suit. i wanted this dress to work as a piece to deliver presentations in or attend faculty functions. tailored, conservative, and edgy at the same time. several hundred dollars dress should meet the aforementioned needs, i thought. but it did not. the best description for the dress is "blah", average.
the material is textures and crinkly, not slick. the top is cream/ivory color</v>
      </c>
      <c r="F1507" s="13">
        <f>IFERROR(__xludf.DUMMYFUNCTION("""COMPUTED_VALUE"""),3.0)</f>
        <v>3</v>
      </c>
      <c r="G1507" s="13">
        <f>IFERROR(__xludf.DUMMYFUNCTION("""COMPUTED_VALUE"""),0.0)</f>
        <v>0</v>
      </c>
      <c r="H1507" s="13">
        <f>IFERROR(__xludf.DUMMYFUNCTION("""COMPUTED_VALUE"""),4.0)</f>
        <v>4</v>
      </c>
      <c r="I1507" s="13" t="str">
        <f>IFERROR(__xludf.DUMMYFUNCTION("""COMPUTED_VALUE"""),"General Petite")</f>
        <v>General Petite</v>
      </c>
      <c r="J1507" s="13" t="str">
        <f>IFERROR(__xludf.DUMMYFUNCTION("""COMPUTED_VALUE"""),"Dresses")</f>
        <v>Dresses</v>
      </c>
      <c r="K1507" s="13" t="str">
        <f>IFERROR(__xludf.DUMMYFUNCTION("""COMPUTED_VALUE"""),"Dresses")</f>
        <v>Dresses</v>
      </c>
      <c r="L1507" s="13"/>
    </row>
    <row r="1508">
      <c r="A1508" s="13">
        <f>IFERROR(__xludf.DUMMYFUNCTION("""COMPUTED_VALUE"""),1506.0)</f>
        <v>1506</v>
      </c>
      <c r="B1508" s="13">
        <f>IFERROR(__xludf.DUMMYFUNCTION("""COMPUTED_VALUE"""),831.0)</f>
        <v>831</v>
      </c>
      <c r="C1508" s="13">
        <f>IFERROR(__xludf.DUMMYFUNCTION("""COMPUTED_VALUE"""),41.0)</f>
        <v>41</v>
      </c>
      <c r="D1508" s="12"/>
      <c r="E1508" s="12" t="str">
        <f>IFERROR(__xludf.DUMMYFUNCTION("""COMPUTED_VALUE"""),"I love this shirt! i was surprised by the other reviews. it's boxy, but not unflattering. i get so many compliments on this. a steal for the price.")</f>
        <v>I love this shirt! i was surprised by the other reviews. it's boxy, but not unflattering. i get so many compliments on this. a steal for the price.</v>
      </c>
      <c r="F1508" s="13">
        <f>IFERROR(__xludf.DUMMYFUNCTION("""COMPUTED_VALUE"""),5.0)</f>
        <v>5</v>
      </c>
      <c r="G1508" s="13">
        <f>IFERROR(__xludf.DUMMYFUNCTION("""COMPUTED_VALUE"""),1.0)</f>
        <v>1</v>
      </c>
      <c r="H1508" s="13">
        <f>IFERROR(__xludf.DUMMYFUNCTION("""COMPUTED_VALUE"""),0.0)</f>
        <v>0</v>
      </c>
      <c r="I1508" s="13" t="str">
        <f>IFERROR(__xludf.DUMMYFUNCTION("""COMPUTED_VALUE"""),"General Petite")</f>
        <v>General Petite</v>
      </c>
      <c r="J1508" s="13" t="str">
        <f>IFERROR(__xludf.DUMMYFUNCTION("""COMPUTED_VALUE"""),"Tops")</f>
        <v>Tops</v>
      </c>
      <c r="K1508" s="13" t="str">
        <f>IFERROR(__xludf.DUMMYFUNCTION("""COMPUTED_VALUE"""),"Blouses")</f>
        <v>Blouses</v>
      </c>
      <c r="L1508" s="13"/>
    </row>
    <row r="1509">
      <c r="A1509" s="13">
        <f>IFERROR(__xludf.DUMMYFUNCTION("""COMPUTED_VALUE"""),1507.0)</f>
        <v>1507</v>
      </c>
      <c r="B1509" s="13">
        <f>IFERROR(__xludf.DUMMYFUNCTION("""COMPUTED_VALUE"""),1020.0)</f>
        <v>1020</v>
      </c>
      <c r="C1509" s="13">
        <f>IFERROR(__xludf.DUMMYFUNCTION("""COMPUTED_VALUE"""),47.0)</f>
        <v>47</v>
      </c>
      <c r="D1509" s="12" t="str">
        <f>IFERROR(__xludf.DUMMYFUNCTION("""COMPUTED_VALUE"""),"Versatile, great fit, pockets!")</f>
        <v>Versatile, great fit, pockets!</v>
      </c>
      <c r="E1509" s="12" t="str">
        <f>IFERROR(__xludf.DUMMYFUNCTION("""COMPUTED_VALUE"""),"It's rare to find such a great skirt -- flattering, unique design, substantial (denim-like) fabric, something with pockets! this skirt has everything, including an adjustable buckled waist. i love the slight a-line shape, too. for me it fits true to size "&amp;"(the same size i wear in skirts from other brands). i love the colors -- ivory background, cobalt, periwinkle, orange, blush pink, yellow, black. it will be easy to pair with tees or button-down shirts and cute sandals.")</f>
        <v>It's rare to find such a great skirt -- flattering, unique design, substantial (denim-like) fabric, something with pockets! this skirt has everything, including an adjustable buckled waist. i love the slight a-line shape, too. for me it fits true to size (the same size i wear in skirts from other brands). i love the colors -- ivory background, cobalt, periwinkle, orange, blush pink, yellow, black. it will be easy to pair with tees or button-down shirts and cute sandals.</v>
      </c>
      <c r="F1509" s="13">
        <f>IFERROR(__xludf.DUMMYFUNCTION("""COMPUTED_VALUE"""),5.0)</f>
        <v>5</v>
      </c>
      <c r="G1509" s="13">
        <f>IFERROR(__xludf.DUMMYFUNCTION("""COMPUTED_VALUE"""),1.0)</f>
        <v>1</v>
      </c>
      <c r="H1509" s="13">
        <f>IFERROR(__xludf.DUMMYFUNCTION("""COMPUTED_VALUE"""),0.0)</f>
        <v>0</v>
      </c>
      <c r="I1509" s="13" t="str">
        <f>IFERROR(__xludf.DUMMYFUNCTION("""COMPUTED_VALUE"""),"General Petite")</f>
        <v>General Petite</v>
      </c>
      <c r="J1509" s="13" t="str">
        <f>IFERROR(__xludf.DUMMYFUNCTION("""COMPUTED_VALUE"""),"Bottoms")</f>
        <v>Bottoms</v>
      </c>
      <c r="K1509" s="13" t="str">
        <f>IFERROR(__xludf.DUMMYFUNCTION("""COMPUTED_VALUE"""),"Skirts")</f>
        <v>Skirts</v>
      </c>
      <c r="L1509" s="13"/>
    </row>
    <row r="1510">
      <c r="A1510" s="13">
        <f>IFERROR(__xludf.DUMMYFUNCTION("""COMPUTED_VALUE"""),1508.0)</f>
        <v>1508</v>
      </c>
      <c r="B1510" s="13">
        <f>IFERROR(__xludf.DUMMYFUNCTION("""COMPUTED_VALUE"""),863.0)</f>
        <v>863</v>
      </c>
      <c r="C1510" s="13">
        <f>IFERROR(__xludf.DUMMYFUNCTION("""COMPUTED_VALUE"""),60.0)</f>
        <v>60</v>
      </c>
      <c r="D1510" s="12" t="str">
        <f>IFERROR(__xludf.DUMMYFUNCTION("""COMPUTED_VALUE"""),"Sleeves stretch out")</f>
        <v>Sleeves stretch out</v>
      </c>
      <c r="E1510" s="12" t="str">
        <f>IFERROR(__xludf.DUMMYFUNCTION("""COMPUTED_VALUE"""),"I really liked this top when i tried it on but as i wore it the bottom of the sleeves stretched out terrible where they looked worn out from wearing over and over, and since this happened with the first wearing and i paid $88.00 i sent it back. if it hadn"&amp;"'t been for that it's a comfy and cute casual top")</f>
        <v>I really liked this top when i tried it on but as i wore it the bottom of the sleeves stretched out terrible where they looked worn out from wearing over and over, and since this happened with the first wearing and i paid $88.00 i sent it back. if it hadn't been for that it's a comfy and cute casual top</v>
      </c>
      <c r="F1510" s="13">
        <f>IFERROR(__xludf.DUMMYFUNCTION("""COMPUTED_VALUE"""),4.0)</f>
        <v>4</v>
      </c>
      <c r="G1510" s="13">
        <f>IFERROR(__xludf.DUMMYFUNCTION("""COMPUTED_VALUE"""),0.0)</f>
        <v>0</v>
      </c>
      <c r="H1510" s="13">
        <f>IFERROR(__xludf.DUMMYFUNCTION("""COMPUTED_VALUE"""),3.0)</f>
        <v>3</v>
      </c>
      <c r="I1510" s="13" t="str">
        <f>IFERROR(__xludf.DUMMYFUNCTION("""COMPUTED_VALUE"""),"General")</f>
        <v>General</v>
      </c>
      <c r="J1510" s="13" t="str">
        <f>IFERROR(__xludf.DUMMYFUNCTION("""COMPUTED_VALUE"""),"Tops")</f>
        <v>Tops</v>
      </c>
      <c r="K1510" s="13" t="str">
        <f>IFERROR(__xludf.DUMMYFUNCTION("""COMPUTED_VALUE"""),"Knits")</f>
        <v>Knits</v>
      </c>
      <c r="L1510" s="13"/>
    </row>
    <row r="1511">
      <c r="A1511" s="13">
        <f>IFERROR(__xludf.DUMMYFUNCTION("""COMPUTED_VALUE"""),1509.0)</f>
        <v>1509</v>
      </c>
      <c r="B1511" s="13">
        <f>IFERROR(__xludf.DUMMYFUNCTION("""COMPUTED_VALUE"""),1020.0)</f>
        <v>1020</v>
      </c>
      <c r="C1511" s="13">
        <f>IFERROR(__xludf.DUMMYFUNCTION("""COMPUTED_VALUE"""),38.0)</f>
        <v>38</v>
      </c>
      <c r="D1511" s="12" t="str">
        <f>IFERROR(__xludf.DUMMYFUNCTION("""COMPUTED_VALUE"""),"Great fit for curves")</f>
        <v>Great fit for curves</v>
      </c>
      <c r="E1511" s="12" t="str">
        <f>IFERROR(__xludf.DUMMYFUNCTION("""COMPUTED_VALUE"""),"This skirt fits my curves so well. the adjustable waist is so helpful for getting the perfect fit. it sits high on me, but i have a very long torso so that didn't bother me and actually made the length more flattering for my shorter legs. the colors are v"&amp;"ibrant and versatile.")</f>
        <v>This skirt fits my curves so well. the adjustable waist is so helpful for getting the perfect fit. it sits high on me, but i have a very long torso so that didn't bother me and actually made the length more flattering for my shorter legs. the colors are vibrant and versatile.</v>
      </c>
      <c r="F1511" s="13">
        <f>IFERROR(__xludf.DUMMYFUNCTION("""COMPUTED_VALUE"""),5.0)</f>
        <v>5</v>
      </c>
      <c r="G1511" s="13">
        <f>IFERROR(__xludf.DUMMYFUNCTION("""COMPUTED_VALUE"""),1.0)</f>
        <v>1</v>
      </c>
      <c r="H1511" s="13">
        <f>IFERROR(__xludf.DUMMYFUNCTION("""COMPUTED_VALUE"""),1.0)</f>
        <v>1</v>
      </c>
      <c r="I1511" s="13" t="str">
        <f>IFERROR(__xludf.DUMMYFUNCTION("""COMPUTED_VALUE"""),"General Petite")</f>
        <v>General Petite</v>
      </c>
      <c r="J1511" s="13" t="str">
        <f>IFERROR(__xludf.DUMMYFUNCTION("""COMPUTED_VALUE"""),"Bottoms")</f>
        <v>Bottoms</v>
      </c>
      <c r="K1511" s="13" t="str">
        <f>IFERROR(__xludf.DUMMYFUNCTION("""COMPUTED_VALUE"""),"Skirts")</f>
        <v>Skirts</v>
      </c>
      <c r="L1511" s="13"/>
    </row>
    <row r="1512">
      <c r="A1512" s="13">
        <f>IFERROR(__xludf.DUMMYFUNCTION("""COMPUTED_VALUE"""),1510.0)</f>
        <v>1510</v>
      </c>
      <c r="B1512" s="13">
        <f>IFERROR(__xludf.DUMMYFUNCTION("""COMPUTED_VALUE"""),977.0)</f>
        <v>977</v>
      </c>
      <c r="C1512" s="13">
        <f>IFERROR(__xludf.DUMMYFUNCTION("""COMPUTED_VALUE"""),31.0)</f>
        <v>31</v>
      </c>
      <c r="D1512" s="12" t="str">
        <f>IFERROR(__xludf.DUMMYFUNCTION("""COMPUTED_VALUE"""),"Enormous!!")</f>
        <v>Enormous!!</v>
      </c>
      <c r="E1512" s="12" t="str">
        <f>IFERROR(__xludf.DUMMYFUNCTION("""COMPUTED_VALUE"""),"I know this product description says oversized but that's an understatement. i ordered a small and tried it on and i looked like a little kid in their father's jacket. i don't even think an xs would have worked. i'm 5'6"" and about 135 pounds for referenc"&amp;"e. i will say that the embroidery on the back is very cool and this jacket is overall a cool concept but it's just way too big.")</f>
        <v>I know this product description says oversized but that's an understatement. i ordered a small and tried it on and i looked like a little kid in their father's jacket. i don't even think an xs would have worked. i'm 5'6" and about 135 pounds for reference. i will say that the embroidery on the back is very cool and this jacket is overall a cool concept but it's just way too big.</v>
      </c>
      <c r="F1512" s="13">
        <f>IFERROR(__xludf.DUMMYFUNCTION("""COMPUTED_VALUE"""),1.0)</f>
        <v>1</v>
      </c>
      <c r="G1512" s="13">
        <f>IFERROR(__xludf.DUMMYFUNCTION("""COMPUTED_VALUE"""),0.0)</f>
        <v>0</v>
      </c>
      <c r="H1512" s="13">
        <f>IFERROR(__xludf.DUMMYFUNCTION("""COMPUTED_VALUE"""),0.0)</f>
        <v>0</v>
      </c>
      <c r="I1512" s="13" t="str">
        <f>IFERROR(__xludf.DUMMYFUNCTION("""COMPUTED_VALUE"""),"General Petite")</f>
        <v>General Petite</v>
      </c>
      <c r="J1512" s="13" t="str">
        <f>IFERROR(__xludf.DUMMYFUNCTION("""COMPUTED_VALUE"""),"Jackets")</f>
        <v>Jackets</v>
      </c>
      <c r="K1512" s="13" t="str">
        <f>IFERROR(__xludf.DUMMYFUNCTION("""COMPUTED_VALUE"""),"Jackets")</f>
        <v>Jackets</v>
      </c>
      <c r="L1512" s="13"/>
    </row>
    <row r="1513">
      <c r="A1513" s="13">
        <f>IFERROR(__xludf.DUMMYFUNCTION("""COMPUTED_VALUE"""),1511.0)</f>
        <v>1511</v>
      </c>
      <c r="B1513" s="13">
        <f>IFERROR(__xludf.DUMMYFUNCTION("""COMPUTED_VALUE"""),1080.0)</f>
        <v>1080</v>
      </c>
      <c r="C1513" s="13">
        <f>IFERROR(__xludf.DUMMYFUNCTION("""COMPUTED_VALUE"""),39.0)</f>
        <v>39</v>
      </c>
      <c r="D1513" s="12" t="str">
        <f>IFERROR(__xludf.DUMMYFUNCTION("""COMPUTED_VALUE"""),"Red ""evanthe"" dress")</f>
        <v>Red "evanthe" dress</v>
      </c>
      <c r="E1513" s="12" t="str">
        <f>IFERROR(__xludf.DUMMYFUNCTION("""COMPUTED_VALUE"""),"Agreed with the previous reviewer, this is the same dress as the evanthe dress that came out this summer, but in a rich beautiful red/wine color. the color differences in the pattern are , however, more subtle than the summer version, remaining in one pal"&amp;"ette. yo u can't tell from the picture, but the back is longer than the front. the neckline is very flattering, i found this one a little more snug than the evanthe (around the rib cage), tried on 00p (size for evanthe) might be better as 0p in")</f>
        <v>Agreed with the previous reviewer, this is the same dress as the evanthe dress that came out this summer, but in a rich beautiful red/wine color. the color differences in the pattern are , however, more subtle than the summer version, remaining in one palette. yo u can't tell from the picture, but the back is longer than the front. the neckline is very flattering, i found this one a little more snug than the evanthe (around the rib cage), tried on 00p (size for evanthe) might be better as 0p in</v>
      </c>
      <c r="F1513" s="13">
        <f>IFERROR(__xludf.DUMMYFUNCTION("""COMPUTED_VALUE"""),4.0)</f>
        <v>4</v>
      </c>
      <c r="G1513" s="13">
        <f>IFERROR(__xludf.DUMMYFUNCTION("""COMPUTED_VALUE"""),1.0)</f>
        <v>1</v>
      </c>
      <c r="H1513" s="13">
        <f>IFERROR(__xludf.DUMMYFUNCTION("""COMPUTED_VALUE"""),1.0)</f>
        <v>1</v>
      </c>
      <c r="I1513" s="13" t="str">
        <f>IFERROR(__xludf.DUMMYFUNCTION("""COMPUTED_VALUE"""),"General")</f>
        <v>General</v>
      </c>
      <c r="J1513" s="13" t="str">
        <f>IFERROR(__xludf.DUMMYFUNCTION("""COMPUTED_VALUE"""),"Dresses")</f>
        <v>Dresses</v>
      </c>
      <c r="K1513" s="13" t="str">
        <f>IFERROR(__xludf.DUMMYFUNCTION("""COMPUTED_VALUE"""),"Dresses")</f>
        <v>Dresses</v>
      </c>
      <c r="L1513" s="13"/>
    </row>
    <row r="1514">
      <c r="A1514" s="13">
        <f>IFERROR(__xludf.DUMMYFUNCTION("""COMPUTED_VALUE"""),1512.0)</f>
        <v>1512</v>
      </c>
      <c r="B1514" s="13">
        <f>IFERROR(__xludf.DUMMYFUNCTION("""COMPUTED_VALUE"""),912.0)</f>
        <v>912</v>
      </c>
      <c r="C1514" s="13">
        <f>IFERROR(__xludf.DUMMYFUNCTION("""COMPUTED_VALUE"""),46.0)</f>
        <v>46</v>
      </c>
      <c r="D1514" s="12" t="str">
        <f>IFERROR(__xludf.DUMMYFUNCTION("""COMPUTED_VALUE"""),"Haven't washed well")</f>
        <v>Haven't washed well</v>
      </c>
      <c r="E1514" s="12" t="str">
        <f>IFERROR(__xludf.DUMMYFUNCTION("""COMPUTED_VALUE"""),"I bought three of these this summer--a mint, ivory, and yellow. when i received them, they looked nice enough in person. i liked the heart motif and the peplum. the problem is the knit was on the cheap side and stretched out. the arms were tighter than i "&amp;"liked but loosened up through the day. but, then the look became more matronly. i wish they had been 3/4 length or a vest. the cheap, outstretched look just didn't work. i ended up donating all of mine after a few wears. they also pilled conside")</f>
        <v>I bought three of these this summer--a mint, ivory, and yellow. when i received them, they looked nice enough in person. i liked the heart motif and the peplum. the problem is the knit was on the cheap side and stretched out. the arms were tighter than i liked but loosened up through the day. but, then the look became more matronly. i wish they had been 3/4 length or a vest. the cheap, outstretched look just didn't work. i ended up donating all of mine after a few wears. they also pilled conside</v>
      </c>
      <c r="F1514" s="13">
        <f>IFERROR(__xludf.DUMMYFUNCTION("""COMPUTED_VALUE"""),3.0)</f>
        <v>3</v>
      </c>
      <c r="G1514" s="13">
        <f>IFERROR(__xludf.DUMMYFUNCTION("""COMPUTED_VALUE"""),0.0)</f>
        <v>0</v>
      </c>
      <c r="H1514" s="13">
        <f>IFERROR(__xludf.DUMMYFUNCTION("""COMPUTED_VALUE"""),0.0)</f>
        <v>0</v>
      </c>
      <c r="I1514" s="13" t="str">
        <f>IFERROR(__xludf.DUMMYFUNCTION("""COMPUTED_VALUE"""),"General Petite")</f>
        <v>General Petite</v>
      </c>
      <c r="J1514" s="13" t="str">
        <f>IFERROR(__xludf.DUMMYFUNCTION("""COMPUTED_VALUE"""),"Tops")</f>
        <v>Tops</v>
      </c>
      <c r="K1514" s="13" t="str">
        <f>IFERROR(__xludf.DUMMYFUNCTION("""COMPUTED_VALUE"""),"Fine gauge")</f>
        <v>Fine gauge</v>
      </c>
      <c r="L1514" s="13"/>
    </row>
    <row r="1515">
      <c r="A1515" s="13">
        <f>IFERROR(__xludf.DUMMYFUNCTION("""COMPUTED_VALUE"""),1513.0)</f>
        <v>1513</v>
      </c>
      <c r="B1515" s="13">
        <f>IFERROR(__xludf.DUMMYFUNCTION("""COMPUTED_VALUE"""),865.0)</f>
        <v>865</v>
      </c>
      <c r="C1515" s="13">
        <f>IFERROR(__xludf.DUMMYFUNCTION("""COMPUTED_VALUE"""),63.0)</f>
        <v>63</v>
      </c>
      <c r="D1515" s="12" t="str">
        <f>IFERROR(__xludf.DUMMYFUNCTION("""COMPUTED_VALUE"""),"Beautiful, flattering top")</f>
        <v>Beautiful, flattering top</v>
      </c>
      <c r="E1515" s="12" t="str">
        <f>IFERROR(__xludf.DUMMYFUNCTION("""COMPUTED_VALUE"""),"Ordered this top online, color is a little more gray than green but it is gorgeous, comfortable and flattering, so much so, i am ordering the navy too. great quality , fabulous with jeans .")</f>
        <v>Ordered this top online, color is a little more gray than green but it is gorgeous, comfortable and flattering, so much so, i am ordering the navy too. great quality , fabulous with jeans .</v>
      </c>
      <c r="F1515" s="13">
        <f>IFERROR(__xludf.DUMMYFUNCTION("""COMPUTED_VALUE"""),5.0)</f>
        <v>5</v>
      </c>
      <c r="G1515" s="13">
        <f>IFERROR(__xludf.DUMMYFUNCTION("""COMPUTED_VALUE"""),1.0)</f>
        <v>1</v>
      </c>
      <c r="H1515" s="13">
        <f>IFERROR(__xludf.DUMMYFUNCTION("""COMPUTED_VALUE"""),2.0)</f>
        <v>2</v>
      </c>
      <c r="I1515" s="13" t="str">
        <f>IFERROR(__xludf.DUMMYFUNCTION("""COMPUTED_VALUE"""),"General")</f>
        <v>General</v>
      </c>
      <c r="J1515" s="13" t="str">
        <f>IFERROR(__xludf.DUMMYFUNCTION("""COMPUTED_VALUE"""),"Tops")</f>
        <v>Tops</v>
      </c>
      <c r="K1515" s="13" t="str">
        <f>IFERROR(__xludf.DUMMYFUNCTION("""COMPUTED_VALUE"""),"Knits")</f>
        <v>Knits</v>
      </c>
      <c r="L1515" s="13"/>
    </row>
    <row r="1516">
      <c r="A1516" s="13">
        <f>IFERROR(__xludf.DUMMYFUNCTION("""COMPUTED_VALUE"""),1514.0)</f>
        <v>1514</v>
      </c>
      <c r="B1516" s="13">
        <f>IFERROR(__xludf.DUMMYFUNCTION("""COMPUTED_VALUE"""),850.0)</f>
        <v>850</v>
      </c>
      <c r="C1516" s="13">
        <f>IFERROR(__xludf.DUMMYFUNCTION("""COMPUTED_VALUE"""),33.0)</f>
        <v>33</v>
      </c>
      <c r="D1516" s="12" t="str">
        <f>IFERROR(__xludf.DUMMYFUNCTION("""COMPUTED_VALUE"""),"I wear my sunglasses")</f>
        <v>I wear my sunglasses</v>
      </c>
      <c r="E1516" s="12" t="str">
        <f>IFERROR(__xludf.DUMMYFUNCTION("""COMPUTED_VALUE"""),"I love this blouse! the colors of the little sunglasses are vibrant against the black background, the buttons on the front are also a coral/peach color and beautifully made. its thin enough to be worn in the summer or fall without making you sweat or free"&amp;"ze. i ordered a medium, which i usually wear in most retailer tops and it fits perfectly. i'm a 36b and can run from an 8 to a 10 in tops. i do recommend trying it on before purchasing if you can, especially for women with a larger bust. th")</f>
        <v>I love this blouse! the colors of the little sunglasses are vibrant against the black background, the buttons on the front are also a coral/peach color and beautifully made. its thin enough to be worn in the summer or fall without making you sweat or freeze. i ordered a medium, which i usually wear in most retailer tops and it fits perfectly. i'm a 36b and can run from an 8 to a 10 in tops. i do recommend trying it on before purchasing if you can, especially for women with a larger bust. th</v>
      </c>
      <c r="F1516" s="13">
        <f>IFERROR(__xludf.DUMMYFUNCTION("""COMPUTED_VALUE"""),5.0)</f>
        <v>5</v>
      </c>
      <c r="G1516" s="13">
        <f>IFERROR(__xludf.DUMMYFUNCTION("""COMPUTED_VALUE"""),1.0)</f>
        <v>1</v>
      </c>
      <c r="H1516" s="13">
        <f>IFERROR(__xludf.DUMMYFUNCTION("""COMPUTED_VALUE"""),0.0)</f>
        <v>0</v>
      </c>
      <c r="I1516" s="13" t="str">
        <f>IFERROR(__xludf.DUMMYFUNCTION("""COMPUTED_VALUE"""),"General")</f>
        <v>General</v>
      </c>
      <c r="J1516" s="13" t="str">
        <f>IFERROR(__xludf.DUMMYFUNCTION("""COMPUTED_VALUE"""),"Tops")</f>
        <v>Tops</v>
      </c>
      <c r="K1516" s="13" t="str">
        <f>IFERROR(__xludf.DUMMYFUNCTION("""COMPUTED_VALUE"""),"Blouses")</f>
        <v>Blouses</v>
      </c>
      <c r="L1516" s="13"/>
    </row>
    <row r="1517">
      <c r="A1517" s="13">
        <f>IFERROR(__xludf.DUMMYFUNCTION("""COMPUTED_VALUE"""),1515.0)</f>
        <v>1515</v>
      </c>
      <c r="B1517" s="13">
        <f>IFERROR(__xludf.DUMMYFUNCTION("""COMPUTED_VALUE"""),1080.0)</f>
        <v>1080</v>
      </c>
      <c r="C1517" s="13">
        <f>IFERROR(__xludf.DUMMYFUNCTION("""COMPUTED_VALUE"""),56.0)</f>
        <v>56</v>
      </c>
      <c r="D1517" s="12" t="str">
        <f>IFERROR(__xludf.DUMMYFUNCTION("""COMPUTED_VALUE"""),"Does not fit well but is beautiful")</f>
        <v>Does not fit well but is beautiful</v>
      </c>
      <c r="E1517" s="12" t="str">
        <f>IFERROR(__xludf.DUMMYFUNCTION("""COMPUTED_VALUE"""),"This is such a beautiful dress.  but have to return for the reasons others have noted.  the chest does not fit well.")</f>
        <v>This is such a beautiful dress.  but have to return for the reasons others have noted.  the chest does not fit well.</v>
      </c>
      <c r="F1517" s="13">
        <f>IFERROR(__xludf.DUMMYFUNCTION("""COMPUTED_VALUE"""),2.0)</f>
        <v>2</v>
      </c>
      <c r="G1517" s="13">
        <f>IFERROR(__xludf.DUMMYFUNCTION("""COMPUTED_VALUE"""),0.0)</f>
        <v>0</v>
      </c>
      <c r="H1517" s="13">
        <f>IFERROR(__xludf.DUMMYFUNCTION("""COMPUTED_VALUE"""),0.0)</f>
        <v>0</v>
      </c>
      <c r="I1517" s="13" t="str">
        <f>IFERROR(__xludf.DUMMYFUNCTION("""COMPUTED_VALUE"""),"General")</f>
        <v>General</v>
      </c>
      <c r="J1517" s="13" t="str">
        <f>IFERROR(__xludf.DUMMYFUNCTION("""COMPUTED_VALUE"""),"Dresses")</f>
        <v>Dresses</v>
      </c>
      <c r="K1517" s="13" t="str">
        <f>IFERROR(__xludf.DUMMYFUNCTION("""COMPUTED_VALUE"""),"Dresses")</f>
        <v>Dresses</v>
      </c>
      <c r="L1517" s="13"/>
    </row>
    <row r="1518">
      <c r="A1518" s="13">
        <f>IFERROR(__xludf.DUMMYFUNCTION("""COMPUTED_VALUE"""),1516.0)</f>
        <v>1516</v>
      </c>
      <c r="B1518" s="13">
        <f>IFERROR(__xludf.DUMMYFUNCTION("""COMPUTED_VALUE"""),1080.0)</f>
        <v>1080</v>
      </c>
      <c r="C1518" s="13">
        <f>IFERROR(__xludf.DUMMYFUNCTION("""COMPUTED_VALUE"""),40.0)</f>
        <v>40</v>
      </c>
      <c r="D1518" s="12" t="str">
        <f>IFERROR(__xludf.DUMMYFUNCTION("""COMPUTED_VALUE"""),"Small-chested women need not apply")</f>
        <v>Small-chested women need not apply</v>
      </c>
      <c r="E1518" s="12" t="str">
        <f>IFERROR(__xludf.DUMMYFUNCTION("""COMPUTED_VALUE"""),"Girls, this dress is gorgeous.  but if you are an a/b cup, there is just too much fabric in the bust.  the entire dress is pleated from the shoulders down, so a curvier figure would be shown to great advantage in this beautiful number.  alas, i had to sen"&amp;"d it back and was very sad to do so.")</f>
        <v>Girls, this dress is gorgeous.  but if you are an a/b cup, there is just too much fabric in the bust.  the entire dress is pleated from the shoulders down, so a curvier figure would be shown to great advantage in this beautiful number.  alas, i had to send it back and was very sad to do so.</v>
      </c>
      <c r="F1518" s="13">
        <f>IFERROR(__xludf.DUMMYFUNCTION("""COMPUTED_VALUE"""),5.0)</f>
        <v>5</v>
      </c>
      <c r="G1518" s="13">
        <f>IFERROR(__xludf.DUMMYFUNCTION("""COMPUTED_VALUE"""),1.0)</f>
        <v>1</v>
      </c>
      <c r="H1518" s="13">
        <f>IFERROR(__xludf.DUMMYFUNCTION("""COMPUTED_VALUE"""),0.0)</f>
        <v>0</v>
      </c>
      <c r="I1518" s="13" t="str">
        <f>IFERROR(__xludf.DUMMYFUNCTION("""COMPUTED_VALUE"""),"General")</f>
        <v>General</v>
      </c>
      <c r="J1518" s="13" t="str">
        <f>IFERROR(__xludf.DUMMYFUNCTION("""COMPUTED_VALUE"""),"Dresses")</f>
        <v>Dresses</v>
      </c>
      <c r="K1518" s="13" t="str">
        <f>IFERROR(__xludf.DUMMYFUNCTION("""COMPUTED_VALUE"""),"Dresses")</f>
        <v>Dresses</v>
      </c>
      <c r="L1518" s="13"/>
    </row>
    <row r="1519">
      <c r="A1519" s="13">
        <f>IFERROR(__xludf.DUMMYFUNCTION("""COMPUTED_VALUE"""),1517.0)</f>
        <v>1517</v>
      </c>
      <c r="B1519" s="13">
        <f>IFERROR(__xludf.DUMMYFUNCTION("""COMPUTED_VALUE"""),947.0)</f>
        <v>947</v>
      </c>
      <c r="C1519" s="13">
        <f>IFERROR(__xludf.DUMMYFUNCTION("""COMPUTED_VALUE"""),48.0)</f>
        <v>48</v>
      </c>
      <c r="D1519" s="12" t="str">
        <f>IFERROR(__xludf.DUMMYFUNCTION("""COMPUTED_VALUE"""),"Beautiful sweater but not flattering on me")</f>
        <v>Beautiful sweater but not flattering on me</v>
      </c>
      <c r="E1519" s="12" t="str">
        <f>IFERROR(__xludf.DUMMYFUNCTION("""COMPUTED_VALUE"""),"Really wanted this to worked for me. ordered the s in ivory (the color i really wanted but xs was sold out) and the xs in cedar.  loved the knit and look and quality but the sweater was boxy and huge even in xs.  not flattering on my petite frame (5'2"", "&amp;"115#).  so disappointed as i've been looking for a non-wool sweater like this.")</f>
        <v>Really wanted this to worked for me. ordered the s in ivory (the color i really wanted but xs was sold out) and the xs in cedar.  loved the knit and look and quality but the sweater was boxy and huge even in xs.  not flattering on my petite frame (5'2", 115#).  so disappointed as i've been looking for a non-wool sweater like this.</v>
      </c>
      <c r="F1519" s="13">
        <f>IFERROR(__xludf.DUMMYFUNCTION("""COMPUTED_VALUE"""),3.0)</f>
        <v>3</v>
      </c>
      <c r="G1519" s="13">
        <f>IFERROR(__xludf.DUMMYFUNCTION("""COMPUTED_VALUE"""),1.0)</f>
        <v>1</v>
      </c>
      <c r="H1519" s="13">
        <f>IFERROR(__xludf.DUMMYFUNCTION("""COMPUTED_VALUE"""),0.0)</f>
        <v>0</v>
      </c>
      <c r="I1519" s="13" t="str">
        <f>IFERROR(__xludf.DUMMYFUNCTION("""COMPUTED_VALUE"""),"General")</f>
        <v>General</v>
      </c>
      <c r="J1519" s="13" t="str">
        <f>IFERROR(__xludf.DUMMYFUNCTION("""COMPUTED_VALUE"""),"Tops")</f>
        <v>Tops</v>
      </c>
      <c r="K1519" s="13" t="str">
        <f>IFERROR(__xludf.DUMMYFUNCTION("""COMPUTED_VALUE"""),"Sweaters")</f>
        <v>Sweaters</v>
      </c>
      <c r="L1519" s="13"/>
    </row>
    <row r="1520">
      <c r="A1520" s="13">
        <f>IFERROR(__xludf.DUMMYFUNCTION("""COMPUTED_VALUE"""),1518.0)</f>
        <v>1518</v>
      </c>
      <c r="B1520" s="13">
        <f>IFERROR(__xludf.DUMMYFUNCTION("""COMPUTED_VALUE"""),1020.0)</f>
        <v>1020</v>
      </c>
      <c r="C1520" s="13">
        <f>IFERROR(__xludf.DUMMYFUNCTION("""COMPUTED_VALUE"""),37.0)</f>
        <v>37</v>
      </c>
      <c r="D1520" s="12" t="str">
        <f>IFERROR(__xludf.DUMMYFUNCTION("""COMPUTED_VALUE"""),"Pop of color")</f>
        <v>Pop of color</v>
      </c>
      <c r="E1520" s="12" t="str">
        <f>IFERROR(__xludf.DUMMYFUNCTION("""COMPUTED_VALUE"""),"This skirt is pleasantly more dynamic in person. the print and colors are really nice and more vibrant than the photos. the cut was spot on and the fabric seems heavy enough to hide imperfections (but not too heavy...) length as shown on model.")</f>
        <v>This skirt is pleasantly more dynamic in person. the print and colors are really nice and more vibrant than the photos. the cut was spot on and the fabric seems heavy enough to hide imperfections (but not too heavy...) length as shown on model.</v>
      </c>
      <c r="F1520" s="13">
        <f>IFERROR(__xludf.DUMMYFUNCTION("""COMPUTED_VALUE"""),5.0)</f>
        <v>5</v>
      </c>
      <c r="G1520" s="13">
        <f>IFERROR(__xludf.DUMMYFUNCTION("""COMPUTED_VALUE"""),1.0)</f>
        <v>1</v>
      </c>
      <c r="H1520" s="13">
        <f>IFERROR(__xludf.DUMMYFUNCTION("""COMPUTED_VALUE"""),8.0)</f>
        <v>8</v>
      </c>
      <c r="I1520" s="13" t="str">
        <f>IFERROR(__xludf.DUMMYFUNCTION("""COMPUTED_VALUE"""),"General Petite")</f>
        <v>General Petite</v>
      </c>
      <c r="J1520" s="13" t="str">
        <f>IFERROR(__xludf.DUMMYFUNCTION("""COMPUTED_VALUE"""),"Bottoms")</f>
        <v>Bottoms</v>
      </c>
      <c r="K1520" s="13" t="str">
        <f>IFERROR(__xludf.DUMMYFUNCTION("""COMPUTED_VALUE"""),"Skirts")</f>
        <v>Skirts</v>
      </c>
      <c r="L1520" s="13"/>
    </row>
    <row r="1521">
      <c r="A1521" s="13">
        <f>IFERROR(__xludf.DUMMYFUNCTION("""COMPUTED_VALUE"""),1519.0)</f>
        <v>1519</v>
      </c>
      <c r="B1521" s="13">
        <f>IFERROR(__xludf.DUMMYFUNCTION("""COMPUTED_VALUE"""),850.0)</f>
        <v>850</v>
      </c>
      <c r="C1521" s="13">
        <f>IFERROR(__xludf.DUMMYFUNCTION("""COMPUTED_VALUE"""),32.0)</f>
        <v>32</v>
      </c>
      <c r="D1521" s="12" t="str">
        <f>IFERROR(__xludf.DUMMYFUNCTION("""COMPUTED_VALUE"""),"Dress up or down")</f>
        <v>Dress up or down</v>
      </c>
      <c r="E1521" s="12" t="str">
        <f>IFERROR(__xludf.DUMMYFUNCTION("""COMPUTED_VALUE"""),"This top can be dressed up or down, very good quality fabric and colors shown as the photo (blue). i usually wear petite sizes but chose the regular version because i wanted to be able to tuck it in. i think it might be too short otherwise.")</f>
        <v>This top can be dressed up or down, very good quality fabric and colors shown as the photo (blue). i usually wear petite sizes but chose the regular version because i wanted to be able to tuck it in. i think it might be too short otherwise.</v>
      </c>
      <c r="F1521" s="13">
        <f>IFERROR(__xludf.DUMMYFUNCTION("""COMPUTED_VALUE"""),5.0)</f>
        <v>5</v>
      </c>
      <c r="G1521" s="13">
        <f>IFERROR(__xludf.DUMMYFUNCTION("""COMPUTED_VALUE"""),1.0)</f>
        <v>1</v>
      </c>
      <c r="H1521" s="13">
        <f>IFERROR(__xludf.DUMMYFUNCTION("""COMPUTED_VALUE"""),7.0)</f>
        <v>7</v>
      </c>
      <c r="I1521" s="13" t="str">
        <f>IFERROR(__xludf.DUMMYFUNCTION("""COMPUTED_VALUE"""),"General")</f>
        <v>General</v>
      </c>
      <c r="J1521" s="13" t="str">
        <f>IFERROR(__xludf.DUMMYFUNCTION("""COMPUTED_VALUE"""),"Tops")</f>
        <v>Tops</v>
      </c>
      <c r="K1521" s="13" t="str">
        <f>IFERROR(__xludf.DUMMYFUNCTION("""COMPUTED_VALUE"""),"Blouses")</f>
        <v>Blouses</v>
      </c>
      <c r="L1521" s="13"/>
    </row>
    <row r="1522">
      <c r="A1522" s="13">
        <f>IFERROR(__xludf.DUMMYFUNCTION("""COMPUTED_VALUE"""),1520.0)</f>
        <v>1520</v>
      </c>
      <c r="B1522" s="13">
        <f>IFERROR(__xludf.DUMMYFUNCTION("""COMPUTED_VALUE"""),947.0)</f>
        <v>947</v>
      </c>
      <c r="C1522" s="13">
        <f>IFERROR(__xludf.DUMMYFUNCTION("""COMPUTED_VALUE"""),57.0)</f>
        <v>57</v>
      </c>
      <c r="D1522" s="12" t="str">
        <f>IFERROR(__xludf.DUMMYFUNCTION("""COMPUTED_VALUE"""),"Awesomesauce!")</f>
        <v>Awesomesauce!</v>
      </c>
      <c r="E1522" s="12" t="str">
        <f>IFERROR(__xludf.DUMMYFUNCTION("""COMPUTED_VALUE"""),"Love the color (cedar). love the style. sleeves are long and wide but that is the style. biggest surprise is that this sweater is not cropped. the length given in the product info is very short. but when i received my normal size (l) the sweater comes to "&amp;"my hips. just right. the fibers are man-made (acrylic) so that makes this sweater not too warm and not itchy. the weave is close enough that i do not need to wear a cami underneath. when the weather gets colder i will add a nice cami under the s")</f>
        <v>Love the color (cedar). love the style. sleeves are long and wide but that is the style. biggest surprise is that this sweater is not cropped. the length given in the product info is very short. but when i received my normal size (l) the sweater comes to my hips. just right. the fibers are man-made (acrylic) so that makes this sweater not too warm and not itchy. the weave is close enough that i do not need to wear a cami underneath. when the weather gets colder i will add a nice cami under the s</v>
      </c>
      <c r="F1522" s="13">
        <f>IFERROR(__xludf.DUMMYFUNCTION("""COMPUTED_VALUE"""),5.0)</f>
        <v>5</v>
      </c>
      <c r="G1522" s="13">
        <f>IFERROR(__xludf.DUMMYFUNCTION("""COMPUTED_VALUE"""),1.0)</f>
        <v>1</v>
      </c>
      <c r="H1522" s="13">
        <f>IFERROR(__xludf.DUMMYFUNCTION("""COMPUTED_VALUE"""),8.0)</f>
        <v>8</v>
      </c>
      <c r="I1522" s="13" t="str">
        <f>IFERROR(__xludf.DUMMYFUNCTION("""COMPUTED_VALUE"""),"General")</f>
        <v>General</v>
      </c>
      <c r="J1522" s="13" t="str">
        <f>IFERROR(__xludf.DUMMYFUNCTION("""COMPUTED_VALUE"""),"Tops")</f>
        <v>Tops</v>
      </c>
      <c r="K1522" s="13" t="str">
        <f>IFERROR(__xludf.DUMMYFUNCTION("""COMPUTED_VALUE"""),"Sweaters")</f>
        <v>Sweaters</v>
      </c>
      <c r="L1522" s="13"/>
    </row>
    <row r="1523">
      <c r="A1523" s="13">
        <f>IFERROR(__xludf.DUMMYFUNCTION("""COMPUTED_VALUE"""),1521.0)</f>
        <v>1521</v>
      </c>
      <c r="B1523" s="13">
        <f>IFERROR(__xludf.DUMMYFUNCTION("""COMPUTED_VALUE"""),947.0)</f>
        <v>947</v>
      </c>
      <c r="C1523" s="13">
        <f>IFERROR(__xludf.DUMMYFUNCTION("""COMPUTED_VALUE"""),45.0)</f>
        <v>45</v>
      </c>
      <c r="D1523" s="12" t="str">
        <f>IFERROR(__xludf.DUMMYFUNCTION("""COMPUTED_VALUE"""),"Love this!!")</f>
        <v>Love this!!</v>
      </c>
      <c r="E1523" s="12" t="str">
        <f>IFERROR(__xludf.DUMMYFUNCTION("""COMPUTED_VALUE"""),"Love everything about it!! chunky, comfortable, lazy day or dress up with a cool necklace!")</f>
        <v>Love everything about it!! chunky, comfortable, lazy day or dress up with a cool necklace!</v>
      </c>
      <c r="F1523" s="13">
        <f>IFERROR(__xludf.DUMMYFUNCTION("""COMPUTED_VALUE"""),5.0)</f>
        <v>5</v>
      </c>
      <c r="G1523" s="13">
        <f>IFERROR(__xludf.DUMMYFUNCTION("""COMPUTED_VALUE"""),1.0)</f>
        <v>1</v>
      </c>
      <c r="H1523" s="13">
        <f>IFERROR(__xludf.DUMMYFUNCTION("""COMPUTED_VALUE"""),12.0)</f>
        <v>12</v>
      </c>
      <c r="I1523" s="13" t="str">
        <f>IFERROR(__xludf.DUMMYFUNCTION("""COMPUTED_VALUE"""),"General")</f>
        <v>General</v>
      </c>
      <c r="J1523" s="13" t="str">
        <f>IFERROR(__xludf.DUMMYFUNCTION("""COMPUTED_VALUE"""),"Tops")</f>
        <v>Tops</v>
      </c>
      <c r="K1523" s="13" t="str">
        <f>IFERROR(__xludf.DUMMYFUNCTION("""COMPUTED_VALUE"""),"Sweaters")</f>
        <v>Sweaters</v>
      </c>
      <c r="L1523" s="13"/>
    </row>
    <row r="1524">
      <c r="A1524" s="13">
        <f>IFERROR(__xludf.DUMMYFUNCTION("""COMPUTED_VALUE"""),1522.0)</f>
        <v>1522</v>
      </c>
      <c r="B1524" s="13">
        <f>IFERROR(__xludf.DUMMYFUNCTION("""COMPUTED_VALUE"""),424.0)</f>
        <v>424</v>
      </c>
      <c r="C1524" s="13">
        <f>IFERROR(__xludf.DUMMYFUNCTION("""COMPUTED_VALUE"""),24.0)</f>
        <v>24</v>
      </c>
      <c r="D1524" s="12" t="str">
        <f>IFERROR(__xludf.DUMMYFUNCTION("""COMPUTED_VALUE"""),"Lovely but not for me")</f>
        <v>Lovely but not for me</v>
      </c>
      <c r="E1524" s="12" t="str">
        <f>IFERROR(__xludf.DUMMYFUNCTION("""COMPUTED_VALUE"""),"I saw this online and loved it. plus after reading the reviews i thought why not. but if you have a big chest beware. i am a 34ddd and a pretty solid medium. the volumous front of the vest added way to much to me and i sized down to a small. had to return"&amp;".")</f>
        <v>I saw this online and loved it. plus after reading the reviews i thought why not. but if you have a big chest beware. i am a 34ddd and a pretty solid medium. the volumous front of the vest added way to much to me and i sized down to a small. had to return.</v>
      </c>
      <c r="F1524" s="13">
        <f>IFERROR(__xludf.DUMMYFUNCTION("""COMPUTED_VALUE"""),3.0)</f>
        <v>3</v>
      </c>
      <c r="G1524" s="13">
        <f>IFERROR(__xludf.DUMMYFUNCTION("""COMPUTED_VALUE"""),1.0)</f>
        <v>1</v>
      </c>
      <c r="H1524" s="13">
        <f>IFERROR(__xludf.DUMMYFUNCTION("""COMPUTED_VALUE"""),0.0)</f>
        <v>0</v>
      </c>
      <c r="I1524" s="13" t="str">
        <f>IFERROR(__xludf.DUMMYFUNCTION("""COMPUTED_VALUE"""),"Initmates")</f>
        <v>Initmates</v>
      </c>
      <c r="J1524" s="13" t="str">
        <f>IFERROR(__xludf.DUMMYFUNCTION("""COMPUTED_VALUE"""),"Intimate")</f>
        <v>Intimate</v>
      </c>
      <c r="K1524" s="13" t="str">
        <f>IFERROR(__xludf.DUMMYFUNCTION("""COMPUTED_VALUE"""),"Lounge")</f>
        <v>Lounge</v>
      </c>
      <c r="L1524" s="13"/>
    </row>
    <row r="1525">
      <c r="A1525" s="13">
        <f>IFERROR(__xludf.DUMMYFUNCTION("""COMPUTED_VALUE"""),1523.0)</f>
        <v>1523</v>
      </c>
      <c r="B1525" s="13">
        <f>IFERROR(__xludf.DUMMYFUNCTION("""COMPUTED_VALUE"""),850.0)</f>
        <v>850</v>
      </c>
      <c r="C1525" s="13">
        <f>IFERROR(__xludf.DUMMYFUNCTION("""COMPUTED_VALUE"""),69.0)</f>
        <v>69</v>
      </c>
      <c r="D1525" s="12" t="str">
        <f>IFERROR(__xludf.DUMMYFUNCTION("""COMPUTED_VALUE"""),"Great summer print")</f>
        <v>Great summer print</v>
      </c>
      <c r="E1525" s="12" t="str">
        <f>IFERROR(__xludf.DUMMYFUNCTION("""COMPUTED_VALUE"""),"Love, love this clever eyeglass print. i bought the black background with bright sunglass print - perfect for pairing with jeans, shorts or a slender skirt.")</f>
        <v>Love, love this clever eyeglass print. i bought the black background with bright sunglass print - perfect for pairing with jeans, shorts or a slender skirt.</v>
      </c>
      <c r="F1525" s="13">
        <f>IFERROR(__xludf.DUMMYFUNCTION("""COMPUTED_VALUE"""),5.0)</f>
        <v>5</v>
      </c>
      <c r="G1525" s="13">
        <f>IFERROR(__xludf.DUMMYFUNCTION("""COMPUTED_VALUE"""),1.0)</f>
        <v>1</v>
      </c>
      <c r="H1525" s="13">
        <f>IFERROR(__xludf.DUMMYFUNCTION("""COMPUTED_VALUE"""),6.0)</f>
        <v>6</v>
      </c>
      <c r="I1525" s="13" t="str">
        <f>IFERROR(__xludf.DUMMYFUNCTION("""COMPUTED_VALUE"""),"General")</f>
        <v>General</v>
      </c>
      <c r="J1525" s="13" t="str">
        <f>IFERROR(__xludf.DUMMYFUNCTION("""COMPUTED_VALUE"""),"Tops")</f>
        <v>Tops</v>
      </c>
      <c r="K1525" s="13" t="str">
        <f>IFERROR(__xludf.DUMMYFUNCTION("""COMPUTED_VALUE"""),"Blouses")</f>
        <v>Blouses</v>
      </c>
      <c r="L1525" s="13"/>
    </row>
    <row r="1526">
      <c r="A1526" s="13">
        <f>IFERROR(__xludf.DUMMYFUNCTION("""COMPUTED_VALUE"""),1524.0)</f>
        <v>1524</v>
      </c>
      <c r="B1526" s="13">
        <f>IFERROR(__xludf.DUMMYFUNCTION("""COMPUTED_VALUE"""),485.0)</f>
        <v>485</v>
      </c>
      <c r="C1526" s="13">
        <f>IFERROR(__xludf.DUMMYFUNCTION("""COMPUTED_VALUE"""),38.0)</f>
        <v>38</v>
      </c>
      <c r="D1526" s="12" t="str">
        <f>IFERROR(__xludf.DUMMYFUNCTION("""COMPUTED_VALUE"""),"Great skort")</f>
        <v>Great skort</v>
      </c>
      <c r="E1526" s="12" t="str">
        <f>IFERROR(__xludf.DUMMYFUNCTION("""COMPUTED_VALUE"""),"Exactly as pictured. great fit. love it.")</f>
        <v>Exactly as pictured. great fit. love it.</v>
      </c>
      <c r="F1526" s="13">
        <f>IFERROR(__xludf.DUMMYFUNCTION("""COMPUTED_VALUE"""),5.0)</f>
        <v>5</v>
      </c>
      <c r="G1526" s="13">
        <f>IFERROR(__xludf.DUMMYFUNCTION("""COMPUTED_VALUE"""),1.0)</f>
        <v>1</v>
      </c>
      <c r="H1526" s="13">
        <f>IFERROR(__xludf.DUMMYFUNCTION("""COMPUTED_VALUE"""),0.0)</f>
        <v>0</v>
      </c>
      <c r="I1526" s="13" t="str">
        <f>IFERROR(__xludf.DUMMYFUNCTION("""COMPUTED_VALUE"""),"General")</f>
        <v>General</v>
      </c>
      <c r="J1526" s="13" t="str">
        <f>IFERROR(__xludf.DUMMYFUNCTION("""COMPUTED_VALUE"""),"Bottoms")</f>
        <v>Bottoms</v>
      </c>
      <c r="K1526" s="13" t="str">
        <f>IFERROR(__xludf.DUMMYFUNCTION("""COMPUTED_VALUE"""),"Shorts")</f>
        <v>Shorts</v>
      </c>
      <c r="L1526" s="13"/>
    </row>
    <row r="1527">
      <c r="A1527" s="13">
        <f>IFERROR(__xludf.DUMMYFUNCTION("""COMPUTED_VALUE"""),1525.0)</f>
        <v>1525</v>
      </c>
      <c r="B1527" s="13">
        <f>IFERROR(__xludf.DUMMYFUNCTION("""COMPUTED_VALUE"""),947.0)</f>
        <v>947</v>
      </c>
      <c r="C1527" s="13">
        <f>IFERROR(__xludf.DUMMYFUNCTION("""COMPUTED_VALUE"""),79.0)</f>
        <v>79</v>
      </c>
      <c r="D1527" s="12" t="str">
        <f>IFERROR(__xludf.DUMMYFUNCTION("""COMPUTED_VALUE"""),"Sweater love!")</f>
        <v>Sweater love!</v>
      </c>
      <c r="E1527" s="12" t="str">
        <f>IFERROR(__xludf.DUMMYFUNCTION("""COMPUTED_VALUE"""),"Absolutely love everything about this sweater. i was hesitant to buy because it's so oversized and i was worried it would overwhelm my small frame. but the xs fits great, i love the large knit look and the bell sleeves. pairing with dark denim skinny jean"&amp;"s helped balance out the sweaters oversized shape. wore it work and then to a party and received compliments on it all day.")</f>
        <v>Absolutely love everything about this sweater. i was hesitant to buy because it's so oversized and i was worried it would overwhelm my small frame. but the xs fits great, i love the large knit look and the bell sleeves. pairing with dark denim skinny jeans helped balance out the sweaters oversized shape. wore it work and then to a party and received compliments on it all day.</v>
      </c>
      <c r="F1527" s="13">
        <f>IFERROR(__xludf.DUMMYFUNCTION("""COMPUTED_VALUE"""),5.0)</f>
        <v>5</v>
      </c>
      <c r="G1527" s="13">
        <f>IFERROR(__xludf.DUMMYFUNCTION("""COMPUTED_VALUE"""),1.0)</f>
        <v>1</v>
      </c>
      <c r="H1527" s="13">
        <f>IFERROR(__xludf.DUMMYFUNCTION("""COMPUTED_VALUE"""),1.0)</f>
        <v>1</v>
      </c>
      <c r="I1527" s="13" t="str">
        <f>IFERROR(__xludf.DUMMYFUNCTION("""COMPUTED_VALUE"""),"General")</f>
        <v>General</v>
      </c>
      <c r="J1527" s="13" t="str">
        <f>IFERROR(__xludf.DUMMYFUNCTION("""COMPUTED_VALUE"""),"Tops")</f>
        <v>Tops</v>
      </c>
      <c r="K1527" s="13" t="str">
        <f>IFERROR(__xludf.DUMMYFUNCTION("""COMPUTED_VALUE"""),"Sweaters")</f>
        <v>Sweaters</v>
      </c>
      <c r="L1527" s="13"/>
    </row>
    <row r="1528">
      <c r="A1528" s="13">
        <f>IFERROR(__xludf.DUMMYFUNCTION("""COMPUTED_VALUE"""),1526.0)</f>
        <v>1526</v>
      </c>
      <c r="B1528" s="13">
        <f>IFERROR(__xludf.DUMMYFUNCTION("""COMPUTED_VALUE"""),927.0)</f>
        <v>927</v>
      </c>
      <c r="C1528" s="13">
        <f>IFERROR(__xludf.DUMMYFUNCTION("""COMPUTED_VALUE"""),47.0)</f>
        <v>47</v>
      </c>
      <c r="D1528" s="12" t="str">
        <f>IFERROR(__xludf.DUMMYFUNCTION("""COMPUTED_VALUE"""),"So versitle")</f>
        <v>So versitle</v>
      </c>
      <c r="E1528" s="12" t="str">
        <f>IFERROR(__xludf.DUMMYFUNCTION("""COMPUTED_VALUE"""),"I wear this vest two ways - over a long sleeve shirt when it's warmer and layered over a shirt and cardigan when it's cooler. it's the perfect amount of warmth when i'm running errands and don't want to wear a heavy coat. love it and plan to wear it a lot"&amp;"!")</f>
        <v>I wear this vest two ways - over a long sleeve shirt when it's warmer and layered over a shirt and cardigan when it's cooler. it's the perfect amount of warmth when i'm running errands and don't want to wear a heavy coat. love it and plan to wear it a lot!</v>
      </c>
      <c r="F1528" s="13">
        <f>IFERROR(__xludf.DUMMYFUNCTION("""COMPUTED_VALUE"""),5.0)</f>
        <v>5</v>
      </c>
      <c r="G1528" s="13">
        <f>IFERROR(__xludf.DUMMYFUNCTION("""COMPUTED_VALUE"""),1.0)</f>
        <v>1</v>
      </c>
      <c r="H1528" s="13">
        <f>IFERROR(__xludf.DUMMYFUNCTION("""COMPUTED_VALUE"""),0.0)</f>
        <v>0</v>
      </c>
      <c r="I1528" s="13" t="str">
        <f>IFERROR(__xludf.DUMMYFUNCTION("""COMPUTED_VALUE"""),"General")</f>
        <v>General</v>
      </c>
      <c r="J1528" s="13" t="str">
        <f>IFERROR(__xludf.DUMMYFUNCTION("""COMPUTED_VALUE"""),"Tops")</f>
        <v>Tops</v>
      </c>
      <c r="K1528" s="13" t="str">
        <f>IFERROR(__xludf.DUMMYFUNCTION("""COMPUTED_VALUE"""),"Sweaters")</f>
        <v>Sweaters</v>
      </c>
      <c r="L1528" s="13"/>
    </row>
    <row r="1529">
      <c r="A1529" s="13">
        <f>IFERROR(__xludf.DUMMYFUNCTION("""COMPUTED_VALUE"""),1527.0)</f>
        <v>1527</v>
      </c>
      <c r="B1529" s="13">
        <f>IFERROR(__xludf.DUMMYFUNCTION("""COMPUTED_VALUE"""),927.0)</f>
        <v>927</v>
      </c>
      <c r="C1529" s="13">
        <f>IFERROR(__xludf.DUMMYFUNCTION("""COMPUTED_VALUE"""),56.0)</f>
        <v>56</v>
      </c>
      <c r="D1529" s="12" t="str">
        <f>IFERROR(__xludf.DUMMYFUNCTION("""COMPUTED_VALUE"""),"Gorgeous and flexible")</f>
        <v>Gorgeous and flexible</v>
      </c>
      <c r="E1529" s="12" t="str">
        <f>IFERROR(__xludf.DUMMYFUNCTION("""COMPUTED_VALUE"""),"The quality of this vest is outstanding, and the warmth is exceptional. i have worn it as a jacket on milder days, in work as a warmth layer and brought on vacation to act as both plus a bathrobe. it is a very stylist piece that can be worn open or belted"&amp;". it runs large by style, but i am 5'1"", 100 lbs and i can carry it off.")</f>
        <v>The quality of this vest is outstanding, and the warmth is exceptional. i have worn it as a jacket on milder days, in work as a warmth layer and brought on vacation to act as both plus a bathrobe. it is a very stylist piece that can be worn open or belted. it runs large by style, but i am 5'1", 100 lbs and i can carry it off.</v>
      </c>
      <c r="F1529" s="13">
        <f>IFERROR(__xludf.DUMMYFUNCTION("""COMPUTED_VALUE"""),5.0)</f>
        <v>5</v>
      </c>
      <c r="G1529" s="13">
        <f>IFERROR(__xludf.DUMMYFUNCTION("""COMPUTED_VALUE"""),1.0)</f>
        <v>1</v>
      </c>
      <c r="H1529" s="13">
        <f>IFERROR(__xludf.DUMMYFUNCTION("""COMPUTED_VALUE"""),2.0)</f>
        <v>2</v>
      </c>
      <c r="I1529" s="13" t="str">
        <f>IFERROR(__xludf.DUMMYFUNCTION("""COMPUTED_VALUE"""),"General")</f>
        <v>General</v>
      </c>
      <c r="J1529" s="13" t="str">
        <f>IFERROR(__xludf.DUMMYFUNCTION("""COMPUTED_VALUE"""),"Tops")</f>
        <v>Tops</v>
      </c>
      <c r="K1529" s="13" t="str">
        <f>IFERROR(__xludf.DUMMYFUNCTION("""COMPUTED_VALUE"""),"Sweaters")</f>
        <v>Sweaters</v>
      </c>
      <c r="L1529" s="13"/>
    </row>
    <row r="1530">
      <c r="A1530" s="13">
        <f>IFERROR(__xludf.DUMMYFUNCTION("""COMPUTED_VALUE"""),1528.0)</f>
        <v>1528</v>
      </c>
      <c r="B1530" s="13">
        <f>IFERROR(__xludf.DUMMYFUNCTION("""COMPUTED_VALUE"""),927.0)</f>
        <v>927</v>
      </c>
      <c r="C1530" s="13">
        <f>IFERROR(__xludf.DUMMYFUNCTION("""COMPUTED_VALUE"""),54.0)</f>
        <v>54</v>
      </c>
      <c r="D1530" s="12"/>
      <c r="E1530" s="12" t="str">
        <f>IFERROR(__xludf.DUMMYFUNCTION("""COMPUTED_VALUE"""),"This vest was of excellent weight but it had very little style. it was like a giant piece of felt was cut out with little thought to design or nuance. not for me.")</f>
        <v>This vest was of excellent weight but it had very little style. it was like a giant piece of felt was cut out with little thought to design or nuance. not for me.</v>
      </c>
      <c r="F1530" s="13">
        <f>IFERROR(__xludf.DUMMYFUNCTION("""COMPUTED_VALUE"""),3.0)</f>
        <v>3</v>
      </c>
      <c r="G1530" s="13">
        <f>IFERROR(__xludf.DUMMYFUNCTION("""COMPUTED_VALUE"""),0.0)</f>
        <v>0</v>
      </c>
      <c r="H1530" s="13">
        <f>IFERROR(__xludf.DUMMYFUNCTION("""COMPUTED_VALUE"""),1.0)</f>
        <v>1</v>
      </c>
      <c r="I1530" s="13" t="str">
        <f>IFERROR(__xludf.DUMMYFUNCTION("""COMPUTED_VALUE"""),"General")</f>
        <v>General</v>
      </c>
      <c r="J1530" s="13" t="str">
        <f>IFERROR(__xludf.DUMMYFUNCTION("""COMPUTED_VALUE"""),"Tops")</f>
        <v>Tops</v>
      </c>
      <c r="K1530" s="13" t="str">
        <f>IFERROR(__xludf.DUMMYFUNCTION("""COMPUTED_VALUE"""),"Sweaters")</f>
        <v>Sweaters</v>
      </c>
      <c r="L1530" s="13"/>
    </row>
    <row r="1531">
      <c r="A1531" s="13">
        <f>IFERROR(__xludf.DUMMYFUNCTION("""COMPUTED_VALUE"""),1529.0)</f>
        <v>1529</v>
      </c>
      <c r="B1531" s="13">
        <f>IFERROR(__xludf.DUMMYFUNCTION("""COMPUTED_VALUE"""),1020.0)</f>
        <v>1020</v>
      </c>
      <c r="C1531" s="13">
        <f>IFERROR(__xludf.DUMMYFUNCTION("""COMPUTED_VALUE"""),48.0)</f>
        <v>48</v>
      </c>
      <c r="D1531" s="12" t="str">
        <f>IFERROR(__xludf.DUMMYFUNCTION("""COMPUTED_VALUE"""),"Bright spring skirt")</f>
        <v>Bright spring skirt</v>
      </c>
      <c r="E1531" s="12" t="str">
        <f>IFERROR(__xludf.DUMMYFUNCTION("""COMPUTED_VALUE"""),"I love this skirt! it's a denim material, so it's structured, but not too heavy for warm weather. the colors are bright. it may run a bit big, but i didn't have trouble with my usual size. the pockets are actually usable. great for casual and easy to dres"&amp;"s up.")</f>
        <v>I love this skirt! it's a denim material, so it's structured, but not too heavy for warm weather. the colors are bright. it may run a bit big, but i didn't have trouble with my usual size. the pockets are actually usable. great for casual and easy to dress up.</v>
      </c>
      <c r="F1531" s="13">
        <f>IFERROR(__xludf.DUMMYFUNCTION("""COMPUTED_VALUE"""),5.0)</f>
        <v>5</v>
      </c>
      <c r="G1531" s="13">
        <f>IFERROR(__xludf.DUMMYFUNCTION("""COMPUTED_VALUE"""),1.0)</f>
        <v>1</v>
      </c>
      <c r="H1531" s="13">
        <f>IFERROR(__xludf.DUMMYFUNCTION("""COMPUTED_VALUE"""),0.0)</f>
        <v>0</v>
      </c>
      <c r="I1531" s="13" t="str">
        <f>IFERROR(__xludf.DUMMYFUNCTION("""COMPUTED_VALUE"""),"General Petite")</f>
        <v>General Petite</v>
      </c>
      <c r="J1531" s="13" t="str">
        <f>IFERROR(__xludf.DUMMYFUNCTION("""COMPUTED_VALUE"""),"Bottoms")</f>
        <v>Bottoms</v>
      </c>
      <c r="K1531" s="13" t="str">
        <f>IFERROR(__xludf.DUMMYFUNCTION("""COMPUTED_VALUE"""),"Skirts")</f>
        <v>Skirts</v>
      </c>
      <c r="L1531" s="13"/>
    </row>
    <row r="1532">
      <c r="A1532" s="13">
        <f>IFERROR(__xludf.DUMMYFUNCTION("""COMPUTED_VALUE"""),1530.0)</f>
        <v>1530</v>
      </c>
      <c r="B1532" s="13">
        <f>IFERROR(__xludf.DUMMYFUNCTION("""COMPUTED_VALUE"""),1020.0)</f>
        <v>1020</v>
      </c>
      <c r="C1532" s="13">
        <f>IFERROR(__xludf.DUMMYFUNCTION("""COMPUTED_VALUE"""),41.0)</f>
        <v>41</v>
      </c>
      <c r="D1532" s="12" t="str">
        <f>IFERROR(__xludf.DUMMYFUNCTION("""COMPUTED_VALUE"""),"Beautiful!")</f>
        <v>Beautiful!</v>
      </c>
      <c r="E1532" s="12" t="str">
        <f>IFERROR(__xludf.DUMMYFUNCTION("""COMPUTED_VALUE"""),"Love the print of this fabric &amp; the length. the buckles at the waist add a unique look so no belt necessary.")</f>
        <v>Love the print of this fabric &amp; the length. the buckles at the waist add a unique look so no belt necessary.</v>
      </c>
      <c r="F1532" s="13">
        <f>IFERROR(__xludf.DUMMYFUNCTION("""COMPUTED_VALUE"""),5.0)</f>
        <v>5</v>
      </c>
      <c r="G1532" s="13">
        <f>IFERROR(__xludf.DUMMYFUNCTION("""COMPUTED_VALUE"""),1.0)</f>
        <v>1</v>
      </c>
      <c r="H1532" s="13">
        <f>IFERROR(__xludf.DUMMYFUNCTION("""COMPUTED_VALUE"""),1.0)</f>
        <v>1</v>
      </c>
      <c r="I1532" s="13" t="str">
        <f>IFERROR(__xludf.DUMMYFUNCTION("""COMPUTED_VALUE"""),"General Petite")</f>
        <v>General Petite</v>
      </c>
      <c r="J1532" s="13" t="str">
        <f>IFERROR(__xludf.DUMMYFUNCTION("""COMPUTED_VALUE"""),"Bottoms")</f>
        <v>Bottoms</v>
      </c>
      <c r="K1532" s="13" t="str">
        <f>IFERROR(__xludf.DUMMYFUNCTION("""COMPUTED_VALUE"""),"Skirts")</f>
        <v>Skirts</v>
      </c>
      <c r="L1532" s="13"/>
    </row>
    <row r="1533">
      <c r="A1533" s="13">
        <f>IFERROR(__xludf.DUMMYFUNCTION("""COMPUTED_VALUE"""),1531.0)</f>
        <v>1531</v>
      </c>
      <c r="B1533" s="13">
        <f>IFERROR(__xludf.DUMMYFUNCTION("""COMPUTED_VALUE"""),927.0)</f>
        <v>927</v>
      </c>
      <c r="C1533" s="13">
        <f>IFERROR(__xludf.DUMMYFUNCTION("""COMPUTED_VALUE"""),68.0)</f>
        <v>68</v>
      </c>
      <c r="D1533" s="12" t="str">
        <f>IFERROR(__xludf.DUMMYFUNCTION("""COMPUTED_VALUE"""),"W i d e collar")</f>
        <v>W i d e collar</v>
      </c>
      <c r="E1533" s="12" t="str">
        <f>IFERROR(__xludf.DUMMYFUNCTION("""COMPUTED_VALUE"""),"I fell for the charcoal one and bought standard size m/l. on first wearing with slim jeans, booties and a long sleeved t, the body of the vest was fine. but with wavy shoulder-length hair, i found the large, wide collar overwhelming at the top. i tried fo"&amp;"lding the collar under, as in the photo of the gray one, but still too much. i altered it by paring it down by 7 inches at the back neck, and tapering down to meet the lapel at mid-chest. the fabric looks like boiled wool, but is actually a tigh")</f>
        <v>I fell for the charcoal one and bought standard size m/l. on first wearing with slim jeans, booties and a long sleeved t, the body of the vest was fine. but with wavy shoulder-length hair, i found the large, wide collar overwhelming at the top. i tried folding the collar under, as in the photo of the gray one, but still too much. i altered it by paring it down by 7 inches at the back neck, and tapering down to meet the lapel at mid-chest. the fabric looks like boiled wool, but is actually a tigh</v>
      </c>
      <c r="F1533" s="13">
        <f>IFERROR(__xludf.DUMMYFUNCTION("""COMPUTED_VALUE"""),4.0)</f>
        <v>4</v>
      </c>
      <c r="G1533" s="13">
        <f>IFERROR(__xludf.DUMMYFUNCTION("""COMPUTED_VALUE"""),1.0)</f>
        <v>1</v>
      </c>
      <c r="H1533" s="13">
        <f>IFERROR(__xludf.DUMMYFUNCTION("""COMPUTED_VALUE"""),2.0)</f>
        <v>2</v>
      </c>
      <c r="I1533" s="13" t="str">
        <f>IFERROR(__xludf.DUMMYFUNCTION("""COMPUTED_VALUE"""),"General")</f>
        <v>General</v>
      </c>
      <c r="J1533" s="13" t="str">
        <f>IFERROR(__xludf.DUMMYFUNCTION("""COMPUTED_VALUE"""),"Tops")</f>
        <v>Tops</v>
      </c>
      <c r="K1533" s="13" t="str">
        <f>IFERROR(__xludf.DUMMYFUNCTION("""COMPUTED_VALUE"""),"Sweaters")</f>
        <v>Sweaters</v>
      </c>
      <c r="L1533" s="13"/>
    </row>
    <row r="1534">
      <c r="A1534" s="13">
        <f>IFERROR(__xludf.DUMMYFUNCTION("""COMPUTED_VALUE"""),1532.0)</f>
        <v>1532</v>
      </c>
      <c r="B1534" s="13">
        <f>IFERROR(__xludf.DUMMYFUNCTION("""COMPUTED_VALUE"""),977.0)</f>
        <v>977</v>
      </c>
      <c r="C1534" s="13">
        <f>IFERROR(__xludf.DUMMYFUNCTION("""COMPUTED_VALUE"""),49.0)</f>
        <v>49</v>
      </c>
      <c r="D1534" s="12" t="str">
        <f>IFERROR(__xludf.DUMMYFUNCTION("""COMPUTED_VALUE"""),"Fun and uniquely dramatically elegant")</f>
        <v>Fun and uniquely dramatically elegant</v>
      </c>
      <c r="E1534" s="12" t="str">
        <f>IFERROR(__xludf.DUMMYFUNCTION("""COMPUTED_VALUE"""),"This jacket is my favorite purchase in a while! i used my last month 50th birthday discount on it!
it is of exceptional materials and quality construction. the juxtaposition of the stripes against the beautifully vibrant embroidery on back is stunning! it"&amp;" does run true to size as it is an oversized piece, which adds to its classy dramatic flare! my size medium came in the european size 38. for reference, i am an american size 8-10. 
it is comfortable to wear and can easily accomodate large ful")</f>
        <v>This jacket is my favorite purchase in a while! i used my last month 50th birthday discount on it!
it is of exceptional materials and quality construction. the juxtaposition of the stripes against the beautifully vibrant embroidery on back is stunning! it does run true to size as it is an oversized piece, which adds to its classy dramatic flare! my size medium came in the european size 38. for reference, i am an american size 8-10. 
it is comfortable to wear and can easily accomodate large ful</v>
      </c>
      <c r="F1534" s="13">
        <f>IFERROR(__xludf.DUMMYFUNCTION("""COMPUTED_VALUE"""),5.0)</f>
        <v>5</v>
      </c>
      <c r="G1534" s="13">
        <f>IFERROR(__xludf.DUMMYFUNCTION("""COMPUTED_VALUE"""),1.0)</f>
        <v>1</v>
      </c>
      <c r="H1534" s="13">
        <f>IFERROR(__xludf.DUMMYFUNCTION("""COMPUTED_VALUE"""),3.0)</f>
        <v>3</v>
      </c>
      <c r="I1534" s="13" t="str">
        <f>IFERROR(__xludf.DUMMYFUNCTION("""COMPUTED_VALUE"""),"General Petite")</f>
        <v>General Petite</v>
      </c>
      <c r="J1534" s="13" t="str">
        <f>IFERROR(__xludf.DUMMYFUNCTION("""COMPUTED_VALUE"""),"Jackets")</f>
        <v>Jackets</v>
      </c>
      <c r="K1534" s="13" t="str">
        <f>IFERROR(__xludf.DUMMYFUNCTION("""COMPUTED_VALUE"""),"Jackets")</f>
        <v>Jackets</v>
      </c>
      <c r="L1534" s="13"/>
    </row>
    <row r="1535">
      <c r="A1535" s="13">
        <f>IFERROR(__xludf.DUMMYFUNCTION("""COMPUTED_VALUE"""),1533.0)</f>
        <v>1533</v>
      </c>
      <c r="B1535" s="13">
        <f>IFERROR(__xludf.DUMMYFUNCTION("""COMPUTED_VALUE"""),1080.0)</f>
        <v>1080</v>
      </c>
      <c r="C1535" s="13">
        <f>IFERROR(__xludf.DUMMYFUNCTION("""COMPUTED_VALUE"""),30.0)</f>
        <v>30</v>
      </c>
      <c r="D1535" s="12" t="str">
        <f>IFERROR(__xludf.DUMMYFUNCTION("""COMPUTED_VALUE"""),"Pretty but not for me")</f>
        <v>Pretty but not for me</v>
      </c>
      <c r="E1535" s="12" t="str">
        <f>IFERROR(__xludf.DUMMYFUNCTION("""COMPUTED_VALUE"""),"I loved the colors and the feel of the fabric. it was a lovely dress but it fit weird on my 34 dd chest so back it goes. the zipper had one spot where it was tight, right at the widest part of my rib cage. it was fine every where else. too bad.")</f>
        <v>I loved the colors and the feel of the fabric. it was a lovely dress but it fit weird on my 34 dd chest so back it goes. the zipper had one spot where it was tight, right at the widest part of my rib cage. it was fine every where else. too bad.</v>
      </c>
      <c r="F1535" s="13">
        <f>IFERROR(__xludf.DUMMYFUNCTION("""COMPUTED_VALUE"""),4.0)</f>
        <v>4</v>
      </c>
      <c r="G1535" s="13">
        <f>IFERROR(__xludf.DUMMYFUNCTION("""COMPUTED_VALUE"""),1.0)</f>
        <v>1</v>
      </c>
      <c r="H1535" s="13">
        <f>IFERROR(__xludf.DUMMYFUNCTION("""COMPUTED_VALUE"""),2.0)</f>
        <v>2</v>
      </c>
      <c r="I1535" s="13" t="str">
        <f>IFERROR(__xludf.DUMMYFUNCTION("""COMPUTED_VALUE"""),"General")</f>
        <v>General</v>
      </c>
      <c r="J1535" s="13" t="str">
        <f>IFERROR(__xludf.DUMMYFUNCTION("""COMPUTED_VALUE"""),"Dresses")</f>
        <v>Dresses</v>
      </c>
      <c r="K1535" s="13" t="str">
        <f>IFERROR(__xludf.DUMMYFUNCTION("""COMPUTED_VALUE"""),"Dresses")</f>
        <v>Dresses</v>
      </c>
      <c r="L1535" s="13"/>
    </row>
    <row r="1536">
      <c r="A1536" s="13">
        <f>IFERROR(__xludf.DUMMYFUNCTION("""COMPUTED_VALUE"""),1534.0)</f>
        <v>1534</v>
      </c>
      <c r="B1536" s="13">
        <f>IFERROR(__xludf.DUMMYFUNCTION("""COMPUTED_VALUE"""),947.0)</f>
        <v>947</v>
      </c>
      <c r="C1536" s="13">
        <f>IFERROR(__xludf.DUMMYFUNCTION("""COMPUTED_VALUE"""),52.0)</f>
        <v>52</v>
      </c>
      <c r="D1536" s="12"/>
      <c r="E1536" s="12"/>
      <c r="F1536" s="13">
        <f>IFERROR(__xludf.DUMMYFUNCTION("""COMPUTED_VALUE"""),5.0)</f>
        <v>5</v>
      </c>
      <c r="G1536" s="13">
        <f>IFERROR(__xludf.DUMMYFUNCTION("""COMPUTED_VALUE"""),1.0)</f>
        <v>1</v>
      </c>
      <c r="H1536" s="13">
        <f>IFERROR(__xludf.DUMMYFUNCTION("""COMPUTED_VALUE"""),0.0)</f>
        <v>0</v>
      </c>
      <c r="I1536" s="13" t="str">
        <f>IFERROR(__xludf.DUMMYFUNCTION("""COMPUTED_VALUE"""),"General")</f>
        <v>General</v>
      </c>
      <c r="J1536" s="13" t="str">
        <f>IFERROR(__xludf.DUMMYFUNCTION("""COMPUTED_VALUE"""),"Tops")</f>
        <v>Tops</v>
      </c>
      <c r="K1536" s="13" t="str">
        <f>IFERROR(__xludf.DUMMYFUNCTION("""COMPUTED_VALUE"""),"Sweaters")</f>
        <v>Sweaters</v>
      </c>
      <c r="L1536" s="13"/>
    </row>
    <row r="1537">
      <c r="A1537" s="13">
        <f>IFERROR(__xludf.DUMMYFUNCTION("""COMPUTED_VALUE"""),1535.0)</f>
        <v>1535</v>
      </c>
      <c r="B1537" s="13">
        <f>IFERROR(__xludf.DUMMYFUNCTION("""COMPUTED_VALUE"""),831.0)</f>
        <v>831</v>
      </c>
      <c r="C1537" s="13">
        <f>IFERROR(__xludf.DUMMYFUNCTION("""COMPUTED_VALUE"""),42.0)</f>
        <v>42</v>
      </c>
      <c r="D1537" s="12" t="str">
        <f>IFERROR(__xludf.DUMMYFUNCTION("""COMPUTED_VALUE"""),"Very pretty")</f>
        <v>Very pretty</v>
      </c>
      <c r="E1537" s="12" t="str">
        <f>IFERROR(__xludf.DUMMYFUNCTION("""COMPUTED_VALUE"""),"I bought this blouse on sale in a medium because it was the last one left in the store. i usually wear a large, but surprisingly it fit. i'm a woman of color, and the off white and lace looks great with my complexion. i got many compliments on the blouse "&amp;"as i made my way to the register to check out. i can't wait to wear it this spring. i'll have to be careful when wearing this blouse because one good snag with a fingernail, or necklace and the lace will be torn. other than that, i'm very happy")</f>
        <v>I bought this blouse on sale in a medium because it was the last one left in the store. i usually wear a large, but surprisingly it fit. i'm a woman of color, and the off white and lace looks great with my complexion. i got many compliments on the blouse as i made my way to the register to check out. i can't wait to wear it this spring. i'll have to be careful when wearing this blouse because one good snag with a fingernail, or necklace and the lace will be torn. other than that, i'm very happy</v>
      </c>
      <c r="F1537" s="13">
        <f>IFERROR(__xludf.DUMMYFUNCTION("""COMPUTED_VALUE"""),4.0)</f>
        <v>4</v>
      </c>
      <c r="G1537" s="13">
        <f>IFERROR(__xludf.DUMMYFUNCTION("""COMPUTED_VALUE"""),1.0)</f>
        <v>1</v>
      </c>
      <c r="H1537" s="13">
        <f>IFERROR(__xludf.DUMMYFUNCTION("""COMPUTED_VALUE"""),0.0)</f>
        <v>0</v>
      </c>
      <c r="I1537" s="13" t="str">
        <f>IFERROR(__xludf.DUMMYFUNCTION("""COMPUTED_VALUE"""),"General Petite")</f>
        <v>General Petite</v>
      </c>
      <c r="J1537" s="13" t="str">
        <f>IFERROR(__xludf.DUMMYFUNCTION("""COMPUTED_VALUE"""),"Tops")</f>
        <v>Tops</v>
      </c>
      <c r="K1537" s="13" t="str">
        <f>IFERROR(__xludf.DUMMYFUNCTION("""COMPUTED_VALUE"""),"Blouses")</f>
        <v>Blouses</v>
      </c>
      <c r="L1537" s="13"/>
    </row>
    <row r="1538">
      <c r="A1538" s="13">
        <f>IFERROR(__xludf.DUMMYFUNCTION("""COMPUTED_VALUE"""),1536.0)</f>
        <v>1536</v>
      </c>
      <c r="B1538" s="13">
        <f>IFERROR(__xludf.DUMMYFUNCTION("""COMPUTED_VALUE"""),603.0)</f>
        <v>603</v>
      </c>
      <c r="C1538" s="13">
        <f>IFERROR(__xludf.DUMMYFUNCTION("""COMPUTED_VALUE"""),51.0)</f>
        <v>51</v>
      </c>
      <c r="D1538" s="12" t="str">
        <f>IFERROR(__xludf.DUMMYFUNCTION("""COMPUTED_VALUE"""),"Gorgeous shorts")</f>
        <v>Gorgeous shorts</v>
      </c>
      <c r="E1538" s="12" t="str">
        <f>IFERROR(__xludf.DUMMYFUNCTION("""COMPUTED_VALUE"""),"These shorts are just beautiful. with that said, they were expensive, but made reasonable when i snagged them in the online sale! they do also run large, and they seem to be made for short-waisted bodies. i will be bringing them back to my local store to "&amp;"(hopefully) exchange for a smaller size. fingers crossed that they still have them in stock!")</f>
        <v>These shorts are just beautiful. with that said, they were expensive, but made reasonable when i snagged them in the online sale! they do also run large, and they seem to be made for short-waisted bodies. i will be bringing them back to my local store to (hopefully) exchange for a smaller size. fingers crossed that they still have them in stock!</v>
      </c>
      <c r="F1538" s="13">
        <f>IFERROR(__xludf.DUMMYFUNCTION("""COMPUTED_VALUE"""),3.0)</f>
        <v>3</v>
      </c>
      <c r="G1538" s="13">
        <f>IFERROR(__xludf.DUMMYFUNCTION("""COMPUTED_VALUE"""),1.0)</f>
        <v>1</v>
      </c>
      <c r="H1538" s="13">
        <f>IFERROR(__xludf.DUMMYFUNCTION("""COMPUTED_VALUE"""),0.0)</f>
        <v>0</v>
      </c>
      <c r="I1538" s="13" t="str">
        <f>IFERROR(__xludf.DUMMYFUNCTION("""COMPUTED_VALUE"""),"General")</f>
        <v>General</v>
      </c>
      <c r="J1538" s="13" t="str">
        <f>IFERROR(__xludf.DUMMYFUNCTION("""COMPUTED_VALUE"""),"Bottoms")</f>
        <v>Bottoms</v>
      </c>
      <c r="K1538" s="13" t="str">
        <f>IFERROR(__xludf.DUMMYFUNCTION("""COMPUTED_VALUE"""),"Shorts")</f>
        <v>Shorts</v>
      </c>
      <c r="L1538" s="13"/>
    </row>
    <row r="1539">
      <c r="A1539" s="13">
        <f>IFERROR(__xludf.DUMMYFUNCTION("""COMPUTED_VALUE"""),1537.0)</f>
        <v>1537</v>
      </c>
      <c r="B1539" s="13">
        <f>IFERROR(__xludf.DUMMYFUNCTION("""COMPUTED_VALUE"""),865.0)</f>
        <v>865</v>
      </c>
      <c r="C1539" s="13">
        <f>IFERROR(__xludf.DUMMYFUNCTION("""COMPUTED_VALUE"""),44.0)</f>
        <v>44</v>
      </c>
      <c r="D1539" s="12" t="str">
        <f>IFERROR(__xludf.DUMMYFUNCTION("""COMPUTED_VALUE"""),"Soft lace and beautiful color")</f>
        <v>Soft lace and beautiful color</v>
      </c>
      <c r="E1539" s="12" t="str">
        <f>IFERROR(__xludf.DUMMYFUNCTION("""COMPUTED_VALUE"""),"I strongly disagree with the previous reviewer. the shirt in our store was featured in all colors.  i chose the burnt orange color to try on and it is was incredibly soft!  i felt like i was wearing a t-shirt with an easy on and easy off feel. the flow of"&amp;" the shirt allows you to wear out or tuck in.  i paired with teal velvet crops and tucked the shirt in for more structure to the outfit. love!!!")</f>
        <v>I strongly disagree with the previous reviewer. the shirt in our store was featured in all colors.  i chose the burnt orange color to try on and it is was incredibly soft!  i felt like i was wearing a t-shirt with an easy on and easy off feel. the flow of the shirt allows you to wear out or tuck in.  i paired with teal velvet crops and tucked the shirt in for more structure to the outfit. love!!!</v>
      </c>
      <c r="F1539" s="13">
        <f>IFERROR(__xludf.DUMMYFUNCTION("""COMPUTED_VALUE"""),5.0)</f>
        <v>5</v>
      </c>
      <c r="G1539" s="13">
        <f>IFERROR(__xludf.DUMMYFUNCTION("""COMPUTED_VALUE"""),1.0)</f>
        <v>1</v>
      </c>
      <c r="H1539" s="13">
        <f>IFERROR(__xludf.DUMMYFUNCTION("""COMPUTED_VALUE"""),0.0)</f>
        <v>0</v>
      </c>
      <c r="I1539" s="13" t="str">
        <f>IFERROR(__xludf.DUMMYFUNCTION("""COMPUTED_VALUE"""),"General")</f>
        <v>General</v>
      </c>
      <c r="J1539" s="13" t="str">
        <f>IFERROR(__xludf.DUMMYFUNCTION("""COMPUTED_VALUE"""),"Tops")</f>
        <v>Tops</v>
      </c>
      <c r="K1539" s="13" t="str">
        <f>IFERROR(__xludf.DUMMYFUNCTION("""COMPUTED_VALUE"""),"Knits")</f>
        <v>Knits</v>
      </c>
      <c r="L1539" s="13"/>
    </row>
    <row r="1540">
      <c r="A1540" s="13">
        <f>IFERROR(__xludf.DUMMYFUNCTION("""COMPUTED_VALUE"""),1538.0)</f>
        <v>1538</v>
      </c>
      <c r="B1540" s="13">
        <f>IFERROR(__xludf.DUMMYFUNCTION("""COMPUTED_VALUE"""),947.0)</f>
        <v>947</v>
      </c>
      <c r="C1540" s="13">
        <f>IFERROR(__xludf.DUMMYFUNCTION("""COMPUTED_VALUE"""),52.0)</f>
        <v>52</v>
      </c>
      <c r="D1540" s="12"/>
      <c r="E1540" s="12" t="str">
        <f>IFERROR(__xludf.DUMMYFUNCTION("""COMPUTED_VALUE"""),"Love this sweater. fun for fall. soft fabric and runs true to size. will look great with jeans or dress pants.")</f>
        <v>Love this sweater. fun for fall. soft fabric and runs true to size. will look great with jeans or dress pants.</v>
      </c>
      <c r="F1540" s="13">
        <f>IFERROR(__xludf.DUMMYFUNCTION("""COMPUTED_VALUE"""),4.0)</f>
        <v>4</v>
      </c>
      <c r="G1540" s="13">
        <f>IFERROR(__xludf.DUMMYFUNCTION("""COMPUTED_VALUE"""),1.0)</f>
        <v>1</v>
      </c>
      <c r="H1540" s="13">
        <f>IFERROR(__xludf.DUMMYFUNCTION("""COMPUTED_VALUE"""),0.0)</f>
        <v>0</v>
      </c>
      <c r="I1540" s="13" t="str">
        <f>IFERROR(__xludf.DUMMYFUNCTION("""COMPUTED_VALUE"""),"General")</f>
        <v>General</v>
      </c>
      <c r="J1540" s="13" t="str">
        <f>IFERROR(__xludf.DUMMYFUNCTION("""COMPUTED_VALUE"""),"Tops")</f>
        <v>Tops</v>
      </c>
      <c r="K1540" s="13" t="str">
        <f>IFERROR(__xludf.DUMMYFUNCTION("""COMPUTED_VALUE"""),"Sweaters")</f>
        <v>Sweaters</v>
      </c>
      <c r="L1540" s="13"/>
    </row>
    <row r="1541">
      <c r="A1541" s="13">
        <f>IFERROR(__xludf.DUMMYFUNCTION("""COMPUTED_VALUE"""),1539.0)</f>
        <v>1539</v>
      </c>
      <c r="B1541" s="13">
        <f>IFERROR(__xludf.DUMMYFUNCTION("""COMPUTED_VALUE"""),947.0)</f>
        <v>947</v>
      </c>
      <c r="C1541" s="13">
        <f>IFERROR(__xludf.DUMMYFUNCTION("""COMPUTED_VALUE"""),38.0)</f>
        <v>38</v>
      </c>
      <c r="D1541" s="12" t="str">
        <f>IFERROR(__xludf.DUMMYFUNCTION("""COMPUTED_VALUE"""),"Great sweater!")</f>
        <v>Great sweater!</v>
      </c>
      <c r="E1541" s="12" t="str">
        <f>IFERROR(__xludf.DUMMYFUNCTION("""COMPUTED_VALUE"""),"The weave is very loose and chunky which i like but isn't so apparent in the picture. also the sleeves bell more than it looks like on the model. the color is a great caramel and it fit tts. i think it will be great on cooler days.")</f>
        <v>The weave is very loose and chunky which i like but isn't so apparent in the picture. also the sleeves bell more than it looks like on the model. the color is a great caramel and it fit tts. i think it will be great on cooler days.</v>
      </c>
      <c r="F1541" s="13">
        <f>IFERROR(__xludf.DUMMYFUNCTION("""COMPUTED_VALUE"""),4.0)</f>
        <v>4</v>
      </c>
      <c r="G1541" s="13">
        <f>IFERROR(__xludf.DUMMYFUNCTION("""COMPUTED_VALUE"""),1.0)</f>
        <v>1</v>
      </c>
      <c r="H1541" s="13">
        <f>IFERROR(__xludf.DUMMYFUNCTION("""COMPUTED_VALUE"""),3.0)</f>
        <v>3</v>
      </c>
      <c r="I1541" s="13" t="str">
        <f>IFERROR(__xludf.DUMMYFUNCTION("""COMPUTED_VALUE"""),"General")</f>
        <v>General</v>
      </c>
      <c r="J1541" s="13" t="str">
        <f>IFERROR(__xludf.DUMMYFUNCTION("""COMPUTED_VALUE"""),"Tops")</f>
        <v>Tops</v>
      </c>
      <c r="K1541" s="13" t="str">
        <f>IFERROR(__xludf.DUMMYFUNCTION("""COMPUTED_VALUE"""),"Sweaters")</f>
        <v>Sweaters</v>
      </c>
      <c r="L1541" s="13"/>
    </row>
    <row r="1542">
      <c r="A1542" s="13">
        <f>IFERROR(__xludf.DUMMYFUNCTION("""COMPUTED_VALUE"""),1540.0)</f>
        <v>1540</v>
      </c>
      <c r="B1542" s="13">
        <f>IFERROR(__xludf.DUMMYFUNCTION("""COMPUTED_VALUE"""),947.0)</f>
        <v>947</v>
      </c>
      <c r="C1542" s="13">
        <f>IFERROR(__xludf.DUMMYFUNCTION("""COMPUTED_VALUE"""),38.0)</f>
        <v>38</v>
      </c>
      <c r="D1542" s="12" t="str">
        <f>IFERROR(__xludf.DUMMYFUNCTION("""COMPUTED_VALUE"""),"Comfy and classic")</f>
        <v>Comfy and classic</v>
      </c>
      <c r="E1542" s="12" t="str">
        <f>IFERROR(__xludf.DUMMYFUNCTION("""COMPUTED_VALUE"""),"Love this sweater, do wish i sized up for a little longer length, but works great with high rise pants.  comfy and great color")</f>
        <v>Love this sweater, do wish i sized up for a little longer length, but works great with high rise pants.  comfy and great color</v>
      </c>
      <c r="F1542" s="13">
        <f>IFERROR(__xludf.DUMMYFUNCTION("""COMPUTED_VALUE"""),4.0)</f>
        <v>4</v>
      </c>
      <c r="G1542" s="13">
        <f>IFERROR(__xludf.DUMMYFUNCTION("""COMPUTED_VALUE"""),1.0)</f>
        <v>1</v>
      </c>
      <c r="H1542" s="13">
        <f>IFERROR(__xludf.DUMMYFUNCTION("""COMPUTED_VALUE"""),1.0)</f>
        <v>1</v>
      </c>
      <c r="I1542" s="13" t="str">
        <f>IFERROR(__xludf.DUMMYFUNCTION("""COMPUTED_VALUE"""),"General")</f>
        <v>General</v>
      </c>
      <c r="J1542" s="13" t="str">
        <f>IFERROR(__xludf.DUMMYFUNCTION("""COMPUTED_VALUE"""),"Tops")</f>
        <v>Tops</v>
      </c>
      <c r="K1542" s="13" t="str">
        <f>IFERROR(__xludf.DUMMYFUNCTION("""COMPUTED_VALUE"""),"Sweaters")</f>
        <v>Sweaters</v>
      </c>
      <c r="L1542" s="13"/>
    </row>
    <row r="1543">
      <c r="A1543" s="13">
        <f>IFERROR(__xludf.DUMMYFUNCTION("""COMPUTED_VALUE"""),1541.0)</f>
        <v>1541</v>
      </c>
      <c r="B1543" s="13">
        <f>IFERROR(__xludf.DUMMYFUNCTION("""COMPUTED_VALUE"""),424.0)</f>
        <v>424</v>
      </c>
      <c r="C1543" s="13">
        <f>IFERROR(__xludf.DUMMYFUNCTION("""COMPUTED_VALUE"""),29.0)</f>
        <v>29</v>
      </c>
      <c r="D1543" s="12"/>
      <c r="E1543" s="12" t="str">
        <f>IFERROR(__xludf.DUMMYFUNCTION("""COMPUTED_VALUE"""),"I felt inspired to write a review as soon as i put this on. the vest fits so well, and the thick fabric feels amazing. love the pockets! like the previous reviewer, i feel like i'll be able to wear this with workout clothes or with a dressier outfit. it h"&amp;"as an ever so slight racer back, so probably would look weird with sleeveless tops that come all the way to your shoulders, but i can already think about so many ways i want to wear it. the draping in the front also falls really nicely. great bu")</f>
        <v>I felt inspired to write a review as soon as i put this on. the vest fits so well, and the thick fabric feels amazing. love the pockets! like the previous reviewer, i feel like i'll be able to wear this with workout clothes or with a dressier outfit. it has an ever so slight racer back, so probably would look weird with sleeveless tops that come all the way to your shoulders, but i can already think about so many ways i want to wear it. the draping in the front also falls really nicely. great bu</v>
      </c>
      <c r="F1543" s="13">
        <f>IFERROR(__xludf.DUMMYFUNCTION("""COMPUTED_VALUE"""),5.0)</f>
        <v>5</v>
      </c>
      <c r="G1543" s="13">
        <f>IFERROR(__xludf.DUMMYFUNCTION("""COMPUTED_VALUE"""),1.0)</f>
        <v>1</v>
      </c>
      <c r="H1543" s="13">
        <f>IFERROR(__xludf.DUMMYFUNCTION("""COMPUTED_VALUE"""),1.0)</f>
        <v>1</v>
      </c>
      <c r="I1543" s="13" t="str">
        <f>IFERROR(__xludf.DUMMYFUNCTION("""COMPUTED_VALUE"""),"Initmates")</f>
        <v>Initmates</v>
      </c>
      <c r="J1543" s="13" t="str">
        <f>IFERROR(__xludf.DUMMYFUNCTION("""COMPUTED_VALUE"""),"Intimate")</f>
        <v>Intimate</v>
      </c>
      <c r="K1543" s="13" t="str">
        <f>IFERROR(__xludf.DUMMYFUNCTION("""COMPUTED_VALUE"""),"Lounge")</f>
        <v>Lounge</v>
      </c>
      <c r="L1543" s="13"/>
    </row>
    <row r="1544">
      <c r="A1544" s="13">
        <f>IFERROR(__xludf.DUMMYFUNCTION("""COMPUTED_VALUE"""),1542.0)</f>
        <v>1542</v>
      </c>
      <c r="B1544" s="13">
        <f>IFERROR(__xludf.DUMMYFUNCTION("""COMPUTED_VALUE"""),1020.0)</f>
        <v>1020</v>
      </c>
      <c r="C1544" s="13">
        <f>IFERROR(__xludf.DUMMYFUNCTION("""COMPUTED_VALUE"""),34.0)</f>
        <v>34</v>
      </c>
      <c r="D1544" s="12" t="str">
        <f>IFERROR(__xludf.DUMMYFUNCTION("""COMPUTED_VALUE"""),"Ideal fit and feel for gals with curves")</f>
        <v>Ideal fit and feel for gals with curves</v>
      </c>
      <c r="E1544" s="12" t="str">
        <f>IFERROR(__xludf.DUMMYFUNCTION("""COMPUTED_VALUE"""),"With my 5'9', hourglass frame, wider hips and having a baby, i wear normally sizes 10/12 (m/l) in most retailer skirts and dresses. however, with this, i was able to fit into an 8; it just sat higher up and was too form fitting for my liking. here are my "&amp;"thoughts:
_________
pros:
- lots of stretch and comfort.
- pockets! always a plus in my book :)
- will go with any top.
- nice length. fit me as in the model.
- very slimming.
- you could probably go down a size if you are slender with not wide hi")</f>
        <v>With my 5'9', hourglass frame, wider hips and having a baby, i wear normally sizes 10/12 (m/l) in most retailer skirts and dresses. however, with this, i was able to fit into an 8; it just sat higher up and was too form fitting for my liking. here are my thoughts:
_________
pros:
- lots of stretch and comfort.
- pockets! always a plus in my book :)
- will go with any top.
- nice length. fit me as in the model.
- very slimming.
- you could probably go down a size if you are slender with not wide hi</v>
      </c>
      <c r="F1544" s="13">
        <f>IFERROR(__xludf.DUMMYFUNCTION("""COMPUTED_VALUE"""),5.0)</f>
        <v>5</v>
      </c>
      <c r="G1544" s="13">
        <f>IFERROR(__xludf.DUMMYFUNCTION("""COMPUTED_VALUE"""),1.0)</f>
        <v>1</v>
      </c>
      <c r="H1544" s="13">
        <f>IFERROR(__xludf.DUMMYFUNCTION("""COMPUTED_VALUE"""),15.0)</f>
        <v>15</v>
      </c>
      <c r="I1544" s="13" t="str">
        <f>IFERROR(__xludf.DUMMYFUNCTION("""COMPUTED_VALUE"""),"General Petite")</f>
        <v>General Petite</v>
      </c>
      <c r="J1544" s="13" t="str">
        <f>IFERROR(__xludf.DUMMYFUNCTION("""COMPUTED_VALUE"""),"Bottoms")</f>
        <v>Bottoms</v>
      </c>
      <c r="K1544" s="13" t="str">
        <f>IFERROR(__xludf.DUMMYFUNCTION("""COMPUTED_VALUE"""),"Skirts")</f>
        <v>Skirts</v>
      </c>
      <c r="L1544" s="13"/>
    </row>
    <row r="1545">
      <c r="A1545" s="13">
        <f>IFERROR(__xludf.DUMMYFUNCTION("""COMPUTED_VALUE"""),1543.0)</f>
        <v>1543</v>
      </c>
      <c r="B1545" s="13">
        <f>IFERROR(__xludf.DUMMYFUNCTION("""COMPUTED_VALUE"""),1122.0)</f>
        <v>1122</v>
      </c>
      <c r="C1545" s="13">
        <f>IFERROR(__xludf.DUMMYFUNCTION("""COMPUTED_VALUE"""),62.0)</f>
        <v>62</v>
      </c>
      <c r="D1545" s="12" t="str">
        <f>IFERROR(__xludf.DUMMYFUNCTION("""COMPUTED_VALUE"""),"Madly in love!")</f>
        <v>Madly in love!</v>
      </c>
      <c r="E1545" s="12" t="str">
        <f>IFERROR(__xludf.DUMMYFUNCTION("""COMPUTED_VALUE"""),"This is a favulous cape...in fact i would buy another if there were other colors! it is oversized, playful, chic, dramatic and simply put a true statement piece. it will not be flattering to your figure...it is not suppose to...but it will show your true "&amp;"sense of style! wish it had pockets...i may add them for more play.")</f>
        <v>This is a favulous cape...in fact i would buy another if there were other colors! it is oversized, playful, chic, dramatic and simply put a true statement piece. it will not be flattering to your figure...it is not suppose to...but it will show your true sense of style! wish it had pockets...i may add them for more play.</v>
      </c>
      <c r="F1545" s="13">
        <f>IFERROR(__xludf.DUMMYFUNCTION("""COMPUTED_VALUE"""),5.0)</f>
        <v>5</v>
      </c>
      <c r="G1545" s="13">
        <f>IFERROR(__xludf.DUMMYFUNCTION("""COMPUTED_VALUE"""),1.0)</f>
        <v>1</v>
      </c>
      <c r="H1545" s="13">
        <f>IFERROR(__xludf.DUMMYFUNCTION("""COMPUTED_VALUE"""),2.0)</f>
        <v>2</v>
      </c>
      <c r="I1545" s="13" t="str">
        <f>IFERROR(__xludf.DUMMYFUNCTION("""COMPUTED_VALUE"""),"General")</f>
        <v>General</v>
      </c>
      <c r="J1545" s="13" t="str">
        <f>IFERROR(__xludf.DUMMYFUNCTION("""COMPUTED_VALUE"""),"Jackets")</f>
        <v>Jackets</v>
      </c>
      <c r="K1545" s="13" t="str">
        <f>IFERROR(__xludf.DUMMYFUNCTION("""COMPUTED_VALUE"""),"Outerwear")</f>
        <v>Outerwear</v>
      </c>
      <c r="L1545" s="13"/>
    </row>
    <row r="1546">
      <c r="A1546" s="13">
        <f>IFERROR(__xludf.DUMMYFUNCTION("""COMPUTED_VALUE"""),1544.0)</f>
        <v>1544</v>
      </c>
      <c r="B1546" s="13">
        <f>IFERROR(__xludf.DUMMYFUNCTION("""COMPUTED_VALUE"""),947.0)</f>
        <v>947</v>
      </c>
      <c r="C1546" s="13">
        <f>IFERROR(__xludf.DUMMYFUNCTION("""COMPUTED_VALUE"""),67.0)</f>
        <v>67</v>
      </c>
      <c r="D1546" s="12" t="str">
        <f>IFERROR(__xludf.DUMMYFUNCTION("""COMPUTED_VALUE"""),"Delaney pullover")</f>
        <v>Delaney pullover</v>
      </c>
      <c r="E1546" s="12" t="str">
        <f>IFERROR(__xludf.DUMMYFUNCTION("""COMPUTED_VALUE"""),"I saw this sweater online and had to try it. i went to my local retailer to try it on and i'm glad i did. i am usually a xs - s in tops and i thought this fit best in a medium. it's very chunky which is what i was looking for and so soft - not scratchy at"&amp;" all. it has wide bell sleeves, but that's very on trend right now. i am 5'4, 34b and it falls about an inch below the top of my jeans. it's not form fitting but so snugly. i plan on wearing it with dark denim skinnies, booties, and simple jewlery")</f>
        <v>I saw this sweater online and had to try it. i went to my local retailer to try it on and i'm glad i did. i am usually a xs - s in tops and i thought this fit best in a medium. it's very chunky which is what i was looking for and so soft - not scratchy at all. it has wide bell sleeves, but that's very on trend right now. i am 5'4, 34b and it falls about an inch below the top of my jeans. it's not form fitting but so snugly. i plan on wearing it with dark denim skinnies, booties, and simple jewlery</v>
      </c>
      <c r="F1546" s="13">
        <f>IFERROR(__xludf.DUMMYFUNCTION("""COMPUTED_VALUE"""),4.0)</f>
        <v>4</v>
      </c>
      <c r="G1546" s="13">
        <f>IFERROR(__xludf.DUMMYFUNCTION("""COMPUTED_VALUE"""),1.0)</f>
        <v>1</v>
      </c>
      <c r="H1546" s="13">
        <f>IFERROR(__xludf.DUMMYFUNCTION("""COMPUTED_VALUE"""),0.0)</f>
        <v>0</v>
      </c>
      <c r="I1546" s="13" t="str">
        <f>IFERROR(__xludf.DUMMYFUNCTION("""COMPUTED_VALUE"""),"General")</f>
        <v>General</v>
      </c>
      <c r="J1546" s="13" t="str">
        <f>IFERROR(__xludf.DUMMYFUNCTION("""COMPUTED_VALUE"""),"Tops")</f>
        <v>Tops</v>
      </c>
      <c r="K1546" s="13" t="str">
        <f>IFERROR(__xludf.DUMMYFUNCTION("""COMPUTED_VALUE"""),"Sweaters")</f>
        <v>Sweaters</v>
      </c>
      <c r="L1546" s="13"/>
    </row>
    <row r="1547">
      <c r="A1547" s="13">
        <f>IFERROR(__xludf.DUMMYFUNCTION("""COMPUTED_VALUE"""),1545.0)</f>
        <v>1545</v>
      </c>
      <c r="B1547" s="13">
        <f>IFERROR(__xludf.DUMMYFUNCTION("""COMPUTED_VALUE"""),947.0)</f>
        <v>947</v>
      </c>
      <c r="C1547" s="13">
        <f>IFERROR(__xludf.DUMMYFUNCTION("""COMPUTED_VALUE"""),77.0)</f>
        <v>77</v>
      </c>
      <c r="D1547" s="12" t="str">
        <f>IFERROR(__xludf.DUMMYFUNCTION("""COMPUTED_VALUE"""),"Delaney pullover")</f>
        <v>Delaney pullover</v>
      </c>
      <c r="E1547" s="12" t="str">
        <f>IFERROR(__xludf.DUMMYFUNCTION("""COMPUTED_VALUE"""),"I ordered a small and it is enormous; i usually wear a size 10. it is short but the fullness in the body and the sleeves made me look like a sumo wrestler. also, it is a very heavy knit which would be great for up north but too bulky for atlanta unless th"&amp;"e temps are in the 40s. i'm sending it back.")</f>
        <v>I ordered a small and it is enormous; i usually wear a size 10. it is short but the fullness in the body and the sleeves made me look like a sumo wrestler. also, it is a very heavy knit which would be great for up north but too bulky for atlanta unless the temps are in the 40s. i'm sending it back.</v>
      </c>
      <c r="F1547" s="13">
        <f>IFERROR(__xludf.DUMMYFUNCTION("""COMPUTED_VALUE"""),2.0)</f>
        <v>2</v>
      </c>
      <c r="G1547" s="13">
        <f>IFERROR(__xludf.DUMMYFUNCTION("""COMPUTED_VALUE"""),0.0)</f>
        <v>0</v>
      </c>
      <c r="H1547" s="13">
        <f>IFERROR(__xludf.DUMMYFUNCTION("""COMPUTED_VALUE"""),1.0)</f>
        <v>1</v>
      </c>
      <c r="I1547" s="13" t="str">
        <f>IFERROR(__xludf.DUMMYFUNCTION("""COMPUTED_VALUE"""),"General")</f>
        <v>General</v>
      </c>
      <c r="J1547" s="13" t="str">
        <f>IFERROR(__xludf.DUMMYFUNCTION("""COMPUTED_VALUE"""),"Tops")</f>
        <v>Tops</v>
      </c>
      <c r="K1547" s="13" t="str">
        <f>IFERROR(__xludf.DUMMYFUNCTION("""COMPUTED_VALUE"""),"Sweaters")</f>
        <v>Sweaters</v>
      </c>
      <c r="L1547" s="13"/>
    </row>
    <row r="1548">
      <c r="A1548" s="13">
        <f>IFERROR(__xludf.DUMMYFUNCTION("""COMPUTED_VALUE"""),1546.0)</f>
        <v>1546</v>
      </c>
      <c r="B1548" s="13">
        <f>IFERROR(__xludf.DUMMYFUNCTION("""COMPUTED_VALUE"""),850.0)</f>
        <v>850</v>
      </c>
      <c r="C1548" s="13">
        <f>IFERROR(__xludf.DUMMYFUNCTION("""COMPUTED_VALUE"""),67.0)</f>
        <v>67</v>
      </c>
      <c r="D1548" s="12" t="str">
        <f>IFERROR(__xludf.DUMMYFUNCTION("""COMPUTED_VALUE"""),"Best purchase anywhere lately!")</f>
        <v>Best purchase anywhere lately!</v>
      </c>
      <c r="E1548" s="12" t="str">
        <f>IFERROR(__xludf.DUMMYFUNCTION("""COMPUTED_VALUE"""),"These two blouses are probably my best purchases anywhere in some time. fit is perfect, quality is great and both will be worn many times this summer and into the fall. unique from the all other tops i have seen lately.")</f>
        <v>These two blouses are probably my best purchases anywhere in some time. fit is perfect, quality is great and both will be worn many times this summer and into the fall. unique from the all other tops i have seen lately.</v>
      </c>
      <c r="F1548" s="13">
        <f>IFERROR(__xludf.DUMMYFUNCTION("""COMPUTED_VALUE"""),5.0)</f>
        <v>5</v>
      </c>
      <c r="G1548" s="13">
        <f>IFERROR(__xludf.DUMMYFUNCTION("""COMPUTED_VALUE"""),1.0)</f>
        <v>1</v>
      </c>
      <c r="H1548" s="13">
        <f>IFERROR(__xludf.DUMMYFUNCTION("""COMPUTED_VALUE"""),4.0)</f>
        <v>4</v>
      </c>
      <c r="I1548" s="13" t="str">
        <f>IFERROR(__xludf.DUMMYFUNCTION("""COMPUTED_VALUE"""),"General")</f>
        <v>General</v>
      </c>
      <c r="J1548" s="13" t="str">
        <f>IFERROR(__xludf.DUMMYFUNCTION("""COMPUTED_VALUE"""),"Tops")</f>
        <v>Tops</v>
      </c>
      <c r="K1548" s="13" t="str">
        <f>IFERROR(__xludf.DUMMYFUNCTION("""COMPUTED_VALUE"""),"Blouses")</f>
        <v>Blouses</v>
      </c>
      <c r="L1548" s="13"/>
    </row>
    <row r="1549">
      <c r="A1549" s="13">
        <f>IFERROR(__xludf.DUMMYFUNCTION("""COMPUTED_VALUE"""),1547.0)</f>
        <v>1547</v>
      </c>
      <c r="B1549" s="13">
        <f>IFERROR(__xludf.DUMMYFUNCTION("""COMPUTED_VALUE"""),1020.0)</f>
        <v>1020</v>
      </c>
      <c r="C1549" s="13">
        <f>IFERROR(__xludf.DUMMYFUNCTION("""COMPUTED_VALUE"""),31.0)</f>
        <v>31</v>
      </c>
      <c r="D1549" s="12"/>
      <c r="E1549" s="12" t="str">
        <f>IFERROR(__xludf.DUMMYFUNCTION("""COMPUTED_VALUE"""),"This skirt is really cute and versatile, it can be dressed up or down. i paired it with a black chiffon top for a dressed up look and a denim button down for a casual look. the length is good, and the buckles allow it to be tightened, which is a plus if y"&amp;"ou have an athletic body.")</f>
        <v>This skirt is really cute and versatile, it can be dressed up or down. i paired it with a black chiffon top for a dressed up look and a denim button down for a casual look. the length is good, and the buckles allow it to be tightened, which is a plus if you have an athletic body.</v>
      </c>
      <c r="F1549" s="13">
        <f>IFERROR(__xludf.DUMMYFUNCTION("""COMPUTED_VALUE"""),5.0)</f>
        <v>5</v>
      </c>
      <c r="G1549" s="13">
        <f>IFERROR(__xludf.DUMMYFUNCTION("""COMPUTED_VALUE"""),1.0)</f>
        <v>1</v>
      </c>
      <c r="H1549" s="13">
        <f>IFERROR(__xludf.DUMMYFUNCTION("""COMPUTED_VALUE"""),0.0)</f>
        <v>0</v>
      </c>
      <c r="I1549" s="13" t="str">
        <f>IFERROR(__xludf.DUMMYFUNCTION("""COMPUTED_VALUE"""),"General Petite")</f>
        <v>General Petite</v>
      </c>
      <c r="J1549" s="13" t="str">
        <f>IFERROR(__xludf.DUMMYFUNCTION("""COMPUTED_VALUE"""),"Bottoms")</f>
        <v>Bottoms</v>
      </c>
      <c r="K1549" s="13" t="str">
        <f>IFERROR(__xludf.DUMMYFUNCTION("""COMPUTED_VALUE"""),"Skirts")</f>
        <v>Skirts</v>
      </c>
      <c r="L1549" s="13"/>
    </row>
    <row r="1550">
      <c r="A1550" s="13">
        <f>IFERROR(__xludf.DUMMYFUNCTION("""COMPUTED_VALUE"""),1548.0)</f>
        <v>1548</v>
      </c>
      <c r="B1550" s="13">
        <f>IFERROR(__xludf.DUMMYFUNCTION("""COMPUTED_VALUE"""),947.0)</f>
        <v>947</v>
      </c>
      <c r="C1550" s="13">
        <f>IFERROR(__xludf.DUMMYFUNCTION("""COMPUTED_VALUE"""),41.0)</f>
        <v>41</v>
      </c>
      <c r="D1550" s="12" t="str">
        <f>IFERROR(__xludf.DUMMYFUNCTION("""COMPUTED_VALUE"""),"Wish it loved me back!!!!")</f>
        <v>Wish it loved me back!!!!</v>
      </c>
      <c r="E1550" s="12" t="str">
        <f>IFERROR(__xludf.DUMMYFUNCTION("""COMPUTED_VALUE"""),"I adore this sweater. it is so soft and cozy. i ordered two because i really need some good winter sweaters that are forgiving on the pooch but not wool (darn allergies). so i ordered this in the white and black (camel is a bad color for me).
tried on th"&amp;"e first sweater when they arrived and it was so comfy i didn't want to take it off. then i looked in the mirror. i'm a tall gal, 5' 11"" with broad shoulders and i weigh about 165, and this sweater was so unflattering! it just made me look big")</f>
        <v>I adore this sweater. it is so soft and cozy. i ordered two because i really need some good winter sweaters that are forgiving on the pooch but not wool (darn allergies). so i ordered this in the white and black (camel is a bad color for me).
tried on the first sweater when they arrived and it was so comfy i didn't want to take it off. then i looked in the mirror. i'm a tall gal, 5' 11" with broad shoulders and i weigh about 165, and this sweater was so unflattering! it just made me look big</v>
      </c>
      <c r="F1550" s="13">
        <f>IFERROR(__xludf.DUMMYFUNCTION("""COMPUTED_VALUE"""),4.0)</f>
        <v>4</v>
      </c>
      <c r="G1550" s="13">
        <f>IFERROR(__xludf.DUMMYFUNCTION("""COMPUTED_VALUE"""),1.0)</f>
        <v>1</v>
      </c>
      <c r="H1550" s="13">
        <f>IFERROR(__xludf.DUMMYFUNCTION("""COMPUTED_VALUE"""),1.0)</f>
        <v>1</v>
      </c>
      <c r="I1550" s="13" t="str">
        <f>IFERROR(__xludf.DUMMYFUNCTION("""COMPUTED_VALUE"""),"General")</f>
        <v>General</v>
      </c>
      <c r="J1550" s="13" t="str">
        <f>IFERROR(__xludf.DUMMYFUNCTION("""COMPUTED_VALUE"""),"Tops")</f>
        <v>Tops</v>
      </c>
      <c r="K1550" s="13" t="str">
        <f>IFERROR(__xludf.DUMMYFUNCTION("""COMPUTED_VALUE"""),"Sweaters")</f>
        <v>Sweaters</v>
      </c>
      <c r="L1550" s="13"/>
    </row>
    <row r="1551">
      <c r="A1551" s="13">
        <f>IFERROR(__xludf.DUMMYFUNCTION("""COMPUTED_VALUE"""),1549.0)</f>
        <v>1549</v>
      </c>
      <c r="B1551" s="13">
        <f>IFERROR(__xludf.DUMMYFUNCTION("""COMPUTED_VALUE"""),1020.0)</f>
        <v>1020</v>
      </c>
      <c r="C1551" s="13">
        <f>IFERROR(__xludf.DUMMYFUNCTION("""COMPUTED_VALUE"""),61.0)</f>
        <v>61</v>
      </c>
      <c r="D1551" s="12" t="str">
        <f>IFERROR(__xludf.DUMMYFUNCTION("""COMPUTED_VALUE"""),"I love this skirt!")</f>
        <v>I love this skirt!</v>
      </c>
      <c r="E1551" s="12" t="str">
        <f>IFERROR(__xludf.DUMMYFUNCTION("""COMPUTED_VALUE"""),"I saw the skirt on a display today at my local store. i was attracted by the colors and the display itself. my thoughts, "" give it a chance"". i bought the size 10 without even trying it on, with the idea that the colors and style had so much potential, "&amp;"i am so pleased with this skirt! the fit is true, although if you like a higher ride on the waist, i would size down. the fabric has just the right amount of stretch to make it super comfortable. i had so many staple items in my wardrobe that i wi")</f>
        <v>I saw the skirt on a display today at my local store. i was attracted by the colors and the display itself. my thoughts, " give it a chance". i bought the size 10 without even trying it on, with the idea that the colors and style had so much potential, i am so pleased with this skirt! the fit is true, although if you like a higher ride on the waist, i would size down. the fabric has just the right amount of stretch to make it super comfortable. i had so many staple items in my wardrobe that i wi</v>
      </c>
      <c r="F1551" s="13">
        <f>IFERROR(__xludf.DUMMYFUNCTION("""COMPUTED_VALUE"""),5.0)</f>
        <v>5</v>
      </c>
      <c r="G1551" s="13">
        <f>IFERROR(__xludf.DUMMYFUNCTION("""COMPUTED_VALUE"""),1.0)</f>
        <v>1</v>
      </c>
      <c r="H1551" s="13">
        <f>IFERROR(__xludf.DUMMYFUNCTION("""COMPUTED_VALUE"""),1.0)</f>
        <v>1</v>
      </c>
      <c r="I1551" s="13" t="str">
        <f>IFERROR(__xludf.DUMMYFUNCTION("""COMPUTED_VALUE"""),"General Petite")</f>
        <v>General Petite</v>
      </c>
      <c r="J1551" s="13" t="str">
        <f>IFERROR(__xludf.DUMMYFUNCTION("""COMPUTED_VALUE"""),"Bottoms")</f>
        <v>Bottoms</v>
      </c>
      <c r="K1551" s="13" t="str">
        <f>IFERROR(__xludf.DUMMYFUNCTION("""COMPUTED_VALUE"""),"Skirts")</f>
        <v>Skirts</v>
      </c>
      <c r="L1551" s="13"/>
    </row>
    <row r="1552">
      <c r="A1552" s="13">
        <f>IFERROR(__xludf.DUMMYFUNCTION("""COMPUTED_VALUE"""),1550.0)</f>
        <v>1550</v>
      </c>
      <c r="B1552" s="13">
        <f>IFERROR(__xludf.DUMMYFUNCTION("""COMPUTED_VALUE"""),850.0)</f>
        <v>850</v>
      </c>
      <c r="C1552" s="13">
        <f>IFERROR(__xludf.DUMMYFUNCTION("""COMPUTED_VALUE"""),64.0)</f>
        <v>64</v>
      </c>
      <c r="D1552" s="12" t="str">
        <f>IFERROR(__xludf.DUMMYFUNCTION("""COMPUTED_VALUE"""),"Just as cute as expected")</f>
        <v>Just as cute as expected</v>
      </c>
      <c r="E1552" s="12" t="str">
        <f>IFERROR(__xludf.DUMMYFUNCTION("""COMPUTED_VALUE"""),"This shirt is exactly what i expected! it is just as cute as on the website and the fit was great! it's the perfect shirt for summer, loose fitting but in a flattering way. the design makes it very versatile since it can be matched with so many colors!
i"&amp;" highly recommend it!")</f>
        <v>This shirt is exactly what i expected! it is just as cute as on the website and the fit was great! it's the perfect shirt for summer, loose fitting but in a flattering way. the design makes it very versatile since it can be matched with so many colors!
i highly recommend it!</v>
      </c>
      <c r="F1552" s="13">
        <f>IFERROR(__xludf.DUMMYFUNCTION("""COMPUTED_VALUE"""),5.0)</f>
        <v>5</v>
      </c>
      <c r="G1552" s="13">
        <f>IFERROR(__xludf.DUMMYFUNCTION("""COMPUTED_VALUE"""),1.0)</f>
        <v>1</v>
      </c>
      <c r="H1552" s="13">
        <f>IFERROR(__xludf.DUMMYFUNCTION("""COMPUTED_VALUE"""),0.0)</f>
        <v>0</v>
      </c>
      <c r="I1552" s="13" t="str">
        <f>IFERROR(__xludf.DUMMYFUNCTION("""COMPUTED_VALUE"""),"General Petite")</f>
        <v>General Petite</v>
      </c>
      <c r="J1552" s="13" t="str">
        <f>IFERROR(__xludf.DUMMYFUNCTION("""COMPUTED_VALUE"""),"Tops")</f>
        <v>Tops</v>
      </c>
      <c r="K1552" s="13" t="str">
        <f>IFERROR(__xludf.DUMMYFUNCTION("""COMPUTED_VALUE"""),"Blouses")</f>
        <v>Blouses</v>
      </c>
      <c r="L1552" s="13"/>
    </row>
    <row r="1553">
      <c r="A1553" s="13">
        <f>IFERROR(__xludf.DUMMYFUNCTION("""COMPUTED_VALUE"""),1551.0)</f>
        <v>1551</v>
      </c>
      <c r="B1553" s="13">
        <f>IFERROR(__xludf.DUMMYFUNCTION("""COMPUTED_VALUE"""),1080.0)</f>
        <v>1080</v>
      </c>
      <c r="C1553" s="13">
        <f>IFERROR(__xludf.DUMMYFUNCTION("""COMPUTED_VALUE"""),30.0)</f>
        <v>30</v>
      </c>
      <c r="D1553" s="12" t="str">
        <f>IFERROR(__xludf.DUMMYFUNCTION("""COMPUTED_VALUE"""),"Nice fall dress but needs the right body type")</f>
        <v>Nice fall dress but needs the right body type</v>
      </c>
      <c r="E1553" s="12" t="str">
        <f>IFERROR(__xludf.DUMMYFUNCTION("""COMPUTED_VALUE"""),"The colors of this dress are beautiful and i really wanted to love it but it wasn't cut for my body shape. i think you either need to be curvy to fill out the chest or straight up&amp;down to have it lay flat (as in the model). ordered size 6: 34b, 150 5' 9"""&amp;", tall/slim build. i also think the hi/lo hem of the dress isn't well indicated in the pictures; i'm not a fan of the style and was hoping it would be minimal however the hem is definitely asymmetric.")</f>
        <v>The colors of this dress are beautiful and i really wanted to love it but it wasn't cut for my body shape. i think you either need to be curvy to fill out the chest or straight up&amp;down to have it lay flat (as in the model). ordered size 6: 34b, 150 5' 9", tall/slim build. i also think the hi/lo hem of the dress isn't well indicated in the pictures; i'm not a fan of the style and was hoping it would be minimal however the hem is definitely asymmetric.</v>
      </c>
      <c r="F1553" s="13">
        <f>IFERROR(__xludf.DUMMYFUNCTION("""COMPUTED_VALUE"""),3.0)</f>
        <v>3</v>
      </c>
      <c r="G1553" s="13">
        <f>IFERROR(__xludf.DUMMYFUNCTION("""COMPUTED_VALUE"""),1.0)</f>
        <v>1</v>
      </c>
      <c r="H1553" s="13">
        <f>IFERROR(__xludf.DUMMYFUNCTION("""COMPUTED_VALUE"""),2.0)</f>
        <v>2</v>
      </c>
      <c r="I1553" s="13" t="str">
        <f>IFERROR(__xludf.DUMMYFUNCTION("""COMPUTED_VALUE"""),"General")</f>
        <v>General</v>
      </c>
      <c r="J1553" s="13" t="str">
        <f>IFERROR(__xludf.DUMMYFUNCTION("""COMPUTED_VALUE"""),"Dresses")</f>
        <v>Dresses</v>
      </c>
      <c r="K1553" s="13" t="str">
        <f>IFERROR(__xludf.DUMMYFUNCTION("""COMPUTED_VALUE"""),"Dresses")</f>
        <v>Dresses</v>
      </c>
      <c r="L1553" s="13"/>
    </row>
    <row r="1554">
      <c r="A1554" s="13">
        <f>IFERROR(__xludf.DUMMYFUNCTION("""COMPUTED_VALUE"""),1552.0)</f>
        <v>1552</v>
      </c>
      <c r="B1554" s="13">
        <f>IFERROR(__xludf.DUMMYFUNCTION("""COMPUTED_VALUE"""),947.0)</f>
        <v>947</v>
      </c>
      <c r="C1554" s="13">
        <f>IFERROR(__xludf.DUMMYFUNCTION("""COMPUTED_VALUE"""),47.0)</f>
        <v>47</v>
      </c>
      <c r="D1554" s="12" t="str">
        <f>IFERROR(__xludf.DUMMYFUNCTION("""COMPUTED_VALUE"""),"So flipping soft and pretty!")</f>
        <v>So flipping soft and pretty!</v>
      </c>
      <c r="E1554" s="12" t="str">
        <f>IFERROR(__xludf.DUMMYFUNCTION("""COMPUTED_VALUE"""),"This is really cute - it has a boxy look and bell-like sleeves. the knit is chunky and so very soft. i didn't want to take it off. i purchased an xs in black. it's gorgeous. my beige bra shows through so i will need to wear black or a camp underneath. it "&amp;"feels really heavy - in a good way - and it feels like it will be really warm. the black has a velvety look to it. i'm smitten. i should also mention that it did feel cropped to me - i know i read other reviews that said it wasn't cropped. i fee")</f>
        <v>This is really cute - it has a boxy look and bell-like sleeves. the knit is chunky and so very soft. i didn't want to take it off. i purchased an xs in black. it's gorgeous. my beige bra shows through so i will need to wear black or a camp underneath. it feels really heavy - in a good way - and it feels like it will be really warm. the black has a velvety look to it. i'm smitten. i should also mention that it did feel cropped to me - i know i read other reviews that said it wasn't cropped. i fee</v>
      </c>
      <c r="F1554" s="13">
        <f>IFERROR(__xludf.DUMMYFUNCTION("""COMPUTED_VALUE"""),4.0)</f>
        <v>4</v>
      </c>
      <c r="G1554" s="13">
        <f>IFERROR(__xludf.DUMMYFUNCTION("""COMPUTED_VALUE"""),1.0)</f>
        <v>1</v>
      </c>
      <c r="H1554" s="13">
        <f>IFERROR(__xludf.DUMMYFUNCTION("""COMPUTED_VALUE"""),1.0)</f>
        <v>1</v>
      </c>
      <c r="I1554" s="13" t="str">
        <f>IFERROR(__xludf.DUMMYFUNCTION("""COMPUTED_VALUE"""),"General")</f>
        <v>General</v>
      </c>
      <c r="J1554" s="13" t="str">
        <f>IFERROR(__xludf.DUMMYFUNCTION("""COMPUTED_VALUE"""),"Tops")</f>
        <v>Tops</v>
      </c>
      <c r="K1554" s="13" t="str">
        <f>IFERROR(__xludf.DUMMYFUNCTION("""COMPUTED_VALUE"""),"Sweaters")</f>
        <v>Sweaters</v>
      </c>
      <c r="L1554" s="13"/>
    </row>
    <row r="1555">
      <c r="A1555" s="13">
        <f>IFERROR(__xludf.DUMMYFUNCTION("""COMPUTED_VALUE"""),1553.0)</f>
        <v>1553</v>
      </c>
      <c r="B1555" s="13">
        <f>IFERROR(__xludf.DUMMYFUNCTION("""COMPUTED_VALUE"""),947.0)</f>
        <v>947</v>
      </c>
      <c r="C1555" s="13">
        <f>IFERROR(__xludf.DUMMYFUNCTION("""COMPUTED_VALUE"""),45.0)</f>
        <v>45</v>
      </c>
      <c r="D1555" s="12" t="str">
        <f>IFERROR(__xludf.DUMMYFUNCTION("""COMPUTED_VALUE"""),"It's a bell")</f>
        <v>It's a bell</v>
      </c>
      <c r="E1555" s="12" t="str">
        <f>IFERROR(__xludf.DUMMYFUNCTION("""COMPUTED_VALUE"""),"Lovely knit and so soft, but the bottom curls up underneath, similar to the bell sleeves. runs oversize too, got xs and it's too bulky and unflattering since the bottom doesn't lay flat. returned!")</f>
        <v>Lovely knit and so soft, but the bottom curls up underneath, similar to the bell sleeves. runs oversize too, got xs and it's too bulky and unflattering since the bottom doesn't lay flat. returned!</v>
      </c>
      <c r="F1555" s="13">
        <f>IFERROR(__xludf.DUMMYFUNCTION("""COMPUTED_VALUE"""),3.0)</f>
        <v>3</v>
      </c>
      <c r="G1555" s="13">
        <f>IFERROR(__xludf.DUMMYFUNCTION("""COMPUTED_VALUE"""),0.0)</f>
        <v>0</v>
      </c>
      <c r="H1555" s="13">
        <f>IFERROR(__xludf.DUMMYFUNCTION("""COMPUTED_VALUE"""),1.0)</f>
        <v>1</v>
      </c>
      <c r="I1555" s="13" t="str">
        <f>IFERROR(__xludf.DUMMYFUNCTION("""COMPUTED_VALUE"""),"General")</f>
        <v>General</v>
      </c>
      <c r="J1555" s="13" t="str">
        <f>IFERROR(__xludf.DUMMYFUNCTION("""COMPUTED_VALUE"""),"Tops")</f>
        <v>Tops</v>
      </c>
      <c r="K1555" s="13" t="str">
        <f>IFERROR(__xludf.DUMMYFUNCTION("""COMPUTED_VALUE"""),"Sweaters")</f>
        <v>Sweaters</v>
      </c>
      <c r="L1555" s="13"/>
    </row>
    <row r="1556">
      <c r="A1556" s="13">
        <f>IFERROR(__xludf.DUMMYFUNCTION("""COMPUTED_VALUE"""),1554.0)</f>
        <v>1554</v>
      </c>
      <c r="B1556" s="13">
        <f>IFERROR(__xludf.DUMMYFUNCTION("""COMPUTED_VALUE"""),850.0)</f>
        <v>850</v>
      </c>
      <c r="C1556" s="13">
        <f>IFERROR(__xludf.DUMMYFUNCTION("""COMPUTED_VALUE"""),35.0)</f>
        <v>35</v>
      </c>
      <c r="D1556" s="12" t="str">
        <f>IFERROR(__xludf.DUMMYFUNCTION("""COMPUTED_VALUE"""),"So cute and unique!")</f>
        <v>So cute and unique!</v>
      </c>
      <c r="E1556" s="12" t="str">
        <f>IFERROR(__xludf.DUMMYFUNCTION("""COMPUTED_VALUE"""),"I saw the black in store and had to try on. it is very, very cute. i would say it fits a bit small. i tried my usual medium and while it fit, it was a little short. id take you could take your regular size or size up. i would not size down in this one. ad"&amp;"ding to my wish list and hoping it sticks around til sale time!")</f>
        <v>I saw the black in store and had to try on. it is very, very cute. i would say it fits a bit small. i tried my usual medium and while it fit, it was a little short. id take you could take your regular size or size up. i would not size down in this one. adding to my wish list and hoping it sticks around til sale time!</v>
      </c>
      <c r="F1556" s="13">
        <f>IFERROR(__xludf.DUMMYFUNCTION("""COMPUTED_VALUE"""),5.0)</f>
        <v>5</v>
      </c>
      <c r="G1556" s="13">
        <f>IFERROR(__xludf.DUMMYFUNCTION("""COMPUTED_VALUE"""),1.0)</f>
        <v>1</v>
      </c>
      <c r="H1556" s="13">
        <f>IFERROR(__xludf.DUMMYFUNCTION("""COMPUTED_VALUE"""),2.0)</f>
        <v>2</v>
      </c>
      <c r="I1556" s="13" t="str">
        <f>IFERROR(__xludf.DUMMYFUNCTION("""COMPUTED_VALUE"""),"General Petite")</f>
        <v>General Petite</v>
      </c>
      <c r="J1556" s="13" t="str">
        <f>IFERROR(__xludf.DUMMYFUNCTION("""COMPUTED_VALUE"""),"Tops")</f>
        <v>Tops</v>
      </c>
      <c r="K1556" s="13" t="str">
        <f>IFERROR(__xludf.DUMMYFUNCTION("""COMPUTED_VALUE"""),"Blouses")</f>
        <v>Blouses</v>
      </c>
      <c r="L1556" s="13"/>
    </row>
    <row r="1557">
      <c r="A1557" s="13">
        <f>IFERROR(__xludf.DUMMYFUNCTION("""COMPUTED_VALUE"""),1555.0)</f>
        <v>1555</v>
      </c>
      <c r="B1557" s="13">
        <f>IFERROR(__xludf.DUMMYFUNCTION("""COMPUTED_VALUE"""),1022.0)</f>
        <v>1022</v>
      </c>
      <c r="C1557" s="13">
        <f>IFERROR(__xludf.DUMMYFUNCTION("""COMPUTED_VALUE"""),26.0)</f>
        <v>26</v>
      </c>
      <c r="D1557" s="12" t="str">
        <f>IFERROR(__xludf.DUMMYFUNCTION("""COMPUTED_VALUE"""),"Dream pants do come true")</f>
        <v>Dream pants do come true</v>
      </c>
      <c r="E1557" s="12" t="str">
        <f>IFERROR(__xludf.DUMMYFUNCTION("""COMPUTED_VALUE"""),"Let it be known that i hate shopping for jeans. i recently had my go-to skinny jeans rip by my back pocket and new i needed to get something new &amp; better stat. i have a pair of black ag sateens that i got a few years ago, and i decided to try out this pai"&amp;"r. i got them in the mail yesterday, and i never want to part with them! they are perfection. they hit perfectly on my waist; they're incredibly comfortable and basically make you feel like you're wearing the jean equivalent to yoga pants. they")</f>
        <v>Let it be known that i hate shopping for jeans. i recently had my go-to skinny jeans rip by my back pocket and new i needed to get something new &amp; better stat. i have a pair of black ag sateens that i got a few years ago, and i decided to try out this pair. i got them in the mail yesterday, and i never want to part with them! they are perfection. they hit perfectly on my waist; they're incredibly comfortable and basically make you feel like you're wearing the jean equivalent to yoga pants. they</v>
      </c>
      <c r="F1557" s="13">
        <f>IFERROR(__xludf.DUMMYFUNCTION("""COMPUTED_VALUE"""),5.0)</f>
        <v>5</v>
      </c>
      <c r="G1557" s="13">
        <f>IFERROR(__xludf.DUMMYFUNCTION("""COMPUTED_VALUE"""),1.0)</f>
        <v>1</v>
      </c>
      <c r="H1557" s="13">
        <f>IFERROR(__xludf.DUMMYFUNCTION("""COMPUTED_VALUE"""),4.0)</f>
        <v>4</v>
      </c>
      <c r="I1557" s="13" t="str">
        <f>IFERROR(__xludf.DUMMYFUNCTION("""COMPUTED_VALUE"""),"General")</f>
        <v>General</v>
      </c>
      <c r="J1557" s="13" t="str">
        <f>IFERROR(__xludf.DUMMYFUNCTION("""COMPUTED_VALUE"""),"Bottoms")</f>
        <v>Bottoms</v>
      </c>
      <c r="K1557" s="13" t="str">
        <f>IFERROR(__xludf.DUMMYFUNCTION("""COMPUTED_VALUE"""),"Jeans")</f>
        <v>Jeans</v>
      </c>
      <c r="L1557" s="13"/>
    </row>
    <row r="1558">
      <c r="A1558" s="13">
        <f>IFERROR(__xludf.DUMMYFUNCTION("""COMPUTED_VALUE"""),1556.0)</f>
        <v>1556</v>
      </c>
      <c r="B1558" s="13">
        <f>IFERROR(__xludf.DUMMYFUNCTION("""COMPUTED_VALUE"""),862.0)</f>
        <v>862</v>
      </c>
      <c r="C1558" s="13">
        <f>IFERROR(__xludf.DUMMYFUNCTION("""COMPUTED_VALUE"""),35.0)</f>
        <v>35</v>
      </c>
      <c r="D1558" s="12" t="str">
        <f>IFERROR(__xludf.DUMMYFUNCTION("""COMPUTED_VALUE"""),"Nice")</f>
        <v>Nice</v>
      </c>
      <c r="E1558" s="12" t="str">
        <f>IFERROR(__xludf.DUMMYFUNCTION("""COMPUTED_VALUE"""),"Was scared at first to order this product, when i tried it on i was amazed on how good it looks. fits just like the model picture, and the material is awesome.")</f>
        <v>Was scared at first to order this product, when i tried it on i was amazed on how good it looks. fits just like the model picture, and the material is awesome.</v>
      </c>
      <c r="F1558" s="13">
        <f>IFERROR(__xludf.DUMMYFUNCTION("""COMPUTED_VALUE"""),5.0)</f>
        <v>5</v>
      </c>
      <c r="G1558" s="13">
        <f>IFERROR(__xludf.DUMMYFUNCTION("""COMPUTED_VALUE"""),1.0)</f>
        <v>1</v>
      </c>
      <c r="H1558" s="13">
        <f>IFERROR(__xludf.DUMMYFUNCTION("""COMPUTED_VALUE"""),0.0)</f>
        <v>0</v>
      </c>
      <c r="I1558" s="13" t="str">
        <f>IFERROR(__xludf.DUMMYFUNCTION("""COMPUTED_VALUE"""),"General")</f>
        <v>General</v>
      </c>
      <c r="J1558" s="13" t="str">
        <f>IFERROR(__xludf.DUMMYFUNCTION("""COMPUTED_VALUE"""),"Tops")</f>
        <v>Tops</v>
      </c>
      <c r="K1558" s="13" t="str">
        <f>IFERROR(__xludf.DUMMYFUNCTION("""COMPUTED_VALUE"""),"Knits")</f>
        <v>Knits</v>
      </c>
      <c r="L1558" s="13"/>
    </row>
    <row r="1559">
      <c r="A1559" s="13">
        <f>IFERROR(__xludf.DUMMYFUNCTION("""COMPUTED_VALUE"""),1557.0)</f>
        <v>1557</v>
      </c>
      <c r="B1559" s="13">
        <f>IFERROR(__xludf.DUMMYFUNCTION("""COMPUTED_VALUE"""),1078.0)</f>
        <v>1078</v>
      </c>
      <c r="C1559" s="13">
        <f>IFERROR(__xludf.DUMMYFUNCTION("""COMPUTED_VALUE"""),66.0)</f>
        <v>66</v>
      </c>
      <c r="D1559" s="12" t="str">
        <f>IFERROR(__xludf.DUMMYFUNCTION("""COMPUTED_VALUE"""),"Love it!")</f>
        <v>Love it!</v>
      </c>
      <c r="E1559" s="12" t="str">
        <f>IFERROR(__xludf.DUMMYFUNCTION("""COMPUTED_VALUE"""),"Great dress! wish it came it more colors, would like to buy another one. i am 5'5"",125, size small is perfect. unlike one of the previous reviewers, i do not think it is too clingy. maybe she needed to size up.very versital, cute with a jean jacket, or l"&amp;"ong lightweight scarf, booties, or sandals! .")</f>
        <v>Great dress! wish it came it more colors, would like to buy another one. i am 5'5",125, size small is perfect. unlike one of the previous reviewers, i do not think it is too clingy. maybe she needed to size up.very versital, cute with a jean jacket, or long lightweight scarf, booties, or sandals! .</v>
      </c>
      <c r="F1559" s="13">
        <f>IFERROR(__xludf.DUMMYFUNCTION("""COMPUTED_VALUE"""),5.0)</f>
        <v>5</v>
      </c>
      <c r="G1559" s="13">
        <f>IFERROR(__xludf.DUMMYFUNCTION("""COMPUTED_VALUE"""),1.0)</f>
        <v>1</v>
      </c>
      <c r="H1559" s="13">
        <f>IFERROR(__xludf.DUMMYFUNCTION("""COMPUTED_VALUE"""),2.0)</f>
        <v>2</v>
      </c>
      <c r="I1559" s="13" t="str">
        <f>IFERROR(__xludf.DUMMYFUNCTION("""COMPUTED_VALUE"""),"General")</f>
        <v>General</v>
      </c>
      <c r="J1559" s="13" t="str">
        <f>IFERROR(__xludf.DUMMYFUNCTION("""COMPUTED_VALUE"""),"Dresses")</f>
        <v>Dresses</v>
      </c>
      <c r="K1559" s="13" t="str">
        <f>IFERROR(__xludf.DUMMYFUNCTION("""COMPUTED_VALUE"""),"Dresses")</f>
        <v>Dresses</v>
      </c>
      <c r="L1559" s="13"/>
    </row>
    <row r="1560">
      <c r="A1560" s="13">
        <f>IFERROR(__xludf.DUMMYFUNCTION("""COMPUTED_VALUE"""),1558.0)</f>
        <v>1558</v>
      </c>
      <c r="B1560" s="13">
        <f>IFERROR(__xludf.DUMMYFUNCTION("""COMPUTED_VALUE"""),1078.0)</f>
        <v>1078</v>
      </c>
      <c r="C1560" s="13">
        <f>IFERROR(__xludf.DUMMYFUNCTION("""COMPUTED_VALUE"""),62.0)</f>
        <v>62</v>
      </c>
      <c r="D1560" s="12"/>
      <c r="E1560" s="12" t="str">
        <f>IFERROR(__xludf.DUMMYFUNCTION("""COMPUTED_VALUE"""),"This dress is perfect for spring and early summer. it has some weight to it and so it drapes beautifully. it is very well made and the fabric is good quality. the color is a medium color gray; much prettier than in the picture. i wear a small in most reta"&amp;"iler dresses and this fit perfectly in a small. it hugs in all the right places and skims from the hips just like in the picture.. the length was just as it looked on the model. i am 5' 5"".")</f>
        <v>This dress is perfect for spring and early summer. it has some weight to it and so it drapes beautifully. it is very well made and the fabric is good quality. the color is a medium color gray; much prettier than in the picture. i wear a small in most retailer dresses and this fit perfectly in a small. it hugs in all the right places and skims from the hips just like in the picture.. the length was just as it looked on the model. i am 5' 5".</v>
      </c>
      <c r="F1560" s="13">
        <f>IFERROR(__xludf.DUMMYFUNCTION("""COMPUTED_VALUE"""),5.0)</f>
        <v>5</v>
      </c>
      <c r="G1560" s="13">
        <f>IFERROR(__xludf.DUMMYFUNCTION("""COMPUTED_VALUE"""),1.0)</f>
        <v>1</v>
      </c>
      <c r="H1560" s="13">
        <f>IFERROR(__xludf.DUMMYFUNCTION("""COMPUTED_VALUE"""),7.0)</f>
        <v>7</v>
      </c>
      <c r="I1560" s="13" t="str">
        <f>IFERROR(__xludf.DUMMYFUNCTION("""COMPUTED_VALUE"""),"General")</f>
        <v>General</v>
      </c>
      <c r="J1560" s="13" t="str">
        <f>IFERROR(__xludf.DUMMYFUNCTION("""COMPUTED_VALUE"""),"Dresses")</f>
        <v>Dresses</v>
      </c>
      <c r="K1560" s="13" t="str">
        <f>IFERROR(__xludf.DUMMYFUNCTION("""COMPUTED_VALUE"""),"Dresses")</f>
        <v>Dresses</v>
      </c>
      <c r="L1560" s="13"/>
    </row>
    <row r="1561">
      <c r="A1561" s="13">
        <f>IFERROR(__xludf.DUMMYFUNCTION("""COMPUTED_VALUE"""),1559.0)</f>
        <v>1559</v>
      </c>
      <c r="B1561" s="13">
        <f>IFERROR(__xludf.DUMMYFUNCTION("""COMPUTED_VALUE"""),1077.0)</f>
        <v>1077</v>
      </c>
      <c r="C1561" s="13">
        <f>IFERROR(__xludf.DUMMYFUNCTION("""COMPUTED_VALUE"""),29.0)</f>
        <v>29</v>
      </c>
      <c r="D1561" s="12" t="str">
        <f>IFERROR(__xludf.DUMMYFUNCTION("""COMPUTED_VALUE"""),"Cute &amp; unique")</f>
        <v>Cute &amp; unique</v>
      </c>
      <c r="E1561" s="12" t="str">
        <f>IFERROR(__xludf.DUMMYFUNCTION("""COMPUTED_VALUE"""),"This is such a unique and fun dress. i'm so glad i found it and it fits perfectly!")</f>
        <v>This is such a unique and fun dress. i'm so glad i found it and it fits perfectly!</v>
      </c>
      <c r="F1561" s="13">
        <f>IFERROR(__xludf.DUMMYFUNCTION("""COMPUTED_VALUE"""),5.0)</f>
        <v>5</v>
      </c>
      <c r="G1561" s="13">
        <f>IFERROR(__xludf.DUMMYFUNCTION("""COMPUTED_VALUE"""),1.0)</f>
        <v>1</v>
      </c>
      <c r="H1561" s="13">
        <f>IFERROR(__xludf.DUMMYFUNCTION("""COMPUTED_VALUE"""),0.0)</f>
        <v>0</v>
      </c>
      <c r="I1561" s="13" t="str">
        <f>IFERROR(__xludf.DUMMYFUNCTION("""COMPUTED_VALUE"""),"General Petite")</f>
        <v>General Petite</v>
      </c>
      <c r="J1561" s="13" t="str">
        <f>IFERROR(__xludf.DUMMYFUNCTION("""COMPUTED_VALUE"""),"Dresses")</f>
        <v>Dresses</v>
      </c>
      <c r="K1561" s="13" t="str">
        <f>IFERROR(__xludf.DUMMYFUNCTION("""COMPUTED_VALUE"""),"Dresses")</f>
        <v>Dresses</v>
      </c>
      <c r="L1561" s="13"/>
    </row>
    <row r="1562">
      <c r="A1562" s="13">
        <f>IFERROR(__xludf.DUMMYFUNCTION("""COMPUTED_VALUE"""),1560.0)</f>
        <v>1560</v>
      </c>
      <c r="B1562" s="13">
        <f>IFERROR(__xludf.DUMMYFUNCTION("""COMPUTED_VALUE"""),1078.0)</f>
        <v>1078</v>
      </c>
      <c r="C1562" s="13">
        <f>IFERROR(__xludf.DUMMYFUNCTION("""COMPUTED_VALUE"""),33.0)</f>
        <v>33</v>
      </c>
      <c r="D1562" s="12" t="str">
        <f>IFERROR(__xludf.DUMMYFUNCTION("""COMPUTED_VALUE"""),"Lovely gem!!")</f>
        <v>Lovely gem!!</v>
      </c>
      <c r="E1562" s="12" t="str">
        <f>IFERROR(__xludf.DUMMYFUNCTION("""COMPUTED_VALUE"""),"I've passed this dress by a number of times online, but ordered it on a whim on the mothers day promo. based on the reviews, i ordered my regular size, medium. it fit perfectly. i do think the cut is on the trim side, but it isn't tight or fitted. i proba"&amp;"bly couldn't eat a big meal in this though as it would probably show in this dress. the fabric is buttery soft! the button placket down the front is very clean and lays flat. there are two side pleats that are a different fabric and are ever so")</f>
        <v>I've passed this dress by a number of times online, but ordered it on a whim on the mothers day promo. based on the reviews, i ordered my regular size, medium. it fit perfectly. i do think the cut is on the trim side, but it isn't tight or fitted. i probably couldn't eat a big meal in this though as it would probably show in this dress. the fabric is buttery soft! the button placket down the front is very clean and lays flat. there are two side pleats that are a different fabric and are ever so</v>
      </c>
      <c r="F1562" s="13">
        <f>IFERROR(__xludf.DUMMYFUNCTION("""COMPUTED_VALUE"""),5.0)</f>
        <v>5</v>
      </c>
      <c r="G1562" s="13">
        <f>IFERROR(__xludf.DUMMYFUNCTION("""COMPUTED_VALUE"""),1.0)</f>
        <v>1</v>
      </c>
      <c r="H1562" s="13">
        <f>IFERROR(__xludf.DUMMYFUNCTION("""COMPUTED_VALUE"""),2.0)</f>
        <v>2</v>
      </c>
      <c r="I1562" s="13" t="str">
        <f>IFERROR(__xludf.DUMMYFUNCTION("""COMPUTED_VALUE"""),"General")</f>
        <v>General</v>
      </c>
      <c r="J1562" s="13" t="str">
        <f>IFERROR(__xludf.DUMMYFUNCTION("""COMPUTED_VALUE"""),"Dresses")</f>
        <v>Dresses</v>
      </c>
      <c r="K1562" s="13" t="str">
        <f>IFERROR(__xludf.DUMMYFUNCTION("""COMPUTED_VALUE"""),"Dresses")</f>
        <v>Dresses</v>
      </c>
      <c r="L1562" s="13"/>
    </row>
    <row r="1563">
      <c r="A1563" s="13">
        <f>IFERROR(__xludf.DUMMYFUNCTION("""COMPUTED_VALUE"""),1561.0)</f>
        <v>1561</v>
      </c>
      <c r="B1563" s="13">
        <f>IFERROR(__xludf.DUMMYFUNCTION("""COMPUTED_VALUE"""),985.0)</f>
        <v>985</v>
      </c>
      <c r="C1563" s="13">
        <f>IFERROR(__xludf.DUMMYFUNCTION("""COMPUTED_VALUE"""),53.0)</f>
        <v>53</v>
      </c>
      <c r="D1563" s="12" t="str">
        <f>IFERROR(__xludf.DUMMYFUNCTION("""COMPUTED_VALUE"""),"Great twist on a cargo jacket")</f>
        <v>Great twist on a cargo jacket</v>
      </c>
      <c r="E1563" s="12" t="str">
        <f>IFERROR(__xludf.DUMMYFUNCTION("""COMPUTED_VALUE"""),"What a unique twist on the traditional cargo jacket! the swing styling on this jacket is so cute---not too full-, you still get a nice silhouette from the front, with the swing in the back this is a fresh take on this staple. it will be a ""go-to"" piece "&amp;"in my closet!! the quality of the material and tailoring on the jacket is wonderful!!! as other reviewers have commented, it does run large. i am exchanging it for a size down. i can't wait to get it in and wear it!")</f>
        <v>What a unique twist on the traditional cargo jacket! the swing styling on this jacket is so cute---not too full-, you still get a nice silhouette from the front, with the swing in the back this is a fresh take on this staple. it will be a "go-to" piece in my closet!! the quality of the material and tailoring on the jacket is wonderful!!! as other reviewers have commented, it does run large. i am exchanging it for a size down. i can't wait to get it in and wear it!</v>
      </c>
      <c r="F1563" s="13">
        <f>IFERROR(__xludf.DUMMYFUNCTION("""COMPUTED_VALUE"""),5.0)</f>
        <v>5</v>
      </c>
      <c r="G1563" s="13">
        <f>IFERROR(__xludf.DUMMYFUNCTION("""COMPUTED_VALUE"""),1.0)</f>
        <v>1</v>
      </c>
      <c r="H1563" s="13">
        <f>IFERROR(__xludf.DUMMYFUNCTION("""COMPUTED_VALUE"""),0.0)</f>
        <v>0</v>
      </c>
      <c r="I1563" s="13" t="str">
        <f>IFERROR(__xludf.DUMMYFUNCTION("""COMPUTED_VALUE"""),"General")</f>
        <v>General</v>
      </c>
      <c r="J1563" s="13" t="str">
        <f>IFERROR(__xludf.DUMMYFUNCTION("""COMPUTED_VALUE"""),"Jackets")</f>
        <v>Jackets</v>
      </c>
      <c r="K1563" s="13" t="str">
        <f>IFERROR(__xludf.DUMMYFUNCTION("""COMPUTED_VALUE"""),"Jackets")</f>
        <v>Jackets</v>
      </c>
      <c r="L1563" s="13"/>
    </row>
    <row r="1564">
      <c r="A1564" s="13">
        <f>IFERROR(__xludf.DUMMYFUNCTION("""COMPUTED_VALUE"""),1562.0)</f>
        <v>1562</v>
      </c>
      <c r="B1564" s="13">
        <f>IFERROR(__xludf.DUMMYFUNCTION("""COMPUTED_VALUE"""),1201.0)</f>
        <v>1201</v>
      </c>
      <c r="C1564" s="13">
        <f>IFERROR(__xludf.DUMMYFUNCTION("""COMPUTED_VALUE"""),38.0)</f>
        <v>38</v>
      </c>
      <c r="D1564" s="12"/>
      <c r="E1564" s="12"/>
      <c r="F1564" s="13">
        <f>IFERROR(__xludf.DUMMYFUNCTION("""COMPUTED_VALUE"""),3.0)</f>
        <v>3</v>
      </c>
      <c r="G1564" s="13">
        <f>IFERROR(__xludf.DUMMYFUNCTION("""COMPUTED_VALUE"""),1.0)</f>
        <v>1</v>
      </c>
      <c r="H1564" s="13">
        <f>IFERROR(__xludf.DUMMYFUNCTION("""COMPUTED_VALUE"""),0.0)</f>
        <v>0</v>
      </c>
      <c r="I1564" s="13" t="str">
        <f>IFERROR(__xludf.DUMMYFUNCTION("""COMPUTED_VALUE"""),"General")</f>
        <v>General</v>
      </c>
      <c r="J1564" s="13" t="str">
        <f>IFERROR(__xludf.DUMMYFUNCTION("""COMPUTED_VALUE"""),"Dresses")</f>
        <v>Dresses</v>
      </c>
      <c r="K1564" s="13" t="str">
        <f>IFERROR(__xludf.DUMMYFUNCTION("""COMPUTED_VALUE"""),"Dresses")</f>
        <v>Dresses</v>
      </c>
      <c r="L1564" s="13"/>
    </row>
    <row r="1565">
      <c r="A1565" s="13">
        <f>IFERROR(__xludf.DUMMYFUNCTION("""COMPUTED_VALUE"""),1563.0)</f>
        <v>1563</v>
      </c>
      <c r="B1565" s="13">
        <f>IFERROR(__xludf.DUMMYFUNCTION("""COMPUTED_VALUE"""),996.0)</f>
        <v>996</v>
      </c>
      <c r="C1565" s="13">
        <f>IFERROR(__xludf.DUMMYFUNCTION("""COMPUTED_VALUE"""),39.0)</f>
        <v>39</v>
      </c>
      <c r="D1565" s="12" t="str">
        <f>IFERROR(__xludf.DUMMYFUNCTION("""COMPUTED_VALUE"""),"Dear eva")</f>
        <v>Dear eva</v>
      </c>
      <c r="E1565" s="12" t="str">
        <f>IFERROR(__xludf.DUMMYFUNCTION("""COMPUTED_VALUE"""),"You make classy stuff. this skirt is a nice take on a tweed skirt.
colors: can't tell from the picture, but there is red and pink thread as part of the tweed, very fun and happy, yet appropriate colors for fall and winter. the cut is very flattering, the "&amp;"scallop part is interesting though, it is sown at one part of the skirt, in the middle, not sure why. i ordered the 0p, and that fit me like a glove. (26.5 in waist, 35-36 in hips, 115 lbs).
length on the petite was above the knee, like show")</f>
        <v>You make classy stuff. this skirt is a nice take on a tweed skirt.
colors: can't tell from the picture, but there is red and pink thread as part of the tweed, very fun and happy, yet appropriate colors for fall and winter. the cut is very flattering, the scallop part is interesting though, it is sown at one part of the skirt, in the middle, not sure why. i ordered the 0p, and that fit me like a glove. (26.5 in waist, 35-36 in hips, 115 lbs).
length on the petite was above the knee, like show</v>
      </c>
      <c r="F1565" s="13">
        <f>IFERROR(__xludf.DUMMYFUNCTION("""COMPUTED_VALUE"""),5.0)</f>
        <v>5</v>
      </c>
      <c r="G1565" s="13">
        <f>IFERROR(__xludf.DUMMYFUNCTION("""COMPUTED_VALUE"""),1.0)</f>
        <v>1</v>
      </c>
      <c r="H1565" s="13">
        <f>IFERROR(__xludf.DUMMYFUNCTION("""COMPUTED_VALUE"""),1.0)</f>
        <v>1</v>
      </c>
      <c r="I1565" s="13" t="str">
        <f>IFERROR(__xludf.DUMMYFUNCTION("""COMPUTED_VALUE"""),"General Petite")</f>
        <v>General Petite</v>
      </c>
      <c r="J1565" s="13" t="str">
        <f>IFERROR(__xludf.DUMMYFUNCTION("""COMPUTED_VALUE"""),"Bottoms")</f>
        <v>Bottoms</v>
      </c>
      <c r="K1565" s="13" t="str">
        <f>IFERROR(__xludf.DUMMYFUNCTION("""COMPUTED_VALUE"""),"Skirts")</f>
        <v>Skirts</v>
      </c>
      <c r="L1565" s="13"/>
    </row>
    <row r="1566">
      <c r="A1566" s="13">
        <f>IFERROR(__xludf.DUMMYFUNCTION("""COMPUTED_VALUE"""),1564.0)</f>
        <v>1564</v>
      </c>
      <c r="B1566" s="13">
        <f>IFERROR(__xludf.DUMMYFUNCTION("""COMPUTED_VALUE"""),864.0)</f>
        <v>864</v>
      </c>
      <c r="C1566" s="13">
        <f>IFERROR(__xludf.DUMMYFUNCTION("""COMPUTED_VALUE"""),48.0)</f>
        <v>48</v>
      </c>
      <c r="D1566" s="12" t="str">
        <f>IFERROR(__xludf.DUMMYFUNCTION("""COMPUTED_VALUE"""),"Cozy sweater in a boxy style")</f>
        <v>Cozy sweater in a boxy style</v>
      </c>
      <c r="E1566" s="12" t="str">
        <f>IFERROR(__xludf.DUMMYFUNCTION("""COMPUTED_VALUE"""),"This would be great on someone with a slim build. it's very true to size, it hits above the hips and runs pretty straight through the body for a boxy look. i loved the color and pointelle detail but on my thicker build it just sort of hung in a too-casual"&amp;" way. note that it is the kind of cotton that is likely to stretch with wear (and spring back with cleaning).")</f>
        <v>This would be great on someone with a slim build. it's very true to size, it hits above the hips and runs pretty straight through the body for a boxy look. i loved the color and pointelle detail but on my thicker build it just sort of hung in a too-casual way. note that it is the kind of cotton that is likely to stretch with wear (and spring back with cleaning).</v>
      </c>
      <c r="F1566" s="13">
        <f>IFERROR(__xludf.DUMMYFUNCTION("""COMPUTED_VALUE"""),3.0)</f>
        <v>3</v>
      </c>
      <c r="G1566" s="13">
        <f>IFERROR(__xludf.DUMMYFUNCTION("""COMPUTED_VALUE"""),1.0)</f>
        <v>1</v>
      </c>
      <c r="H1566" s="13">
        <f>IFERROR(__xludf.DUMMYFUNCTION("""COMPUTED_VALUE"""),6.0)</f>
        <v>6</v>
      </c>
      <c r="I1566" s="13" t="str">
        <f>IFERROR(__xludf.DUMMYFUNCTION("""COMPUTED_VALUE"""),"General")</f>
        <v>General</v>
      </c>
      <c r="J1566" s="13" t="str">
        <f>IFERROR(__xludf.DUMMYFUNCTION("""COMPUTED_VALUE"""),"Tops")</f>
        <v>Tops</v>
      </c>
      <c r="K1566" s="13" t="str">
        <f>IFERROR(__xludf.DUMMYFUNCTION("""COMPUTED_VALUE"""),"Knits")</f>
        <v>Knits</v>
      </c>
      <c r="L1566" s="13"/>
    </row>
    <row r="1567">
      <c r="A1567" s="13">
        <f>IFERROR(__xludf.DUMMYFUNCTION("""COMPUTED_VALUE"""),1565.0)</f>
        <v>1565</v>
      </c>
      <c r="B1567" s="13">
        <f>IFERROR(__xludf.DUMMYFUNCTION("""COMPUTED_VALUE"""),927.0)</f>
        <v>927</v>
      </c>
      <c r="C1567" s="13">
        <f>IFERROR(__xludf.DUMMYFUNCTION("""COMPUTED_VALUE"""),30.0)</f>
        <v>30</v>
      </c>
      <c r="D1567" s="12" t="str">
        <f>IFERROR(__xludf.DUMMYFUNCTION("""COMPUTED_VALUE"""),"Super cozy")</f>
        <v>Super cozy</v>
      </c>
      <c r="E1567" s="12" t="str">
        <f>IFERROR(__xludf.DUMMYFUNCTION("""COMPUTED_VALUE"""),"This is a steal at the sale price. medium is large on me and i'm generally a large at retailer. so soft.")</f>
        <v>This is a steal at the sale price. medium is large on me and i'm generally a large at retailer. so soft.</v>
      </c>
      <c r="F1567" s="13">
        <f>IFERROR(__xludf.DUMMYFUNCTION("""COMPUTED_VALUE"""),4.0)</f>
        <v>4</v>
      </c>
      <c r="G1567" s="13">
        <f>IFERROR(__xludf.DUMMYFUNCTION("""COMPUTED_VALUE"""),1.0)</f>
        <v>1</v>
      </c>
      <c r="H1567" s="13">
        <f>IFERROR(__xludf.DUMMYFUNCTION("""COMPUTED_VALUE"""),0.0)</f>
        <v>0</v>
      </c>
      <c r="I1567" s="13" t="str">
        <f>IFERROR(__xludf.DUMMYFUNCTION("""COMPUTED_VALUE"""),"General")</f>
        <v>General</v>
      </c>
      <c r="J1567" s="13" t="str">
        <f>IFERROR(__xludf.DUMMYFUNCTION("""COMPUTED_VALUE"""),"Tops")</f>
        <v>Tops</v>
      </c>
      <c r="K1567" s="13" t="str">
        <f>IFERROR(__xludf.DUMMYFUNCTION("""COMPUTED_VALUE"""),"Sweaters")</f>
        <v>Sweaters</v>
      </c>
      <c r="L1567" s="13"/>
    </row>
    <row r="1568">
      <c r="A1568" s="13">
        <f>IFERROR(__xludf.DUMMYFUNCTION("""COMPUTED_VALUE"""),1566.0)</f>
        <v>1566</v>
      </c>
      <c r="B1568" s="13">
        <f>IFERROR(__xludf.DUMMYFUNCTION("""COMPUTED_VALUE"""),1046.0)</f>
        <v>1046</v>
      </c>
      <c r="C1568" s="13">
        <f>IFERROR(__xludf.DUMMYFUNCTION("""COMPUTED_VALUE"""),49.0)</f>
        <v>49</v>
      </c>
      <c r="D1568" s="12" t="str">
        <f>IFERROR(__xludf.DUMMYFUNCTION("""COMPUTED_VALUE"""),"Attractive casual pants, nice texture and color")</f>
        <v>Attractive casual pants, nice texture and color</v>
      </c>
      <c r="E1568" s="12" t="str">
        <f>IFERROR(__xludf.DUMMYFUNCTION("""COMPUTED_VALUE"""),"I tried these on at the store and thought the color, texture and style was very nice, but i needed the petite length. so i came online but was disappointed to see that the style is sold out in petite! darn. the regular length hits me just above the ankle,"&amp;" so i suppose it is still do-able, but i hate to pay full price for something that doesn't fit quite right. maybe if it goes on sale i will consider it.")</f>
        <v>I tried these on at the store and thought the color, texture and style was very nice, but i needed the petite length. so i came online but was disappointed to see that the style is sold out in petite! darn. the regular length hits me just above the ankle, so i suppose it is still do-able, but i hate to pay full price for something that doesn't fit quite right. maybe if it goes on sale i will consider it.</v>
      </c>
      <c r="F1568" s="13">
        <f>IFERROR(__xludf.DUMMYFUNCTION("""COMPUTED_VALUE"""),5.0)</f>
        <v>5</v>
      </c>
      <c r="G1568" s="13">
        <f>IFERROR(__xludf.DUMMYFUNCTION("""COMPUTED_VALUE"""),1.0)</f>
        <v>1</v>
      </c>
      <c r="H1568" s="13">
        <f>IFERROR(__xludf.DUMMYFUNCTION("""COMPUTED_VALUE"""),0.0)</f>
        <v>0</v>
      </c>
      <c r="I1568" s="13" t="str">
        <f>IFERROR(__xludf.DUMMYFUNCTION("""COMPUTED_VALUE"""),"General Petite")</f>
        <v>General Petite</v>
      </c>
      <c r="J1568" s="13" t="str">
        <f>IFERROR(__xludf.DUMMYFUNCTION("""COMPUTED_VALUE"""),"Bottoms")</f>
        <v>Bottoms</v>
      </c>
      <c r="K1568" s="13" t="str">
        <f>IFERROR(__xludf.DUMMYFUNCTION("""COMPUTED_VALUE"""),"Pants")</f>
        <v>Pants</v>
      </c>
      <c r="L1568" s="13"/>
    </row>
    <row r="1569">
      <c r="A1569" s="13">
        <f>IFERROR(__xludf.DUMMYFUNCTION("""COMPUTED_VALUE"""),1567.0)</f>
        <v>1567</v>
      </c>
      <c r="B1569" s="13">
        <f>IFERROR(__xludf.DUMMYFUNCTION("""COMPUTED_VALUE"""),864.0)</f>
        <v>864</v>
      </c>
      <c r="C1569" s="13">
        <f>IFERROR(__xludf.DUMMYFUNCTION("""COMPUTED_VALUE"""),64.0)</f>
        <v>64</v>
      </c>
      <c r="D1569" s="12"/>
      <c r="E1569" s="12" t="str">
        <f>IFERROR(__xludf.DUMMYFUNCTION("""COMPUTED_VALUE"""),"Love the blue color. is a bit short, but fine with a tank underneath. i purchased the small, that's what i usually wear.")</f>
        <v>Love the blue color. is a bit short, but fine with a tank underneath. i purchased the small, that's what i usually wear.</v>
      </c>
      <c r="F1569" s="13">
        <f>IFERROR(__xludf.DUMMYFUNCTION("""COMPUTED_VALUE"""),5.0)</f>
        <v>5</v>
      </c>
      <c r="G1569" s="13">
        <f>IFERROR(__xludf.DUMMYFUNCTION("""COMPUTED_VALUE"""),1.0)</f>
        <v>1</v>
      </c>
      <c r="H1569" s="13">
        <f>IFERROR(__xludf.DUMMYFUNCTION("""COMPUTED_VALUE"""),2.0)</f>
        <v>2</v>
      </c>
      <c r="I1569" s="13" t="str">
        <f>IFERROR(__xludf.DUMMYFUNCTION("""COMPUTED_VALUE"""),"General")</f>
        <v>General</v>
      </c>
      <c r="J1569" s="13" t="str">
        <f>IFERROR(__xludf.DUMMYFUNCTION("""COMPUTED_VALUE"""),"Tops")</f>
        <v>Tops</v>
      </c>
      <c r="K1569" s="13" t="str">
        <f>IFERROR(__xludf.DUMMYFUNCTION("""COMPUTED_VALUE"""),"Knits")</f>
        <v>Knits</v>
      </c>
      <c r="L1569" s="13"/>
    </row>
    <row r="1570">
      <c r="A1570" s="13">
        <f>IFERROR(__xludf.DUMMYFUNCTION("""COMPUTED_VALUE"""),1568.0)</f>
        <v>1568</v>
      </c>
      <c r="B1570" s="13">
        <f>IFERROR(__xludf.DUMMYFUNCTION("""COMPUTED_VALUE"""),985.0)</f>
        <v>985</v>
      </c>
      <c r="C1570" s="13">
        <f>IFERROR(__xludf.DUMMYFUNCTION("""COMPUTED_VALUE"""),45.0)</f>
        <v>45</v>
      </c>
      <c r="D1570" s="12" t="str">
        <f>IFERROR(__xludf.DUMMYFUNCTION("""COMPUTED_VALUE"""),"My new fave!")</f>
        <v>My new fave!</v>
      </c>
      <c r="E1570" s="12" t="str">
        <f>IFERROR(__xludf.DUMMYFUNCTION("""COMPUTED_VALUE"""),"This jacket is perfect! the crop length is just right! not to short and the way it is cut longer in the back it really paints a beautiful silhouette on my larger frame. i'm a a 12 typically but broad in the shoulders and larger in the bust 36dd. this jack"&amp;"et is loose fitting and roomy. i could probably have gone with a large, but i'm really happy with the xl as i can layer underneath and it's just super roomy and comfy. the quality of this jacket is great. it will be a staple for years to come. i")</f>
        <v>This jacket is perfect! the crop length is just right! not to short and the way it is cut longer in the back it really paints a beautiful silhouette on my larger frame. i'm a a 12 typically but broad in the shoulders and larger in the bust 36dd. this jacket is loose fitting and roomy. i could probably have gone with a large, but i'm really happy with the xl as i can layer underneath and it's just super roomy and comfy. the quality of this jacket is great. it will be a staple for years to come. i</v>
      </c>
      <c r="F1570" s="13">
        <f>IFERROR(__xludf.DUMMYFUNCTION("""COMPUTED_VALUE"""),5.0)</f>
        <v>5</v>
      </c>
      <c r="G1570" s="13">
        <f>IFERROR(__xludf.DUMMYFUNCTION("""COMPUTED_VALUE"""),1.0)</f>
        <v>1</v>
      </c>
      <c r="H1570" s="13">
        <f>IFERROR(__xludf.DUMMYFUNCTION("""COMPUTED_VALUE"""),4.0)</f>
        <v>4</v>
      </c>
      <c r="I1570" s="13" t="str">
        <f>IFERROR(__xludf.DUMMYFUNCTION("""COMPUTED_VALUE"""),"General")</f>
        <v>General</v>
      </c>
      <c r="J1570" s="13" t="str">
        <f>IFERROR(__xludf.DUMMYFUNCTION("""COMPUTED_VALUE"""),"Jackets")</f>
        <v>Jackets</v>
      </c>
      <c r="K1570" s="13" t="str">
        <f>IFERROR(__xludf.DUMMYFUNCTION("""COMPUTED_VALUE"""),"Jackets")</f>
        <v>Jackets</v>
      </c>
      <c r="L1570" s="13"/>
    </row>
    <row r="1571">
      <c r="A1571" s="13">
        <f>IFERROR(__xludf.DUMMYFUNCTION("""COMPUTED_VALUE"""),1569.0)</f>
        <v>1569</v>
      </c>
      <c r="B1571" s="13">
        <f>IFERROR(__xludf.DUMMYFUNCTION("""COMPUTED_VALUE"""),1078.0)</f>
        <v>1078</v>
      </c>
      <c r="C1571" s="13">
        <f>IFERROR(__xludf.DUMMYFUNCTION("""COMPUTED_VALUE"""),56.0)</f>
        <v>56</v>
      </c>
      <c r="D1571" s="12" t="str">
        <f>IFERROR(__xludf.DUMMYFUNCTION("""COMPUTED_VALUE"""),"Wanted to love, but...")</f>
        <v>Wanted to love, but...</v>
      </c>
      <c r="E1571" s="12" t="str">
        <f>IFERROR(__xludf.DUMMYFUNCTION("""COMPUTED_VALUE"""),"Tried on this maxi dress recently, hoping i would have a new dress to enjoy but the frabic is just too thin. so sad :(. unfortunately it shows every lump and bump and even wearing spanx while trying on it still showed too much. a full length slip would he"&amp;"lp but i decided to put it back.")</f>
        <v>Tried on this maxi dress recently, hoping i would have a new dress to enjoy but the frabic is just too thin. so sad :(. unfortunately it shows every lump and bump and even wearing spanx while trying on it still showed too much. a full length slip would help but i decided to put it back.</v>
      </c>
      <c r="F1571" s="13">
        <f>IFERROR(__xludf.DUMMYFUNCTION("""COMPUTED_VALUE"""),3.0)</f>
        <v>3</v>
      </c>
      <c r="G1571" s="13">
        <f>IFERROR(__xludf.DUMMYFUNCTION("""COMPUTED_VALUE"""),0.0)</f>
        <v>0</v>
      </c>
      <c r="H1571" s="13">
        <f>IFERROR(__xludf.DUMMYFUNCTION("""COMPUTED_VALUE"""),15.0)</f>
        <v>15</v>
      </c>
      <c r="I1571" s="13" t="str">
        <f>IFERROR(__xludf.DUMMYFUNCTION("""COMPUTED_VALUE"""),"General Petite")</f>
        <v>General Petite</v>
      </c>
      <c r="J1571" s="13" t="str">
        <f>IFERROR(__xludf.DUMMYFUNCTION("""COMPUTED_VALUE"""),"Dresses")</f>
        <v>Dresses</v>
      </c>
      <c r="K1571" s="13" t="str">
        <f>IFERROR(__xludf.DUMMYFUNCTION("""COMPUTED_VALUE"""),"Dresses")</f>
        <v>Dresses</v>
      </c>
      <c r="L1571" s="13"/>
    </row>
    <row r="1572">
      <c r="A1572" s="13">
        <f>IFERROR(__xludf.DUMMYFUNCTION("""COMPUTED_VALUE"""),1570.0)</f>
        <v>1570</v>
      </c>
      <c r="B1572" s="13">
        <f>IFERROR(__xludf.DUMMYFUNCTION("""COMPUTED_VALUE"""),862.0)</f>
        <v>862</v>
      </c>
      <c r="C1572" s="13">
        <f>IFERROR(__xludf.DUMMYFUNCTION("""COMPUTED_VALUE"""),32.0)</f>
        <v>32</v>
      </c>
      <c r="D1572" s="12" t="str">
        <f>IFERROR(__xludf.DUMMYFUNCTION("""COMPUTED_VALUE"""),"Sexy, simple top")</f>
        <v>Sexy, simple top</v>
      </c>
      <c r="E1572" s="12" t="str">
        <f>IFERROR(__xludf.DUMMYFUNCTION("""COMPUTED_VALUE"""),"I love this top. i got a medium in black on sale. i am 5'8'' and 135lbs. the medium fits great. the medium is slightly loose on me through the tummy, which is nice - in my experience, it is not too constraining, contrary to other reviews. however, i think"&amp;" it depends on your body shape; i am a coke-bottle. this will be a wardrobe staple for day to day and going out; note, it is too low-cut for work wear. very happy with my purchase.")</f>
        <v>I love this top. i got a medium in black on sale. i am 5'8'' and 135lbs. the medium fits great. the medium is slightly loose on me through the tummy, which is nice - in my experience, it is not too constraining, contrary to other reviews. however, i think it depends on your body shape; i am a coke-bottle. this will be a wardrobe staple for day to day and going out; note, it is too low-cut for work wear. very happy with my purchase.</v>
      </c>
      <c r="F1572" s="13">
        <f>IFERROR(__xludf.DUMMYFUNCTION("""COMPUTED_VALUE"""),5.0)</f>
        <v>5</v>
      </c>
      <c r="G1572" s="13">
        <f>IFERROR(__xludf.DUMMYFUNCTION("""COMPUTED_VALUE"""),1.0)</f>
        <v>1</v>
      </c>
      <c r="H1572" s="13">
        <f>IFERROR(__xludf.DUMMYFUNCTION("""COMPUTED_VALUE"""),0.0)</f>
        <v>0</v>
      </c>
      <c r="I1572" s="13" t="str">
        <f>IFERROR(__xludf.DUMMYFUNCTION("""COMPUTED_VALUE"""),"General")</f>
        <v>General</v>
      </c>
      <c r="J1572" s="13" t="str">
        <f>IFERROR(__xludf.DUMMYFUNCTION("""COMPUTED_VALUE"""),"Tops")</f>
        <v>Tops</v>
      </c>
      <c r="K1572" s="13" t="str">
        <f>IFERROR(__xludf.DUMMYFUNCTION("""COMPUTED_VALUE"""),"Knits")</f>
        <v>Knits</v>
      </c>
      <c r="L1572" s="13"/>
    </row>
    <row r="1573">
      <c r="A1573" s="13">
        <f>IFERROR(__xludf.DUMMYFUNCTION("""COMPUTED_VALUE"""),1571.0)</f>
        <v>1571</v>
      </c>
      <c r="B1573" s="13">
        <f>IFERROR(__xludf.DUMMYFUNCTION("""COMPUTED_VALUE"""),1046.0)</f>
        <v>1046</v>
      </c>
      <c r="C1573" s="13">
        <f>IFERROR(__xludf.DUMMYFUNCTION("""COMPUTED_VALUE"""),43.0)</f>
        <v>43</v>
      </c>
      <c r="D1573" s="12"/>
      <c r="E1573" s="12" t="str">
        <f>IFERROR(__xludf.DUMMYFUNCTION("""COMPUTED_VALUE"""),"These are some of my favorite new pants. i am never disappointed by the quality from this brand and they are super comfortable and adorable. a definite must have!")</f>
        <v>These are some of my favorite new pants. i am never disappointed by the quality from this brand and they are super comfortable and adorable. a definite must have!</v>
      </c>
      <c r="F1573" s="13">
        <f>IFERROR(__xludf.DUMMYFUNCTION("""COMPUTED_VALUE"""),5.0)</f>
        <v>5</v>
      </c>
      <c r="G1573" s="13">
        <f>IFERROR(__xludf.DUMMYFUNCTION("""COMPUTED_VALUE"""),1.0)</f>
        <v>1</v>
      </c>
      <c r="H1573" s="13">
        <f>IFERROR(__xludf.DUMMYFUNCTION("""COMPUTED_VALUE"""),2.0)</f>
        <v>2</v>
      </c>
      <c r="I1573" s="13" t="str">
        <f>IFERROR(__xludf.DUMMYFUNCTION("""COMPUTED_VALUE"""),"General Petite")</f>
        <v>General Petite</v>
      </c>
      <c r="J1573" s="13" t="str">
        <f>IFERROR(__xludf.DUMMYFUNCTION("""COMPUTED_VALUE"""),"Bottoms")</f>
        <v>Bottoms</v>
      </c>
      <c r="K1573" s="13" t="str">
        <f>IFERROR(__xludf.DUMMYFUNCTION("""COMPUTED_VALUE"""),"Pants")</f>
        <v>Pants</v>
      </c>
      <c r="L1573" s="13"/>
    </row>
    <row r="1574">
      <c r="A1574" s="13">
        <f>IFERROR(__xludf.DUMMYFUNCTION("""COMPUTED_VALUE"""),1572.0)</f>
        <v>1572</v>
      </c>
      <c r="B1574" s="13">
        <f>IFERROR(__xludf.DUMMYFUNCTION("""COMPUTED_VALUE"""),862.0)</f>
        <v>862</v>
      </c>
      <c r="C1574" s="13">
        <f>IFERROR(__xludf.DUMMYFUNCTION("""COMPUTED_VALUE"""),48.0)</f>
        <v>48</v>
      </c>
      <c r="D1574" s="12" t="str">
        <f>IFERROR(__xludf.DUMMYFUNCTION("""COMPUTED_VALUE"""),"Too low cut")</f>
        <v>Too low cut</v>
      </c>
      <c r="E1574" s="12" t="str">
        <f>IFERROR(__xludf.DUMMYFUNCTION("""COMPUTED_VALUE"""),"Gorgeous color and great price, but too low cut and because of the design, a cami's wouldn't work. disappointed")</f>
        <v>Gorgeous color and great price, but too low cut and because of the design, a cami's wouldn't work. disappointed</v>
      </c>
      <c r="F1574" s="13">
        <f>IFERROR(__xludf.DUMMYFUNCTION("""COMPUTED_VALUE"""),2.0)</f>
        <v>2</v>
      </c>
      <c r="G1574" s="13">
        <f>IFERROR(__xludf.DUMMYFUNCTION("""COMPUTED_VALUE"""),0.0)</f>
        <v>0</v>
      </c>
      <c r="H1574" s="13">
        <f>IFERROR(__xludf.DUMMYFUNCTION("""COMPUTED_VALUE"""),1.0)</f>
        <v>1</v>
      </c>
      <c r="I1574" s="13" t="str">
        <f>IFERROR(__xludf.DUMMYFUNCTION("""COMPUTED_VALUE"""),"General")</f>
        <v>General</v>
      </c>
      <c r="J1574" s="13" t="str">
        <f>IFERROR(__xludf.DUMMYFUNCTION("""COMPUTED_VALUE"""),"Tops")</f>
        <v>Tops</v>
      </c>
      <c r="K1574" s="13" t="str">
        <f>IFERROR(__xludf.DUMMYFUNCTION("""COMPUTED_VALUE"""),"Knits")</f>
        <v>Knits</v>
      </c>
      <c r="L1574" s="13"/>
    </row>
    <row r="1575">
      <c r="A1575" s="13">
        <f>IFERROR(__xludf.DUMMYFUNCTION("""COMPUTED_VALUE"""),1573.0)</f>
        <v>1573</v>
      </c>
      <c r="B1575" s="13">
        <f>IFERROR(__xludf.DUMMYFUNCTION("""COMPUTED_VALUE"""),1072.0)</f>
        <v>1072</v>
      </c>
      <c r="C1575" s="13">
        <f>IFERROR(__xludf.DUMMYFUNCTION("""COMPUTED_VALUE"""),53.0)</f>
        <v>53</v>
      </c>
      <c r="D1575" s="12"/>
      <c r="E1575" s="12"/>
      <c r="F1575" s="13">
        <f>IFERROR(__xludf.DUMMYFUNCTION("""COMPUTED_VALUE"""),4.0)</f>
        <v>4</v>
      </c>
      <c r="G1575" s="13">
        <f>IFERROR(__xludf.DUMMYFUNCTION("""COMPUTED_VALUE"""),1.0)</f>
        <v>1</v>
      </c>
      <c r="H1575" s="13">
        <f>IFERROR(__xludf.DUMMYFUNCTION("""COMPUTED_VALUE"""),0.0)</f>
        <v>0</v>
      </c>
      <c r="I1575" s="13" t="str">
        <f>IFERROR(__xludf.DUMMYFUNCTION("""COMPUTED_VALUE"""),"General")</f>
        <v>General</v>
      </c>
      <c r="J1575" s="13" t="str">
        <f>IFERROR(__xludf.DUMMYFUNCTION("""COMPUTED_VALUE"""),"Dresses")</f>
        <v>Dresses</v>
      </c>
      <c r="K1575" s="13" t="str">
        <f>IFERROR(__xludf.DUMMYFUNCTION("""COMPUTED_VALUE"""),"Dresses")</f>
        <v>Dresses</v>
      </c>
      <c r="L1575" s="13"/>
    </row>
    <row r="1576">
      <c r="A1576" s="13">
        <f>IFERROR(__xludf.DUMMYFUNCTION("""COMPUTED_VALUE"""),1574.0)</f>
        <v>1574</v>
      </c>
      <c r="B1576" s="13">
        <f>IFERROR(__xludf.DUMMYFUNCTION("""COMPUTED_VALUE"""),1080.0)</f>
        <v>1080</v>
      </c>
      <c r="C1576" s="13">
        <f>IFERROR(__xludf.DUMMYFUNCTION("""COMPUTED_VALUE"""),41.0)</f>
        <v>41</v>
      </c>
      <c r="D1576" s="12" t="str">
        <f>IFERROR(__xludf.DUMMYFUNCTION("""COMPUTED_VALUE"""),"So flattering!")</f>
        <v>So flattering!</v>
      </c>
      <c r="E1576" s="12" t="str">
        <f>IFERROR(__xludf.DUMMYFUNCTION("""COMPUTED_VALUE"""),"I'm surprised by the negative reviews and i'm here to come to its defense! i love this dress! i'm solidly a 0 petite in tracy reese and this fit perfectly. the top isn't snug but it's not roomy enough to say it runs large. just perfectly comfortable. the "&amp;"belt was a little tricky because it has to thread through several loops, but it stays put nicely and fit perfectly without being too snug or uncomfortable. the fitted top with the belt offsets the fit and flare style of the skirt. lace is beauti")</f>
        <v>I'm surprised by the negative reviews and i'm here to come to its defense! i love this dress! i'm solidly a 0 petite in tracy reese and this fit perfectly. the top isn't snug but it's not roomy enough to say it runs large. just perfectly comfortable. the belt was a little tricky because it has to thread through several loops, but it stays put nicely and fit perfectly without being too snug or uncomfortable. the fitted top with the belt offsets the fit and flare style of the skirt. lace is beauti</v>
      </c>
      <c r="F1576" s="13">
        <f>IFERROR(__xludf.DUMMYFUNCTION("""COMPUTED_VALUE"""),5.0)</f>
        <v>5</v>
      </c>
      <c r="G1576" s="13">
        <f>IFERROR(__xludf.DUMMYFUNCTION("""COMPUTED_VALUE"""),1.0)</f>
        <v>1</v>
      </c>
      <c r="H1576" s="13">
        <f>IFERROR(__xludf.DUMMYFUNCTION("""COMPUTED_VALUE"""),0.0)</f>
        <v>0</v>
      </c>
      <c r="I1576" s="13" t="str">
        <f>IFERROR(__xludf.DUMMYFUNCTION("""COMPUTED_VALUE"""),"General")</f>
        <v>General</v>
      </c>
      <c r="J1576" s="13" t="str">
        <f>IFERROR(__xludf.DUMMYFUNCTION("""COMPUTED_VALUE"""),"Dresses")</f>
        <v>Dresses</v>
      </c>
      <c r="K1576" s="13" t="str">
        <f>IFERROR(__xludf.DUMMYFUNCTION("""COMPUTED_VALUE"""),"Dresses")</f>
        <v>Dresses</v>
      </c>
      <c r="L1576" s="13"/>
    </row>
    <row r="1577">
      <c r="A1577" s="13">
        <f>IFERROR(__xludf.DUMMYFUNCTION("""COMPUTED_VALUE"""),1575.0)</f>
        <v>1575</v>
      </c>
      <c r="B1577" s="13">
        <f>IFERROR(__xludf.DUMMYFUNCTION("""COMPUTED_VALUE"""),985.0)</f>
        <v>985</v>
      </c>
      <c r="C1577" s="13">
        <f>IFERROR(__xludf.DUMMYFUNCTION("""COMPUTED_VALUE"""),40.0)</f>
        <v>40</v>
      </c>
      <c r="D1577" s="12" t="str">
        <f>IFERROR(__xludf.DUMMYFUNCTION("""COMPUTED_VALUE"""),"Cute style but runs big!")</f>
        <v>Cute style but runs big!</v>
      </c>
      <c r="E1577" s="12" t="str">
        <f>IFERROR(__xludf.DUMMYFUNCTION("""COMPUTED_VALUE"""),"I have been on the hunt for a replacement cargo jacket for about a year now. i thought this one was going to be it!! ordered it right away. i got it in an xl as retailer coats always seem to run small on me (i am very busty so sometimes the more fitted st"&amp;"yles won't even close without a big gap). this is not the case with this jacket. it runs really big - it looks like it could be an xxxl...but the design is great with a zipper and button closures, pockets and cute back cut...the color is slightly")</f>
        <v>I have been on the hunt for a replacement cargo jacket for about a year now. i thought this one was going to be it!! ordered it right away. i got it in an xl as retailer coats always seem to run small on me (i am very busty so sometimes the more fitted styles won't even close without a big gap). this is not the case with this jacket. it runs really big - it looks like it could be an xxxl...but the design is great with a zipper and button closures, pockets and cute back cut...the color is slightly</v>
      </c>
      <c r="F1577" s="13">
        <f>IFERROR(__xludf.DUMMYFUNCTION("""COMPUTED_VALUE"""),4.0)</f>
        <v>4</v>
      </c>
      <c r="G1577" s="13">
        <f>IFERROR(__xludf.DUMMYFUNCTION("""COMPUTED_VALUE"""),1.0)</f>
        <v>1</v>
      </c>
      <c r="H1577" s="13">
        <f>IFERROR(__xludf.DUMMYFUNCTION("""COMPUTED_VALUE"""),2.0)</f>
        <v>2</v>
      </c>
      <c r="I1577" s="13" t="str">
        <f>IFERROR(__xludf.DUMMYFUNCTION("""COMPUTED_VALUE"""),"General")</f>
        <v>General</v>
      </c>
      <c r="J1577" s="13" t="str">
        <f>IFERROR(__xludf.DUMMYFUNCTION("""COMPUTED_VALUE"""),"Jackets")</f>
        <v>Jackets</v>
      </c>
      <c r="K1577" s="13" t="str">
        <f>IFERROR(__xludf.DUMMYFUNCTION("""COMPUTED_VALUE"""),"Jackets")</f>
        <v>Jackets</v>
      </c>
      <c r="L1577" s="13"/>
    </row>
    <row r="1578">
      <c r="A1578" s="13">
        <f>IFERROR(__xludf.DUMMYFUNCTION("""COMPUTED_VALUE"""),1576.0)</f>
        <v>1576</v>
      </c>
      <c r="B1578" s="13">
        <f>IFERROR(__xludf.DUMMYFUNCTION("""COMPUTED_VALUE"""),864.0)</f>
        <v>864</v>
      </c>
      <c r="C1578" s="13">
        <f>IFERROR(__xludf.DUMMYFUNCTION("""COMPUTED_VALUE"""),32.0)</f>
        <v>32</v>
      </c>
      <c r="D1578" s="12" t="str">
        <f>IFERROR(__xludf.DUMMYFUNCTION("""COMPUTED_VALUE"""),"Shorter &amp; smaller than picture/ description")</f>
        <v>Shorter &amp; smaller than picture/ description</v>
      </c>
      <c r="E1578" s="12" t="str">
        <f>IFERROR(__xludf.DUMMYFUNCTION("""COMPUTED_VALUE"""),"I bought this online. this looked like a sweater that was accidentally shrunk in the dryer, when i received it.
i will be returning this.")</f>
        <v>I bought this online. this looked like a sweater that was accidentally shrunk in the dryer, when i received it.
i will be returning this.</v>
      </c>
      <c r="F1578" s="13">
        <f>IFERROR(__xludf.DUMMYFUNCTION("""COMPUTED_VALUE"""),2.0)</f>
        <v>2</v>
      </c>
      <c r="G1578" s="13">
        <f>IFERROR(__xludf.DUMMYFUNCTION("""COMPUTED_VALUE"""),0.0)</f>
        <v>0</v>
      </c>
      <c r="H1578" s="13">
        <f>IFERROR(__xludf.DUMMYFUNCTION("""COMPUTED_VALUE"""),0.0)</f>
        <v>0</v>
      </c>
      <c r="I1578" s="13" t="str">
        <f>IFERROR(__xludf.DUMMYFUNCTION("""COMPUTED_VALUE"""),"General")</f>
        <v>General</v>
      </c>
      <c r="J1578" s="13" t="str">
        <f>IFERROR(__xludf.DUMMYFUNCTION("""COMPUTED_VALUE"""),"Tops")</f>
        <v>Tops</v>
      </c>
      <c r="K1578" s="13" t="str">
        <f>IFERROR(__xludf.DUMMYFUNCTION("""COMPUTED_VALUE"""),"Knits")</f>
        <v>Knits</v>
      </c>
      <c r="L1578" s="13"/>
    </row>
    <row r="1579">
      <c r="A1579" s="13">
        <f>IFERROR(__xludf.DUMMYFUNCTION("""COMPUTED_VALUE"""),1577.0)</f>
        <v>1577</v>
      </c>
      <c r="B1579" s="13">
        <f>IFERROR(__xludf.DUMMYFUNCTION("""COMPUTED_VALUE"""),927.0)</f>
        <v>927</v>
      </c>
      <c r="C1579" s="13">
        <f>IFERROR(__xludf.DUMMYFUNCTION("""COMPUTED_VALUE"""),68.0)</f>
        <v>68</v>
      </c>
      <c r="D1579" s="12" t="str">
        <f>IFERROR(__xludf.DUMMYFUNCTION("""COMPUTED_VALUE"""),"A/c is running")</f>
        <v>A/c is running</v>
      </c>
      <c r="E1579" s="12" t="str">
        <f>IFERROR(__xludf.DUMMYFUNCTION("""COMPUTED_VALUE"""),"Received december 23 and 83 degrees in louisiana but weather can change from hot to cold in an hour. this sweater is so soft, so cozy, i'm ready to run the air conditioning! beautiful styling, well-made, and has a generous fit that you may or may not pref"&amp;"er. this will be one of my very favorite garments . luxurious, and i deserve it. i ordered a large, have long arms, and the sleeves do come over hand as shown in photo. it is very loose and flows over my jeans. i am an extremely difficult to ple")</f>
        <v>Received december 23 and 83 degrees in louisiana but weather can change from hot to cold in an hour. this sweater is so soft, so cozy, i'm ready to run the air conditioning! beautiful styling, well-made, and has a generous fit that you may or may not prefer. this will be one of my very favorite garments . luxurious, and i deserve it. i ordered a large, have long arms, and the sleeves do come over hand as shown in photo. it is very loose and flows over my jeans. i am an extremely difficult to ple</v>
      </c>
      <c r="F1579" s="13">
        <f>IFERROR(__xludf.DUMMYFUNCTION("""COMPUTED_VALUE"""),5.0)</f>
        <v>5</v>
      </c>
      <c r="G1579" s="13">
        <f>IFERROR(__xludf.DUMMYFUNCTION("""COMPUTED_VALUE"""),1.0)</f>
        <v>1</v>
      </c>
      <c r="H1579" s="13">
        <f>IFERROR(__xludf.DUMMYFUNCTION("""COMPUTED_VALUE"""),0.0)</f>
        <v>0</v>
      </c>
      <c r="I1579" s="13" t="str">
        <f>IFERROR(__xludf.DUMMYFUNCTION("""COMPUTED_VALUE"""),"General")</f>
        <v>General</v>
      </c>
      <c r="J1579" s="13" t="str">
        <f>IFERROR(__xludf.DUMMYFUNCTION("""COMPUTED_VALUE"""),"Tops")</f>
        <v>Tops</v>
      </c>
      <c r="K1579" s="13" t="str">
        <f>IFERROR(__xludf.DUMMYFUNCTION("""COMPUTED_VALUE"""),"Sweaters")</f>
        <v>Sweaters</v>
      </c>
      <c r="L1579" s="13"/>
    </row>
    <row r="1580">
      <c r="A1580" s="13">
        <f>IFERROR(__xludf.DUMMYFUNCTION("""COMPUTED_VALUE"""),1578.0)</f>
        <v>1578</v>
      </c>
      <c r="B1580" s="13">
        <f>IFERROR(__xludf.DUMMYFUNCTION("""COMPUTED_VALUE"""),1078.0)</f>
        <v>1078</v>
      </c>
      <c r="C1580" s="13">
        <f>IFERROR(__xludf.DUMMYFUNCTION("""COMPUTED_VALUE"""),65.0)</f>
        <v>65</v>
      </c>
      <c r="D1580" s="12"/>
      <c r="E1580" s="12" t="str">
        <f>IFERROR(__xludf.DUMMYFUNCTION("""COMPUTED_VALUE"""),"Absolutely love, love this dress. it is so comfortable and falls perfectly. the material is great and you can dress it up or wear it casually. if it had more colors, i would get it it in any color it came in!!")</f>
        <v>Absolutely love, love this dress. it is so comfortable and falls perfectly. the material is great and you can dress it up or wear it casually. if it had more colors, i would get it it in any color it came in!!</v>
      </c>
      <c r="F1580" s="13">
        <f>IFERROR(__xludf.DUMMYFUNCTION("""COMPUTED_VALUE"""),5.0)</f>
        <v>5</v>
      </c>
      <c r="G1580" s="13">
        <f>IFERROR(__xludf.DUMMYFUNCTION("""COMPUTED_VALUE"""),1.0)</f>
        <v>1</v>
      </c>
      <c r="H1580" s="13">
        <f>IFERROR(__xludf.DUMMYFUNCTION("""COMPUTED_VALUE"""),2.0)</f>
        <v>2</v>
      </c>
      <c r="I1580" s="13" t="str">
        <f>IFERROR(__xludf.DUMMYFUNCTION("""COMPUTED_VALUE"""),"General Petite")</f>
        <v>General Petite</v>
      </c>
      <c r="J1580" s="13" t="str">
        <f>IFERROR(__xludf.DUMMYFUNCTION("""COMPUTED_VALUE"""),"Dresses")</f>
        <v>Dresses</v>
      </c>
      <c r="K1580" s="13" t="str">
        <f>IFERROR(__xludf.DUMMYFUNCTION("""COMPUTED_VALUE"""),"Dresses")</f>
        <v>Dresses</v>
      </c>
      <c r="L1580" s="13"/>
    </row>
    <row r="1581">
      <c r="A1581" s="13">
        <f>IFERROR(__xludf.DUMMYFUNCTION("""COMPUTED_VALUE"""),1579.0)</f>
        <v>1579</v>
      </c>
      <c r="B1581" s="13">
        <f>IFERROR(__xludf.DUMMYFUNCTION("""COMPUTED_VALUE"""),1072.0)</f>
        <v>1072</v>
      </c>
      <c r="C1581" s="13">
        <f>IFERROR(__xludf.DUMMYFUNCTION("""COMPUTED_VALUE"""),39.0)</f>
        <v>39</v>
      </c>
      <c r="D1581" s="12" t="str">
        <f>IFERROR(__xludf.DUMMYFUNCTION("""COMPUTED_VALUE"""),"Runs really small")</f>
        <v>Runs really small</v>
      </c>
      <c r="E1581" s="12" t="str">
        <f>IFERROR(__xludf.DUMMYFUNCTION("""COMPUTED_VALUE"""),"This dress is very small in the bust and maxi length on short people (5'3"" 36dd). i can't wear a normal bra, i have to use adhesive pasties. the fabric is very smooth, thick and satin like, but fuzzes easily. mine came with minor thread pulls and one str"&amp;"ap was sewn on twisted. the pattern in real life is very pink as opposed to the model sample which has more blue landscape. i'd like to hem the dress but i would sacrifice pattern. still very pretty dress. be sure to size up one or two depending")</f>
        <v>This dress is very small in the bust and maxi length on short people (5'3" 36dd). i can't wear a normal bra, i have to use adhesive pasties. the fabric is very smooth, thick and satin like, but fuzzes easily. mine came with minor thread pulls and one strap was sewn on twisted. the pattern in real life is very pink as opposed to the model sample which has more blue landscape. i'd like to hem the dress but i would sacrifice pattern. still very pretty dress. be sure to size up one or two depending</v>
      </c>
      <c r="F1581" s="13">
        <f>IFERROR(__xludf.DUMMYFUNCTION("""COMPUTED_VALUE"""),4.0)</f>
        <v>4</v>
      </c>
      <c r="G1581" s="13">
        <f>IFERROR(__xludf.DUMMYFUNCTION("""COMPUTED_VALUE"""),1.0)</f>
        <v>1</v>
      </c>
      <c r="H1581" s="13">
        <f>IFERROR(__xludf.DUMMYFUNCTION("""COMPUTED_VALUE"""),0.0)</f>
        <v>0</v>
      </c>
      <c r="I1581" s="13" t="str">
        <f>IFERROR(__xludf.DUMMYFUNCTION("""COMPUTED_VALUE"""),"General")</f>
        <v>General</v>
      </c>
      <c r="J1581" s="13" t="str">
        <f>IFERROR(__xludf.DUMMYFUNCTION("""COMPUTED_VALUE"""),"Dresses")</f>
        <v>Dresses</v>
      </c>
      <c r="K1581" s="13" t="str">
        <f>IFERROR(__xludf.DUMMYFUNCTION("""COMPUTED_VALUE"""),"Dresses")</f>
        <v>Dresses</v>
      </c>
      <c r="L1581" s="13"/>
    </row>
    <row r="1582">
      <c r="A1582" s="13">
        <f>IFERROR(__xludf.DUMMYFUNCTION("""COMPUTED_VALUE"""),1580.0)</f>
        <v>1580</v>
      </c>
      <c r="B1582" s="13">
        <f>IFERROR(__xludf.DUMMYFUNCTION("""COMPUTED_VALUE"""),1078.0)</f>
        <v>1078</v>
      </c>
      <c r="C1582" s="13">
        <f>IFERROR(__xludf.DUMMYFUNCTION("""COMPUTED_VALUE"""),43.0)</f>
        <v>43</v>
      </c>
      <c r="D1582" s="12" t="str">
        <f>IFERROR(__xludf.DUMMYFUNCTION("""COMPUTED_VALUE"""),"Elegant comfort")</f>
        <v>Elegant comfort</v>
      </c>
      <c r="E1582" s="12" t="str">
        <f>IFERROR(__xludf.DUMMYFUNCTION("""COMPUTED_VALUE"""),"I bought this dress with my birthday gift and i do not regret it! it's so soft and feels like pure comfort but the details, little metal buttons down the front, the vent pleats on the side; make it feel special. i received many compliments and i would urg"&amp;"e you to get this one if you are seeking comfort. it was pretty true to size and because i'm an average height i wore a small block heel with it.")</f>
        <v>I bought this dress with my birthday gift and i do not regret it! it's so soft and feels like pure comfort but the details, little metal buttons down the front, the vent pleats on the side; make it feel special. i received many compliments and i would urge you to get this one if you are seeking comfort. it was pretty true to size and because i'm an average height i wore a small block heel with it.</v>
      </c>
      <c r="F1582" s="13">
        <f>IFERROR(__xludf.DUMMYFUNCTION("""COMPUTED_VALUE"""),5.0)</f>
        <v>5</v>
      </c>
      <c r="G1582" s="13">
        <f>IFERROR(__xludf.DUMMYFUNCTION("""COMPUTED_VALUE"""),1.0)</f>
        <v>1</v>
      </c>
      <c r="H1582" s="13">
        <f>IFERROR(__xludf.DUMMYFUNCTION("""COMPUTED_VALUE"""),14.0)</f>
        <v>14</v>
      </c>
      <c r="I1582" s="13" t="str">
        <f>IFERROR(__xludf.DUMMYFUNCTION("""COMPUTED_VALUE"""),"General Petite")</f>
        <v>General Petite</v>
      </c>
      <c r="J1582" s="13" t="str">
        <f>IFERROR(__xludf.DUMMYFUNCTION("""COMPUTED_VALUE"""),"Dresses")</f>
        <v>Dresses</v>
      </c>
      <c r="K1582" s="13" t="str">
        <f>IFERROR(__xludf.DUMMYFUNCTION("""COMPUTED_VALUE"""),"Dresses")</f>
        <v>Dresses</v>
      </c>
      <c r="L1582" s="13"/>
    </row>
    <row r="1583">
      <c r="A1583" s="13">
        <f>IFERROR(__xludf.DUMMYFUNCTION("""COMPUTED_VALUE"""),1581.0)</f>
        <v>1581</v>
      </c>
      <c r="B1583" s="13">
        <f>IFERROR(__xludf.DUMMYFUNCTION("""COMPUTED_VALUE"""),862.0)</f>
        <v>862</v>
      </c>
      <c r="C1583" s="13">
        <f>IFERROR(__xludf.DUMMYFUNCTION("""COMPUTED_VALUE"""),26.0)</f>
        <v>26</v>
      </c>
      <c r="D1583" s="12" t="str">
        <f>IFERROR(__xludf.DUMMYFUNCTION("""COMPUTED_VALUE"""),"Order up a size!")</f>
        <v>Order up a size!</v>
      </c>
      <c r="E1583" s="12" t="str">
        <f>IFERROR(__xludf.DUMMYFUNCTION("""COMPUTED_VALUE"""),"After reading the reviews about this top being really clingy, i decided to order up a size and purchased a medium. when i took it out of the box today and held it up it looked huge and i thought i had made a mistake. however when i tried it on it actually"&amp;" fit really well! i could see if i had ordered my usual small how it would have clinged to my body in a unflattering way. very happy with the top and thankful for the reviews.")</f>
        <v>After reading the reviews about this top being really clingy, i decided to order up a size and purchased a medium. when i took it out of the box today and held it up it looked huge and i thought i had made a mistake. however when i tried it on it actually fit really well! i could see if i had ordered my usual small how it would have clinged to my body in a unflattering way. very happy with the top and thankful for the reviews.</v>
      </c>
      <c r="F1583" s="13">
        <f>IFERROR(__xludf.DUMMYFUNCTION("""COMPUTED_VALUE"""),5.0)</f>
        <v>5</v>
      </c>
      <c r="G1583" s="13">
        <f>IFERROR(__xludf.DUMMYFUNCTION("""COMPUTED_VALUE"""),1.0)</f>
        <v>1</v>
      </c>
      <c r="H1583" s="13">
        <f>IFERROR(__xludf.DUMMYFUNCTION("""COMPUTED_VALUE"""),0.0)</f>
        <v>0</v>
      </c>
      <c r="I1583" s="13" t="str">
        <f>IFERROR(__xludf.DUMMYFUNCTION("""COMPUTED_VALUE"""),"General")</f>
        <v>General</v>
      </c>
      <c r="J1583" s="13" t="str">
        <f>IFERROR(__xludf.DUMMYFUNCTION("""COMPUTED_VALUE"""),"Tops")</f>
        <v>Tops</v>
      </c>
      <c r="K1583" s="13" t="str">
        <f>IFERROR(__xludf.DUMMYFUNCTION("""COMPUTED_VALUE"""),"Knits")</f>
        <v>Knits</v>
      </c>
      <c r="L1583" s="13"/>
    </row>
    <row r="1584">
      <c r="A1584" s="13">
        <f>IFERROR(__xludf.DUMMYFUNCTION("""COMPUTED_VALUE"""),1582.0)</f>
        <v>1582</v>
      </c>
      <c r="B1584" s="13">
        <f>IFERROR(__xludf.DUMMYFUNCTION("""COMPUTED_VALUE"""),1201.0)</f>
        <v>1201</v>
      </c>
      <c r="C1584" s="13">
        <f>IFERROR(__xludf.DUMMYFUNCTION("""COMPUTED_VALUE"""),35.0)</f>
        <v>35</v>
      </c>
      <c r="D1584" s="12"/>
      <c r="E1584" s="12"/>
      <c r="F1584" s="13">
        <f>IFERROR(__xludf.DUMMYFUNCTION("""COMPUTED_VALUE"""),5.0)</f>
        <v>5</v>
      </c>
      <c r="G1584" s="13">
        <f>IFERROR(__xludf.DUMMYFUNCTION("""COMPUTED_VALUE"""),1.0)</f>
        <v>1</v>
      </c>
      <c r="H1584" s="13">
        <f>IFERROR(__xludf.DUMMYFUNCTION("""COMPUTED_VALUE"""),0.0)</f>
        <v>0</v>
      </c>
      <c r="I1584" s="13" t="str">
        <f>IFERROR(__xludf.DUMMYFUNCTION("""COMPUTED_VALUE"""),"General")</f>
        <v>General</v>
      </c>
      <c r="J1584" s="13" t="str">
        <f>IFERROR(__xludf.DUMMYFUNCTION("""COMPUTED_VALUE"""),"Dresses")</f>
        <v>Dresses</v>
      </c>
      <c r="K1584" s="13" t="str">
        <f>IFERROR(__xludf.DUMMYFUNCTION("""COMPUTED_VALUE"""),"Dresses")</f>
        <v>Dresses</v>
      </c>
      <c r="L1584" s="13"/>
    </row>
    <row r="1585">
      <c r="A1585" s="13">
        <f>IFERROR(__xludf.DUMMYFUNCTION("""COMPUTED_VALUE"""),1583.0)</f>
        <v>1583</v>
      </c>
      <c r="B1585" s="13">
        <f>IFERROR(__xludf.DUMMYFUNCTION("""COMPUTED_VALUE"""),1046.0)</f>
        <v>1046</v>
      </c>
      <c r="C1585" s="13">
        <f>IFERROR(__xludf.DUMMYFUNCTION("""COMPUTED_VALUE"""),53.0)</f>
        <v>53</v>
      </c>
      <c r="D1585" s="12" t="str">
        <f>IFERROR(__xludf.DUMMYFUNCTION("""COMPUTED_VALUE"""),"Very cute")</f>
        <v>Very cute</v>
      </c>
      <c r="E1585" s="12" t="str">
        <f>IFERROR(__xludf.DUMMYFUNCTION("""COMPUTED_VALUE"""),"I'm 5'8, 130 and the small fit very nice. i ordered on line and on one of the legs the elastic closure at the bottom snapped. got a new pair at the store. you can dress these up or down. they are fun.")</f>
        <v>I'm 5'8, 130 and the small fit very nice. i ordered on line and on one of the legs the elastic closure at the bottom snapped. got a new pair at the store. you can dress these up or down. they are fun.</v>
      </c>
      <c r="F1585" s="13">
        <f>IFERROR(__xludf.DUMMYFUNCTION("""COMPUTED_VALUE"""),4.0)</f>
        <v>4</v>
      </c>
      <c r="G1585" s="13">
        <f>IFERROR(__xludf.DUMMYFUNCTION("""COMPUTED_VALUE"""),1.0)</f>
        <v>1</v>
      </c>
      <c r="H1585" s="13">
        <f>IFERROR(__xludf.DUMMYFUNCTION("""COMPUTED_VALUE"""),3.0)</f>
        <v>3</v>
      </c>
      <c r="I1585" s="13" t="str">
        <f>IFERROR(__xludf.DUMMYFUNCTION("""COMPUTED_VALUE"""),"General Petite")</f>
        <v>General Petite</v>
      </c>
      <c r="J1585" s="13" t="str">
        <f>IFERROR(__xludf.DUMMYFUNCTION("""COMPUTED_VALUE"""),"Bottoms")</f>
        <v>Bottoms</v>
      </c>
      <c r="K1585" s="13" t="str">
        <f>IFERROR(__xludf.DUMMYFUNCTION("""COMPUTED_VALUE"""),"Pants")</f>
        <v>Pants</v>
      </c>
      <c r="L1585" s="13"/>
    </row>
    <row r="1586">
      <c r="A1586" s="13">
        <f>IFERROR(__xludf.DUMMYFUNCTION("""COMPUTED_VALUE"""),1584.0)</f>
        <v>1584</v>
      </c>
      <c r="B1586" s="13">
        <f>IFERROR(__xludf.DUMMYFUNCTION("""COMPUTED_VALUE"""),942.0)</f>
        <v>942</v>
      </c>
      <c r="C1586" s="13">
        <f>IFERROR(__xludf.DUMMYFUNCTION("""COMPUTED_VALUE"""),22.0)</f>
        <v>22</v>
      </c>
      <c r="D1586" s="12" t="str">
        <f>IFERROR(__xludf.DUMMYFUNCTION("""COMPUTED_VALUE"""),"Sweater season")</f>
        <v>Sweater season</v>
      </c>
      <c r="E1586" s="12" t="str">
        <f>IFERROR(__xludf.DUMMYFUNCTION("""COMPUTED_VALUE"""),"Ive been on the hunt for big bulky sweaters because winter is coming and i live in the north, i saw this sweater and needed to give it a try. i got it i the mail and its truly gorgeous and extremely well made. this is the type of sweater to wear on a cold"&amp;" snowy day. it runs a little big but thats okay with me because its perfect to snuggle up in. i love this sweater but be aware it is thick and bulky so its not made to make you look like a twig. i like big sweaters and this design flows from sma")</f>
        <v>Ive been on the hunt for big bulky sweaters because winter is coming and i live in the north, i saw this sweater and needed to give it a try. i got it i the mail and its truly gorgeous and extremely well made. this is the type of sweater to wear on a cold snowy day. it runs a little big but thats okay with me because its perfect to snuggle up in. i love this sweater but be aware it is thick and bulky so its not made to make you look like a twig. i like big sweaters and this design flows from sma</v>
      </c>
      <c r="F1586" s="13">
        <f>IFERROR(__xludf.DUMMYFUNCTION("""COMPUTED_VALUE"""),4.0)</f>
        <v>4</v>
      </c>
      <c r="G1586" s="13">
        <f>IFERROR(__xludf.DUMMYFUNCTION("""COMPUTED_VALUE"""),1.0)</f>
        <v>1</v>
      </c>
      <c r="H1586" s="13">
        <f>IFERROR(__xludf.DUMMYFUNCTION("""COMPUTED_VALUE"""),2.0)</f>
        <v>2</v>
      </c>
      <c r="I1586" s="13" t="str">
        <f>IFERROR(__xludf.DUMMYFUNCTION("""COMPUTED_VALUE"""),"General")</f>
        <v>General</v>
      </c>
      <c r="J1586" s="13" t="str">
        <f>IFERROR(__xludf.DUMMYFUNCTION("""COMPUTED_VALUE"""),"Tops")</f>
        <v>Tops</v>
      </c>
      <c r="K1586" s="13" t="str">
        <f>IFERROR(__xludf.DUMMYFUNCTION("""COMPUTED_VALUE"""),"Sweaters")</f>
        <v>Sweaters</v>
      </c>
      <c r="L1586" s="13"/>
    </row>
    <row r="1587">
      <c r="A1587" s="13">
        <f>IFERROR(__xludf.DUMMYFUNCTION("""COMPUTED_VALUE"""),1585.0)</f>
        <v>1585</v>
      </c>
      <c r="B1587" s="13">
        <f>IFERROR(__xludf.DUMMYFUNCTION("""COMPUTED_VALUE"""),1059.0)</f>
        <v>1059</v>
      </c>
      <c r="C1587" s="13">
        <f>IFERROR(__xludf.DUMMYFUNCTION("""COMPUTED_VALUE"""),45.0)</f>
        <v>45</v>
      </c>
      <c r="D1587" s="12" t="str">
        <f>IFERROR(__xludf.DUMMYFUNCTION("""COMPUTED_VALUE"""),"Stylish and functional")</f>
        <v>Stylish and functional</v>
      </c>
      <c r="E1587" s="12" t="str">
        <f>IFERROR(__xludf.DUMMYFUNCTION("""COMPUTED_VALUE"""),"Great pair of pants to wear to work, and interview or out to lunch. i got so many compliments the first time i wore these. i'm 5'2"" i ordered the burgundy color in a size 0, regular which is what i normally wear and they fit fine. however they were just "&amp;"a tad big in the waist and a tad tight around my calves but other that they're a great pattern pant to have you wont be disappointed!")</f>
        <v>Great pair of pants to wear to work, and interview or out to lunch. i got so many compliments the first time i wore these. i'm 5'2" i ordered the burgundy color in a size 0, regular which is what i normally wear and they fit fine. however they were just a tad big in the waist and a tad tight around my calves but other that they're a great pattern pant to have you wont be disappointed!</v>
      </c>
      <c r="F1587" s="13">
        <f>IFERROR(__xludf.DUMMYFUNCTION("""COMPUTED_VALUE"""),5.0)</f>
        <v>5</v>
      </c>
      <c r="G1587" s="13">
        <f>IFERROR(__xludf.DUMMYFUNCTION("""COMPUTED_VALUE"""),1.0)</f>
        <v>1</v>
      </c>
      <c r="H1587" s="13">
        <f>IFERROR(__xludf.DUMMYFUNCTION("""COMPUTED_VALUE"""),0.0)</f>
        <v>0</v>
      </c>
      <c r="I1587" s="13" t="str">
        <f>IFERROR(__xludf.DUMMYFUNCTION("""COMPUTED_VALUE"""),"General")</f>
        <v>General</v>
      </c>
      <c r="J1587" s="13" t="str">
        <f>IFERROR(__xludf.DUMMYFUNCTION("""COMPUTED_VALUE"""),"Bottoms")</f>
        <v>Bottoms</v>
      </c>
      <c r="K1587" s="13" t="str">
        <f>IFERROR(__xludf.DUMMYFUNCTION("""COMPUTED_VALUE"""),"Pants")</f>
        <v>Pants</v>
      </c>
      <c r="L1587" s="13"/>
    </row>
    <row r="1588">
      <c r="A1588" s="13">
        <f>IFERROR(__xludf.DUMMYFUNCTION("""COMPUTED_VALUE"""),1586.0)</f>
        <v>1586</v>
      </c>
      <c r="B1588" s="13">
        <f>IFERROR(__xludf.DUMMYFUNCTION("""COMPUTED_VALUE"""),1059.0)</f>
        <v>1059</v>
      </c>
      <c r="C1588" s="13">
        <f>IFERROR(__xludf.DUMMYFUNCTION("""COMPUTED_VALUE"""),72.0)</f>
        <v>72</v>
      </c>
      <c r="D1588" s="12" t="str">
        <f>IFERROR(__xludf.DUMMYFUNCTION("""COMPUTED_VALUE"""),"Lovely pants, bad fit")</f>
        <v>Lovely pants, bad fit</v>
      </c>
      <c r="E1588" s="12" t="str">
        <f>IFERROR(__xludf.DUMMYFUNCTION("""COMPUTED_VALUE"""),"I ordered these pants in black and brick. the pattern is great, but the sizing and fit are way off. i usually wear an 8 or a medium in retailer. i ordered these pants in a 10, 12, and 12 petite. the 10 actually fit, but there is no stretch in these fitted"&amp;" pants. they were very uncomfortable to walk or sit in. however, if you're standing up all day and not doing much moving around, these pants are perfect! the print is great in both black and brick. i couldn't decide which one i liked best. wish th")</f>
        <v>I ordered these pants in black and brick. the pattern is great, but the sizing and fit are way off. i usually wear an 8 or a medium in retailer. i ordered these pants in a 10, 12, and 12 petite. the 10 actually fit, but there is no stretch in these fitted pants. they were very uncomfortable to walk or sit in. however, if you're standing up all day and not doing much moving around, these pants are perfect! the print is great in both black and brick. i couldn't decide which one i liked best. wish th</v>
      </c>
      <c r="F1588" s="13">
        <f>IFERROR(__xludf.DUMMYFUNCTION("""COMPUTED_VALUE"""),3.0)</f>
        <v>3</v>
      </c>
      <c r="G1588" s="13">
        <f>IFERROR(__xludf.DUMMYFUNCTION("""COMPUTED_VALUE"""),1.0)</f>
        <v>1</v>
      </c>
      <c r="H1588" s="13">
        <f>IFERROR(__xludf.DUMMYFUNCTION("""COMPUTED_VALUE"""),3.0)</f>
        <v>3</v>
      </c>
      <c r="I1588" s="13" t="str">
        <f>IFERROR(__xludf.DUMMYFUNCTION("""COMPUTED_VALUE"""),"General")</f>
        <v>General</v>
      </c>
      <c r="J1588" s="13" t="str">
        <f>IFERROR(__xludf.DUMMYFUNCTION("""COMPUTED_VALUE"""),"Bottoms")</f>
        <v>Bottoms</v>
      </c>
      <c r="K1588" s="13" t="str">
        <f>IFERROR(__xludf.DUMMYFUNCTION("""COMPUTED_VALUE"""),"Pants")</f>
        <v>Pants</v>
      </c>
      <c r="L1588" s="13"/>
    </row>
    <row r="1589">
      <c r="A1589" s="13">
        <f>IFERROR(__xludf.DUMMYFUNCTION("""COMPUTED_VALUE"""),1587.0)</f>
        <v>1587</v>
      </c>
      <c r="B1589" s="13">
        <f>IFERROR(__xludf.DUMMYFUNCTION("""COMPUTED_VALUE"""),1094.0)</f>
        <v>1094</v>
      </c>
      <c r="C1589" s="13">
        <f>IFERROR(__xludf.DUMMYFUNCTION("""COMPUTED_VALUE"""),56.0)</f>
        <v>56</v>
      </c>
      <c r="D1589" s="12" t="str">
        <f>IFERROR(__xludf.DUMMYFUNCTION("""COMPUTED_VALUE"""),"Statement dress!")</f>
        <v>Statement dress!</v>
      </c>
      <c r="E1589" s="12" t="str">
        <f>IFERROR(__xludf.DUMMYFUNCTION("""COMPUTED_VALUE"""),"This dress did not impress me when i was browsing the website online. when i went to a store, though, the colors struck me as really vibrant and earthy, and i wanted to give it a chance. i tried it on and it fit like a glow! i am a 5'1'', 100 pounds, and "&amp;"got an xxs p which was a perfect fit. the length was great for me (petite size) and did not need altering. the online photo may not do justice to the little details on this dress. definitely a very high quality dress that i would categorize as a")</f>
        <v>This dress did not impress me when i was browsing the website online. when i went to a store, though, the colors struck me as really vibrant and earthy, and i wanted to give it a chance. i tried it on and it fit like a glow! i am a 5'1'', 100 pounds, and got an xxs p which was a perfect fit. the length was great for me (petite size) and did not need altering. the online photo may not do justice to the little details on this dress. definitely a very high quality dress that i would categorize as a</v>
      </c>
      <c r="F1589" s="13">
        <f>IFERROR(__xludf.DUMMYFUNCTION("""COMPUTED_VALUE"""),5.0)</f>
        <v>5</v>
      </c>
      <c r="G1589" s="13">
        <f>IFERROR(__xludf.DUMMYFUNCTION("""COMPUTED_VALUE"""),1.0)</f>
        <v>1</v>
      </c>
      <c r="H1589" s="13">
        <f>IFERROR(__xludf.DUMMYFUNCTION("""COMPUTED_VALUE"""),0.0)</f>
        <v>0</v>
      </c>
      <c r="I1589" s="13" t="str">
        <f>IFERROR(__xludf.DUMMYFUNCTION("""COMPUTED_VALUE"""),"General Petite")</f>
        <v>General Petite</v>
      </c>
      <c r="J1589" s="13" t="str">
        <f>IFERROR(__xludf.DUMMYFUNCTION("""COMPUTED_VALUE"""),"Dresses")</f>
        <v>Dresses</v>
      </c>
      <c r="K1589" s="13" t="str">
        <f>IFERROR(__xludf.DUMMYFUNCTION("""COMPUTED_VALUE"""),"Dresses")</f>
        <v>Dresses</v>
      </c>
      <c r="L1589" s="13"/>
    </row>
    <row r="1590">
      <c r="A1590" s="13">
        <f>IFERROR(__xludf.DUMMYFUNCTION("""COMPUTED_VALUE"""),1588.0)</f>
        <v>1588</v>
      </c>
      <c r="B1590" s="13">
        <f>IFERROR(__xludf.DUMMYFUNCTION("""COMPUTED_VALUE"""),833.0)</f>
        <v>833</v>
      </c>
      <c r="C1590" s="13">
        <f>IFERROR(__xludf.DUMMYFUNCTION("""COMPUTED_VALUE"""),71.0)</f>
        <v>71</v>
      </c>
      <c r="D1590" s="12" t="str">
        <f>IFERROR(__xludf.DUMMYFUNCTION("""COMPUTED_VALUE"""),"Easy breezy")</f>
        <v>Easy breezy</v>
      </c>
      <c r="E1590" s="12" t="str">
        <f>IFERROR(__xludf.DUMMYFUNCTION("""COMPUTED_VALUE"""),"Love this top. very easy to wear to lunch or site seeing. the fabric is soft and drapes nicely.")</f>
        <v>Love this top. very easy to wear to lunch or site seeing. the fabric is soft and drapes nicely.</v>
      </c>
      <c r="F1590" s="13">
        <f>IFERROR(__xludf.DUMMYFUNCTION("""COMPUTED_VALUE"""),5.0)</f>
        <v>5</v>
      </c>
      <c r="G1590" s="13">
        <f>IFERROR(__xludf.DUMMYFUNCTION("""COMPUTED_VALUE"""),1.0)</f>
        <v>1</v>
      </c>
      <c r="H1590" s="13">
        <f>IFERROR(__xludf.DUMMYFUNCTION("""COMPUTED_VALUE"""),2.0)</f>
        <v>2</v>
      </c>
      <c r="I1590" s="13" t="str">
        <f>IFERROR(__xludf.DUMMYFUNCTION("""COMPUTED_VALUE"""),"General")</f>
        <v>General</v>
      </c>
      <c r="J1590" s="13" t="str">
        <f>IFERROR(__xludf.DUMMYFUNCTION("""COMPUTED_VALUE"""),"Tops")</f>
        <v>Tops</v>
      </c>
      <c r="K1590" s="13" t="str">
        <f>IFERROR(__xludf.DUMMYFUNCTION("""COMPUTED_VALUE"""),"Blouses")</f>
        <v>Blouses</v>
      </c>
      <c r="L1590" s="13"/>
    </row>
    <row r="1591">
      <c r="A1591" s="13">
        <f>IFERROR(__xludf.DUMMYFUNCTION("""COMPUTED_VALUE"""),1589.0)</f>
        <v>1589</v>
      </c>
      <c r="B1591" s="13">
        <f>IFERROR(__xludf.DUMMYFUNCTION("""COMPUTED_VALUE"""),1051.0)</f>
        <v>1051</v>
      </c>
      <c r="C1591" s="13">
        <f>IFERROR(__xludf.DUMMYFUNCTION("""COMPUTED_VALUE"""),29.0)</f>
        <v>29</v>
      </c>
      <c r="D1591" s="12" t="str">
        <f>IFERROR(__xludf.DUMMYFUNCTION("""COMPUTED_VALUE"""),"Lovely, airy, but a tad big")</f>
        <v>Lovely, airy, but a tad big</v>
      </c>
      <c r="E1591" s="12" t="str">
        <f>IFERROR(__xludf.DUMMYFUNCTION("""COMPUTED_VALUE"""),"I just received this in the mail and really enjoy it! it's a nice color and very gauzy/ airy. the only think i didn't love is that it's a little bit in the chest area, which is rare considering i'm usually a m in that area.")</f>
        <v>I just received this in the mail and really enjoy it! it's a nice color and very gauzy/ airy. the only think i didn't love is that it's a little bit in the chest area, which is rare considering i'm usually a m in that area.</v>
      </c>
      <c r="F1591" s="13">
        <f>IFERROR(__xludf.DUMMYFUNCTION("""COMPUTED_VALUE"""),4.0)</f>
        <v>4</v>
      </c>
      <c r="G1591" s="13">
        <f>IFERROR(__xludf.DUMMYFUNCTION("""COMPUTED_VALUE"""),1.0)</f>
        <v>1</v>
      </c>
      <c r="H1591" s="13">
        <f>IFERROR(__xludf.DUMMYFUNCTION("""COMPUTED_VALUE"""),0.0)</f>
        <v>0</v>
      </c>
      <c r="I1591" s="13" t="str">
        <f>IFERROR(__xludf.DUMMYFUNCTION("""COMPUTED_VALUE"""),"General Petite")</f>
        <v>General Petite</v>
      </c>
      <c r="J1591" s="13" t="str">
        <f>IFERROR(__xludf.DUMMYFUNCTION("""COMPUTED_VALUE"""),"Bottoms")</f>
        <v>Bottoms</v>
      </c>
      <c r="K1591" s="13" t="str">
        <f>IFERROR(__xludf.DUMMYFUNCTION("""COMPUTED_VALUE"""),"Pants")</f>
        <v>Pants</v>
      </c>
      <c r="L1591" s="13"/>
    </row>
    <row r="1592">
      <c r="A1592" s="13">
        <f>IFERROR(__xludf.DUMMYFUNCTION("""COMPUTED_VALUE"""),1590.0)</f>
        <v>1590</v>
      </c>
      <c r="B1592" s="13">
        <f>IFERROR(__xludf.DUMMYFUNCTION("""COMPUTED_VALUE"""),833.0)</f>
        <v>833</v>
      </c>
      <c r="C1592" s="13">
        <f>IFERROR(__xludf.DUMMYFUNCTION("""COMPUTED_VALUE"""),48.0)</f>
        <v>48</v>
      </c>
      <c r="D1592" s="12" t="str">
        <f>IFERROR(__xludf.DUMMYFUNCTION("""COMPUTED_VALUE"""),"Super cute and flow, perfect for summer")</f>
        <v>Super cute and flow, perfect for summer</v>
      </c>
      <c r="E1592" s="12" t="str">
        <f>IFERROR(__xludf.DUMMYFUNCTION("""COMPUTED_VALUE"""),"I wanted this top ever since i saw it online, it is so me. it's a nice mix of feminine and masculine, you can pair it with a nice pair of jeans or even business pants to dress it up. this will make the perfect summer shirt and it hangs so nicely! i highly"&amp;" recommend this shirt, i would get it before its gone!")</f>
        <v>I wanted this top ever since i saw it online, it is so me. it's a nice mix of feminine and masculine, you can pair it with a nice pair of jeans or even business pants to dress it up. this will make the perfect summer shirt and it hangs so nicely! i highly recommend this shirt, i would get it before its gone!</v>
      </c>
      <c r="F1592" s="13">
        <f>IFERROR(__xludf.DUMMYFUNCTION("""COMPUTED_VALUE"""),5.0)</f>
        <v>5</v>
      </c>
      <c r="G1592" s="13">
        <f>IFERROR(__xludf.DUMMYFUNCTION("""COMPUTED_VALUE"""),1.0)</f>
        <v>1</v>
      </c>
      <c r="H1592" s="13">
        <f>IFERROR(__xludf.DUMMYFUNCTION("""COMPUTED_VALUE"""),3.0)</f>
        <v>3</v>
      </c>
      <c r="I1592" s="13" t="str">
        <f>IFERROR(__xludf.DUMMYFUNCTION("""COMPUTED_VALUE"""),"General")</f>
        <v>General</v>
      </c>
      <c r="J1592" s="13" t="str">
        <f>IFERROR(__xludf.DUMMYFUNCTION("""COMPUTED_VALUE"""),"Tops")</f>
        <v>Tops</v>
      </c>
      <c r="K1592" s="13" t="str">
        <f>IFERROR(__xludf.DUMMYFUNCTION("""COMPUTED_VALUE"""),"Blouses")</f>
        <v>Blouses</v>
      </c>
      <c r="L1592" s="13"/>
    </row>
    <row r="1593">
      <c r="A1593" s="13">
        <f>IFERROR(__xludf.DUMMYFUNCTION("""COMPUTED_VALUE"""),1591.0)</f>
        <v>1591</v>
      </c>
      <c r="B1593" s="13">
        <f>IFERROR(__xludf.DUMMYFUNCTION("""COMPUTED_VALUE"""),115.0)</f>
        <v>115</v>
      </c>
      <c r="C1593" s="13">
        <f>IFERROR(__xludf.DUMMYFUNCTION("""COMPUTED_VALUE"""),39.0)</f>
        <v>39</v>
      </c>
      <c r="D1593" s="12"/>
      <c r="E1593" s="12" t="str">
        <f>IFERROR(__xludf.DUMMYFUNCTION("""COMPUTED_VALUE"""),"The fabric is very soft and the fit is formed to the body. low cut, so may want to pair with a cami. great basic for work!")</f>
        <v>The fabric is very soft and the fit is formed to the body. low cut, so may want to pair with a cami. great basic for work!</v>
      </c>
      <c r="F1593" s="13">
        <f>IFERROR(__xludf.DUMMYFUNCTION("""COMPUTED_VALUE"""),4.0)</f>
        <v>4</v>
      </c>
      <c r="G1593" s="13">
        <f>IFERROR(__xludf.DUMMYFUNCTION("""COMPUTED_VALUE"""),1.0)</f>
        <v>1</v>
      </c>
      <c r="H1593" s="13">
        <f>IFERROR(__xludf.DUMMYFUNCTION("""COMPUTED_VALUE"""),0.0)</f>
        <v>0</v>
      </c>
      <c r="I1593" s="13" t="str">
        <f>IFERROR(__xludf.DUMMYFUNCTION("""COMPUTED_VALUE"""),"Initmates")</f>
        <v>Initmates</v>
      </c>
      <c r="J1593" s="13" t="str">
        <f>IFERROR(__xludf.DUMMYFUNCTION("""COMPUTED_VALUE"""),"Intimate")</f>
        <v>Intimate</v>
      </c>
      <c r="K1593" s="13" t="str">
        <f>IFERROR(__xludf.DUMMYFUNCTION("""COMPUTED_VALUE"""),"Sleep")</f>
        <v>Sleep</v>
      </c>
      <c r="L1593" s="13"/>
    </row>
    <row r="1594">
      <c r="A1594" s="13">
        <f>IFERROR(__xludf.DUMMYFUNCTION("""COMPUTED_VALUE"""),1592.0)</f>
        <v>1592</v>
      </c>
      <c r="B1594" s="13">
        <f>IFERROR(__xludf.DUMMYFUNCTION("""COMPUTED_VALUE"""),878.0)</f>
        <v>878</v>
      </c>
      <c r="C1594" s="13">
        <f>IFERROR(__xludf.DUMMYFUNCTION("""COMPUTED_VALUE"""),51.0)</f>
        <v>51</v>
      </c>
      <c r="D1594" s="12"/>
      <c r="E1594" s="12" t="str">
        <f>IFERROR(__xludf.DUMMYFUNCTION("""COMPUTED_VALUE"""),"I love sundry clothing. this lightweight fleece is the perfect weight. it keeps you warm enough when it's cold, but not hot when it is milder. it's super soft with nice embroidery. size 1 is a great fit for my 5'1"" frame. wear it to hang at home or to go"&amp;" out.")</f>
        <v>I love sundry clothing. this lightweight fleece is the perfect weight. it keeps you warm enough when it's cold, but not hot when it is milder. it's super soft with nice embroidery. size 1 is a great fit for my 5'1" frame. wear it to hang at home or to go out.</v>
      </c>
      <c r="F1594" s="13">
        <f>IFERROR(__xludf.DUMMYFUNCTION("""COMPUTED_VALUE"""),5.0)</f>
        <v>5</v>
      </c>
      <c r="G1594" s="13">
        <f>IFERROR(__xludf.DUMMYFUNCTION("""COMPUTED_VALUE"""),1.0)</f>
        <v>1</v>
      </c>
      <c r="H1594" s="13">
        <f>IFERROR(__xludf.DUMMYFUNCTION("""COMPUTED_VALUE"""),1.0)</f>
        <v>1</v>
      </c>
      <c r="I1594" s="13" t="str">
        <f>IFERROR(__xludf.DUMMYFUNCTION("""COMPUTED_VALUE"""),"General")</f>
        <v>General</v>
      </c>
      <c r="J1594" s="13" t="str">
        <f>IFERROR(__xludf.DUMMYFUNCTION("""COMPUTED_VALUE"""),"Tops")</f>
        <v>Tops</v>
      </c>
      <c r="K1594" s="13" t="str">
        <f>IFERROR(__xludf.DUMMYFUNCTION("""COMPUTED_VALUE"""),"Knits")</f>
        <v>Knits</v>
      </c>
      <c r="L1594" s="13"/>
    </row>
    <row r="1595">
      <c r="A1595" s="13">
        <f>IFERROR(__xludf.DUMMYFUNCTION("""COMPUTED_VALUE"""),1593.0)</f>
        <v>1593</v>
      </c>
      <c r="B1595" s="13">
        <f>IFERROR(__xludf.DUMMYFUNCTION("""COMPUTED_VALUE"""),1094.0)</f>
        <v>1094</v>
      </c>
      <c r="C1595" s="13">
        <f>IFERROR(__xludf.DUMMYFUNCTION("""COMPUTED_VALUE"""),59.0)</f>
        <v>59</v>
      </c>
      <c r="D1595" s="12" t="str">
        <f>IFERROR(__xludf.DUMMYFUNCTION("""COMPUTED_VALUE"""),"Gorgeous big floral")</f>
        <v>Gorgeous big floral</v>
      </c>
      <c r="E1595" s="12" t="str">
        <f>IFERROR(__xludf.DUMMYFUNCTION("""COMPUTED_VALUE"""),"This is a beautiful dress, considering it is made from polyester. that being said, the material has a nice finish and looks like it could be silk. it's a flattering cut (other than being a tad short-waisted) and hangs well. it was also a bit tight through"&amp;" the bust. unfortunately, if you are on the taller side, it tends to be high waisted and short in length.my daughter is 5'11"" and a size 10. the medium fit best, although because of the length, she is reluctantly returning it. sad, because it ha")</f>
        <v>This is a beautiful dress, considering it is made from polyester. that being said, the material has a nice finish and looks like it could be silk. it's a flattering cut (other than being a tad short-waisted) and hangs well. it was also a bit tight through the bust. unfortunately, if you are on the taller side, it tends to be high waisted and short in length.my daughter is 5'11" and a size 10. the medium fit best, although because of the length, she is reluctantly returning it. sad, because it ha</v>
      </c>
      <c r="F1595" s="13">
        <f>IFERROR(__xludf.DUMMYFUNCTION("""COMPUTED_VALUE"""),4.0)</f>
        <v>4</v>
      </c>
      <c r="G1595" s="13">
        <f>IFERROR(__xludf.DUMMYFUNCTION("""COMPUTED_VALUE"""),1.0)</f>
        <v>1</v>
      </c>
      <c r="H1595" s="13">
        <f>IFERROR(__xludf.DUMMYFUNCTION("""COMPUTED_VALUE"""),1.0)</f>
        <v>1</v>
      </c>
      <c r="I1595" s="13" t="str">
        <f>IFERROR(__xludf.DUMMYFUNCTION("""COMPUTED_VALUE"""),"General Petite")</f>
        <v>General Petite</v>
      </c>
      <c r="J1595" s="13" t="str">
        <f>IFERROR(__xludf.DUMMYFUNCTION("""COMPUTED_VALUE"""),"Dresses")</f>
        <v>Dresses</v>
      </c>
      <c r="K1595" s="13" t="str">
        <f>IFERROR(__xludf.DUMMYFUNCTION("""COMPUTED_VALUE"""),"Dresses")</f>
        <v>Dresses</v>
      </c>
      <c r="L1595" s="13"/>
    </row>
    <row r="1596">
      <c r="A1596" s="13">
        <f>IFERROR(__xludf.DUMMYFUNCTION("""COMPUTED_VALUE"""),1594.0)</f>
        <v>1594</v>
      </c>
      <c r="B1596" s="13">
        <f>IFERROR(__xludf.DUMMYFUNCTION("""COMPUTED_VALUE"""),942.0)</f>
        <v>942</v>
      </c>
      <c r="C1596" s="13">
        <f>IFERROR(__xludf.DUMMYFUNCTION("""COMPUTED_VALUE"""),52.0)</f>
        <v>52</v>
      </c>
      <c r="D1596" s="12" t="str">
        <f>IFERROR(__xludf.DUMMYFUNCTION("""COMPUTED_VALUE"""),"Cozy and warm")</f>
        <v>Cozy and warm</v>
      </c>
      <c r="E1596" s="12" t="str">
        <f>IFERROR(__xludf.DUMMYFUNCTION("""COMPUTED_VALUE"""),"This sweater is great for cold weather. it is very comfortable and soft. only down side is it is a little boxy.")</f>
        <v>This sweater is great for cold weather. it is very comfortable and soft. only down side is it is a little boxy.</v>
      </c>
      <c r="F1596" s="13">
        <f>IFERROR(__xludf.DUMMYFUNCTION("""COMPUTED_VALUE"""),4.0)</f>
        <v>4</v>
      </c>
      <c r="G1596" s="13">
        <f>IFERROR(__xludf.DUMMYFUNCTION("""COMPUTED_VALUE"""),1.0)</f>
        <v>1</v>
      </c>
      <c r="H1596" s="13">
        <f>IFERROR(__xludf.DUMMYFUNCTION("""COMPUTED_VALUE"""),4.0)</f>
        <v>4</v>
      </c>
      <c r="I1596" s="13" t="str">
        <f>IFERROR(__xludf.DUMMYFUNCTION("""COMPUTED_VALUE"""),"General")</f>
        <v>General</v>
      </c>
      <c r="J1596" s="13" t="str">
        <f>IFERROR(__xludf.DUMMYFUNCTION("""COMPUTED_VALUE"""),"Tops")</f>
        <v>Tops</v>
      </c>
      <c r="K1596" s="13" t="str">
        <f>IFERROR(__xludf.DUMMYFUNCTION("""COMPUTED_VALUE"""),"Sweaters")</f>
        <v>Sweaters</v>
      </c>
      <c r="L1596" s="13"/>
    </row>
    <row r="1597">
      <c r="A1597" s="13">
        <f>IFERROR(__xludf.DUMMYFUNCTION("""COMPUTED_VALUE"""),1595.0)</f>
        <v>1595</v>
      </c>
      <c r="B1597" s="13">
        <f>IFERROR(__xludf.DUMMYFUNCTION("""COMPUTED_VALUE"""),115.0)</f>
        <v>115</v>
      </c>
      <c r="C1597" s="13">
        <f>IFERROR(__xludf.DUMMYFUNCTION("""COMPUTED_VALUE"""),41.0)</f>
        <v>41</v>
      </c>
      <c r="D1597" s="12" t="str">
        <f>IFERROR(__xludf.DUMMYFUNCTION("""COMPUTED_VALUE"""),"On the fence")</f>
        <v>On the fence</v>
      </c>
      <c r="E1597" s="12" t="str">
        <f>IFERROR(__xludf.DUMMYFUNCTION("""COMPUTED_VALUE"""),"I *loved* the brown color on the model, and i love the wrap style in general. however, i'm not sure if the color looks as goon on me. i first ordered my standard size small (5'7"", 137 lbs 32 b), which fit, but exchanged it for the looser fit (medium) sho"&amp;"wn in the pictures. i really like that the material is a thin, but not see through cotton. it has an extra cotton layer lining in front which is nice. the v isn't too low on me, so i don't *have* to wear a cami under. not really crazy about the s")</f>
        <v>I *loved* the brown color on the model, and i love the wrap style in general. however, i'm not sure if the color looks as goon on me. i first ordered my standard size small (5'7", 137 lbs 32 b), which fit, but exchanged it for the looser fit (medium) shown in the pictures. i really like that the material is a thin, but not see through cotton. it has an extra cotton layer lining in front which is nice. the v isn't too low on me, so i don't *have* to wear a cami under. not really crazy about the s</v>
      </c>
      <c r="F1597" s="13">
        <f>IFERROR(__xludf.DUMMYFUNCTION("""COMPUTED_VALUE"""),3.0)</f>
        <v>3</v>
      </c>
      <c r="G1597" s="13">
        <f>IFERROR(__xludf.DUMMYFUNCTION("""COMPUTED_VALUE"""),1.0)</f>
        <v>1</v>
      </c>
      <c r="H1597" s="13">
        <f>IFERROR(__xludf.DUMMYFUNCTION("""COMPUTED_VALUE"""),0.0)</f>
        <v>0</v>
      </c>
      <c r="I1597" s="13" t="str">
        <f>IFERROR(__xludf.DUMMYFUNCTION("""COMPUTED_VALUE"""),"Initmates")</f>
        <v>Initmates</v>
      </c>
      <c r="J1597" s="13" t="str">
        <f>IFERROR(__xludf.DUMMYFUNCTION("""COMPUTED_VALUE"""),"Intimate")</f>
        <v>Intimate</v>
      </c>
      <c r="K1597" s="13" t="str">
        <f>IFERROR(__xludf.DUMMYFUNCTION("""COMPUTED_VALUE"""),"Sleep")</f>
        <v>Sleep</v>
      </c>
      <c r="L1597" s="13"/>
    </row>
    <row r="1598">
      <c r="A1598" s="13">
        <f>IFERROR(__xludf.DUMMYFUNCTION("""COMPUTED_VALUE"""),1596.0)</f>
        <v>1596</v>
      </c>
      <c r="B1598" s="13">
        <f>IFERROR(__xludf.DUMMYFUNCTION("""COMPUTED_VALUE"""),1059.0)</f>
        <v>1059</v>
      </c>
      <c r="C1598" s="13">
        <f>IFERROR(__xludf.DUMMYFUNCTION("""COMPUTED_VALUE"""),50.0)</f>
        <v>50</v>
      </c>
      <c r="D1598" s="12" t="str">
        <f>IFERROR(__xludf.DUMMYFUNCTION("""COMPUTED_VALUE"""),"I love them!")</f>
        <v>I love them!</v>
      </c>
      <c r="E1598" s="12" t="str">
        <f>IFERROR(__xludf.DUMMYFUNCTION("""COMPUTED_VALUE"""),"Love these pants. the design is totally different and that is what i love! i paired these with the velvet red shoes from this site - also on sale. for me these ran true to size.")</f>
        <v>Love these pants. the design is totally different and that is what i love! i paired these with the velvet red shoes from this site - also on sale. for me these ran true to size.</v>
      </c>
      <c r="F1598" s="13">
        <f>IFERROR(__xludf.DUMMYFUNCTION("""COMPUTED_VALUE"""),5.0)</f>
        <v>5</v>
      </c>
      <c r="G1598" s="13">
        <f>IFERROR(__xludf.DUMMYFUNCTION("""COMPUTED_VALUE"""),1.0)</f>
        <v>1</v>
      </c>
      <c r="H1598" s="13">
        <f>IFERROR(__xludf.DUMMYFUNCTION("""COMPUTED_VALUE"""),0.0)</f>
        <v>0</v>
      </c>
      <c r="I1598" s="13" t="str">
        <f>IFERROR(__xludf.DUMMYFUNCTION("""COMPUTED_VALUE"""),"General Petite")</f>
        <v>General Petite</v>
      </c>
      <c r="J1598" s="13" t="str">
        <f>IFERROR(__xludf.DUMMYFUNCTION("""COMPUTED_VALUE"""),"Bottoms")</f>
        <v>Bottoms</v>
      </c>
      <c r="K1598" s="13" t="str">
        <f>IFERROR(__xludf.DUMMYFUNCTION("""COMPUTED_VALUE"""),"Pants")</f>
        <v>Pants</v>
      </c>
      <c r="L1598" s="13"/>
    </row>
    <row r="1599">
      <c r="A1599" s="13">
        <f>IFERROR(__xludf.DUMMYFUNCTION("""COMPUTED_VALUE"""),1597.0)</f>
        <v>1597</v>
      </c>
      <c r="B1599" s="13">
        <f>IFERROR(__xludf.DUMMYFUNCTION("""COMPUTED_VALUE"""),1078.0)</f>
        <v>1078</v>
      </c>
      <c r="C1599" s="13">
        <f>IFERROR(__xludf.DUMMYFUNCTION("""COMPUTED_VALUE"""),39.0)</f>
        <v>39</v>
      </c>
      <c r="D1599" s="12" t="str">
        <f>IFERROR(__xludf.DUMMYFUNCTION("""COMPUTED_VALUE"""),"Cute and decent make!")</f>
        <v>Cute and decent make!</v>
      </c>
      <c r="E1599" s="12" t="str">
        <f>IFERROR(__xludf.DUMMYFUNCTION("""COMPUTED_VALUE"""),"Someone returned my size so i got to try it on in store. the cut is very flattering, the material is stretchy. the lace part is nicely made too. overall great piece. the petite waist did hit me a little higher than on model, i have a regular torso and sho"&amp;"rt legs (and overall usually need petite)")</f>
        <v>Someone returned my size so i got to try it on in store. the cut is very flattering, the material is stretchy. the lace part is nicely made too. overall great piece. the petite waist did hit me a little higher than on model, i have a regular torso and short legs (and overall usually need petite)</v>
      </c>
      <c r="F1599" s="13">
        <f>IFERROR(__xludf.DUMMYFUNCTION("""COMPUTED_VALUE"""),4.0)</f>
        <v>4</v>
      </c>
      <c r="G1599" s="13">
        <f>IFERROR(__xludf.DUMMYFUNCTION("""COMPUTED_VALUE"""),1.0)</f>
        <v>1</v>
      </c>
      <c r="H1599" s="13">
        <f>IFERROR(__xludf.DUMMYFUNCTION("""COMPUTED_VALUE"""),8.0)</f>
        <v>8</v>
      </c>
      <c r="I1599" s="13" t="str">
        <f>IFERROR(__xludf.DUMMYFUNCTION("""COMPUTED_VALUE"""),"General Petite")</f>
        <v>General Petite</v>
      </c>
      <c r="J1599" s="13" t="str">
        <f>IFERROR(__xludf.DUMMYFUNCTION("""COMPUTED_VALUE"""),"Dresses")</f>
        <v>Dresses</v>
      </c>
      <c r="K1599" s="13" t="str">
        <f>IFERROR(__xludf.DUMMYFUNCTION("""COMPUTED_VALUE"""),"Dresses")</f>
        <v>Dresses</v>
      </c>
      <c r="L1599" s="13"/>
    </row>
    <row r="1600">
      <c r="A1600" s="13">
        <f>IFERROR(__xludf.DUMMYFUNCTION("""COMPUTED_VALUE"""),1598.0)</f>
        <v>1598</v>
      </c>
      <c r="B1600" s="13">
        <f>IFERROR(__xludf.DUMMYFUNCTION("""COMPUTED_VALUE"""),833.0)</f>
        <v>833</v>
      </c>
      <c r="C1600" s="13">
        <f>IFERROR(__xludf.DUMMYFUNCTION("""COMPUTED_VALUE"""),46.0)</f>
        <v>46</v>
      </c>
      <c r="D1600" s="12" t="str">
        <f>IFERROR(__xludf.DUMMYFUNCTION("""COMPUTED_VALUE"""),"Pretty but sheer")</f>
        <v>Pretty but sheer</v>
      </c>
      <c r="E1600" s="12" t="str">
        <f>IFERROR(__xludf.DUMMYFUNCTION("""COMPUTED_VALUE"""),"If you care that it's sheer- be forewarned. i probably won't wear a cami under it, as it's not terrible, but worth noting. that said, its lightweight fabric will be perfect for summer and its design is gorgeous boho at its best. it's cut quite generously "&amp;"and i do wish i'd gone down a size.")</f>
        <v>If you care that it's sheer- be forewarned. i probably won't wear a cami under it, as it's not terrible, but worth noting. that said, its lightweight fabric will be perfect for summer and its design is gorgeous boho at its best. it's cut quite generously and i do wish i'd gone down a size.</v>
      </c>
      <c r="F1600" s="13">
        <f>IFERROR(__xludf.DUMMYFUNCTION("""COMPUTED_VALUE"""),5.0)</f>
        <v>5</v>
      </c>
      <c r="G1600" s="13">
        <f>IFERROR(__xludf.DUMMYFUNCTION("""COMPUTED_VALUE"""),1.0)</f>
        <v>1</v>
      </c>
      <c r="H1600" s="13">
        <f>IFERROR(__xludf.DUMMYFUNCTION("""COMPUTED_VALUE"""),2.0)</f>
        <v>2</v>
      </c>
      <c r="I1600" s="13" t="str">
        <f>IFERROR(__xludf.DUMMYFUNCTION("""COMPUTED_VALUE"""),"General")</f>
        <v>General</v>
      </c>
      <c r="J1600" s="13" t="str">
        <f>IFERROR(__xludf.DUMMYFUNCTION("""COMPUTED_VALUE"""),"Tops")</f>
        <v>Tops</v>
      </c>
      <c r="K1600" s="13" t="str">
        <f>IFERROR(__xludf.DUMMYFUNCTION("""COMPUTED_VALUE"""),"Blouses")</f>
        <v>Blouses</v>
      </c>
      <c r="L1600" s="13"/>
    </row>
    <row r="1601">
      <c r="A1601" s="13">
        <f>IFERROR(__xludf.DUMMYFUNCTION("""COMPUTED_VALUE"""),1599.0)</f>
        <v>1599</v>
      </c>
      <c r="B1601" s="13">
        <f>IFERROR(__xludf.DUMMYFUNCTION("""COMPUTED_VALUE"""),1051.0)</f>
        <v>1051</v>
      </c>
      <c r="C1601" s="13">
        <f>IFERROR(__xludf.DUMMYFUNCTION("""COMPUTED_VALUE"""),25.0)</f>
        <v>25</v>
      </c>
      <c r="D1601" s="12" t="str">
        <f>IFERROR(__xludf.DUMMYFUNCTION("""COMPUTED_VALUE"""),"Not quite perfect")</f>
        <v>Not quite perfect</v>
      </c>
      <c r="E1601" s="12" t="str">
        <f>IFERROR(__xludf.DUMMYFUNCTION("""COMPUTED_VALUE"""),"I really love the look of this jumpsuit, casual but classy. shapely but comfortable. i'm 5'4 and, similar to another reviewer, proportional torso to leg ratio. the legs were longer on me than the model in the picture, but no problem there because they're "&amp;"cuffed.however the arm holes are too big. my bra shows, and the particular one i got came damaged with some of the embroidery coming unraveled on the back. it's also supposed to be dry cleaned and that's annoying for casual wear. returning it.")</f>
        <v>I really love the look of this jumpsuit, casual but classy. shapely but comfortable. i'm 5'4 and, similar to another reviewer, proportional torso to leg ratio. the legs were longer on me than the model in the picture, but no problem there because they're cuffed.however the arm holes are too big. my bra shows, and the particular one i got came damaged with some of the embroidery coming unraveled on the back. it's also supposed to be dry cleaned and that's annoying for casual wear. returning it.</v>
      </c>
      <c r="F1601" s="13">
        <f>IFERROR(__xludf.DUMMYFUNCTION("""COMPUTED_VALUE"""),3.0)</f>
        <v>3</v>
      </c>
      <c r="G1601" s="13">
        <f>IFERROR(__xludf.DUMMYFUNCTION("""COMPUTED_VALUE"""),1.0)</f>
        <v>1</v>
      </c>
      <c r="H1601" s="13">
        <f>IFERROR(__xludf.DUMMYFUNCTION("""COMPUTED_VALUE"""),1.0)</f>
        <v>1</v>
      </c>
      <c r="I1601" s="13" t="str">
        <f>IFERROR(__xludf.DUMMYFUNCTION("""COMPUTED_VALUE"""),"General Petite")</f>
        <v>General Petite</v>
      </c>
      <c r="J1601" s="13" t="str">
        <f>IFERROR(__xludf.DUMMYFUNCTION("""COMPUTED_VALUE"""),"Bottoms")</f>
        <v>Bottoms</v>
      </c>
      <c r="K1601" s="13" t="str">
        <f>IFERROR(__xludf.DUMMYFUNCTION("""COMPUTED_VALUE"""),"Pants")</f>
        <v>Pants</v>
      </c>
      <c r="L1601" s="13"/>
    </row>
    <row r="1602">
      <c r="A1602" s="13">
        <f>IFERROR(__xludf.DUMMYFUNCTION("""COMPUTED_VALUE"""),1600.0)</f>
        <v>1600</v>
      </c>
      <c r="B1602" s="13">
        <f>IFERROR(__xludf.DUMMYFUNCTION("""COMPUTED_VALUE"""),1059.0)</f>
        <v>1059</v>
      </c>
      <c r="C1602" s="13">
        <f>IFERROR(__xludf.DUMMYFUNCTION("""COMPUTED_VALUE"""),54.0)</f>
        <v>54</v>
      </c>
      <c r="D1602" s="12" t="str">
        <f>IFERROR(__xludf.DUMMYFUNCTION("""COMPUTED_VALUE"""),"Wanted to love these but didn't")</f>
        <v>Wanted to love these but didn't</v>
      </c>
      <c r="E1602" s="12" t="str">
        <f>IFERROR(__xludf.DUMMYFUNCTION("""COMPUTED_VALUE"""),"I sized up based on other reviews which was good advice. i am typically a size 6 but sized up to a 10. the pants are very unique and i think on the right body type would look amazing. it seems like someone with curves and a small waist might fit these spl"&amp;"endidly...but that's not me. i had some extra material puffing about in the zipper region. i also expected the material to be thicker but found it to be more silky.")</f>
        <v>I sized up based on other reviews which was good advice. i am typically a size 6 but sized up to a 10. the pants are very unique and i think on the right body type would look amazing. it seems like someone with curves and a small waist might fit these splendidly...but that's not me. i had some extra material puffing about in the zipper region. i also expected the material to be thicker but found it to be more silky.</v>
      </c>
      <c r="F1602" s="13">
        <f>IFERROR(__xludf.DUMMYFUNCTION("""COMPUTED_VALUE"""),3.0)</f>
        <v>3</v>
      </c>
      <c r="G1602" s="13">
        <f>IFERROR(__xludf.DUMMYFUNCTION("""COMPUTED_VALUE"""),0.0)</f>
        <v>0</v>
      </c>
      <c r="H1602" s="13">
        <f>IFERROR(__xludf.DUMMYFUNCTION("""COMPUTED_VALUE"""),1.0)</f>
        <v>1</v>
      </c>
      <c r="I1602" s="13" t="str">
        <f>IFERROR(__xludf.DUMMYFUNCTION("""COMPUTED_VALUE"""),"General Petite")</f>
        <v>General Petite</v>
      </c>
      <c r="J1602" s="13" t="str">
        <f>IFERROR(__xludf.DUMMYFUNCTION("""COMPUTED_VALUE"""),"Bottoms")</f>
        <v>Bottoms</v>
      </c>
      <c r="K1602" s="13" t="str">
        <f>IFERROR(__xludf.DUMMYFUNCTION("""COMPUTED_VALUE"""),"Pants")</f>
        <v>Pants</v>
      </c>
      <c r="L1602" s="13"/>
    </row>
    <row r="1603">
      <c r="A1603" s="13">
        <f>IFERROR(__xludf.DUMMYFUNCTION("""COMPUTED_VALUE"""),1601.0)</f>
        <v>1601</v>
      </c>
      <c r="B1603" s="13">
        <f>IFERROR(__xludf.DUMMYFUNCTION("""COMPUTED_VALUE"""),1059.0)</f>
        <v>1059</v>
      </c>
      <c r="C1603" s="13">
        <f>IFERROR(__xludf.DUMMYFUNCTION("""COMPUTED_VALUE"""),54.0)</f>
        <v>54</v>
      </c>
      <c r="D1603" s="12"/>
      <c r="E1603" s="12" t="str">
        <f>IFERROR(__xludf.DUMMYFUNCTION("""COMPUTED_VALUE"""),"I'm so glad the other reviewer also found these small. literally, the largest size i have ever bought. but the style is really cute, sort of dapper british boy...")</f>
        <v>I'm so glad the other reviewer also found these small. literally, the largest size i have ever bought. but the style is really cute, sort of dapper british boy...</v>
      </c>
      <c r="F1603" s="13">
        <f>IFERROR(__xludf.DUMMYFUNCTION("""COMPUTED_VALUE"""),4.0)</f>
        <v>4</v>
      </c>
      <c r="G1603" s="13">
        <f>IFERROR(__xludf.DUMMYFUNCTION("""COMPUTED_VALUE"""),1.0)</f>
        <v>1</v>
      </c>
      <c r="H1603" s="13">
        <f>IFERROR(__xludf.DUMMYFUNCTION("""COMPUTED_VALUE"""),9.0)</f>
        <v>9</v>
      </c>
      <c r="I1603" s="13" t="str">
        <f>IFERROR(__xludf.DUMMYFUNCTION("""COMPUTED_VALUE"""),"General Petite")</f>
        <v>General Petite</v>
      </c>
      <c r="J1603" s="13" t="str">
        <f>IFERROR(__xludf.DUMMYFUNCTION("""COMPUTED_VALUE"""),"Bottoms")</f>
        <v>Bottoms</v>
      </c>
      <c r="K1603" s="13" t="str">
        <f>IFERROR(__xludf.DUMMYFUNCTION("""COMPUTED_VALUE"""),"Pants")</f>
        <v>Pants</v>
      </c>
      <c r="L1603" s="13"/>
    </row>
    <row r="1604">
      <c r="A1604" s="13">
        <f>IFERROR(__xludf.DUMMYFUNCTION("""COMPUTED_VALUE"""),1602.0)</f>
        <v>1602</v>
      </c>
      <c r="B1604" s="13">
        <f>IFERROR(__xludf.DUMMYFUNCTION("""COMPUTED_VALUE"""),1059.0)</f>
        <v>1059</v>
      </c>
      <c r="C1604" s="13">
        <f>IFERROR(__xludf.DUMMYFUNCTION("""COMPUTED_VALUE"""),51.0)</f>
        <v>51</v>
      </c>
      <c r="D1604" s="12" t="str">
        <f>IFERROR(__xludf.DUMMYFUNCTION("""COMPUTED_VALUE"""),"Maybe not for everyone")</f>
        <v>Maybe not for everyone</v>
      </c>
      <c r="E1604" s="12" t="str">
        <f>IFERROR(__xludf.DUMMYFUNCTION("""COMPUTED_VALUE"""),"Got these in the red brick color, and unfortunately had to send them back. these are really cute and i loved the color and pattern, but they ran very small, and the cut between the legs and hips was odd. this may not have been a problem had i gone up at l"&amp;"east one size. best to try them on if possible.")</f>
        <v>Got these in the red brick color, and unfortunately had to send them back. these are really cute and i loved the color and pattern, but they ran very small, and the cut between the legs and hips was odd. this may not have been a problem had i gone up at least one size. best to try them on if possible.</v>
      </c>
      <c r="F1604" s="13">
        <f>IFERROR(__xludf.DUMMYFUNCTION("""COMPUTED_VALUE"""),4.0)</f>
        <v>4</v>
      </c>
      <c r="G1604" s="13">
        <f>IFERROR(__xludf.DUMMYFUNCTION("""COMPUTED_VALUE"""),0.0)</f>
        <v>0</v>
      </c>
      <c r="H1604" s="13">
        <f>IFERROR(__xludf.DUMMYFUNCTION("""COMPUTED_VALUE"""),0.0)</f>
        <v>0</v>
      </c>
      <c r="I1604" s="13" t="str">
        <f>IFERROR(__xludf.DUMMYFUNCTION("""COMPUTED_VALUE"""),"General Petite")</f>
        <v>General Petite</v>
      </c>
      <c r="J1604" s="13" t="str">
        <f>IFERROR(__xludf.DUMMYFUNCTION("""COMPUTED_VALUE"""),"Bottoms")</f>
        <v>Bottoms</v>
      </c>
      <c r="K1604" s="13" t="str">
        <f>IFERROR(__xludf.DUMMYFUNCTION("""COMPUTED_VALUE"""),"Pants")</f>
        <v>Pants</v>
      </c>
      <c r="L1604" s="13"/>
    </row>
    <row r="1605">
      <c r="A1605" s="13">
        <f>IFERROR(__xludf.DUMMYFUNCTION("""COMPUTED_VALUE"""),1603.0)</f>
        <v>1603</v>
      </c>
      <c r="B1605" s="13">
        <f>IFERROR(__xludf.DUMMYFUNCTION("""COMPUTED_VALUE"""),1051.0)</f>
        <v>1051</v>
      </c>
      <c r="C1605" s="13">
        <f>IFERROR(__xludf.DUMMYFUNCTION("""COMPUTED_VALUE"""),47.0)</f>
        <v>47</v>
      </c>
      <c r="D1605" s="12" t="str">
        <f>IFERROR(__xludf.DUMMYFUNCTION("""COMPUTED_VALUE"""),"Could live in this jumpsuit")</f>
        <v>Could live in this jumpsuit</v>
      </c>
      <c r="E1605" s="12" t="str">
        <f>IFERROR(__xludf.DUMMYFUNCTION("""COMPUTED_VALUE"""),"So comfortable, great fit, dress it up with wedges, down with flats,
extremely soft and flattering. i normally wear a xs/s and the small fit perfectly. i'm 5'6"" and the length is just slightly cropped.")</f>
        <v>So comfortable, great fit, dress it up with wedges, down with flats,
extremely soft and flattering. i normally wear a xs/s and the small fit perfectly. i'm 5'6" and the length is just slightly cropped.</v>
      </c>
      <c r="F1605" s="13">
        <f>IFERROR(__xludf.DUMMYFUNCTION("""COMPUTED_VALUE"""),5.0)</f>
        <v>5</v>
      </c>
      <c r="G1605" s="13">
        <f>IFERROR(__xludf.DUMMYFUNCTION("""COMPUTED_VALUE"""),1.0)</f>
        <v>1</v>
      </c>
      <c r="H1605" s="13">
        <f>IFERROR(__xludf.DUMMYFUNCTION("""COMPUTED_VALUE"""),0.0)</f>
        <v>0</v>
      </c>
      <c r="I1605" s="13" t="str">
        <f>IFERROR(__xludf.DUMMYFUNCTION("""COMPUTED_VALUE"""),"General Petite")</f>
        <v>General Petite</v>
      </c>
      <c r="J1605" s="13" t="str">
        <f>IFERROR(__xludf.DUMMYFUNCTION("""COMPUTED_VALUE"""),"Bottoms")</f>
        <v>Bottoms</v>
      </c>
      <c r="K1605" s="13" t="str">
        <f>IFERROR(__xludf.DUMMYFUNCTION("""COMPUTED_VALUE"""),"Pants")</f>
        <v>Pants</v>
      </c>
      <c r="L1605" s="13"/>
    </row>
    <row r="1606">
      <c r="A1606" s="13">
        <f>IFERROR(__xludf.DUMMYFUNCTION("""COMPUTED_VALUE"""),1604.0)</f>
        <v>1604</v>
      </c>
      <c r="B1606" s="13">
        <f>IFERROR(__xludf.DUMMYFUNCTION("""COMPUTED_VALUE"""),1059.0)</f>
        <v>1059</v>
      </c>
      <c r="C1606" s="13">
        <f>IFERROR(__xludf.DUMMYFUNCTION("""COMPUTED_VALUE"""),79.0)</f>
        <v>79</v>
      </c>
      <c r="D1606" s="12" t="str">
        <f>IFERROR(__xludf.DUMMYFUNCTION("""COMPUTED_VALUE"""),"Cute and funky work pants")</f>
        <v>Cute and funky work pants</v>
      </c>
      <c r="E1606" s="12" t="str">
        <f>IFERROR(__xludf.DUMMYFUNCTION("""COMPUTED_VALUE"""),"I just purchased these pants in red on sale. i am 5/5"", 143 pounds, and the 10 fit perfectly (i am either an 8 or a 10 in pants, depending upon brand). it is really hard for me to find pants that are cute, unique, work-appropriate, and flattering. these "&amp;"pants fit the bill in all aspects. i thought i would prefer the black, but am really glad i got the red.")</f>
        <v>I just purchased these pants in red on sale. i am 5/5", 143 pounds, and the 10 fit perfectly (i am either an 8 or a 10 in pants, depending upon brand). it is really hard for me to find pants that are cute, unique, work-appropriate, and flattering. these pants fit the bill in all aspects. i thought i would prefer the black, but am really glad i got the red.</v>
      </c>
      <c r="F1606" s="13">
        <f>IFERROR(__xludf.DUMMYFUNCTION("""COMPUTED_VALUE"""),5.0)</f>
        <v>5</v>
      </c>
      <c r="G1606" s="13">
        <f>IFERROR(__xludf.DUMMYFUNCTION("""COMPUTED_VALUE"""),1.0)</f>
        <v>1</v>
      </c>
      <c r="H1606" s="13">
        <f>IFERROR(__xludf.DUMMYFUNCTION("""COMPUTED_VALUE"""),1.0)</f>
        <v>1</v>
      </c>
      <c r="I1606" s="13" t="str">
        <f>IFERROR(__xludf.DUMMYFUNCTION("""COMPUTED_VALUE"""),"General Petite")</f>
        <v>General Petite</v>
      </c>
      <c r="J1606" s="13" t="str">
        <f>IFERROR(__xludf.DUMMYFUNCTION("""COMPUTED_VALUE"""),"Bottoms")</f>
        <v>Bottoms</v>
      </c>
      <c r="K1606" s="13" t="str">
        <f>IFERROR(__xludf.DUMMYFUNCTION("""COMPUTED_VALUE"""),"Pants")</f>
        <v>Pants</v>
      </c>
      <c r="L1606" s="13"/>
    </row>
    <row r="1607">
      <c r="A1607" s="13">
        <f>IFERROR(__xludf.DUMMYFUNCTION("""COMPUTED_VALUE"""),1605.0)</f>
        <v>1605</v>
      </c>
      <c r="B1607" s="13">
        <f>IFERROR(__xludf.DUMMYFUNCTION("""COMPUTED_VALUE"""),1078.0)</f>
        <v>1078</v>
      </c>
      <c r="C1607" s="13">
        <f>IFERROR(__xludf.DUMMYFUNCTION("""COMPUTED_VALUE"""),55.0)</f>
        <v>55</v>
      </c>
      <c r="D1607" s="12" t="str">
        <f>IFERROR(__xludf.DUMMYFUNCTION("""COMPUTED_VALUE"""),"Nice winter dress")</f>
        <v>Nice winter dress</v>
      </c>
      <c r="E1607" s="12" t="str">
        <f>IFERROR(__xludf.DUMMYFUNCTION("""COMPUTED_VALUE"""),"Great dress, fit perfectly warm for the winter, i live in florida it will be great if we get a winter next year. very comfortable and easy to wear.")</f>
        <v>Great dress, fit perfectly warm for the winter, i live in florida it will be great if we get a winter next year. very comfortable and easy to wear.</v>
      </c>
      <c r="F1607" s="13">
        <f>IFERROR(__xludf.DUMMYFUNCTION("""COMPUTED_VALUE"""),5.0)</f>
        <v>5</v>
      </c>
      <c r="G1607" s="13">
        <f>IFERROR(__xludf.DUMMYFUNCTION("""COMPUTED_VALUE"""),1.0)</f>
        <v>1</v>
      </c>
      <c r="H1607" s="13">
        <f>IFERROR(__xludf.DUMMYFUNCTION("""COMPUTED_VALUE"""),0.0)</f>
        <v>0</v>
      </c>
      <c r="I1607" s="13" t="str">
        <f>IFERROR(__xludf.DUMMYFUNCTION("""COMPUTED_VALUE"""),"General Petite")</f>
        <v>General Petite</v>
      </c>
      <c r="J1607" s="13" t="str">
        <f>IFERROR(__xludf.DUMMYFUNCTION("""COMPUTED_VALUE"""),"Dresses")</f>
        <v>Dresses</v>
      </c>
      <c r="K1607" s="13" t="str">
        <f>IFERROR(__xludf.DUMMYFUNCTION("""COMPUTED_VALUE"""),"Dresses")</f>
        <v>Dresses</v>
      </c>
      <c r="L1607" s="13"/>
    </row>
    <row r="1608">
      <c r="A1608" s="13">
        <f>IFERROR(__xludf.DUMMYFUNCTION("""COMPUTED_VALUE"""),1606.0)</f>
        <v>1606</v>
      </c>
      <c r="B1608" s="13">
        <f>IFERROR(__xludf.DUMMYFUNCTION("""COMPUTED_VALUE"""),1051.0)</f>
        <v>1051</v>
      </c>
      <c r="C1608" s="13">
        <f>IFERROR(__xludf.DUMMYFUNCTION("""COMPUTED_VALUE"""),58.0)</f>
        <v>58</v>
      </c>
      <c r="D1608" s="12" t="str">
        <f>IFERROR(__xludf.DUMMYFUNCTION("""COMPUTED_VALUE"""),"Great romper but not for all body types!!")</f>
        <v>Great romper but not for all body types!!</v>
      </c>
      <c r="E1608" s="12" t="str">
        <f>IFERROR(__xludf.DUMMYFUNCTION("""COMPUTED_VALUE"""),"Tried this romper on in store and wanted to love it but it just didn't fit me right. it'a great romper, cute design, super soft-light fabric and overall a great feel but it doesn't work to well for short girls with any types of hips. i have a very small w"&amp;"aist and larger bottom and this romper just was very unflattering. i couldn't get the tie waist to sit anywhere that felt like my natural waist, instead it kept giving me a kangaroo pouch and hung on my upper thighs. sizing up didn't help becaus")</f>
        <v>Tried this romper on in store and wanted to love it but it just didn't fit me right. it'a great romper, cute design, super soft-light fabric and overall a great feel but it doesn't work to well for short girls with any types of hips. i have a very small waist and larger bottom and this romper just was very unflattering. i couldn't get the tie waist to sit anywhere that felt like my natural waist, instead it kept giving me a kangaroo pouch and hung on my upper thighs. sizing up didn't help becaus</v>
      </c>
      <c r="F1608" s="13">
        <f>IFERROR(__xludf.DUMMYFUNCTION("""COMPUTED_VALUE"""),4.0)</f>
        <v>4</v>
      </c>
      <c r="G1608" s="13">
        <f>IFERROR(__xludf.DUMMYFUNCTION("""COMPUTED_VALUE"""),1.0)</f>
        <v>1</v>
      </c>
      <c r="H1608" s="13">
        <f>IFERROR(__xludf.DUMMYFUNCTION("""COMPUTED_VALUE"""),4.0)</f>
        <v>4</v>
      </c>
      <c r="I1608" s="13" t="str">
        <f>IFERROR(__xludf.DUMMYFUNCTION("""COMPUTED_VALUE"""),"General Petite")</f>
        <v>General Petite</v>
      </c>
      <c r="J1608" s="13" t="str">
        <f>IFERROR(__xludf.DUMMYFUNCTION("""COMPUTED_VALUE"""),"Bottoms")</f>
        <v>Bottoms</v>
      </c>
      <c r="K1608" s="13" t="str">
        <f>IFERROR(__xludf.DUMMYFUNCTION("""COMPUTED_VALUE"""),"Pants")</f>
        <v>Pants</v>
      </c>
      <c r="L1608" s="13"/>
    </row>
    <row r="1609">
      <c r="A1609" s="13">
        <f>IFERROR(__xludf.DUMMYFUNCTION("""COMPUTED_VALUE"""),1607.0)</f>
        <v>1607</v>
      </c>
      <c r="B1609" s="13">
        <f>IFERROR(__xludf.DUMMYFUNCTION("""COMPUTED_VALUE"""),833.0)</f>
        <v>833</v>
      </c>
      <c r="C1609" s="13">
        <f>IFERROR(__xludf.DUMMYFUNCTION("""COMPUTED_VALUE"""),66.0)</f>
        <v>66</v>
      </c>
      <c r="D1609" s="12"/>
      <c r="E1609" s="12" t="str">
        <f>IFERROR(__xludf.DUMMYFUNCTION("""COMPUTED_VALUE"""),"Being somewhat on the 'fluffy' side, the style is very flattering and forgiving and will be ideal for summer. i am between a size 14 and a 16 and the 14 fits perfectly. light and airy a very nice, simple embroidery in contrasting color. very chic in an ef"&amp;"fortless way. the armholes are just right--not too big! the color is definitely a creamy ivory. worth the cost because i don't think it will be available for too long.")</f>
        <v>Being somewhat on the 'fluffy' side, the style is very flattering and forgiving and will be ideal for summer. i am between a size 14 and a 16 and the 14 fits perfectly. light and airy a very nice, simple embroidery in contrasting color. very chic in an effortless way. the armholes are just right--not too big! the color is definitely a creamy ivory. worth the cost because i don't think it will be available for too long.</v>
      </c>
      <c r="F1609" s="13">
        <f>IFERROR(__xludf.DUMMYFUNCTION("""COMPUTED_VALUE"""),5.0)</f>
        <v>5</v>
      </c>
      <c r="G1609" s="13">
        <f>IFERROR(__xludf.DUMMYFUNCTION("""COMPUTED_VALUE"""),1.0)</f>
        <v>1</v>
      </c>
      <c r="H1609" s="13">
        <f>IFERROR(__xludf.DUMMYFUNCTION("""COMPUTED_VALUE"""),15.0)</f>
        <v>15</v>
      </c>
      <c r="I1609" s="13" t="str">
        <f>IFERROR(__xludf.DUMMYFUNCTION("""COMPUTED_VALUE"""),"General")</f>
        <v>General</v>
      </c>
      <c r="J1609" s="13" t="str">
        <f>IFERROR(__xludf.DUMMYFUNCTION("""COMPUTED_VALUE"""),"Tops")</f>
        <v>Tops</v>
      </c>
      <c r="K1609" s="13" t="str">
        <f>IFERROR(__xludf.DUMMYFUNCTION("""COMPUTED_VALUE"""),"Blouses")</f>
        <v>Blouses</v>
      </c>
      <c r="L1609" s="13"/>
    </row>
    <row r="1610">
      <c r="A1610" s="13">
        <f>IFERROR(__xludf.DUMMYFUNCTION("""COMPUTED_VALUE"""),1608.0)</f>
        <v>1608</v>
      </c>
      <c r="B1610" s="13">
        <f>IFERROR(__xludf.DUMMYFUNCTION("""COMPUTED_VALUE"""),1051.0)</f>
        <v>1051</v>
      </c>
      <c r="C1610" s="13">
        <f>IFERROR(__xludf.DUMMYFUNCTION("""COMPUTED_VALUE"""),53.0)</f>
        <v>53</v>
      </c>
      <c r="D1610" s="12" t="str">
        <f>IFERROR(__xludf.DUMMYFUNCTION("""COMPUTED_VALUE"""),"Material was light and comfortable")</f>
        <v>Material was light and comfortable</v>
      </c>
      <c r="E1610" s="12" t="str">
        <f>IFERROR(__xludf.DUMMYFUNCTION("""COMPUTED_VALUE"""),"I loved the jumpsuit but unfortunately had to return it due to running a little on the small size.")</f>
        <v>I loved the jumpsuit but unfortunately had to return it due to running a little on the small size.</v>
      </c>
      <c r="F1610" s="13">
        <f>IFERROR(__xludf.DUMMYFUNCTION("""COMPUTED_VALUE"""),5.0)</f>
        <v>5</v>
      </c>
      <c r="G1610" s="13">
        <f>IFERROR(__xludf.DUMMYFUNCTION("""COMPUTED_VALUE"""),1.0)</f>
        <v>1</v>
      </c>
      <c r="H1610" s="13">
        <f>IFERROR(__xludf.DUMMYFUNCTION("""COMPUTED_VALUE"""),1.0)</f>
        <v>1</v>
      </c>
      <c r="I1610" s="13" t="str">
        <f>IFERROR(__xludf.DUMMYFUNCTION("""COMPUTED_VALUE"""),"General Petite")</f>
        <v>General Petite</v>
      </c>
      <c r="J1610" s="13" t="str">
        <f>IFERROR(__xludf.DUMMYFUNCTION("""COMPUTED_VALUE"""),"Bottoms")</f>
        <v>Bottoms</v>
      </c>
      <c r="K1610" s="13" t="str">
        <f>IFERROR(__xludf.DUMMYFUNCTION("""COMPUTED_VALUE"""),"Pants")</f>
        <v>Pants</v>
      </c>
      <c r="L1610" s="13"/>
    </row>
    <row r="1611">
      <c r="A1611" s="13">
        <f>IFERROR(__xludf.DUMMYFUNCTION("""COMPUTED_VALUE"""),1609.0)</f>
        <v>1609</v>
      </c>
      <c r="B1611" s="13">
        <f>IFERROR(__xludf.DUMMYFUNCTION("""COMPUTED_VALUE"""),1059.0)</f>
        <v>1059</v>
      </c>
      <c r="C1611" s="13">
        <f>IFERROR(__xludf.DUMMYFUNCTION("""COMPUTED_VALUE"""),40.0)</f>
        <v>40</v>
      </c>
      <c r="D1611" s="12" t="str">
        <f>IFERROR(__xludf.DUMMYFUNCTION("""COMPUTED_VALUE"""),"Unique and well made")</f>
        <v>Unique and well made</v>
      </c>
      <c r="E1611" s="12" t="str">
        <f>IFERROR(__xludf.DUMMYFUNCTION("""COMPUTED_VALUE"""),"I love these pants! beautiful quality material, soft on the skin. fits well. definitely a tailored fit. true to size. unique design, and really fun!
i am 5 foot 5, and weigh 132 lbs. i am apple shaped, so i was worried these would be too tight around the "&amp;"hips, but they aren't .")</f>
        <v>I love these pants! beautiful quality material, soft on the skin. fits well. definitely a tailored fit. true to size. unique design, and really fun!
i am 5 foot 5, and weigh 132 lbs. i am apple shaped, so i was worried these would be too tight around the hips, but they aren't .</v>
      </c>
      <c r="F1611" s="13">
        <f>IFERROR(__xludf.DUMMYFUNCTION("""COMPUTED_VALUE"""),5.0)</f>
        <v>5</v>
      </c>
      <c r="G1611" s="13">
        <f>IFERROR(__xludf.DUMMYFUNCTION("""COMPUTED_VALUE"""),1.0)</f>
        <v>1</v>
      </c>
      <c r="H1611" s="13">
        <f>IFERROR(__xludf.DUMMYFUNCTION("""COMPUTED_VALUE"""),0.0)</f>
        <v>0</v>
      </c>
      <c r="I1611" s="13" t="str">
        <f>IFERROR(__xludf.DUMMYFUNCTION("""COMPUTED_VALUE"""),"General Petite")</f>
        <v>General Petite</v>
      </c>
      <c r="J1611" s="13" t="str">
        <f>IFERROR(__xludf.DUMMYFUNCTION("""COMPUTED_VALUE"""),"Bottoms")</f>
        <v>Bottoms</v>
      </c>
      <c r="K1611" s="13" t="str">
        <f>IFERROR(__xludf.DUMMYFUNCTION("""COMPUTED_VALUE"""),"Pants")</f>
        <v>Pants</v>
      </c>
      <c r="L1611" s="13"/>
    </row>
    <row r="1612">
      <c r="A1612" s="13">
        <f>IFERROR(__xludf.DUMMYFUNCTION("""COMPUTED_VALUE"""),1610.0)</f>
        <v>1610</v>
      </c>
      <c r="B1612" s="13">
        <f>IFERROR(__xludf.DUMMYFUNCTION("""COMPUTED_VALUE"""),1051.0)</f>
        <v>1051</v>
      </c>
      <c r="C1612" s="13">
        <f>IFERROR(__xludf.DUMMYFUNCTION("""COMPUTED_VALUE"""),30.0)</f>
        <v>30</v>
      </c>
      <c r="D1612" s="12" t="str">
        <f>IFERROR(__xludf.DUMMYFUNCTION("""COMPUTED_VALUE"""),"Not for me")</f>
        <v>Not for me</v>
      </c>
      <c r="E1612" s="12" t="str">
        <f>IFERROR(__xludf.DUMMYFUNCTION("""COMPUTED_VALUE"""),"I really liked this jumpsuit but it just wasn't perfect. the design at the top is a bit stiff compared to the rest of the jumpsuit. i felt the whole thing ran just slightly too large. it was nice - but not amazing.")</f>
        <v>I really liked this jumpsuit but it just wasn't perfect. the design at the top is a bit stiff compared to the rest of the jumpsuit. i felt the whole thing ran just slightly too large. it was nice - but not amazing.</v>
      </c>
      <c r="F1612" s="13">
        <f>IFERROR(__xludf.DUMMYFUNCTION("""COMPUTED_VALUE"""),4.0)</f>
        <v>4</v>
      </c>
      <c r="G1612" s="13">
        <f>IFERROR(__xludf.DUMMYFUNCTION("""COMPUTED_VALUE"""),1.0)</f>
        <v>1</v>
      </c>
      <c r="H1612" s="13">
        <f>IFERROR(__xludf.DUMMYFUNCTION("""COMPUTED_VALUE"""),0.0)</f>
        <v>0</v>
      </c>
      <c r="I1612" s="13" t="str">
        <f>IFERROR(__xludf.DUMMYFUNCTION("""COMPUTED_VALUE"""),"General Petite")</f>
        <v>General Petite</v>
      </c>
      <c r="J1612" s="13" t="str">
        <f>IFERROR(__xludf.DUMMYFUNCTION("""COMPUTED_VALUE"""),"Bottoms")</f>
        <v>Bottoms</v>
      </c>
      <c r="K1612" s="13" t="str">
        <f>IFERROR(__xludf.DUMMYFUNCTION("""COMPUTED_VALUE"""),"Pants")</f>
        <v>Pants</v>
      </c>
      <c r="L1612" s="13"/>
    </row>
    <row r="1613">
      <c r="A1613" s="13">
        <f>IFERROR(__xludf.DUMMYFUNCTION("""COMPUTED_VALUE"""),1611.0)</f>
        <v>1611</v>
      </c>
      <c r="B1613" s="13">
        <f>IFERROR(__xludf.DUMMYFUNCTION("""COMPUTED_VALUE"""),992.0)</f>
        <v>992</v>
      </c>
      <c r="C1613" s="13">
        <f>IFERROR(__xludf.DUMMYFUNCTION("""COMPUTED_VALUE"""),50.0)</f>
        <v>50</v>
      </c>
      <c r="D1613" s="12"/>
      <c r="E1613" s="12"/>
      <c r="F1613" s="13">
        <f>IFERROR(__xludf.DUMMYFUNCTION("""COMPUTED_VALUE"""),5.0)</f>
        <v>5</v>
      </c>
      <c r="G1613" s="13">
        <f>IFERROR(__xludf.DUMMYFUNCTION("""COMPUTED_VALUE"""),1.0)</f>
        <v>1</v>
      </c>
      <c r="H1613" s="13">
        <f>IFERROR(__xludf.DUMMYFUNCTION("""COMPUTED_VALUE"""),0.0)</f>
        <v>0</v>
      </c>
      <c r="I1613" s="13" t="str">
        <f>IFERROR(__xludf.DUMMYFUNCTION("""COMPUTED_VALUE"""),"General Petite")</f>
        <v>General Petite</v>
      </c>
      <c r="J1613" s="13" t="str">
        <f>IFERROR(__xludf.DUMMYFUNCTION("""COMPUTED_VALUE"""),"Bottoms")</f>
        <v>Bottoms</v>
      </c>
      <c r="K1613" s="13" t="str">
        <f>IFERROR(__xludf.DUMMYFUNCTION("""COMPUTED_VALUE"""),"Skirts")</f>
        <v>Skirts</v>
      </c>
      <c r="L1613" s="13"/>
    </row>
    <row r="1614">
      <c r="A1614" s="13">
        <f>IFERROR(__xludf.DUMMYFUNCTION("""COMPUTED_VALUE"""),1612.0)</f>
        <v>1612</v>
      </c>
      <c r="B1614" s="13">
        <f>IFERROR(__xludf.DUMMYFUNCTION("""COMPUTED_VALUE"""),1051.0)</f>
        <v>1051</v>
      </c>
      <c r="C1614" s="13">
        <f>IFERROR(__xludf.DUMMYFUNCTION("""COMPUTED_VALUE"""),33.0)</f>
        <v>33</v>
      </c>
      <c r="D1614" s="12" t="str">
        <f>IFERROR(__xludf.DUMMYFUNCTION("""COMPUTED_VALUE"""),"Embroidered gauze romper")</f>
        <v>Embroidered gauze romper</v>
      </c>
      <c r="E1614" s="12" t="str">
        <f>IFERROR(__xludf.DUMMYFUNCTION("""COMPUTED_VALUE"""),"I love this romper!  i am 5'2 and the medium fit great and wasn't long.  i'm short so i thought i would have to hem this!  it's comfortable and, although, i'm not a huge fan of gauze, the fit was perfect.  i had to
snatch it!")</f>
        <v>I love this romper!  i am 5'2 and the medium fit great and wasn't long.  i'm short so i thought i would have to hem this!  it's comfortable and, although, i'm not a huge fan of gauze, the fit was perfect.  i had to
snatch it!</v>
      </c>
      <c r="F1614" s="13">
        <f>IFERROR(__xludf.DUMMYFUNCTION("""COMPUTED_VALUE"""),5.0)</f>
        <v>5</v>
      </c>
      <c r="G1614" s="13">
        <f>IFERROR(__xludf.DUMMYFUNCTION("""COMPUTED_VALUE"""),1.0)</f>
        <v>1</v>
      </c>
      <c r="H1614" s="13">
        <f>IFERROR(__xludf.DUMMYFUNCTION("""COMPUTED_VALUE"""),20.0)</f>
        <v>20</v>
      </c>
      <c r="I1614" s="13" t="str">
        <f>IFERROR(__xludf.DUMMYFUNCTION("""COMPUTED_VALUE"""),"General Petite")</f>
        <v>General Petite</v>
      </c>
      <c r="J1614" s="13" t="str">
        <f>IFERROR(__xludf.DUMMYFUNCTION("""COMPUTED_VALUE"""),"Bottoms")</f>
        <v>Bottoms</v>
      </c>
      <c r="K1614" s="13" t="str">
        <f>IFERROR(__xludf.DUMMYFUNCTION("""COMPUTED_VALUE"""),"Pants")</f>
        <v>Pants</v>
      </c>
      <c r="L1614" s="13"/>
    </row>
    <row r="1615">
      <c r="A1615" s="13">
        <f>IFERROR(__xludf.DUMMYFUNCTION("""COMPUTED_VALUE"""),1613.0)</f>
        <v>1613</v>
      </c>
      <c r="B1615" s="13">
        <f>IFERROR(__xludf.DUMMYFUNCTION("""COMPUTED_VALUE"""),1053.0)</f>
        <v>1053</v>
      </c>
      <c r="C1615" s="13">
        <f>IFERROR(__xludf.DUMMYFUNCTION("""COMPUTED_VALUE"""),33.0)</f>
        <v>33</v>
      </c>
      <c r="D1615" s="12" t="str">
        <f>IFERROR(__xludf.DUMMYFUNCTION("""COMPUTED_VALUE"""),"Bridgette jogger")</f>
        <v>Bridgette jogger</v>
      </c>
      <c r="E1615" s="12" t="str">
        <f>IFERROR(__xludf.DUMMYFUNCTION("""COMPUTED_VALUE"""),"I&amp;#39;ve been looking for comfortable pants that i could wear to work and at home.  these fit the bill.  i bought these in the holly color for the fall and winter.  they are super soft and very comfortable.  i was worried that they would like dumpy, espec"&amp;"ially around the seat area, but they fit fine.")</f>
        <v>I&amp;#39;ve been looking for comfortable pants that i could wear to work and at home.  these fit the bill.  i bought these in the holly color for the fall and winter.  they are super soft and very comfortable.  i was worried that they would like dumpy, especially around the seat area, but they fit fine.</v>
      </c>
      <c r="F1615" s="13">
        <f>IFERROR(__xludf.DUMMYFUNCTION("""COMPUTED_VALUE"""),4.0)</f>
        <v>4</v>
      </c>
      <c r="G1615" s="13">
        <f>IFERROR(__xludf.DUMMYFUNCTION("""COMPUTED_VALUE"""),1.0)</f>
        <v>1</v>
      </c>
      <c r="H1615" s="13">
        <f>IFERROR(__xludf.DUMMYFUNCTION("""COMPUTED_VALUE"""),0.0)</f>
        <v>0</v>
      </c>
      <c r="I1615" s="13" t="str">
        <f>IFERROR(__xludf.DUMMYFUNCTION("""COMPUTED_VALUE"""),"General")</f>
        <v>General</v>
      </c>
      <c r="J1615" s="13" t="str">
        <f>IFERROR(__xludf.DUMMYFUNCTION("""COMPUTED_VALUE"""),"Bottoms")</f>
        <v>Bottoms</v>
      </c>
      <c r="K1615" s="13" t="str">
        <f>IFERROR(__xludf.DUMMYFUNCTION("""COMPUTED_VALUE"""),"Pants")</f>
        <v>Pants</v>
      </c>
      <c r="L1615" s="13"/>
    </row>
    <row r="1616">
      <c r="A1616" s="13">
        <f>IFERROR(__xludf.DUMMYFUNCTION("""COMPUTED_VALUE"""),1614.0)</f>
        <v>1614</v>
      </c>
      <c r="B1616" s="13">
        <f>IFERROR(__xludf.DUMMYFUNCTION("""COMPUTED_VALUE"""),1059.0)</f>
        <v>1059</v>
      </c>
      <c r="C1616" s="13">
        <f>IFERROR(__xludf.DUMMYFUNCTION("""COMPUTED_VALUE"""),43.0)</f>
        <v>43</v>
      </c>
      <c r="D1616" s="12" t="str">
        <f>IFERROR(__xludf.DUMMYFUNCTION("""COMPUTED_VALUE"""),"Perfect pants!!")</f>
        <v>Perfect pants!!</v>
      </c>
      <c r="E1616" s="12" t="str">
        <f>IFERROR(__xludf.DUMMYFUNCTION("""COMPUTED_VALUE"""),"However, i unfortunately followed others advice saying these run small. i had to return/ exchange to a 00p. in turn had to give up the sassy red and settle for black. although they are beautiful trousers in black as well...")</f>
        <v>However, i unfortunately followed others advice saying these run small. i had to return/ exchange to a 00p. in turn had to give up the sassy red and settle for black. although they are beautiful trousers in black as well...</v>
      </c>
      <c r="F1616" s="13">
        <f>IFERROR(__xludf.DUMMYFUNCTION("""COMPUTED_VALUE"""),5.0)</f>
        <v>5</v>
      </c>
      <c r="G1616" s="13">
        <f>IFERROR(__xludf.DUMMYFUNCTION("""COMPUTED_VALUE"""),1.0)</f>
        <v>1</v>
      </c>
      <c r="H1616" s="13">
        <f>IFERROR(__xludf.DUMMYFUNCTION("""COMPUTED_VALUE"""),0.0)</f>
        <v>0</v>
      </c>
      <c r="I1616" s="13" t="str">
        <f>IFERROR(__xludf.DUMMYFUNCTION("""COMPUTED_VALUE"""),"General")</f>
        <v>General</v>
      </c>
      <c r="J1616" s="13" t="str">
        <f>IFERROR(__xludf.DUMMYFUNCTION("""COMPUTED_VALUE"""),"Bottoms")</f>
        <v>Bottoms</v>
      </c>
      <c r="K1616" s="13" t="str">
        <f>IFERROR(__xludf.DUMMYFUNCTION("""COMPUTED_VALUE"""),"Pants")</f>
        <v>Pants</v>
      </c>
      <c r="L1616" s="13"/>
    </row>
    <row r="1617">
      <c r="A1617" s="13">
        <f>IFERROR(__xludf.DUMMYFUNCTION("""COMPUTED_VALUE"""),1615.0)</f>
        <v>1615</v>
      </c>
      <c r="B1617" s="13">
        <f>IFERROR(__xludf.DUMMYFUNCTION("""COMPUTED_VALUE"""),825.0)</f>
        <v>825</v>
      </c>
      <c r="C1617" s="13">
        <f>IFERROR(__xludf.DUMMYFUNCTION("""COMPUTED_VALUE"""),45.0)</f>
        <v>45</v>
      </c>
      <c r="D1617" s="12" t="str">
        <f>IFERROR(__xludf.DUMMYFUNCTION("""COMPUTED_VALUE"""),"Perfect")</f>
        <v>Perfect</v>
      </c>
      <c r="E1617" s="12" t="str">
        <f>IFERROR(__xludf.DUMMYFUNCTION("""COMPUTED_VALUE"""),"Received this shirt yesterday and loved it. doesn't look that great online in pics, but it is a unique and beautiful top. the material is a substantial woven cotton so it lays nicely and keeps its shape . i am 5'5 and 128lbs and a small bust size 34a , i "&amp;"usually wear small in shirts but since it is a longer length i didn't want it to tight around my butt.... i am curvy in that area size 6 pants....i ordered the medium and i am so glad i did .. it lifts just like on the model...the only downfall")</f>
        <v>Received this shirt yesterday and loved it. doesn't look that great online in pics, but it is a unique and beautiful top. the material is a substantial woven cotton so it lays nicely and keeps its shape . i am 5'5 and 128lbs and a small bust size 34a , i usually wear small in shirts but since it is a longer length i didn't want it to tight around my butt.... i am curvy in that area size 6 pants....i ordered the medium and i am so glad i did .. it lifts just like on the model...the only downfall</v>
      </c>
      <c r="F1617" s="13">
        <f>IFERROR(__xludf.DUMMYFUNCTION("""COMPUTED_VALUE"""),5.0)</f>
        <v>5</v>
      </c>
      <c r="G1617" s="13">
        <f>IFERROR(__xludf.DUMMYFUNCTION("""COMPUTED_VALUE"""),1.0)</f>
        <v>1</v>
      </c>
      <c r="H1617" s="13">
        <f>IFERROR(__xludf.DUMMYFUNCTION("""COMPUTED_VALUE"""),2.0)</f>
        <v>2</v>
      </c>
      <c r="I1617" s="13" t="str">
        <f>IFERROR(__xludf.DUMMYFUNCTION("""COMPUTED_VALUE"""),"General Petite")</f>
        <v>General Petite</v>
      </c>
      <c r="J1617" s="13" t="str">
        <f>IFERROR(__xludf.DUMMYFUNCTION("""COMPUTED_VALUE"""),"Tops")</f>
        <v>Tops</v>
      </c>
      <c r="K1617" s="13" t="str">
        <f>IFERROR(__xludf.DUMMYFUNCTION("""COMPUTED_VALUE"""),"Blouses")</f>
        <v>Blouses</v>
      </c>
      <c r="L1617" s="13"/>
    </row>
    <row r="1618">
      <c r="A1618" s="13">
        <f>IFERROR(__xludf.DUMMYFUNCTION("""COMPUTED_VALUE"""),1616.0)</f>
        <v>1616</v>
      </c>
      <c r="B1618" s="13">
        <f>IFERROR(__xludf.DUMMYFUNCTION("""COMPUTED_VALUE"""),1059.0)</f>
        <v>1059</v>
      </c>
      <c r="C1618" s="13">
        <f>IFERROR(__xludf.DUMMYFUNCTION("""COMPUTED_VALUE"""),85.0)</f>
        <v>85</v>
      </c>
      <c r="D1618" s="12" t="str">
        <f>IFERROR(__xludf.DUMMYFUNCTION("""COMPUTED_VALUE"""),"Nice pants if you have super tiny calves")</f>
        <v>Nice pants if you have super tiny calves</v>
      </c>
      <c r="E1618" s="12" t="str">
        <f>IFERROR(__xludf.DUMMYFUNCTION("""COMPUTED_VALUE"""),"Unique print but not great execution. the pant legs are very tight, i have average sized calves and i sized up one size. the hook closure was oddly tight and difficult to clasp. when i first saw the color it looked like burnt sienna or a dried blood color"&amp;". too bad this didn't work out.")</f>
        <v>Unique print but not great execution. the pant legs are very tight, i have average sized calves and i sized up one size. the hook closure was oddly tight and difficult to clasp. when i first saw the color it looked like burnt sienna or a dried blood color. too bad this didn't work out.</v>
      </c>
      <c r="F1618" s="13">
        <f>IFERROR(__xludf.DUMMYFUNCTION("""COMPUTED_VALUE"""),2.0)</f>
        <v>2</v>
      </c>
      <c r="G1618" s="13">
        <f>IFERROR(__xludf.DUMMYFUNCTION("""COMPUTED_VALUE"""),1.0)</f>
        <v>1</v>
      </c>
      <c r="H1618" s="13">
        <f>IFERROR(__xludf.DUMMYFUNCTION("""COMPUTED_VALUE"""),2.0)</f>
        <v>2</v>
      </c>
      <c r="I1618" s="13" t="str">
        <f>IFERROR(__xludf.DUMMYFUNCTION("""COMPUTED_VALUE"""),"General")</f>
        <v>General</v>
      </c>
      <c r="J1618" s="13" t="str">
        <f>IFERROR(__xludf.DUMMYFUNCTION("""COMPUTED_VALUE"""),"Bottoms")</f>
        <v>Bottoms</v>
      </c>
      <c r="K1618" s="13" t="str">
        <f>IFERROR(__xludf.DUMMYFUNCTION("""COMPUTED_VALUE"""),"Pants")</f>
        <v>Pants</v>
      </c>
      <c r="L1618" s="13"/>
    </row>
    <row r="1619">
      <c r="A1619" s="13">
        <f>IFERROR(__xludf.DUMMYFUNCTION("""COMPUTED_VALUE"""),1617.0)</f>
        <v>1617</v>
      </c>
      <c r="B1619" s="13">
        <f>IFERROR(__xludf.DUMMYFUNCTION("""COMPUTED_VALUE"""),1094.0)</f>
        <v>1094</v>
      </c>
      <c r="C1619" s="13">
        <f>IFERROR(__xludf.DUMMYFUNCTION("""COMPUTED_VALUE"""),27.0)</f>
        <v>27</v>
      </c>
      <c r="D1619" s="12" t="str">
        <f>IFERROR(__xludf.DUMMYFUNCTION("""COMPUTED_VALUE"""),"Favorite retailer purchase!")</f>
        <v>Favorite retailer purchase!</v>
      </c>
      <c r="E1619" s="12" t="str">
        <f>IFERROR(__xludf.DUMMYFUNCTION("""COMPUTED_VALUE"""),"This dress is absolutely amazing! i am an retailer addict, a good portion of my wardrobe is from retailer. that being said, this is one of my all time favorite purchases! this dress is a beautiful statement. i am tall and curvy and this dress fits like a "&amp;"glove but is very comfortable. the quality of the beading and the fabric is very good. i wore it on my hawaii vacation, and got numerous compliments! don't pass this one up! five stars!")</f>
        <v>This dress is absolutely amazing! i am an retailer addict, a good portion of my wardrobe is from retailer. that being said, this is one of my all time favorite purchases! this dress is a beautiful statement. i am tall and curvy and this dress fits like a glove but is very comfortable. the quality of the beading and the fabric is very good. i wore it on my hawaii vacation, and got numerous compliments! don't pass this one up! five stars!</v>
      </c>
      <c r="F1619" s="13">
        <f>IFERROR(__xludf.DUMMYFUNCTION("""COMPUTED_VALUE"""),5.0)</f>
        <v>5</v>
      </c>
      <c r="G1619" s="13">
        <f>IFERROR(__xludf.DUMMYFUNCTION("""COMPUTED_VALUE"""),1.0)</f>
        <v>1</v>
      </c>
      <c r="H1619" s="13">
        <f>IFERROR(__xludf.DUMMYFUNCTION("""COMPUTED_VALUE"""),0.0)</f>
        <v>0</v>
      </c>
      <c r="I1619" s="13" t="str">
        <f>IFERROR(__xludf.DUMMYFUNCTION("""COMPUTED_VALUE"""),"General Petite")</f>
        <v>General Petite</v>
      </c>
      <c r="J1619" s="13" t="str">
        <f>IFERROR(__xludf.DUMMYFUNCTION("""COMPUTED_VALUE"""),"Dresses")</f>
        <v>Dresses</v>
      </c>
      <c r="K1619" s="13" t="str">
        <f>IFERROR(__xludf.DUMMYFUNCTION("""COMPUTED_VALUE"""),"Dresses")</f>
        <v>Dresses</v>
      </c>
      <c r="L1619" s="13"/>
    </row>
    <row r="1620">
      <c r="A1620" s="13">
        <f>IFERROR(__xludf.DUMMYFUNCTION("""COMPUTED_VALUE"""),1618.0)</f>
        <v>1618</v>
      </c>
      <c r="B1620" s="13">
        <f>IFERROR(__xludf.DUMMYFUNCTION("""COMPUTED_VALUE"""),942.0)</f>
        <v>942</v>
      </c>
      <c r="C1620" s="13">
        <f>IFERROR(__xludf.DUMMYFUNCTION("""COMPUTED_VALUE"""),34.0)</f>
        <v>34</v>
      </c>
      <c r="D1620" s="12" t="str">
        <f>IFERROR(__xludf.DUMMYFUNCTION("""COMPUTED_VALUE"""),"Great quality and color but boxy and ill-fitting")</f>
        <v>Great quality and color but boxy and ill-fitting</v>
      </c>
      <c r="E1620" s="12" t="str">
        <f>IFERROR(__xludf.DUMMYFUNCTION("""COMPUTED_VALUE"""),"I wanted to love this sweater. the photo of the model makes it look so soft and warm. i liked the heavy texture and the extra long sleeves. however, after receiving this sweater i tried it on for less than 1 minute. one look in the mirror was enough to ma"&amp;"ke me take it off and return it asap. the knit quickly expanding from small to large right over the bust, combined with the boxy shape was an atrocious combo. it must have added 30lbs to my physique and made my bust look matronly. yikes! this ma")</f>
        <v>I wanted to love this sweater. the photo of the model makes it look so soft and warm. i liked the heavy texture and the extra long sleeves. however, after receiving this sweater i tried it on for less than 1 minute. one look in the mirror was enough to make me take it off and return it asap. the knit quickly expanding from small to large right over the bust, combined with the boxy shape was an atrocious combo. it must have added 30lbs to my physique and made my bust look matronly. yikes! this ma</v>
      </c>
      <c r="F1620" s="13">
        <f>IFERROR(__xludf.DUMMYFUNCTION("""COMPUTED_VALUE"""),2.0)</f>
        <v>2</v>
      </c>
      <c r="G1620" s="13">
        <f>IFERROR(__xludf.DUMMYFUNCTION("""COMPUTED_VALUE"""),0.0)</f>
        <v>0</v>
      </c>
      <c r="H1620" s="13">
        <f>IFERROR(__xludf.DUMMYFUNCTION("""COMPUTED_VALUE"""),1.0)</f>
        <v>1</v>
      </c>
      <c r="I1620" s="13" t="str">
        <f>IFERROR(__xludf.DUMMYFUNCTION("""COMPUTED_VALUE"""),"General")</f>
        <v>General</v>
      </c>
      <c r="J1620" s="13" t="str">
        <f>IFERROR(__xludf.DUMMYFUNCTION("""COMPUTED_VALUE"""),"Tops")</f>
        <v>Tops</v>
      </c>
      <c r="K1620" s="13" t="str">
        <f>IFERROR(__xludf.DUMMYFUNCTION("""COMPUTED_VALUE"""),"Sweaters")</f>
        <v>Sweaters</v>
      </c>
      <c r="L1620" s="13"/>
    </row>
    <row r="1621">
      <c r="A1621" s="13">
        <f>IFERROR(__xludf.DUMMYFUNCTION("""COMPUTED_VALUE"""),1619.0)</f>
        <v>1619</v>
      </c>
      <c r="B1621" s="13">
        <f>IFERROR(__xludf.DUMMYFUNCTION("""COMPUTED_VALUE"""),1078.0)</f>
        <v>1078</v>
      </c>
      <c r="C1621" s="13">
        <f>IFERROR(__xludf.DUMMYFUNCTION("""COMPUTED_VALUE"""),49.0)</f>
        <v>49</v>
      </c>
      <c r="D1621" s="12" t="str">
        <f>IFERROR(__xludf.DUMMYFUNCTION("""COMPUTED_VALUE"""),"Versatile comfortable dress")</f>
        <v>Versatile comfortable dress</v>
      </c>
      <c r="E1621" s="12" t="str">
        <f>IFERROR(__xludf.DUMMYFUNCTION("""COMPUTED_VALUE"""),"This dress is comfortable and versatile - one could wear it to the office or to a social event, day to night. i didn't find the sizing to run as large as some of the other reviewers did. i felt it was true to size. it is not lined so you would need a slip"&amp;" under it if you wear it with tights or nylons, otherwise the skirt will cling.")</f>
        <v>This dress is comfortable and versatile - one could wear it to the office or to a social event, day to night. i didn't find the sizing to run as large as some of the other reviewers did. i felt it was true to size. it is not lined so you would need a slip under it if you wear it with tights or nylons, otherwise the skirt will cling.</v>
      </c>
      <c r="F1621" s="13">
        <f>IFERROR(__xludf.DUMMYFUNCTION("""COMPUTED_VALUE"""),4.0)</f>
        <v>4</v>
      </c>
      <c r="G1621" s="13">
        <f>IFERROR(__xludf.DUMMYFUNCTION("""COMPUTED_VALUE"""),1.0)</f>
        <v>1</v>
      </c>
      <c r="H1621" s="13">
        <f>IFERROR(__xludf.DUMMYFUNCTION("""COMPUTED_VALUE"""),0.0)</f>
        <v>0</v>
      </c>
      <c r="I1621" s="13" t="str">
        <f>IFERROR(__xludf.DUMMYFUNCTION("""COMPUTED_VALUE"""),"General Petite")</f>
        <v>General Petite</v>
      </c>
      <c r="J1621" s="13" t="str">
        <f>IFERROR(__xludf.DUMMYFUNCTION("""COMPUTED_VALUE"""),"Dresses")</f>
        <v>Dresses</v>
      </c>
      <c r="K1621" s="13" t="str">
        <f>IFERROR(__xludf.DUMMYFUNCTION("""COMPUTED_VALUE"""),"Dresses")</f>
        <v>Dresses</v>
      </c>
      <c r="L1621" s="13"/>
    </row>
    <row r="1622">
      <c r="A1622" s="13">
        <f>IFERROR(__xludf.DUMMYFUNCTION("""COMPUTED_VALUE"""),1620.0)</f>
        <v>1620</v>
      </c>
      <c r="B1622" s="13">
        <f>IFERROR(__xludf.DUMMYFUNCTION("""COMPUTED_VALUE"""),992.0)</f>
        <v>992</v>
      </c>
      <c r="C1622" s="13">
        <f>IFERROR(__xludf.DUMMYFUNCTION("""COMPUTED_VALUE"""),66.0)</f>
        <v>66</v>
      </c>
      <c r="D1622" s="12" t="str">
        <f>IFERROR(__xludf.DUMMYFUNCTION("""COMPUTED_VALUE"""),"Sizing issue")</f>
        <v>Sizing issue</v>
      </c>
      <c r="E1622" s="12" t="str">
        <f>IFERROR(__xludf.DUMMYFUNCTION("""COMPUTED_VALUE"""),"Such a beautiful print. i sized up to a 14 because it looked like it has a high waist and it does. the waist comes almost to my bra line. unfortunately, there's a huge amount of fabric and it swallowed me. not slimming at all. i felt like i was wearing a "&amp;"curtain.  i loved the slits in the photo but due to the amount of fabric they weren't visible. i'm short and this literally pooled on the ground a few inches. if you're tall and thin, this is a beauty.")</f>
        <v>Such a beautiful print. i sized up to a 14 because it looked like it has a high waist and it does. the waist comes almost to my bra line. unfortunately, there's a huge amount of fabric and it swallowed me. not slimming at all. i felt like i was wearing a curtain.  i loved the slits in the photo but due to the amount of fabric they weren't visible. i'm short and this literally pooled on the ground a few inches. if you're tall and thin, this is a beauty.</v>
      </c>
      <c r="F1622" s="13">
        <f>IFERROR(__xludf.DUMMYFUNCTION("""COMPUTED_VALUE"""),4.0)</f>
        <v>4</v>
      </c>
      <c r="G1622" s="13">
        <f>IFERROR(__xludf.DUMMYFUNCTION("""COMPUTED_VALUE"""),1.0)</f>
        <v>1</v>
      </c>
      <c r="H1622" s="13">
        <f>IFERROR(__xludf.DUMMYFUNCTION("""COMPUTED_VALUE"""),0.0)</f>
        <v>0</v>
      </c>
      <c r="I1622" s="13" t="str">
        <f>IFERROR(__xludf.DUMMYFUNCTION("""COMPUTED_VALUE"""),"General Petite")</f>
        <v>General Petite</v>
      </c>
      <c r="J1622" s="13" t="str">
        <f>IFERROR(__xludf.DUMMYFUNCTION("""COMPUTED_VALUE"""),"Bottoms")</f>
        <v>Bottoms</v>
      </c>
      <c r="K1622" s="13" t="str">
        <f>IFERROR(__xludf.DUMMYFUNCTION("""COMPUTED_VALUE"""),"Skirts")</f>
        <v>Skirts</v>
      </c>
      <c r="L1622" s="13"/>
    </row>
    <row r="1623">
      <c r="A1623" s="13">
        <f>IFERROR(__xludf.DUMMYFUNCTION("""COMPUTED_VALUE"""),1621.0)</f>
        <v>1621</v>
      </c>
      <c r="B1623" s="13">
        <f>IFERROR(__xludf.DUMMYFUNCTION("""COMPUTED_VALUE"""),833.0)</f>
        <v>833</v>
      </c>
      <c r="C1623" s="13">
        <f>IFERROR(__xludf.DUMMYFUNCTION("""COMPUTED_VALUE"""),24.0)</f>
        <v>24</v>
      </c>
      <c r="D1623" s="12" t="str">
        <f>IFERROR(__xludf.DUMMYFUNCTION("""COMPUTED_VALUE"""),"A size 2 too big")</f>
        <v>A size 2 too big</v>
      </c>
      <c r="E1623" s="12" t="str">
        <f>IFERROR(__xludf.DUMMYFUNCTION("""COMPUTED_VALUE"""),"I am usually a size 2 in tops. i am very, very rarely a size 0, so upon reading other reviews of this top i decided to order the 2 and assumed it would fit the way a 2 usually does. obviously this is designed to be a loose, flowing top. that's why i wante"&amp;"d to order it. however, the 2 is simply too loose in every direction. my primary gripe is that the arm holes are gaping and falling at the side in a way i don't think it intended.
i do really like the styling and quality, so i am planning on")</f>
        <v>I am usually a size 2 in tops. i am very, very rarely a size 0, so upon reading other reviews of this top i decided to order the 2 and assumed it would fit the way a 2 usually does. obviously this is designed to be a loose, flowing top. that's why i wanted to order it. however, the 2 is simply too loose in every direction. my primary gripe is that the arm holes are gaping and falling at the side in a way i don't think it intended.
i do really like the styling and quality, so i am planning on</v>
      </c>
      <c r="F1623" s="13">
        <f>IFERROR(__xludf.DUMMYFUNCTION("""COMPUTED_VALUE"""),3.0)</f>
        <v>3</v>
      </c>
      <c r="G1623" s="13">
        <f>IFERROR(__xludf.DUMMYFUNCTION("""COMPUTED_VALUE"""),1.0)</f>
        <v>1</v>
      </c>
      <c r="H1623" s="13">
        <f>IFERROR(__xludf.DUMMYFUNCTION("""COMPUTED_VALUE"""),0.0)</f>
        <v>0</v>
      </c>
      <c r="I1623" s="13" t="str">
        <f>IFERROR(__xludf.DUMMYFUNCTION("""COMPUTED_VALUE"""),"General")</f>
        <v>General</v>
      </c>
      <c r="J1623" s="13" t="str">
        <f>IFERROR(__xludf.DUMMYFUNCTION("""COMPUTED_VALUE"""),"Tops")</f>
        <v>Tops</v>
      </c>
      <c r="K1623" s="13" t="str">
        <f>IFERROR(__xludf.DUMMYFUNCTION("""COMPUTED_VALUE"""),"Blouses")</f>
        <v>Blouses</v>
      </c>
      <c r="L1623" s="13"/>
    </row>
    <row r="1624">
      <c r="A1624" s="13">
        <f>IFERROR(__xludf.DUMMYFUNCTION("""COMPUTED_VALUE"""),1622.0)</f>
        <v>1622</v>
      </c>
      <c r="B1624" s="13">
        <f>IFERROR(__xludf.DUMMYFUNCTION("""COMPUTED_VALUE"""),1059.0)</f>
        <v>1059</v>
      </c>
      <c r="C1624" s="13">
        <f>IFERROR(__xludf.DUMMYFUNCTION("""COMPUTED_VALUE"""),44.0)</f>
        <v>44</v>
      </c>
      <c r="D1624" s="12" t="str">
        <f>IFERROR(__xludf.DUMMYFUNCTION("""COMPUTED_VALUE"""),"Love these pants!")</f>
        <v>Love these pants!</v>
      </c>
      <c r="E1624" s="12" t="str">
        <f>IFERROR(__xludf.DUMMYFUNCTION("""COMPUTED_VALUE"""),"These pants are fantastic! the pattern alone is to die for, but they also have just the right amount of stretch for the perfect fit! i received so many compliments when i wore them i felt like a rock star!")</f>
        <v>These pants are fantastic! the pattern alone is to die for, but they also have just the right amount of stretch for the perfect fit! i received so many compliments when i wore them i felt like a rock star!</v>
      </c>
      <c r="F1624" s="13">
        <f>IFERROR(__xludf.DUMMYFUNCTION("""COMPUTED_VALUE"""),5.0)</f>
        <v>5</v>
      </c>
      <c r="G1624" s="13">
        <f>IFERROR(__xludf.DUMMYFUNCTION("""COMPUTED_VALUE"""),1.0)</f>
        <v>1</v>
      </c>
      <c r="H1624" s="13">
        <f>IFERROR(__xludf.DUMMYFUNCTION("""COMPUTED_VALUE"""),0.0)</f>
        <v>0</v>
      </c>
      <c r="I1624" s="13" t="str">
        <f>IFERROR(__xludf.DUMMYFUNCTION("""COMPUTED_VALUE"""),"General")</f>
        <v>General</v>
      </c>
      <c r="J1624" s="13" t="str">
        <f>IFERROR(__xludf.DUMMYFUNCTION("""COMPUTED_VALUE"""),"Bottoms")</f>
        <v>Bottoms</v>
      </c>
      <c r="K1624" s="13" t="str">
        <f>IFERROR(__xludf.DUMMYFUNCTION("""COMPUTED_VALUE"""),"Pants")</f>
        <v>Pants</v>
      </c>
      <c r="L1624" s="13"/>
    </row>
    <row r="1625">
      <c r="A1625" s="13">
        <f>IFERROR(__xludf.DUMMYFUNCTION("""COMPUTED_VALUE"""),1623.0)</f>
        <v>1623</v>
      </c>
      <c r="B1625" s="13">
        <f>IFERROR(__xludf.DUMMYFUNCTION("""COMPUTED_VALUE"""),1059.0)</f>
        <v>1059</v>
      </c>
      <c r="C1625" s="13">
        <f>IFERROR(__xludf.DUMMYFUNCTION("""COMPUTED_VALUE"""),26.0)</f>
        <v>26</v>
      </c>
      <c r="D1625" s="12" t="str">
        <f>IFERROR(__xludf.DUMMYFUNCTION("""COMPUTED_VALUE"""),"Runs small")</f>
        <v>Runs small</v>
      </c>
      <c r="E1625" s="12" t="str">
        <f>IFERROR(__xludf.DUMMYFUNCTION("""COMPUTED_VALUE"""),"Bought these in 2p and i'm normally 0p in most pants. for reference, i'm 5'1 and 107 lbs and the 2 fit perfect! got many compliments on these pants")</f>
        <v>Bought these in 2p and i'm normally 0p in most pants. for reference, i'm 5'1 and 107 lbs and the 2 fit perfect! got many compliments on these pants</v>
      </c>
      <c r="F1625" s="13">
        <f>IFERROR(__xludf.DUMMYFUNCTION("""COMPUTED_VALUE"""),5.0)</f>
        <v>5</v>
      </c>
      <c r="G1625" s="13">
        <f>IFERROR(__xludf.DUMMYFUNCTION("""COMPUTED_VALUE"""),1.0)</f>
        <v>1</v>
      </c>
      <c r="H1625" s="13">
        <f>IFERROR(__xludf.DUMMYFUNCTION("""COMPUTED_VALUE"""),0.0)</f>
        <v>0</v>
      </c>
      <c r="I1625" s="13" t="str">
        <f>IFERROR(__xludf.DUMMYFUNCTION("""COMPUTED_VALUE"""),"General")</f>
        <v>General</v>
      </c>
      <c r="J1625" s="13" t="str">
        <f>IFERROR(__xludf.DUMMYFUNCTION("""COMPUTED_VALUE"""),"Bottoms")</f>
        <v>Bottoms</v>
      </c>
      <c r="K1625" s="13" t="str">
        <f>IFERROR(__xludf.DUMMYFUNCTION("""COMPUTED_VALUE"""),"Pants")</f>
        <v>Pants</v>
      </c>
      <c r="L1625" s="13"/>
    </row>
    <row r="1626">
      <c r="A1626" s="13">
        <f>IFERROR(__xludf.DUMMYFUNCTION("""COMPUTED_VALUE"""),1624.0)</f>
        <v>1624</v>
      </c>
      <c r="B1626" s="13">
        <f>IFERROR(__xludf.DUMMYFUNCTION("""COMPUTED_VALUE"""),1059.0)</f>
        <v>1059</v>
      </c>
      <c r="C1626" s="13">
        <f>IFERROR(__xludf.DUMMYFUNCTION("""COMPUTED_VALUE"""),58.0)</f>
        <v>58</v>
      </c>
      <c r="D1626" s="12" t="str">
        <f>IFERROR(__xludf.DUMMYFUNCTION("""COMPUTED_VALUE"""),"Fun, true to size")</f>
        <v>Fun, true to size</v>
      </c>
      <c r="E1626" s="12" t="str">
        <f>IFERROR(__xludf.DUMMYFUNCTION("""COMPUTED_VALUE"""),"Unlike other reviewers, i found these pants to run true to size (in my case, my usual 6) or even a tad roomy. the red pattern is just festive enough for informal holiday parties. i appreciate the belt loops!")</f>
        <v>Unlike other reviewers, i found these pants to run true to size (in my case, my usual 6) or even a tad roomy. the red pattern is just festive enough for informal holiday parties. i appreciate the belt loops!</v>
      </c>
      <c r="F1626" s="13">
        <f>IFERROR(__xludf.DUMMYFUNCTION("""COMPUTED_VALUE"""),4.0)</f>
        <v>4</v>
      </c>
      <c r="G1626" s="13">
        <f>IFERROR(__xludf.DUMMYFUNCTION("""COMPUTED_VALUE"""),1.0)</f>
        <v>1</v>
      </c>
      <c r="H1626" s="13">
        <f>IFERROR(__xludf.DUMMYFUNCTION("""COMPUTED_VALUE"""),3.0)</f>
        <v>3</v>
      </c>
      <c r="I1626" s="13" t="str">
        <f>IFERROR(__xludf.DUMMYFUNCTION("""COMPUTED_VALUE"""),"General")</f>
        <v>General</v>
      </c>
      <c r="J1626" s="13" t="str">
        <f>IFERROR(__xludf.DUMMYFUNCTION("""COMPUTED_VALUE"""),"Bottoms")</f>
        <v>Bottoms</v>
      </c>
      <c r="K1626" s="13" t="str">
        <f>IFERROR(__xludf.DUMMYFUNCTION("""COMPUTED_VALUE"""),"Pants")</f>
        <v>Pants</v>
      </c>
      <c r="L1626" s="13"/>
    </row>
    <row r="1627">
      <c r="A1627" s="13">
        <f>IFERROR(__xludf.DUMMYFUNCTION("""COMPUTED_VALUE"""),1625.0)</f>
        <v>1625</v>
      </c>
      <c r="B1627" s="13">
        <f>IFERROR(__xludf.DUMMYFUNCTION("""COMPUTED_VALUE"""),1078.0)</f>
        <v>1078</v>
      </c>
      <c r="C1627" s="13">
        <f>IFERROR(__xludf.DUMMYFUNCTION("""COMPUTED_VALUE"""),44.0)</f>
        <v>44</v>
      </c>
      <c r="D1627" s="12" t="str">
        <f>IFERROR(__xludf.DUMMYFUNCTION("""COMPUTED_VALUE"""),"Beutiful dress")</f>
        <v>Beutiful dress</v>
      </c>
      <c r="E1627" s="12" t="str">
        <f>IFERROR(__xludf.DUMMYFUNCTION("""COMPUTED_VALUE"""),"Decent quality. i am 5'4"" 130 pounds. m is too big. runs slightly large.")</f>
        <v>Decent quality. i am 5'4" 130 pounds. m is too big. runs slightly large.</v>
      </c>
      <c r="F1627" s="13">
        <f>IFERROR(__xludf.DUMMYFUNCTION("""COMPUTED_VALUE"""),4.0)</f>
        <v>4</v>
      </c>
      <c r="G1627" s="13">
        <f>IFERROR(__xludf.DUMMYFUNCTION("""COMPUTED_VALUE"""),1.0)</f>
        <v>1</v>
      </c>
      <c r="H1627" s="13">
        <f>IFERROR(__xludf.DUMMYFUNCTION("""COMPUTED_VALUE"""),8.0)</f>
        <v>8</v>
      </c>
      <c r="I1627" s="13" t="str">
        <f>IFERROR(__xludf.DUMMYFUNCTION("""COMPUTED_VALUE"""),"General Petite")</f>
        <v>General Petite</v>
      </c>
      <c r="J1627" s="13" t="str">
        <f>IFERROR(__xludf.DUMMYFUNCTION("""COMPUTED_VALUE"""),"Dresses")</f>
        <v>Dresses</v>
      </c>
      <c r="K1627" s="13" t="str">
        <f>IFERROR(__xludf.DUMMYFUNCTION("""COMPUTED_VALUE"""),"Dresses")</f>
        <v>Dresses</v>
      </c>
      <c r="L1627" s="13"/>
    </row>
    <row r="1628">
      <c r="A1628" s="13">
        <f>IFERROR(__xludf.DUMMYFUNCTION("""COMPUTED_VALUE"""),1626.0)</f>
        <v>1626</v>
      </c>
      <c r="B1628" s="13">
        <f>IFERROR(__xludf.DUMMYFUNCTION("""COMPUTED_VALUE"""),1051.0)</f>
        <v>1051</v>
      </c>
      <c r="C1628" s="13">
        <f>IFERROR(__xludf.DUMMYFUNCTION("""COMPUTED_VALUE"""),37.0)</f>
        <v>37</v>
      </c>
      <c r="D1628" s="12" t="str">
        <f>IFERROR(__xludf.DUMMYFUNCTION("""COMPUTED_VALUE"""),"Comfy")</f>
        <v>Comfy</v>
      </c>
      <c r="E1628" s="12" t="str">
        <f>IFERROR(__xludf.DUMMYFUNCTION("""COMPUTED_VALUE"""),"Very comfy and flattering. cool on a hot day. slightly difficult to use the restroom, though.")</f>
        <v>Very comfy and flattering. cool on a hot day. slightly difficult to use the restroom, though.</v>
      </c>
      <c r="F1628" s="13">
        <f>IFERROR(__xludf.DUMMYFUNCTION("""COMPUTED_VALUE"""),4.0)</f>
        <v>4</v>
      </c>
      <c r="G1628" s="13">
        <f>IFERROR(__xludf.DUMMYFUNCTION("""COMPUTED_VALUE"""),1.0)</f>
        <v>1</v>
      </c>
      <c r="H1628" s="13">
        <f>IFERROR(__xludf.DUMMYFUNCTION("""COMPUTED_VALUE"""),2.0)</f>
        <v>2</v>
      </c>
      <c r="I1628" s="13" t="str">
        <f>IFERROR(__xludf.DUMMYFUNCTION("""COMPUTED_VALUE"""),"General Petite")</f>
        <v>General Petite</v>
      </c>
      <c r="J1628" s="13" t="str">
        <f>IFERROR(__xludf.DUMMYFUNCTION("""COMPUTED_VALUE"""),"Bottoms")</f>
        <v>Bottoms</v>
      </c>
      <c r="K1628" s="13" t="str">
        <f>IFERROR(__xludf.DUMMYFUNCTION("""COMPUTED_VALUE"""),"Pants")</f>
        <v>Pants</v>
      </c>
      <c r="L1628" s="13"/>
    </row>
    <row r="1629">
      <c r="A1629" s="13">
        <f>IFERROR(__xludf.DUMMYFUNCTION("""COMPUTED_VALUE"""),1627.0)</f>
        <v>1627</v>
      </c>
      <c r="B1629" s="13">
        <f>IFERROR(__xludf.DUMMYFUNCTION("""COMPUTED_VALUE"""),1059.0)</f>
        <v>1059</v>
      </c>
      <c r="C1629" s="13">
        <f>IFERROR(__xludf.DUMMYFUNCTION("""COMPUTED_VALUE"""),47.0)</f>
        <v>47</v>
      </c>
      <c r="D1629" s="12" t="str">
        <f>IFERROR(__xludf.DUMMYFUNCTION("""COMPUTED_VALUE"""),"Adorable")</f>
        <v>Adorable</v>
      </c>
      <c r="E1629" s="12" t="str">
        <f>IFERROR(__xludf.DUMMYFUNCTION("""COMPUTED_VALUE"""),"These pants are so fun. i love the pattern and color. can be dressed up or down. very flattering.
highly recommend trying them on, they were better than i expected them to be")</f>
        <v>These pants are so fun. i love the pattern and color. can be dressed up or down. very flattering.
highly recommend trying them on, they were better than i expected them to be</v>
      </c>
      <c r="F1629" s="13">
        <f>IFERROR(__xludf.DUMMYFUNCTION("""COMPUTED_VALUE"""),4.0)</f>
        <v>4</v>
      </c>
      <c r="G1629" s="13">
        <f>IFERROR(__xludf.DUMMYFUNCTION("""COMPUTED_VALUE"""),1.0)</f>
        <v>1</v>
      </c>
      <c r="H1629" s="13">
        <f>IFERROR(__xludf.DUMMYFUNCTION("""COMPUTED_VALUE"""),1.0)</f>
        <v>1</v>
      </c>
      <c r="I1629" s="13" t="str">
        <f>IFERROR(__xludf.DUMMYFUNCTION("""COMPUTED_VALUE"""),"General")</f>
        <v>General</v>
      </c>
      <c r="J1629" s="13" t="str">
        <f>IFERROR(__xludf.DUMMYFUNCTION("""COMPUTED_VALUE"""),"Bottoms")</f>
        <v>Bottoms</v>
      </c>
      <c r="K1629" s="13" t="str">
        <f>IFERROR(__xludf.DUMMYFUNCTION("""COMPUTED_VALUE"""),"Pants")</f>
        <v>Pants</v>
      </c>
      <c r="L1629" s="13"/>
    </row>
    <row r="1630">
      <c r="A1630" s="13">
        <f>IFERROR(__xludf.DUMMYFUNCTION("""COMPUTED_VALUE"""),1628.0)</f>
        <v>1628</v>
      </c>
      <c r="B1630" s="13">
        <f>IFERROR(__xludf.DUMMYFUNCTION("""COMPUTED_VALUE"""),1059.0)</f>
        <v>1059</v>
      </c>
      <c r="C1630" s="13">
        <f>IFERROR(__xludf.DUMMYFUNCTION("""COMPUTED_VALUE"""),32.0)</f>
        <v>32</v>
      </c>
      <c r="D1630" s="12" t="str">
        <f>IFERROR(__xludf.DUMMYFUNCTION("""COMPUTED_VALUE"""),"Great pattern")</f>
        <v>Great pattern</v>
      </c>
      <c r="E1630" s="12" t="str">
        <f>IFERROR(__xludf.DUMMYFUNCTION("""COMPUTED_VALUE"""),"I bought these on a whim, patterned bottoms aren't normally my thing. i was pleasantly surprised. they fit well, look great and i had lots of compliments.")</f>
        <v>I bought these on a whim, patterned bottoms aren't normally my thing. i was pleasantly surprised. they fit well, look great and i had lots of compliments.</v>
      </c>
      <c r="F1630" s="13">
        <f>IFERROR(__xludf.DUMMYFUNCTION("""COMPUTED_VALUE"""),4.0)</f>
        <v>4</v>
      </c>
      <c r="G1630" s="13">
        <f>IFERROR(__xludf.DUMMYFUNCTION("""COMPUTED_VALUE"""),1.0)</f>
        <v>1</v>
      </c>
      <c r="H1630" s="13">
        <f>IFERROR(__xludf.DUMMYFUNCTION("""COMPUTED_VALUE"""),0.0)</f>
        <v>0</v>
      </c>
      <c r="I1630" s="13" t="str">
        <f>IFERROR(__xludf.DUMMYFUNCTION("""COMPUTED_VALUE"""),"General")</f>
        <v>General</v>
      </c>
      <c r="J1630" s="13" t="str">
        <f>IFERROR(__xludf.DUMMYFUNCTION("""COMPUTED_VALUE"""),"Bottoms")</f>
        <v>Bottoms</v>
      </c>
      <c r="K1630" s="13" t="str">
        <f>IFERROR(__xludf.DUMMYFUNCTION("""COMPUTED_VALUE"""),"Pants")</f>
        <v>Pants</v>
      </c>
      <c r="L1630" s="13"/>
    </row>
    <row r="1631">
      <c r="A1631" s="13">
        <f>IFERROR(__xludf.DUMMYFUNCTION("""COMPUTED_VALUE"""),1629.0)</f>
        <v>1629</v>
      </c>
      <c r="B1631" s="13">
        <f>IFERROR(__xludf.DUMMYFUNCTION("""COMPUTED_VALUE"""),1051.0)</f>
        <v>1051</v>
      </c>
      <c r="C1631" s="13">
        <f>IFERROR(__xludf.DUMMYFUNCTION("""COMPUTED_VALUE"""),35.0)</f>
        <v>35</v>
      </c>
      <c r="D1631" s="12" t="str">
        <f>IFERROR(__xludf.DUMMYFUNCTION("""COMPUTED_VALUE"""),"Flowy &amp; fun")</f>
        <v>Flowy &amp; fun</v>
      </c>
      <c r="E1631" s="12" t="str">
        <f>IFERROR(__xludf.DUMMYFUNCTION("""COMPUTED_VALUE"""),"This jumpsuit is great. i recently had a baby and am still trying to get the last 10 lbs of baby weight off and this jumpsuit is very forgiving and super comfortable. i'm usually a medium &amp; i wasn't sure if i should size up. i ordered the medium and it wa"&amp;"s the right choice. great light material for summer and nice neckline.")</f>
        <v>This jumpsuit is great. i recently had a baby and am still trying to get the last 10 lbs of baby weight off and this jumpsuit is very forgiving and super comfortable. i'm usually a medium &amp; i wasn't sure if i should size up. i ordered the medium and it was the right choice. great light material for summer and nice neckline.</v>
      </c>
      <c r="F1631" s="13">
        <f>IFERROR(__xludf.DUMMYFUNCTION("""COMPUTED_VALUE"""),5.0)</f>
        <v>5</v>
      </c>
      <c r="G1631" s="13">
        <f>IFERROR(__xludf.DUMMYFUNCTION("""COMPUTED_VALUE"""),1.0)</f>
        <v>1</v>
      </c>
      <c r="H1631" s="13">
        <f>IFERROR(__xludf.DUMMYFUNCTION("""COMPUTED_VALUE"""),11.0)</f>
        <v>11</v>
      </c>
      <c r="I1631" s="13" t="str">
        <f>IFERROR(__xludf.DUMMYFUNCTION("""COMPUTED_VALUE"""),"General Petite")</f>
        <v>General Petite</v>
      </c>
      <c r="J1631" s="13" t="str">
        <f>IFERROR(__xludf.DUMMYFUNCTION("""COMPUTED_VALUE"""),"Bottoms")</f>
        <v>Bottoms</v>
      </c>
      <c r="K1631" s="13" t="str">
        <f>IFERROR(__xludf.DUMMYFUNCTION("""COMPUTED_VALUE"""),"Pants")</f>
        <v>Pants</v>
      </c>
      <c r="L1631" s="13"/>
    </row>
    <row r="1632">
      <c r="A1632" s="13">
        <f>IFERROR(__xludf.DUMMYFUNCTION("""COMPUTED_VALUE"""),1630.0)</f>
        <v>1630</v>
      </c>
      <c r="B1632" s="13">
        <f>IFERROR(__xludf.DUMMYFUNCTION("""COMPUTED_VALUE"""),833.0)</f>
        <v>833</v>
      </c>
      <c r="C1632" s="13">
        <f>IFERROR(__xludf.DUMMYFUNCTION("""COMPUTED_VALUE"""),56.0)</f>
        <v>56</v>
      </c>
      <c r="D1632" s="12" t="str">
        <f>IFERROR(__xludf.DUMMYFUNCTION("""COMPUTED_VALUE"""),"Super cute")</f>
        <v>Super cute</v>
      </c>
      <c r="E1632" s="12" t="str">
        <f>IFERROR(__xludf.DUMMYFUNCTION("""COMPUTED_VALUE"""),"I bought this today in a size 2. fits perfect. i am normally a 0 or 2 or xs. the top looks and fits exactly like the picture if you are small chested. because it is not long in the front. i think if you are larger chested the top will stick out too much a"&amp;"nd be too short in front. it is not super voluminous in front which is a good thing. it does have the volume in the back which gives it a cute shape. it is on the shorter side. very nice material and design as well as details. overall good pick.")</f>
        <v>I bought this today in a size 2. fits perfect. i am normally a 0 or 2 or xs. the top looks and fits exactly like the picture if you are small chested. because it is not long in the front. i think if you are larger chested the top will stick out too much and be too short in front. it is not super voluminous in front which is a good thing. it does have the volume in the back which gives it a cute shape. it is on the shorter side. very nice material and design as well as details. overall good pick.</v>
      </c>
      <c r="F1632" s="13">
        <f>IFERROR(__xludf.DUMMYFUNCTION("""COMPUTED_VALUE"""),5.0)</f>
        <v>5</v>
      </c>
      <c r="G1632" s="13">
        <f>IFERROR(__xludf.DUMMYFUNCTION("""COMPUTED_VALUE"""),1.0)</f>
        <v>1</v>
      </c>
      <c r="H1632" s="13">
        <f>IFERROR(__xludf.DUMMYFUNCTION("""COMPUTED_VALUE"""),7.0)</f>
        <v>7</v>
      </c>
      <c r="I1632" s="13" t="str">
        <f>IFERROR(__xludf.DUMMYFUNCTION("""COMPUTED_VALUE"""),"General")</f>
        <v>General</v>
      </c>
      <c r="J1632" s="13" t="str">
        <f>IFERROR(__xludf.DUMMYFUNCTION("""COMPUTED_VALUE"""),"Tops")</f>
        <v>Tops</v>
      </c>
      <c r="K1632" s="13" t="str">
        <f>IFERROR(__xludf.DUMMYFUNCTION("""COMPUTED_VALUE"""),"Blouses")</f>
        <v>Blouses</v>
      </c>
      <c r="L1632" s="13"/>
    </row>
    <row r="1633">
      <c r="A1633" s="13">
        <f>IFERROR(__xludf.DUMMYFUNCTION("""COMPUTED_VALUE"""),1631.0)</f>
        <v>1631</v>
      </c>
      <c r="B1633" s="13">
        <f>IFERROR(__xludf.DUMMYFUNCTION("""COMPUTED_VALUE"""),1094.0)</f>
        <v>1094</v>
      </c>
      <c r="C1633" s="13">
        <f>IFERROR(__xludf.DUMMYFUNCTION("""COMPUTED_VALUE"""),34.0)</f>
        <v>34</v>
      </c>
      <c r="D1633" s="12" t="str">
        <f>IFERROR(__xludf.DUMMYFUNCTION("""COMPUTED_VALUE"""),"Gorgeous!!!")</f>
        <v>Gorgeous!!!</v>
      </c>
      <c r="E1633" s="12" t="str">
        <f>IFERROR(__xludf.DUMMYFUNCTION("""COMPUTED_VALUE"""),"This dress is absolutely beautiful! it fits like a glove and the material is super soft. so in love with this! i'm 5'2'm and normally a xs/s. the xspwas a better fit in the waist and chest. the arm holes were a bit tighter on me. the sp was way too large.")</f>
        <v>This dress is absolutely beautiful! it fits like a glove and the material is super soft. so in love with this! i'm 5'2'm and normally a xs/s. the xspwas a better fit in the waist and chest. the arm holes were a bit tighter on me. the sp was way too large.</v>
      </c>
      <c r="F1633" s="13">
        <f>IFERROR(__xludf.DUMMYFUNCTION("""COMPUTED_VALUE"""),5.0)</f>
        <v>5</v>
      </c>
      <c r="G1633" s="13">
        <f>IFERROR(__xludf.DUMMYFUNCTION("""COMPUTED_VALUE"""),1.0)</f>
        <v>1</v>
      </c>
      <c r="H1633" s="13">
        <f>IFERROR(__xludf.DUMMYFUNCTION("""COMPUTED_VALUE"""),18.0)</f>
        <v>18</v>
      </c>
      <c r="I1633" s="13" t="str">
        <f>IFERROR(__xludf.DUMMYFUNCTION("""COMPUTED_VALUE"""),"General Petite")</f>
        <v>General Petite</v>
      </c>
      <c r="J1633" s="13" t="str">
        <f>IFERROR(__xludf.DUMMYFUNCTION("""COMPUTED_VALUE"""),"Dresses")</f>
        <v>Dresses</v>
      </c>
      <c r="K1633" s="13" t="str">
        <f>IFERROR(__xludf.DUMMYFUNCTION("""COMPUTED_VALUE"""),"Dresses")</f>
        <v>Dresses</v>
      </c>
      <c r="L1633" s="13"/>
    </row>
    <row r="1634">
      <c r="A1634" s="13">
        <f>IFERROR(__xludf.DUMMYFUNCTION("""COMPUTED_VALUE"""),1632.0)</f>
        <v>1632</v>
      </c>
      <c r="B1634" s="13">
        <f>IFERROR(__xludf.DUMMYFUNCTION("""COMPUTED_VALUE"""),992.0)</f>
        <v>992</v>
      </c>
      <c r="C1634" s="13">
        <f>IFERROR(__xludf.DUMMYFUNCTION("""COMPUTED_VALUE"""),34.0)</f>
        <v>34</v>
      </c>
      <c r="D1634" s="12" t="str">
        <f>IFERROR(__xludf.DUMMYFUNCTION("""COMPUTED_VALUE"""),"Runs small")</f>
        <v>Runs small</v>
      </c>
      <c r="E1634" s="12" t="str">
        <f>IFERROR(__xludf.DUMMYFUNCTION("""COMPUTED_VALUE"""),"Beautiful patterns and colors, but it sits very high and runs small. i'm normally a size 4 and got the small. zipped all the way, but on the snug side. the skirt sits so high that the fabric coming down was a bit awkward. such a shame because it really is"&amp;" beautiful and looks great on the model probably because she's wearing a belt to hide how high it rides and flares out.")</f>
        <v>Beautiful patterns and colors, but it sits very high and runs small. i'm normally a size 4 and got the small. zipped all the way, but on the snug side. the skirt sits so high that the fabric coming down was a bit awkward. such a shame because it really is beautiful and looks great on the model probably because she's wearing a belt to hide how high it rides and flares out.</v>
      </c>
      <c r="F1634" s="13">
        <f>IFERROR(__xludf.DUMMYFUNCTION("""COMPUTED_VALUE"""),4.0)</f>
        <v>4</v>
      </c>
      <c r="G1634" s="13">
        <f>IFERROR(__xludf.DUMMYFUNCTION("""COMPUTED_VALUE"""),1.0)</f>
        <v>1</v>
      </c>
      <c r="H1634" s="13">
        <f>IFERROR(__xludf.DUMMYFUNCTION("""COMPUTED_VALUE"""),0.0)</f>
        <v>0</v>
      </c>
      <c r="I1634" s="13" t="str">
        <f>IFERROR(__xludf.DUMMYFUNCTION("""COMPUTED_VALUE"""),"General Petite")</f>
        <v>General Petite</v>
      </c>
      <c r="J1634" s="13" t="str">
        <f>IFERROR(__xludf.DUMMYFUNCTION("""COMPUTED_VALUE"""),"Bottoms")</f>
        <v>Bottoms</v>
      </c>
      <c r="K1634" s="13" t="str">
        <f>IFERROR(__xludf.DUMMYFUNCTION("""COMPUTED_VALUE"""),"Skirts")</f>
        <v>Skirts</v>
      </c>
      <c r="L1634" s="13"/>
    </row>
    <row r="1635">
      <c r="A1635" s="13">
        <f>IFERROR(__xludf.DUMMYFUNCTION("""COMPUTED_VALUE"""),1633.0)</f>
        <v>1633</v>
      </c>
      <c r="B1635" s="13">
        <f>IFERROR(__xludf.DUMMYFUNCTION("""COMPUTED_VALUE"""),1094.0)</f>
        <v>1094</v>
      </c>
      <c r="C1635" s="13">
        <f>IFERROR(__xludf.DUMMYFUNCTION("""COMPUTED_VALUE"""),37.0)</f>
        <v>37</v>
      </c>
      <c r="D1635" s="12" t="str">
        <f>IFERROR(__xludf.DUMMYFUNCTION("""COMPUTED_VALUE"""),"Perfect for hourglass")</f>
        <v>Perfect for hourglass</v>
      </c>
      <c r="E1635" s="12" t="str">
        <f>IFERROR(__xludf.DUMMYFUNCTION("""COMPUTED_VALUE"""),"I tried on this dress in the store and absolutely fell in love! i'm a bigger gal who is busty and have wider hips. this dress made me look and feel slimmer, and is light to wear. the dress is a perfect length too. i'm 5'11 and this dress hits me right at "&amp;"the ankles. if your looking for a long dress to wear that can be either formal or casual, this one is perfect!")</f>
        <v>I tried on this dress in the store and absolutely fell in love! i'm a bigger gal who is busty and have wider hips. this dress made me look and feel slimmer, and is light to wear. the dress is a perfect length too. i'm 5'11 and this dress hits me right at the ankles. if your looking for a long dress to wear that can be either formal or casual, this one is perfect!</v>
      </c>
      <c r="F1635" s="13">
        <f>IFERROR(__xludf.DUMMYFUNCTION("""COMPUTED_VALUE"""),5.0)</f>
        <v>5</v>
      </c>
      <c r="G1635" s="13">
        <f>IFERROR(__xludf.DUMMYFUNCTION("""COMPUTED_VALUE"""),1.0)</f>
        <v>1</v>
      </c>
      <c r="H1635" s="13">
        <f>IFERROR(__xludf.DUMMYFUNCTION("""COMPUTED_VALUE"""),12.0)</f>
        <v>12</v>
      </c>
      <c r="I1635" s="13" t="str">
        <f>IFERROR(__xludf.DUMMYFUNCTION("""COMPUTED_VALUE"""),"General Petite")</f>
        <v>General Petite</v>
      </c>
      <c r="J1635" s="13" t="str">
        <f>IFERROR(__xludf.DUMMYFUNCTION("""COMPUTED_VALUE"""),"Dresses")</f>
        <v>Dresses</v>
      </c>
      <c r="K1635" s="13" t="str">
        <f>IFERROR(__xludf.DUMMYFUNCTION("""COMPUTED_VALUE"""),"Dresses")</f>
        <v>Dresses</v>
      </c>
      <c r="L1635" s="13"/>
    </row>
    <row r="1636">
      <c r="A1636" s="13">
        <f>IFERROR(__xludf.DUMMYFUNCTION("""COMPUTED_VALUE"""),1634.0)</f>
        <v>1634</v>
      </c>
      <c r="B1636" s="13">
        <f>IFERROR(__xludf.DUMMYFUNCTION("""COMPUTED_VALUE"""),1094.0)</f>
        <v>1094</v>
      </c>
      <c r="C1636" s="13">
        <f>IFERROR(__xludf.DUMMYFUNCTION("""COMPUTED_VALUE"""),34.0)</f>
        <v>34</v>
      </c>
      <c r="D1636" s="12" t="str">
        <f>IFERROR(__xludf.DUMMYFUNCTION("""COMPUTED_VALUE"""),"Absolutely beautiful and comfortable")</f>
        <v>Absolutely beautiful and comfortable</v>
      </c>
      <c r="E1636" s="12" t="str">
        <f>IFERROR(__xludf.DUMMYFUNCTION("""COMPUTED_VALUE"""),"I decided to try this on just for fun because the colors and design are absolutely gorgeous. here are my thoughts:
_________________
pros:
- the jeweled neckline is lovely! it really helps set the dress apart.
- pockets!!! such an elegant dress to have po"&amp;"ckets is a huge plus in my book. :)
- the length is ideal for taller folk.
- it swings beautifully on the body and flares out quite a bit on the bottom. if you're tall as i am, this won't be an issue.
- nicely conservative at the top.
cons:
- i")</f>
        <v>I decided to try this on just for fun because the colors and design are absolutely gorgeous. here are my thoughts:
_________________
pros:
- the jeweled neckline is lovely! it really helps set the dress apart.
- pockets!!! such an elegant dress to have pockets is a huge plus in my book. :)
- the length is ideal for taller folk.
- it swings beautifully on the body and flares out quite a bit on the bottom. if you're tall as i am, this won't be an issue.
- nicely conservative at the top.
cons:
- i</v>
      </c>
      <c r="F1636" s="13">
        <f>IFERROR(__xludf.DUMMYFUNCTION("""COMPUTED_VALUE"""),5.0)</f>
        <v>5</v>
      </c>
      <c r="G1636" s="13">
        <f>IFERROR(__xludf.DUMMYFUNCTION("""COMPUTED_VALUE"""),1.0)</f>
        <v>1</v>
      </c>
      <c r="H1636" s="13">
        <f>IFERROR(__xludf.DUMMYFUNCTION("""COMPUTED_VALUE"""),33.0)</f>
        <v>33</v>
      </c>
      <c r="I1636" s="13" t="str">
        <f>IFERROR(__xludf.DUMMYFUNCTION("""COMPUTED_VALUE"""),"General Petite")</f>
        <v>General Petite</v>
      </c>
      <c r="J1636" s="13" t="str">
        <f>IFERROR(__xludf.DUMMYFUNCTION("""COMPUTED_VALUE"""),"Dresses")</f>
        <v>Dresses</v>
      </c>
      <c r="K1636" s="13" t="str">
        <f>IFERROR(__xludf.DUMMYFUNCTION("""COMPUTED_VALUE"""),"Dresses")</f>
        <v>Dresses</v>
      </c>
      <c r="L1636" s="13"/>
    </row>
    <row r="1637">
      <c r="A1637" s="13">
        <f>IFERROR(__xludf.DUMMYFUNCTION("""COMPUTED_VALUE"""),1635.0)</f>
        <v>1635</v>
      </c>
      <c r="B1637" s="13">
        <f>IFERROR(__xludf.DUMMYFUNCTION("""COMPUTED_VALUE"""),942.0)</f>
        <v>942</v>
      </c>
      <c r="C1637" s="13">
        <f>IFERROR(__xludf.DUMMYFUNCTION("""COMPUTED_VALUE"""),38.0)</f>
        <v>38</v>
      </c>
      <c r="D1637" s="12" t="str">
        <f>IFERROR(__xludf.DUMMYFUNCTION("""COMPUTED_VALUE"""),"Pretty, but ill fitting")</f>
        <v>Pretty, but ill fitting</v>
      </c>
      <c r="E1637" s="12" t="str">
        <f>IFERROR(__xludf.DUMMYFUNCTION("""COMPUTED_VALUE"""),"I loved this sweater when i saw it online and ordered right away. i purchased a s and the fit was very off. the arms were long (which i don't mind) but the sweater was also super heavy and bulky so it was not at all flattering. i really wanted to love it "&amp;"and it seemed to be of good quality but it i had to return it.")</f>
        <v>I loved this sweater when i saw it online and ordered right away. i purchased a s and the fit was very off. the arms were long (which i don't mind) but the sweater was also super heavy and bulky so it was not at all flattering. i really wanted to love it and it seemed to be of good quality but it i had to return it.</v>
      </c>
      <c r="F1637" s="13">
        <f>IFERROR(__xludf.DUMMYFUNCTION("""COMPUTED_VALUE"""),2.0)</f>
        <v>2</v>
      </c>
      <c r="G1637" s="13">
        <f>IFERROR(__xludf.DUMMYFUNCTION("""COMPUTED_VALUE"""),0.0)</f>
        <v>0</v>
      </c>
      <c r="H1637" s="13">
        <f>IFERROR(__xludf.DUMMYFUNCTION("""COMPUTED_VALUE"""),6.0)</f>
        <v>6</v>
      </c>
      <c r="I1637" s="13" t="str">
        <f>IFERROR(__xludf.DUMMYFUNCTION("""COMPUTED_VALUE"""),"General")</f>
        <v>General</v>
      </c>
      <c r="J1637" s="13" t="str">
        <f>IFERROR(__xludf.DUMMYFUNCTION("""COMPUTED_VALUE"""),"Tops")</f>
        <v>Tops</v>
      </c>
      <c r="K1637" s="13" t="str">
        <f>IFERROR(__xludf.DUMMYFUNCTION("""COMPUTED_VALUE"""),"Sweaters")</f>
        <v>Sweaters</v>
      </c>
      <c r="L1637" s="13"/>
    </row>
    <row r="1638">
      <c r="A1638" s="13">
        <f>IFERROR(__xludf.DUMMYFUNCTION("""COMPUTED_VALUE"""),1636.0)</f>
        <v>1636</v>
      </c>
      <c r="B1638" s="13">
        <f>IFERROR(__xludf.DUMMYFUNCTION("""COMPUTED_VALUE"""),878.0)</f>
        <v>878</v>
      </c>
      <c r="C1638" s="13">
        <f>IFERROR(__xludf.DUMMYFUNCTION("""COMPUTED_VALUE"""),35.0)</f>
        <v>35</v>
      </c>
      <c r="D1638" s="12" t="str">
        <f>IFERROR(__xludf.DUMMYFUNCTION("""COMPUTED_VALUE"""),"Cute!")</f>
        <v>Cute!</v>
      </c>
      <c r="E1638" s="12" t="str">
        <f>IFERROR(__xludf.DUMMYFUNCTION("""COMPUTED_VALUE"""),"Love sundry. great quality. if you want a looser more comfy fit size up!")</f>
        <v>Love sundry. great quality. if you want a looser more comfy fit size up!</v>
      </c>
      <c r="F1638" s="13">
        <f>IFERROR(__xludf.DUMMYFUNCTION("""COMPUTED_VALUE"""),4.0)</f>
        <v>4</v>
      </c>
      <c r="G1638" s="13">
        <f>IFERROR(__xludf.DUMMYFUNCTION("""COMPUTED_VALUE"""),1.0)</f>
        <v>1</v>
      </c>
      <c r="H1638" s="13">
        <f>IFERROR(__xludf.DUMMYFUNCTION("""COMPUTED_VALUE"""),0.0)</f>
        <v>0</v>
      </c>
      <c r="I1638" s="13" t="str">
        <f>IFERROR(__xludf.DUMMYFUNCTION("""COMPUTED_VALUE"""),"General")</f>
        <v>General</v>
      </c>
      <c r="J1638" s="13" t="str">
        <f>IFERROR(__xludf.DUMMYFUNCTION("""COMPUTED_VALUE"""),"Tops")</f>
        <v>Tops</v>
      </c>
      <c r="K1638" s="13" t="str">
        <f>IFERROR(__xludf.DUMMYFUNCTION("""COMPUTED_VALUE"""),"Knits")</f>
        <v>Knits</v>
      </c>
      <c r="L1638" s="13"/>
    </row>
    <row r="1639">
      <c r="A1639" s="13">
        <f>IFERROR(__xludf.DUMMYFUNCTION("""COMPUTED_VALUE"""),1637.0)</f>
        <v>1637</v>
      </c>
      <c r="B1639" s="13">
        <f>IFERROR(__xludf.DUMMYFUNCTION("""COMPUTED_VALUE"""),992.0)</f>
        <v>992</v>
      </c>
      <c r="C1639" s="13">
        <f>IFERROR(__xludf.DUMMYFUNCTION("""COMPUTED_VALUE"""),53.0)</f>
        <v>53</v>
      </c>
      <c r="D1639" s="12" t="str">
        <f>IFERROR(__xludf.DUMMYFUNCTION("""COMPUTED_VALUE"""),"Stunning skirt!")</f>
        <v>Stunning skirt!</v>
      </c>
      <c r="E1639" s="12" t="str">
        <f>IFERROR(__xludf.DUMMYFUNCTION("""COMPUTED_VALUE"""),"Beautiful colors")</f>
        <v>Beautiful colors</v>
      </c>
      <c r="F1639" s="13">
        <f>IFERROR(__xludf.DUMMYFUNCTION("""COMPUTED_VALUE"""),5.0)</f>
        <v>5</v>
      </c>
      <c r="G1639" s="13">
        <f>IFERROR(__xludf.DUMMYFUNCTION("""COMPUTED_VALUE"""),1.0)</f>
        <v>1</v>
      </c>
      <c r="H1639" s="13">
        <f>IFERROR(__xludf.DUMMYFUNCTION("""COMPUTED_VALUE"""),2.0)</f>
        <v>2</v>
      </c>
      <c r="I1639" s="13" t="str">
        <f>IFERROR(__xludf.DUMMYFUNCTION("""COMPUTED_VALUE"""),"General Petite")</f>
        <v>General Petite</v>
      </c>
      <c r="J1639" s="13" t="str">
        <f>IFERROR(__xludf.DUMMYFUNCTION("""COMPUTED_VALUE"""),"Bottoms")</f>
        <v>Bottoms</v>
      </c>
      <c r="K1639" s="13" t="str">
        <f>IFERROR(__xludf.DUMMYFUNCTION("""COMPUTED_VALUE"""),"Skirts")</f>
        <v>Skirts</v>
      </c>
      <c r="L1639" s="13"/>
    </row>
    <row r="1640">
      <c r="A1640" s="13">
        <f>IFERROR(__xludf.DUMMYFUNCTION("""COMPUTED_VALUE"""),1638.0)</f>
        <v>1638</v>
      </c>
      <c r="B1640" s="13">
        <f>IFERROR(__xludf.DUMMYFUNCTION("""COMPUTED_VALUE"""),1051.0)</f>
        <v>1051</v>
      </c>
      <c r="C1640" s="13">
        <f>IFERROR(__xludf.DUMMYFUNCTION("""COMPUTED_VALUE"""),34.0)</f>
        <v>34</v>
      </c>
      <c r="D1640" s="12" t="str">
        <f>IFERROR(__xludf.DUMMYFUNCTION("""COMPUTED_VALUE"""),"Too big on top")</f>
        <v>Too big on top</v>
      </c>
      <c r="E1640" s="12" t="str">
        <f>IFERROR(__xludf.DUMMYFUNCTION("""COMPUTED_VALUE"""),"This just wouldn't lay right on me. the top is really too big. maybe if you're really busty, this is great, but not for me. i know the top is supposed to be a bit blousy, but it was huge and droopy and unflattering (not like in the picture). the arm holes"&amp;" were too big and hung down so you could see my bra, which i really hate and which is way too common lately. the bottom half fit perfectly, so sizing up or down would not have helped. the material is super light and comfy, which i liked very muc")</f>
        <v>This just wouldn't lay right on me. the top is really too big. maybe if you're really busty, this is great, but not for me. i know the top is supposed to be a bit blousy, but it was huge and droopy and unflattering (not like in the picture). the arm holes were too big and hung down so you could see my bra, which i really hate and which is way too common lately. the bottom half fit perfectly, so sizing up or down would not have helped. the material is super light and comfy, which i liked very muc</v>
      </c>
      <c r="F1640" s="13">
        <f>IFERROR(__xludf.DUMMYFUNCTION("""COMPUTED_VALUE"""),3.0)</f>
        <v>3</v>
      </c>
      <c r="G1640" s="13">
        <f>IFERROR(__xludf.DUMMYFUNCTION("""COMPUTED_VALUE"""),0.0)</f>
        <v>0</v>
      </c>
      <c r="H1640" s="13">
        <f>IFERROR(__xludf.DUMMYFUNCTION("""COMPUTED_VALUE"""),1.0)</f>
        <v>1</v>
      </c>
      <c r="I1640" s="13" t="str">
        <f>IFERROR(__xludf.DUMMYFUNCTION("""COMPUTED_VALUE"""),"General Petite")</f>
        <v>General Petite</v>
      </c>
      <c r="J1640" s="13" t="str">
        <f>IFERROR(__xludf.DUMMYFUNCTION("""COMPUTED_VALUE"""),"Bottoms")</f>
        <v>Bottoms</v>
      </c>
      <c r="K1640" s="13" t="str">
        <f>IFERROR(__xludf.DUMMYFUNCTION("""COMPUTED_VALUE"""),"Pants")</f>
        <v>Pants</v>
      </c>
      <c r="L1640" s="13"/>
    </row>
    <row r="1641">
      <c r="A1641" s="13">
        <f>IFERROR(__xludf.DUMMYFUNCTION("""COMPUTED_VALUE"""),1639.0)</f>
        <v>1639</v>
      </c>
      <c r="B1641" s="13">
        <f>IFERROR(__xludf.DUMMYFUNCTION("""COMPUTED_VALUE"""),833.0)</f>
        <v>833</v>
      </c>
      <c r="C1641" s="13">
        <f>IFERROR(__xludf.DUMMYFUNCTION("""COMPUTED_VALUE"""),38.0)</f>
        <v>38</v>
      </c>
      <c r="D1641" s="12" t="str">
        <f>IFERROR(__xludf.DUMMYFUNCTION("""COMPUTED_VALUE"""),"Great top")</f>
        <v>Great top</v>
      </c>
      <c r="E1641" s="12" t="str">
        <f>IFERROR(__xludf.DUMMYFUNCTION("""COMPUTED_VALUE"""),"This is one of my favorite tops i've ordered. flowing and relaxed with great details at the neck. i get compliments every time i wear it.")</f>
        <v>This is one of my favorite tops i've ordered. flowing and relaxed with great details at the neck. i get compliments every time i wear it.</v>
      </c>
      <c r="F1641" s="13">
        <f>IFERROR(__xludf.DUMMYFUNCTION("""COMPUTED_VALUE"""),5.0)</f>
        <v>5</v>
      </c>
      <c r="G1641" s="13">
        <f>IFERROR(__xludf.DUMMYFUNCTION("""COMPUTED_VALUE"""),1.0)</f>
        <v>1</v>
      </c>
      <c r="H1641" s="13">
        <f>IFERROR(__xludf.DUMMYFUNCTION("""COMPUTED_VALUE"""),0.0)</f>
        <v>0</v>
      </c>
      <c r="I1641" s="13" t="str">
        <f>IFERROR(__xludf.DUMMYFUNCTION("""COMPUTED_VALUE"""),"General")</f>
        <v>General</v>
      </c>
      <c r="J1641" s="13" t="str">
        <f>IFERROR(__xludf.DUMMYFUNCTION("""COMPUTED_VALUE"""),"Tops")</f>
        <v>Tops</v>
      </c>
      <c r="K1641" s="13" t="str">
        <f>IFERROR(__xludf.DUMMYFUNCTION("""COMPUTED_VALUE"""),"Blouses")</f>
        <v>Blouses</v>
      </c>
      <c r="L1641" s="13"/>
    </row>
    <row r="1642">
      <c r="A1642" s="13">
        <f>IFERROR(__xludf.DUMMYFUNCTION("""COMPUTED_VALUE"""),1640.0)</f>
        <v>1640</v>
      </c>
      <c r="B1642" s="13">
        <f>IFERROR(__xludf.DUMMYFUNCTION("""COMPUTED_VALUE"""),1051.0)</f>
        <v>1051</v>
      </c>
      <c r="C1642" s="13">
        <f>IFERROR(__xludf.DUMMYFUNCTION("""COMPUTED_VALUE"""),38.0)</f>
        <v>38</v>
      </c>
      <c r="D1642" s="12" t="str">
        <f>IFERROR(__xludf.DUMMYFUNCTION("""COMPUTED_VALUE"""),"Best for tall folks")</f>
        <v>Best for tall folks</v>
      </c>
      <c r="E1642" s="12" t="str">
        <f>IFERROR(__xludf.DUMMYFUNCTION("""COMPUTED_VALUE"""),"This jumpsuit is lovely and comfortable, with gorgeous embroidered detailing, but it really needs to come in petite sizes. at 5'4"" with a pretty proportional torso to leg ratio, i found the hem length okay but the top portion way too long. for the waistb"&amp;"and to be anywhere near my natural waist, the shoulders would have had to be taken up several inches and the armholes shortened.")</f>
        <v>This jumpsuit is lovely and comfortable, with gorgeous embroidered detailing, but it really needs to come in petite sizes. at 5'4" with a pretty proportional torso to leg ratio, i found the hem length okay but the top portion way too long. for the waistband to be anywhere near my natural waist, the shoulders would have had to be taken up several inches and the armholes shortened.</v>
      </c>
      <c r="F1642" s="13">
        <f>IFERROR(__xludf.DUMMYFUNCTION("""COMPUTED_VALUE"""),3.0)</f>
        <v>3</v>
      </c>
      <c r="G1642" s="13">
        <f>IFERROR(__xludf.DUMMYFUNCTION("""COMPUTED_VALUE"""),1.0)</f>
        <v>1</v>
      </c>
      <c r="H1642" s="13">
        <f>IFERROR(__xludf.DUMMYFUNCTION("""COMPUTED_VALUE"""),5.0)</f>
        <v>5</v>
      </c>
      <c r="I1642" s="13" t="str">
        <f>IFERROR(__xludf.DUMMYFUNCTION("""COMPUTED_VALUE"""),"General Petite")</f>
        <v>General Petite</v>
      </c>
      <c r="J1642" s="13" t="str">
        <f>IFERROR(__xludf.DUMMYFUNCTION("""COMPUTED_VALUE"""),"Bottoms")</f>
        <v>Bottoms</v>
      </c>
      <c r="K1642" s="13" t="str">
        <f>IFERROR(__xludf.DUMMYFUNCTION("""COMPUTED_VALUE"""),"Pants")</f>
        <v>Pants</v>
      </c>
      <c r="L1642" s="13"/>
    </row>
    <row r="1643">
      <c r="A1643" s="13">
        <f>IFERROR(__xludf.DUMMYFUNCTION("""COMPUTED_VALUE"""),1641.0)</f>
        <v>1641</v>
      </c>
      <c r="B1643" s="13">
        <f>IFERROR(__xludf.DUMMYFUNCTION("""COMPUTED_VALUE"""),1094.0)</f>
        <v>1094</v>
      </c>
      <c r="C1643" s="13">
        <f>IFERROR(__xludf.DUMMYFUNCTION("""COMPUTED_VALUE"""),35.0)</f>
        <v>35</v>
      </c>
      <c r="D1643" s="12" t="str">
        <f>IFERROR(__xludf.DUMMYFUNCTION("""COMPUTED_VALUE"""),"Perfect")</f>
        <v>Perfect</v>
      </c>
      <c r="E1643" s="12" t="str">
        <f>IFERROR(__xludf.DUMMYFUNCTION("""COMPUTED_VALUE"""),"This dress is stunning! my sister-in-law was hoping to use it as a bridesmaid dress for her wedding and i ordered it for fitting purposes. it fit beautifully on my 5'10"" frame. unfortunately she decided against it due to availability and because of the l"&amp;"ength on the shorter bridesmaids. while it fell to a couple inches above my ankles, it made the shorter girls look shorter. i ended up returning it but am regretting not keeping it now!")</f>
        <v>This dress is stunning! my sister-in-law was hoping to use it as a bridesmaid dress for her wedding and i ordered it for fitting purposes. it fit beautifully on my 5'10" frame. unfortunately she decided against it due to availability and because of the length on the shorter bridesmaids. while it fell to a couple inches above my ankles, it made the shorter girls look shorter. i ended up returning it but am regretting not keeping it now!</v>
      </c>
      <c r="F1643" s="13">
        <f>IFERROR(__xludf.DUMMYFUNCTION("""COMPUTED_VALUE"""),5.0)</f>
        <v>5</v>
      </c>
      <c r="G1643" s="13">
        <f>IFERROR(__xludf.DUMMYFUNCTION("""COMPUTED_VALUE"""),1.0)</f>
        <v>1</v>
      </c>
      <c r="H1643" s="13">
        <f>IFERROR(__xludf.DUMMYFUNCTION("""COMPUTED_VALUE"""),0.0)</f>
        <v>0</v>
      </c>
      <c r="I1643" s="13" t="str">
        <f>IFERROR(__xludf.DUMMYFUNCTION("""COMPUTED_VALUE"""),"General")</f>
        <v>General</v>
      </c>
      <c r="J1643" s="13" t="str">
        <f>IFERROR(__xludf.DUMMYFUNCTION("""COMPUTED_VALUE"""),"Dresses")</f>
        <v>Dresses</v>
      </c>
      <c r="K1643" s="13" t="str">
        <f>IFERROR(__xludf.DUMMYFUNCTION("""COMPUTED_VALUE"""),"Dresses")</f>
        <v>Dresses</v>
      </c>
      <c r="L1643" s="13"/>
    </row>
    <row r="1644">
      <c r="A1644" s="13">
        <f>IFERROR(__xludf.DUMMYFUNCTION("""COMPUTED_VALUE"""),1642.0)</f>
        <v>1642</v>
      </c>
      <c r="B1644" s="13">
        <f>IFERROR(__xludf.DUMMYFUNCTION("""COMPUTED_VALUE"""),1059.0)</f>
        <v>1059</v>
      </c>
      <c r="C1644" s="13">
        <f>IFERROR(__xludf.DUMMYFUNCTION("""COMPUTED_VALUE"""),52.0)</f>
        <v>52</v>
      </c>
      <c r="D1644" s="12" t="str">
        <f>IFERROR(__xludf.DUMMYFUNCTION("""COMPUTED_VALUE"""),"Classic and timeless")</f>
        <v>Classic and timeless</v>
      </c>
      <c r="E1644" s="12" t="str">
        <f>IFERROR(__xludf.DUMMYFUNCTION("""COMPUTED_VALUE"""),"I was a little concerned ordering these online without seeing them in person but they do not disappoint! the fabric has a little texture to it that makes them look and feel like a high quality pant. the design is unique and provides visual appeal, and i s"&amp;"till feel like i can wear them in my office without looking out of place. i love the high waist on these!")</f>
        <v>I was a little concerned ordering these online without seeing them in person but they do not disappoint! the fabric has a little texture to it that makes them look and feel like a high quality pant. the design is unique and provides visual appeal, and i still feel like i can wear them in my office without looking out of place. i love the high waist on these!</v>
      </c>
      <c r="F1644" s="13">
        <f>IFERROR(__xludf.DUMMYFUNCTION("""COMPUTED_VALUE"""),5.0)</f>
        <v>5</v>
      </c>
      <c r="G1644" s="13">
        <f>IFERROR(__xludf.DUMMYFUNCTION("""COMPUTED_VALUE"""),1.0)</f>
        <v>1</v>
      </c>
      <c r="H1644" s="13">
        <f>IFERROR(__xludf.DUMMYFUNCTION("""COMPUTED_VALUE"""),2.0)</f>
        <v>2</v>
      </c>
      <c r="I1644" s="13" t="str">
        <f>IFERROR(__xludf.DUMMYFUNCTION("""COMPUTED_VALUE"""),"General")</f>
        <v>General</v>
      </c>
      <c r="J1644" s="13" t="str">
        <f>IFERROR(__xludf.DUMMYFUNCTION("""COMPUTED_VALUE"""),"Bottoms")</f>
        <v>Bottoms</v>
      </c>
      <c r="K1644" s="13" t="str">
        <f>IFERROR(__xludf.DUMMYFUNCTION("""COMPUTED_VALUE"""),"Pants")</f>
        <v>Pants</v>
      </c>
      <c r="L1644" s="13"/>
    </row>
    <row r="1645">
      <c r="A1645" s="13">
        <f>IFERROR(__xludf.DUMMYFUNCTION("""COMPUTED_VALUE"""),1643.0)</f>
        <v>1643</v>
      </c>
      <c r="B1645" s="13">
        <f>IFERROR(__xludf.DUMMYFUNCTION("""COMPUTED_VALUE"""),867.0)</f>
        <v>867</v>
      </c>
      <c r="C1645" s="13">
        <f>IFERROR(__xludf.DUMMYFUNCTION("""COMPUTED_VALUE"""),37.0)</f>
        <v>37</v>
      </c>
      <c r="D1645" s="12"/>
      <c r="E1645" s="12"/>
      <c r="F1645" s="13">
        <f>IFERROR(__xludf.DUMMYFUNCTION("""COMPUTED_VALUE"""),4.0)</f>
        <v>4</v>
      </c>
      <c r="G1645" s="13">
        <f>IFERROR(__xludf.DUMMYFUNCTION("""COMPUTED_VALUE"""),1.0)</f>
        <v>1</v>
      </c>
      <c r="H1645" s="13">
        <f>IFERROR(__xludf.DUMMYFUNCTION("""COMPUTED_VALUE"""),0.0)</f>
        <v>0</v>
      </c>
      <c r="I1645" s="13" t="str">
        <f>IFERROR(__xludf.DUMMYFUNCTION("""COMPUTED_VALUE"""),"General")</f>
        <v>General</v>
      </c>
      <c r="J1645" s="13" t="str">
        <f>IFERROR(__xludf.DUMMYFUNCTION("""COMPUTED_VALUE"""),"Tops")</f>
        <v>Tops</v>
      </c>
      <c r="K1645" s="13" t="str">
        <f>IFERROR(__xludf.DUMMYFUNCTION("""COMPUTED_VALUE"""),"Knits")</f>
        <v>Knits</v>
      </c>
      <c r="L1645" s="13"/>
    </row>
    <row r="1646">
      <c r="A1646" s="13">
        <f>IFERROR(__xludf.DUMMYFUNCTION("""COMPUTED_VALUE"""),1644.0)</f>
        <v>1644</v>
      </c>
      <c r="B1646" s="13">
        <f>IFERROR(__xludf.DUMMYFUNCTION("""COMPUTED_VALUE"""),1013.0)</f>
        <v>1013</v>
      </c>
      <c r="C1646" s="13">
        <f>IFERROR(__xludf.DUMMYFUNCTION("""COMPUTED_VALUE"""),45.0)</f>
        <v>45</v>
      </c>
      <c r="D1646" s="12" t="str">
        <f>IFERROR(__xludf.DUMMYFUNCTION("""COMPUTED_VALUE"""),"Great work skirt")</f>
        <v>Great work skirt</v>
      </c>
      <c r="E1646" s="12" t="str">
        <f>IFERROR(__xludf.DUMMYFUNCTION("""COMPUTED_VALUE"""),"This skirt is a nice medium weight and is lined. my normal size 4 fit perfect. i only wish it was available in petites. if you are petite, the skirt is ankle length. but this is a good skirt to wear to work.")</f>
        <v>This skirt is a nice medium weight and is lined. my normal size 4 fit perfect. i only wish it was available in petites. if you are petite, the skirt is ankle length. but this is a good skirt to wear to work.</v>
      </c>
      <c r="F1646" s="13">
        <f>IFERROR(__xludf.DUMMYFUNCTION("""COMPUTED_VALUE"""),5.0)</f>
        <v>5</v>
      </c>
      <c r="G1646" s="13">
        <f>IFERROR(__xludf.DUMMYFUNCTION("""COMPUTED_VALUE"""),1.0)</f>
        <v>1</v>
      </c>
      <c r="H1646" s="13">
        <f>IFERROR(__xludf.DUMMYFUNCTION("""COMPUTED_VALUE"""),2.0)</f>
        <v>2</v>
      </c>
      <c r="I1646" s="13" t="str">
        <f>IFERROR(__xludf.DUMMYFUNCTION("""COMPUTED_VALUE"""),"General")</f>
        <v>General</v>
      </c>
      <c r="J1646" s="13" t="str">
        <f>IFERROR(__xludf.DUMMYFUNCTION("""COMPUTED_VALUE"""),"Bottoms")</f>
        <v>Bottoms</v>
      </c>
      <c r="K1646" s="13" t="str">
        <f>IFERROR(__xludf.DUMMYFUNCTION("""COMPUTED_VALUE"""),"Skirts")</f>
        <v>Skirts</v>
      </c>
      <c r="L1646" s="13"/>
    </row>
    <row r="1647">
      <c r="A1647" s="13">
        <f>IFERROR(__xludf.DUMMYFUNCTION("""COMPUTED_VALUE"""),1645.0)</f>
        <v>1645</v>
      </c>
      <c r="B1647" s="13">
        <f>IFERROR(__xludf.DUMMYFUNCTION("""COMPUTED_VALUE"""),1044.0)</f>
        <v>1044</v>
      </c>
      <c r="C1647" s="13">
        <f>IFERROR(__xludf.DUMMYFUNCTION("""COMPUTED_VALUE"""),39.0)</f>
        <v>39</v>
      </c>
      <c r="D1647" s="12"/>
      <c r="E1647" s="12" t="str">
        <f>IFERROR(__xludf.DUMMYFUNCTION("""COMPUTED_VALUE"""),"Runs large and pocket detail is very prominent. wanted a crisper, trouser-like pant--this is not it!")</f>
        <v>Runs large and pocket detail is very prominent. wanted a crisper, trouser-like pant--this is not it!</v>
      </c>
      <c r="F1647" s="13">
        <f>IFERROR(__xludf.DUMMYFUNCTION("""COMPUTED_VALUE"""),3.0)</f>
        <v>3</v>
      </c>
      <c r="G1647" s="13">
        <f>IFERROR(__xludf.DUMMYFUNCTION("""COMPUTED_VALUE"""),0.0)</f>
        <v>0</v>
      </c>
      <c r="H1647" s="13">
        <f>IFERROR(__xludf.DUMMYFUNCTION("""COMPUTED_VALUE"""),0.0)</f>
        <v>0</v>
      </c>
      <c r="I1647" s="13" t="str">
        <f>IFERROR(__xludf.DUMMYFUNCTION("""COMPUTED_VALUE"""),"General")</f>
        <v>General</v>
      </c>
      <c r="J1647" s="13" t="str">
        <f>IFERROR(__xludf.DUMMYFUNCTION("""COMPUTED_VALUE"""),"Bottoms")</f>
        <v>Bottoms</v>
      </c>
      <c r="K1647" s="13" t="str">
        <f>IFERROR(__xludf.DUMMYFUNCTION("""COMPUTED_VALUE"""),"Pants")</f>
        <v>Pants</v>
      </c>
      <c r="L1647" s="13"/>
    </row>
    <row r="1648">
      <c r="A1648" s="13">
        <f>IFERROR(__xludf.DUMMYFUNCTION("""COMPUTED_VALUE"""),1646.0)</f>
        <v>1646</v>
      </c>
      <c r="B1648" s="13">
        <f>IFERROR(__xludf.DUMMYFUNCTION("""COMPUTED_VALUE"""),835.0)</f>
        <v>835</v>
      </c>
      <c r="C1648" s="13">
        <f>IFERROR(__xludf.DUMMYFUNCTION("""COMPUTED_VALUE"""),32.0)</f>
        <v>32</v>
      </c>
      <c r="D1648" s="12" t="str">
        <f>IFERROR(__xludf.DUMMYFUNCTION("""COMPUTED_VALUE"""),"Pirate sleeves")</f>
        <v>Pirate sleeves</v>
      </c>
      <c r="E1648" s="12" t="str">
        <f>IFERROR(__xludf.DUMMYFUNCTION("""COMPUTED_VALUE"""),"The beadwork is gorgeous, but the sleeves are so puffy, it looks as though you're wearing shoulder pads. the fabric of the shirt isn't that fabulous either.")</f>
        <v>The beadwork is gorgeous, but the sleeves are so puffy, it looks as though you're wearing shoulder pads. the fabric of the shirt isn't that fabulous either.</v>
      </c>
      <c r="F1648" s="13">
        <f>IFERROR(__xludf.DUMMYFUNCTION("""COMPUTED_VALUE"""),1.0)</f>
        <v>1</v>
      </c>
      <c r="G1648" s="13">
        <f>IFERROR(__xludf.DUMMYFUNCTION("""COMPUTED_VALUE"""),0.0)</f>
        <v>0</v>
      </c>
      <c r="H1648" s="13">
        <f>IFERROR(__xludf.DUMMYFUNCTION("""COMPUTED_VALUE"""),0.0)</f>
        <v>0</v>
      </c>
      <c r="I1648" s="13" t="str">
        <f>IFERROR(__xludf.DUMMYFUNCTION("""COMPUTED_VALUE"""),"General Petite")</f>
        <v>General Petite</v>
      </c>
      <c r="J1648" s="13" t="str">
        <f>IFERROR(__xludf.DUMMYFUNCTION("""COMPUTED_VALUE"""),"Tops")</f>
        <v>Tops</v>
      </c>
      <c r="K1648" s="13" t="str">
        <f>IFERROR(__xludf.DUMMYFUNCTION("""COMPUTED_VALUE"""),"Blouses")</f>
        <v>Blouses</v>
      </c>
      <c r="L1648" s="13"/>
    </row>
    <row r="1649">
      <c r="A1649" s="13">
        <f>IFERROR(__xludf.DUMMYFUNCTION("""COMPUTED_VALUE"""),1647.0)</f>
        <v>1647</v>
      </c>
      <c r="B1649" s="13">
        <f>IFERROR(__xludf.DUMMYFUNCTION("""COMPUTED_VALUE"""),1059.0)</f>
        <v>1059</v>
      </c>
      <c r="C1649" s="13">
        <f>IFERROR(__xludf.DUMMYFUNCTION("""COMPUTED_VALUE"""),36.0)</f>
        <v>36</v>
      </c>
      <c r="D1649" s="12" t="str">
        <f>IFERROR(__xludf.DUMMYFUNCTION("""COMPUTED_VALUE"""),"Lovely")</f>
        <v>Lovely</v>
      </c>
      <c r="E1649" s="12" t="str">
        <f>IFERROR(__xludf.DUMMYFUNCTION("""COMPUTED_VALUE"""),"These trousers are wonderful. the fabric is comfortable and does have a little give to it.")</f>
        <v>These trousers are wonderful. the fabric is comfortable and does have a little give to it.</v>
      </c>
      <c r="F1649" s="13">
        <f>IFERROR(__xludf.DUMMYFUNCTION("""COMPUTED_VALUE"""),5.0)</f>
        <v>5</v>
      </c>
      <c r="G1649" s="13">
        <f>IFERROR(__xludf.DUMMYFUNCTION("""COMPUTED_VALUE"""),1.0)</f>
        <v>1</v>
      </c>
      <c r="H1649" s="13">
        <f>IFERROR(__xludf.DUMMYFUNCTION("""COMPUTED_VALUE"""),1.0)</f>
        <v>1</v>
      </c>
      <c r="I1649" s="13" t="str">
        <f>IFERROR(__xludf.DUMMYFUNCTION("""COMPUTED_VALUE"""),"General")</f>
        <v>General</v>
      </c>
      <c r="J1649" s="13" t="str">
        <f>IFERROR(__xludf.DUMMYFUNCTION("""COMPUTED_VALUE"""),"Bottoms")</f>
        <v>Bottoms</v>
      </c>
      <c r="K1649" s="13" t="str">
        <f>IFERROR(__xludf.DUMMYFUNCTION("""COMPUTED_VALUE"""),"Pants")</f>
        <v>Pants</v>
      </c>
      <c r="L1649" s="13"/>
    </row>
    <row r="1650">
      <c r="A1650" s="13">
        <f>IFERROR(__xludf.DUMMYFUNCTION("""COMPUTED_VALUE"""),1648.0)</f>
        <v>1648</v>
      </c>
      <c r="B1650" s="13">
        <f>IFERROR(__xludf.DUMMYFUNCTION("""COMPUTED_VALUE"""),835.0)</f>
        <v>835</v>
      </c>
      <c r="C1650" s="13">
        <f>IFERROR(__xludf.DUMMYFUNCTION("""COMPUTED_VALUE"""),39.0)</f>
        <v>39</v>
      </c>
      <c r="D1650" s="12" t="str">
        <f>IFERROR(__xludf.DUMMYFUNCTION("""COMPUTED_VALUE"""),"Why did i order this?")</f>
        <v>Why did i order this?</v>
      </c>
      <c r="E1650" s="12" t="str">
        <f>IFERROR(__xludf.DUMMYFUNCTION("""COMPUTED_VALUE"""),"I really wanted to not like the top for that price, but ti looks really good, the beading makes the shirt stunning... i ordered the 0p, not sure what size to get, and it is just fine. the length is almost too short, but isn't. the rest of the shirt fits n"&amp;"icely. the shoulder are wide, like poofing out a bit, perhaps that is hwy some people thought it looked large? the beading work is beautiful also a little sheer, but not crazy. debating whether to keep it but right now i love it. also, teh colla")</f>
        <v>I really wanted to not like the top for that price, but ti looks really good, the beading makes the shirt stunning... i ordered the 0p, not sure what size to get, and it is just fine. the length is almost too short, but isn't. the rest of the shirt fits nicely. the shoulder are wide, like poofing out a bit, perhaps that is hwy some people thought it looked large? the beading work is beautiful also a little sheer, but not crazy. debating whether to keep it but right now i love it. also, teh colla</v>
      </c>
      <c r="F1650" s="13">
        <f>IFERROR(__xludf.DUMMYFUNCTION("""COMPUTED_VALUE"""),5.0)</f>
        <v>5</v>
      </c>
      <c r="G1650" s="13">
        <f>IFERROR(__xludf.DUMMYFUNCTION("""COMPUTED_VALUE"""),1.0)</f>
        <v>1</v>
      </c>
      <c r="H1650" s="13">
        <f>IFERROR(__xludf.DUMMYFUNCTION("""COMPUTED_VALUE"""),2.0)</f>
        <v>2</v>
      </c>
      <c r="I1650" s="13" t="str">
        <f>IFERROR(__xludf.DUMMYFUNCTION("""COMPUTED_VALUE"""),"General Petite")</f>
        <v>General Petite</v>
      </c>
      <c r="J1650" s="13" t="str">
        <f>IFERROR(__xludf.DUMMYFUNCTION("""COMPUTED_VALUE"""),"Tops")</f>
        <v>Tops</v>
      </c>
      <c r="K1650" s="13" t="str">
        <f>IFERROR(__xludf.DUMMYFUNCTION("""COMPUTED_VALUE"""),"Blouses")</f>
        <v>Blouses</v>
      </c>
      <c r="L1650" s="13"/>
    </row>
    <row r="1651">
      <c r="A1651" s="13">
        <f>IFERROR(__xludf.DUMMYFUNCTION("""COMPUTED_VALUE"""),1649.0)</f>
        <v>1649</v>
      </c>
      <c r="B1651" s="13">
        <f>IFERROR(__xludf.DUMMYFUNCTION("""COMPUTED_VALUE"""),857.0)</f>
        <v>857</v>
      </c>
      <c r="C1651" s="13">
        <f>IFERROR(__xludf.DUMMYFUNCTION("""COMPUTED_VALUE"""),29.0)</f>
        <v>29</v>
      </c>
      <c r="D1651" s="12"/>
      <c r="E1651" s="12" t="str">
        <f>IFERROR(__xludf.DUMMYFUNCTION("""COMPUTED_VALUE"""),"Very pretty top, comfortable and soft but looks nice enough for work!")</f>
        <v>Very pretty top, comfortable and soft but looks nice enough for work!</v>
      </c>
      <c r="F1651" s="13">
        <f>IFERROR(__xludf.DUMMYFUNCTION("""COMPUTED_VALUE"""),5.0)</f>
        <v>5</v>
      </c>
      <c r="G1651" s="13">
        <f>IFERROR(__xludf.DUMMYFUNCTION("""COMPUTED_VALUE"""),1.0)</f>
        <v>1</v>
      </c>
      <c r="H1651" s="13">
        <f>IFERROR(__xludf.DUMMYFUNCTION("""COMPUTED_VALUE"""),0.0)</f>
        <v>0</v>
      </c>
      <c r="I1651" s="13" t="str">
        <f>IFERROR(__xludf.DUMMYFUNCTION("""COMPUTED_VALUE"""),"General Petite")</f>
        <v>General Petite</v>
      </c>
      <c r="J1651" s="13" t="str">
        <f>IFERROR(__xludf.DUMMYFUNCTION("""COMPUTED_VALUE"""),"Tops")</f>
        <v>Tops</v>
      </c>
      <c r="K1651" s="13" t="str">
        <f>IFERROR(__xludf.DUMMYFUNCTION("""COMPUTED_VALUE"""),"Knits")</f>
        <v>Knits</v>
      </c>
      <c r="L1651" s="13"/>
    </row>
    <row r="1652">
      <c r="A1652" s="13">
        <f>IFERROR(__xludf.DUMMYFUNCTION("""COMPUTED_VALUE"""),1650.0)</f>
        <v>1650</v>
      </c>
      <c r="B1652" s="13">
        <f>IFERROR(__xludf.DUMMYFUNCTION("""COMPUTED_VALUE"""),867.0)</f>
        <v>867</v>
      </c>
      <c r="C1652" s="13">
        <f>IFERROR(__xludf.DUMMYFUNCTION("""COMPUTED_VALUE"""),35.0)</f>
        <v>35</v>
      </c>
      <c r="D1652" s="12"/>
      <c r="E1652" s="12" t="str">
        <f>IFERROR(__xludf.DUMMYFUNCTION("""COMPUTED_VALUE"""),"Normally i am a size 10 or 12 but i sized down to a small. still very swingy and beautiful. i bought the pink and the taupe as well. the colors are beautiful and have great texture to hide stains!")</f>
        <v>Normally i am a size 10 or 12 but i sized down to a small. still very swingy and beautiful. i bought the pink and the taupe as well. the colors are beautiful and have great texture to hide stains!</v>
      </c>
      <c r="F1652" s="13">
        <f>IFERROR(__xludf.DUMMYFUNCTION("""COMPUTED_VALUE"""),5.0)</f>
        <v>5</v>
      </c>
      <c r="G1652" s="13">
        <f>IFERROR(__xludf.DUMMYFUNCTION("""COMPUTED_VALUE"""),1.0)</f>
        <v>1</v>
      </c>
      <c r="H1652" s="13">
        <f>IFERROR(__xludf.DUMMYFUNCTION("""COMPUTED_VALUE"""),1.0)</f>
        <v>1</v>
      </c>
      <c r="I1652" s="13" t="str">
        <f>IFERROR(__xludf.DUMMYFUNCTION("""COMPUTED_VALUE"""),"General")</f>
        <v>General</v>
      </c>
      <c r="J1652" s="13" t="str">
        <f>IFERROR(__xludf.DUMMYFUNCTION("""COMPUTED_VALUE"""),"Tops")</f>
        <v>Tops</v>
      </c>
      <c r="K1652" s="13" t="str">
        <f>IFERROR(__xludf.DUMMYFUNCTION("""COMPUTED_VALUE"""),"Knits")</f>
        <v>Knits</v>
      </c>
      <c r="L1652" s="13"/>
    </row>
    <row r="1653">
      <c r="A1653" s="13">
        <f>IFERROR(__xludf.DUMMYFUNCTION("""COMPUTED_VALUE"""),1651.0)</f>
        <v>1651</v>
      </c>
      <c r="B1653" s="13">
        <f>IFERROR(__xludf.DUMMYFUNCTION("""COMPUTED_VALUE"""),1104.0)</f>
        <v>1104</v>
      </c>
      <c r="C1653" s="13">
        <f>IFERROR(__xludf.DUMMYFUNCTION("""COMPUTED_VALUE"""),41.0)</f>
        <v>41</v>
      </c>
      <c r="D1653" s="12" t="str">
        <f>IFERROR(__xludf.DUMMYFUNCTION("""COMPUTED_VALUE"""),"Cute &amp; comfortable")</f>
        <v>Cute &amp; comfortable</v>
      </c>
      <c r="E1653" s="12" t="str">
        <f>IFERROR(__xludf.DUMMYFUNCTION("""COMPUTED_VALUE"""),"I was a little surprised when i received this dress, as it is little more than an a-line tube with elastic casing at the top and a cute knotted detail at the bust. i guess i expected the bust to be lined at least. it is unlined, and a relatively thin jers"&amp;"ey knit. it wasn't see through, for it is black, but i expected a heavier fabric. i would never have paid full price for this, but at the sale price it is very cute and comfortable. it is also flattering and the fit is true to size. the a-line t")</f>
        <v>I was a little surprised when i received this dress, as it is little more than an a-line tube with elastic casing at the top and a cute knotted detail at the bust. i guess i expected the bust to be lined at least. it is unlined, and a relatively thin jersey knit. it wasn't see through, for it is black, but i expected a heavier fabric. i would never have paid full price for this, but at the sale price it is very cute and comfortable. it is also flattering and the fit is true to size. the a-line t</v>
      </c>
      <c r="F1653" s="13">
        <f>IFERROR(__xludf.DUMMYFUNCTION("""COMPUTED_VALUE"""),4.0)</f>
        <v>4</v>
      </c>
      <c r="G1653" s="13">
        <f>IFERROR(__xludf.DUMMYFUNCTION("""COMPUTED_VALUE"""),1.0)</f>
        <v>1</v>
      </c>
      <c r="H1653" s="13">
        <f>IFERROR(__xludf.DUMMYFUNCTION("""COMPUTED_VALUE"""),0.0)</f>
        <v>0</v>
      </c>
      <c r="I1653" s="13" t="str">
        <f>IFERROR(__xludf.DUMMYFUNCTION("""COMPUTED_VALUE"""),"General Petite")</f>
        <v>General Petite</v>
      </c>
      <c r="J1653" s="13" t="str">
        <f>IFERROR(__xludf.DUMMYFUNCTION("""COMPUTED_VALUE"""),"Dresses")</f>
        <v>Dresses</v>
      </c>
      <c r="K1653" s="13" t="str">
        <f>IFERROR(__xludf.DUMMYFUNCTION("""COMPUTED_VALUE"""),"Dresses")</f>
        <v>Dresses</v>
      </c>
      <c r="L1653" s="13"/>
    </row>
    <row r="1654">
      <c r="A1654" s="13">
        <f>IFERROR(__xludf.DUMMYFUNCTION("""COMPUTED_VALUE"""),1652.0)</f>
        <v>1652</v>
      </c>
      <c r="B1654" s="13">
        <f>IFERROR(__xludf.DUMMYFUNCTION("""COMPUTED_VALUE"""),835.0)</f>
        <v>835</v>
      </c>
      <c r="C1654" s="13">
        <f>IFERROR(__xludf.DUMMYFUNCTION("""COMPUTED_VALUE"""),31.0)</f>
        <v>31</v>
      </c>
      <c r="D1654" s="12" t="str">
        <f>IFERROR(__xludf.DUMMYFUNCTION("""COMPUTED_VALUE"""),"Great shirt")</f>
        <v>Great shirt</v>
      </c>
      <c r="E1654" s="12" t="str">
        <f>IFERROR(__xludf.DUMMYFUNCTION("""COMPUTED_VALUE"""),"This shirt is so great. it's beautiful and functional. i received countless compliments the first time i wore it. i'm looking forward to wearing it again! worth the steep price, though it was hard to justify.")</f>
        <v>This shirt is so great. it's beautiful and functional. i received countless compliments the first time i wore it. i'm looking forward to wearing it again! worth the steep price, though it was hard to justify.</v>
      </c>
      <c r="F1654" s="13">
        <f>IFERROR(__xludf.DUMMYFUNCTION("""COMPUTED_VALUE"""),4.0)</f>
        <v>4</v>
      </c>
      <c r="G1654" s="13">
        <f>IFERROR(__xludf.DUMMYFUNCTION("""COMPUTED_VALUE"""),1.0)</f>
        <v>1</v>
      </c>
      <c r="H1654" s="13">
        <f>IFERROR(__xludf.DUMMYFUNCTION("""COMPUTED_VALUE"""),1.0)</f>
        <v>1</v>
      </c>
      <c r="I1654" s="13" t="str">
        <f>IFERROR(__xludf.DUMMYFUNCTION("""COMPUTED_VALUE"""),"General Petite")</f>
        <v>General Petite</v>
      </c>
      <c r="J1654" s="13" t="str">
        <f>IFERROR(__xludf.DUMMYFUNCTION("""COMPUTED_VALUE"""),"Tops")</f>
        <v>Tops</v>
      </c>
      <c r="K1654" s="13" t="str">
        <f>IFERROR(__xludf.DUMMYFUNCTION("""COMPUTED_VALUE"""),"Blouses")</f>
        <v>Blouses</v>
      </c>
      <c r="L1654" s="13"/>
    </row>
    <row r="1655">
      <c r="A1655" s="13">
        <f>IFERROR(__xludf.DUMMYFUNCTION("""COMPUTED_VALUE"""),1653.0)</f>
        <v>1653</v>
      </c>
      <c r="B1655" s="13">
        <f>IFERROR(__xludf.DUMMYFUNCTION("""COMPUTED_VALUE"""),835.0)</f>
        <v>835</v>
      </c>
      <c r="C1655" s="13">
        <f>IFERROR(__xludf.DUMMYFUNCTION("""COMPUTED_VALUE"""),46.0)</f>
        <v>46</v>
      </c>
      <c r="D1655" s="12" t="str">
        <f>IFERROR(__xludf.DUMMYFUNCTION("""COMPUTED_VALUE"""),"Cute blouse!")</f>
        <v>Cute blouse!</v>
      </c>
      <c r="E1655" s="12" t="str">
        <f>IFERROR(__xludf.DUMMYFUNCTION("""COMPUTED_VALUE"""),"Very pretty blouse. it does run quite large, i am usually an xs-s or 0-4 and purchased the 0. i could probably have gone to a 00. for reference i am 5'4"" 118 lbs 34b/c. it says that it is dry clean only, however i washed in in delicate cycle with cold wa"&amp;"ter and threw in the dryer for a little bit. it came out perfect! i was hoping to shrink it and it only shrunk a tiny bit. i was hoping for it to shrink more but it is fine. no need to even iron it! i was lucky enough to get it on sale, i don't t")</f>
        <v>Very pretty blouse. it does run quite large, i am usually an xs-s or 0-4 and purchased the 0. i could probably have gone to a 00. for reference i am 5'4" 118 lbs 34b/c. it says that it is dry clean only, however i washed in in delicate cycle with cold water and threw in the dryer for a little bit. it came out perfect! i was hoping to shrink it and it only shrunk a tiny bit. i was hoping for it to shrink more but it is fine. no need to even iron it! i was lucky enough to get it on sale, i don't t</v>
      </c>
      <c r="F1655" s="13">
        <f>IFERROR(__xludf.DUMMYFUNCTION("""COMPUTED_VALUE"""),4.0)</f>
        <v>4</v>
      </c>
      <c r="G1655" s="13">
        <f>IFERROR(__xludf.DUMMYFUNCTION("""COMPUTED_VALUE"""),1.0)</f>
        <v>1</v>
      </c>
      <c r="H1655" s="13">
        <f>IFERROR(__xludf.DUMMYFUNCTION("""COMPUTED_VALUE"""),7.0)</f>
        <v>7</v>
      </c>
      <c r="I1655" s="13" t="str">
        <f>IFERROR(__xludf.DUMMYFUNCTION("""COMPUTED_VALUE"""),"General Petite")</f>
        <v>General Petite</v>
      </c>
      <c r="J1655" s="13" t="str">
        <f>IFERROR(__xludf.DUMMYFUNCTION("""COMPUTED_VALUE"""),"Tops")</f>
        <v>Tops</v>
      </c>
      <c r="K1655" s="13" t="str">
        <f>IFERROR(__xludf.DUMMYFUNCTION("""COMPUTED_VALUE"""),"Blouses")</f>
        <v>Blouses</v>
      </c>
      <c r="L1655" s="13"/>
    </row>
    <row r="1656">
      <c r="A1656" s="13">
        <f>IFERROR(__xludf.DUMMYFUNCTION("""COMPUTED_VALUE"""),1654.0)</f>
        <v>1654</v>
      </c>
      <c r="B1656" s="13">
        <f>IFERROR(__xludf.DUMMYFUNCTION("""COMPUTED_VALUE"""),434.0)</f>
        <v>434</v>
      </c>
      <c r="C1656" s="13">
        <f>IFERROR(__xludf.DUMMYFUNCTION("""COMPUTED_VALUE"""),37.0)</f>
        <v>37</v>
      </c>
      <c r="D1656" s="12" t="str">
        <f>IFERROR(__xludf.DUMMYFUNCTION("""COMPUTED_VALUE"""),"Nice idea")</f>
        <v>Nice idea</v>
      </c>
      <c r="E1656" s="12" t="str">
        <f>IFERROR(__xludf.DUMMYFUNCTION("""COMPUTED_VALUE"""),"The blue was a great color and i like the idea of a reversible top. however the xs was just swimming on me. this looks much more fitted in the pictures. my favorite workout top is from this brand and it is fitted and held up for 6 months. where are the fi"&amp;"tted tops?? i'll keep looking.")</f>
        <v>The blue was a great color and i like the idea of a reversible top. however the xs was just swimming on me. this looks much more fitted in the pictures. my favorite workout top is from this brand and it is fitted and held up for 6 months. where are the fitted tops?? i'll keep looking.</v>
      </c>
      <c r="F1656" s="13">
        <f>IFERROR(__xludf.DUMMYFUNCTION("""COMPUTED_VALUE"""),3.0)</f>
        <v>3</v>
      </c>
      <c r="G1656" s="13">
        <f>IFERROR(__xludf.DUMMYFUNCTION("""COMPUTED_VALUE"""),0.0)</f>
        <v>0</v>
      </c>
      <c r="H1656" s="13">
        <f>IFERROR(__xludf.DUMMYFUNCTION("""COMPUTED_VALUE"""),1.0)</f>
        <v>1</v>
      </c>
      <c r="I1656" s="13" t="str">
        <f>IFERROR(__xludf.DUMMYFUNCTION("""COMPUTED_VALUE"""),"Initmates")</f>
        <v>Initmates</v>
      </c>
      <c r="J1656" s="13" t="str">
        <f>IFERROR(__xludf.DUMMYFUNCTION("""COMPUTED_VALUE"""),"Intimate")</f>
        <v>Intimate</v>
      </c>
      <c r="K1656" s="13" t="str">
        <f>IFERROR(__xludf.DUMMYFUNCTION("""COMPUTED_VALUE"""),"Lounge")</f>
        <v>Lounge</v>
      </c>
      <c r="L1656" s="13"/>
    </row>
    <row r="1657">
      <c r="A1657" s="13">
        <f>IFERROR(__xludf.DUMMYFUNCTION("""COMPUTED_VALUE"""),1655.0)</f>
        <v>1655</v>
      </c>
      <c r="B1657" s="13">
        <f>IFERROR(__xludf.DUMMYFUNCTION("""COMPUTED_VALUE"""),878.0)</f>
        <v>878</v>
      </c>
      <c r="C1657" s="13">
        <f>IFERROR(__xludf.DUMMYFUNCTION("""COMPUTED_VALUE"""),41.0)</f>
        <v>41</v>
      </c>
      <c r="D1657" s="12" t="str">
        <f>IFERROR(__xludf.DUMMYFUNCTION("""COMPUTED_VALUE"""),"Loved it but big")</f>
        <v>Loved it but big</v>
      </c>
      <c r="E1657" s="12" t="str">
        <f>IFERROR(__xludf.DUMMYFUNCTION("""COMPUTED_VALUE"""),"This runs really big. i usually wear s or m so i got a small but i need the xs in this top and it is sold out. i don't have a store close by (about an hour away) and i hate paying shipping for returns! i will either have to plan a trip to the store or try"&amp;" to exchange for size over the phone. i debated keeping the small but it is really too big .... i love the style though!")</f>
        <v>This runs really big. i usually wear s or m so i got a small but i need the xs in this top and it is sold out. i don't have a store close by (about an hour away) and i hate paying shipping for returns! i will either have to plan a trip to the store or try to exchange for size over the phone. i debated keeping the small but it is really too big .... i love the style though!</v>
      </c>
      <c r="F1657" s="13">
        <f>IFERROR(__xludf.DUMMYFUNCTION("""COMPUTED_VALUE"""),3.0)</f>
        <v>3</v>
      </c>
      <c r="G1657" s="13">
        <f>IFERROR(__xludf.DUMMYFUNCTION("""COMPUTED_VALUE"""),1.0)</f>
        <v>1</v>
      </c>
      <c r="H1657" s="13">
        <f>IFERROR(__xludf.DUMMYFUNCTION("""COMPUTED_VALUE"""),0.0)</f>
        <v>0</v>
      </c>
      <c r="I1657" s="13" t="str">
        <f>IFERROR(__xludf.DUMMYFUNCTION("""COMPUTED_VALUE"""),"General")</f>
        <v>General</v>
      </c>
      <c r="J1657" s="13" t="str">
        <f>IFERROR(__xludf.DUMMYFUNCTION("""COMPUTED_VALUE"""),"Tops")</f>
        <v>Tops</v>
      </c>
      <c r="K1657" s="13" t="str">
        <f>IFERROR(__xludf.DUMMYFUNCTION("""COMPUTED_VALUE"""),"Knits")</f>
        <v>Knits</v>
      </c>
      <c r="L1657" s="13"/>
    </row>
    <row r="1658">
      <c r="A1658" s="13">
        <f>IFERROR(__xludf.DUMMYFUNCTION("""COMPUTED_VALUE"""),1656.0)</f>
        <v>1656</v>
      </c>
      <c r="B1658" s="13">
        <f>IFERROR(__xludf.DUMMYFUNCTION("""COMPUTED_VALUE"""),1020.0)</f>
        <v>1020</v>
      </c>
      <c r="C1658" s="13">
        <f>IFERROR(__xludf.DUMMYFUNCTION("""COMPUTED_VALUE"""),55.0)</f>
        <v>55</v>
      </c>
      <c r="D1658" s="12" t="str">
        <f>IFERROR(__xludf.DUMMYFUNCTION("""COMPUTED_VALUE"""),"Love the color and stretch")</f>
        <v>Love the color and stretch</v>
      </c>
      <c r="E1658" s="12" t="str">
        <f>IFERROR(__xludf.DUMMYFUNCTION("""COMPUTED_VALUE"""),"I am always looking for a nice denim skirt and this one is great the pale pink is perfect and the stretch is awesome. i wore wedges with it and a nice romantic top and it looked great. i originally got a 8 and a 10 and kept the 8 because of the stretch it"&amp;" fit perfectly. nice length and great quality")</f>
        <v>I am always looking for a nice denim skirt and this one is great the pale pink is perfect and the stretch is awesome. i wore wedges with it and a nice romantic top and it looked great. i originally got a 8 and a 10 and kept the 8 because of the stretch it fit perfectly. nice length and great quality</v>
      </c>
      <c r="F1658" s="13">
        <f>IFERROR(__xludf.DUMMYFUNCTION("""COMPUTED_VALUE"""),5.0)</f>
        <v>5</v>
      </c>
      <c r="G1658" s="13">
        <f>IFERROR(__xludf.DUMMYFUNCTION("""COMPUTED_VALUE"""),1.0)</f>
        <v>1</v>
      </c>
      <c r="H1658" s="13">
        <f>IFERROR(__xludf.DUMMYFUNCTION("""COMPUTED_VALUE"""),0.0)</f>
        <v>0</v>
      </c>
      <c r="I1658" s="13" t="str">
        <f>IFERROR(__xludf.DUMMYFUNCTION("""COMPUTED_VALUE"""),"General")</f>
        <v>General</v>
      </c>
      <c r="J1658" s="13" t="str">
        <f>IFERROR(__xludf.DUMMYFUNCTION("""COMPUTED_VALUE"""),"Bottoms")</f>
        <v>Bottoms</v>
      </c>
      <c r="K1658" s="13" t="str">
        <f>IFERROR(__xludf.DUMMYFUNCTION("""COMPUTED_VALUE"""),"Skirts")</f>
        <v>Skirts</v>
      </c>
      <c r="L1658" s="13"/>
    </row>
    <row r="1659">
      <c r="A1659" s="13">
        <f>IFERROR(__xludf.DUMMYFUNCTION("""COMPUTED_VALUE"""),1657.0)</f>
        <v>1657</v>
      </c>
      <c r="B1659" s="13">
        <f>IFERROR(__xludf.DUMMYFUNCTION("""COMPUTED_VALUE"""),867.0)</f>
        <v>867</v>
      </c>
      <c r="C1659" s="13">
        <f>IFERROR(__xludf.DUMMYFUNCTION("""COMPUTED_VALUE"""),26.0)</f>
        <v>26</v>
      </c>
      <c r="D1659" s="12" t="str">
        <f>IFERROR(__xludf.DUMMYFUNCTION("""COMPUTED_VALUE"""),"Color better in person")</f>
        <v>Color better in person</v>
      </c>
      <c r="E1659" s="12" t="str">
        <f>IFERROR(__xludf.DUMMYFUNCTION("""COMPUTED_VALUE"""),"I purchased this top in the taupe color, and it is much prettier in person than it photographs online. it runs about a half size too large, and sits slightly off the shoulders. fun casual top for the fall.")</f>
        <v>I purchased this top in the taupe color, and it is much prettier in person than it photographs online. it runs about a half size too large, and sits slightly off the shoulders. fun casual top for the fall.</v>
      </c>
      <c r="F1659" s="13">
        <f>IFERROR(__xludf.DUMMYFUNCTION("""COMPUTED_VALUE"""),4.0)</f>
        <v>4</v>
      </c>
      <c r="G1659" s="13">
        <f>IFERROR(__xludf.DUMMYFUNCTION("""COMPUTED_VALUE"""),1.0)</f>
        <v>1</v>
      </c>
      <c r="H1659" s="13">
        <f>IFERROR(__xludf.DUMMYFUNCTION("""COMPUTED_VALUE"""),0.0)</f>
        <v>0</v>
      </c>
      <c r="I1659" s="13" t="str">
        <f>IFERROR(__xludf.DUMMYFUNCTION("""COMPUTED_VALUE"""),"General")</f>
        <v>General</v>
      </c>
      <c r="J1659" s="13" t="str">
        <f>IFERROR(__xludf.DUMMYFUNCTION("""COMPUTED_VALUE"""),"Tops")</f>
        <v>Tops</v>
      </c>
      <c r="K1659" s="13" t="str">
        <f>IFERROR(__xludf.DUMMYFUNCTION("""COMPUTED_VALUE"""),"Knits")</f>
        <v>Knits</v>
      </c>
      <c r="L1659" s="13"/>
    </row>
    <row r="1660">
      <c r="A1660" s="13">
        <f>IFERROR(__xludf.DUMMYFUNCTION("""COMPUTED_VALUE"""),1658.0)</f>
        <v>1658</v>
      </c>
      <c r="B1660" s="13">
        <f>IFERROR(__xludf.DUMMYFUNCTION("""COMPUTED_VALUE"""),1104.0)</f>
        <v>1104</v>
      </c>
      <c r="C1660" s="13">
        <f>IFERROR(__xludf.DUMMYFUNCTION("""COMPUTED_VALUE"""),51.0)</f>
        <v>51</v>
      </c>
      <c r="D1660" s="12" t="str">
        <f>IFERROR(__xludf.DUMMYFUNCTION("""COMPUTED_VALUE"""),"Cute but no shape or support up top")</f>
        <v>Cute but no shape or support up top</v>
      </c>
      <c r="E1660" s="12" t="str">
        <f>IFERROR(__xludf.DUMMYFUNCTION("""COMPUTED_VALUE"""),"This is not worth $128. it looks cute on but....there is no support in the bust area. just a slight tuck in the fabric -it also is very flowy which is great and it is comfortable but for the price and the thinness and lack of meatiness to the fabric itsel"&amp;"f i cannot recommend and will be returning. i'll look for something else. i haven't bought from retailer in a dogs age and i hope the quality hasn't slipped - i will look for another option.")</f>
        <v>This is not worth $128. it looks cute on but....there is no support in the bust area. just a slight tuck in the fabric -it also is very flowy which is great and it is comfortable but for the price and the thinness and lack of meatiness to the fabric itself i cannot recommend and will be returning. i'll look for something else. i haven't bought from retailer in a dogs age and i hope the quality hasn't slipped - i will look for another option.</v>
      </c>
      <c r="F1660" s="13">
        <f>IFERROR(__xludf.DUMMYFUNCTION("""COMPUTED_VALUE"""),3.0)</f>
        <v>3</v>
      </c>
      <c r="G1660" s="13">
        <f>IFERROR(__xludf.DUMMYFUNCTION("""COMPUTED_VALUE"""),0.0)</f>
        <v>0</v>
      </c>
      <c r="H1660" s="13">
        <f>IFERROR(__xludf.DUMMYFUNCTION("""COMPUTED_VALUE"""),11.0)</f>
        <v>11</v>
      </c>
      <c r="I1660" s="13" t="str">
        <f>IFERROR(__xludf.DUMMYFUNCTION("""COMPUTED_VALUE"""),"General Petite")</f>
        <v>General Petite</v>
      </c>
      <c r="J1660" s="13" t="str">
        <f>IFERROR(__xludf.DUMMYFUNCTION("""COMPUTED_VALUE"""),"Dresses")</f>
        <v>Dresses</v>
      </c>
      <c r="K1660" s="13" t="str">
        <f>IFERROR(__xludf.DUMMYFUNCTION("""COMPUTED_VALUE"""),"Dresses")</f>
        <v>Dresses</v>
      </c>
      <c r="L1660" s="13"/>
    </row>
    <row r="1661">
      <c r="A1661" s="13">
        <f>IFERROR(__xludf.DUMMYFUNCTION("""COMPUTED_VALUE"""),1659.0)</f>
        <v>1659</v>
      </c>
      <c r="B1661" s="13">
        <f>IFERROR(__xludf.DUMMYFUNCTION("""COMPUTED_VALUE"""),867.0)</f>
        <v>867</v>
      </c>
      <c r="C1661" s="13">
        <f>IFERROR(__xludf.DUMMYFUNCTION("""COMPUTED_VALUE"""),47.0)</f>
        <v>47</v>
      </c>
      <c r="D1661" s="12" t="str">
        <f>IFERROR(__xludf.DUMMYFUNCTION("""COMPUTED_VALUE"""),"Great top!")</f>
        <v>Great top!</v>
      </c>
      <c r="E1661" s="12" t="str">
        <f>IFERROR(__xludf.DUMMYFUNCTION("""COMPUTED_VALUE"""),"I got this top in an xs and the fit is great. the top is a little darker than pictured. it looks great with white, kaki and denim.")</f>
        <v>I got this top in an xs and the fit is great. the top is a little darker than pictured. it looks great with white, kaki and denim.</v>
      </c>
      <c r="F1661" s="13">
        <f>IFERROR(__xludf.DUMMYFUNCTION("""COMPUTED_VALUE"""),5.0)</f>
        <v>5</v>
      </c>
      <c r="G1661" s="13">
        <f>IFERROR(__xludf.DUMMYFUNCTION("""COMPUTED_VALUE"""),1.0)</f>
        <v>1</v>
      </c>
      <c r="H1661" s="13">
        <f>IFERROR(__xludf.DUMMYFUNCTION("""COMPUTED_VALUE"""),0.0)</f>
        <v>0</v>
      </c>
      <c r="I1661" s="13" t="str">
        <f>IFERROR(__xludf.DUMMYFUNCTION("""COMPUTED_VALUE"""),"General")</f>
        <v>General</v>
      </c>
      <c r="J1661" s="13" t="str">
        <f>IFERROR(__xludf.DUMMYFUNCTION("""COMPUTED_VALUE"""),"Tops")</f>
        <v>Tops</v>
      </c>
      <c r="K1661" s="13" t="str">
        <f>IFERROR(__xludf.DUMMYFUNCTION("""COMPUTED_VALUE"""),"Knits")</f>
        <v>Knits</v>
      </c>
      <c r="L1661" s="13"/>
    </row>
    <row r="1662">
      <c r="A1662" s="13">
        <f>IFERROR(__xludf.DUMMYFUNCTION("""COMPUTED_VALUE"""),1660.0)</f>
        <v>1660</v>
      </c>
      <c r="B1662" s="13">
        <f>IFERROR(__xludf.DUMMYFUNCTION("""COMPUTED_VALUE"""),1059.0)</f>
        <v>1059</v>
      </c>
      <c r="C1662" s="13">
        <f>IFERROR(__xludf.DUMMYFUNCTION("""COMPUTED_VALUE"""),32.0)</f>
        <v>32</v>
      </c>
      <c r="D1662" s="12"/>
      <c r="E1662" s="12"/>
      <c r="F1662" s="13">
        <f>IFERROR(__xludf.DUMMYFUNCTION("""COMPUTED_VALUE"""),4.0)</f>
        <v>4</v>
      </c>
      <c r="G1662" s="13">
        <f>IFERROR(__xludf.DUMMYFUNCTION("""COMPUTED_VALUE"""),1.0)</f>
        <v>1</v>
      </c>
      <c r="H1662" s="13">
        <f>IFERROR(__xludf.DUMMYFUNCTION("""COMPUTED_VALUE"""),0.0)</f>
        <v>0</v>
      </c>
      <c r="I1662" s="13" t="str">
        <f>IFERROR(__xludf.DUMMYFUNCTION("""COMPUTED_VALUE"""),"General")</f>
        <v>General</v>
      </c>
      <c r="J1662" s="13" t="str">
        <f>IFERROR(__xludf.DUMMYFUNCTION("""COMPUTED_VALUE"""),"Bottoms")</f>
        <v>Bottoms</v>
      </c>
      <c r="K1662" s="13" t="str">
        <f>IFERROR(__xludf.DUMMYFUNCTION("""COMPUTED_VALUE"""),"Pants")</f>
        <v>Pants</v>
      </c>
      <c r="L1662" s="13"/>
    </row>
    <row r="1663">
      <c r="A1663" s="13">
        <f>IFERROR(__xludf.DUMMYFUNCTION("""COMPUTED_VALUE"""),1661.0)</f>
        <v>1661</v>
      </c>
      <c r="B1663" s="13">
        <f>IFERROR(__xludf.DUMMYFUNCTION("""COMPUTED_VALUE"""),835.0)</f>
        <v>835</v>
      </c>
      <c r="C1663" s="13">
        <f>IFERROR(__xludf.DUMMYFUNCTION("""COMPUTED_VALUE"""),49.0)</f>
        <v>49</v>
      </c>
      <c r="D1663" s="12" t="str">
        <f>IFERROR(__xludf.DUMMYFUNCTION("""COMPUTED_VALUE"""),"Shoulders are puffy")</f>
        <v>Shoulders are puffy</v>
      </c>
      <c r="E1663" s="12" t="str">
        <f>IFERROR(__xludf.DUMMYFUNCTION("""COMPUTED_VALUE"""),"This is a beautiful beaded shirt. the quality seems good. i just didn't like the shoulders. they are pleated and puffy. the picture doesn't really show them very well. also the collar is a little floppy. i was hoping it would have an option to stand up bu"&amp;"t that is not the case. the beading is well done and looks to be stable. i just thought it ran a little large and the shoulders looked puffy. i returned it.")</f>
        <v>This is a beautiful beaded shirt. the quality seems good. i just didn't like the shoulders. they are pleated and puffy. the picture doesn't really show them very well. also the collar is a little floppy. i was hoping it would have an option to stand up but that is not the case. the beading is well done and looks to be stable. i just thought it ran a little large and the shoulders looked puffy. i returned it.</v>
      </c>
      <c r="F1663" s="13">
        <f>IFERROR(__xludf.DUMMYFUNCTION("""COMPUTED_VALUE"""),3.0)</f>
        <v>3</v>
      </c>
      <c r="G1663" s="13">
        <f>IFERROR(__xludf.DUMMYFUNCTION("""COMPUTED_VALUE"""),1.0)</f>
        <v>1</v>
      </c>
      <c r="H1663" s="13">
        <f>IFERROR(__xludf.DUMMYFUNCTION("""COMPUTED_VALUE"""),1.0)</f>
        <v>1</v>
      </c>
      <c r="I1663" s="13" t="str">
        <f>IFERROR(__xludf.DUMMYFUNCTION("""COMPUTED_VALUE"""),"General Petite")</f>
        <v>General Petite</v>
      </c>
      <c r="J1663" s="13" t="str">
        <f>IFERROR(__xludf.DUMMYFUNCTION("""COMPUTED_VALUE"""),"Tops")</f>
        <v>Tops</v>
      </c>
      <c r="K1663" s="13" t="str">
        <f>IFERROR(__xludf.DUMMYFUNCTION("""COMPUTED_VALUE"""),"Blouses")</f>
        <v>Blouses</v>
      </c>
      <c r="L1663" s="13"/>
    </row>
    <row r="1664">
      <c r="A1664" s="13">
        <f>IFERROR(__xludf.DUMMYFUNCTION("""COMPUTED_VALUE"""),1662.0)</f>
        <v>1662</v>
      </c>
      <c r="B1664" s="13">
        <f>IFERROR(__xludf.DUMMYFUNCTION("""COMPUTED_VALUE"""),835.0)</f>
        <v>835</v>
      </c>
      <c r="C1664" s="13">
        <f>IFERROR(__xludf.DUMMYFUNCTION("""COMPUTED_VALUE"""),34.0)</f>
        <v>34</v>
      </c>
      <c r="D1664" s="12" t="str">
        <f>IFERROR(__xludf.DUMMYFUNCTION("""COMPUTED_VALUE"""),"Better in person")</f>
        <v>Better in person</v>
      </c>
      <c r="E1664" s="12" t="str">
        <f>IFERROR(__xludf.DUMMYFUNCTION("""COMPUTED_VALUE"""),"I was pleasantly surprised with the fit of this top! at 5' 6"", i'm rather busty, short waisted, and full-figured. i ordered my usual size 16, and the fit is a flattering, 'almost' empire silhouette. i was worried about the back being too long for my body"&amp;" shape, but it works great. the embroidery and construction make this a really special piece.")</f>
        <v>I was pleasantly surprised with the fit of this top! at 5' 6", i'm rather busty, short waisted, and full-figured. i ordered my usual size 16, and the fit is a flattering, 'almost' empire silhouette. i was worried about the back being too long for my body shape, but it works great. the embroidery and construction make this a really special piece.</v>
      </c>
      <c r="F1664" s="13">
        <f>IFERROR(__xludf.DUMMYFUNCTION("""COMPUTED_VALUE"""),5.0)</f>
        <v>5</v>
      </c>
      <c r="G1664" s="13">
        <f>IFERROR(__xludf.DUMMYFUNCTION("""COMPUTED_VALUE"""),1.0)</f>
        <v>1</v>
      </c>
      <c r="H1664" s="13">
        <f>IFERROR(__xludf.DUMMYFUNCTION("""COMPUTED_VALUE"""),3.0)</f>
        <v>3</v>
      </c>
      <c r="I1664" s="13" t="str">
        <f>IFERROR(__xludf.DUMMYFUNCTION("""COMPUTED_VALUE"""),"General Petite")</f>
        <v>General Petite</v>
      </c>
      <c r="J1664" s="13" t="str">
        <f>IFERROR(__xludf.DUMMYFUNCTION("""COMPUTED_VALUE"""),"Tops")</f>
        <v>Tops</v>
      </c>
      <c r="K1664" s="13" t="str">
        <f>IFERROR(__xludf.DUMMYFUNCTION("""COMPUTED_VALUE"""),"Blouses")</f>
        <v>Blouses</v>
      </c>
      <c r="L1664" s="13"/>
    </row>
    <row r="1665">
      <c r="A1665" s="13">
        <f>IFERROR(__xludf.DUMMYFUNCTION("""COMPUTED_VALUE"""),1663.0)</f>
        <v>1663</v>
      </c>
      <c r="B1665" s="13">
        <f>IFERROR(__xludf.DUMMYFUNCTION("""COMPUTED_VALUE"""),835.0)</f>
        <v>835</v>
      </c>
      <c r="C1665" s="13">
        <f>IFERROR(__xludf.DUMMYFUNCTION("""COMPUTED_VALUE"""),27.0)</f>
        <v>27</v>
      </c>
      <c r="D1665" s="12" t="str">
        <f>IFERROR(__xludf.DUMMYFUNCTION("""COMPUTED_VALUE"""),"Beautiful details, but not quite right")</f>
        <v>Beautiful details, but not quite right</v>
      </c>
      <c r="E1665" s="12" t="str">
        <f>IFERROR(__xludf.DUMMYFUNCTION("""COMPUTED_VALUE"""),"I've been adoring this online and while in store i happened upon this blouse and tried it on. the material was sturdy and the beading oh-so lovely, but on my frame it looked terrible. (i normally wear size m/10 in retailer clothes). as another reviewer me"&amp;"ntioned, this blouse has rather puffy sleeves which aren't evident in the photo of the model. as well, i also didn't love the collar, which doesn't quite lay flat. if i were to buy this i would have to wait for it to go on sale and then get the po")</f>
        <v>I've been adoring this online and while in store i happened upon this blouse and tried it on. the material was sturdy and the beading oh-so lovely, but on my frame it looked terrible. (i normally wear size m/10 in retailer clothes). as another reviewer mentioned, this blouse has rather puffy sleeves which aren't evident in the photo of the model. as well, i also didn't love the collar, which doesn't quite lay flat. if i were to buy this i would have to wait for it to go on sale and then get the po</v>
      </c>
      <c r="F1665" s="13">
        <f>IFERROR(__xludf.DUMMYFUNCTION("""COMPUTED_VALUE"""),3.0)</f>
        <v>3</v>
      </c>
      <c r="G1665" s="13">
        <f>IFERROR(__xludf.DUMMYFUNCTION("""COMPUTED_VALUE"""),0.0)</f>
        <v>0</v>
      </c>
      <c r="H1665" s="13">
        <f>IFERROR(__xludf.DUMMYFUNCTION("""COMPUTED_VALUE"""),0.0)</f>
        <v>0</v>
      </c>
      <c r="I1665" s="13" t="str">
        <f>IFERROR(__xludf.DUMMYFUNCTION("""COMPUTED_VALUE"""),"General Petite")</f>
        <v>General Petite</v>
      </c>
      <c r="J1665" s="13" t="str">
        <f>IFERROR(__xludf.DUMMYFUNCTION("""COMPUTED_VALUE"""),"Tops")</f>
        <v>Tops</v>
      </c>
      <c r="K1665" s="13" t="str">
        <f>IFERROR(__xludf.DUMMYFUNCTION("""COMPUTED_VALUE"""),"Blouses")</f>
        <v>Blouses</v>
      </c>
      <c r="L1665" s="13"/>
    </row>
    <row r="1666">
      <c r="A1666" s="13">
        <f>IFERROR(__xludf.DUMMYFUNCTION("""COMPUTED_VALUE"""),1664.0)</f>
        <v>1664</v>
      </c>
      <c r="B1666" s="13">
        <f>IFERROR(__xludf.DUMMYFUNCTION("""COMPUTED_VALUE"""),1020.0)</f>
        <v>1020</v>
      </c>
      <c r="C1666" s="13">
        <f>IFERROR(__xludf.DUMMYFUNCTION("""COMPUTED_VALUE"""),56.0)</f>
        <v>56</v>
      </c>
      <c r="D1666" s="12" t="str">
        <f>IFERROR(__xludf.DUMMYFUNCTION("""COMPUTED_VALUE"""),"Fits like a glove")</f>
        <v>Fits like a glove</v>
      </c>
      <c r="E1666" s="12" t="str">
        <f>IFERROR(__xludf.DUMMYFUNCTION("""COMPUTED_VALUE"""),"This skirt is a rare find. slimming, flowing, and best of all, it finally sits on my waist and not on my hips, while hugging the hips in all the right places for the streamlined and sexy look. the fabric is substantial, yet soft, so no weird sticking out "&amp;"sides. the color is delicious very pale-tea-rose, better in person that the picture here, and is fresh for summer. nice length for office. easy to pair with either fitting or loose top/s and jackets. i also got a distressed denim pilcro west to")</f>
        <v>This skirt is a rare find. slimming, flowing, and best of all, it finally sits on my waist and not on my hips, while hugging the hips in all the right places for the streamlined and sexy look. the fabric is substantial, yet soft, so no weird sticking out sides. the color is delicious very pale-tea-rose, better in person that the picture here, and is fresh for summer. nice length for office. easy to pair with either fitting or loose top/s and jackets. i also got a distressed denim pilcro west to</v>
      </c>
      <c r="F1666" s="13">
        <f>IFERROR(__xludf.DUMMYFUNCTION("""COMPUTED_VALUE"""),5.0)</f>
        <v>5</v>
      </c>
      <c r="G1666" s="13">
        <f>IFERROR(__xludf.DUMMYFUNCTION("""COMPUTED_VALUE"""),1.0)</f>
        <v>1</v>
      </c>
      <c r="H1666" s="13">
        <f>IFERROR(__xludf.DUMMYFUNCTION("""COMPUTED_VALUE"""),5.0)</f>
        <v>5</v>
      </c>
      <c r="I1666" s="13" t="str">
        <f>IFERROR(__xludf.DUMMYFUNCTION("""COMPUTED_VALUE"""),"General")</f>
        <v>General</v>
      </c>
      <c r="J1666" s="13" t="str">
        <f>IFERROR(__xludf.DUMMYFUNCTION("""COMPUTED_VALUE"""),"Bottoms")</f>
        <v>Bottoms</v>
      </c>
      <c r="K1666" s="13" t="str">
        <f>IFERROR(__xludf.DUMMYFUNCTION("""COMPUTED_VALUE"""),"Skirts")</f>
        <v>Skirts</v>
      </c>
      <c r="L1666" s="13"/>
    </row>
    <row r="1667">
      <c r="A1667" s="13">
        <f>IFERROR(__xludf.DUMMYFUNCTION("""COMPUTED_VALUE"""),1665.0)</f>
        <v>1665</v>
      </c>
      <c r="B1667" s="13">
        <f>IFERROR(__xludf.DUMMYFUNCTION("""COMPUTED_VALUE"""),835.0)</f>
        <v>835</v>
      </c>
      <c r="C1667" s="13">
        <f>IFERROR(__xludf.DUMMYFUNCTION("""COMPUTED_VALUE"""),28.0)</f>
        <v>28</v>
      </c>
      <c r="D1667" s="12" t="str">
        <f>IFERROR(__xludf.DUMMYFUNCTION("""COMPUTED_VALUE"""),"Maternity top")</f>
        <v>Maternity top</v>
      </c>
      <c r="E1667" s="12" t="str">
        <f>IFERROR(__xludf.DUMMYFUNCTION("""COMPUTED_VALUE"""),"Extremely disappointed with this top. it runs extremely large. i'm 5'2, 130 lbs, 34c and usually wear between a 0-2 &amp; xs-s tops at retailer. i ordered a 0 and it looked like a maternity top on me. the bottom half of the top flared out and did not fit clos"&amp;"e to the body at all. fabric was also a gauze-like material that was not soft. unfortunately, i will be returning.")</f>
        <v>Extremely disappointed with this top. it runs extremely large. i'm 5'2, 130 lbs, 34c and usually wear between a 0-2 &amp; xs-s tops at retailer. i ordered a 0 and it looked like a maternity top on me. the bottom half of the top flared out and did not fit close to the body at all. fabric was also a gauze-like material that was not soft. unfortunately, i will be returning.</v>
      </c>
      <c r="F1667" s="13">
        <f>IFERROR(__xludf.DUMMYFUNCTION("""COMPUTED_VALUE"""),1.0)</f>
        <v>1</v>
      </c>
      <c r="G1667" s="13">
        <f>IFERROR(__xludf.DUMMYFUNCTION("""COMPUTED_VALUE"""),0.0)</f>
        <v>0</v>
      </c>
      <c r="H1667" s="13">
        <f>IFERROR(__xludf.DUMMYFUNCTION("""COMPUTED_VALUE"""),4.0)</f>
        <v>4</v>
      </c>
      <c r="I1667" s="13" t="str">
        <f>IFERROR(__xludf.DUMMYFUNCTION("""COMPUTED_VALUE"""),"General Petite")</f>
        <v>General Petite</v>
      </c>
      <c r="J1667" s="13" t="str">
        <f>IFERROR(__xludf.DUMMYFUNCTION("""COMPUTED_VALUE"""),"Tops")</f>
        <v>Tops</v>
      </c>
      <c r="K1667" s="13" t="str">
        <f>IFERROR(__xludf.DUMMYFUNCTION("""COMPUTED_VALUE"""),"Blouses")</f>
        <v>Blouses</v>
      </c>
      <c r="L1667" s="13"/>
    </row>
    <row r="1668">
      <c r="A1668" s="13">
        <f>IFERROR(__xludf.DUMMYFUNCTION("""COMPUTED_VALUE"""),1666.0)</f>
        <v>1666</v>
      </c>
      <c r="B1668" s="13">
        <f>IFERROR(__xludf.DUMMYFUNCTION("""COMPUTED_VALUE"""),835.0)</f>
        <v>835</v>
      </c>
      <c r="C1668" s="13">
        <f>IFERROR(__xludf.DUMMYFUNCTION("""COMPUTED_VALUE"""),56.0)</f>
        <v>56</v>
      </c>
      <c r="D1668" s="12" t="str">
        <f>IFERROR(__xludf.DUMMYFUNCTION("""COMPUTED_VALUE"""),"Why floreat? so perfect, yet so wrong!")</f>
        <v>Why floreat? so perfect, yet so wrong!</v>
      </c>
      <c r="E1668" s="12" t="str">
        <f>IFERROR(__xludf.DUMMYFUNCTION("""COMPUTED_VALUE"""),"Tried this lovely with high waste, wide leg, black flowy pants. everything i could hope for and more, but not quite!
size: blindly ordered size 6. i'm usually a small, occasionally xs in retailer brands like floreat and akemi+kin. i'm 5'5"" tall, 130 lbs"&amp;", 34d, 35-29-37, long torso, narrow shoulders, and short arms.
fit: size 6 had just enough space through the bust. the lace edged sleeves were roomy and just reached my wrists. the shoulders were just right. extra fabric ballooned out around t")</f>
        <v>Tried this lovely with high waste, wide leg, black flowy pants. everything i could hope for and more, but not quite!
size: blindly ordered size 6. i'm usually a small, occasionally xs in retailer brands like floreat and akemi+kin. i'm 5'5" tall, 130 lbs, 34d, 35-29-37, long torso, narrow shoulders, and short arms.
fit: size 6 had just enough space through the bust. the lace edged sleeves were roomy and just reached my wrists. the shoulders were just right. extra fabric ballooned out around t</v>
      </c>
      <c r="F1668" s="13">
        <f>IFERROR(__xludf.DUMMYFUNCTION("""COMPUTED_VALUE"""),3.0)</f>
        <v>3</v>
      </c>
      <c r="G1668" s="13">
        <f>IFERROR(__xludf.DUMMYFUNCTION("""COMPUTED_VALUE"""),0.0)</f>
        <v>0</v>
      </c>
      <c r="H1668" s="13">
        <f>IFERROR(__xludf.DUMMYFUNCTION("""COMPUTED_VALUE"""),25.0)</f>
        <v>25</v>
      </c>
      <c r="I1668" s="13" t="str">
        <f>IFERROR(__xludf.DUMMYFUNCTION("""COMPUTED_VALUE"""),"General Petite")</f>
        <v>General Petite</v>
      </c>
      <c r="J1668" s="13" t="str">
        <f>IFERROR(__xludf.DUMMYFUNCTION("""COMPUTED_VALUE"""),"Tops")</f>
        <v>Tops</v>
      </c>
      <c r="K1668" s="13" t="str">
        <f>IFERROR(__xludf.DUMMYFUNCTION("""COMPUTED_VALUE"""),"Blouses")</f>
        <v>Blouses</v>
      </c>
      <c r="L1668" s="13"/>
    </row>
    <row r="1669">
      <c r="A1669" s="13">
        <f>IFERROR(__xludf.DUMMYFUNCTION("""COMPUTED_VALUE"""),1667.0)</f>
        <v>1667</v>
      </c>
      <c r="B1669" s="13">
        <f>IFERROR(__xludf.DUMMYFUNCTION("""COMPUTED_VALUE"""),867.0)</f>
        <v>867</v>
      </c>
      <c r="C1669" s="13">
        <f>IFERROR(__xludf.DUMMYFUNCTION("""COMPUTED_VALUE"""),70.0)</f>
        <v>70</v>
      </c>
      <c r="D1669" s="12" t="str">
        <f>IFERROR(__xludf.DUMMYFUNCTION("""COMPUTED_VALUE"""),"Fabulous top")</f>
        <v>Fabulous top</v>
      </c>
      <c r="E1669" s="12" t="str">
        <f>IFERROR(__xludf.DUMMYFUNCTION("""COMPUTED_VALUE"""),"Fabric is soft, body runs a bit big but falls nicely. length is great for leggings or skinny jeans. overall, wonderful tee shirt!")</f>
        <v>Fabric is soft, body runs a bit big but falls nicely. length is great for leggings or skinny jeans. overall, wonderful tee shirt!</v>
      </c>
      <c r="F1669" s="13">
        <f>IFERROR(__xludf.DUMMYFUNCTION("""COMPUTED_VALUE"""),5.0)</f>
        <v>5</v>
      </c>
      <c r="G1669" s="13">
        <f>IFERROR(__xludf.DUMMYFUNCTION("""COMPUTED_VALUE"""),1.0)</f>
        <v>1</v>
      </c>
      <c r="H1669" s="13">
        <f>IFERROR(__xludf.DUMMYFUNCTION("""COMPUTED_VALUE"""),0.0)</f>
        <v>0</v>
      </c>
      <c r="I1669" s="13" t="str">
        <f>IFERROR(__xludf.DUMMYFUNCTION("""COMPUTED_VALUE"""),"General")</f>
        <v>General</v>
      </c>
      <c r="J1669" s="13" t="str">
        <f>IFERROR(__xludf.DUMMYFUNCTION("""COMPUTED_VALUE"""),"Tops")</f>
        <v>Tops</v>
      </c>
      <c r="K1669" s="13" t="str">
        <f>IFERROR(__xludf.DUMMYFUNCTION("""COMPUTED_VALUE"""),"Knits")</f>
        <v>Knits</v>
      </c>
      <c r="L1669" s="13"/>
    </row>
    <row r="1670">
      <c r="A1670" s="13">
        <f>IFERROR(__xludf.DUMMYFUNCTION("""COMPUTED_VALUE"""),1668.0)</f>
        <v>1668</v>
      </c>
      <c r="B1670" s="13">
        <f>IFERROR(__xludf.DUMMYFUNCTION("""COMPUTED_VALUE"""),1020.0)</f>
        <v>1020</v>
      </c>
      <c r="C1670" s="13">
        <f>IFERROR(__xludf.DUMMYFUNCTION("""COMPUTED_VALUE"""),31.0)</f>
        <v>31</v>
      </c>
      <c r="D1670" s="12" t="str">
        <f>IFERROR(__xludf.DUMMYFUNCTION("""COMPUTED_VALUE"""),"Lovely")</f>
        <v>Lovely</v>
      </c>
      <c r="E1670" s="12" t="str">
        <f>IFERROR(__xludf.DUMMYFUNCTION("""COMPUTED_VALUE"""),"The skirt is a little longer than i expected, it hits me at my calf, i considered having it shorten knee length but believe that may takeaway some of the aesthetic so i'm going to wear it as it. the quality is quite nice and the color is lovely, very femi"&amp;"nine. nice skirt for a picnic")</f>
        <v>The skirt is a little longer than i expected, it hits me at my calf, i considered having it shorten knee length but believe that may takeaway some of the aesthetic so i'm going to wear it as it. the quality is quite nice and the color is lovely, very feminine. nice skirt for a picnic</v>
      </c>
      <c r="F1670" s="13">
        <f>IFERROR(__xludf.DUMMYFUNCTION("""COMPUTED_VALUE"""),5.0)</f>
        <v>5</v>
      </c>
      <c r="G1670" s="13">
        <f>IFERROR(__xludf.DUMMYFUNCTION("""COMPUTED_VALUE"""),1.0)</f>
        <v>1</v>
      </c>
      <c r="H1670" s="13">
        <f>IFERROR(__xludf.DUMMYFUNCTION("""COMPUTED_VALUE"""),6.0)</f>
        <v>6</v>
      </c>
      <c r="I1670" s="13" t="str">
        <f>IFERROR(__xludf.DUMMYFUNCTION("""COMPUTED_VALUE"""),"General")</f>
        <v>General</v>
      </c>
      <c r="J1670" s="13" t="str">
        <f>IFERROR(__xludf.DUMMYFUNCTION("""COMPUTED_VALUE"""),"Bottoms")</f>
        <v>Bottoms</v>
      </c>
      <c r="K1670" s="13" t="str">
        <f>IFERROR(__xludf.DUMMYFUNCTION("""COMPUTED_VALUE"""),"Skirts")</f>
        <v>Skirts</v>
      </c>
      <c r="L1670" s="13"/>
    </row>
    <row r="1671">
      <c r="A1671" s="13">
        <f>IFERROR(__xludf.DUMMYFUNCTION("""COMPUTED_VALUE"""),1669.0)</f>
        <v>1669</v>
      </c>
      <c r="B1671" s="13">
        <f>IFERROR(__xludf.DUMMYFUNCTION("""COMPUTED_VALUE"""),1059.0)</f>
        <v>1059</v>
      </c>
      <c r="C1671" s="13">
        <f>IFERROR(__xludf.DUMMYFUNCTION("""COMPUTED_VALUE"""),58.0)</f>
        <v>58</v>
      </c>
      <c r="D1671" s="12" t="str">
        <f>IFERROR(__xludf.DUMMYFUNCTION("""COMPUTED_VALUE"""),"Cute pants!")</f>
        <v>Cute pants!</v>
      </c>
      <c r="E1671" s="12" t="str">
        <f>IFERROR(__xludf.DUMMYFUNCTION("""COMPUTED_VALUE"""),"I tried these on in the store and didn't buy them with the other items in my 'yes' pile. i couldn't stop thinking about them and ended up ordering them. they are so cute. the fabric is a nice weight. they have little stretch.")</f>
        <v>I tried these on in the store and didn't buy them with the other items in my 'yes' pile. i couldn't stop thinking about them and ended up ordering them. they are so cute. the fabric is a nice weight. they have little stretch.</v>
      </c>
      <c r="F1671" s="13">
        <f>IFERROR(__xludf.DUMMYFUNCTION("""COMPUTED_VALUE"""),5.0)</f>
        <v>5</v>
      </c>
      <c r="G1671" s="13">
        <f>IFERROR(__xludf.DUMMYFUNCTION("""COMPUTED_VALUE"""),1.0)</f>
        <v>1</v>
      </c>
      <c r="H1671" s="13">
        <f>IFERROR(__xludf.DUMMYFUNCTION("""COMPUTED_VALUE"""),0.0)</f>
        <v>0</v>
      </c>
      <c r="I1671" s="13" t="str">
        <f>IFERROR(__xludf.DUMMYFUNCTION("""COMPUTED_VALUE"""),"General")</f>
        <v>General</v>
      </c>
      <c r="J1671" s="13" t="str">
        <f>IFERROR(__xludf.DUMMYFUNCTION("""COMPUTED_VALUE"""),"Bottoms")</f>
        <v>Bottoms</v>
      </c>
      <c r="K1671" s="13" t="str">
        <f>IFERROR(__xludf.DUMMYFUNCTION("""COMPUTED_VALUE"""),"Pants")</f>
        <v>Pants</v>
      </c>
      <c r="L1671" s="13"/>
    </row>
    <row r="1672">
      <c r="A1672" s="13">
        <f>IFERROR(__xludf.DUMMYFUNCTION("""COMPUTED_VALUE"""),1670.0)</f>
        <v>1670</v>
      </c>
      <c r="B1672" s="13">
        <f>IFERROR(__xludf.DUMMYFUNCTION("""COMPUTED_VALUE"""),835.0)</f>
        <v>835</v>
      </c>
      <c r="C1672" s="13">
        <f>IFERROR(__xludf.DUMMYFUNCTION("""COMPUTED_VALUE"""),63.0)</f>
        <v>63</v>
      </c>
      <c r="D1672" s="12" t="str">
        <f>IFERROR(__xludf.DUMMYFUNCTION("""COMPUTED_VALUE"""),"Love it but runs large!")</f>
        <v>Love it but runs large!</v>
      </c>
      <c r="E1672" s="12" t="str">
        <f>IFERROR(__xludf.DUMMYFUNCTION("""COMPUTED_VALUE"""),"I was glad that i was able to get this shirt which is really more of a spring/summer item, but i found it wide in the body and the shoulders.")</f>
        <v>I was glad that i was able to get this shirt which is really more of a spring/summer item, but i found it wide in the body and the shoulders.</v>
      </c>
      <c r="F1672" s="13">
        <f>IFERROR(__xludf.DUMMYFUNCTION("""COMPUTED_VALUE"""),5.0)</f>
        <v>5</v>
      </c>
      <c r="G1672" s="13">
        <f>IFERROR(__xludf.DUMMYFUNCTION("""COMPUTED_VALUE"""),1.0)</f>
        <v>1</v>
      </c>
      <c r="H1672" s="13">
        <f>IFERROR(__xludf.DUMMYFUNCTION("""COMPUTED_VALUE"""),2.0)</f>
        <v>2</v>
      </c>
      <c r="I1672" s="13" t="str">
        <f>IFERROR(__xludf.DUMMYFUNCTION("""COMPUTED_VALUE"""),"General Petite")</f>
        <v>General Petite</v>
      </c>
      <c r="J1672" s="13" t="str">
        <f>IFERROR(__xludf.DUMMYFUNCTION("""COMPUTED_VALUE"""),"Tops")</f>
        <v>Tops</v>
      </c>
      <c r="K1672" s="13" t="str">
        <f>IFERROR(__xludf.DUMMYFUNCTION("""COMPUTED_VALUE"""),"Blouses")</f>
        <v>Blouses</v>
      </c>
      <c r="L1672" s="13"/>
    </row>
    <row r="1673">
      <c r="A1673" s="13">
        <f>IFERROR(__xludf.DUMMYFUNCTION("""COMPUTED_VALUE"""),1671.0)</f>
        <v>1671</v>
      </c>
      <c r="B1673" s="13">
        <f>IFERROR(__xludf.DUMMYFUNCTION("""COMPUTED_VALUE"""),1059.0)</f>
        <v>1059</v>
      </c>
      <c r="C1673" s="13">
        <f>IFERROR(__xludf.DUMMYFUNCTION("""COMPUTED_VALUE"""),26.0)</f>
        <v>26</v>
      </c>
      <c r="D1673" s="12" t="str">
        <f>IFERROR(__xludf.DUMMYFUNCTION("""COMPUTED_VALUE"""),"Add to your collection")</f>
        <v>Add to your collection</v>
      </c>
      <c r="E1673" s="12" t="str">
        <f>IFERROR(__xludf.DUMMYFUNCTION("""COMPUTED_VALUE"""),"It's hard to go wrong with the charlie's, especially in this fabric, keep them coming!! i wrote a review on the brush strokes as well. they fit pretty true to size, i'd say try both your usual size and one size down as well, they stretch out a little, so "&amp;"if they feel a little tight keep that in mind. because of the texture of these pants you can wear so many more colors than just usual black and white trouser fabric. try wearing a burnt orange, green, or pink (the isabella sinclair grid wrap but")</f>
        <v>It's hard to go wrong with the charlie's, especially in this fabric, keep them coming!! i wrote a review on the brush strokes as well. they fit pretty true to size, i'd say try both your usual size and one size down as well, they stretch out a little, so if they feel a little tight keep that in mind. because of the texture of these pants you can wear so many more colors than just usual black and white trouser fabric. try wearing a burnt orange, green, or pink (the isabella sinclair grid wrap but</v>
      </c>
      <c r="F1673" s="13">
        <f>IFERROR(__xludf.DUMMYFUNCTION("""COMPUTED_VALUE"""),5.0)</f>
        <v>5</v>
      </c>
      <c r="G1673" s="13">
        <f>IFERROR(__xludf.DUMMYFUNCTION("""COMPUTED_VALUE"""),1.0)</f>
        <v>1</v>
      </c>
      <c r="H1673" s="13">
        <f>IFERROR(__xludf.DUMMYFUNCTION("""COMPUTED_VALUE"""),1.0)</f>
        <v>1</v>
      </c>
      <c r="I1673" s="13" t="str">
        <f>IFERROR(__xludf.DUMMYFUNCTION("""COMPUTED_VALUE"""),"General")</f>
        <v>General</v>
      </c>
      <c r="J1673" s="13" t="str">
        <f>IFERROR(__xludf.DUMMYFUNCTION("""COMPUTED_VALUE"""),"Bottoms")</f>
        <v>Bottoms</v>
      </c>
      <c r="K1673" s="13" t="str">
        <f>IFERROR(__xludf.DUMMYFUNCTION("""COMPUTED_VALUE"""),"Pants")</f>
        <v>Pants</v>
      </c>
      <c r="L1673" s="13"/>
    </row>
    <row r="1674">
      <c r="A1674" s="13">
        <f>IFERROR(__xludf.DUMMYFUNCTION("""COMPUTED_VALUE"""),1672.0)</f>
        <v>1672</v>
      </c>
      <c r="B1674" s="13">
        <f>IFERROR(__xludf.DUMMYFUNCTION("""COMPUTED_VALUE"""),1059.0)</f>
        <v>1059</v>
      </c>
      <c r="C1674" s="13">
        <f>IFERROR(__xludf.DUMMYFUNCTION("""COMPUTED_VALUE"""),51.0)</f>
        <v>51</v>
      </c>
      <c r="D1674" s="12" t="str">
        <f>IFERROR(__xludf.DUMMYFUNCTION("""COMPUTED_VALUE"""),"Another winner")</f>
        <v>Another winner</v>
      </c>
      <c r="E1674" s="12" t="str">
        <f>IFERROR(__xludf.DUMMYFUNCTION("""COMPUTED_VALUE"""),"Can't go wrong with these new charlie's by cartonnier. they fit amazingly. the fabric is a textured cotton but doesn't seem to wrinkle. just shook them out of the bag yesterday. the fabric description says cotton and spandex so they have some give (just a"&amp;" little) but are not going to stretch out after wearing for an hour. paired it with all sorts of different tops. side zip is slimming. lined pockets. substantial fabric. nothing bad to say. if you haven't tried a pair of charlies you should. you")</f>
        <v>Can't go wrong with these new charlie's by cartonnier. they fit amazingly. the fabric is a textured cotton but doesn't seem to wrinkle. just shook them out of the bag yesterday. the fabric description says cotton and spandex so they have some give (just a little) but are not going to stretch out after wearing for an hour. paired it with all sorts of different tops. side zip is slimming. lined pockets. substantial fabric. nothing bad to say. if you haven't tried a pair of charlies you should. you</v>
      </c>
      <c r="F1674" s="13">
        <f>IFERROR(__xludf.DUMMYFUNCTION("""COMPUTED_VALUE"""),5.0)</f>
        <v>5</v>
      </c>
      <c r="G1674" s="13">
        <f>IFERROR(__xludf.DUMMYFUNCTION("""COMPUTED_VALUE"""),1.0)</f>
        <v>1</v>
      </c>
      <c r="H1674" s="13">
        <f>IFERROR(__xludf.DUMMYFUNCTION("""COMPUTED_VALUE"""),5.0)</f>
        <v>5</v>
      </c>
      <c r="I1674" s="13" t="str">
        <f>IFERROR(__xludf.DUMMYFUNCTION("""COMPUTED_VALUE"""),"General")</f>
        <v>General</v>
      </c>
      <c r="J1674" s="13" t="str">
        <f>IFERROR(__xludf.DUMMYFUNCTION("""COMPUTED_VALUE"""),"Bottoms")</f>
        <v>Bottoms</v>
      </c>
      <c r="K1674" s="13" t="str">
        <f>IFERROR(__xludf.DUMMYFUNCTION("""COMPUTED_VALUE"""),"Pants")</f>
        <v>Pants</v>
      </c>
      <c r="L1674" s="13"/>
    </row>
    <row r="1675">
      <c r="A1675" s="13">
        <f>IFERROR(__xludf.DUMMYFUNCTION("""COMPUTED_VALUE"""),1673.0)</f>
        <v>1673</v>
      </c>
      <c r="B1675" s="13">
        <f>IFERROR(__xludf.DUMMYFUNCTION("""COMPUTED_VALUE"""),867.0)</f>
        <v>867</v>
      </c>
      <c r="C1675" s="13">
        <f>IFERROR(__xludf.DUMMYFUNCTION("""COMPUTED_VALUE"""),63.0)</f>
        <v>63</v>
      </c>
      <c r="D1675" s="12" t="str">
        <f>IFERROR(__xludf.DUMMYFUNCTION("""COMPUTED_VALUE"""),"Wear now along, wear later with a sweater")</f>
        <v>Wear now along, wear later with a sweater</v>
      </c>
      <c r="E1675" s="12" t="str">
        <f>IFERROR(__xludf.DUMMYFUNCTION("""COMPUTED_VALUE"""),"Ordered the pink in a small, but it ran big...the xs was perfect for my 5'6' medium frame. it is comfortable and the fabric has an interesting texture. looks great with chinos or jeans. might need to get the other color.")</f>
        <v>Ordered the pink in a small, but it ran big...the xs was perfect for my 5'6' medium frame. it is comfortable and the fabric has an interesting texture. looks great with chinos or jeans. might need to get the other color.</v>
      </c>
      <c r="F1675" s="13">
        <f>IFERROR(__xludf.DUMMYFUNCTION("""COMPUTED_VALUE"""),5.0)</f>
        <v>5</v>
      </c>
      <c r="G1675" s="13">
        <f>IFERROR(__xludf.DUMMYFUNCTION("""COMPUTED_VALUE"""),1.0)</f>
        <v>1</v>
      </c>
      <c r="H1675" s="13">
        <f>IFERROR(__xludf.DUMMYFUNCTION("""COMPUTED_VALUE"""),3.0)</f>
        <v>3</v>
      </c>
      <c r="I1675" s="13" t="str">
        <f>IFERROR(__xludf.DUMMYFUNCTION("""COMPUTED_VALUE"""),"General")</f>
        <v>General</v>
      </c>
      <c r="J1675" s="13" t="str">
        <f>IFERROR(__xludf.DUMMYFUNCTION("""COMPUTED_VALUE"""),"Tops")</f>
        <v>Tops</v>
      </c>
      <c r="K1675" s="13" t="str">
        <f>IFERROR(__xludf.DUMMYFUNCTION("""COMPUTED_VALUE"""),"Knits")</f>
        <v>Knits</v>
      </c>
      <c r="L1675" s="13"/>
    </row>
    <row r="1676">
      <c r="A1676" s="13">
        <f>IFERROR(__xludf.DUMMYFUNCTION("""COMPUTED_VALUE"""),1674.0)</f>
        <v>1674</v>
      </c>
      <c r="B1676" s="13">
        <f>IFERROR(__xludf.DUMMYFUNCTION("""COMPUTED_VALUE"""),835.0)</f>
        <v>835</v>
      </c>
      <c r="C1676" s="13">
        <f>IFERROR(__xludf.DUMMYFUNCTION("""COMPUTED_VALUE"""),33.0)</f>
        <v>33</v>
      </c>
      <c r="D1676" s="12" t="str">
        <f>IFERROR(__xludf.DUMMYFUNCTION("""COMPUTED_VALUE"""),"Just beautiful, but...")</f>
        <v>Just beautiful, but...</v>
      </c>
      <c r="E1676" s="12" t="str">
        <f>IFERROR(__xludf.DUMMYFUNCTION("""COMPUTED_VALUE"""),"When i first pulled this shirt from the box i thought it was a for sure winner. the beading was stunning, it was just so elegant and the details are perfection. ""till i tried it on and had some reservations. the sleeves (at the top) were very poofy and j"&amp;"ust would not lay in a flattering way unless they were rolled above my elbow to tighten them. and as a taller gal, i wish it were a tad longer (in the model shot, looks a bit short from the back view). i fear tucking it would loosen the bead work")</f>
        <v>When i first pulled this shirt from the box i thought it was a for sure winner. the beading was stunning, it was just so elegant and the details are perfection. "till i tried it on and had some reservations. the sleeves (at the top) were very poofy and just would not lay in a flattering way unless they were rolled above my elbow to tighten them. and as a taller gal, i wish it were a tad longer (in the model shot, looks a bit short from the back view). i fear tucking it would loosen the bead work</v>
      </c>
      <c r="F1676" s="13">
        <f>IFERROR(__xludf.DUMMYFUNCTION("""COMPUTED_VALUE"""),4.0)</f>
        <v>4</v>
      </c>
      <c r="G1676" s="13">
        <f>IFERROR(__xludf.DUMMYFUNCTION("""COMPUTED_VALUE"""),1.0)</f>
        <v>1</v>
      </c>
      <c r="H1676" s="13">
        <f>IFERROR(__xludf.DUMMYFUNCTION("""COMPUTED_VALUE"""),2.0)</f>
        <v>2</v>
      </c>
      <c r="I1676" s="13" t="str">
        <f>IFERROR(__xludf.DUMMYFUNCTION("""COMPUTED_VALUE"""),"General Petite")</f>
        <v>General Petite</v>
      </c>
      <c r="J1676" s="13" t="str">
        <f>IFERROR(__xludf.DUMMYFUNCTION("""COMPUTED_VALUE"""),"Tops")</f>
        <v>Tops</v>
      </c>
      <c r="K1676" s="13" t="str">
        <f>IFERROR(__xludf.DUMMYFUNCTION("""COMPUTED_VALUE"""),"Blouses")</f>
        <v>Blouses</v>
      </c>
      <c r="L1676" s="13"/>
    </row>
    <row r="1677">
      <c r="A1677" s="13">
        <f>IFERROR(__xludf.DUMMYFUNCTION("""COMPUTED_VALUE"""),1675.0)</f>
        <v>1675</v>
      </c>
      <c r="B1677" s="13">
        <f>IFERROR(__xludf.DUMMYFUNCTION("""COMPUTED_VALUE"""),835.0)</f>
        <v>835</v>
      </c>
      <c r="C1677" s="13">
        <f>IFERROR(__xludf.DUMMYFUNCTION("""COMPUTED_VALUE"""),36.0)</f>
        <v>36</v>
      </c>
      <c r="D1677" s="12"/>
      <c r="E1677" s="12" t="str">
        <f>IFERROR(__xludf.DUMMYFUNCTION("""COMPUTED_VALUE"""),"This is a really great top. it looks fantastic on. while it is a bigger fit, its so flattering. i get tons of compliments every time i wear it.")</f>
        <v>This is a really great top. it looks fantastic on. while it is a bigger fit, its so flattering. i get tons of compliments every time i wear it.</v>
      </c>
      <c r="F1677" s="13">
        <f>IFERROR(__xludf.DUMMYFUNCTION("""COMPUTED_VALUE"""),5.0)</f>
        <v>5</v>
      </c>
      <c r="G1677" s="13">
        <f>IFERROR(__xludf.DUMMYFUNCTION("""COMPUTED_VALUE"""),1.0)</f>
        <v>1</v>
      </c>
      <c r="H1677" s="13">
        <f>IFERROR(__xludf.DUMMYFUNCTION("""COMPUTED_VALUE"""),0.0)</f>
        <v>0</v>
      </c>
      <c r="I1677" s="13" t="str">
        <f>IFERROR(__xludf.DUMMYFUNCTION("""COMPUTED_VALUE"""),"General Petite")</f>
        <v>General Petite</v>
      </c>
      <c r="J1677" s="13" t="str">
        <f>IFERROR(__xludf.DUMMYFUNCTION("""COMPUTED_VALUE"""),"Tops")</f>
        <v>Tops</v>
      </c>
      <c r="K1677" s="13" t="str">
        <f>IFERROR(__xludf.DUMMYFUNCTION("""COMPUTED_VALUE"""),"Blouses")</f>
        <v>Blouses</v>
      </c>
      <c r="L1677" s="13"/>
    </row>
    <row r="1678">
      <c r="A1678" s="13">
        <f>IFERROR(__xludf.DUMMYFUNCTION("""COMPUTED_VALUE"""),1676.0)</f>
        <v>1676</v>
      </c>
      <c r="B1678" s="13">
        <f>IFERROR(__xludf.DUMMYFUNCTION("""COMPUTED_VALUE"""),835.0)</f>
        <v>835</v>
      </c>
      <c r="C1678" s="13">
        <f>IFERROR(__xludf.DUMMYFUNCTION("""COMPUTED_VALUE"""),54.0)</f>
        <v>54</v>
      </c>
      <c r="D1678" s="12"/>
      <c r="E1678" s="12" t="str">
        <f>IFERROR(__xludf.DUMMYFUNCTION("""COMPUTED_VALUE"""),"I ordered this shirt last week, it's beautiful!!!!! it's even prettier than the photo. i'm 5.3 120lbs ,i ordered the petite 6 and it fit perfectly!!!! i wish it came in more colors, i'd order another one in a minute!")</f>
        <v>I ordered this shirt last week, it's beautiful!!!!! it's even prettier than the photo. i'm 5.3 120lbs ,i ordered the petite 6 and it fit perfectly!!!! i wish it came in more colors, i'd order another one in a minute!</v>
      </c>
      <c r="F1678" s="13">
        <f>IFERROR(__xludf.DUMMYFUNCTION("""COMPUTED_VALUE"""),5.0)</f>
        <v>5</v>
      </c>
      <c r="G1678" s="13">
        <f>IFERROR(__xludf.DUMMYFUNCTION("""COMPUTED_VALUE"""),1.0)</f>
        <v>1</v>
      </c>
      <c r="H1678" s="13">
        <f>IFERROR(__xludf.DUMMYFUNCTION("""COMPUTED_VALUE"""),3.0)</f>
        <v>3</v>
      </c>
      <c r="I1678" s="13" t="str">
        <f>IFERROR(__xludf.DUMMYFUNCTION("""COMPUTED_VALUE"""),"General Petite")</f>
        <v>General Petite</v>
      </c>
      <c r="J1678" s="13" t="str">
        <f>IFERROR(__xludf.DUMMYFUNCTION("""COMPUTED_VALUE"""),"Tops")</f>
        <v>Tops</v>
      </c>
      <c r="K1678" s="13" t="str">
        <f>IFERROR(__xludf.DUMMYFUNCTION("""COMPUTED_VALUE"""),"Blouses")</f>
        <v>Blouses</v>
      </c>
      <c r="L1678" s="13"/>
    </row>
    <row r="1679">
      <c r="A1679" s="13">
        <f>IFERROR(__xludf.DUMMYFUNCTION("""COMPUTED_VALUE"""),1677.0)</f>
        <v>1677</v>
      </c>
      <c r="B1679" s="13">
        <f>IFERROR(__xludf.DUMMYFUNCTION("""COMPUTED_VALUE"""),1020.0)</f>
        <v>1020</v>
      </c>
      <c r="C1679" s="13">
        <f>IFERROR(__xludf.DUMMYFUNCTION("""COMPUTED_VALUE"""),26.0)</f>
        <v>26</v>
      </c>
      <c r="D1679" s="12" t="str">
        <f>IFERROR(__xludf.DUMMYFUNCTION("""COMPUTED_VALUE"""),"Stunning, just wasn't quite right for my needs")</f>
        <v>Stunning, just wasn't quite right for my needs</v>
      </c>
      <c r="E1679" s="12" t="str">
        <f>IFERROR(__xludf.DUMMYFUNCTION("""COMPUTED_VALUE"""),"So i actually loved this skirt (the tea rose color and coppery gold buttons were perfect together) and it's rare to find something that's simultaneously so form-fitting and comfortable.... but i hold a lot of my weight in my butt and thighs, and i just fe"&amp;"lt like it was a little too sexy for work (especially with that long slit - i might feel differently if it didn't have that slit, because then i could at least pair it with a cute oversized cardigan to tone things down a bit for the office). if")</f>
        <v>So i actually loved this skirt (the tea rose color and coppery gold buttons were perfect together) and it's rare to find something that's simultaneously so form-fitting and comfortable.... but i hold a lot of my weight in my butt and thighs, and i just felt like it was a little too sexy for work (especially with that long slit - i might feel differently if it didn't have that slit, because then i could at least pair it with a cute oversized cardigan to tone things down a bit for the office). if</v>
      </c>
      <c r="F1679" s="13">
        <f>IFERROR(__xludf.DUMMYFUNCTION("""COMPUTED_VALUE"""),5.0)</f>
        <v>5</v>
      </c>
      <c r="G1679" s="13">
        <f>IFERROR(__xludf.DUMMYFUNCTION("""COMPUTED_VALUE"""),1.0)</f>
        <v>1</v>
      </c>
      <c r="H1679" s="13">
        <f>IFERROR(__xludf.DUMMYFUNCTION("""COMPUTED_VALUE"""),0.0)</f>
        <v>0</v>
      </c>
      <c r="I1679" s="13" t="str">
        <f>IFERROR(__xludf.DUMMYFUNCTION("""COMPUTED_VALUE"""),"General")</f>
        <v>General</v>
      </c>
      <c r="J1679" s="13" t="str">
        <f>IFERROR(__xludf.DUMMYFUNCTION("""COMPUTED_VALUE"""),"Bottoms")</f>
        <v>Bottoms</v>
      </c>
      <c r="K1679" s="13" t="str">
        <f>IFERROR(__xludf.DUMMYFUNCTION("""COMPUTED_VALUE"""),"Skirts")</f>
        <v>Skirts</v>
      </c>
      <c r="L1679" s="13"/>
    </row>
    <row r="1680">
      <c r="A1680" s="13">
        <f>IFERROR(__xludf.DUMMYFUNCTION("""COMPUTED_VALUE"""),1678.0)</f>
        <v>1678</v>
      </c>
      <c r="B1680" s="13">
        <f>IFERROR(__xludf.DUMMYFUNCTION("""COMPUTED_VALUE"""),878.0)</f>
        <v>878</v>
      </c>
      <c r="C1680" s="13">
        <f>IFERROR(__xludf.DUMMYFUNCTION("""COMPUTED_VALUE"""),48.0)</f>
        <v>48</v>
      </c>
      <c r="D1680" s="12"/>
      <c r="E1680" s="12" t="str">
        <f>IFERROR(__xludf.DUMMYFUNCTION("""COMPUTED_VALUE"""),"Very cute top but runs very very big ! im5 ft 5 in tall, 120 lbs. i ordered the xs but it was so big it looked like a maternity top.. sadly returned the top. otherwise the top was made of good quality fabric.")</f>
        <v>Very cute top but runs very very big ! im5 ft 5 in tall, 120 lbs. i ordered the xs but it was so big it looked like a maternity top.. sadly returned the top. otherwise the top was made of good quality fabric.</v>
      </c>
      <c r="F1680" s="13">
        <f>IFERROR(__xludf.DUMMYFUNCTION("""COMPUTED_VALUE"""),2.0)</f>
        <v>2</v>
      </c>
      <c r="G1680" s="13">
        <f>IFERROR(__xludf.DUMMYFUNCTION("""COMPUTED_VALUE"""),0.0)</f>
        <v>0</v>
      </c>
      <c r="H1680" s="13">
        <f>IFERROR(__xludf.DUMMYFUNCTION("""COMPUTED_VALUE"""),2.0)</f>
        <v>2</v>
      </c>
      <c r="I1680" s="13" t="str">
        <f>IFERROR(__xludf.DUMMYFUNCTION("""COMPUTED_VALUE"""),"General")</f>
        <v>General</v>
      </c>
      <c r="J1680" s="13" t="str">
        <f>IFERROR(__xludf.DUMMYFUNCTION("""COMPUTED_VALUE"""),"Tops")</f>
        <v>Tops</v>
      </c>
      <c r="K1680" s="13" t="str">
        <f>IFERROR(__xludf.DUMMYFUNCTION("""COMPUTED_VALUE"""),"Knits")</f>
        <v>Knits</v>
      </c>
      <c r="L1680" s="13"/>
    </row>
    <row r="1681">
      <c r="A1681" s="13">
        <f>IFERROR(__xludf.DUMMYFUNCTION("""COMPUTED_VALUE"""),1679.0)</f>
        <v>1679</v>
      </c>
      <c r="B1681" s="13">
        <f>IFERROR(__xludf.DUMMYFUNCTION("""COMPUTED_VALUE"""),964.0)</f>
        <v>964</v>
      </c>
      <c r="C1681" s="13">
        <f>IFERROR(__xludf.DUMMYFUNCTION("""COMPUTED_VALUE"""),33.0)</f>
        <v>33</v>
      </c>
      <c r="D1681" s="12" t="str">
        <f>IFERROR(__xludf.DUMMYFUNCTION("""COMPUTED_VALUE"""),"Perfect")</f>
        <v>Perfect</v>
      </c>
      <c r="E1681" s="12" t="str">
        <f>IFERROR(__xludf.DUMMYFUNCTION("""COMPUTED_VALUE"""),"I love this vest. get compliments every time i wear it. it's stretchy too :). unfortunately i got ranch dressing on it and spot treated it with shout and now the spot is gone but the color faded there. so little tip don't spill on it lol. my fault though "&amp;"so still 5 stars!")</f>
        <v>I love this vest. get compliments every time i wear it. it's stretchy too :). unfortunately i got ranch dressing on it and spot treated it with shout and now the spot is gone but the color faded there. so little tip don't spill on it lol. my fault though so still 5 stars!</v>
      </c>
      <c r="F1681" s="13">
        <f>IFERROR(__xludf.DUMMYFUNCTION("""COMPUTED_VALUE"""),5.0)</f>
        <v>5</v>
      </c>
      <c r="G1681" s="13">
        <f>IFERROR(__xludf.DUMMYFUNCTION("""COMPUTED_VALUE"""),1.0)</f>
        <v>1</v>
      </c>
      <c r="H1681" s="13">
        <f>IFERROR(__xludf.DUMMYFUNCTION("""COMPUTED_VALUE"""),0.0)</f>
        <v>0</v>
      </c>
      <c r="I1681" s="13" t="str">
        <f>IFERROR(__xludf.DUMMYFUNCTION("""COMPUTED_VALUE"""),"General Petite")</f>
        <v>General Petite</v>
      </c>
      <c r="J1681" s="13" t="str">
        <f>IFERROR(__xludf.DUMMYFUNCTION("""COMPUTED_VALUE"""),"Jackets")</f>
        <v>Jackets</v>
      </c>
      <c r="K1681" s="13" t="str">
        <f>IFERROR(__xludf.DUMMYFUNCTION("""COMPUTED_VALUE"""),"Jackets")</f>
        <v>Jackets</v>
      </c>
      <c r="L1681" s="13"/>
    </row>
    <row r="1682">
      <c r="A1682" s="13">
        <f>IFERROR(__xludf.DUMMYFUNCTION("""COMPUTED_VALUE"""),1680.0)</f>
        <v>1680</v>
      </c>
      <c r="B1682" s="13">
        <f>IFERROR(__xludf.DUMMYFUNCTION("""COMPUTED_VALUE"""),178.0)</f>
        <v>178</v>
      </c>
      <c r="C1682" s="13">
        <f>IFERROR(__xludf.DUMMYFUNCTION("""COMPUTED_VALUE"""),24.0)</f>
        <v>24</v>
      </c>
      <c r="D1682" s="12" t="str">
        <f>IFERROR(__xludf.DUMMYFUNCTION("""COMPUTED_VALUE"""),"Very sheer and not as form fitting")</f>
        <v>Very sheer and not as form fitting</v>
      </c>
      <c r="E1682" s="12" t="str">
        <f>IFERROR(__xludf.DUMMYFUNCTION("""COMPUTED_VALUE"""),"I have been eyeing this piece for months now! i broke down and bought it when they finally had my size in stock. i am 5 '4 and 110 lbs and have a very small chest so i ordered an xs. i think the top is too baggy for me. yes, the top and bottoms fit overal"&amp;"l, but it doesn't look as nice and form fitting like it does on the model. it is very sheer--which is the thing that discourages me the most. i love the concept of this piece but the execution could use some work, which i am willing to work on s")</f>
        <v>I have been eyeing this piece for months now! i broke down and bought it when they finally had my size in stock. i am 5 '4 and 110 lbs and have a very small chest so i ordered an xs. i think the top is too baggy for me. yes, the top and bottoms fit overall, but it doesn't look as nice and form fitting like it does on the model. it is very sheer--which is the thing that discourages me the most. i love the concept of this piece but the execution could use some work, which i am willing to work on s</v>
      </c>
      <c r="F1682" s="13">
        <f>IFERROR(__xludf.DUMMYFUNCTION("""COMPUTED_VALUE"""),3.0)</f>
        <v>3</v>
      </c>
      <c r="G1682" s="13">
        <f>IFERROR(__xludf.DUMMYFUNCTION("""COMPUTED_VALUE"""),0.0)</f>
        <v>0</v>
      </c>
      <c r="H1682" s="13">
        <f>IFERROR(__xludf.DUMMYFUNCTION("""COMPUTED_VALUE"""),0.0)</f>
        <v>0</v>
      </c>
      <c r="I1682" s="13" t="str">
        <f>IFERROR(__xludf.DUMMYFUNCTION("""COMPUTED_VALUE"""),"Initmates")</f>
        <v>Initmates</v>
      </c>
      <c r="J1682" s="13" t="str">
        <f>IFERROR(__xludf.DUMMYFUNCTION("""COMPUTED_VALUE"""),"Intimate")</f>
        <v>Intimate</v>
      </c>
      <c r="K1682" s="13" t="str">
        <f>IFERROR(__xludf.DUMMYFUNCTION("""COMPUTED_VALUE"""),"Intimates")</f>
        <v>Intimates</v>
      </c>
      <c r="L1682" s="13"/>
    </row>
    <row r="1683">
      <c r="A1683" s="13">
        <f>IFERROR(__xludf.DUMMYFUNCTION("""COMPUTED_VALUE"""),1681.0)</f>
        <v>1681</v>
      </c>
      <c r="B1683" s="13">
        <f>IFERROR(__xludf.DUMMYFUNCTION("""COMPUTED_VALUE"""),860.0)</f>
        <v>860</v>
      </c>
      <c r="C1683" s="13">
        <f>IFERROR(__xludf.DUMMYFUNCTION("""COMPUTED_VALUE"""),26.0)</f>
        <v>26</v>
      </c>
      <c r="D1683" s="12" t="str">
        <f>IFERROR(__xludf.DUMMYFUNCTION("""COMPUTED_VALUE"""),"Beautiful fabric!")</f>
        <v>Beautiful fabric!</v>
      </c>
      <c r="E1683" s="12" t="str">
        <f>IFERROR(__xludf.DUMMYFUNCTION("""COMPUTED_VALUE"""),"This top is everything i wanted it to be. the fabric is beautiful, and the fit is flowy and comfortable. i would love to own a u-neckline version.")</f>
        <v>This top is everything i wanted it to be. the fabric is beautiful, and the fit is flowy and comfortable. i would love to own a u-neckline version.</v>
      </c>
      <c r="F1683" s="13">
        <f>IFERROR(__xludf.DUMMYFUNCTION("""COMPUTED_VALUE"""),5.0)</f>
        <v>5</v>
      </c>
      <c r="G1683" s="13">
        <f>IFERROR(__xludf.DUMMYFUNCTION("""COMPUTED_VALUE"""),1.0)</f>
        <v>1</v>
      </c>
      <c r="H1683" s="13">
        <f>IFERROR(__xludf.DUMMYFUNCTION("""COMPUTED_VALUE"""),0.0)</f>
        <v>0</v>
      </c>
      <c r="I1683" s="13" t="str">
        <f>IFERROR(__xludf.DUMMYFUNCTION("""COMPUTED_VALUE"""),"General Petite")</f>
        <v>General Petite</v>
      </c>
      <c r="J1683" s="13" t="str">
        <f>IFERROR(__xludf.DUMMYFUNCTION("""COMPUTED_VALUE"""),"Tops")</f>
        <v>Tops</v>
      </c>
      <c r="K1683" s="13" t="str">
        <f>IFERROR(__xludf.DUMMYFUNCTION("""COMPUTED_VALUE"""),"Knits")</f>
        <v>Knits</v>
      </c>
      <c r="L1683" s="13"/>
    </row>
    <row r="1684">
      <c r="A1684" s="13">
        <f>IFERROR(__xludf.DUMMYFUNCTION("""COMPUTED_VALUE"""),1682.0)</f>
        <v>1682</v>
      </c>
      <c r="B1684" s="13">
        <f>IFERROR(__xludf.DUMMYFUNCTION("""COMPUTED_VALUE"""),860.0)</f>
        <v>860</v>
      </c>
      <c r="C1684" s="13">
        <f>IFERROR(__xludf.DUMMYFUNCTION("""COMPUTED_VALUE"""),56.0)</f>
        <v>56</v>
      </c>
      <c r="D1684" s="12" t="str">
        <f>IFERROR(__xludf.DUMMYFUNCTION("""COMPUTED_VALUE"""),"Great summer t")</f>
        <v>Great summer t</v>
      </c>
      <c r="E1684" s="12" t="str">
        <f>IFERROR(__xludf.DUMMYFUNCTION("""COMPUTED_VALUE"""),"Great t. great lightweight, almost linen like fabric. a bit on the sheer side, but love the fit and the neckline!")</f>
        <v>Great t. great lightweight, almost linen like fabric. a bit on the sheer side, but love the fit and the neckline!</v>
      </c>
      <c r="F1684" s="13">
        <f>IFERROR(__xludf.DUMMYFUNCTION("""COMPUTED_VALUE"""),4.0)</f>
        <v>4</v>
      </c>
      <c r="G1684" s="13">
        <f>IFERROR(__xludf.DUMMYFUNCTION("""COMPUTED_VALUE"""),1.0)</f>
        <v>1</v>
      </c>
      <c r="H1684" s="13">
        <f>IFERROR(__xludf.DUMMYFUNCTION("""COMPUTED_VALUE"""),1.0)</f>
        <v>1</v>
      </c>
      <c r="I1684" s="13" t="str">
        <f>IFERROR(__xludf.DUMMYFUNCTION("""COMPUTED_VALUE"""),"General Petite")</f>
        <v>General Petite</v>
      </c>
      <c r="J1684" s="13" t="str">
        <f>IFERROR(__xludf.DUMMYFUNCTION("""COMPUTED_VALUE"""),"Tops")</f>
        <v>Tops</v>
      </c>
      <c r="K1684" s="13" t="str">
        <f>IFERROR(__xludf.DUMMYFUNCTION("""COMPUTED_VALUE"""),"Knits")</f>
        <v>Knits</v>
      </c>
      <c r="L1684" s="13"/>
    </row>
    <row r="1685">
      <c r="A1685" s="13">
        <f>IFERROR(__xludf.DUMMYFUNCTION("""COMPUTED_VALUE"""),1683.0)</f>
        <v>1683</v>
      </c>
      <c r="B1685" s="13">
        <f>IFERROR(__xludf.DUMMYFUNCTION("""COMPUTED_VALUE"""),899.0)</f>
        <v>899</v>
      </c>
      <c r="C1685" s="13">
        <f>IFERROR(__xludf.DUMMYFUNCTION("""COMPUTED_VALUE"""),63.0)</f>
        <v>63</v>
      </c>
      <c r="D1685" s="12" t="str">
        <f>IFERROR(__xludf.DUMMYFUNCTION("""COMPUTED_VALUE"""),"Nice styling!")</f>
        <v>Nice styling!</v>
      </c>
      <c r="E1685" s="12" t="str">
        <f>IFERROR(__xludf.DUMMYFUNCTION("""COMPUTED_VALUE"""),"I bought this for my mother and she really loves it. it is a bit on the large side for her but have decided to keep it. the quality seems very good and great styling for a washable item! i actually like it so much i may order one for myself!")</f>
        <v>I bought this for my mother and she really loves it. it is a bit on the large side for her but have decided to keep it. the quality seems very good and great styling for a washable item! i actually like it so much i may order one for myself!</v>
      </c>
      <c r="F1685" s="13">
        <f>IFERROR(__xludf.DUMMYFUNCTION("""COMPUTED_VALUE"""),4.0)</f>
        <v>4</v>
      </c>
      <c r="G1685" s="13">
        <f>IFERROR(__xludf.DUMMYFUNCTION("""COMPUTED_VALUE"""),1.0)</f>
        <v>1</v>
      </c>
      <c r="H1685" s="13">
        <f>IFERROR(__xludf.DUMMYFUNCTION("""COMPUTED_VALUE"""),2.0)</f>
        <v>2</v>
      </c>
      <c r="I1685" s="13" t="str">
        <f>IFERROR(__xludf.DUMMYFUNCTION("""COMPUTED_VALUE"""),"General Petite")</f>
        <v>General Petite</v>
      </c>
      <c r="J1685" s="13" t="str">
        <f>IFERROR(__xludf.DUMMYFUNCTION("""COMPUTED_VALUE"""),"Tops")</f>
        <v>Tops</v>
      </c>
      <c r="K1685" s="13" t="str">
        <f>IFERROR(__xludf.DUMMYFUNCTION("""COMPUTED_VALUE"""),"Fine gauge")</f>
        <v>Fine gauge</v>
      </c>
      <c r="L1685" s="13"/>
    </row>
    <row r="1686">
      <c r="A1686" s="13">
        <f>IFERROR(__xludf.DUMMYFUNCTION("""COMPUTED_VALUE"""),1684.0)</f>
        <v>1684</v>
      </c>
      <c r="B1686" s="13">
        <f>IFERROR(__xludf.DUMMYFUNCTION("""COMPUTED_VALUE"""),914.0)</f>
        <v>914</v>
      </c>
      <c r="C1686" s="13">
        <f>IFERROR(__xludf.DUMMYFUNCTION("""COMPUTED_VALUE"""),43.0)</f>
        <v>43</v>
      </c>
      <c r="D1686" s="12" t="str">
        <f>IFERROR(__xludf.DUMMYFUNCTION("""COMPUTED_VALUE"""),"Great staple with unique touches!")</f>
        <v>Great staple with unique touches!</v>
      </c>
      <c r="E1686" s="12" t="str">
        <f>IFERROR(__xludf.DUMMYFUNCTION("""COMPUTED_VALUE"""),"I order this sweater in black - size small - and i just love it. i'm a slender 5' 9"" 130 lbs and the small is perfect in for me. while it has the classic cardigan look and a slightly oversized ""boyfriend"" feel to it, the rounded front hem, hip pockets,"&amp;" and buttons that end slightly above the bottom hem (where the rounded hem begins) are unique touches i appreciate and love in retailer's clothing. the weight was slightly heavier than i expected and better quality, but it is perfect for my minneapol")</f>
        <v>I order this sweater in black - size small - and i just love it. i'm a slender 5' 9" 130 lbs and the small is perfect in for me. while it has the classic cardigan look and a slightly oversized "boyfriend" feel to it, the rounded front hem, hip pockets, and buttons that end slightly above the bottom hem (where the rounded hem begins) are unique touches i appreciate and love in retailer's clothing. the weight was slightly heavier than i expected and better quality, but it is perfect for my minneapol</v>
      </c>
      <c r="F1686" s="13">
        <f>IFERROR(__xludf.DUMMYFUNCTION("""COMPUTED_VALUE"""),5.0)</f>
        <v>5</v>
      </c>
      <c r="G1686" s="13">
        <f>IFERROR(__xludf.DUMMYFUNCTION("""COMPUTED_VALUE"""),1.0)</f>
        <v>1</v>
      </c>
      <c r="H1686" s="13">
        <f>IFERROR(__xludf.DUMMYFUNCTION("""COMPUTED_VALUE"""),0.0)</f>
        <v>0</v>
      </c>
      <c r="I1686" s="13" t="str">
        <f>IFERROR(__xludf.DUMMYFUNCTION("""COMPUTED_VALUE"""),"General")</f>
        <v>General</v>
      </c>
      <c r="J1686" s="13" t="str">
        <f>IFERROR(__xludf.DUMMYFUNCTION("""COMPUTED_VALUE"""),"Tops")</f>
        <v>Tops</v>
      </c>
      <c r="K1686" s="13" t="str">
        <f>IFERROR(__xludf.DUMMYFUNCTION("""COMPUTED_VALUE"""),"Fine gauge")</f>
        <v>Fine gauge</v>
      </c>
      <c r="L1686" s="13"/>
    </row>
    <row r="1687">
      <c r="A1687" s="13">
        <f>IFERROR(__xludf.DUMMYFUNCTION("""COMPUTED_VALUE"""),1685.0)</f>
        <v>1685</v>
      </c>
      <c r="B1687" s="13">
        <f>IFERROR(__xludf.DUMMYFUNCTION("""COMPUTED_VALUE"""),860.0)</f>
        <v>860</v>
      </c>
      <c r="C1687" s="13">
        <f>IFERROR(__xludf.DUMMYFUNCTION("""COMPUTED_VALUE"""),39.0)</f>
        <v>39</v>
      </c>
      <c r="D1687" s="12" t="str">
        <f>IFERROR(__xludf.DUMMYFUNCTION("""COMPUTED_VALUE"""),"Cute!")</f>
        <v>Cute!</v>
      </c>
      <c r="E1687" s="12" t="str">
        <f>IFERROR(__xludf.DUMMYFUNCTION("""COMPUTED_VALUE"""),"Flattering fit and neckline. too thin to wear without a cami or tank underneath (for me), but i was expecting that. great go-to tee.")</f>
        <v>Flattering fit and neckline. too thin to wear without a cami or tank underneath (for me), but i was expecting that. great go-to tee.</v>
      </c>
      <c r="F1687" s="13">
        <f>IFERROR(__xludf.DUMMYFUNCTION("""COMPUTED_VALUE"""),5.0)</f>
        <v>5</v>
      </c>
      <c r="G1687" s="13">
        <f>IFERROR(__xludf.DUMMYFUNCTION("""COMPUTED_VALUE"""),1.0)</f>
        <v>1</v>
      </c>
      <c r="H1687" s="13">
        <f>IFERROR(__xludf.DUMMYFUNCTION("""COMPUTED_VALUE"""),2.0)</f>
        <v>2</v>
      </c>
      <c r="I1687" s="13" t="str">
        <f>IFERROR(__xludf.DUMMYFUNCTION("""COMPUTED_VALUE"""),"General Petite")</f>
        <v>General Petite</v>
      </c>
      <c r="J1687" s="13" t="str">
        <f>IFERROR(__xludf.DUMMYFUNCTION("""COMPUTED_VALUE"""),"Tops")</f>
        <v>Tops</v>
      </c>
      <c r="K1687" s="13" t="str">
        <f>IFERROR(__xludf.DUMMYFUNCTION("""COMPUTED_VALUE"""),"Knits")</f>
        <v>Knits</v>
      </c>
      <c r="L1687" s="13"/>
    </row>
    <row r="1688">
      <c r="A1688" s="13">
        <f>IFERROR(__xludf.DUMMYFUNCTION("""COMPUTED_VALUE"""),1686.0)</f>
        <v>1686</v>
      </c>
      <c r="B1688" s="13">
        <f>IFERROR(__xludf.DUMMYFUNCTION("""COMPUTED_VALUE"""),225.0)</f>
        <v>225</v>
      </c>
      <c r="C1688" s="13">
        <f>IFERROR(__xludf.DUMMYFUNCTION("""COMPUTED_VALUE"""),32.0)</f>
        <v>32</v>
      </c>
      <c r="D1688" s="12" t="str">
        <f>IFERROR(__xludf.DUMMYFUNCTION("""COMPUTED_VALUE"""),"Quality and whimsy")</f>
        <v>Quality and whimsy</v>
      </c>
      <c r="E1688" s="12" t="str">
        <f>IFERROR(__xludf.DUMMYFUNCTION("""COMPUTED_VALUE"""),"I've been looking at these for some time and i finally pulled the trigger. i'm glad i did because these tights are such a fun accessory to add to my wardrobe. they add just enough whimsy to classic dresses and skirts. these are not your everyday thin stre"&amp;"tchy tights. they remind me of the tights i would wear in the winter as a little girl; they are really sweater tights. i think this aspect is great, but they do not have as much give as other tights. i am petite, about 5'3"" 112 lbs and the small")</f>
        <v>I've been looking at these for some time and i finally pulled the trigger. i'm glad i did because these tights are such a fun accessory to add to my wardrobe. they add just enough whimsy to classic dresses and skirts. these are not your everyday thin stretchy tights. they remind me of the tights i would wear in the winter as a little girl; they are really sweater tights. i think this aspect is great, but they do not have as much give as other tights. i am petite, about 5'3" 112 lbs and the small</v>
      </c>
      <c r="F1688" s="13">
        <f>IFERROR(__xludf.DUMMYFUNCTION("""COMPUTED_VALUE"""),5.0)</f>
        <v>5</v>
      </c>
      <c r="G1688" s="13">
        <f>IFERROR(__xludf.DUMMYFUNCTION("""COMPUTED_VALUE"""),1.0)</f>
        <v>1</v>
      </c>
      <c r="H1688" s="13">
        <f>IFERROR(__xludf.DUMMYFUNCTION("""COMPUTED_VALUE"""),1.0)</f>
        <v>1</v>
      </c>
      <c r="I1688" s="13" t="str">
        <f>IFERROR(__xludf.DUMMYFUNCTION("""COMPUTED_VALUE"""),"Initmates")</f>
        <v>Initmates</v>
      </c>
      <c r="J1688" s="13" t="str">
        <f>IFERROR(__xludf.DUMMYFUNCTION("""COMPUTED_VALUE"""),"Intimate")</f>
        <v>Intimate</v>
      </c>
      <c r="K1688" s="13" t="str">
        <f>IFERROR(__xludf.DUMMYFUNCTION("""COMPUTED_VALUE"""),"Legwear")</f>
        <v>Legwear</v>
      </c>
      <c r="L1688" s="13"/>
    </row>
    <row r="1689">
      <c r="A1689" s="13">
        <f>IFERROR(__xludf.DUMMYFUNCTION("""COMPUTED_VALUE"""),1687.0)</f>
        <v>1687</v>
      </c>
      <c r="B1689" s="13">
        <f>IFERROR(__xludf.DUMMYFUNCTION("""COMPUTED_VALUE"""),841.0)</f>
        <v>841</v>
      </c>
      <c r="C1689" s="13">
        <f>IFERROR(__xludf.DUMMYFUNCTION("""COMPUTED_VALUE"""),28.0)</f>
        <v>28</v>
      </c>
      <c r="D1689" s="12" t="str">
        <f>IFERROR(__xludf.DUMMYFUNCTION("""COMPUTED_VALUE"""),"This top runs very large")</f>
        <v>This top runs very large</v>
      </c>
      <c r="E1689" s="12" t="str">
        <f>IFERROR(__xludf.DUMMYFUNCTION("""COMPUTED_VALUE"""),"I expected the waist to be cinched like it appears on the model but it isn't. i ordered the xs and i'm swimming in it (i'm 5'4"" and 120 lb). would suggest ordering a few sizes down to avoid looking like you're wrapped in grandma's table runner.")</f>
        <v>I expected the waist to be cinched like it appears on the model but it isn't. i ordered the xs and i'm swimming in it (i'm 5'4" and 120 lb). would suggest ordering a few sizes down to avoid looking like you're wrapped in grandma's table runner.</v>
      </c>
      <c r="F1689" s="13">
        <f>IFERROR(__xludf.DUMMYFUNCTION("""COMPUTED_VALUE"""),3.0)</f>
        <v>3</v>
      </c>
      <c r="G1689" s="13">
        <f>IFERROR(__xludf.DUMMYFUNCTION("""COMPUTED_VALUE"""),0.0)</f>
        <v>0</v>
      </c>
      <c r="H1689" s="13">
        <f>IFERROR(__xludf.DUMMYFUNCTION("""COMPUTED_VALUE"""),4.0)</f>
        <v>4</v>
      </c>
      <c r="I1689" s="13" t="str">
        <f>IFERROR(__xludf.DUMMYFUNCTION("""COMPUTED_VALUE"""),"General")</f>
        <v>General</v>
      </c>
      <c r="J1689" s="13" t="str">
        <f>IFERROR(__xludf.DUMMYFUNCTION("""COMPUTED_VALUE"""),"Tops")</f>
        <v>Tops</v>
      </c>
      <c r="K1689" s="13" t="str">
        <f>IFERROR(__xludf.DUMMYFUNCTION("""COMPUTED_VALUE"""),"Blouses")</f>
        <v>Blouses</v>
      </c>
      <c r="L1689" s="13"/>
    </row>
    <row r="1690">
      <c r="A1690" s="13">
        <f>IFERROR(__xludf.DUMMYFUNCTION("""COMPUTED_VALUE"""),1688.0)</f>
        <v>1688</v>
      </c>
      <c r="B1690" s="13">
        <f>IFERROR(__xludf.DUMMYFUNCTION("""COMPUTED_VALUE"""),862.0)</f>
        <v>862</v>
      </c>
      <c r="C1690" s="13">
        <f>IFERROR(__xludf.DUMMYFUNCTION("""COMPUTED_VALUE"""),37.0)</f>
        <v>37</v>
      </c>
      <c r="D1690" s="12" t="str">
        <f>IFERROR(__xludf.DUMMYFUNCTION("""COMPUTED_VALUE"""),"Flattering and comfortable!")</f>
        <v>Flattering and comfortable!</v>
      </c>
      <c r="E1690" s="12" t="str">
        <f>IFERROR(__xludf.DUMMYFUNCTION("""COMPUTED_VALUE"""),"I love this top. i am always looking for tops that are comfortable and work as basics. the material is super soft and not too clingy. it feels like pajamas, but looks very polished. i am a little wide in the stomach and bust, but this didn't look boxy. i "&amp;"got these in all 3 colors.")</f>
        <v>I love this top. i am always looking for tops that are comfortable and work as basics. the material is super soft and not too clingy. it feels like pajamas, but looks very polished. i am a little wide in the stomach and bust, but this didn't look boxy. i got these in all 3 colors.</v>
      </c>
      <c r="F1690" s="13">
        <f>IFERROR(__xludf.DUMMYFUNCTION("""COMPUTED_VALUE"""),5.0)</f>
        <v>5</v>
      </c>
      <c r="G1690" s="13">
        <f>IFERROR(__xludf.DUMMYFUNCTION("""COMPUTED_VALUE"""),1.0)</f>
        <v>1</v>
      </c>
      <c r="H1690" s="13">
        <f>IFERROR(__xludf.DUMMYFUNCTION("""COMPUTED_VALUE"""),0.0)</f>
        <v>0</v>
      </c>
      <c r="I1690" s="13" t="str">
        <f>IFERROR(__xludf.DUMMYFUNCTION("""COMPUTED_VALUE"""),"General")</f>
        <v>General</v>
      </c>
      <c r="J1690" s="13" t="str">
        <f>IFERROR(__xludf.DUMMYFUNCTION("""COMPUTED_VALUE"""),"Tops")</f>
        <v>Tops</v>
      </c>
      <c r="K1690" s="13" t="str">
        <f>IFERROR(__xludf.DUMMYFUNCTION("""COMPUTED_VALUE"""),"Knits")</f>
        <v>Knits</v>
      </c>
      <c r="L1690" s="13"/>
    </row>
    <row r="1691">
      <c r="A1691" s="13">
        <f>IFERROR(__xludf.DUMMYFUNCTION("""COMPUTED_VALUE"""),1689.0)</f>
        <v>1689</v>
      </c>
      <c r="B1691" s="13">
        <f>IFERROR(__xludf.DUMMYFUNCTION("""COMPUTED_VALUE"""),970.0)</f>
        <v>970</v>
      </c>
      <c r="C1691" s="13">
        <f>IFERROR(__xludf.DUMMYFUNCTION("""COMPUTED_VALUE"""),42.0)</f>
        <v>42</v>
      </c>
      <c r="D1691" s="12" t="str">
        <f>IFERROR(__xludf.DUMMYFUNCTION("""COMPUTED_VALUE"""),"Audrey hepburn")</f>
        <v>Audrey hepburn</v>
      </c>
      <c r="E1691" s="12" t="str">
        <f>IFERROR(__xludf.DUMMYFUNCTION("""COMPUTED_VALUE"""),"This was what i was looking for ! the little stripes ,black and white color,the shape of the jacket and skirt together....well perfect. kind of. i purchased this entire ensemble. the skirt was going to be shortened because well i'm short. no problem ,this"&amp;" is a common occurrence for me. but the jacket would not work for me. the sleeves were way too tight for my muscular arms. there was no way the adorable shirt would fit in there. the shirt is adorable by the way. all of these pieces are made ver")</f>
        <v>This was what i was looking for ! the little stripes ,black and white color,the shape of the jacket and skirt together....well perfect. kind of. i purchased this entire ensemble. the skirt was going to be shortened because well i'm short. no problem ,this is a common occurrence for me. but the jacket would not work for me. the sleeves were way too tight for my muscular arms. there was no way the adorable shirt would fit in there. the shirt is adorable by the way. all of these pieces are made ver</v>
      </c>
      <c r="F1691" s="13">
        <f>IFERROR(__xludf.DUMMYFUNCTION("""COMPUTED_VALUE"""),4.0)</f>
        <v>4</v>
      </c>
      <c r="G1691" s="13">
        <f>IFERROR(__xludf.DUMMYFUNCTION("""COMPUTED_VALUE"""),1.0)</f>
        <v>1</v>
      </c>
      <c r="H1691" s="13">
        <f>IFERROR(__xludf.DUMMYFUNCTION("""COMPUTED_VALUE"""),0.0)</f>
        <v>0</v>
      </c>
      <c r="I1691" s="13" t="str">
        <f>IFERROR(__xludf.DUMMYFUNCTION("""COMPUTED_VALUE"""),"General Petite")</f>
        <v>General Petite</v>
      </c>
      <c r="J1691" s="13" t="str">
        <f>IFERROR(__xludf.DUMMYFUNCTION("""COMPUTED_VALUE"""),"Jackets")</f>
        <v>Jackets</v>
      </c>
      <c r="K1691" s="13" t="str">
        <f>IFERROR(__xludf.DUMMYFUNCTION("""COMPUTED_VALUE"""),"Jackets")</f>
        <v>Jackets</v>
      </c>
      <c r="L1691" s="13"/>
    </row>
    <row r="1692">
      <c r="A1692" s="13">
        <f>IFERROR(__xludf.DUMMYFUNCTION("""COMPUTED_VALUE"""),1690.0)</f>
        <v>1690</v>
      </c>
      <c r="B1692" s="13">
        <f>IFERROR(__xludf.DUMMYFUNCTION("""COMPUTED_VALUE"""),862.0)</f>
        <v>862</v>
      </c>
      <c r="C1692" s="13">
        <f>IFERROR(__xludf.DUMMYFUNCTION("""COMPUTED_VALUE"""),33.0)</f>
        <v>33</v>
      </c>
      <c r="D1692" s="12" t="str">
        <f>IFERROR(__xludf.DUMMYFUNCTION("""COMPUTED_VALUE"""),"Beautiful but has flaws")</f>
        <v>Beautiful but has flaws</v>
      </c>
      <c r="E1692" s="12" t="str">
        <f>IFERROR(__xludf.DUMMYFUNCTION("""COMPUTED_VALUE"""),"This top is just as beautiful in person as online. however, it has two issues for me. 1. it is too short. this might work if you have a short torso, but it would forever show my stomach. 2. the fabric has way too much static cling. no matter what i tried,"&amp;" it just clung to my stomach and flared out at the sides. not attractive. in short, if you have a short torso and don't mind battling the static, this truly is a beautiful top.")</f>
        <v>This top is just as beautiful in person as online. however, it has two issues for me. 1. it is too short. this might work if you have a short torso, but it would forever show my stomach. 2. the fabric has way too much static cling. no matter what i tried, it just clung to my stomach and flared out at the sides. not attractive. in short, if you have a short torso and don't mind battling the static, this truly is a beautiful top.</v>
      </c>
      <c r="F1692" s="13">
        <f>IFERROR(__xludf.DUMMYFUNCTION("""COMPUTED_VALUE"""),3.0)</f>
        <v>3</v>
      </c>
      <c r="G1692" s="13">
        <f>IFERROR(__xludf.DUMMYFUNCTION("""COMPUTED_VALUE"""),1.0)</f>
        <v>1</v>
      </c>
      <c r="H1692" s="13">
        <f>IFERROR(__xludf.DUMMYFUNCTION("""COMPUTED_VALUE"""),1.0)</f>
        <v>1</v>
      </c>
      <c r="I1692" s="13" t="str">
        <f>IFERROR(__xludf.DUMMYFUNCTION("""COMPUTED_VALUE"""),"General")</f>
        <v>General</v>
      </c>
      <c r="J1692" s="13" t="str">
        <f>IFERROR(__xludf.DUMMYFUNCTION("""COMPUTED_VALUE"""),"Tops")</f>
        <v>Tops</v>
      </c>
      <c r="K1692" s="13" t="str">
        <f>IFERROR(__xludf.DUMMYFUNCTION("""COMPUTED_VALUE"""),"Knits")</f>
        <v>Knits</v>
      </c>
      <c r="L1692" s="13"/>
    </row>
    <row r="1693">
      <c r="A1693" s="13">
        <f>IFERROR(__xludf.DUMMYFUNCTION("""COMPUTED_VALUE"""),1691.0)</f>
        <v>1691</v>
      </c>
      <c r="B1693" s="13">
        <f>IFERROR(__xludf.DUMMYFUNCTION("""COMPUTED_VALUE"""),225.0)</f>
        <v>225</v>
      </c>
      <c r="C1693" s="13">
        <f>IFERROR(__xludf.DUMMYFUNCTION("""COMPUTED_VALUE"""),45.0)</f>
        <v>45</v>
      </c>
      <c r="D1693" s="12" t="str">
        <f>IFERROR(__xludf.DUMMYFUNCTION("""COMPUTED_VALUE"""),"Add a little fun!")</f>
        <v>Add a little fun!</v>
      </c>
      <c r="E1693" s="12" t="str">
        <f>IFERROR(__xludf.DUMMYFUNCTION("""COMPUTED_VALUE"""),"These tights are so cute and can add some fun to any outfit. i paired with a mustard mini, denim shirt and desert boots! they do run small. i am a size 4 and had to get the m/l")</f>
        <v>These tights are so cute and can add some fun to any outfit. i paired with a mustard mini, denim shirt and desert boots! they do run small. i am a size 4 and had to get the m/l</v>
      </c>
      <c r="F1693" s="13">
        <f>IFERROR(__xludf.DUMMYFUNCTION("""COMPUTED_VALUE"""),5.0)</f>
        <v>5</v>
      </c>
      <c r="G1693" s="13">
        <f>IFERROR(__xludf.DUMMYFUNCTION("""COMPUTED_VALUE"""),1.0)</f>
        <v>1</v>
      </c>
      <c r="H1693" s="13">
        <f>IFERROR(__xludf.DUMMYFUNCTION("""COMPUTED_VALUE"""),1.0)</f>
        <v>1</v>
      </c>
      <c r="I1693" s="13" t="str">
        <f>IFERROR(__xludf.DUMMYFUNCTION("""COMPUTED_VALUE"""),"Initmates")</f>
        <v>Initmates</v>
      </c>
      <c r="J1693" s="13" t="str">
        <f>IFERROR(__xludf.DUMMYFUNCTION("""COMPUTED_VALUE"""),"Intimate")</f>
        <v>Intimate</v>
      </c>
      <c r="K1693" s="13" t="str">
        <f>IFERROR(__xludf.DUMMYFUNCTION("""COMPUTED_VALUE"""),"Legwear")</f>
        <v>Legwear</v>
      </c>
      <c r="L1693" s="13"/>
    </row>
    <row r="1694">
      <c r="A1694" s="13">
        <f>IFERROR(__xludf.DUMMYFUNCTION("""COMPUTED_VALUE"""),1692.0)</f>
        <v>1692</v>
      </c>
      <c r="B1694" s="13">
        <f>IFERROR(__xludf.DUMMYFUNCTION("""COMPUTED_VALUE"""),899.0)</f>
        <v>899</v>
      </c>
      <c r="C1694" s="13">
        <f>IFERROR(__xludf.DUMMYFUNCTION("""COMPUTED_VALUE"""),63.0)</f>
        <v>63</v>
      </c>
      <c r="D1694" s="12" t="str">
        <f>IFERROR(__xludf.DUMMYFUNCTION("""COMPUTED_VALUE"""),"Great autumn sweater!")</f>
        <v>Great autumn sweater!</v>
      </c>
      <c r="E1694" s="12" t="str">
        <f>IFERROR(__xludf.DUMMYFUNCTION("""COMPUTED_VALUE"""),"I love retailer sweaters, in fact, i believe all my sweaters are from retailer! this cardigan is really nice and i'm so glad i bought it. it will work well with skirts, dresses, pants... it's well made and soft and comfy. highly recommended!")</f>
        <v>I love retailer sweaters, in fact, i believe all my sweaters are from retailer! this cardigan is really nice and i'm so glad i bought it. it will work well with skirts, dresses, pants... it's well made and soft and comfy. highly recommended!</v>
      </c>
      <c r="F1694" s="13">
        <f>IFERROR(__xludf.DUMMYFUNCTION("""COMPUTED_VALUE"""),5.0)</f>
        <v>5</v>
      </c>
      <c r="G1694" s="13">
        <f>IFERROR(__xludf.DUMMYFUNCTION("""COMPUTED_VALUE"""),1.0)</f>
        <v>1</v>
      </c>
      <c r="H1694" s="13">
        <f>IFERROR(__xludf.DUMMYFUNCTION("""COMPUTED_VALUE"""),4.0)</f>
        <v>4</v>
      </c>
      <c r="I1694" s="13" t="str">
        <f>IFERROR(__xludf.DUMMYFUNCTION("""COMPUTED_VALUE"""),"General Petite")</f>
        <v>General Petite</v>
      </c>
      <c r="J1694" s="13" t="str">
        <f>IFERROR(__xludf.DUMMYFUNCTION("""COMPUTED_VALUE"""),"Tops")</f>
        <v>Tops</v>
      </c>
      <c r="K1694" s="13" t="str">
        <f>IFERROR(__xludf.DUMMYFUNCTION("""COMPUTED_VALUE"""),"Fine gauge")</f>
        <v>Fine gauge</v>
      </c>
      <c r="L1694" s="13"/>
    </row>
    <row r="1695">
      <c r="A1695" s="13">
        <f>IFERROR(__xludf.DUMMYFUNCTION("""COMPUTED_VALUE"""),1693.0)</f>
        <v>1693</v>
      </c>
      <c r="B1695" s="13">
        <f>IFERROR(__xludf.DUMMYFUNCTION("""COMPUTED_VALUE"""),862.0)</f>
        <v>862</v>
      </c>
      <c r="C1695" s="13">
        <f>IFERROR(__xludf.DUMMYFUNCTION("""COMPUTED_VALUE"""),38.0)</f>
        <v>38</v>
      </c>
      <c r="D1695" s="12"/>
      <c r="E1695" s="12" t="str">
        <f>IFERROR(__xludf.DUMMYFUNCTION("""COMPUTED_VALUE"""),"I really wanted to love this shirt. the fit was great, and the fabric just felt beautiful. luxurious, soft and flowing. but the collar was frayed... in addition, the little keyhole area fabric also had to be carefully handled to make it look smooth and no"&amp;"t like bad workmanship. i put it aside to return it, then this morning went to have another look at it, wanting to talk myself back into it. but i can't overlook the fact i'd be ordering a new shirt that would look time-worn. it may be only this")</f>
        <v>I really wanted to love this shirt. the fit was great, and the fabric just felt beautiful. luxurious, soft and flowing. but the collar was frayed... in addition, the little keyhole area fabric also had to be carefully handled to make it look smooth and not like bad workmanship. i put it aside to return it, then this morning went to have another look at it, wanting to talk myself back into it. but i can't overlook the fact i'd be ordering a new shirt that would look time-worn. it may be only this</v>
      </c>
      <c r="F1695" s="13">
        <f>IFERROR(__xludf.DUMMYFUNCTION("""COMPUTED_VALUE"""),2.0)</f>
        <v>2</v>
      </c>
      <c r="G1695" s="13">
        <f>IFERROR(__xludf.DUMMYFUNCTION("""COMPUTED_VALUE"""),0.0)</f>
        <v>0</v>
      </c>
      <c r="H1695" s="13">
        <f>IFERROR(__xludf.DUMMYFUNCTION("""COMPUTED_VALUE"""),1.0)</f>
        <v>1</v>
      </c>
      <c r="I1695" s="13" t="str">
        <f>IFERROR(__xludf.DUMMYFUNCTION("""COMPUTED_VALUE"""),"General")</f>
        <v>General</v>
      </c>
      <c r="J1695" s="13" t="str">
        <f>IFERROR(__xludf.DUMMYFUNCTION("""COMPUTED_VALUE"""),"Tops")</f>
        <v>Tops</v>
      </c>
      <c r="K1695" s="13" t="str">
        <f>IFERROR(__xludf.DUMMYFUNCTION("""COMPUTED_VALUE"""),"Knits")</f>
        <v>Knits</v>
      </c>
      <c r="L1695" s="13"/>
    </row>
    <row r="1696">
      <c r="A1696" s="13">
        <f>IFERROR(__xludf.DUMMYFUNCTION("""COMPUTED_VALUE"""),1694.0)</f>
        <v>1694</v>
      </c>
      <c r="B1696" s="13">
        <f>IFERROR(__xludf.DUMMYFUNCTION("""COMPUTED_VALUE"""),899.0)</f>
        <v>899</v>
      </c>
      <c r="C1696" s="13">
        <f>IFERROR(__xludf.DUMMYFUNCTION("""COMPUTED_VALUE"""),45.0)</f>
        <v>45</v>
      </c>
      <c r="D1696" s="12" t="str">
        <f>IFERROR(__xludf.DUMMYFUNCTION("""COMPUTED_VALUE"""),"Wish it looked as cute in person")</f>
        <v>Wish it looked as cute in person</v>
      </c>
      <c r="E1696" s="12" t="str">
        <f>IFERROR(__xludf.DUMMYFUNCTION("""COMPUTED_VALUE"""),"This cardi is cuter in the stock photos. in person, the colors are a bit more drab. stock photos also don't show quite how much of a swing shape this has. it is very soft, though. returned it!")</f>
        <v>This cardi is cuter in the stock photos. in person, the colors are a bit more drab. stock photos also don't show quite how much of a swing shape this has. it is very soft, though. returned it!</v>
      </c>
      <c r="F1696" s="13">
        <f>IFERROR(__xludf.DUMMYFUNCTION("""COMPUTED_VALUE"""),2.0)</f>
        <v>2</v>
      </c>
      <c r="G1696" s="13">
        <f>IFERROR(__xludf.DUMMYFUNCTION("""COMPUTED_VALUE"""),0.0)</f>
        <v>0</v>
      </c>
      <c r="H1696" s="13">
        <f>IFERROR(__xludf.DUMMYFUNCTION("""COMPUTED_VALUE"""),0.0)</f>
        <v>0</v>
      </c>
      <c r="I1696" s="13" t="str">
        <f>IFERROR(__xludf.DUMMYFUNCTION("""COMPUTED_VALUE"""),"General Petite")</f>
        <v>General Petite</v>
      </c>
      <c r="J1696" s="13" t="str">
        <f>IFERROR(__xludf.DUMMYFUNCTION("""COMPUTED_VALUE"""),"Tops")</f>
        <v>Tops</v>
      </c>
      <c r="K1696" s="13" t="str">
        <f>IFERROR(__xludf.DUMMYFUNCTION("""COMPUTED_VALUE"""),"Fine gauge")</f>
        <v>Fine gauge</v>
      </c>
      <c r="L1696" s="13"/>
    </row>
    <row r="1697">
      <c r="A1697" s="13">
        <f>IFERROR(__xludf.DUMMYFUNCTION("""COMPUTED_VALUE"""),1695.0)</f>
        <v>1695</v>
      </c>
      <c r="B1697" s="13">
        <f>IFERROR(__xludf.DUMMYFUNCTION("""COMPUTED_VALUE"""),862.0)</f>
        <v>862</v>
      </c>
      <c r="C1697" s="13">
        <f>IFERROR(__xludf.DUMMYFUNCTION("""COMPUTED_VALUE"""),40.0)</f>
        <v>40</v>
      </c>
      <c r="D1697" s="12"/>
      <c r="E1697" s="12" t="str">
        <f>IFERROR(__xludf.DUMMYFUNCTION("""COMPUTED_VALUE"""),"The material is cheap and looks torn. not as nice as the picture.")</f>
        <v>The material is cheap and looks torn. not as nice as the picture.</v>
      </c>
      <c r="F1697" s="13">
        <f>IFERROR(__xludf.DUMMYFUNCTION("""COMPUTED_VALUE"""),1.0)</f>
        <v>1</v>
      </c>
      <c r="G1697" s="13">
        <f>IFERROR(__xludf.DUMMYFUNCTION("""COMPUTED_VALUE"""),0.0)</f>
        <v>0</v>
      </c>
      <c r="H1697" s="13">
        <f>IFERROR(__xludf.DUMMYFUNCTION("""COMPUTED_VALUE"""),0.0)</f>
        <v>0</v>
      </c>
      <c r="I1697" s="13" t="str">
        <f>IFERROR(__xludf.DUMMYFUNCTION("""COMPUTED_VALUE"""),"General")</f>
        <v>General</v>
      </c>
      <c r="J1697" s="13" t="str">
        <f>IFERROR(__xludf.DUMMYFUNCTION("""COMPUTED_VALUE"""),"Tops")</f>
        <v>Tops</v>
      </c>
      <c r="K1697" s="13" t="str">
        <f>IFERROR(__xludf.DUMMYFUNCTION("""COMPUTED_VALUE"""),"Knits")</f>
        <v>Knits</v>
      </c>
      <c r="L1697" s="13"/>
    </row>
    <row r="1698">
      <c r="A1698" s="13">
        <f>IFERROR(__xludf.DUMMYFUNCTION("""COMPUTED_VALUE"""),1696.0)</f>
        <v>1696</v>
      </c>
      <c r="B1698" s="13">
        <f>IFERROR(__xludf.DUMMYFUNCTION("""COMPUTED_VALUE"""),899.0)</f>
        <v>899</v>
      </c>
      <c r="C1698" s="13">
        <f>IFERROR(__xludf.DUMMYFUNCTION("""COMPUTED_VALUE"""),52.0)</f>
        <v>52</v>
      </c>
      <c r="D1698" s="12" t="str">
        <f>IFERROR(__xludf.DUMMYFUNCTION("""COMPUTED_VALUE"""),"Relaxed, flowing fit")</f>
        <v>Relaxed, flowing fit</v>
      </c>
      <c r="E1698" s="12" t="str">
        <f>IFERROR(__xludf.DUMMYFUNCTION("""COMPUTED_VALUE"""),"Order a size down. i ordered a small from catalog and returned it to the store for an xs.
run large in the chest and down. the fit is more flowing than form fitting. nice material, not itchy at all.")</f>
        <v>Order a size down. i ordered a small from catalog and returned it to the store for an xs.
run large in the chest and down. the fit is more flowing than form fitting. nice material, not itchy at all.</v>
      </c>
      <c r="F1698" s="13">
        <f>IFERROR(__xludf.DUMMYFUNCTION("""COMPUTED_VALUE"""),4.0)</f>
        <v>4</v>
      </c>
      <c r="G1698" s="13">
        <f>IFERROR(__xludf.DUMMYFUNCTION("""COMPUTED_VALUE"""),1.0)</f>
        <v>1</v>
      </c>
      <c r="H1698" s="13">
        <f>IFERROR(__xludf.DUMMYFUNCTION("""COMPUTED_VALUE"""),2.0)</f>
        <v>2</v>
      </c>
      <c r="I1698" s="13" t="str">
        <f>IFERROR(__xludf.DUMMYFUNCTION("""COMPUTED_VALUE"""),"General Petite")</f>
        <v>General Petite</v>
      </c>
      <c r="J1698" s="13" t="str">
        <f>IFERROR(__xludf.DUMMYFUNCTION("""COMPUTED_VALUE"""),"Tops")</f>
        <v>Tops</v>
      </c>
      <c r="K1698" s="13" t="str">
        <f>IFERROR(__xludf.DUMMYFUNCTION("""COMPUTED_VALUE"""),"Fine gauge")</f>
        <v>Fine gauge</v>
      </c>
      <c r="L1698" s="13"/>
    </row>
    <row r="1699">
      <c r="A1699" s="13">
        <f>IFERROR(__xludf.DUMMYFUNCTION("""COMPUTED_VALUE"""),1697.0)</f>
        <v>1697</v>
      </c>
      <c r="B1699" s="13">
        <f>IFERROR(__xludf.DUMMYFUNCTION("""COMPUTED_VALUE"""),862.0)</f>
        <v>862</v>
      </c>
      <c r="C1699" s="13">
        <f>IFERROR(__xludf.DUMMYFUNCTION("""COMPUTED_VALUE"""),53.0)</f>
        <v>53</v>
      </c>
      <c r="D1699" s="12" t="str">
        <f>IFERROR(__xludf.DUMMYFUNCTION("""COMPUTED_VALUE"""),"Great top!")</f>
        <v>Great top!</v>
      </c>
      <c r="E1699" s="12" t="str">
        <f>IFERROR(__xludf.DUMMYFUNCTION("""COMPUTED_VALUE"""),"This is a really nice top, especially for the price. i am 5'6"", 34dd, 140 lbs and normally wear a medium in dolan tops. in this top i purchased size small since the gathered front provides ample room for my bust. some reviewers have found this top to be "&amp;"on the ""boxy"" side. i can see that if you don't size down as i did. i found the medium to have too much fabric and look very baggy whereas the small was perfect. i do wish this top was a tad bit longer and less sheer, though. white tops should be")</f>
        <v>This is a really nice top, especially for the price. i am 5'6", 34dd, 140 lbs and normally wear a medium in dolan tops. in this top i purchased size small since the gathered front provides ample room for my bust. some reviewers have found this top to be on the "boxy" side. i can see that if you don't size down as i did. i found the medium to have too much fabric and look very baggy whereas the small was perfect. i do wish this top was a tad bit longer and less sheer, though. white tops should be</v>
      </c>
      <c r="F1699" s="13">
        <f>IFERROR(__xludf.DUMMYFUNCTION("""COMPUTED_VALUE"""),4.0)</f>
        <v>4</v>
      </c>
      <c r="G1699" s="13">
        <f>IFERROR(__xludf.DUMMYFUNCTION("""COMPUTED_VALUE"""),1.0)</f>
        <v>1</v>
      </c>
      <c r="H1699" s="13">
        <f>IFERROR(__xludf.DUMMYFUNCTION("""COMPUTED_VALUE"""),4.0)</f>
        <v>4</v>
      </c>
      <c r="I1699" s="13" t="str">
        <f>IFERROR(__xludf.DUMMYFUNCTION("""COMPUTED_VALUE"""),"General")</f>
        <v>General</v>
      </c>
      <c r="J1699" s="13" t="str">
        <f>IFERROR(__xludf.DUMMYFUNCTION("""COMPUTED_VALUE"""),"Tops")</f>
        <v>Tops</v>
      </c>
      <c r="K1699" s="13" t="str">
        <f>IFERROR(__xludf.DUMMYFUNCTION("""COMPUTED_VALUE"""),"Knits")</f>
        <v>Knits</v>
      </c>
      <c r="L1699" s="13"/>
    </row>
    <row r="1700">
      <c r="A1700" s="13">
        <f>IFERROR(__xludf.DUMMYFUNCTION("""COMPUTED_VALUE"""),1698.0)</f>
        <v>1698</v>
      </c>
      <c r="B1700" s="13">
        <f>IFERROR(__xludf.DUMMYFUNCTION("""COMPUTED_VALUE"""),899.0)</f>
        <v>899</v>
      </c>
      <c r="C1700" s="13">
        <f>IFERROR(__xludf.DUMMYFUNCTION("""COMPUTED_VALUE"""),47.0)</f>
        <v>47</v>
      </c>
      <c r="D1700" s="12" t="str">
        <f>IFERROR(__xludf.DUMMYFUNCTION("""COMPUTED_VALUE"""),"Cardigan love")</f>
        <v>Cardigan love</v>
      </c>
      <c r="E1700" s="12" t="str">
        <f>IFERROR(__xludf.DUMMYFUNCTION("""COMPUTED_VALUE"""),"This cardigan runs slightly large as it is boxy, which i love. the color is exactly as pictured and it is soooo soft! can't wait to wear it with a t-shirt and jeans!")</f>
        <v>This cardigan runs slightly large as it is boxy, which i love. the color is exactly as pictured and it is soooo soft! can't wait to wear it with a t-shirt and jeans!</v>
      </c>
      <c r="F1700" s="13">
        <f>IFERROR(__xludf.DUMMYFUNCTION("""COMPUTED_VALUE"""),5.0)</f>
        <v>5</v>
      </c>
      <c r="G1700" s="13">
        <f>IFERROR(__xludf.DUMMYFUNCTION("""COMPUTED_VALUE"""),1.0)</f>
        <v>1</v>
      </c>
      <c r="H1700" s="13">
        <f>IFERROR(__xludf.DUMMYFUNCTION("""COMPUTED_VALUE"""),6.0)</f>
        <v>6</v>
      </c>
      <c r="I1700" s="13" t="str">
        <f>IFERROR(__xludf.DUMMYFUNCTION("""COMPUTED_VALUE"""),"General Petite")</f>
        <v>General Petite</v>
      </c>
      <c r="J1700" s="13" t="str">
        <f>IFERROR(__xludf.DUMMYFUNCTION("""COMPUTED_VALUE"""),"Tops")</f>
        <v>Tops</v>
      </c>
      <c r="K1700" s="13" t="str">
        <f>IFERROR(__xludf.DUMMYFUNCTION("""COMPUTED_VALUE"""),"Fine gauge")</f>
        <v>Fine gauge</v>
      </c>
      <c r="L1700" s="13"/>
    </row>
    <row r="1701">
      <c r="A1701" s="13">
        <f>IFERROR(__xludf.DUMMYFUNCTION("""COMPUTED_VALUE"""),1699.0)</f>
        <v>1699</v>
      </c>
      <c r="B1701" s="13">
        <f>IFERROR(__xludf.DUMMYFUNCTION("""COMPUTED_VALUE"""),862.0)</f>
        <v>862</v>
      </c>
      <c r="C1701" s="13">
        <f>IFERROR(__xludf.DUMMYFUNCTION("""COMPUTED_VALUE"""),43.0)</f>
        <v>43</v>
      </c>
      <c r="D1701" s="12" t="str">
        <f>IFERROR(__xludf.DUMMYFUNCTION("""COMPUTED_VALUE"""),"Soft and relaxed fit")</f>
        <v>Soft and relaxed fit</v>
      </c>
      <c r="E1701" s="12" t="str">
        <f>IFERROR(__xludf.DUMMYFUNCTION("""COMPUTED_VALUE"""),"I bought this shirt in the rust color along with the blue/black sweater skirt after seeing it on display in the store. not sure i would have ever put those 2 together but i love the outfit. i'm not much of a shirt-tucker, either, but this shirt works eith"&amp;"er way. tucked in a skirt or more casual with jeans. my only criticism is the static cling in the front, as mentioned by another reviewer. i had thought of getting it in white, but if it's shear, then maybe not. haven't been wearing a tank under")</f>
        <v>I bought this shirt in the rust color along with the blue/black sweater skirt after seeing it on display in the store. not sure i would have ever put those 2 together but i love the outfit. i'm not much of a shirt-tucker, either, but this shirt works either way. tucked in a skirt or more casual with jeans. my only criticism is the static cling in the front, as mentioned by another reviewer. i had thought of getting it in white, but if it's shear, then maybe not. haven't been wearing a tank under</v>
      </c>
      <c r="F1701" s="13">
        <f>IFERROR(__xludf.DUMMYFUNCTION("""COMPUTED_VALUE"""),4.0)</f>
        <v>4</v>
      </c>
      <c r="G1701" s="13">
        <f>IFERROR(__xludf.DUMMYFUNCTION("""COMPUTED_VALUE"""),1.0)</f>
        <v>1</v>
      </c>
      <c r="H1701" s="13">
        <f>IFERROR(__xludf.DUMMYFUNCTION("""COMPUTED_VALUE"""),1.0)</f>
        <v>1</v>
      </c>
      <c r="I1701" s="13" t="str">
        <f>IFERROR(__xludf.DUMMYFUNCTION("""COMPUTED_VALUE"""),"General")</f>
        <v>General</v>
      </c>
      <c r="J1701" s="13" t="str">
        <f>IFERROR(__xludf.DUMMYFUNCTION("""COMPUTED_VALUE"""),"Tops")</f>
        <v>Tops</v>
      </c>
      <c r="K1701" s="13" t="str">
        <f>IFERROR(__xludf.DUMMYFUNCTION("""COMPUTED_VALUE"""),"Knits")</f>
        <v>Knits</v>
      </c>
      <c r="L1701" s="13"/>
    </row>
    <row r="1702">
      <c r="A1702" s="13">
        <f>IFERROR(__xludf.DUMMYFUNCTION("""COMPUTED_VALUE"""),1700.0)</f>
        <v>1700</v>
      </c>
      <c r="B1702" s="13">
        <f>IFERROR(__xludf.DUMMYFUNCTION("""COMPUTED_VALUE"""),860.0)</f>
        <v>860</v>
      </c>
      <c r="C1702" s="13">
        <f>IFERROR(__xludf.DUMMYFUNCTION("""COMPUTED_VALUE"""),37.0)</f>
        <v>37</v>
      </c>
      <c r="D1702" s="12" t="str">
        <f>IFERROR(__xludf.DUMMYFUNCTION("""COMPUTED_VALUE"""),"Pretty and nicely cut")</f>
        <v>Pretty and nicely cut</v>
      </c>
      <c r="E1702" s="12" t="str">
        <f>IFERROR(__xludf.DUMMYFUNCTION("""COMPUTED_VALUE"""),"The bright poppy red is gorgeous and the cut flattering and interesting. i'm usually between a m and l in tops but went with a s in this one because it looked too sloppy in my usual size. i'm a 32-34 d with arms that aren't tiny, and it's a bit tight acro"&amp;"ss the shoulders when i reach forward but not enough to be a problem. in the smaller size it skims my hips nicely but isn't as long as pictured on the model. i would suggest pear-shaped girls size down if in-between. it is sheer but not so much")</f>
        <v>The bright poppy red is gorgeous and the cut flattering and interesting. i'm usually between a m and l in tops but went with a s in this one because it looked too sloppy in my usual size. i'm a 32-34 d with arms that aren't tiny, and it's a bit tight across the shoulders when i reach forward but not enough to be a problem. in the smaller size it skims my hips nicely but isn't as long as pictured on the model. i would suggest pear-shaped girls size down if in-between. it is sheer but not so much</v>
      </c>
      <c r="F1702" s="13">
        <f>IFERROR(__xludf.DUMMYFUNCTION("""COMPUTED_VALUE"""),4.0)</f>
        <v>4</v>
      </c>
      <c r="G1702" s="13">
        <f>IFERROR(__xludf.DUMMYFUNCTION("""COMPUTED_VALUE"""),1.0)</f>
        <v>1</v>
      </c>
      <c r="H1702" s="13">
        <f>IFERROR(__xludf.DUMMYFUNCTION("""COMPUTED_VALUE"""),1.0)</f>
        <v>1</v>
      </c>
      <c r="I1702" s="13" t="str">
        <f>IFERROR(__xludf.DUMMYFUNCTION("""COMPUTED_VALUE"""),"General Petite")</f>
        <v>General Petite</v>
      </c>
      <c r="J1702" s="13" t="str">
        <f>IFERROR(__xludf.DUMMYFUNCTION("""COMPUTED_VALUE"""),"Tops")</f>
        <v>Tops</v>
      </c>
      <c r="K1702" s="13" t="str">
        <f>IFERROR(__xludf.DUMMYFUNCTION("""COMPUTED_VALUE"""),"Knits")</f>
        <v>Knits</v>
      </c>
      <c r="L1702" s="13"/>
    </row>
    <row r="1703">
      <c r="A1703" s="13">
        <f>IFERROR(__xludf.DUMMYFUNCTION("""COMPUTED_VALUE"""),1701.0)</f>
        <v>1701</v>
      </c>
      <c r="B1703" s="13">
        <f>IFERROR(__xludf.DUMMYFUNCTION("""COMPUTED_VALUE"""),225.0)</f>
        <v>225</v>
      </c>
      <c r="C1703" s="13">
        <f>IFERROR(__xludf.DUMMYFUNCTION("""COMPUTED_VALUE"""),38.0)</f>
        <v>38</v>
      </c>
      <c r="D1703" s="12" t="str">
        <f>IFERROR(__xludf.DUMMYFUNCTION("""COMPUTED_VALUE"""),"I wanted to love them")</f>
        <v>I wanted to love them</v>
      </c>
      <c r="E1703" s="12" t="str">
        <f>IFERROR(__xludf.DUMMYFUNCTION("""COMPUTED_VALUE"""),"Adorable foxes, i was smitten in the store but the fix is bizarre and the foxes don't come up very high so you're limited in the length you can wear. i bought the m/l based on salesperson advice and i can't imagine trying anything smaller, i usually wear "&amp;"a size s or 4 bottom, these were super snug. back to the store they went.")</f>
        <v>Adorable foxes, i was smitten in the store but the fix is bizarre and the foxes don't come up very high so you're limited in the length you can wear. i bought the m/l based on salesperson advice and i can't imagine trying anything smaller, i usually wear a size s or 4 bottom, these were super snug. back to the store they went.</v>
      </c>
      <c r="F1703" s="13">
        <f>IFERROR(__xludf.DUMMYFUNCTION("""COMPUTED_VALUE"""),2.0)</f>
        <v>2</v>
      </c>
      <c r="G1703" s="13">
        <f>IFERROR(__xludf.DUMMYFUNCTION("""COMPUTED_VALUE"""),0.0)</f>
        <v>0</v>
      </c>
      <c r="H1703" s="13">
        <f>IFERROR(__xludf.DUMMYFUNCTION("""COMPUTED_VALUE"""),0.0)</f>
        <v>0</v>
      </c>
      <c r="I1703" s="13" t="str">
        <f>IFERROR(__xludf.DUMMYFUNCTION("""COMPUTED_VALUE"""),"Initmates")</f>
        <v>Initmates</v>
      </c>
      <c r="J1703" s="13" t="str">
        <f>IFERROR(__xludf.DUMMYFUNCTION("""COMPUTED_VALUE"""),"Intimate")</f>
        <v>Intimate</v>
      </c>
      <c r="K1703" s="13" t="str">
        <f>IFERROR(__xludf.DUMMYFUNCTION("""COMPUTED_VALUE"""),"Legwear")</f>
        <v>Legwear</v>
      </c>
      <c r="L1703" s="13"/>
    </row>
    <row r="1704">
      <c r="A1704" s="13">
        <f>IFERROR(__xludf.DUMMYFUNCTION("""COMPUTED_VALUE"""),1702.0)</f>
        <v>1702</v>
      </c>
      <c r="B1704" s="13">
        <f>IFERROR(__xludf.DUMMYFUNCTION("""COMPUTED_VALUE"""),860.0)</f>
        <v>860</v>
      </c>
      <c r="C1704" s="13">
        <f>IFERROR(__xludf.DUMMYFUNCTION("""COMPUTED_VALUE"""),33.0)</f>
        <v>33</v>
      </c>
      <c r="D1704" s="12" t="str">
        <f>IFERROR(__xludf.DUMMYFUNCTION("""COMPUTED_VALUE"""),"Flattering and easy")</f>
        <v>Flattering and easy</v>
      </c>
      <c r="E1704" s="12" t="str">
        <f>IFERROR(__xludf.DUMMYFUNCTION("""COMPUTED_VALUE"""),"I tried this top because i loved the not so simple, simpleness of it. however, it was a miss for me. loved the fit and style, which i'd say is pretty true to size, i just didn't love the color on me. i went for the orange one and the color was a bit too b"&amp;"right for my liking. cute top though! for reference i'm a usually small, i'm 5'4"" and a small fit perfectly.")</f>
        <v>I tried this top because i loved the not so simple, simpleness of it. however, it was a miss for me. loved the fit and style, which i'd say is pretty true to size, i just didn't love the color on me. i went for the orange one and the color was a bit too bright for my liking. cute top though! for reference i'm a usually small, i'm 5'4" and a small fit perfectly.</v>
      </c>
      <c r="F1704" s="13">
        <f>IFERROR(__xludf.DUMMYFUNCTION("""COMPUTED_VALUE"""),4.0)</f>
        <v>4</v>
      </c>
      <c r="G1704" s="13">
        <f>IFERROR(__xludf.DUMMYFUNCTION("""COMPUTED_VALUE"""),1.0)</f>
        <v>1</v>
      </c>
      <c r="H1704" s="13">
        <f>IFERROR(__xludf.DUMMYFUNCTION("""COMPUTED_VALUE"""),0.0)</f>
        <v>0</v>
      </c>
      <c r="I1704" s="13" t="str">
        <f>IFERROR(__xludf.DUMMYFUNCTION("""COMPUTED_VALUE"""),"General Petite")</f>
        <v>General Petite</v>
      </c>
      <c r="J1704" s="13" t="str">
        <f>IFERROR(__xludf.DUMMYFUNCTION("""COMPUTED_VALUE"""),"Tops")</f>
        <v>Tops</v>
      </c>
      <c r="K1704" s="13" t="str">
        <f>IFERROR(__xludf.DUMMYFUNCTION("""COMPUTED_VALUE"""),"Knits")</f>
        <v>Knits</v>
      </c>
      <c r="L1704" s="13"/>
    </row>
    <row r="1705">
      <c r="A1705" s="13">
        <f>IFERROR(__xludf.DUMMYFUNCTION("""COMPUTED_VALUE"""),1703.0)</f>
        <v>1703</v>
      </c>
      <c r="B1705" s="13">
        <f>IFERROR(__xludf.DUMMYFUNCTION("""COMPUTED_VALUE"""),860.0)</f>
        <v>860</v>
      </c>
      <c r="C1705" s="13">
        <f>IFERROR(__xludf.DUMMYFUNCTION("""COMPUTED_VALUE"""),42.0)</f>
        <v>42</v>
      </c>
      <c r="D1705" s="12"/>
      <c r="E1705" s="12"/>
      <c r="F1705" s="13">
        <f>IFERROR(__xludf.DUMMYFUNCTION("""COMPUTED_VALUE"""),5.0)</f>
        <v>5</v>
      </c>
      <c r="G1705" s="13">
        <f>IFERROR(__xludf.DUMMYFUNCTION("""COMPUTED_VALUE"""),1.0)</f>
        <v>1</v>
      </c>
      <c r="H1705" s="13">
        <f>IFERROR(__xludf.DUMMYFUNCTION("""COMPUTED_VALUE"""),0.0)</f>
        <v>0</v>
      </c>
      <c r="I1705" s="13" t="str">
        <f>IFERROR(__xludf.DUMMYFUNCTION("""COMPUTED_VALUE"""),"General Petite")</f>
        <v>General Petite</v>
      </c>
      <c r="J1705" s="13" t="str">
        <f>IFERROR(__xludf.DUMMYFUNCTION("""COMPUTED_VALUE"""),"Tops")</f>
        <v>Tops</v>
      </c>
      <c r="K1705" s="13" t="str">
        <f>IFERROR(__xludf.DUMMYFUNCTION("""COMPUTED_VALUE"""),"Knits")</f>
        <v>Knits</v>
      </c>
      <c r="L1705" s="13"/>
    </row>
    <row r="1706">
      <c r="A1706" s="13">
        <f>IFERROR(__xludf.DUMMYFUNCTION("""COMPUTED_VALUE"""),1704.0)</f>
        <v>1704</v>
      </c>
      <c r="B1706" s="13">
        <f>IFERROR(__xludf.DUMMYFUNCTION("""COMPUTED_VALUE"""),860.0)</f>
        <v>860</v>
      </c>
      <c r="C1706" s="13">
        <f>IFERROR(__xludf.DUMMYFUNCTION("""COMPUTED_VALUE"""),48.0)</f>
        <v>48</v>
      </c>
      <c r="D1706" s="12" t="str">
        <f>IFERROR(__xludf.DUMMYFUNCTION("""COMPUTED_VALUE"""),"Not a white tee")</f>
        <v>Not a white tee</v>
      </c>
      <c r="E1706" s="12" t="str">
        <f>IFERROR(__xludf.DUMMYFUNCTION("""COMPUTED_VALUE"""),"Ordered the ""white"" tee, but when it arrived today, i was surprised by how cream it looked.the cut is nice and as other reviewers mentioned, it is on the sheer side. still on the fence of whether or not i'll keep it.")</f>
        <v>Ordered the "white" tee, but when it arrived today, i was surprised by how cream it looked.the cut is nice and as other reviewers mentioned, it is on the sheer side. still on the fence of whether or not i'll keep it.</v>
      </c>
      <c r="F1706" s="13">
        <f>IFERROR(__xludf.DUMMYFUNCTION("""COMPUTED_VALUE"""),4.0)</f>
        <v>4</v>
      </c>
      <c r="G1706" s="13">
        <f>IFERROR(__xludf.DUMMYFUNCTION("""COMPUTED_VALUE"""),1.0)</f>
        <v>1</v>
      </c>
      <c r="H1706" s="13">
        <f>IFERROR(__xludf.DUMMYFUNCTION("""COMPUTED_VALUE"""),0.0)</f>
        <v>0</v>
      </c>
      <c r="I1706" s="13" t="str">
        <f>IFERROR(__xludf.DUMMYFUNCTION("""COMPUTED_VALUE"""),"General Petite")</f>
        <v>General Petite</v>
      </c>
      <c r="J1706" s="13" t="str">
        <f>IFERROR(__xludf.DUMMYFUNCTION("""COMPUTED_VALUE"""),"Tops")</f>
        <v>Tops</v>
      </c>
      <c r="K1706" s="13" t="str">
        <f>IFERROR(__xludf.DUMMYFUNCTION("""COMPUTED_VALUE"""),"Knits")</f>
        <v>Knits</v>
      </c>
      <c r="L1706" s="13"/>
    </row>
    <row r="1707">
      <c r="A1707" s="13">
        <f>IFERROR(__xludf.DUMMYFUNCTION("""COMPUTED_VALUE"""),1705.0)</f>
        <v>1705</v>
      </c>
      <c r="B1707" s="13">
        <f>IFERROR(__xludf.DUMMYFUNCTION("""COMPUTED_VALUE"""),862.0)</f>
        <v>862</v>
      </c>
      <c r="C1707" s="13">
        <f>IFERROR(__xludf.DUMMYFUNCTION("""COMPUTED_VALUE"""),58.0)</f>
        <v>58</v>
      </c>
      <c r="D1707" s="12" t="str">
        <f>IFERROR(__xludf.DUMMYFUNCTION("""COMPUTED_VALUE"""),"Generously sized")</f>
        <v>Generously sized</v>
      </c>
      <c r="E1707" s="12" t="str">
        <f>IFERROR(__xludf.DUMMYFUNCTION("""COMPUTED_VALUE"""),"I am short, on the heavy side. 5'1"" 156 lbs. i always wear large petite. this beautiful blouse swallows me. lots of fabric on the front side of the shirt, causing a boxy look. i could totally do a mp if not sp. i am going to try and exchange..
beautiful "&amp;"blouse, great quality, breathable fabric. colors are deep and rich. so comfy.. highly recommend.")</f>
        <v>I am short, on the heavy side. 5'1" 156 lbs. i always wear large petite. this beautiful blouse swallows me. lots of fabric on the front side of the shirt, causing a boxy look. i could totally do a mp if not sp. i am going to try and exchange..
beautiful blouse, great quality, breathable fabric. colors are deep and rich. so comfy.. highly recommend.</v>
      </c>
      <c r="F1707" s="13">
        <f>IFERROR(__xludf.DUMMYFUNCTION("""COMPUTED_VALUE"""),5.0)</f>
        <v>5</v>
      </c>
      <c r="G1707" s="13">
        <f>IFERROR(__xludf.DUMMYFUNCTION("""COMPUTED_VALUE"""),1.0)</f>
        <v>1</v>
      </c>
      <c r="H1707" s="13">
        <f>IFERROR(__xludf.DUMMYFUNCTION("""COMPUTED_VALUE"""),2.0)</f>
        <v>2</v>
      </c>
      <c r="I1707" s="13" t="str">
        <f>IFERROR(__xludf.DUMMYFUNCTION("""COMPUTED_VALUE"""),"General")</f>
        <v>General</v>
      </c>
      <c r="J1707" s="13" t="str">
        <f>IFERROR(__xludf.DUMMYFUNCTION("""COMPUTED_VALUE"""),"Tops")</f>
        <v>Tops</v>
      </c>
      <c r="K1707" s="13" t="str">
        <f>IFERROR(__xludf.DUMMYFUNCTION("""COMPUTED_VALUE"""),"Knits")</f>
        <v>Knits</v>
      </c>
      <c r="L1707" s="13"/>
    </row>
    <row r="1708">
      <c r="A1708" s="13">
        <f>IFERROR(__xludf.DUMMYFUNCTION("""COMPUTED_VALUE"""),1706.0)</f>
        <v>1706</v>
      </c>
      <c r="B1708" s="13">
        <f>IFERROR(__xludf.DUMMYFUNCTION("""COMPUTED_VALUE"""),860.0)</f>
        <v>860</v>
      </c>
      <c r="C1708" s="13">
        <f>IFERROR(__xludf.DUMMYFUNCTION("""COMPUTED_VALUE"""),29.0)</f>
        <v>29</v>
      </c>
      <c r="D1708" s="12" t="str">
        <f>IFERROR(__xludf.DUMMYFUNCTION("""COMPUTED_VALUE"""),"Nice structure")</f>
        <v>Nice structure</v>
      </c>
      <c r="E1708" s="12" t="str">
        <f>IFERROR(__xludf.DUMMYFUNCTION("""COMPUTED_VALUE"""),"Good structure and quality; a bit large and wish i had ordered something a bit brighter! (i ordered the white tee.)")</f>
        <v>Good structure and quality; a bit large and wish i had ordered something a bit brighter! (i ordered the white tee.)</v>
      </c>
      <c r="F1708" s="13">
        <f>IFERROR(__xludf.DUMMYFUNCTION("""COMPUTED_VALUE"""),3.0)</f>
        <v>3</v>
      </c>
      <c r="G1708" s="13">
        <f>IFERROR(__xludf.DUMMYFUNCTION("""COMPUTED_VALUE"""),1.0)</f>
        <v>1</v>
      </c>
      <c r="H1708" s="13">
        <f>IFERROR(__xludf.DUMMYFUNCTION("""COMPUTED_VALUE"""),1.0)</f>
        <v>1</v>
      </c>
      <c r="I1708" s="13" t="str">
        <f>IFERROR(__xludf.DUMMYFUNCTION("""COMPUTED_VALUE"""),"General Petite")</f>
        <v>General Petite</v>
      </c>
      <c r="J1708" s="13" t="str">
        <f>IFERROR(__xludf.DUMMYFUNCTION("""COMPUTED_VALUE"""),"Tops")</f>
        <v>Tops</v>
      </c>
      <c r="K1708" s="13" t="str">
        <f>IFERROR(__xludf.DUMMYFUNCTION("""COMPUTED_VALUE"""),"Knits")</f>
        <v>Knits</v>
      </c>
      <c r="L1708" s="13"/>
    </row>
    <row r="1709">
      <c r="A1709" s="13">
        <f>IFERROR(__xludf.DUMMYFUNCTION("""COMPUTED_VALUE"""),1707.0)</f>
        <v>1707</v>
      </c>
      <c r="B1709" s="13">
        <f>IFERROR(__xludf.DUMMYFUNCTION("""COMPUTED_VALUE"""),862.0)</f>
        <v>862</v>
      </c>
      <c r="C1709" s="13">
        <f>IFERROR(__xludf.DUMMYFUNCTION("""COMPUTED_VALUE"""),36.0)</f>
        <v>36</v>
      </c>
      <c r="D1709" s="12"/>
      <c r="E1709" s="12" t="str">
        <f>IFERROR(__xludf.DUMMYFUNCTION("""COMPUTED_VALUE"""),"Adore the rust color in this top. very pretty rust color. would go with a lot of stuff. my only small pet peeve with the shirt is the opening under the hook and eye. i have been wearing a seamless tank underneath. but everything else about the blouse fits"&amp;" so perfect, drapes nicely that i think the opening is a minor thing that a tank top can fix. beautiful on. felt that it fit tts. i'm usually a 34b, got an xs in this top.")</f>
        <v>Adore the rust color in this top. very pretty rust color. would go with a lot of stuff. my only small pet peeve with the shirt is the opening under the hook and eye. i have been wearing a seamless tank underneath. but everything else about the blouse fits so perfect, drapes nicely that i think the opening is a minor thing that a tank top can fix. beautiful on. felt that it fit tts. i'm usually a 34b, got an xs in this top.</v>
      </c>
      <c r="F1709" s="13">
        <f>IFERROR(__xludf.DUMMYFUNCTION("""COMPUTED_VALUE"""),5.0)</f>
        <v>5</v>
      </c>
      <c r="G1709" s="13">
        <f>IFERROR(__xludf.DUMMYFUNCTION("""COMPUTED_VALUE"""),1.0)</f>
        <v>1</v>
      </c>
      <c r="H1709" s="13">
        <f>IFERROR(__xludf.DUMMYFUNCTION("""COMPUTED_VALUE"""),3.0)</f>
        <v>3</v>
      </c>
      <c r="I1709" s="13" t="str">
        <f>IFERROR(__xludf.DUMMYFUNCTION("""COMPUTED_VALUE"""),"General")</f>
        <v>General</v>
      </c>
      <c r="J1709" s="13" t="str">
        <f>IFERROR(__xludf.DUMMYFUNCTION("""COMPUTED_VALUE"""),"Tops")</f>
        <v>Tops</v>
      </c>
      <c r="K1709" s="13" t="str">
        <f>IFERROR(__xludf.DUMMYFUNCTION("""COMPUTED_VALUE"""),"Knits")</f>
        <v>Knits</v>
      </c>
      <c r="L1709" s="13"/>
    </row>
    <row r="1710">
      <c r="A1710" s="13">
        <f>IFERROR(__xludf.DUMMYFUNCTION("""COMPUTED_VALUE"""),1708.0)</f>
        <v>1708</v>
      </c>
      <c r="B1710" s="13">
        <f>IFERROR(__xludf.DUMMYFUNCTION("""COMPUTED_VALUE"""),899.0)</f>
        <v>899</v>
      </c>
      <c r="C1710" s="13">
        <f>IFERROR(__xludf.DUMMYFUNCTION("""COMPUTED_VALUE"""),28.0)</f>
        <v>28</v>
      </c>
      <c r="D1710" s="12" t="str">
        <f>IFERROR(__xludf.DUMMYFUNCTION("""COMPUTED_VALUE"""),"Darker in person")</f>
        <v>Darker in person</v>
      </c>
      <c r="E1710" s="12" t="str">
        <f>IFERROR(__xludf.DUMMYFUNCTION("""COMPUTED_VALUE"""),"This sweater is thicker and darker than it appears online. i thought it would be more of a blush color, but it's more dark gray and brown. it wasn't that flattering on me as a cardigan. looked a little cuter all buttoned up, but ultimately i am not keepin"&amp;"g because of the color.")</f>
        <v>This sweater is thicker and darker than it appears online. i thought it would be more of a blush color, but it's more dark gray and brown. it wasn't that flattering on me as a cardigan. looked a little cuter all buttoned up, but ultimately i am not keeping because of the color.</v>
      </c>
      <c r="F1710" s="13">
        <f>IFERROR(__xludf.DUMMYFUNCTION("""COMPUTED_VALUE"""),3.0)</f>
        <v>3</v>
      </c>
      <c r="G1710" s="13">
        <f>IFERROR(__xludf.DUMMYFUNCTION("""COMPUTED_VALUE"""),0.0)</f>
        <v>0</v>
      </c>
      <c r="H1710" s="13">
        <f>IFERROR(__xludf.DUMMYFUNCTION("""COMPUTED_VALUE"""),0.0)</f>
        <v>0</v>
      </c>
      <c r="I1710" s="13" t="str">
        <f>IFERROR(__xludf.DUMMYFUNCTION("""COMPUTED_VALUE"""),"General Petite")</f>
        <v>General Petite</v>
      </c>
      <c r="J1710" s="13" t="str">
        <f>IFERROR(__xludf.DUMMYFUNCTION("""COMPUTED_VALUE"""),"Tops")</f>
        <v>Tops</v>
      </c>
      <c r="K1710" s="13" t="str">
        <f>IFERROR(__xludf.DUMMYFUNCTION("""COMPUTED_VALUE"""),"Fine gauge")</f>
        <v>Fine gauge</v>
      </c>
      <c r="L1710" s="13"/>
    </row>
    <row r="1711">
      <c r="A1711" s="13">
        <f>IFERROR(__xludf.DUMMYFUNCTION("""COMPUTED_VALUE"""),1709.0)</f>
        <v>1709</v>
      </c>
      <c r="B1711" s="13">
        <f>IFERROR(__xludf.DUMMYFUNCTION("""COMPUTED_VALUE"""),899.0)</f>
        <v>899</v>
      </c>
      <c r="C1711" s="13">
        <f>IFERROR(__xludf.DUMMYFUNCTION("""COMPUTED_VALUE"""),53.0)</f>
        <v>53</v>
      </c>
      <c r="D1711" s="12" t="str">
        <f>IFERROR(__xludf.DUMMYFUNCTION("""COMPUTED_VALUE"""),"Capsule wardrobe staple")</f>
        <v>Capsule wardrobe staple</v>
      </c>
      <c r="E1711" s="12" t="str">
        <f>IFERROR(__xludf.DUMMYFUNCTION("""COMPUTED_VALUE"""),"I like to have a capsule wardrobe for all seasons so that when i travel, or just for everyday, i have a multitude of options with a few good quality pieces. i am not a fan of 'dry clean only' items, so anything that i can find that i can at least hand was"&amp;"h with good results and is within my color palette and sense of style is always a great find. this light weight cardi can work for multiple seasons easily, it is a tad boxy, but it actually works for me (5'4, 34c, 125 lbs) i can wear it with a c")</f>
        <v>I like to have a capsule wardrobe for all seasons so that when i travel, or just for everyday, i have a multitude of options with a few good quality pieces. i am not a fan of 'dry clean only' items, so anything that i can find that i can at least hand wash with good results and is within my color palette and sense of style is always a great find. this light weight cardi can work for multiple seasons easily, it is a tad boxy, but it actually works for me (5'4, 34c, 125 lbs) i can wear it with a c</v>
      </c>
      <c r="F1711" s="13">
        <f>IFERROR(__xludf.DUMMYFUNCTION("""COMPUTED_VALUE"""),5.0)</f>
        <v>5</v>
      </c>
      <c r="G1711" s="13">
        <f>IFERROR(__xludf.DUMMYFUNCTION("""COMPUTED_VALUE"""),1.0)</f>
        <v>1</v>
      </c>
      <c r="H1711" s="13">
        <f>IFERROR(__xludf.DUMMYFUNCTION("""COMPUTED_VALUE"""),1.0)</f>
        <v>1</v>
      </c>
      <c r="I1711" s="13" t="str">
        <f>IFERROR(__xludf.DUMMYFUNCTION("""COMPUTED_VALUE"""),"General Petite")</f>
        <v>General Petite</v>
      </c>
      <c r="J1711" s="13" t="str">
        <f>IFERROR(__xludf.DUMMYFUNCTION("""COMPUTED_VALUE"""),"Tops")</f>
        <v>Tops</v>
      </c>
      <c r="K1711" s="13" t="str">
        <f>IFERROR(__xludf.DUMMYFUNCTION("""COMPUTED_VALUE"""),"Fine gauge")</f>
        <v>Fine gauge</v>
      </c>
      <c r="L1711" s="13"/>
    </row>
    <row r="1712">
      <c r="A1712" s="13">
        <f>IFERROR(__xludf.DUMMYFUNCTION("""COMPUTED_VALUE"""),1710.0)</f>
        <v>1710</v>
      </c>
      <c r="B1712" s="13">
        <f>IFERROR(__xludf.DUMMYFUNCTION("""COMPUTED_VALUE"""),398.0)</f>
        <v>398</v>
      </c>
      <c r="C1712" s="13">
        <f>IFERROR(__xludf.DUMMYFUNCTION("""COMPUTED_VALUE"""),30.0)</f>
        <v>30</v>
      </c>
      <c r="D1712" s="12" t="str">
        <f>IFERROR(__xludf.DUMMYFUNCTION("""COMPUTED_VALUE"""),"Relaxed fit")</f>
        <v>Relaxed fit</v>
      </c>
      <c r="E1712" s="12" t="str">
        <f>IFERROR(__xludf.DUMMYFUNCTION("""COMPUTED_VALUE"""),"This sweater is far more slouchy and relaxed in fit than in it seems in the photograph. definitely size down. honestly, i kinda love it anyways! the inside is so very soft, and it's perfect for a sleek errand-running or hiking kind of day!")</f>
        <v>This sweater is far more slouchy and relaxed in fit than in it seems in the photograph. definitely size down. honestly, i kinda love it anyways! the inside is so very soft, and it's perfect for a sleek errand-running or hiking kind of day!</v>
      </c>
      <c r="F1712" s="13">
        <f>IFERROR(__xludf.DUMMYFUNCTION("""COMPUTED_VALUE"""),4.0)</f>
        <v>4</v>
      </c>
      <c r="G1712" s="13">
        <f>IFERROR(__xludf.DUMMYFUNCTION("""COMPUTED_VALUE"""),1.0)</f>
        <v>1</v>
      </c>
      <c r="H1712" s="13">
        <f>IFERROR(__xludf.DUMMYFUNCTION("""COMPUTED_VALUE"""),2.0)</f>
        <v>2</v>
      </c>
      <c r="I1712" s="13" t="str">
        <f>IFERROR(__xludf.DUMMYFUNCTION("""COMPUTED_VALUE"""),"Initmates")</f>
        <v>Initmates</v>
      </c>
      <c r="J1712" s="13" t="str">
        <f>IFERROR(__xludf.DUMMYFUNCTION("""COMPUTED_VALUE"""),"Intimate")</f>
        <v>Intimate</v>
      </c>
      <c r="K1712" s="13" t="str">
        <f>IFERROR(__xludf.DUMMYFUNCTION("""COMPUTED_VALUE"""),"Lounge")</f>
        <v>Lounge</v>
      </c>
      <c r="L1712" s="13"/>
    </row>
    <row r="1713">
      <c r="A1713" s="13">
        <f>IFERROR(__xludf.DUMMYFUNCTION("""COMPUTED_VALUE"""),1711.0)</f>
        <v>1711</v>
      </c>
      <c r="B1713" s="13">
        <f>IFERROR(__xludf.DUMMYFUNCTION("""COMPUTED_VALUE"""),970.0)</f>
        <v>970</v>
      </c>
      <c r="C1713" s="13">
        <f>IFERROR(__xludf.DUMMYFUNCTION("""COMPUTED_VALUE"""),37.0)</f>
        <v>37</v>
      </c>
      <c r="D1713" s="12" t="str">
        <f>IFERROR(__xludf.DUMMYFUNCTION("""COMPUTED_VALUE"""),"Soft and flattering")</f>
        <v>Soft and flattering</v>
      </c>
      <c r="E1713" s="12" t="str">
        <f>IFERROR(__xludf.DUMMYFUNCTION("""COMPUTED_VALUE"""),"This is a cute work jacket, as well as paired with jeans.  flattering. very soft.  only con is this is thick with a soft cotton lining, so not great for summer in az, but will get plenty of use this fall. typically 6-8 on the top, i went with medium.  not"&amp;" tight in the arms as other reviewer noted.")</f>
        <v>This is a cute work jacket, as well as paired with jeans.  flattering. very soft.  only con is this is thick with a soft cotton lining, so not great for summer in az, but will get plenty of use this fall. typically 6-8 on the top, i went with medium.  not tight in the arms as other reviewer noted.</v>
      </c>
      <c r="F1713" s="13">
        <f>IFERROR(__xludf.DUMMYFUNCTION("""COMPUTED_VALUE"""),5.0)</f>
        <v>5</v>
      </c>
      <c r="G1713" s="13">
        <f>IFERROR(__xludf.DUMMYFUNCTION("""COMPUTED_VALUE"""),1.0)</f>
        <v>1</v>
      </c>
      <c r="H1713" s="13">
        <f>IFERROR(__xludf.DUMMYFUNCTION("""COMPUTED_VALUE"""),1.0)</f>
        <v>1</v>
      </c>
      <c r="I1713" s="13" t="str">
        <f>IFERROR(__xludf.DUMMYFUNCTION("""COMPUTED_VALUE"""),"General")</f>
        <v>General</v>
      </c>
      <c r="J1713" s="13" t="str">
        <f>IFERROR(__xludf.DUMMYFUNCTION("""COMPUTED_VALUE"""),"Jackets")</f>
        <v>Jackets</v>
      </c>
      <c r="K1713" s="13" t="str">
        <f>IFERROR(__xludf.DUMMYFUNCTION("""COMPUTED_VALUE"""),"Jackets")</f>
        <v>Jackets</v>
      </c>
      <c r="L1713" s="13"/>
    </row>
    <row r="1714">
      <c r="A1714" s="13">
        <f>IFERROR(__xludf.DUMMYFUNCTION("""COMPUTED_VALUE"""),1712.0)</f>
        <v>1712</v>
      </c>
      <c r="B1714" s="13">
        <f>IFERROR(__xludf.DUMMYFUNCTION("""COMPUTED_VALUE"""),860.0)</f>
        <v>860</v>
      </c>
      <c r="C1714" s="13">
        <f>IFERROR(__xludf.DUMMYFUNCTION("""COMPUTED_VALUE"""),53.0)</f>
        <v>53</v>
      </c>
      <c r="D1714" s="12" t="str">
        <f>IFERROR(__xludf.DUMMYFUNCTION("""COMPUTED_VALUE"""),"Great all around top")</f>
        <v>Great all around top</v>
      </c>
      <c r="E1714" s="12" t="str">
        <f>IFERROR(__xludf.DUMMYFUNCTION("""COMPUTED_VALUE"""),"I have this top in orange and white. it is a great top to throw on with jeans. don't put it in the dryer, will shrink.")</f>
        <v>I have this top in orange and white. it is a great top to throw on with jeans. don't put it in the dryer, will shrink.</v>
      </c>
      <c r="F1714" s="13">
        <f>IFERROR(__xludf.DUMMYFUNCTION("""COMPUTED_VALUE"""),4.0)</f>
        <v>4</v>
      </c>
      <c r="G1714" s="13">
        <f>IFERROR(__xludf.DUMMYFUNCTION("""COMPUTED_VALUE"""),1.0)</f>
        <v>1</v>
      </c>
      <c r="H1714" s="13">
        <f>IFERROR(__xludf.DUMMYFUNCTION("""COMPUTED_VALUE"""),0.0)</f>
        <v>0</v>
      </c>
      <c r="I1714" s="13" t="str">
        <f>IFERROR(__xludf.DUMMYFUNCTION("""COMPUTED_VALUE"""),"General Petite")</f>
        <v>General Petite</v>
      </c>
      <c r="J1714" s="13" t="str">
        <f>IFERROR(__xludf.DUMMYFUNCTION("""COMPUTED_VALUE"""),"Tops")</f>
        <v>Tops</v>
      </c>
      <c r="K1714" s="13" t="str">
        <f>IFERROR(__xludf.DUMMYFUNCTION("""COMPUTED_VALUE"""),"Knits")</f>
        <v>Knits</v>
      </c>
      <c r="L1714" s="13"/>
    </row>
    <row r="1715">
      <c r="A1715" s="13">
        <f>IFERROR(__xludf.DUMMYFUNCTION("""COMPUTED_VALUE"""),1713.0)</f>
        <v>1713</v>
      </c>
      <c r="B1715" s="13">
        <f>IFERROR(__xludf.DUMMYFUNCTION("""COMPUTED_VALUE"""),964.0)</f>
        <v>964</v>
      </c>
      <c r="C1715" s="13">
        <f>IFERROR(__xludf.DUMMYFUNCTION("""COMPUTED_VALUE"""),71.0)</f>
        <v>71</v>
      </c>
      <c r="D1715" s="12" t="str">
        <f>IFERROR(__xludf.DUMMYFUNCTION("""COMPUTED_VALUE"""),"The best layering piece")</f>
        <v>The best layering piece</v>
      </c>
      <c r="E1715" s="12" t="str">
        <f>IFERROR(__xludf.DUMMYFUNCTION("""COMPUTED_VALUE"""),"This vest is perfect. it is a great layering piece to be worn with jeans, slacks or a skirt. it has a substantial weight without being restrictive. i made the purchase based on the other positive reviews and it was ""love at first sight.""")</f>
        <v>This vest is perfect. it is a great layering piece to be worn with jeans, slacks or a skirt. it has a substantial weight without being restrictive. i made the purchase based on the other positive reviews and it was "love at first sight."</v>
      </c>
      <c r="F1715" s="13">
        <f>IFERROR(__xludf.DUMMYFUNCTION("""COMPUTED_VALUE"""),5.0)</f>
        <v>5</v>
      </c>
      <c r="G1715" s="13">
        <f>IFERROR(__xludf.DUMMYFUNCTION("""COMPUTED_VALUE"""),1.0)</f>
        <v>1</v>
      </c>
      <c r="H1715" s="13">
        <f>IFERROR(__xludf.DUMMYFUNCTION("""COMPUTED_VALUE"""),6.0)</f>
        <v>6</v>
      </c>
      <c r="I1715" s="13" t="str">
        <f>IFERROR(__xludf.DUMMYFUNCTION("""COMPUTED_VALUE"""),"General Petite")</f>
        <v>General Petite</v>
      </c>
      <c r="J1715" s="13" t="str">
        <f>IFERROR(__xludf.DUMMYFUNCTION("""COMPUTED_VALUE"""),"Jackets")</f>
        <v>Jackets</v>
      </c>
      <c r="K1715" s="13" t="str">
        <f>IFERROR(__xludf.DUMMYFUNCTION("""COMPUTED_VALUE"""),"Jackets")</f>
        <v>Jackets</v>
      </c>
      <c r="L1715" s="13"/>
    </row>
    <row r="1716">
      <c r="A1716" s="13">
        <f>IFERROR(__xludf.DUMMYFUNCTION("""COMPUTED_VALUE"""),1714.0)</f>
        <v>1714</v>
      </c>
      <c r="B1716" s="13">
        <f>IFERROR(__xludf.DUMMYFUNCTION("""COMPUTED_VALUE"""),862.0)</f>
        <v>862</v>
      </c>
      <c r="C1716" s="13">
        <f>IFERROR(__xludf.DUMMYFUNCTION("""COMPUTED_VALUE"""),59.0)</f>
        <v>59</v>
      </c>
      <c r="D1716" s="12" t="str">
        <f>IFERROR(__xludf.DUMMYFUNCTION("""COMPUTED_VALUE"""),"Cute shirt")</f>
        <v>Cute shirt</v>
      </c>
      <c r="E1716" s="12" t="str">
        <f>IFERROR(__xludf.DUMMYFUNCTION("""COMPUTED_VALUE"""),"The material is more like a great tee for the sleeves and the back, so it is so comfortable. i agree with the previous review, i am not thrilled about the hook and eye, but it still looks cute with a tank under it. i bought it in black and i am ordering i"&amp;"t as well in white. it looks great with skinny jeans or pants.")</f>
        <v>The material is more like a great tee for the sleeves and the back, so it is so comfortable. i agree with the previous review, i am not thrilled about the hook and eye, but it still looks cute with a tank under it. i bought it in black and i am ordering it as well in white. it looks great with skinny jeans or pants.</v>
      </c>
      <c r="F1716" s="13">
        <f>IFERROR(__xludf.DUMMYFUNCTION("""COMPUTED_VALUE"""),5.0)</f>
        <v>5</v>
      </c>
      <c r="G1716" s="13">
        <f>IFERROR(__xludf.DUMMYFUNCTION("""COMPUTED_VALUE"""),1.0)</f>
        <v>1</v>
      </c>
      <c r="H1716" s="13">
        <f>IFERROR(__xludf.DUMMYFUNCTION("""COMPUTED_VALUE"""),0.0)</f>
        <v>0</v>
      </c>
      <c r="I1716" s="13" t="str">
        <f>IFERROR(__xludf.DUMMYFUNCTION("""COMPUTED_VALUE"""),"General")</f>
        <v>General</v>
      </c>
      <c r="J1716" s="13" t="str">
        <f>IFERROR(__xludf.DUMMYFUNCTION("""COMPUTED_VALUE"""),"Tops")</f>
        <v>Tops</v>
      </c>
      <c r="K1716" s="13" t="str">
        <f>IFERROR(__xludf.DUMMYFUNCTION("""COMPUTED_VALUE"""),"Knits")</f>
        <v>Knits</v>
      </c>
      <c r="L1716" s="13"/>
    </row>
    <row r="1717">
      <c r="A1717" s="13">
        <f>IFERROR(__xludf.DUMMYFUNCTION("""COMPUTED_VALUE"""),1715.0)</f>
        <v>1715</v>
      </c>
      <c r="B1717" s="13">
        <f>IFERROR(__xludf.DUMMYFUNCTION("""COMPUTED_VALUE"""),225.0)</f>
        <v>225</v>
      </c>
      <c r="C1717" s="13">
        <f>IFERROR(__xludf.DUMMYFUNCTION("""COMPUTED_VALUE"""),41.0)</f>
        <v>41</v>
      </c>
      <c r="D1717" s="12"/>
      <c r="E1717" s="12" t="str">
        <f>IFERROR(__xludf.DUMMYFUNCTION("""COMPUTED_VALUE"""),"Such cute tights! i saw them and had to have them. they are a thick knit - very good quality. the color is a dark navy and the little foxes and a nice pop of color. i get lots of compliments on them.")</f>
        <v>Such cute tights! i saw them and had to have them. they are a thick knit - very good quality. the color is a dark navy and the little foxes and a nice pop of color. i get lots of compliments on them.</v>
      </c>
      <c r="F1717" s="13">
        <f>IFERROR(__xludf.DUMMYFUNCTION("""COMPUTED_VALUE"""),5.0)</f>
        <v>5</v>
      </c>
      <c r="G1717" s="13">
        <f>IFERROR(__xludf.DUMMYFUNCTION("""COMPUTED_VALUE"""),1.0)</f>
        <v>1</v>
      </c>
      <c r="H1717" s="13">
        <f>IFERROR(__xludf.DUMMYFUNCTION("""COMPUTED_VALUE"""),1.0)</f>
        <v>1</v>
      </c>
      <c r="I1717" s="13" t="str">
        <f>IFERROR(__xludf.DUMMYFUNCTION("""COMPUTED_VALUE"""),"Initmates")</f>
        <v>Initmates</v>
      </c>
      <c r="J1717" s="13" t="str">
        <f>IFERROR(__xludf.DUMMYFUNCTION("""COMPUTED_VALUE"""),"Intimate")</f>
        <v>Intimate</v>
      </c>
      <c r="K1717" s="13" t="str">
        <f>IFERROR(__xludf.DUMMYFUNCTION("""COMPUTED_VALUE"""),"Legwear")</f>
        <v>Legwear</v>
      </c>
      <c r="L1717" s="13"/>
    </row>
    <row r="1718">
      <c r="A1718" s="13">
        <f>IFERROR(__xludf.DUMMYFUNCTION("""COMPUTED_VALUE"""),1716.0)</f>
        <v>1716</v>
      </c>
      <c r="B1718" s="13">
        <f>IFERROR(__xludf.DUMMYFUNCTION("""COMPUTED_VALUE"""),899.0)</f>
        <v>899</v>
      </c>
      <c r="C1718" s="13">
        <f>IFERROR(__xludf.DUMMYFUNCTION("""COMPUTED_VALUE"""),54.0)</f>
        <v>54</v>
      </c>
      <c r="D1718" s="12" t="str">
        <f>IFERROR(__xludf.DUMMYFUNCTION("""COMPUTED_VALUE"""),"Cute sweater, runs large")</f>
        <v>Cute sweater, runs large</v>
      </c>
      <c r="E1718" s="12" t="str">
        <f>IFERROR(__xludf.DUMMYFUNCTION("""COMPUTED_VALUE"""),"This is a very cute, casual sweater. i originally ordered a size medium but i had to send it back because it was way too large all over. i recently received the size small and i'm going to keep it. it is still a roomy fit but the overall design of the swe"&amp;"ater is a relaxed fit. the color combination and texture of this sweater is lovely.")</f>
        <v>This is a very cute, casual sweater. i originally ordered a size medium but i had to send it back because it was way too large all over. i recently received the size small and i'm going to keep it. it is still a roomy fit but the overall design of the sweater is a relaxed fit. the color combination and texture of this sweater is lovely.</v>
      </c>
      <c r="F1718" s="13">
        <f>IFERROR(__xludf.DUMMYFUNCTION("""COMPUTED_VALUE"""),4.0)</f>
        <v>4</v>
      </c>
      <c r="G1718" s="13">
        <f>IFERROR(__xludf.DUMMYFUNCTION("""COMPUTED_VALUE"""),1.0)</f>
        <v>1</v>
      </c>
      <c r="H1718" s="13">
        <f>IFERROR(__xludf.DUMMYFUNCTION("""COMPUTED_VALUE"""),0.0)</f>
        <v>0</v>
      </c>
      <c r="I1718" s="13" t="str">
        <f>IFERROR(__xludf.DUMMYFUNCTION("""COMPUTED_VALUE"""),"General Petite")</f>
        <v>General Petite</v>
      </c>
      <c r="J1718" s="13" t="str">
        <f>IFERROR(__xludf.DUMMYFUNCTION("""COMPUTED_VALUE"""),"Tops")</f>
        <v>Tops</v>
      </c>
      <c r="K1718" s="13" t="str">
        <f>IFERROR(__xludf.DUMMYFUNCTION("""COMPUTED_VALUE"""),"Fine gauge")</f>
        <v>Fine gauge</v>
      </c>
      <c r="L1718" s="13"/>
    </row>
    <row r="1719">
      <c r="A1719" s="13">
        <f>IFERROR(__xludf.DUMMYFUNCTION("""COMPUTED_VALUE"""),1717.0)</f>
        <v>1717</v>
      </c>
      <c r="B1719" s="13">
        <f>IFERROR(__xludf.DUMMYFUNCTION("""COMPUTED_VALUE"""),860.0)</f>
        <v>860</v>
      </c>
      <c r="C1719" s="13">
        <f>IFERROR(__xludf.DUMMYFUNCTION("""COMPUTED_VALUE"""),39.0)</f>
        <v>39</v>
      </c>
      <c r="D1719" s="12"/>
      <c r="E1719" s="12"/>
      <c r="F1719" s="13">
        <f>IFERROR(__xludf.DUMMYFUNCTION("""COMPUTED_VALUE"""),5.0)</f>
        <v>5</v>
      </c>
      <c r="G1719" s="13">
        <f>IFERROR(__xludf.DUMMYFUNCTION("""COMPUTED_VALUE"""),1.0)</f>
        <v>1</v>
      </c>
      <c r="H1719" s="13">
        <f>IFERROR(__xludf.DUMMYFUNCTION("""COMPUTED_VALUE"""),0.0)</f>
        <v>0</v>
      </c>
      <c r="I1719" s="13" t="str">
        <f>IFERROR(__xludf.DUMMYFUNCTION("""COMPUTED_VALUE"""),"General Petite")</f>
        <v>General Petite</v>
      </c>
      <c r="J1719" s="13" t="str">
        <f>IFERROR(__xludf.DUMMYFUNCTION("""COMPUTED_VALUE"""),"Tops")</f>
        <v>Tops</v>
      </c>
      <c r="K1719" s="13" t="str">
        <f>IFERROR(__xludf.DUMMYFUNCTION("""COMPUTED_VALUE"""),"Knits")</f>
        <v>Knits</v>
      </c>
      <c r="L1719" s="13"/>
    </row>
    <row r="1720">
      <c r="A1720" s="13">
        <f>IFERROR(__xludf.DUMMYFUNCTION("""COMPUTED_VALUE"""),1718.0)</f>
        <v>1718</v>
      </c>
      <c r="B1720" s="13">
        <f>IFERROR(__xludf.DUMMYFUNCTION("""COMPUTED_VALUE"""),964.0)</f>
        <v>964</v>
      </c>
      <c r="C1720" s="13">
        <f>IFERROR(__xludf.DUMMYFUNCTION("""COMPUTED_VALUE"""),36.0)</f>
        <v>36</v>
      </c>
      <c r="D1720" s="12" t="str">
        <f>IFERROR(__xludf.DUMMYFUNCTION("""COMPUTED_VALUE"""),"The alternative to the green cargo jacket")</f>
        <v>The alternative to the green cargo jacket</v>
      </c>
      <c r="E1720" s="12" t="str">
        <f>IFERROR(__xludf.DUMMYFUNCTION("""COMPUTED_VALUE"""),"I love layering this over basic tees (or graphic ones like the wild west tee) - it adds just the right amount of edge. currently building my pin collection to add on (vintage turquoise and rock music to be exact).")</f>
        <v>I love layering this over basic tees (or graphic ones like the wild west tee) - it adds just the right amount of edge. currently building my pin collection to add on (vintage turquoise and rock music to be exact).</v>
      </c>
      <c r="F1720" s="13">
        <f>IFERROR(__xludf.DUMMYFUNCTION("""COMPUTED_VALUE"""),5.0)</f>
        <v>5</v>
      </c>
      <c r="G1720" s="13">
        <f>IFERROR(__xludf.DUMMYFUNCTION("""COMPUTED_VALUE"""),1.0)</f>
        <v>1</v>
      </c>
      <c r="H1720" s="13">
        <f>IFERROR(__xludf.DUMMYFUNCTION("""COMPUTED_VALUE"""),0.0)</f>
        <v>0</v>
      </c>
      <c r="I1720" s="13" t="str">
        <f>IFERROR(__xludf.DUMMYFUNCTION("""COMPUTED_VALUE"""),"General Petite")</f>
        <v>General Petite</v>
      </c>
      <c r="J1720" s="13" t="str">
        <f>IFERROR(__xludf.DUMMYFUNCTION("""COMPUTED_VALUE"""),"Jackets")</f>
        <v>Jackets</v>
      </c>
      <c r="K1720" s="13" t="str">
        <f>IFERROR(__xludf.DUMMYFUNCTION("""COMPUTED_VALUE"""),"Jackets")</f>
        <v>Jackets</v>
      </c>
      <c r="L1720" s="13"/>
    </row>
    <row r="1721">
      <c r="A1721" s="13">
        <f>IFERROR(__xludf.DUMMYFUNCTION("""COMPUTED_VALUE"""),1719.0)</f>
        <v>1719</v>
      </c>
      <c r="B1721" s="13">
        <f>IFERROR(__xludf.DUMMYFUNCTION("""COMPUTED_VALUE"""),899.0)</f>
        <v>899</v>
      </c>
      <c r="C1721" s="13">
        <f>IFERROR(__xludf.DUMMYFUNCTION("""COMPUTED_VALUE"""),53.0)</f>
        <v>53</v>
      </c>
      <c r="D1721" s="12" t="str">
        <f>IFERROR(__xludf.DUMMYFUNCTION("""COMPUTED_VALUE"""),"Classic and trendy")</f>
        <v>Classic and trendy</v>
      </c>
      <c r="E1721" s="12" t="str">
        <f>IFERROR(__xludf.DUMMYFUNCTION("""COMPUTED_VALUE"""),"Classic and stylish. trendy with the blocking...rich colors, soft and comfy. i typically wear s and s was perfect. i love this sweater.")</f>
        <v>Classic and stylish. trendy with the blocking...rich colors, soft and comfy. i typically wear s and s was perfect. i love this sweater.</v>
      </c>
      <c r="F1721" s="13">
        <f>IFERROR(__xludf.DUMMYFUNCTION("""COMPUTED_VALUE"""),5.0)</f>
        <v>5</v>
      </c>
      <c r="G1721" s="13">
        <f>IFERROR(__xludf.DUMMYFUNCTION("""COMPUTED_VALUE"""),1.0)</f>
        <v>1</v>
      </c>
      <c r="H1721" s="13">
        <f>IFERROR(__xludf.DUMMYFUNCTION("""COMPUTED_VALUE"""),0.0)</f>
        <v>0</v>
      </c>
      <c r="I1721" s="13" t="str">
        <f>IFERROR(__xludf.DUMMYFUNCTION("""COMPUTED_VALUE"""),"General Petite")</f>
        <v>General Petite</v>
      </c>
      <c r="J1721" s="13" t="str">
        <f>IFERROR(__xludf.DUMMYFUNCTION("""COMPUTED_VALUE"""),"Tops")</f>
        <v>Tops</v>
      </c>
      <c r="K1721" s="13" t="str">
        <f>IFERROR(__xludf.DUMMYFUNCTION("""COMPUTED_VALUE"""),"Fine gauge")</f>
        <v>Fine gauge</v>
      </c>
      <c r="L1721" s="13"/>
    </row>
    <row r="1722">
      <c r="A1722" s="13">
        <f>IFERROR(__xludf.DUMMYFUNCTION("""COMPUTED_VALUE"""),1720.0)</f>
        <v>1720</v>
      </c>
      <c r="B1722" s="13">
        <f>IFERROR(__xludf.DUMMYFUNCTION("""COMPUTED_VALUE"""),862.0)</f>
        <v>862</v>
      </c>
      <c r="C1722" s="13">
        <f>IFERROR(__xludf.DUMMYFUNCTION("""COMPUTED_VALUE"""),37.0)</f>
        <v>37</v>
      </c>
      <c r="D1722" s="12"/>
      <c r="E1722" s="12"/>
      <c r="F1722" s="13">
        <f>IFERROR(__xludf.DUMMYFUNCTION("""COMPUTED_VALUE"""),5.0)</f>
        <v>5</v>
      </c>
      <c r="G1722" s="13">
        <f>IFERROR(__xludf.DUMMYFUNCTION("""COMPUTED_VALUE"""),1.0)</f>
        <v>1</v>
      </c>
      <c r="H1722" s="13">
        <f>IFERROR(__xludf.DUMMYFUNCTION("""COMPUTED_VALUE"""),0.0)</f>
        <v>0</v>
      </c>
      <c r="I1722" s="13" t="str">
        <f>IFERROR(__xludf.DUMMYFUNCTION("""COMPUTED_VALUE"""),"General")</f>
        <v>General</v>
      </c>
      <c r="J1722" s="13" t="str">
        <f>IFERROR(__xludf.DUMMYFUNCTION("""COMPUTED_VALUE"""),"Tops")</f>
        <v>Tops</v>
      </c>
      <c r="K1722" s="13" t="str">
        <f>IFERROR(__xludf.DUMMYFUNCTION("""COMPUTED_VALUE"""),"Knits")</f>
        <v>Knits</v>
      </c>
      <c r="L1722" s="13"/>
    </row>
    <row r="1723">
      <c r="A1723" s="13">
        <f>IFERROR(__xludf.DUMMYFUNCTION("""COMPUTED_VALUE"""),1721.0)</f>
        <v>1721</v>
      </c>
      <c r="B1723" s="13">
        <f>IFERROR(__xludf.DUMMYFUNCTION("""COMPUTED_VALUE"""),225.0)</f>
        <v>225</v>
      </c>
      <c r="C1723" s="13">
        <f>IFERROR(__xludf.DUMMYFUNCTION("""COMPUTED_VALUE"""),38.0)</f>
        <v>38</v>
      </c>
      <c r="D1723" s="12" t="str">
        <f>IFERROR(__xludf.DUMMYFUNCTION("""COMPUTED_VALUE"""),"Need petite sizing")</f>
        <v>Need petite sizing</v>
      </c>
      <c r="E1723" s="12" t="str">
        <f>IFERROR(__xludf.DUMMYFUNCTION("""COMPUTED_VALUE"""),"These tights are so cute, but the sizing leaves much to be desired. i guess they are true to size since they are labeled s/m.
i'm 5'0"" with shorter legs than torso, and i suppose i'm lucky that i have muscular (read: large) quads/thighs to suck up some "&amp;"of the fabric, otherwise these might have just bunched up at my ankles.
the other thing i don't love about them is the feel of the fabric - it's more sweater-like (and not a soft sweater) than stretchy. maybe that was the intent, but i find tigh")</f>
        <v>These tights are so cute, but the sizing leaves much to be desired. i guess they are true to size since they are labeled s/m.
i'm 5'0" with shorter legs than torso, and i suppose i'm lucky that i have muscular (read: large) quads/thighs to suck up some of the fabric, otherwise these might have just bunched up at my ankles.
the other thing i don't love about them is the feel of the fabric - it's more sweater-like (and not a soft sweater) than stretchy. maybe that was the intent, but i find tigh</v>
      </c>
      <c r="F1723" s="13">
        <f>IFERROR(__xludf.DUMMYFUNCTION("""COMPUTED_VALUE"""),4.0)</f>
        <v>4</v>
      </c>
      <c r="G1723" s="13">
        <f>IFERROR(__xludf.DUMMYFUNCTION("""COMPUTED_VALUE"""),1.0)</f>
        <v>1</v>
      </c>
      <c r="H1723" s="13">
        <f>IFERROR(__xludf.DUMMYFUNCTION("""COMPUTED_VALUE"""),0.0)</f>
        <v>0</v>
      </c>
      <c r="I1723" s="13" t="str">
        <f>IFERROR(__xludf.DUMMYFUNCTION("""COMPUTED_VALUE"""),"Initmates")</f>
        <v>Initmates</v>
      </c>
      <c r="J1723" s="13" t="str">
        <f>IFERROR(__xludf.DUMMYFUNCTION("""COMPUTED_VALUE"""),"Intimate")</f>
        <v>Intimate</v>
      </c>
      <c r="K1723" s="13" t="str">
        <f>IFERROR(__xludf.DUMMYFUNCTION("""COMPUTED_VALUE"""),"Legwear")</f>
        <v>Legwear</v>
      </c>
      <c r="L1723" s="13"/>
    </row>
    <row r="1724">
      <c r="A1724" s="13">
        <f>IFERROR(__xludf.DUMMYFUNCTION("""COMPUTED_VALUE"""),1722.0)</f>
        <v>1722</v>
      </c>
      <c r="B1724" s="13">
        <f>IFERROR(__xludf.DUMMYFUNCTION("""COMPUTED_VALUE"""),895.0)</f>
        <v>895</v>
      </c>
      <c r="C1724" s="13">
        <f>IFERROR(__xludf.DUMMYFUNCTION("""COMPUTED_VALUE"""),30.0)</f>
        <v>30</v>
      </c>
      <c r="D1724" s="12"/>
      <c r="E1724" s="12" t="str">
        <f>IFERROR(__xludf.DUMMYFUNCTION("""COMPUTED_VALUE"""),"Nice fabric, great color, would be lovely ... on someone with a straight-and-narrow body type. for ladies with curves, take a pass--too much like maternity wear, and not in that elegantly slouchy kind of way. the straight-up ""is she or isn't she"" kind o"&amp;"f way.")</f>
        <v>Nice fabric, great color, would be lovely ... on someone with a straight-and-narrow body type. for ladies with curves, take a pass--too much like maternity wear, and not in that elegantly slouchy kind of way. the straight-up "is she or isn't she" kind of way.</v>
      </c>
      <c r="F1724" s="13">
        <f>IFERROR(__xludf.DUMMYFUNCTION("""COMPUTED_VALUE"""),2.0)</f>
        <v>2</v>
      </c>
      <c r="G1724" s="13">
        <f>IFERROR(__xludf.DUMMYFUNCTION("""COMPUTED_VALUE"""),0.0)</f>
        <v>0</v>
      </c>
      <c r="H1724" s="13">
        <f>IFERROR(__xludf.DUMMYFUNCTION("""COMPUTED_VALUE"""),0.0)</f>
        <v>0</v>
      </c>
      <c r="I1724" s="13" t="str">
        <f>IFERROR(__xludf.DUMMYFUNCTION("""COMPUTED_VALUE"""),"General")</f>
        <v>General</v>
      </c>
      <c r="J1724" s="13" t="str">
        <f>IFERROR(__xludf.DUMMYFUNCTION("""COMPUTED_VALUE"""),"Tops")</f>
        <v>Tops</v>
      </c>
      <c r="K1724" s="13" t="str">
        <f>IFERROR(__xludf.DUMMYFUNCTION("""COMPUTED_VALUE"""),"Fine gauge")</f>
        <v>Fine gauge</v>
      </c>
      <c r="L1724" s="13"/>
    </row>
    <row r="1725">
      <c r="A1725" s="13">
        <f>IFERROR(__xludf.DUMMYFUNCTION("""COMPUTED_VALUE"""),1723.0)</f>
        <v>1723</v>
      </c>
      <c r="B1725" s="13">
        <f>IFERROR(__xludf.DUMMYFUNCTION("""COMPUTED_VALUE"""),431.0)</f>
        <v>431</v>
      </c>
      <c r="C1725" s="13">
        <f>IFERROR(__xludf.DUMMYFUNCTION("""COMPUTED_VALUE"""),19.0)</f>
        <v>19</v>
      </c>
      <c r="D1725" s="12" t="str">
        <f>IFERROR(__xludf.DUMMYFUNCTION("""COMPUTED_VALUE"""),"Really cute")</f>
        <v>Really cute</v>
      </c>
      <c r="E1725" s="12" t="str">
        <f>IFERROR(__xludf.DUMMYFUNCTION("""COMPUTED_VALUE"""),"This bra is just as cute in person as it is in the pic! i can tell it's pretty well made and i love that it has a lot of little details like on the straps and the cute front-closure and lacy racerback. it also fits pretty true to size, which is a must for"&amp;" me because i often get bras that leave my boobs spilling out. however, this bra isn't the comfiest even though it looks like it would be pretty comfy in the picture.the style doesn't look too stiff or anything and the size i got isn't too tight")</f>
        <v>This bra is just as cute in person as it is in the pic! i can tell it's pretty well made and i love that it has a lot of little details like on the straps and the cute front-closure and lacy racerback. it also fits pretty true to size, which is a must for me because i often get bras that leave my boobs spilling out. however, this bra isn't the comfiest even though it looks like it would be pretty comfy in the picture.the style doesn't look too stiff or anything and the size i got isn't too tight</v>
      </c>
      <c r="F1725" s="13">
        <f>IFERROR(__xludf.DUMMYFUNCTION("""COMPUTED_VALUE"""),4.0)</f>
        <v>4</v>
      </c>
      <c r="G1725" s="13">
        <f>IFERROR(__xludf.DUMMYFUNCTION("""COMPUTED_VALUE"""),1.0)</f>
        <v>1</v>
      </c>
      <c r="H1725" s="13">
        <f>IFERROR(__xludf.DUMMYFUNCTION("""COMPUTED_VALUE"""),0.0)</f>
        <v>0</v>
      </c>
      <c r="I1725" s="13" t="str">
        <f>IFERROR(__xludf.DUMMYFUNCTION("""COMPUTED_VALUE"""),"Initmates")</f>
        <v>Initmates</v>
      </c>
      <c r="J1725" s="13" t="str">
        <f>IFERROR(__xludf.DUMMYFUNCTION("""COMPUTED_VALUE"""),"Intimate")</f>
        <v>Intimate</v>
      </c>
      <c r="K1725" s="13" t="str">
        <f>IFERROR(__xludf.DUMMYFUNCTION("""COMPUTED_VALUE"""),"Intimates")</f>
        <v>Intimates</v>
      </c>
      <c r="L1725" s="13"/>
    </row>
    <row r="1726">
      <c r="A1726" s="13">
        <f>IFERROR(__xludf.DUMMYFUNCTION("""COMPUTED_VALUE"""),1724.0)</f>
        <v>1724</v>
      </c>
      <c r="B1726" s="13">
        <f>IFERROR(__xludf.DUMMYFUNCTION("""COMPUTED_VALUE"""),862.0)</f>
        <v>862</v>
      </c>
      <c r="C1726" s="13">
        <f>IFERROR(__xludf.DUMMYFUNCTION("""COMPUTED_VALUE"""),35.0)</f>
        <v>35</v>
      </c>
      <c r="D1726" s="12" t="str">
        <f>IFERROR(__xludf.DUMMYFUNCTION("""COMPUTED_VALUE"""),"Love this top")</f>
        <v>Love this top</v>
      </c>
      <c r="E1726" s="12" t="str">
        <f>IFERROR(__xludf.DUMMYFUNCTION("""COMPUTED_VALUE"""),"I love this top!!! i just had a baby and it is difficult to balance classy with comfortable with out looking sloppy. this top is perfect. it may run a tiny bit big but for the most part it is true to size. great for busty girls (36dd).")</f>
        <v>I love this top!!! i just had a baby and it is difficult to balance classy with comfortable with out looking sloppy. this top is perfect. it may run a tiny bit big but for the most part it is true to size. great for busty girls (36dd).</v>
      </c>
      <c r="F1726" s="13">
        <f>IFERROR(__xludf.DUMMYFUNCTION("""COMPUTED_VALUE"""),5.0)</f>
        <v>5</v>
      </c>
      <c r="G1726" s="13">
        <f>IFERROR(__xludf.DUMMYFUNCTION("""COMPUTED_VALUE"""),1.0)</f>
        <v>1</v>
      </c>
      <c r="H1726" s="13">
        <f>IFERROR(__xludf.DUMMYFUNCTION("""COMPUTED_VALUE"""),0.0)</f>
        <v>0</v>
      </c>
      <c r="I1726" s="13" t="str">
        <f>IFERROR(__xludf.DUMMYFUNCTION("""COMPUTED_VALUE"""),"General")</f>
        <v>General</v>
      </c>
      <c r="J1726" s="13" t="str">
        <f>IFERROR(__xludf.DUMMYFUNCTION("""COMPUTED_VALUE"""),"Tops")</f>
        <v>Tops</v>
      </c>
      <c r="K1726" s="13" t="str">
        <f>IFERROR(__xludf.DUMMYFUNCTION("""COMPUTED_VALUE"""),"Knits")</f>
        <v>Knits</v>
      </c>
      <c r="L1726" s="13"/>
    </row>
    <row r="1727">
      <c r="A1727" s="13">
        <f>IFERROR(__xludf.DUMMYFUNCTION("""COMPUTED_VALUE"""),1725.0)</f>
        <v>1725</v>
      </c>
      <c r="B1727" s="13">
        <f>IFERROR(__xludf.DUMMYFUNCTION("""COMPUTED_VALUE"""),831.0)</f>
        <v>831</v>
      </c>
      <c r="C1727" s="13">
        <f>IFERROR(__xludf.DUMMYFUNCTION("""COMPUTED_VALUE"""),48.0)</f>
        <v>48</v>
      </c>
      <c r="D1727" s="12" t="str">
        <f>IFERROR(__xludf.DUMMYFUNCTION("""COMPUTED_VALUE"""),"Bright and airy!")</f>
        <v>Bright and airy!</v>
      </c>
      <c r="E1727" s="12" t="str">
        <f>IFERROR(__xludf.DUMMYFUNCTION("""COMPUTED_VALUE"""),"The color of this top is a bit more vibrant than online. material is light, but i can wear a beige bra underneath and not need a cami. fit was true to size for me and detail at the neckline is flattering. a keeper for me!")</f>
        <v>The color of this top is a bit more vibrant than online. material is light, but i can wear a beige bra underneath and not need a cami. fit was true to size for me and detail at the neckline is flattering. a keeper for me!</v>
      </c>
      <c r="F1727" s="13">
        <f>IFERROR(__xludf.DUMMYFUNCTION("""COMPUTED_VALUE"""),5.0)</f>
        <v>5</v>
      </c>
      <c r="G1727" s="13">
        <f>IFERROR(__xludf.DUMMYFUNCTION("""COMPUTED_VALUE"""),1.0)</f>
        <v>1</v>
      </c>
      <c r="H1727" s="13">
        <f>IFERROR(__xludf.DUMMYFUNCTION("""COMPUTED_VALUE"""),3.0)</f>
        <v>3</v>
      </c>
      <c r="I1727" s="13" t="str">
        <f>IFERROR(__xludf.DUMMYFUNCTION("""COMPUTED_VALUE"""),"General")</f>
        <v>General</v>
      </c>
      <c r="J1727" s="13" t="str">
        <f>IFERROR(__xludf.DUMMYFUNCTION("""COMPUTED_VALUE"""),"Tops")</f>
        <v>Tops</v>
      </c>
      <c r="K1727" s="13" t="str">
        <f>IFERROR(__xludf.DUMMYFUNCTION("""COMPUTED_VALUE"""),"Blouses")</f>
        <v>Blouses</v>
      </c>
      <c r="L1727" s="13"/>
    </row>
    <row r="1728">
      <c r="A1728" s="13">
        <f>IFERROR(__xludf.DUMMYFUNCTION("""COMPUTED_VALUE"""),1726.0)</f>
        <v>1726</v>
      </c>
      <c r="B1728" s="13">
        <f>IFERROR(__xludf.DUMMYFUNCTION("""COMPUTED_VALUE"""),899.0)</f>
        <v>899</v>
      </c>
      <c r="C1728" s="13">
        <f>IFERROR(__xludf.DUMMYFUNCTION("""COMPUTED_VALUE"""),65.0)</f>
        <v>65</v>
      </c>
      <c r="D1728" s="12" t="str">
        <f>IFERROR(__xludf.DUMMYFUNCTION("""COMPUTED_VALUE"""),"Cute little cardi")</f>
        <v>Cute little cardi</v>
      </c>
      <c r="E1728" s="12" t="str">
        <f>IFERROR(__xludf.DUMMYFUNCTION("""COMPUTED_VALUE"""),"I had to have this when i saw it in a store. i was drawn to the shape and the neutral colors. i wore it for the first time today with a black tank. on me it looks best unbuttoned. it looks good with pants. the small fit best although the arms are a little"&amp;" tight at the upper arms. i have muscles so i don't think i could wear it with any top with sleeves.")</f>
        <v>I had to have this when i saw it in a store. i was drawn to the shape and the neutral colors. i wore it for the first time today with a black tank. on me it looks best unbuttoned. it looks good with pants. the small fit best although the arms are a little tight at the upper arms. i have muscles so i don't think i could wear it with any top with sleeves.</v>
      </c>
      <c r="F1728" s="13">
        <f>IFERROR(__xludf.DUMMYFUNCTION("""COMPUTED_VALUE"""),5.0)</f>
        <v>5</v>
      </c>
      <c r="G1728" s="13">
        <f>IFERROR(__xludf.DUMMYFUNCTION("""COMPUTED_VALUE"""),1.0)</f>
        <v>1</v>
      </c>
      <c r="H1728" s="13">
        <f>IFERROR(__xludf.DUMMYFUNCTION("""COMPUTED_VALUE"""),0.0)</f>
        <v>0</v>
      </c>
      <c r="I1728" s="13" t="str">
        <f>IFERROR(__xludf.DUMMYFUNCTION("""COMPUTED_VALUE"""),"General Petite")</f>
        <v>General Petite</v>
      </c>
      <c r="J1728" s="13" t="str">
        <f>IFERROR(__xludf.DUMMYFUNCTION("""COMPUTED_VALUE"""),"Tops")</f>
        <v>Tops</v>
      </c>
      <c r="K1728" s="13" t="str">
        <f>IFERROR(__xludf.DUMMYFUNCTION("""COMPUTED_VALUE"""),"Fine gauge")</f>
        <v>Fine gauge</v>
      </c>
      <c r="L1728" s="13"/>
    </row>
    <row r="1729">
      <c r="A1729" s="13">
        <f>IFERROR(__xludf.DUMMYFUNCTION("""COMPUTED_VALUE"""),1727.0)</f>
        <v>1727</v>
      </c>
      <c r="B1729" s="13">
        <f>IFERROR(__xludf.DUMMYFUNCTION("""COMPUTED_VALUE"""),860.0)</f>
        <v>860</v>
      </c>
      <c r="C1729" s="13">
        <f>IFERROR(__xludf.DUMMYFUNCTION("""COMPUTED_VALUE"""),45.0)</f>
        <v>45</v>
      </c>
      <c r="D1729" s="12" t="str">
        <f>IFERROR(__xludf.DUMMYFUNCTION("""COMPUTED_VALUE"""),"Color")</f>
        <v>Color</v>
      </c>
      <c r="E1729" s="12" t="str">
        <f>IFERROR(__xludf.DUMMYFUNCTION("""COMPUTED_VALUE"""),"The color is as pictured, like a deep coral. very comfy and great drape.")</f>
        <v>The color is as pictured, like a deep coral. very comfy and great drape.</v>
      </c>
      <c r="F1729" s="13">
        <f>IFERROR(__xludf.DUMMYFUNCTION("""COMPUTED_VALUE"""),5.0)</f>
        <v>5</v>
      </c>
      <c r="G1729" s="13">
        <f>IFERROR(__xludf.DUMMYFUNCTION("""COMPUTED_VALUE"""),1.0)</f>
        <v>1</v>
      </c>
      <c r="H1729" s="13">
        <f>IFERROR(__xludf.DUMMYFUNCTION("""COMPUTED_VALUE"""),4.0)</f>
        <v>4</v>
      </c>
      <c r="I1729" s="13" t="str">
        <f>IFERROR(__xludf.DUMMYFUNCTION("""COMPUTED_VALUE"""),"General Petite")</f>
        <v>General Petite</v>
      </c>
      <c r="J1729" s="13" t="str">
        <f>IFERROR(__xludf.DUMMYFUNCTION("""COMPUTED_VALUE"""),"Tops")</f>
        <v>Tops</v>
      </c>
      <c r="K1729" s="13" t="str">
        <f>IFERROR(__xludf.DUMMYFUNCTION("""COMPUTED_VALUE"""),"Knits")</f>
        <v>Knits</v>
      </c>
      <c r="L1729" s="13"/>
    </row>
    <row r="1730">
      <c r="A1730" s="13">
        <f>IFERROR(__xludf.DUMMYFUNCTION("""COMPUTED_VALUE"""),1728.0)</f>
        <v>1728</v>
      </c>
      <c r="B1730" s="13">
        <f>IFERROR(__xludf.DUMMYFUNCTION("""COMPUTED_VALUE"""),225.0)</f>
        <v>225</v>
      </c>
      <c r="C1730" s="13">
        <f>IFERROR(__xludf.DUMMYFUNCTION("""COMPUTED_VALUE"""),58.0)</f>
        <v>58</v>
      </c>
      <c r="D1730" s="12" t="str">
        <f>IFERROR(__xludf.DUMMYFUNCTION("""COMPUTED_VALUE"""),"So fun!")</f>
        <v>So fun!</v>
      </c>
      <c r="E1730" s="12" t="str">
        <f>IFERROR(__xludf.DUMMYFUNCTION("""COMPUTED_VALUE"""),"These fox tights are so very cute and fun! how can you not smile when wearing these tights designed with the cutest foxes all over! they are warm too! these go great under dresses or tunics and i always get compliments when wearing them! they are a real a"&amp;"ttention getter!")</f>
        <v>These fox tights are so very cute and fun! how can you not smile when wearing these tights designed with the cutest foxes all over! they are warm too! these go great under dresses or tunics and i always get compliments when wearing them! they are a real attention getter!</v>
      </c>
      <c r="F1730" s="13">
        <f>IFERROR(__xludf.DUMMYFUNCTION("""COMPUTED_VALUE"""),5.0)</f>
        <v>5</v>
      </c>
      <c r="G1730" s="13">
        <f>IFERROR(__xludf.DUMMYFUNCTION("""COMPUTED_VALUE"""),1.0)</f>
        <v>1</v>
      </c>
      <c r="H1730" s="13">
        <f>IFERROR(__xludf.DUMMYFUNCTION("""COMPUTED_VALUE"""),0.0)</f>
        <v>0</v>
      </c>
      <c r="I1730" s="13" t="str">
        <f>IFERROR(__xludf.DUMMYFUNCTION("""COMPUTED_VALUE"""),"Initmates")</f>
        <v>Initmates</v>
      </c>
      <c r="J1730" s="13" t="str">
        <f>IFERROR(__xludf.DUMMYFUNCTION("""COMPUTED_VALUE"""),"Intimate")</f>
        <v>Intimate</v>
      </c>
      <c r="K1730" s="13" t="str">
        <f>IFERROR(__xludf.DUMMYFUNCTION("""COMPUTED_VALUE"""),"Legwear")</f>
        <v>Legwear</v>
      </c>
      <c r="L1730" s="13"/>
    </row>
    <row r="1731">
      <c r="A1731" s="13">
        <f>IFERROR(__xludf.DUMMYFUNCTION("""COMPUTED_VALUE"""),1729.0)</f>
        <v>1729</v>
      </c>
      <c r="B1731" s="13">
        <f>IFERROR(__xludf.DUMMYFUNCTION("""COMPUTED_VALUE"""),964.0)</f>
        <v>964</v>
      </c>
      <c r="C1731" s="13">
        <f>IFERROR(__xludf.DUMMYFUNCTION("""COMPUTED_VALUE"""),66.0)</f>
        <v>66</v>
      </c>
      <c r="D1731" s="12" t="str">
        <f>IFERROR(__xludf.DUMMYFUNCTION("""COMPUTED_VALUE"""),"Nice vest")</f>
        <v>Nice vest</v>
      </c>
      <c r="E1731" s="12" t="str">
        <f>IFERROR(__xludf.DUMMYFUNCTION("""COMPUTED_VALUE"""),"I really like this vest. personally, i think it is difficult to find vests that fit properly. this is a good one. fabric and color good. the photo is very representative of the color. no surprises there. arm holes are not too big which is often a problem."&amp;" the detail on the back gives it some added interest. the only thing i would mention that could be a negative is that it is short, especially in the back. again the picture is representative but do pay attention to the length and be certain that")</f>
        <v>I really like this vest. personally, i think it is difficult to find vests that fit properly. this is a good one. fabric and color good. the photo is very representative of the color. no surprises there. arm holes are not too big which is often a problem. the detail on the back gives it some added interest. the only thing i would mention that could be a negative is that it is short, especially in the back. again the picture is representative but do pay attention to the length and be certain that</v>
      </c>
      <c r="F1731" s="13">
        <f>IFERROR(__xludf.DUMMYFUNCTION("""COMPUTED_VALUE"""),5.0)</f>
        <v>5</v>
      </c>
      <c r="G1731" s="13">
        <f>IFERROR(__xludf.DUMMYFUNCTION("""COMPUTED_VALUE"""),1.0)</f>
        <v>1</v>
      </c>
      <c r="H1731" s="13">
        <f>IFERROR(__xludf.DUMMYFUNCTION("""COMPUTED_VALUE"""),4.0)</f>
        <v>4</v>
      </c>
      <c r="I1731" s="13" t="str">
        <f>IFERROR(__xludf.DUMMYFUNCTION("""COMPUTED_VALUE"""),"General Petite")</f>
        <v>General Petite</v>
      </c>
      <c r="J1731" s="13" t="str">
        <f>IFERROR(__xludf.DUMMYFUNCTION("""COMPUTED_VALUE"""),"Jackets")</f>
        <v>Jackets</v>
      </c>
      <c r="K1731" s="13" t="str">
        <f>IFERROR(__xludf.DUMMYFUNCTION("""COMPUTED_VALUE"""),"Jackets")</f>
        <v>Jackets</v>
      </c>
      <c r="L1731" s="13"/>
    </row>
    <row r="1732">
      <c r="A1732" s="13">
        <f>IFERROR(__xludf.DUMMYFUNCTION("""COMPUTED_VALUE"""),1730.0)</f>
        <v>1730</v>
      </c>
      <c r="B1732" s="13">
        <f>IFERROR(__xludf.DUMMYFUNCTION("""COMPUTED_VALUE"""),862.0)</f>
        <v>862</v>
      </c>
      <c r="C1732" s="13">
        <f>IFERROR(__xludf.DUMMYFUNCTION("""COMPUTED_VALUE"""),64.0)</f>
        <v>64</v>
      </c>
      <c r="D1732" s="12" t="str">
        <f>IFERROR(__xludf.DUMMYFUNCTION("""COMPUTED_VALUE"""),"Much cuter in person")</f>
        <v>Much cuter in person</v>
      </c>
      <c r="E1732" s="12" t="str">
        <f>IFERROR(__xludf.DUMMYFUNCTION("""COMPUTED_VALUE"""),"I didn't pay much attn to this online. i'm not much on front hook &amp; tie closures. well, saw today at the local store &amp; decided to try on both the s &amp; m. i am usually a s in tops, but the m was only a bit more roomy &amp; longer than the s, so i went with the "&amp;"size m. i thought the styling of it paired well w/ the pilcro cord skinnys i had on. looked much better than the pics online. i have other pilcro skinny cords &amp; jeans in vs colors so i think this top will work out well for me. love the 3/4 sleev")</f>
        <v>I didn't pay much attn to this online. i'm not much on front hook &amp; tie closures. well, saw today at the local store &amp; decided to try on both the s &amp; m. i am usually a s in tops, but the m was only a bit more roomy &amp; longer than the s, so i went with the size m. i thought the styling of it paired well w/ the pilcro cord skinnys i had on. looked much better than the pics online. i have other pilcro skinny cords &amp; jeans in vs colors so i think this top will work out well for me. love the 3/4 sleev</v>
      </c>
      <c r="F1732" s="13">
        <f>IFERROR(__xludf.DUMMYFUNCTION("""COMPUTED_VALUE"""),5.0)</f>
        <v>5</v>
      </c>
      <c r="G1732" s="13">
        <f>IFERROR(__xludf.DUMMYFUNCTION("""COMPUTED_VALUE"""),1.0)</f>
        <v>1</v>
      </c>
      <c r="H1732" s="13">
        <f>IFERROR(__xludf.DUMMYFUNCTION("""COMPUTED_VALUE"""),2.0)</f>
        <v>2</v>
      </c>
      <c r="I1732" s="13" t="str">
        <f>IFERROR(__xludf.DUMMYFUNCTION("""COMPUTED_VALUE"""),"General")</f>
        <v>General</v>
      </c>
      <c r="J1732" s="13" t="str">
        <f>IFERROR(__xludf.DUMMYFUNCTION("""COMPUTED_VALUE"""),"Tops")</f>
        <v>Tops</v>
      </c>
      <c r="K1732" s="13" t="str">
        <f>IFERROR(__xludf.DUMMYFUNCTION("""COMPUTED_VALUE"""),"Knits")</f>
        <v>Knits</v>
      </c>
      <c r="L1732" s="13"/>
    </row>
    <row r="1733">
      <c r="A1733" s="13">
        <f>IFERROR(__xludf.DUMMYFUNCTION("""COMPUTED_VALUE"""),1731.0)</f>
        <v>1731</v>
      </c>
      <c r="B1733" s="13">
        <f>IFERROR(__xludf.DUMMYFUNCTION("""COMPUTED_VALUE"""),862.0)</f>
        <v>862</v>
      </c>
      <c r="C1733" s="13">
        <f>IFERROR(__xludf.DUMMYFUNCTION("""COMPUTED_VALUE"""),59.0)</f>
        <v>59</v>
      </c>
      <c r="D1733" s="12" t="str">
        <f>IFERROR(__xludf.DUMMYFUNCTION("""COMPUTED_VALUE"""),"Good everyday shirt")</f>
        <v>Good everyday shirt</v>
      </c>
      <c r="E1733" s="12" t="str">
        <f>IFERROR(__xludf.DUMMYFUNCTION("""COMPUTED_VALUE"""),"I'm glad this was on sale because i would not have purchased it at full price due to the strange fit in the sleeve. the shirt has a slight raglan sleeve, but the sleeves do not fit loosely, they kind of twist under the armpit area. i do not have large arm"&amp;"s, so i am ok with straightening out the knit sleeves, but they do not fit right. i also was surprised at the unfinished edge along the neckline. it is messy and tacky looking, but i think that is how it was meant to be. my recommendation to buy")</f>
        <v>I'm glad this was on sale because i would not have purchased it at full price due to the strange fit in the sleeve. the shirt has a slight raglan sleeve, but the sleeves do not fit loosely, they kind of twist under the armpit area. i do not have large arms, so i am ok with straightening out the knit sleeves, but they do not fit right. i also was surprised at the unfinished edge along the neckline. it is messy and tacky looking, but i think that is how it was meant to be. my recommendation to buy</v>
      </c>
      <c r="F1733" s="13">
        <f>IFERROR(__xludf.DUMMYFUNCTION("""COMPUTED_VALUE"""),3.0)</f>
        <v>3</v>
      </c>
      <c r="G1733" s="13">
        <f>IFERROR(__xludf.DUMMYFUNCTION("""COMPUTED_VALUE"""),1.0)</f>
        <v>1</v>
      </c>
      <c r="H1733" s="13">
        <f>IFERROR(__xludf.DUMMYFUNCTION("""COMPUTED_VALUE"""),0.0)</f>
        <v>0</v>
      </c>
      <c r="I1733" s="13" t="str">
        <f>IFERROR(__xludf.DUMMYFUNCTION("""COMPUTED_VALUE"""),"General")</f>
        <v>General</v>
      </c>
      <c r="J1733" s="13" t="str">
        <f>IFERROR(__xludf.DUMMYFUNCTION("""COMPUTED_VALUE"""),"Tops")</f>
        <v>Tops</v>
      </c>
      <c r="K1733" s="13" t="str">
        <f>IFERROR(__xludf.DUMMYFUNCTION("""COMPUTED_VALUE"""),"Knits")</f>
        <v>Knits</v>
      </c>
      <c r="L1733" s="13"/>
    </row>
    <row r="1734">
      <c r="A1734" s="13">
        <f>IFERROR(__xludf.DUMMYFUNCTION("""COMPUTED_VALUE"""),1732.0)</f>
        <v>1732</v>
      </c>
      <c r="B1734" s="13">
        <f>IFERROR(__xludf.DUMMYFUNCTION("""COMPUTED_VALUE"""),841.0)</f>
        <v>841</v>
      </c>
      <c r="C1734" s="13">
        <f>IFERROR(__xludf.DUMMYFUNCTION("""COMPUTED_VALUE"""),35.0)</f>
        <v>35</v>
      </c>
      <c r="D1734" s="12" t="str">
        <f>IFERROR(__xludf.DUMMYFUNCTION("""COMPUTED_VALUE"""),"Does not fit as expected")</f>
        <v>Does not fit as expected</v>
      </c>
      <c r="E1734" s="12" t="str">
        <f>IFERROR(__xludf.DUMMYFUNCTION("""COMPUTED_VALUE"""),"Note to photographers: please don't cinch the wait of a blouse to make something look tailored when it isn't. this could have been a real win if it had been more simply executed. i'm petite, way too much fabric. returned.")</f>
        <v>Note to photographers: please don't cinch the wait of a blouse to make something look tailored when it isn't. this could have been a real win if it had been more simply executed. i'm petite, way too much fabric. returned.</v>
      </c>
      <c r="F1734" s="13">
        <f>IFERROR(__xludf.DUMMYFUNCTION("""COMPUTED_VALUE"""),2.0)</f>
        <v>2</v>
      </c>
      <c r="G1734" s="13">
        <f>IFERROR(__xludf.DUMMYFUNCTION("""COMPUTED_VALUE"""),0.0)</f>
        <v>0</v>
      </c>
      <c r="H1734" s="13">
        <f>IFERROR(__xludf.DUMMYFUNCTION("""COMPUTED_VALUE"""),3.0)</f>
        <v>3</v>
      </c>
      <c r="I1734" s="13" t="str">
        <f>IFERROR(__xludf.DUMMYFUNCTION("""COMPUTED_VALUE"""),"General")</f>
        <v>General</v>
      </c>
      <c r="J1734" s="13" t="str">
        <f>IFERROR(__xludf.DUMMYFUNCTION("""COMPUTED_VALUE"""),"Tops")</f>
        <v>Tops</v>
      </c>
      <c r="K1734" s="13" t="str">
        <f>IFERROR(__xludf.DUMMYFUNCTION("""COMPUTED_VALUE"""),"Blouses")</f>
        <v>Blouses</v>
      </c>
      <c r="L1734" s="13"/>
    </row>
    <row r="1735">
      <c r="A1735" s="13">
        <f>IFERROR(__xludf.DUMMYFUNCTION("""COMPUTED_VALUE"""),1733.0)</f>
        <v>1733</v>
      </c>
      <c r="B1735" s="13">
        <f>IFERROR(__xludf.DUMMYFUNCTION("""COMPUTED_VALUE"""),899.0)</f>
        <v>899</v>
      </c>
      <c r="C1735" s="13">
        <f>IFERROR(__xludf.DUMMYFUNCTION("""COMPUTED_VALUE"""),28.0)</f>
        <v>28</v>
      </c>
      <c r="D1735" s="12" t="str">
        <f>IFERROR(__xludf.DUMMYFUNCTION("""COMPUTED_VALUE"""),"Soft and cute")</f>
        <v>Soft and cute</v>
      </c>
      <c r="E1735" s="12" t="str">
        <f>IFERROR(__xludf.DUMMYFUNCTION("""COMPUTED_VALUE"""),"Fell in love with this a soon as i saw it in store. it is soft and can eaisly be dressed up or down. wore it to work already and got so many compliments. 
unfortunately when i saw it in store they didn't have it in stock. the very helpful gentlemen at the"&amp;" irvine, ca location checked online but it was sold out in my size. so he checked the stores that carried it. i called one and the mailed it to me. customer service in store is great!")</f>
        <v>Fell in love with this a soon as i saw it in store. it is soft and can eaisly be dressed up or down. wore it to work already and got so many compliments. 
unfortunately when i saw it in store they didn't have it in stock. the very helpful gentlemen at the irvine, ca location checked online but it was sold out in my size. so he checked the stores that carried it. i called one and the mailed it to me. customer service in store is great!</v>
      </c>
      <c r="F1735" s="13">
        <f>IFERROR(__xludf.DUMMYFUNCTION("""COMPUTED_VALUE"""),5.0)</f>
        <v>5</v>
      </c>
      <c r="G1735" s="13">
        <f>IFERROR(__xludf.DUMMYFUNCTION("""COMPUTED_VALUE"""),1.0)</f>
        <v>1</v>
      </c>
      <c r="H1735" s="13">
        <f>IFERROR(__xludf.DUMMYFUNCTION("""COMPUTED_VALUE"""),0.0)</f>
        <v>0</v>
      </c>
      <c r="I1735" s="13" t="str">
        <f>IFERROR(__xludf.DUMMYFUNCTION("""COMPUTED_VALUE"""),"General Petite")</f>
        <v>General Petite</v>
      </c>
      <c r="J1735" s="13" t="str">
        <f>IFERROR(__xludf.DUMMYFUNCTION("""COMPUTED_VALUE"""),"Tops")</f>
        <v>Tops</v>
      </c>
      <c r="K1735" s="13" t="str">
        <f>IFERROR(__xludf.DUMMYFUNCTION("""COMPUTED_VALUE"""),"Fine gauge")</f>
        <v>Fine gauge</v>
      </c>
      <c r="L1735" s="13"/>
    </row>
    <row r="1736">
      <c r="A1736" s="13">
        <f>IFERROR(__xludf.DUMMYFUNCTION("""COMPUTED_VALUE"""),1734.0)</f>
        <v>1734</v>
      </c>
      <c r="B1736" s="13">
        <f>IFERROR(__xludf.DUMMYFUNCTION("""COMPUTED_VALUE"""),841.0)</f>
        <v>841</v>
      </c>
      <c r="C1736" s="13">
        <f>IFERROR(__xludf.DUMMYFUNCTION("""COMPUTED_VALUE"""),38.0)</f>
        <v>38</v>
      </c>
      <c r="D1736" s="12" t="str">
        <f>IFERROR(__xludf.DUMMYFUNCTION("""COMPUTED_VALUE"""),"Great top")</f>
        <v>Great top</v>
      </c>
      <c r="E1736" s="12" t="str">
        <f>IFERROR(__xludf.DUMMYFUNCTION("""COMPUTED_VALUE"""),"Lovely embroidery with a classic look, great addition to your wardrobe.")</f>
        <v>Lovely embroidery with a classic look, great addition to your wardrobe.</v>
      </c>
      <c r="F1736" s="13">
        <f>IFERROR(__xludf.DUMMYFUNCTION("""COMPUTED_VALUE"""),4.0)</f>
        <v>4</v>
      </c>
      <c r="G1736" s="13">
        <f>IFERROR(__xludf.DUMMYFUNCTION("""COMPUTED_VALUE"""),1.0)</f>
        <v>1</v>
      </c>
      <c r="H1736" s="13">
        <f>IFERROR(__xludf.DUMMYFUNCTION("""COMPUTED_VALUE"""),3.0)</f>
        <v>3</v>
      </c>
      <c r="I1736" s="13" t="str">
        <f>IFERROR(__xludf.DUMMYFUNCTION("""COMPUTED_VALUE"""),"General")</f>
        <v>General</v>
      </c>
      <c r="J1736" s="13" t="str">
        <f>IFERROR(__xludf.DUMMYFUNCTION("""COMPUTED_VALUE"""),"Tops")</f>
        <v>Tops</v>
      </c>
      <c r="K1736" s="13" t="str">
        <f>IFERROR(__xludf.DUMMYFUNCTION("""COMPUTED_VALUE"""),"Blouses")</f>
        <v>Blouses</v>
      </c>
      <c r="L1736" s="13"/>
    </row>
    <row r="1737">
      <c r="A1737" s="13">
        <f>IFERROR(__xludf.DUMMYFUNCTION("""COMPUTED_VALUE"""),1735.0)</f>
        <v>1735</v>
      </c>
      <c r="B1737" s="13">
        <f>IFERROR(__xludf.DUMMYFUNCTION("""COMPUTED_VALUE"""),830.0)</f>
        <v>830</v>
      </c>
      <c r="C1737" s="13">
        <f>IFERROR(__xludf.DUMMYFUNCTION("""COMPUTED_VALUE"""),46.0)</f>
        <v>46</v>
      </c>
      <c r="D1737" s="12" t="str">
        <f>IFERROR(__xludf.DUMMYFUNCTION("""COMPUTED_VALUE"""),"Lovely material")</f>
        <v>Lovely material</v>
      </c>
      <c r="E1737" s="12" t="str">
        <f>IFERROR(__xludf.DUMMYFUNCTION("""COMPUTED_VALUE"""),"At first, i thought this top was going to be stiff. i am pleasantly surprised by how soft and flowy this blouse is. it's lovely cream color with beautiful lace details. i appreciate the lining inside the bodice which means i can potentially go bra-less wh"&amp;"en it's hot! i'm 5'2'', 135lb and retailer size s usually gives me plenty of room because i have a small upper body. but i feel this top is slight short on me. that might be because i didn't wear it off-the-shoulder but had it hang from the top of")</f>
        <v>At first, i thought this top was going to be stiff. i am pleasantly surprised by how soft and flowy this blouse is. it's lovely cream color with beautiful lace details. i appreciate the lining inside the bodice which means i can potentially go bra-less when it's hot! i'm 5'2'', 135lb and retailer size s usually gives me plenty of room because i have a small upper body. but i feel this top is slight short on me. that might be because i didn't wear it off-the-shoulder but had it hang from the top of</v>
      </c>
      <c r="F1737" s="13">
        <f>IFERROR(__xludf.DUMMYFUNCTION("""COMPUTED_VALUE"""),5.0)</f>
        <v>5</v>
      </c>
      <c r="G1737" s="13">
        <f>IFERROR(__xludf.DUMMYFUNCTION("""COMPUTED_VALUE"""),1.0)</f>
        <v>1</v>
      </c>
      <c r="H1737" s="13">
        <f>IFERROR(__xludf.DUMMYFUNCTION("""COMPUTED_VALUE"""),12.0)</f>
        <v>12</v>
      </c>
      <c r="I1737" s="13" t="str">
        <f>IFERROR(__xludf.DUMMYFUNCTION("""COMPUTED_VALUE"""),"General Petite")</f>
        <v>General Petite</v>
      </c>
      <c r="J1737" s="13" t="str">
        <f>IFERROR(__xludf.DUMMYFUNCTION("""COMPUTED_VALUE"""),"Tops")</f>
        <v>Tops</v>
      </c>
      <c r="K1737" s="13" t="str">
        <f>IFERROR(__xludf.DUMMYFUNCTION("""COMPUTED_VALUE"""),"Blouses")</f>
        <v>Blouses</v>
      </c>
      <c r="L1737" s="13"/>
    </row>
    <row r="1738">
      <c r="A1738" s="13">
        <f>IFERROR(__xludf.DUMMYFUNCTION("""COMPUTED_VALUE"""),1736.0)</f>
        <v>1736</v>
      </c>
      <c r="B1738" s="13">
        <f>IFERROR(__xludf.DUMMYFUNCTION("""COMPUTED_VALUE"""),1081.0)</f>
        <v>1081</v>
      </c>
      <c r="C1738" s="13">
        <f>IFERROR(__xludf.DUMMYFUNCTION("""COMPUTED_VALUE"""),35.0)</f>
        <v>35</v>
      </c>
      <c r="D1738" s="12" t="str">
        <f>IFERROR(__xludf.DUMMYFUNCTION("""COMPUTED_VALUE"""),"Green not as pictured")</f>
        <v>Green not as pictured</v>
      </c>
      <c r="E1738" s="12" t="str">
        <f>IFERROR(__xludf.DUMMYFUNCTION("""COMPUTED_VALUE"""),"I honestly never even tried this on - i ordered it and when it arrived it was not the kelly green color pictured, it was more of a dark bland green color. love the brand and very soft but had to return.")</f>
        <v>I honestly never even tried this on - i ordered it and when it arrived it was not the kelly green color pictured, it was more of a dark bland green color. love the brand and very soft but had to return.</v>
      </c>
      <c r="F1738" s="13">
        <f>IFERROR(__xludf.DUMMYFUNCTION("""COMPUTED_VALUE"""),4.0)</f>
        <v>4</v>
      </c>
      <c r="G1738" s="13">
        <f>IFERROR(__xludf.DUMMYFUNCTION("""COMPUTED_VALUE"""),1.0)</f>
        <v>1</v>
      </c>
      <c r="H1738" s="13">
        <f>IFERROR(__xludf.DUMMYFUNCTION("""COMPUTED_VALUE"""),2.0)</f>
        <v>2</v>
      </c>
      <c r="I1738" s="13" t="str">
        <f>IFERROR(__xludf.DUMMYFUNCTION("""COMPUTED_VALUE"""),"General")</f>
        <v>General</v>
      </c>
      <c r="J1738" s="13" t="str">
        <f>IFERROR(__xludf.DUMMYFUNCTION("""COMPUTED_VALUE"""),"Dresses")</f>
        <v>Dresses</v>
      </c>
      <c r="K1738" s="13" t="str">
        <f>IFERROR(__xludf.DUMMYFUNCTION("""COMPUTED_VALUE"""),"Dresses")</f>
        <v>Dresses</v>
      </c>
      <c r="L1738" s="13"/>
    </row>
    <row r="1739">
      <c r="A1739" s="13">
        <f>IFERROR(__xludf.DUMMYFUNCTION("""COMPUTED_VALUE"""),1737.0)</f>
        <v>1737</v>
      </c>
      <c r="B1739" s="13">
        <f>IFERROR(__xludf.DUMMYFUNCTION("""COMPUTED_VALUE"""),1035.0)</f>
        <v>1035</v>
      </c>
      <c r="C1739" s="13">
        <f>IFERROR(__xludf.DUMMYFUNCTION("""COMPUTED_VALUE"""),59.0)</f>
        <v>59</v>
      </c>
      <c r="D1739" s="12"/>
      <c r="E1739" s="12" t="str">
        <f>IFERROR(__xludf.DUMMYFUNCTION("""COMPUTED_VALUE"""),"Perfect jean. these jeans are comfortable, the length is great, and the rise, at least for me, is spot on. my torso is fairly straight - not a lot of the hourglass thing going on - and somehow these jeans feel like they were made for me. thank you pilcro.")</f>
        <v>Perfect jean. these jeans are comfortable, the length is great, and the rise, at least for me, is spot on. my torso is fairly straight - not a lot of the hourglass thing going on - and somehow these jeans feel like they were made for me. thank you pilcro.</v>
      </c>
      <c r="F1739" s="13">
        <f>IFERROR(__xludf.DUMMYFUNCTION("""COMPUTED_VALUE"""),5.0)</f>
        <v>5</v>
      </c>
      <c r="G1739" s="13">
        <f>IFERROR(__xludf.DUMMYFUNCTION("""COMPUTED_VALUE"""),1.0)</f>
        <v>1</v>
      </c>
      <c r="H1739" s="13">
        <f>IFERROR(__xludf.DUMMYFUNCTION("""COMPUTED_VALUE"""),0.0)</f>
        <v>0</v>
      </c>
      <c r="I1739" s="13" t="str">
        <f>IFERROR(__xludf.DUMMYFUNCTION("""COMPUTED_VALUE"""),"General")</f>
        <v>General</v>
      </c>
      <c r="J1739" s="13" t="str">
        <f>IFERROR(__xludf.DUMMYFUNCTION("""COMPUTED_VALUE"""),"Bottoms")</f>
        <v>Bottoms</v>
      </c>
      <c r="K1739" s="13" t="str">
        <f>IFERROR(__xludf.DUMMYFUNCTION("""COMPUTED_VALUE"""),"Jeans")</f>
        <v>Jeans</v>
      </c>
      <c r="L1739" s="13"/>
    </row>
    <row r="1740">
      <c r="A1740" s="13">
        <f>IFERROR(__xludf.DUMMYFUNCTION("""COMPUTED_VALUE"""),1738.0)</f>
        <v>1738</v>
      </c>
      <c r="B1740" s="13">
        <f>IFERROR(__xludf.DUMMYFUNCTION("""COMPUTED_VALUE"""),984.0)</f>
        <v>984</v>
      </c>
      <c r="C1740" s="13">
        <f>IFERROR(__xludf.DUMMYFUNCTION("""COMPUTED_VALUE"""),55.0)</f>
        <v>55</v>
      </c>
      <c r="D1740" s="12" t="str">
        <f>IFERROR(__xludf.DUMMYFUNCTION("""COMPUTED_VALUE"""),"Love this jacket!")</f>
        <v>Love this jacket!</v>
      </c>
      <c r="E1740" s="12" t="str">
        <f>IFERROR(__xludf.DUMMYFUNCTION("""COMPUTED_VALUE"""),"This is going to be my go to all season. looks great with a sweater dress and boots also looks great with cords!")</f>
        <v>This is going to be my go to all season. looks great with a sweater dress and boots also looks great with cords!</v>
      </c>
      <c r="F1740" s="13">
        <f>IFERROR(__xludf.DUMMYFUNCTION("""COMPUTED_VALUE"""),5.0)</f>
        <v>5</v>
      </c>
      <c r="G1740" s="13">
        <f>IFERROR(__xludf.DUMMYFUNCTION("""COMPUTED_VALUE"""),1.0)</f>
        <v>1</v>
      </c>
      <c r="H1740" s="13">
        <f>IFERROR(__xludf.DUMMYFUNCTION("""COMPUTED_VALUE"""),0.0)</f>
        <v>0</v>
      </c>
      <c r="I1740" s="13" t="str">
        <f>IFERROR(__xludf.DUMMYFUNCTION("""COMPUTED_VALUE"""),"General Petite")</f>
        <v>General Petite</v>
      </c>
      <c r="J1740" s="13" t="str">
        <f>IFERROR(__xludf.DUMMYFUNCTION("""COMPUTED_VALUE"""),"Jackets")</f>
        <v>Jackets</v>
      </c>
      <c r="K1740" s="13" t="str">
        <f>IFERROR(__xludf.DUMMYFUNCTION("""COMPUTED_VALUE"""),"Jackets")</f>
        <v>Jackets</v>
      </c>
      <c r="L1740" s="13"/>
    </row>
    <row r="1741">
      <c r="A1741" s="13">
        <f>IFERROR(__xludf.DUMMYFUNCTION("""COMPUTED_VALUE"""),1739.0)</f>
        <v>1739</v>
      </c>
      <c r="B1741" s="13">
        <f>IFERROR(__xludf.DUMMYFUNCTION("""COMPUTED_VALUE"""),1008.0)</f>
        <v>1008</v>
      </c>
      <c r="C1741" s="13">
        <f>IFERROR(__xludf.DUMMYFUNCTION("""COMPUTED_VALUE"""),29.0)</f>
        <v>29</v>
      </c>
      <c r="D1741" s="12" t="str">
        <f>IFERROR(__xludf.DUMMYFUNCTION("""COMPUTED_VALUE"""),"Terrible!")</f>
        <v>Terrible!</v>
      </c>
      <c r="E1741" s="12" t="str">
        <f>IFERROR(__xludf.DUMMYFUNCTION("""COMPUTED_VALUE"""),"This skirt was horrible on me. it was loose in the waist, tight in the hips and poofed out like crazy at the tiered part on the bottom. the material also felt cheap and clingy. i guess the fit is tts, but it's hard to tell given how strange the cut was.")</f>
        <v>This skirt was horrible on me. it was loose in the waist, tight in the hips and poofed out like crazy at the tiered part on the bottom. the material also felt cheap and clingy. i guess the fit is tts, but it's hard to tell given how strange the cut was.</v>
      </c>
      <c r="F1741" s="13">
        <f>IFERROR(__xludf.DUMMYFUNCTION("""COMPUTED_VALUE"""),1.0)</f>
        <v>1</v>
      </c>
      <c r="G1741" s="13">
        <f>IFERROR(__xludf.DUMMYFUNCTION("""COMPUTED_VALUE"""),0.0)</f>
        <v>0</v>
      </c>
      <c r="H1741" s="13">
        <f>IFERROR(__xludf.DUMMYFUNCTION("""COMPUTED_VALUE"""),2.0)</f>
        <v>2</v>
      </c>
      <c r="I1741" s="13" t="str">
        <f>IFERROR(__xludf.DUMMYFUNCTION("""COMPUTED_VALUE"""),"General Petite")</f>
        <v>General Petite</v>
      </c>
      <c r="J1741" s="13" t="str">
        <f>IFERROR(__xludf.DUMMYFUNCTION("""COMPUTED_VALUE"""),"Bottoms")</f>
        <v>Bottoms</v>
      </c>
      <c r="K1741" s="13" t="str">
        <f>IFERROR(__xludf.DUMMYFUNCTION("""COMPUTED_VALUE"""),"Skirts")</f>
        <v>Skirts</v>
      </c>
      <c r="L1741" s="13"/>
    </row>
    <row r="1742">
      <c r="A1742" s="13">
        <f>IFERROR(__xludf.DUMMYFUNCTION("""COMPUTED_VALUE"""),1740.0)</f>
        <v>1740</v>
      </c>
      <c r="B1742" s="13">
        <f>IFERROR(__xludf.DUMMYFUNCTION("""COMPUTED_VALUE"""),830.0)</f>
        <v>830</v>
      </c>
      <c r="C1742" s="13">
        <f>IFERROR(__xludf.DUMMYFUNCTION("""COMPUTED_VALUE"""),31.0)</f>
        <v>31</v>
      </c>
      <c r="D1742" s="12" t="str">
        <f>IFERROR(__xludf.DUMMYFUNCTION("""COMPUTED_VALUE"""),"Love it!")</f>
        <v>Love it!</v>
      </c>
      <c r="E1742" s="12" t="str">
        <f>IFERROR(__xludf.DUMMYFUNCTION("""COMPUTED_VALUE"""),"I love this and instantly felt sexier when i put it on, yet with the longer sleeves and looseness felt i could wear it casually. 
i will say that i have to often keep adjusting/pulling the top neckline down. it seems to want to revert to above-the-should"&amp;"ers position. 
the fabric and quality feels nice and it was a great purchase for me!")</f>
        <v>I love this and instantly felt sexier when i put it on, yet with the longer sleeves and looseness felt i could wear it casually. 
i will say that i have to often keep adjusting/pulling the top neckline down. it seems to want to revert to above-the-shoulders position. 
the fabric and quality feels nice and it was a great purchase for me!</v>
      </c>
      <c r="F1742" s="13">
        <f>IFERROR(__xludf.DUMMYFUNCTION("""COMPUTED_VALUE"""),5.0)</f>
        <v>5</v>
      </c>
      <c r="G1742" s="13">
        <f>IFERROR(__xludf.DUMMYFUNCTION("""COMPUTED_VALUE"""),1.0)</f>
        <v>1</v>
      </c>
      <c r="H1742" s="13">
        <f>IFERROR(__xludf.DUMMYFUNCTION("""COMPUTED_VALUE"""),0.0)</f>
        <v>0</v>
      </c>
      <c r="I1742" s="13" t="str">
        <f>IFERROR(__xludf.DUMMYFUNCTION("""COMPUTED_VALUE"""),"General Petite")</f>
        <v>General Petite</v>
      </c>
      <c r="J1742" s="13" t="str">
        <f>IFERROR(__xludf.DUMMYFUNCTION("""COMPUTED_VALUE"""),"Tops")</f>
        <v>Tops</v>
      </c>
      <c r="K1742" s="13" t="str">
        <f>IFERROR(__xludf.DUMMYFUNCTION("""COMPUTED_VALUE"""),"Blouses")</f>
        <v>Blouses</v>
      </c>
      <c r="L1742" s="13"/>
    </row>
    <row r="1743">
      <c r="A1743" s="13">
        <f>IFERROR(__xludf.DUMMYFUNCTION("""COMPUTED_VALUE"""),1741.0)</f>
        <v>1741</v>
      </c>
      <c r="B1743" s="13">
        <f>IFERROR(__xludf.DUMMYFUNCTION("""COMPUTED_VALUE"""),984.0)</f>
        <v>984</v>
      </c>
      <c r="C1743" s="13">
        <f>IFERROR(__xludf.DUMMYFUNCTION("""COMPUTED_VALUE"""),60.0)</f>
        <v>60</v>
      </c>
      <c r="D1743" s="12" t="str">
        <f>IFERROR(__xludf.DUMMYFUNCTION("""COMPUTED_VALUE"""),"Wow!")</f>
        <v>Wow!</v>
      </c>
      <c r="E1743" s="12" t="str">
        <f>IFERROR(__xludf.DUMMYFUNCTION("""COMPUTED_VALUE"""),"I just received my duster . i love it! the coat is as pictured. the fabric is medium weight denim with some stretch. it feels like a denim coat that you have worn for years. i'm 5'8"" and the duster hits mid-calf. i'm a curvy size 14-16 and the xl fits pe"&amp;"rfectly. the only issue that might arise is that the sleeves are long; they fit me perfectly but i have long arms. this will be my new go to coat for fall.")</f>
        <v>I just received my duster . i love it! the coat is as pictured. the fabric is medium weight denim with some stretch. it feels like a denim coat that you have worn for years. i'm 5'8" and the duster hits mid-calf. i'm a curvy size 14-16 and the xl fits perfectly. the only issue that might arise is that the sleeves are long; they fit me perfectly but i have long arms. this will be my new go to coat for fall.</v>
      </c>
      <c r="F1743" s="13">
        <f>IFERROR(__xludf.DUMMYFUNCTION("""COMPUTED_VALUE"""),5.0)</f>
        <v>5</v>
      </c>
      <c r="G1743" s="13">
        <f>IFERROR(__xludf.DUMMYFUNCTION("""COMPUTED_VALUE"""),1.0)</f>
        <v>1</v>
      </c>
      <c r="H1743" s="13">
        <f>IFERROR(__xludf.DUMMYFUNCTION("""COMPUTED_VALUE"""),12.0)</f>
        <v>12</v>
      </c>
      <c r="I1743" s="13" t="str">
        <f>IFERROR(__xludf.DUMMYFUNCTION("""COMPUTED_VALUE"""),"General Petite")</f>
        <v>General Petite</v>
      </c>
      <c r="J1743" s="13" t="str">
        <f>IFERROR(__xludf.DUMMYFUNCTION("""COMPUTED_VALUE"""),"Jackets")</f>
        <v>Jackets</v>
      </c>
      <c r="K1743" s="13" t="str">
        <f>IFERROR(__xludf.DUMMYFUNCTION("""COMPUTED_VALUE"""),"Jackets")</f>
        <v>Jackets</v>
      </c>
      <c r="L1743" s="13"/>
    </row>
    <row r="1744">
      <c r="A1744" s="13">
        <f>IFERROR(__xludf.DUMMYFUNCTION("""COMPUTED_VALUE"""),1742.0)</f>
        <v>1742</v>
      </c>
      <c r="B1744" s="13">
        <f>IFERROR(__xludf.DUMMYFUNCTION("""COMPUTED_VALUE"""),769.0)</f>
        <v>769</v>
      </c>
      <c r="C1744" s="13">
        <f>IFERROR(__xludf.DUMMYFUNCTION("""COMPUTED_VALUE"""),55.0)</f>
        <v>55</v>
      </c>
      <c r="D1744" s="12" t="str">
        <f>IFERROR(__xludf.DUMMYFUNCTION("""COMPUTED_VALUE"""),"Nice little top")</f>
        <v>Nice little top</v>
      </c>
      <c r="E1744" s="12" t="str">
        <f>IFERROR(__xludf.DUMMYFUNCTION("""COMPUTED_VALUE"""),"The design is graceful and both my kids said it was a keeper ""pretty,"" even the boy child.
somehow i feel it makes my tummy look bigger than it is, maybe with the belt on my jeans.")</f>
        <v>The design is graceful and both my kids said it was a keeper "pretty," even the boy child.
somehow i feel it makes my tummy look bigger than it is, maybe with the belt on my jeans.</v>
      </c>
      <c r="F1744" s="13">
        <f>IFERROR(__xludf.DUMMYFUNCTION("""COMPUTED_VALUE"""),4.0)</f>
        <v>4</v>
      </c>
      <c r="G1744" s="13">
        <f>IFERROR(__xludf.DUMMYFUNCTION("""COMPUTED_VALUE"""),1.0)</f>
        <v>1</v>
      </c>
      <c r="H1744" s="13">
        <f>IFERROR(__xludf.DUMMYFUNCTION("""COMPUTED_VALUE"""),2.0)</f>
        <v>2</v>
      </c>
      <c r="I1744" s="13" t="str">
        <f>IFERROR(__xludf.DUMMYFUNCTION("""COMPUTED_VALUE"""),"Initmates")</f>
        <v>Initmates</v>
      </c>
      <c r="J1744" s="13" t="str">
        <f>IFERROR(__xludf.DUMMYFUNCTION("""COMPUTED_VALUE"""),"Intimate")</f>
        <v>Intimate</v>
      </c>
      <c r="K1744" s="13" t="str">
        <f>IFERROR(__xludf.DUMMYFUNCTION("""COMPUTED_VALUE"""),"Lounge")</f>
        <v>Lounge</v>
      </c>
      <c r="L1744" s="13"/>
    </row>
    <row r="1745">
      <c r="A1745" s="13">
        <f>IFERROR(__xludf.DUMMYFUNCTION("""COMPUTED_VALUE"""),1743.0)</f>
        <v>1743</v>
      </c>
      <c r="B1745" s="13">
        <f>IFERROR(__xludf.DUMMYFUNCTION("""COMPUTED_VALUE"""),1025.0)</f>
        <v>1025</v>
      </c>
      <c r="C1745" s="13">
        <f>IFERROR(__xludf.DUMMYFUNCTION("""COMPUTED_VALUE"""),41.0)</f>
        <v>41</v>
      </c>
      <c r="D1745" s="12" t="str">
        <f>IFERROR(__xludf.DUMMYFUNCTION("""COMPUTED_VALUE"""),"My new favorite jeans")</f>
        <v>My new favorite jeans</v>
      </c>
      <c r="E1745" s="12" t="str">
        <f>IFERROR(__xludf.DUMMYFUNCTION("""COMPUTED_VALUE"""),"These jeans are an even dark color that can be dressed up. the material is soft and they fit perfect. they are mid rise which is a little different for me as i mostly where low rise. the only problem is that they are really long. i am 5'9"" and they are t"&amp;"oo long for me which never happens. so i need to get them hemmed and wont be wearing them for a few more weeks. i look forward to rocking them with a pair of booties or heels.")</f>
        <v>These jeans are an even dark color that can be dressed up. the material is soft and they fit perfect. they are mid rise which is a little different for me as i mostly where low rise. the only problem is that they are really long. i am 5'9" and they are too long for me which never happens. so i need to get them hemmed and wont be wearing them for a few more weeks. i look forward to rocking them with a pair of booties or heels.</v>
      </c>
      <c r="F1745" s="13">
        <f>IFERROR(__xludf.DUMMYFUNCTION("""COMPUTED_VALUE"""),4.0)</f>
        <v>4</v>
      </c>
      <c r="G1745" s="13">
        <f>IFERROR(__xludf.DUMMYFUNCTION("""COMPUTED_VALUE"""),1.0)</f>
        <v>1</v>
      </c>
      <c r="H1745" s="13">
        <f>IFERROR(__xludf.DUMMYFUNCTION("""COMPUTED_VALUE"""),2.0)</f>
        <v>2</v>
      </c>
      <c r="I1745" s="13" t="str">
        <f>IFERROR(__xludf.DUMMYFUNCTION("""COMPUTED_VALUE"""),"General")</f>
        <v>General</v>
      </c>
      <c r="J1745" s="13" t="str">
        <f>IFERROR(__xludf.DUMMYFUNCTION("""COMPUTED_VALUE"""),"Bottoms")</f>
        <v>Bottoms</v>
      </c>
      <c r="K1745" s="13" t="str">
        <f>IFERROR(__xludf.DUMMYFUNCTION("""COMPUTED_VALUE"""),"Jeans")</f>
        <v>Jeans</v>
      </c>
      <c r="L1745" s="13"/>
    </row>
    <row r="1746">
      <c r="A1746" s="13">
        <f>IFERROR(__xludf.DUMMYFUNCTION("""COMPUTED_VALUE"""),1744.0)</f>
        <v>1744</v>
      </c>
      <c r="B1746" s="13">
        <f>IFERROR(__xludf.DUMMYFUNCTION("""COMPUTED_VALUE"""),830.0)</f>
        <v>830</v>
      </c>
      <c r="C1746" s="13">
        <f>IFERROR(__xludf.DUMMYFUNCTION("""COMPUTED_VALUE"""),60.0)</f>
        <v>60</v>
      </c>
      <c r="D1746" s="12" t="str">
        <f>IFERROR(__xludf.DUMMYFUNCTION("""COMPUTED_VALUE"""),"Off the shoulder elastic issues")</f>
        <v>Off the shoulder elastic issues</v>
      </c>
      <c r="E1746" s="12" t="str">
        <f>IFERROR(__xludf.DUMMYFUNCTION("""COMPUTED_VALUE"""),"The problem with off the shoulder tops is that the neckline is totally elastisized , therefore upon any movement of your arms the top pops above your shoulders making it go from stylish to matronly . the only elastic should be right at the shoulders , the"&amp;" rest of the neckline should be a simple finished hem. .")</f>
        <v>The problem with off the shoulder tops is that the neckline is totally elastisized , therefore upon any movement of your arms the top pops above your shoulders making it go from stylish to matronly . the only elastic should be right at the shoulders , the rest of the neckline should be a simple finished hem. .</v>
      </c>
      <c r="F1746" s="13">
        <f>IFERROR(__xludf.DUMMYFUNCTION("""COMPUTED_VALUE"""),3.0)</f>
        <v>3</v>
      </c>
      <c r="G1746" s="13">
        <f>IFERROR(__xludf.DUMMYFUNCTION("""COMPUTED_VALUE"""),1.0)</f>
        <v>1</v>
      </c>
      <c r="H1746" s="13">
        <f>IFERROR(__xludf.DUMMYFUNCTION("""COMPUTED_VALUE"""),13.0)</f>
        <v>13</v>
      </c>
      <c r="I1746" s="13" t="str">
        <f>IFERROR(__xludf.DUMMYFUNCTION("""COMPUTED_VALUE"""),"General Petite")</f>
        <v>General Petite</v>
      </c>
      <c r="J1746" s="13" t="str">
        <f>IFERROR(__xludf.DUMMYFUNCTION("""COMPUTED_VALUE"""),"Tops")</f>
        <v>Tops</v>
      </c>
      <c r="K1746" s="13" t="str">
        <f>IFERROR(__xludf.DUMMYFUNCTION("""COMPUTED_VALUE"""),"Blouses")</f>
        <v>Blouses</v>
      </c>
      <c r="L1746" s="13"/>
    </row>
    <row r="1747">
      <c r="A1747" s="13">
        <f>IFERROR(__xludf.DUMMYFUNCTION("""COMPUTED_VALUE"""),1745.0)</f>
        <v>1745</v>
      </c>
      <c r="B1747" s="13">
        <f>IFERROR(__xludf.DUMMYFUNCTION("""COMPUTED_VALUE"""),888.0)</f>
        <v>888</v>
      </c>
      <c r="C1747" s="13">
        <f>IFERROR(__xludf.DUMMYFUNCTION("""COMPUTED_VALUE"""),54.0)</f>
        <v>54</v>
      </c>
      <c r="D1747" s="12" t="str">
        <f>IFERROR(__xludf.DUMMYFUNCTION("""COMPUTED_VALUE"""),"Nice top")</f>
        <v>Nice top</v>
      </c>
      <c r="E1747" s="12" t="str">
        <f>IFERROR(__xludf.DUMMYFUNCTION("""COMPUTED_VALUE"""),"A cute top. slightly tight in the upper area. debated returning but decided to keep as the top is unique and i know that i will wear it frequently. aleardy thinking of way to wear all year around! runs small")</f>
        <v>A cute top. slightly tight in the upper area. debated returning but decided to keep as the top is unique and i know that i will wear it frequently. aleardy thinking of way to wear all year around! runs small</v>
      </c>
      <c r="F1747" s="13">
        <f>IFERROR(__xludf.DUMMYFUNCTION("""COMPUTED_VALUE"""),5.0)</f>
        <v>5</v>
      </c>
      <c r="G1747" s="13">
        <f>IFERROR(__xludf.DUMMYFUNCTION("""COMPUTED_VALUE"""),1.0)</f>
        <v>1</v>
      </c>
      <c r="H1747" s="13">
        <f>IFERROR(__xludf.DUMMYFUNCTION("""COMPUTED_VALUE"""),0.0)</f>
        <v>0</v>
      </c>
      <c r="I1747" s="13" t="str">
        <f>IFERROR(__xludf.DUMMYFUNCTION("""COMPUTED_VALUE"""),"General")</f>
        <v>General</v>
      </c>
      <c r="J1747" s="13" t="str">
        <f>IFERROR(__xludf.DUMMYFUNCTION("""COMPUTED_VALUE"""),"Tops")</f>
        <v>Tops</v>
      </c>
      <c r="K1747" s="13" t="str">
        <f>IFERROR(__xludf.DUMMYFUNCTION("""COMPUTED_VALUE"""),"Knits")</f>
        <v>Knits</v>
      </c>
      <c r="L1747" s="13"/>
    </row>
    <row r="1748">
      <c r="A1748" s="13">
        <f>IFERROR(__xludf.DUMMYFUNCTION("""COMPUTED_VALUE"""),1746.0)</f>
        <v>1746</v>
      </c>
      <c r="B1748" s="13">
        <f>IFERROR(__xludf.DUMMYFUNCTION("""COMPUTED_VALUE"""),1008.0)</f>
        <v>1008</v>
      </c>
      <c r="C1748" s="13">
        <f>IFERROR(__xludf.DUMMYFUNCTION("""COMPUTED_VALUE"""),51.0)</f>
        <v>51</v>
      </c>
      <c r="D1748" s="12" t="str">
        <f>IFERROR(__xludf.DUMMYFUNCTION("""COMPUTED_VALUE"""),"Comfy")</f>
        <v>Comfy</v>
      </c>
      <c r="E1748" s="12" t="str">
        <f>IFERROR(__xludf.DUMMYFUNCTION("""COMPUTED_VALUE"""),"Unlike the other reviews, i love this skirt. the lining is a nice stretchy material, as is the eyelet overlay, making it a really easy to wear, and comfortable skirt while still looking polished and professional.   
i bought it so that its slim fitting, m"&amp;"ore like a pencil skirt. 
i've only worn it to work dressed up, with boots, but suspect i'll get a lot of use in the summer with flip flops and a tee shirt. 
i highly recommend it, and think it's a great price. 
it is longer than on the mode")</f>
        <v>Unlike the other reviews, i love this skirt. the lining is a nice stretchy material, as is the eyelet overlay, making it a really easy to wear, and comfortable skirt while still looking polished and professional.   
i bought it so that its slim fitting, more like a pencil skirt. 
i've only worn it to work dressed up, with boots, but suspect i'll get a lot of use in the summer with flip flops and a tee shirt. 
i highly recommend it, and think it's a great price. 
it is longer than on the mode</v>
      </c>
      <c r="F1748" s="13">
        <f>IFERROR(__xludf.DUMMYFUNCTION("""COMPUTED_VALUE"""),5.0)</f>
        <v>5</v>
      </c>
      <c r="G1748" s="13">
        <f>IFERROR(__xludf.DUMMYFUNCTION("""COMPUTED_VALUE"""),1.0)</f>
        <v>1</v>
      </c>
      <c r="H1748" s="13">
        <f>IFERROR(__xludf.DUMMYFUNCTION("""COMPUTED_VALUE"""),5.0)</f>
        <v>5</v>
      </c>
      <c r="I1748" s="13" t="str">
        <f>IFERROR(__xludf.DUMMYFUNCTION("""COMPUTED_VALUE"""),"General Petite")</f>
        <v>General Petite</v>
      </c>
      <c r="J1748" s="13" t="str">
        <f>IFERROR(__xludf.DUMMYFUNCTION("""COMPUTED_VALUE"""),"Bottoms")</f>
        <v>Bottoms</v>
      </c>
      <c r="K1748" s="13" t="str">
        <f>IFERROR(__xludf.DUMMYFUNCTION("""COMPUTED_VALUE"""),"Skirts")</f>
        <v>Skirts</v>
      </c>
      <c r="L1748" s="13"/>
    </row>
    <row r="1749">
      <c r="A1749" s="13">
        <f>IFERROR(__xludf.DUMMYFUNCTION("""COMPUTED_VALUE"""),1747.0)</f>
        <v>1747</v>
      </c>
      <c r="B1749" s="13">
        <f>IFERROR(__xludf.DUMMYFUNCTION("""COMPUTED_VALUE"""),34.0)</f>
        <v>34</v>
      </c>
      <c r="C1749" s="13">
        <f>IFERROR(__xludf.DUMMYFUNCTION("""COMPUTED_VALUE"""),42.0)</f>
        <v>42</v>
      </c>
      <c r="D1749" s="12" t="str">
        <f>IFERROR(__xludf.DUMMYFUNCTION("""COMPUTED_VALUE"""),"The best boy short")</f>
        <v>The best boy short</v>
      </c>
      <c r="E1749" s="12" t="str">
        <f>IFERROR(__xludf.DUMMYFUNCTION("""COMPUTED_VALUE"""),"I love panties. i love the prettiest, softest, most adore-worthy panties i can find. these are my favorite boy shorts--i can always put them on and feel pretty. no weird tight spots and the lace has a perfect amount of stretch. im a mom and my body isn't "&amp;"perfect anymore, but these panties give me confidence, with perfect coverage. i choose them more often than any other in my lingerie drawer. my only warning: wash these pretties as delicates, or the lovely lace colors will fade.")</f>
        <v>I love panties. i love the prettiest, softest, most adore-worthy panties i can find. these are my favorite boy shorts--i can always put them on and feel pretty. no weird tight spots and the lace has a perfect amount of stretch. im a mom and my body isn't perfect anymore, but these panties give me confidence, with perfect coverage. i choose them more often than any other in my lingerie drawer. my only warning: wash these pretties as delicates, or the lovely lace colors will fade.</v>
      </c>
      <c r="F1749" s="13">
        <f>IFERROR(__xludf.DUMMYFUNCTION("""COMPUTED_VALUE"""),5.0)</f>
        <v>5</v>
      </c>
      <c r="G1749" s="13">
        <f>IFERROR(__xludf.DUMMYFUNCTION("""COMPUTED_VALUE"""),1.0)</f>
        <v>1</v>
      </c>
      <c r="H1749" s="13">
        <f>IFERROR(__xludf.DUMMYFUNCTION("""COMPUTED_VALUE"""),0.0)</f>
        <v>0</v>
      </c>
      <c r="I1749" s="13" t="str">
        <f>IFERROR(__xludf.DUMMYFUNCTION("""COMPUTED_VALUE"""),"Initmates")</f>
        <v>Initmates</v>
      </c>
      <c r="J1749" s="13" t="str">
        <f>IFERROR(__xludf.DUMMYFUNCTION("""COMPUTED_VALUE"""),"Intimate")</f>
        <v>Intimate</v>
      </c>
      <c r="K1749" s="13" t="str">
        <f>IFERROR(__xludf.DUMMYFUNCTION("""COMPUTED_VALUE"""),"Intimates")</f>
        <v>Intimates</v>
      </c>
      <c r="L1749" s="13"/>
    </row>
    <row r="1750">
      <c r="A1750" s="13">
        <f>IFERROR(__xludf.DUMMYFUNCTION("""COMPUTED_VALUE"""),1748.0)</f>
        <v>1748</v>
      </c>
      <c r="B1750" s="13">
        <f>IFERROR(__xludf.DUMMYFUNCTION("""COMPUTED_VALUE"""),1008.0)</f>
        <v>1008</v>
      </c>
      <c r="C1750" s="13">
        <f>IFERROR(__xludf.DUMMYFUNCTION("""COMPUTED_VALUE"""),32.0)</f>
        <v>32</v>
      </c>
      <c r="D1750" s="12" t="str">
        <f>IFERROR(__xludf.DUMMYFUNCTION("""COMPUTED_VALUE"""),"A little long")</f>
        <v>A little long</v>
      </c>
      <c r="E1750" s="12" t="str">
        <f>IFERROR(__xludf.DUMMYFUNCTION("""COMPUTED_VALUE"""),"I can't figure out if this skirt is supposed to be high-waisted (if so, it's too big but the length works), or if it's supposed to sit on my hips (fits well but too long). but the material is really comfortable, and the design is different in a good way.")</f>
        <v>I can't figure out if this skirt is supposed to be high-waisted (if so, it's too big but the length works), or if it's supposed to sit on my hips (fits well but too long). but the material is really comfortable, and the design is different in a good way.</v>
      </c>
      <c r="F1750" s="13">
        <f>IFERROR(__xludf.DUMMYFUNCTION("""COMPUTED_VALUE"""),3.0)</f>
        <v>3</v>
      </c>
      <c r="G1750" s="13">
        <f>IFERROR(__xludf.DUMMYFUNCTION("""COMPUTED_VALUE"""),1.0)</f>
        <v>1</v>
      </c>
      <c r="H1750" s="13">
        <f>IFERROR(__xludf.DUMMYFUNCTION("""COMPUTED_VALUE"""),0.0)</f>
        <v>0</v>
      </c>
      <c r="I1750" s="13" t="str">
        <f>IFERROR(__xludf.DUMMYFUNCTION("""COMPUTED_VALUE"""),"General Petite")</f>
        <v>General Petite</v>
      </c>
      <c r="J1750" s="13" t="str">
        <f>IFERROR(__xludf.DUMMYFUNCTION("""COMPUTED_VALUE"""),"Bottoms")</f>
        <v>Bottoms</v>
      </c>
      <c r="K1750" s="13" t="str">
        <f>IFERROR(__xludf.DUMMYFUNCTION("""COMPUTED_VALUE"""),"Skirts")</f>
        <v>Skirts</v>
      </c>
      <c r="L1750" s="13"/>
    </row>
    <row r="1751">
      <c r="A1751" s="13">
        <f>IFERROR(__xludf.DUMMYFUNCTION("""COMPUTED_VALUE"""),1749.0)</f>
        <v>1749</v>
      </c>
      <c r="B1751" s="13">
        <f>IFERROR(__xludf.DUMMYFUNCTION("""COMPUTED_VALUE"""),1008.0)</f>
        <v>1008</v>
      </c>
      <c r="C1751" s="13">
        <f>IFERROR(__xludf.DUMMYFUNCTION("""COMPUTED_VALUE"""),35.0)</f>
        <v>35</v>
      </c>
      <c r="D1751" s="12" t="str">
        <f>IFERROR(__xludf.DUMMYFUNCTION("""COMPUTED_VALUE"""),"Good skirt")</f>
        <v>Good skirt</v>
      </c>
      <c r="E1751" s="12" t="str">
        <f>IFERROR(__xludf.DUMMYFUNCTION("""COMPUTED_VALUE"""),"I'm glad i got this skirt because it's prettier in person than in the picture. fiance loves it so that's a bonus. it's tts although it's longer than shown on the picture. very high quality and looks expensive. i'm very happy with this purchase.")</f>
        <v>I'm glad i got this skirt because it's prettier in person than in the picture. fiance loves it so that's a bonus. it's tts although it's longer than shown on the picture. very high quality and looks expensive. i'm very happy with this purchase.</v>
      </c>
      <c r="F1751" s="13">
        <f>IFERROR(__xludf.DUMMYFUNCTION("""COMPUTED_VALUE"""),5.0)</f>
        <v>5</v>
      </c>
      <c r="G1751" s="13">
        <f>IFERROR(__xludf.DUMMYFUNCTION("""COMPUTED_VALUE"""),1.0)</f>
        <v>1</v>
      </c>
      <c r="H1751" s="13">
        <f>IFERROR(__xludf.DUMMYFUNCTION("""COMPUTED_VALUE"""),1.0)</f>
        <v>1</v>
      </c>
      <c r="I1751" s="13" t="str">
        <f>IFERROR(__xludf.DUMMYFUNCTION("""COMPUTED_VALUE"""),"General Petite")</f>
        <v>General Petite</v>
      </c>
      <c r="J1751" s="13" t="str">
        <f>IFERROR(__xludf.DUMMYFUNCTION("""COMPUTED_VALUE"""),"Bottoms")</f>
        <v>Bottoms</v>
      </c>
      <c r="K1751" s="13" t="str">
        <f>IFERROR(__xludf.DUMMYFUNCTION("""COMPUTED_VALUE"""),"Skirts")</f>
        <v>Skirts</v>
      </c>
      <c r="L1751" s="13"/>
    </row>
    <row r="1752">
      <c r="A1752" s="13">
        <f>IFERROR(__xludf.DUMMYFUNCTION("""COMPUTED_VALUE"""),1750.0)</f>
        <v>1750</v>
      </c>
      <c r="B1752" s="13">
        <f>IFERROR(__xludf.DUMMYFUNCTION("""COMPUTED_VALUE"""),1081.0)</f>
        <v>1081</v>
      </c>
      <c r="C1752" s="13">
        <f>IFERROR(__xludf.DUMMYFUNCTION("""COMPUTED_VALUE"""),34.0)</f>
        <v>34</v>
      </c>
      <c r="D1752" s="12" t="str">
        <f>IFERROR(__xludf.DUMMYFUNCTION("""COMPUTED_VALUE"""),"Nice, but not for me")</f>
        <v>Nice, but not for me</v>
      </c>
      <c r="E1752" s="12" t="str">
        <f>IFERROR(__xludf.DUMMYFUNCTION("""COMPUTED_VALUE"""),"This is a very nice dress. the jersey is soft and high quality. the construction appears solid. the color is very pretty, and looks in real life just like it does on my computer. the cut and draping just don't work for me. there's just too much draping, t"&amp;"oo much fabric. it overwhelmed me and made me look bigger than i am. i have a feeling this would be much more flattering on a curvier figure than my own. this dress seemed to be trying to accentuate curves i don't really have (especially in the")</f>
        <v>This is a very nice dress. the jersey is soft and high quality. the construction appears solid. the color is very pretty, and looks in real life just like it does on my computer. the cut and draping just don't work for me. there's just too much draping, too much fabric. it overwhelmed me and made me look bigger than i am. i have a feeling this would be much more flattering on a curvier figure than my own. this dress seemed to be trying to accentuate curves i don't really have (especially in the</v>
      </c>
      <c r="F1752" s="13">
        <f>IFERROR(__xludf.DUMMYFUNCTION("""COMPUTED_VALUE"""),4.0)</f>
        <v>4</v>
      </c>
      <c r="G1752" s="13">
        <f>IFERROR(__xludf.DUMMYFUNCTION("""COMPUTED_VALUE"""),1.0)</f>
        <v>1</v>
      </c>
      <c r="H1752" s="13">
        <f>IFERROR(__xludf.DUMMYFUNCTION("""COMPUTED_VALUE"""),4.0)</f>
        <v>4</v>
      </c>
      <c r="I1752" s="13" t="str">
        <f>IFERROR(__xludf.DUMMYFUNCTION("""COMPUTED_VALUE"""),"General")</f>
        <v>General</v>
      </c>
      <c r="J1752" s="13" t="str">
        <f>IFERROR(__xludf.DUMMYFUNCTION("""COMPUTED_VALUE"""),"Dresses")</f>
        <v>Dresses</v>
      </c>
      <c r="K1752" s="13" t="str">
        <f>IFERROR(__xludf.DUMMYFUNCTION("""COMPUTED_VALUE"""),"Dresses")</f>
        <v>Dresses</v>
      </c>
      <c r="L1752" s="13"/>
    </row>
    <row r="1753">
      <c r="A1753" s="13">
        <f>IFERROR(__xludf.DUMMYFUNCTION("""COMPUTED_VALUE"""),1751.0)</f>
        <v>1751</v>
      </c>
      <c r="B1753" s="13">
        <f>IFERROR(__xludf.DUMMYFUNCTION("""COMPUTED_VALUE"""),1008.0)</f>
        <v>1008</v>
      </c>
      <c r="C1753" s="13">
        <f>IFERROR(__xludf.DUMMYFUNCTION("""COMPUTED_VALUE"""),27.0)</f>
        <v>27</v>
      </c>
      <c r="D1753" s="12" t="str">
        <f>IFERROR(__xludf.DUMMYFUNCTION("""COMPUTED_VALUE"""),"Cute and comfy")</f>
        <v>Cute and comfy</v>
      </c>
      <c r="E1753" s="12" t="str">
        <f>IFERROR(__xludf.DUMMYFUNCTION("""COMPUTED_VALUE"""),"I tried this on in-store and would have purchased if it have been a better price, it wasn't something i could justify spending $100 bucks on. it's cute and was surprisingly comfortable but again, not worth the asking price. i will buy when it goes on sale"&amp;".")</f>
        <v>I tried this on in-store and would have purchased if it have been a better price, it wasn't something i could justify spending $100 bucks on. it's cute and was surprisingly comfortable but again, not worth the asking price. i will buy when it goes on sale.</v>
      </c>
      <c r="F1753" s="13">
        <f>IFERROR(__xludf.DUMMYFUNCTION("""COMPUTED_VALUE"""),4.0)</f>
        <v>4</v>
      </c>
      <c r="G1753" s="13">
        <f>IFERROR(__xludf.DUMMYFUNCTION("""COMPUTED_VALUE"""),1.0)</f>
        <v>1</v>
      </c>
      <c r="H1753" s="13">
        <f>IFERROR(__xludf.DUMMYFUNCTION("""COMPUTED_VALUE"""),6.0)</f>
        <v>6</v>
      </c>
      <c r="I1753" s="13" t="str">
        <f>IFERROR(__xludf.DUMMYFUNCTION("""COMPUTED_VALUE"""),"General Petite")</f>
        <v>General Petite</v>
      </c>
      <c r="J1753" s="13" t="str">
        <f>IFERROR(__xludf.DUMMYFUNCTION("""COMPUTED_VALUE"""),"Bottoms")</f>
        <v>Bottoms</v>
      </c>
      <c r="K1753" s="13" t="str">
        <f>IFERROR(__xludf.DUMMYFUNCTION("""COMPUTED_VALUE"""),"Skirts")</f>
        <v>Skirts</v>
      </c>
      <c r="L1753" s="13"/>
    </row>
    <row r="1754">
      <c r="A1754" s="13">
        <f>IFERROR(__xludf.DUMMYFUNCTION("""COMPUTED_VALUE"""),1752.0)</f>
        <v>1752</v>
      </c>
      <c r="B1754" s="13">
        <f>IFERROR(__xludf.DUMMYFUNCTION("""COMPUTED_VALUE"""),984.0)</f>
        <v>984</v>
      </c>
      <c r="C1754" s="13">
        <f>IFERROR(__xludf.DUMMYFUNCTION("""COMPUTED_VALUE"""),56.0)</f>
        <v>56</v>
      </c>
      <c r="D1754" s="12" t="str">
        <f>IFERROR(__xludf.DUMMYFUNCTION("""COMPUTED_VALUE"""),"One of the best denim dusters!!")</f>
        <v>One of the best denim dusters!!</v>
      </c>
      <c r="E1754" s="12" t="str">
        <f>IFERROR(__xludf.DUMMYFUNCTION("""COMPUTED_VALUE"""),"I was out of town when my coat arrived, and was so excited to get home and try it on!!  i haven't worn it yet, but we've now got the weather for it...and i can't wait!  i'm 5'7"" and heavier than i'd like, but the xl fit perfectly!")</f>
        <v>I was out of town when my coat arrived, and was so excited to get home and try it on!!  i haven't worn it yet, but we've now got the weather for it...and i can't wait!  i'm 5'7" and heavier than i'd like, but the xl fit perfectly!</v>
      </c>
      <c r="F1754" s="13">
        <f>IFERROR(__xludf.DUMMYFUNCTION("""COMPUTED_VALUE"""),5.0)</f>
        <v>5</v>
      </c>
      <c r="G1754" s="13">
        <f>IFERROR(__xludf.DUMMYFUNCTION("""COMPUTED_VALUE"""),1.0)</f>
        <v>1</v>
      </c>
      <c r="H1754" s="13">
        <f>IFERROR(__xludf.DUMMYFUNCTION("""COMPUTED_VALUE"""),0.0)</f>
        <v>0</v>
      </c>
      <c r="I1754" s="13" t="str">
        <f>IFERROR(__xludf.DUMMYFUNCTION("""COMPUTED_VALUE"""),"General Petite")</f>
        <v>General Petite</v>
      </c>
      <c r="J1754" s="13" t="str">
        <f>IFERROR(__xludf.DUMMYFUNCTION("""COMPUTED_VALUE"""),"Jackets")</f>
        <v>Jackets</v>
      </c>
      <c r="K1754" s="13" t="str">
        <f>IFERROR(__xludf.DUMMYFUNCTION("""COMPUTED_VALUE"""),"Jackets")</f>
        <v>Jackets</v>
      </c>
      <c r="L1754" s="13"/>
    </row>
    <row r="1755">
      <c r="A1755" s="13">
        <f>IFERROR(__xludf.DUMMYFUNCTION("""COMPUTED_VALUE"""),1753.0)</f>
        <v>1753</v>
      </c>
      <c r="B1755" s="13">
        <f>IFERROR(__xludf.DUMMYFUNCTION("""COMPUTED_VALUE"""),888.0)</f>
        <v>888</v>
      </c>
      <c r="C1755" s="13">
        <f>IFERROR(__xludf.DUMMYFUNCTION("""COMPUTED_VALUE"""),26.0)</f>
        <v>26</v>
      </c>
      <c r="D1755" s="12" t="str">
        <f>IFERROR(__xludf.DUMMYFUNCTION("""COMPUTED_VALUE"""),"Good but runs very small")</f>
        <v>Good but runs very small</v>
      </c>
      <c r="E1755" s="12" t="str">
        <f>IFERROR(__xludf.DUMMYFUNCTION("""COMPUTED_VALUE"""),"Retailer sizes are all over the place. i fell in love with this top, and tried it a couple of times to see if it would work. unfortunately i have to send it back. the design and colors are very good. the side slits are very high, right up to the waist, bu"&amp;"t the top still looks good. unfortunately it is very small. it still fits because of the long side slits, and is not that tight at the top due to sleeveless, but the fit just wasn't as flattering. it does seem to run 1-2 sizes small, so i a")</f>
        <v>Retailer sizes are all over the place. i fell in love with this top, and tried it a couple of times to see if it would work. unfortunately i have to send it back. the design and colors are very good. the side slits are very high, right up to the waist, but the top still looks good. unfortunately it is very small. it still fits because of the long side slits, and is not that tight at the top due to sleeveless, but the fit just wasn't as flattering. it does seem to run 1-2 sizes small, so i a</v>
      </c>
      <c r="F1755" s="13">
        <f>IFERROR(__xludf.DUMMYFUNCTION("""COMPUTED_VALUE"""),4.0)</f>
        <v>4</v>
      </c>
      <c r="G1755" s="13">
        <f>IFERROR(__xludf.DUMMYFUNCTION("""COMPUTED_VALUE"""),1.0)</f>
        <v>1</v>
      </c>
      <c r="H1755" s="13">
        <f>IFERROR(__xludf.DUMMYFUNCTION("""COMPUTED_VALUE"""),1.0)</f>
        <v>1</v>
      </c>
      <c r="I1755" s="13" t="str">
        <f>IFERROR(__xludf.DUMMYFUNCTION("""COMPUTED_VALUE"""),"General")</f>
        <v>General</v>
      </c>
      <c r="J1755" s="13" t="str">
        <f>IFERROR(__xludf.DUMMYFUNCTION("""COMPUTED_VALUE"""),"Tops")</f>
        <v>Tops</v>
      </c>
      <c r="K1755" s="13" t="str">
        <f>IFERROR(__xludf.DUMMYFUNCTION("""COMPUTED_VALUE"""),"Knits")</f>
        <v>Knits</v>
      </c>
      <c r="L1755" s="13"/>
    </row>
    <row r="1756">
      <c r="A1756" s="13">
        <f>IFERROR(__xludf.DUMMYFUNCTION("""COMPUTED_VALUE"""),1754.0)</f>
        <v>1754</v>
      </c>
      <c r="B1756" s="13">
        <f>IFERROR(__xludf.DUMMYFUNCTION("""COMPUTED_VALUE"""),1008.0)</f>
        <v>1008</v>
      </c>
      <c r="C1756" s="13">
        <f>IFERROR(__xludf.DUMMYFUNCTION("""COMPUTED_VALUE"""),39.0)</f>
        <v>39</v>
      </c>
      <c r="D1756" s="12"/>
      <c r="E1756" s="12" t="str">
        <f>IFERROR(__xludf.DUMMYFUNCTION("""COMPUTED_VALUE"""),"Fits beautifully. perfect for spring and summer. the cut of this skirt gives your figure a wonderful shape. the quality of the material is excellent.  this item is perfect for to dress up for a date night or wear slightly more casually for a brunch.")</f>
        <v>Fits beautifully. perfect for spring and summer. the cut of this skirt gives your figure a wonderful shape. the quality of the material is excellent.  this item is perfect for to dress up for a date night or wear slightly more casually for a brunch.</v>
      </c>
      <c r="F1756" s="13">
        <f>IFERROR(__xludf.DUMMYFUNCTION("""COMPUTED_VALUE"""),5.0)</f>
        <v>5</v>
      </c>
      <c r="G1756" s="13">
        <f>IFERROR(__xludf.DUMMYFUNCTION("""COMPUTED_VALUE"""),1.0)</f>
        <v>1</v>
      </c>
      <c r="H1756" s="13">
        <f>IFERROR(__xludf.DUMMYFUNCTION("""COMPUTED_VALUE"""),1.0)</f>
        <v>1</v>
      </c>
      <c r="I1756" s="13" t="str">
        <f>IFERROR(__xludf.DUMMYFUNCTION("""COMPUTED_VALUE"""),"General Petite")</f>
        <v>General Petite</v>
      </c>
      <c r="J1756" s="13" t="str">
        <f>IFERROR(__xludf.DUMMYFUNCTION("""COMPUTED_VALUE"""),"Bottoms")</f>
        <v>Bottoms</v>
      </c>
      <c r="K1756" s="13" t="str">
        <f>IFERROR(__xludf.DUMMYFUNCTION("""COMPUTED_VALUE"""),"Skirts")</f>
        <v>Skirts</v>
      </c>
      <c r="L1756" s="13"/>
    </row>
    <row r="1757">
      <c r="A1757" s="13">
        <f>IFERROR(__xludf.DUMMYFUNCTION("""COMPUTED_VALUE"""),1755.0)</f>
        <v>1755</v>
      </c>
      <c r="B1757" s="13">
        <f>IFERROR(__xludf.DUMMYFUNCTION("""COMPUTED_VALUE"""),1095.0)</f>
        <v>1095</v>
      </c>
      <c r="C1757" s="13">
        <f>IFERROR(__xludf.DUMMYFUNCTION("""COMPUTED_VALUE"""),27.0)</f>
        <v>27</v>
      </c>
      <c r="D1757" s="12" t="str">
        <f>IFERROR(__xludf.DUMMYFUNCTION("""COMPUTED_VALUE"""),"Runs small, stiff top")</f>
        <v>Runs small, stiff top</v>
      </c>
      <c r="E1757" s="12" t="str">
        <f>IFERROR(__xludf.DUMMYFUNCTION("""COMPUTED_VALUE"""),"I ordered this in my usual size 0 and couldn't finish zipping up the top, but also couldn't fill in the boobs. i am 5'7, 116 lbs, 32a. it is very cute, but the top was pretty stiff and unless it draped on you correctly, could probably be bothersome. i was"&amp;" disappointed in the quality of the skirt- no lining, simple cotton/polyester. i will probably return, try the size up, but was disappointed compared to how excited i was for it. i did like that it had pockets, and would be a fun dress to wear f")</f>
        <v>I ordered this in my usual size 0 and couldn't finish zipping up the top, but also couldn't fill in the boobs. i am 5'7, 116 lbs, 32a. it is very cute, but the top was pretty stiff and unless it draped on you correctly, could probably be bothersome. i was disappointed in the quality of the skirt- no lining, simple cotton/polyester. i will probably return, try the size up, but was disappointed compared to how excited i was for it. i did like that it had pockets, and would be a fun dress to wear f</v>
      </c>
      <c r="F1757" s="13">
        <f>IFERROR(__xludf.DUMMYFUNCTION("""COMPUTED_VALUE"""),4.0)</f>
        <v>4</v>
      </c>
      <c r="G1757" s="13">
        <f>IFERROR(__xludf.DUMMYFUNCTION("""COMPUTED_VALUE"""),0.0)</f>
        <v>0</v>
      </c>
      <c r="H1757" s="13">
        <f>IFERROR(__xludf.DUMMYFUNCTION("""COMPUTED_VALUE"""),0.0)</f>
        <v>0</v>
      </c>
      <c r="I1757" s="13" t="str">
        <f>IFERROR(__xludf.DUMMYFUNCTION("""COMPUTED_VALUE"""),"General Petite")</f>
        <v>General Petite</v>
      </c>
      <c r="J1757" s="13" t="str">
        <f>IFERROR(__xludf.DUMMYFUNCTION("""COMPUTED_VALUE"""),"Dresses")</f>
        <v>Dresses</v>
      </c>
      <c r="K1757" s="13" t="str">
        <f>IFERROR(__xludf.DUMMYFUNCTION("""COMPUTED_VALUE"""),"Dresses")</f>
        <v>Dresses</v>
      </c>
      <c r="L1757" s="13"/>
    </row>
    <row r="1758">
      <c r="A1758" s="13">
        <f>IFERROR(__xludf.DUMMYFUNCTION("""COMPUTED_VALUE"""),1756.0)</f>
        <v>1756</v>
      </c>
      <c r="B1758" s="13">
        <f>IFERROR(__xludf.DUMMYFUNCTION("""COMPUTED_VALUE"""),1095.0)</f>
        <v>1095</v>
      </c>
      <c r="C1758" s="13">
        <f>IFERROR(__xludf.DUMMYFUNCTION("""COMPUTED_VALUE"""),35.0)</f>
        <v>35</v>
      </c>
      <c r="D1758" s="12" t="str">
        <f>IFERROR(__xludf.DUMMYFUNCTION("""COMPUTED_VALUE"""),"Great fit, alluring")</f>
        <v>Great fit, alluring</v>
      </c>
      <c r="E1758" s="12" t="str">
        <f>IFERROR(__xludf.DUMMYFUNCTION("""COMPUTED_VALUE"""),"I love this dress so much. the fabric on top is not something i would have chosen-it is thick and almost an elastic kind of feel. but i have grown to appreciate that since this dress is not amenable to most bras. i think the fabric would be thick enough o"&amp;"n top to actually just do without one. otherwise you would have to go with a strapless-and the right kind of strapless, with this dress.
when they say it flares it really does-and much more than i was expecting. the bottom part of the skirt f")</f>
        <v>I love this dress so much. the fabric on top is not something i would have chosen-it is thick and almost an elastic kind of feel. but i have grown to appreciate that since this dress is not amenable to most bras. i think the fabric would be thick enough on top to actually just do without one. otherwise you would have to go with a strapless-and the right kind of strapless, with this dress.
when they say it flares it really does-and much more than i was expecting. the bottom part of the skirt f</v>
      </c>
      <c r="F1758" s="13">
        <f>IFERROR(__xludf.DUMMYFUNCTION("""COMPUTED_VALUE"""),5.0)</f>
        <v>5</v>
      </c>
      <c r="G1758" s="13">
        <f>IFERROR(__xludf.DUMMYFUNCTION("""COMPUTED_VALUE"""),1.0)</f>
        <v>1</v>
      </c>
      <c r="H1758" s="13">
        <f>IFERROR(__xludf.DUMMYFUNCTION("""COMPUTED_VALUE"""),2.0)</f>
        <v>2</v>
      </c>
      <c r="I1758" s="13" t="str">
        <f>IFERROR(__xludf.DUMMYFUNCTION("""COMPUTED_VALUE"""),"General Petite")</f>
        <v>General Petite</v>
      </c>
      <c r="J1758" s="13" t="str">
        <f>IFERROR(__xludf.DUMMYFUNCTION("""COMPUTED_VALUE"""),"Dresses")</f>
        <v>Dresses</v>
      </c>
      <c r="K1758" s="13" t="str">
        <f>IFERROR(__xludf.DUMMYFUNCTION("""COMPUTED_VALUE"""),"Dresses")</f>
        <v>Dresses</v>
      </c>
      <c r="L1758" s="13"/>
    </row>
    <row r="1759">
      <c r="A1759" s="13">
        <f>IFERROR(__xludf.DUMMYFUNCTION("""COMPUTED_VALUE"""),1757.0)</f>
        <v>1757</v>
      </c>
      <c r="B1759" s="13">
        <f>IFERROR(__xludf.DUMMYFUNCTION("""COMPUTED_VALUE"""),1008.0)</f>
        <v>1008</v>
      </c>
      <c r="C1759" s="13">
        <f>IFERROR(__xludf.DUMMYFUNCTION("""COMPUTED_VALUE"""),53.0)</f>
        <v>53</v>
      </c>
      <c r="D1759" s="12" t="str">
        <f>IFERROR(__xludf.DUMMYFUNCTION("""COMPUTED_VALUE"""),"Lovely pattern")</f>
        <v>Lovely pattern</v>
      </c>
      <c r="E1759" s="12" t="str">
        <f>IFERROR(__xludf.DUMMYFUNCTION("""COMPUTED_VALUE"""),"Timeless skirt. just don't like the placement of the slit, so maybe i'll sew it up.")</f>
        <v>Timeless skirt. just don't like the placement of the slit, so maybe i'll sew it up.</v>
      </c>
      <c r="F1759" s="13">
        <f>IFERROR(__xludf.DUMMYFUNCTION("""COMPUTED_VALUE"""),5.0)</f>
        <v>5</v>
      </c>
      <c r="G1759" s="13">
        <f>IFERROR(__xludf.DUMMYFUNCTION("""COMPUTED_VALUE"""),1.0)</f>
        <v>1</v>
      </c>
      <c r="H1759" s="13">
        <f>IFERROR(__xludf.DUMMYFUNCTION("""COMPUTED_VALUE"""),1.0)</f>
        <v>1</v>
      </c>
      <c r="I1759" s="13" t="str">
        <f>IFERROR(__xludf.DUMMYFUNCTION("""COMPUTED_VALUE"""),"General Petite")</f>
        <v>General Petite</v>
      </c>
      <c r="J1759" s="13" t="str">
        <f>IFERROR(__xludf.DUMMYFUNCTION("""COMPUTED_VALUE"""),"Bottoms")</f>
        <v>Bottoms</v>
      </c>
      <c r="K1759" s="13" t="str">
        <f>IFERROR(__xludf.DUMMYFUNCTION("""COMPUTED_VALUE"""),"Skirts")</f>
        <v>Skirts</v>
      </c>
      <c r="L1759" s="13"/>
    </row>
    <row r="1760">
      <c r="A1760" s="13">
        <f>IFERROR(__xludf.DUMMYFUNCTION("""COMPUTED_VALUE"""),1758.0)</f>
        <v>1758</v>
      </c>
      <c r="B1760" s="13">
        <f>IFERROR(__xludf.DUMMYFUNCTION("""COMPUTED_VALUE"""),1013.0)</f>
        <v>1013</v>
      </c>
      <c r="C1760" s="13">
        <f>IFERROR(__xludf.DUMMYFUNCTION("""COMPUTED_VALUE"""),28.0)</f>
        <v>28</v>
      </c>
      <c r="D1760" s="12" t="str">
        <f>IFERROR(__xludf.DUMMYFUNCTION("""COMPUTED_VALUE"""),"Omg! back is see-through!!")</f>
        <v>Omg! back is see-through!!</v>
      </c>
      <c r="E1760" s="12" t="str">
        <f>IFERROR(__xludf.DUMMYFUNCTION("""COMPUTED_VALUE"""),"I was so excited about this skirt and pairing it with a cute blouse for the warmer weather. as i took out the skirt out of the package and flipped it around, the back has mesh strips that are see through! there is also no lining to go with this skirt. if "&amp;"you go back to the ""back view"" picture on the website and zoom in closely, you can see the model's black underwear.")</f>
        <v>I was so excited about this skirt and pairing it with a cute blouse for the warmer weather. as i took out the skirt out of the package and flipped it around, the back has mesh strips that are see through! there is also no lining to go with this skirt. if you go back to the "back view" picture on the website and zoom in closely, you can see the model's black underwear.</v>
      </c>
      <c r="F1760" s="13">
        <f>IFERROR(__xludf.DUMMYFUNCTION("""COMPUTED_VALUE"""),1.0)</f>
        <v>1</v>
      </c>
      <c r="G1760" s="13">
        <f>IFERROR(__xludf.DUMMYFUNCTION("""COMPUTED_VALUE"""),0.0)</f>
        <v>0</v>
      </c>
      <c r="H1760" s="13">
        <f>IFERROR(__xludf.DUMMYFUNCTION("""COMPUTED_VALUE"""),1.0)</f>
        <v>1</v>
      </c>
      <c r="I1760" s="13" t="str">
        <f>IFERROR(__xludf.DUMMYFUNCTION("""COMPUTED_VALUE"""),"General")</f>
        <v>General</v>
      </c>
      <c r="J1760" s="13" t="str">
        <f>IFERROR(__xludf.DUMMYFUNCTION("""COMPUTED_VALUE"""),"Bottoms")</f>
        <v>Bottoms</v>
      </c>
      <c r="K1760" s="13" t="str">
        <f>IFERROR(__xludf.DUMMYFUNCTION("""COMPUTED_VALUE"""),"Skirts")</f>
        <v>Skirts</v>
      </c>
      <c r="L1760" s="13"/>
    </row>
    <row r="1761">
      <c r="A1761" s="13">
        <f>IFERROR(__xludf.DUMMYFUNCTION("""COMPUTED_VALUE"""),1759.0)</f>
        <v>1759</v>
      </c>
      <c r="B1761" s="13">
        <f>IFERROR(__xludf.DUMMYFUNCTION("""COMPUTED_VALUE"""),1027.0)</f>
        <v>1027</v>
      </c>
      <c r="C1761" s="13">
        <f>IFERROR(__xludf.DUMMYFUNCTION("""COMPUTED_VALUE"""),59.0)</f>
        <v>59</v>
      </c>
      <c r="D1761" s="12" t="str">
        <f>IFERROR(__xludf.DUMMYFUNCTION("""COMPUTED_VALUE"""),"Runs large")</f>
        <v>Runs large</v>
      </c>
      <c r="E1761" s="12" t="str">
        <f>IFERROR(__xludf.DUMMYFUNCTION("""COMPUTED_VALUE"""),"Nice color and cut but runs very big so size down. will need to send back due to on line only. i am hoping one size smaller does the trick.")</f>
        <v>Nice color and cut but runs very big so size down. will need to send back due to on line only. i am hoping one size smaller does the trick.</v>
      </c>
      <c r="F1761" s="13">
        <f>IFERROR(__xludf.DUMMYFUNCTION("""COMPUTED_VALUE"""),5.0)</f>
        <v>5</v>
      </c>
      <c r="G1761" s="13">
        <f>IFERROR(__xludf.DUMMYFUNCTION("""COMPUTED_VALUE"""),1.0)</f>
        <v>1</v>
      </c>
      <c r="H1761" s="13">
        <f>IFERROR(__xludf.DUMMYFUNCTION("""COMPUTED_VALUE"""),2.0)</f>
        <v>2</v>
      </c>
      <c r="I1761" s="13" t="str">
        <f>IFERROR(__xludf.DUMMYFUNCTION("""COMPUTED_VALUE"""),"General")</f>
        <v>General</v>
      </c>
      <c r="J1761" s="13" t="str">
        <f>IFERROR(__xludf.DUMMYFUNCTION("""COMPUTED_VALUE"""),"Bottoms")</f>
        <v>Bottoms</v>
      </c>
      <c r="K1761" s="13" t="str">
        <f>IFERROR(__xludf.DUMMYFUNCTION("""COMPUTED_VALUE"""),"Jeans")</f>
        <v>Jeans</v>
      </c>
      <c r="L1761" s="13"/>
    </row>
    <row r="1762">
      <c r="A1762" s="13">
        <f>IFERROR(__xludf.DUMMYFUNCTION("""COMPUTED_VALUE"""),1760.0)</f>
        <v>1760</v>
      </c>
      <c r="B1762" s="13">
        <f>IFERROR(__xludf.DUMMYFUNCTION("""COMPUTED_VALUE"""),1095.0)</f>
        <v>1095</v>
      </c>
      <c r="C1762" s="13">
        <f>IFERROR(__xludf.DUMMYFUNCTION("""COMPUTED_VALUE"""),46.0)</f>
        <v>46</v>
      </c>
      <c r="D1762" s="12" t="str">
        <f>IFERROR(__xludf.DUMMYFUNCTION("""COMPUTED_VALUE"""),"Runs very small")</f>
        <v>Runs very small</v>
      </c>
      <c r="E1762" s="12" t="str">
        <f>IFERROR(__xludf.DUMMYFUNCTION("""COMPUTED_VALUE"""),"I love the style of this dress, but unfortunately, it runs very small. i normally wear a size 8. i ordered a 10 and the dress was closer to a size 6. disappointed that i had to return it. also, the seams were poorly done and threads hung out everywhere on"&amp;" the hem.")</f>
        <v>I love the style of this dress, but unfortunately, it runs very small. i normally wear a size 8. i ordered a 10 and the dress was closer to a size 6. disappointed that i had to return it. also, the seams were poorly done and threads hung out everywhere on the hem.</v>
      </c>
      <c r="F1762" s="13">
        <f>IFERROR(__xludf.DUMMYFUNCTION("""COMPUTED_VALUE"""),3.0)</f>
        <v>3</v>
      </c>
      <c r="G1762" s="13">
        <f>IFERROR(__xludf.DUMMYFUNCTION("""COMPUTED_VALUE"""),0.0)</f>
        <v>0</v>
      </c>
      <c r="H1762" s="13">
        <f>IFERROR(__xludf.DUMMYFUNCTION("""COMPUTED_VALUE"""),1.0)</f>
        <v>1</v>
      </c>
      <c r="I1762" s="13" t="str">
        <f>IFERROR(__xludf.DUMMYFUNCTION("""COMPUTED_VALUE"""),"General Petite")</f>
        <v>General Petite</v>
      </c>
      <c r="J1762" s="13" t="str">
        <f>IFERROR(__xludf.DUMMYFUNCTION("""COMPUTED_VALUE"""),"Dresses")</f>
        <v>Dresses</v>
      </c>
      <c r="K1762" s="13" t="str">
        <f>IFERROR(__xludf.DUMMYFUNCTION("""COMPUTED_VALUE"""),"Dresses")</f>
        <v>Dresses</v>
      </c>
      <c r="L1762" s="13"/>
    </row>
    <row r="1763">
      <c r="A1763" s="13">
        <f>IFERROR(__xludf.DUMMYFUNCTION("""COMPUTED_VALUE"""),1761.0)</f>
        <v>1761</v>
      </c>
      <c r="B1763" s="13">
        <f>IFERROR(__xludf.DUMMYFUNCTION("""COMPUTED_VALUE"""),1095.0)</f>
        <v>1095</v>
      </c>
      <c r="C1763" s="13">
        <f>IFERROR(__xludf.DUMMYFUNCTION("""COMPUTED_VALUE"""),34.0)</f>
        <v>34</v>
      </c>
      <c r="D1763" s="12" t="str">
        <f>IFERROR(__xludf.DUMMYFUNCTION("""COMPUTED_VALUE"""),"Fit works for some and for others")</f>
        <v>Fit works for some and for others</v>
      </c>
      <c r="E1763" s="12" t="str">
        <f>IFERROR(__xludf.DUMMYFUNCTION("""COMPUTED_VALUE"""),"This dress did not work for me. i tried it in my bigger size 6 since i am coming off winter weight gain. the dress fit tts but was squishing the breasts like tight bandages. i have smaller chest and the stretch bodycon fabric of the bodice made me look fl"&amp;"at-chested. the straps did not sit flat on shoulders, i assume because they were not pulled tight enough by the chest. the dress was uncomfortable and felt strange on. but i can see how others with more curves on top will love the support of the")</f>
        <v>This dress did not work for me. i tried it in my bigger size 6 since i am coming off winter weight gain. the dress fit tts but was squishing the breasts like tight bandages. i have smaller chest and the stretch bodycon fabric of the bodice made me look flat-chested. the straps did not sit flat on shoulders, i assume because they were not pulled tight enough by the chest. the dress was uncomfortable and felt strange on. but i can see how others with more curves on top will love the support of the</v>
      </c>
      <c r="F1763" s="13">
        <f>IFERROR(__xludf.DUMMYFUNCTION("""COMPUTED_VALUE"""),3.0)</f>
        <v>3</v>
      </c>
      <c r="G1763" s="13">
        <f>IFERROR(__xludf.DUMMYFUNCTION("""COMPUTED_VALUE"""),0.0)</f>
        <v>0</v>
      </c>
      <c r="H1763" s="13">
        <f>IFERROR(__xludf.DUMMYFUNCTION("""COMPUTED_VALUE"""),4.0)</f>
        <v>4</v>
      </c>
      <c r="I1763" s="13" t="str">
        <f>IFERROR(__xludf.DUMMYFUNCTION("""COMPUTED_VALUE"""),"General Petite")</f>
        <v>General Petite</v>
      </c>
      <c r="J1763" s="13" t="str">
        <f>IFERROR(__xludf.DUMMYFUNCTION("""COMPUTED_VALUE"""),"Dresses")</f>
        <v>Dresses</v>
      </c>
      <c r="K1763" s="13" t="str">
        <f>IFERROR(__xludf.DUMMYFUNCTION("""COMPUTED_VALUE"""),"Dresses")</f>
        <v>Dresses</v>
      </c>
      <c r="L1763" s="13"/>
    </row>
    <row r="1764">
      <c r="A1764" s="13">
        <f>IFERROR(__xludf.DUMMYFUNCTION("""COMPUTED_VALUE"""),1762.0)</f>
        <v>1762</v>
      </c>
      <c r="B1764" s="13">
        <f>IFERROR(__xludf.DUMMYFUNCTION("""COMPUTED_VALUE"""),867.0)</f>
        <v>867</v>
      </c>
      <c r="C1764" s="13">
        <f>IFERROR(__xludf.DUMMYFUNCTION("""COMPUTED_VALUE"""),56.0)</f>
        <v>56</v>
      </c>
      <c r="D1764" s="12" t="str">
        <f>IFERROR(__xludf.DUMMYFUNCTION("""COMPUTED_VALUE"""),"Flattering top")</f>
        <v>Flattering top</v>
      </c>
      <c r="E1764" s="12" t="str">
        <f>IFERROR(__xludf.DUMMYFUNCTION("""COMPUTED_VALUE"""),"When i first tried this top on, i didn't like it because the chest just spilled open. i saw it on someone else and it was so flattering i gave it another try. i bought it in both the red and the black, and plan to put a stitch or safety pin through the to"&amp;"p to keep it closed. it is very slimming and hides tummy/muffin top issues. i plan to wear it with the stretchy knee length maeve pencil skirts all summer, along with shorts and pants. give this one a try!")</f>
        <v>When i first tried this top on, i didn't like it because the chest just spilled open. i saw it on someone else and it was so flattering i gave it another try. i bought it in both the red and the black, and plan to put a stitch or safety pin through the top to keep it closed. it is very slimming and hides tummy/muffin top issues. i plan to wear it with the stretchy knee length maeve pencil skirts all summer, along with shorts and pants. give this one a try!</v>
      </c>
      <c r="F1764" s="13">
        <f>IFERROR(__xludf.DUMMYFUNCTION("""COMPUTED_VALUE"""),5.0)</f>
        <v>5</v>
      </c>
      <c r="G1764" s="13">
        <f>IFERROR(__xludf.DUMMYFUNCTION("""COMPUTED_VALUE"""),1.0)</f>
        <v>1</v>
      </c>
      <c r="H1764" s="13">
        <f>IFERROR(__xludf.DUMMYFUNCTION("""COMPUTED_VALUE"""),5.0)</f>
        <v>5</v>
      </c>
      <c r="I1764" s="13" t="str">
        <f>IFERROR(__xludf.DUMMYFUNCTION("""COMPUTED_VALUE"""),"General")</f>
        <v>General</v>
      </c>
      <c r="J1764" s="13" t="str">
        <f>IFERROR(__xludf.DUMMYFUNCTION("""COMPUTED_VALUE"""),"Tops")</f>
        <v>Tops</v>
      </c>
      <c r="K1764" s="13" t="str">
        <f>IFERROR(__xludf.DUMMYFUNCTION("""COMPUTED_VALUE"""),"Knits")</f>
        <v>Knits</v>
      </c>
      <c r="L1764" s="13"/>
    </row>
    <row r="1765">
      <c r="A1765" s="13">
        <f>IFERROR(__xludf.DUMMYFUNCTION("""COMPUTED_VALUE"""),1763.0)</f>
        <v>1763</v>
      </c>
      <c r="B1765" s="13">
        <f>IFERROR(__xludf.DUMMYFUNCTION("""COMPUTED_VALUE"""),1008.0)</f>
        <v>1008</v>
      </c>
      <c r="C1765" s="13">
        <f>IFERROR(__xludf.DUMMYFUNCTION("""COMPUTED_VALUE"""),45.0)</f>
        <v>45</v>
      </c>
      <c r="D1765" s="12" t="str">
        <f>IFERROR(__xludf.DUMMYFUNCTION("""COMPUTED_VALUE"""),"Great work skirt")</f>
        <v>Great work skirt</v>
      </c>
      <c r="E1765" s="12" t="str">
        <f>IFERROR(__xludf.DUMMYFUNCTION("""COMPUTED_VALUE"""),"This skirt is great to wear to work. nice medium weight. being cotton, it doesn't get to hot. skirt is lined. nice flattering shape. my normal size 4 fit perfect. love the godets. comfortable. doesn't get all wrinkled from sitting. nice royal blue color.")</f>
        <v>This skirt is great to wear to work. nice medium weight. being cotton, it doesn't get to hot. skirt is lined. nice flattering shape. my normal size 4 fit perfect. love the godets. comfortable. doesn't get all wrinkled from sitting. nice royal blue color.</v>
      </c>
      <c r="F1765" s="13">
        <f>IFERROR(__xludf.DUMMYFUNCTION("""COMPUTED_VALUE"""),5.0)</f>
        <v>5</v>
      </c>
      <c r="G1765" s="13">
        <f>IFERROR(__xludf.DUMMYFUNCTION("""COMPUTED_VALUE"""),1.0)</f>
        <v>1</v>
      </c>
      <c r="H1765" s="13">
        <f>IFERROR(__xludf.DUMMYFUNCTION("""COMPUTED_VALUE"""),5.0)</f>
        <v>5</v>
      </c>
      <c r="I1765" s="13" t="str">
        <f>IFERROR(__xludf.DUMMYFUNCTION("""COMPUTED_VALUE"""),"General Petite")</f>
        <v>General Petite</v>
      </c>
      <c r="J1765" s="13" t="str">
        <f>IFERROR(__xludf.DUMMYFUNCTION("""COMPUTED_VALUE"""),"Bottoms")</f>
        <v>Bottoms</v>
      </c>
      <c r="K1765" s="13" t="str">
        <f>IFERROR(__xludf.DUMMYFUNCTION("""COMPUTED_VALUE"""),"Skirts")</f>
        <v>Skirts</v>
      </c>
      <c r="L1765" s="13"/>
    </row>
    <row r="1766">
      <c r="A1766" s="13">
        <f>IFERROR(__xludf.DUMMYFUNCTION("""COMPUTED_VALUE"""),1764.0)</f>
        <v>1764</v>
      </c>
      <c r="B1766" s="13">
        <f>IFERROR(__xludf.DUMMYFUNCTION("""COMPUTED_VALUE"""),867.0)</f>
        <v>867</v>
      </c>
      <c r="C1766" s="13">
        <f>IFERROR(__xludf.DUMMYFUNCTION("""COMPUTED_VALUE"""),38.0)</f>
        <v>38</v>
      </c>
      <c r="D1766" s="12"/>
      <c r="E1766" s="12"/>
      <c r="F1766" s="13">
        <f>IFERROR(__xludf.DUMMYFUNCTION("""COMPUTED_VALUE"""),3.0)</f>
        <v>3</v>
      </c>
      <c r="G1766" s="13">
        <f>IFERROR(__xludf.DUMMYFUNCTION("""COMPUTED_VALUE"""),0.0)</f>
        <v>0</v>
      </c>
      <c r="H1766" s="13">
        <f>IFERROR(__xludf.DUMMYFUNCTION("""COMPUTED_VALUE"""),0.0)</f>
        <v>0</v>
      </c>
      <c r="I1766" s="13" t="str">
        <f>IFERROR(__xludf.DUMMYFUNCTION("""COMPUTED_VALUE"""),"General")</f>
        <v>General</v>
      </c>
      <c r="J1766" s="13" t="str">
        <f>IFERROR(__xludf.DUMMYFUNCTION("""COMPUTED_VALUE"""),"Tops")</f>
        <v>Tops</v>
      </c>
      <c r="K1766" s="13" t="str">
        <f>IFERROR(__xludf.DUMMYFUNCTION("""COMPUTED_VALUE"""),"Knits")</f>
        <v>Knits</v>
      </c>
      <c r="L1766" s="13"/>
    </row>
    <row r="1767">
      <c r="A1767" s="13">
        <f>IFERROR(__xludf.DUMMYFUNCTION("""COMPUTED_VALUE"""),1765.0)</f>
        <v>1765</v>
      </c>
      <c r="B1767" s="13">
        <f>IFERROR(__xludf.DUMMYFUNCTION("""COMPUTED_VALUE"""),1008.0)</f>
        <v>1008</v>
      </c>
      <c r="C1767" s="13">
        <f>IFERROR(__xludf.DUMMYFUNCTION("""COMPUTED_VALUE"""),36.0)</f>
        <v>36</v>
      </c>
      <c r="D1767" s="12" t="str">
        <f>IFERROR(__xludf.DUMMYFUNCTION("""COMPUTED_VALUE"""),"Beautiful skirt - get ready for compliments")</f>
        <v>Beautiful skirt - get ready for compliments</v>
      </c>
      <c r="E1767" s="12" t="str">
        <f>IFERROR(__xludf.DUMMYFUNCTION("""COMPUTED_VALUE"""),"I get so many compliments with this skirt! i love almost everything about it. i gave it 4 stars instead of 5 because i find the slit a little annoying. i think it's maybe a little too long (or short, i can't figure it out) but i couldn't pass up this skir"&amp;"t because the pattern is so pretty.
fits true to size, soft fabric, very cute.")</f>
        <v>I get so many compliments with this skirt! i love almost everything about it. i gave it 4 stars instead of 5 because i find the slit a little annoying. i think it's maybe a little too long (or short, i can't figure it out) but i couldn't pass up this skirt because the pattern is so pretty.
fits true to size, soft fabric, very cute.</v>
      </c>
      <c r="F1767" s="13">
        <f>IFERROR(__xludf.DUMMYFUNCTION("""COMPUTED_VALUE"""),4.0)</f>
        <v>4</v>
      </c>
      <c r="G1767" s="13">
        <f>IFERROR(__xludf.DUMMYFUNCTION("""COMPUTED_VALUE"""),1.0)</f>
        <v>1</v>
      </c>
      <c r="H1767" s="13">
        <f>IFERROR(__xludf.DUMMYFUNCTION("""COMPUTED_VALUE"""),1.0)</f>
        <v>1</v>
      </c>
      <c r="I1767" s="13" t="str">
        <f>IFERROR(__xludf.DUMMYFUNCTION("""COMPUTED_VALUE"""),"General Petite")</f>
        <v>General Petite</v>
      </c>
      <c r="J1767" s="13" t="str">
        <f>IFERROR(__xludf.DUMMYFUNCTION("""COMPUTED_VALUE"""),"Bottoms")</f>
        <v>Bottoms</v>
      </c>
      <c r="K1767" s="13" t="str">
        <f>IFERROR(__xludf.DUMMYFUNCTION("""COMPUTED_VALUE"""),"Skirts")</f>
        <v>Skirts</v>
      </c>
      <c r="L1767" s="13"/>
    </row>
    <row r="1768">
      <c r="A1768" s="13">
        <f>IFERROR(__xludf.DUMMYFUNCTION("""COMPUTED_VALUE"""),1766.0)</f>
        <v>1766</v>
      </c>
      <c r="B1768" s="13">
        <f>IFERROR(__xludf.DUMMYFUNCTION("""COMPUTED_VALUE"""),1095.0)</f>
        <v>1095</v>
      </c>
      <c r="C1768" s="13">
        <f>IFERROR(__xludf.DUMMYFUNCTION("""COMPUTED_VALUE"""),24.0)</f>
        <v>24</v>
      </c>
      <c r="D1768" s="12" t="str">
        <f>IFERROR(__xludf.DUMMYFUNCTION("""COMPUTED_VALUE"""),"Classic")</f>
        <v>Classic</v>
      </c>
      <c r="E1768" s="12" t="str">
        <f>IFERROR(__xludf.DUMMYFUNCTION("""COMPUTED_VALUE"""),"The dress was great! the zipper was just a little tough but over all a very classic, feminine piece.")</f>
        <v>The dress was great! the zipper was just a little tough but over all a very classic, feminine piece.</v>
      </c>
      <c r="F1768" s="13">
        <f>IFERROR(__xludf.DUMMYFUNCTION("""COMPUTED_VALUE"""),5.0)</f>
        <v>5</v>
      </c>
      <c r="G1768" s="13">
        <f>IFERROR(__xludf.DUMMYFUNCTION("""COMPUTED_VALUE"""),1.0)</f>
        <v>1</v>
      </c>
      <c r="H1768" s="13">
        <f>IFERROR(__xludf.DUMMYFUNCTION("""COMPUTED_VALUE"""),2.0)</f>
        <v>2</v>
      </c>
      <c r="I1768" s="13" t="str">
        <f>IFERROR(__xludf.DUMMYFUNCTION("""COMPUTED_VALUE"""),"General Petite")</f>
        <v>General Petite</v>
      </c>
      <c r="J1768" s="13" t="str">
        <f>IFERROR(__xludf.DUMMYFUNCTION("""COMPUTED_VALUE"""),"Dresses")</f>
        <v>Dresses</v>
      </c>
      <c r="K1768" s="13" t="str">
        <f>IFERROR(__xludf.DUMMYFUNCTION("""COMPUTED_VALUE"""),"Dresses")</f>
        <v>Dresses</v>
      </c>
      <c r="L1768" s="13"/>
    </row>
    <row r="1769">
      <c r="A1769" s="13">
        <f>IFERROR(__xludf.DUMMYFUNCTION("""COMPUTED_VALUE"""),1767.0)</f>
        <v>1767</v>
      </c>
      <c r="B1769" s="13">
        <f>IFERROR(__xludf.DUMMYFUNCTION("""COMPUTED_VALUE"""),825.0)</f>
        <v>825</v>
      </c>
      <c r="C1769" s="13">
        <f>IFERROR(__xludf.DUMMYFUNCTION("""COMPUTED_VALUE"""),39.0)</f>
        <v>39</v>
      </c>
      <c r="D1769" s="12" t="str">
        <f>IFERROR(__xludf.DUMMYFUNCTION("""COMPUTED_VALUE"""),"Surprisingly nice in person")</f>
        <v>Surprisingly nice in person</v>
      </c>
      <c r="E1769" s="12" t="str">
        <f>IFERROR(__xludf.DUMMYFUNCTION("""COMPUTED_VALUE"""),"/my friend and i both tried on this shirt just to see how it fit and because it was blue. we were surprised how pretty it si on. a little see-through though, but hte cut hits in the right places (i guess we are not too endowed). she ended up buying it so "&amp;"i passed but very feminie work piece.")</f>
        <v>/my friend and i both tried on this shirt just to see how it fit and because it was blue. we were surprised how pretty it si on. a little see-through though, but hte cut hits in the right places (i guess we are not too endowed). she ended up buying it so i passed but very feminie work piece.</v>
      </c>
      <c r="F1769" s="13">
        <f>IFERROR(__xludf.DUMMYFUNCTION("""COMPUTED_VALUE"""),4.0)</f>
        <v>4</v>
      </c>
      <c r="G1769" s="13">
        <f>IFERROR(__xludf.DUMMYFUNCTION("""COMPUTED_VALUE"""),1.0)</f>
        <v>1</v>
      </c>
      <c r="H1769" s="13">
        <f>IFERROR(__xludf.DUMMYFUNCTION("""COMPUTED_VALUE"""),0.0)</f>
        <v>0</v>
      </c>
      <c r="I1769" s="13" t="str">
        <f>IFERROR(__xludf.DUMMYFUNCTION("""COMPUTED_VALUE"""),"General Petite")</f>
        <v>General Petite</v>
      </c>
      <c r="J1769" s="13" t="str">
        <f>IFERROR(__xludf.DUMMYFUNCTION("""COMPUTED_VALUE"""),"Tops")</f>
        <v>Tops</v>
      </c>
      <c r="K1769" s="13" t="str">
        <f>IFERROR(__xludf.DUMMYFUNCTION("""COMPUTED_VALUE"""),"Blouses")</f>
        <v>Blouses</v>
      </c>
      <c r="L1769" s="13"/>
    </row>
    <row r="1770">
      <c r="A1770" s="13">
        <f>IFERROR(__xludf.DUMMYFUNCTION("""COMPUTED_VALUE"""),1768.0)</f>
        <v>1768</v>
      </c>
      <c r="B1770" s="13">
        <f>IFERROR(__xludf.DUMMYFUNCTION("""COMPUTED_VALUE"""),825.0)</f>
        <v>825</v>
      </c>
      <c r="C1770" s="13">
        <f>IFERROR(__xludf.DUMMYFUNCTION("""COMPUTED_VALUE"""),35.0)</f>
        <v>35</v>
      </c>
      <c r="D1770" s="12" t="str">
        <f>IFERROR(__xludf.DUMMYFUNCTION("""COMPUTED_VALUE"""),"Not for my body type")</f>
        <v>Not for my body type</v>
      </c>
      <c r="E1770" s="12" t="str">
        <f>IFERROR(__xludf.DUMMYFUNCTION("""COMPUTED_VALUE"""),"Love this button down, but i couldn't make it work. i'm 5'4"", 32b, and usually buy tops in a regular xs or s. i bought this top in a small and it was loose fitting which i liked, but too long for me causing the pleats to flare out more than i liked. the "&amp;"shirt is also pretty sheer, wear a skin colored bra unless you want it noticed. the material was soft and looked like good quality.")</f>
        <v>Love this button down, but i couldn't make it work. i'm 5'4", 32b, and usually buy tops in a regular xs or s. i bought this top in a small and it was loose fitting which i liked, but too long for me causing the pleats to flare out more than i liked. the shirt is also pretty sheer, wear a skin colored bra unless you want it noticed. the material was soft and looked like good quality.</v>
      </c>
      <c r="F1770" s="13">
        <f>IFERROR(__xludf.DUMMYFUNCTION("""COMPUTED_VALUE"""),4.0)</f>
        <v>4</v>
      </c>
      <c r="G1770" s="13">
        <f>IFERROR(__xludf.DUMMYFUNCTION("""COMPUTED_VALUE"""),1.0)</f>
        <v>1</v>
      </c>
      <c r="H1770" s="13">
        <f>IFERROR(__xludf.DUMMYFUNCTION("""COMPUTED_VALUE"""),0.0)</f>
        <v>0</v>
      </c>
      <c r="I1770" s="13" t="str">
        <f>IFERROR(__xludf.DUMMYFUNCTION("""COMPUTED_VALUE"""),"General Petite")</f>
        <v>General Petite</v>
      </c>
      <c r="J1770" s="13" t="str">
        <f>IFERROR(__xludf.DUMMYFUNCTION("""COMPUTED_VALUE"""),"Tops")</f>
        <v>Tops</v>
      </c>
      <c r="K1770" s="13" t="str">
        <f>IFERROR(__xludf.DUMMYFUNCTION("""COMPUTED_VALUE"""),"Blouses")</f>
        <v>Blouses</v>
      </c>
      <c r="L1770" s="13"/>
    </row>
    <row r="1771">
      <c r="A1771" s="13">
        <f>IFERROR(__xludf.DUMMYFUNCTION("""COMPUTED_VALUE"""),1769.0)</f>
        <v>1769</v>
      </c>
      <c r="B1771" s="13">
        <f>IFERROR(__xludf.DUMMYFUNCTION("""COMPUTED_VALUE"""),867.0)</f>
        <v>867</v>
      </c>
      <c r="C1771" s="13">
        <f>IFERROR(__xludf.DUMMYFUNCTION("""COMPUTED_VALUE"""),47.0)</f>
        <v>47</v>
      </c>
      <c r="D1771" s="12" t="str">
        <f>IFERROR(__xludf.DUMMYFUNCTION("""COMPUTED_VALUE"""),"Not like the photo at all")</f>
        <v>Not like the photo at all</v>
      </c>
      <c r="E1771" s="12" t="str">
        <f>IFERROR(__xludf.DUMMYFUNCTION("""COMPUTED_VALUE"""),"I thought from the picture this would be a light floaty top. when it arrived, the fabric was a heavy knit and the neckline sagged very low. on me (granted i'm a pear) the bottom layer hugged my tummy and rear in a very unflattering way. the only thing i l"&amp;"iked was the color. back it went.")</f>
        <v>I thought from the picture this would be a light floaty top. when it arrived, the fabric was a heavy knit and the neckline sagged very low. on me (granted i'm a pear) the bottom layer hugged my tummy and rear in a very unflattering way. the only thing i liked was the color. back it went.</v>
      </c>
      <c r="F1771" s="13">
        <f>IFERROR(__xludf.DUMMYFUNCTION("""COMPUTED_VALUE"""),1.0)</f>
        <v>1</v>
      </c>
      <c r="G1771" s="13">
        <f>IFERROR(__xludf.DUMMYFUNCTION("""COMPUTED_VALUE"""),0.0)</f>
        <v>0</v>
      </c>
      <c r="H1771" s="13">
        <f>IFERROR(__xludf.DUMMYFUNCTION("""COMPUTED_VALUE"""),20.0)</f>
        <v>20</v>
      </c>
      <c r="I1771" s="13" t="str">
        <f>IFERROR(__xludf.DUMMYFUNCTION("""COMPUTED_VALUE"""),"General")</f>
        <v>General</v>
      </c>
      <c r="J1771" s="13" t="str">
        <f>IFERROR(__xludf.DUMMYFUNCTION("""COMPUTED_VALUE"""),"Tops")</f>
        <v>Tops</v>
      </c>
      <c r="K1771" s="13" t="str">
        <f>IFERROR(__xludf.DUMMYFUNCTION("""COMPUTED_VALUE"""),"Knits")</f>
        <v>Knits</v>
      </c>
      <c r="L1771" s="13"/>
    </row>
    <row r="1772">
      <c r="A1772" s="13">
        <f>IFERROR(__xludf.DUMMYFUNCTION("""COMPUTED_VALUE"""),1770.0)</f>
        <v>1770</v>
      </c>
      <c r="B1772" s="13">
        <f>IFERROR(__xludf.DUMMYFUNCTION("""COMPUTED_VALUE"""),867.0)</f>
        <v>867</v>
      </c>
      <c r="C1772" s="13">
        <f>IFERROR(__xludf.DUMMYFUNCTION("""COMPUTED_VALUE"""),60.0)</f>
        <v>60</v>
      </c>
      <c r="D1772" s="12" t="str">
        <f>IFERROR(__xludf.DUMMYFUNCTION("""COMPUTED_VALUE"""),"Too low and very big armholes!")</f>
        <v>Too low and very big armholes!</v>
      </c>
      <c r="E1772" s="12" t="str">
        <f>IFERROR(__xludf.DUMMYFUNCTION("""COMPUTED_VALUE"""),"Tried this on at my local retailer, the red color is pretty but not a ""true"" red. the fabric has a nice weight to it not the usual thin stuff that retailer seems to offer these days. two big problems though- the top is very low cut and i could see it """&amp;"opening"" up to the world! and the armholes are cut so big and low that you could see the sides of my bra, this is a deal-breaker for me, it can't be fixed.")</f>
        <v>Tried this on at my local retailer, the red color is pretty but not a "true" red. the fabric has a nice weight to it not the usual thin stuff that retailer seems to offer these days. two big problems though- the top is very low cut and i could see it "opening" up to the world! and the armholes are cut so big and low that you could see the sides of my bra, this is a deal-breaker for me, it can't be fixed.</v>
      </c>
      <c r="F1772" s="13">
        <f>IFERROR(__xludf.DUMMYFUNCTION("""COMPUTED_VALUE"""),2.0)</f>
        <v>2</v>
      </c>
      <c r="G1772" s="13">
        <f>IFERROR(__xludf.DUMMYFUNCTION("""COMPUTED_VALUE"""),0.0)</f>
        <v>0</v>
      </c>
      <c r="H1772" s="13">
        <f>IFERROR(__xludf.DUMMYFUNCTION("""COMPUTED_VALUE"""),1.0)</f>
        <v>1</v>
      </c>
      <c r="I1772" s="13" t="str">
        <f>IFERROR(__xludf.DUMMYFUNCTION("""COMPUTED_VALUE"""),"General")</f>
        <v>General</v>
      </c>
      <c r="J1772" s="13" t="str">
        <f>IFERROR(__xludf.DUMMYFUNCTION("""COMPUTED_VALUE"""),"Tops")</f>
        <v>Tops</v>
      </c>
      <c r="K1772" s="13" t="str">
        <f>IFERROR(__xludf.DUMMYFUNCTION("""COMPUTED_VALUE"""),"Knits")</f>
        <v>Knits</v>
      </c>
      <c r="L1772" s="13"/>
    </row>
    <row r="1773">
      <c r="A1773" s="13">
        <f>IFERROR(__xludf.DUMMYFUNCTION("""COMPUTED_VALUE"""),1771.0)</f>
        <v>1771</v>
      </c>
      <c r="B1773" s="13">
        <f>IFERROR(__xludf.DUMMYFUNCTION("""COMPUTED_VALUE"""),867.0)</f>
        <v>867</v>
      </c>
      <c r="C1773" s="13">
        <f>IFERROR(__xludf.DUMMYFUNCTION("""COMPUTED_VALUE"""),46.0)</f>
        <v>46</v>
      </c>
      <c r="D1773" s="12" t="str">
        <f>IFERROR(__xludf.DUMMYFUNCTION("""COMPUTED_VALUE"""),"Red in xl is pretty")</f>
        <v>Red in xl is pretty</v>
      </c>
      <c r="E1773" s="12" t="str">
        <f>IFERROR(__xludf.DUMMYFUNCTION("""COMPUTED_VALUE"""),"I ordered one of the xl in the red version. the fit is true to size. it matches the model's photos. the color is much prettier in person. it looks washed-out on my computer. but, in person, it's a nice light red. the quality of the material is okay. not a"&amp;"s good as with the floral version of this style (florascura tank). the layers are flattering for my pear-shape. it definitely needs a tank underneath though. not worth full-price in my opinion but worth getting on sale.")</f>
        <v>I ordered one of the xl in the red version. the fit is true to size. it matches the model's photos. the color is much prettier in person. it looks washed-out on my computer. but, in person, it's a nice light red. the quality of the material is okay. not as good as with the floral version of this style (florascura tank). the layers are flattering for my pear-shape. it definitely needs a tank underneath though. not worth full-price in my opinion but worth getting on sale.</v>
      </c>
      <c r="F1773" s="13">
        <f>IFERROR(__xludf.DUMMYFUNCTION("""COMPUTED_VALUE"""),4.0)</f>
        <v>4</v>
      </c>
      <c r="G1773" s="13">
        <f>IFERROR(__xludf.DUMMYFUNCTION("""COMPUTED_VALUE"""),1.0)</f>
        <v>1</v>
      </c>
      <c r="H1773" s="13">
        <f>IFERROR(__xludf.DUMMYFUNCTION("""COMPUTED_VALUE"""),0.0)</f>
        <v>0</v>
      </c>
      <c r="I1773" s="13" t="str">
        <f>IFERROR(__xludf.DUMMYFUNCTION("""COMPUTED_VALUE"""),"General")</f>
        <v>General</v>
      </c>
      <c r="J1773" s="13" t="str">
        <f>IFERROR(__xludf.DUMMYFUNCTION("""COMPUTED_VALUE"""),"Tops")</f>
        <v>Tops</v>
      </c>
      <c r="K1773" s="13" t="str">
        <f>IFERROR(__xludf.DUMMYFUNCTION("""COMPUTED_VALUE"""),"Knits")</f>
        <v>Knits</v>
      </c>
      <c r="L1773" s="13"/>
    </row>
    <row r="1774">
      <c r="A1774" s="13">
        <f>IFERROR(__xludf.DUMMYFUNCTION("""COMPUTED_VALUE"""),1772.0)</f>
        <v>1772</v>
      </c>
      <c r="B1774" s="13">
        <f>IFERROR(__xludf.DUMMYFUNCTION("""COMPUTED_VALUE"""),1095.0)</f>
        <v>1095</v>
      </c>
      <c r="C1774" s="13">
        <f>IFERROR(__xludf.DUMMYFUNCTION("""COMPUTED_VALUE"""),35.0)</f>
        <v>35</v>
      </c>
      <c r="D1774" s="12" t="str">
        <f>IFERROR(__xludf.DUMMYFUNCTION("""COMPUTED_VALUE"""),"Size up!")</f>
        <v>Size up!</v>
      </c>
      <c r="E1774" s="12" t="str">
        <f>IFERROR(__xludf.DUMMYFUNCTION("""COMPUTED_VALUE"""),"Adorable dress. could hardly get the zipper up in my very typical size 4. i will order a 6 and am hoping it will work out!")</f>
        <v>Adorable dress. could hardly get the zipper up in my very typical size 4. i will order a 6 and am hoping it will work out!</v>
      </c>
      <c r="F1774" s="13">
        <f>IFERROR(__xludf.DUMMYFUNCTION("""COMPUTED_VALUE"""),5.0)</f>
        <v>5</v>
      </c>
      <c r="G1774" s="13">
        <f>IFERROR(__xludf.DUMMYFUNCTION("""COMPUTED_VALUE"""),1.0)</f>
        <v>1</v>
      </c>
      <c r="H1774" s="13">
        <f>IFERROR(__xludf.DUMMYFUNCTION("""COMPUTED_VALUE"""),0.0)</f>
        <v>0</v>
      </c>
      <c r="I1774" s="13" t="str">
        <f>IFERROR(__xludf.DUMMYFUNCTION("""COMPUTED_VALUE"""),"General Petite")</f>
        <v>General Petite</v>
      </c>
      <c r="J1774" s="13" t="str">
        <f>IFERROR(__xludf.DUMMYFUNCTION("""COMPUTED_VALUE"""),"Dresses")</f>
        <v>Dresses</v>
      </c>
      <c r="K1774" s="13" t="str">
        <f>IFERROR(__xludf.DUMMYFUNCTION("""COMPUTED_VALUE"""),"Dresses")</f>
        <v>Dresses</v>
      </c>
      <c r="L1774" s="13"/>
    </row>
    <row r="1775">
      <c r="A1775" s="13">
        <f>IFERROR(__xludf.DUMMYFUNCTION("""COMPUTED_VALUE"""),1773.0)</f>
        <v>1773</v>
      </c>
      <c r="B1775" s="13">
        <f>IFERROR(__xludf.DUMMYFUNCTION("""COMPUTED_VALUE"""),1095.0)</f>
        <v>1095</v>
      </c>
      <c r="C1775" s="13">
        <f>IFERROR(__xludf.DUMMYFUNCTION("""COMPUTED_VALUE"""),26.0)</f>
        <v>26</v>
      </c>
      <c r="D1775" s="12" t="str">
        <f>IFERROR(__xludf.DUMMYFUNCTION("""COMPUTED_VALUE"""),"Cute!")</f>
        <v>Cute!</v>
      </c>
      <c r="E1775" s="12" t="str">
        <f>IFERROR(__xludf.DUMMYFUNCTION("""COMPUTED_VALUE"""),"This dress is very cute and fits quite well. you don't have to wear a bra with it, which is awesome, and it has delightful pockets. the downside is that the fabric on the top half is a little weird. it is very heavy and stiff. also, the inside has some fr"&amp;"aying and the quality does not seem to be the best. i'm keeping it though.")</f>
        <v>This dress is very cute and fits quite well. you don't have to wear a bra with it, which is awesome, and it has delightful pockets. the downside is that the fabric on the top half is a little weird. it is very heavy and stiff. also, the inside has some fraying and the quality does not seem to be the best. i'm keeping it though.</v>
      </c>
      <c r="F1775" s="13">
        <f>IFERROR(__xludf.DUMMYFUNCTION("""COMPUTED_VALUE"""),3.0)</f>
        <v>3</v>
      </c>
      <c r="G1775" s="13">
        <f>IFERROR(__xludf.DUMMYFUNCTION("""COMPUTED_VALUE"""),1.0)</f>
        <v>1</v>
      </c>
      <c r="H1775" s="13">
        <f>IFERROR(__xludf.DUMMYFUNCTION("""COMPUTED_VALUE"""),1.0)</f>
        <v>1</v>
      </c>
      <c r="I1775" s="13" t="str">
        <f>IFERROR(__xludf.DUMMYFUNCTION("""COMPUTED_VALUE"""),"General Petite")</f>
        <v>General Petite</v>
      </c>
      <c r="J1775" s="13" t="str">
        <f>IFERROR(__xludf.DUMMYFUNCTION("""COMPUTED_VALUE"""),"Dresses")</f>
        <v>Dresses</v>
      </c>
      <c r="K1775" s="13" t="str">
        <f>IFERROR(__xludf.DUMMYFUNCTION("""COMPUTED_VALUE"""),"Dresses")</f>
        <v>Dresses</v>
      </c>
      <c r="L1775" s="13"/>
    </row>
    <row r="1776">
      <c r="A1776" s="13">
        <f>IFERROR(__xludf.DUMMYFUNCTION("""COMPUTED_VALUE"""),1774.0)</f>
        <v>1774</v>
      </c>
      <c r="B1776" s="13">
        <f>IFERROR(__xludf.DUMMYFUNCTION("""COMPUTED_VALUE"""),1095.0)</f>
        <v>1095</v>
      </c>
      <c r="C1776" s="13">
        <f>IFERROR(__xludf.DUMMYFUNCTION("""COMPUTED_VALUE"""),70.0)</f>
        <v>70</v>
      </c>
      <c r="D1776" s="12" t="str">
        <f>IFERROR(__xludf.DUMMYFUNCTION("""COMPUTED_VALUE"""),"Unique dress")</f>
        <v>Unique dress</v>
      </c>
      <c r="E1776" s="12" t="str">
        <f>IFERROR(__xludf.DUMMYFUNCTION("""COMPUTED_VALUE"""),"I love the unique design of this dress.  it also has a nice thick material.  the top part runs small.  i'm normally between size 6 and 8.  i bought this dress in size 10 and the top part is still snug, whilst size 12 is too loose.  the bottom part has a n"&amp;"ice flowy material with pockets.  since the top part is snug, it will best not to wear a bra plus the thick material will provide a nice support.  the down side of this dress is that the straps are running long.  i have a short torso, so there's")</f>
        <v>I love the unique design of this dress.  it also has a nice thick material.  the top part runs small.  i'm normally between size 6 and 8.  i bought this dress in size 10 and the top part is still snug, whilst size 12 is too loose.  the bottom part has a nice flowy material with pockets.  since the top part is snug, it will best not to wear a bra plus the thick material will provide a nice support.  the down side of this dress is that the straps are running long.  i have a short torso, so there's</v>
      </c>
      <c r="F1776" s="13">
        <f>IFERROR(__xludf.DUMMYFUNCTION("""COMPUTED_VALUE"""),4.0)</f>
        <v>4</v>
      </c>
      <c r="G1776" s="13">
        <f>IFERROR(__xludf.DUMMYFUNCTION("""COMPUTED_VALUE"""),1.0)</f>
        <v>1</v>
      </c>
      <c r="H1776" s="13">
        <f>IFERROR(__xludf.DUMMYFUNCTION("""COMPUTED_VALUE"""),0.0)</f>
        <v>0</v>
      </c>
      <c r="I1776" s="13" t="str">
        <f>IFERROR(__xludf.DUMMYFUNCTION("""COMPUTED_VALUE"""),"General Petite")</f>
        <v>General Petite</v>
      </c>
      <c r="J1776" s="13" t="str">
        <f>IFERROR(__xludf.DUMMYFUNCTION("""COMPUTED_VALUE"""),"Dresses")</f>
        <v>Dresses</v>
      </c>
      <c r="K1776" s="13" t="str">
        <f>IFERROR(__xludf.DUMMYFUNCTION("""COMPUTED_VALUE"""),"Dresses")</f>
        <v>Dresses</v>
      </c>
      <c r="L1776" s="13"/>
    </row>
    <row r="1777">
      <c r="A1777" s="13">
        <f>IFERROR(__xludf.DUMMYFUNCTION("""COMPUTED_VALUE"""),1775.0)</f>
        <v>1775</v>
      </c>
      <c r="B1777" s="13">
        <f>IFERROR(__xludf.DUMMYFUNCTION("""COMPUTED_VALUE"""),867.0)</f>
        <v>867</v>
      </c>
      <c r="C1777" s="13">
        <f>IFERROR(__xludf.DUMMYFUNCTION("""COMPUTED_VALUE"""),53.0)</f>
        <v>53</v>
      </c>
      <c r="D1777" s="12" t="str">
        <f>IFERROR(__xludf.DUMMYFUNCTION("""COMPUTED_VALUE"""),"Great top!")</f>
        <v>Great top!</v>
      </c>
      <c r="E1777" s="12" t="str">
        <f>IFERROR(__xludf.DUMMYFUNCTION("""COMPUTED_VALUE"""),"This top isn't so much on the hanger but very cute once you try it. the neckline is really cut low so a pin or stitch is necessary. the length on the regular is perfect for my shorter body. if you have a long torso it might not work for you. love how the "&amp;"layers conceal but do not overwhelm your body.  i purchased my regular size medium in black. for reference: 5'6"", 145 lbs, 34dd.")</f>
        <v>This top isn't so much on the hanger but very cute once you try it. the neckline is really cut low so a pin or stitch is necessary. the length on the regular is perfect for my shorter body. if you have a long torso it might not work for you. love how the layers conceal but do not overwhelm your body.  i purchased my regular size medium in black. for reference: 5'6", 145 lbs, 34dd.</v>
      </c>
      <c r="F1777" s="13">
        <f>IFERROR(__xludf.DUMMYFUNCTION("""COMPUTED_VALUE"""),4.0)</f>
        <v>4</v>
      </c>
      <c r="G1777" s="13">
        <f>IFERROR(__xludf.DUMMYFUNCTION("""COMPUTED_VALUE"""),1.0)</f>
        <v>1</v>
      </c>
      <c r="H1777" s="13">
        <f>IFERROR(__xludf.DUMMYFUNCTION("""COMPUTED_VALUE"""),2.0)</f>
        <v>2</v>
      </c>
      <c r="I1777" s="13" t="str">
        <f>IFERROR(__xludf.DUMMYFUNCTION("""COMPUTED_VALUE"""),"General")</f>
        <v>General</v>
      </c>
      <c r="J1777" s="13" t="str">
        <f>IFERROR(__xludf.DUMMYFUNCTION("""COMPUTED_VALUE"""),"Tops")</f>
        <v>Tops</v>
      </c>
      <c r="K1777" s="13" t="str">
        <f>IFERROR(__xludf.DUMMYFUNCTION("""COMPUTED_VALUE"""),"Knits")</f>
        <v>Knits</v>
      </c>
      <c r="L1777" s="13"/>
    </row>
    <row r="1778">
      <c r="A1778" s="13">
        <f>IFERROR(__xludf.DUMMYFUNCTION("""COMPUTED_VALUE"""),1776.0)</f>
        <v>1776</v>
      </c>
      <c r="B1778" s="13">
        <f>IFERROR(__xludf.DUMMYFUNCTION("""COMPUTED_VALUE"""),1008.0)</f>
        <v>1008</v>
      </c>
      <c r="C1778" s="13">
        <f>IFERROR(__xludf.DUMMYFUNCTION("""COMPUTED_VALUE"""),35.0)</f>
        <v>35</v>
      </c>
      <c r="D1778" s="12"/>
      <c r="E1778" s="12" t="str">
        <f>IFERROR(__xludf.DUMMYFUNCTION("""COMPUTED_VALUE"""),"Love love love this skirt. i walked into retailer in august not looking to buy this skirt even though i saw it in the catalog and thought it was cute. once i tried it on i fell in love. i purchased both black and blue. super flattering and true to size. i"&amp;"ts a must have for sure.")</f>
        <v>Love love love this skirt. i walked into retailer in august not looking to buy this skirt even though i saw it in the catalog and thought it was cute. once i tried it on i fell in love. i purchased both black and blue. super flattering and true to size. its a must have for sure.</v>
      </c>
      <c r="F1778" s="13">
        <f>IFERROR(__xludf.DUMMYFUNCTION("""COMPUTED_VALUE"""),5.0)</f>
        <v>5</v>
      </c>
      <c r="G1778" s="13">
        <f>IFERROR(__xludf.DUMMYFUNCTION("""COMPUTED_VALUE"""),1.0)</f>
        <v>1</v>
      </c>
      <c r="H1778" s="13">
        <f>IFERROR(__xludf.DUMMYFUNCTION("""COMPUTED_VALUE"""),0.0)</f>
        <v>0</v>
      </c>
      <c r="I1778" s="13" t="str">
        <f>IFERROR(__xludf.DUMMYFUNCTION("""COMPUTED_VALUE"""),"General Petite")</f>
        <v>General Petite</v>
      </c>
      <c r="J1778" s="13" t="str">
        <f>IFERROR(__xludf.DUMMYFUNCTION("""COMPUTED_VALUE"""),"Bottoms")</f>
        <v>Bottoms</v>
      </c>
      <c r="K1778" s="13" t="str">
        <f>IFERROR(__xludf.DUMMYFUNCTION("""COMPUTED_VALUE"""),"Skirts")</f>
        <v>Skirts</v>
      </c>
      <c r="L1778" s="13"/>
    </row>
    <row r="1779">
      <c r="A1779" s="13">
        <f>IFERROR(__xludf.DUMMYFUNCTION("""COMPUTED_VALUE"""),1777.0)</f>
        <v>1777</v>
      </c>
      <c r="B1779" s="13">
        <f>IFERROR(__xludf.DUMMYFUNCTION("""COMPUTED_VALUE"""),1095.0)</f>
        <v>1095</v>
      </c>
      <c r="C1779" s="13">
        <f>IFERROR(__xludf.DUMMYFUNCTION("""COMPUTED_VALUE"""),24.0)</f>
        <v>24</v>
      </c>
      <c r="D1779" s="12"/>
      <c r="E1779" s="12" t="str">
        <f>IFERROR(__xludf.DUMMYFUNCTION("""COMPUTED_VALUE"""),"The design on this dress is so cute. it runs really small. i had to go up from my normal size 4 to a 6. i am not well endowed so the top was great on me. it's looks great on once k got a size that works.")</f>
        <v>The design on this dress is so cute. it runs really small. i had to go up from my normal size 4 to a 6. i am not well endowed so the top was great on me. it's looks great on once k got a size that works.</v>
      </c>
      <c r="F1779" s="13">
        <f>IFERROR(__xludf.DUMMYFUNCTION("""COMPUTED_VALUE"""),4.0)</f>
        <v>4</v>
      </c>
      <c r="G1779" s="13">
        <f>IFERROR(__xludf.DUMMYFUNCTION("""COMPUTED_VALUE"""),1.0)</f>
        <v>1</v>
      </c>
      <c r="H1779" s="13">
        <f>IFERROR(__xludf.DUMMYFUNCTION("""COMPUTED_VALUE"""),0.0)</f>
        <v>0</v>
      </c>
      <c r="I1779" s="13" t="str">
        <f>IFERROR(__xludf.DUMMYFUNCTION("""COMPUTED_VALUE"""),"General Petite")</f>
        <v>General Petite</v>
      </c>
      <c r="J1779" s="13" t="str">
        <f>IFERROR(__xludf.DUMMYFUNCTION("""COMPUTED_VALUE"""),"Dresses")</f>
        <v>Dresses</v>
      </c>
      <c r="K1779" s="13" t="str">
        <f>IFERROR(__xludf.DUMMYFUNCTION("""COMPUTED_VALUE"""),"Dresses")</f>
        <v>Dresses</v>
      </c>
      <c r="L1779" s="13"/>
    </row>
    <row r="1780">
      <c r="A1780" s="13">
        <f>IFERROR(__xludf.DUMMYFUNCTION("""COMPUTED_VALUE"""),1778.0)</f>
        <v>1778</v>
      </c>
      <c r="B1780" s="13">
        <f>IFERROR(__xludf.DUMMYFUNCTION("""COMPUTED_VALUE"""),1008.0)</f>
        <v>1008</v>
      </c>
      <c r="C1780" s="13">
        <f>IFERROR(__xludf.DUMMYFUNCTION("""COMPUTED_VALUE"""),30.0)</f>
        <v>30</v>
      </c>
      <c r="D1780" s="12" t="str">
        <f>IFERROR(__xludf.DUMMYFUNCTION("""COMPUTED_VALUE"""),"Love this skirt!!!")</f>
        <v>Love this skirt!!!</v>
      </c>
      <c r="E1780" s="12" t="str">
        <f>IFERROR(__xludf.DUMMYFUNCTION("""COMPUTED_VALUE"""),"This skirt is everything i love about retailer. the fit, style and quality are amazing. i feel like a am wearing a piece of art. it is so unique and fits perfectly. way to go retailer!!")</f>
        <v>This skirt is everything i love about retailer. the fit, style and quality are amazing. i feel like a am wearing a piece of art. it is so unique and fits perfectly. way to go retailer!!</v>
      </c>
      <c r="F1780" s="13">
        <f>IFERROR(__xludf.DUMMYFUNCTION("""COMPUTED_VALUE"""),5.0)</f>
        <v>5</v>
      </c>
      <c r="G1780" s="13">
        <f>IFERROR(__xludf.DUMMYFUNCTION("""COMPUTED_VALUE"""),1.0)</f>
        <v>1</v>
      </c>
      <c r="H1780" s="13">
        <f>IFERROR(__xludf.DUMMYFUNCTION("""COMPUTED_VALUE"""),0.0)</f>
        <v>0</v>
      </c>
      <c r="I1780" s="13" t="str">
        <f>IFERROR(__xludf.DUMMYFUNCTION("""COMPUTED_VALUE"""),"General Petite")</f>
        <v>General Petite</v>
      </c>
      <c r="J1780" s="13" t="str">
        <f>IFERROR(__xludf.DUMMYFUNCTION("""COMPUTED_VALUE"""),"Bottoms")</f>
        <v>Bottoms</v>
      </c>
      <c r="K1780" s="13" t="str">
        <f>IFERROR(__xludf.DUMMYFUNCTION("""COMPUTED_VALUE"""),"Skirts")</f>
        <v>Skirts</v>
      </c>
      <c r="L1780" s="13"/>
    </row>
    <row r="1781">
      <c r="A1781" s="13">
        <f>IFERROR(__xludf.DUMMYFUNCTION("""COMPUTED_VALUE"""),1779.0)</f>
        <v>1779</v>
      </c>
      <c r="B1781" s="13">
        <f>IFERROR(__xludf.DUMMYFUNCTION("""COMPUTED_VALUE"""),1008.0)</f>
        <v>1008</v>
      </c>
      <c r="C1781" s="13">
        <f>IFERROR(__xludf.DUMMYFUNCTION("""COMPUTED_VALUE"""),36.0)</f>
        <v>36</v>
      </c>
      <c r="D1781" s="12"/>
      <c r="E1781" s="12" t="str">
        <f>IFERROR(__xludf.DUMMYFUNCTION("""COMPUTED_VALUE"""),"Gorgeous skirt. runs a bit big.  well made. perfect for the office and super comfy.")</f>
        <v>Gorgeous skirt. runs a bit big.  well made. perfect for the office and super comfy.</v>
      </c>
      <c r="F1781" s="13">
        <f>IFERROR(__xludf.DUMMYFUNCTION("""COMPUTED_VALUE"""),5.0)</f>
        <v>5</v>
      </c>
      <c r="G1781" s="13">
        <f>IFERROR(__xludf.DUMMYFUNCTION("""COMPUTED_VALUE"""),1.0)</f>
        <v>1</v>
      </c>
      <c r="H1781" s="13">
        <f>IFERROR(__xludf.DUMMYFUNCTION("""COMPUTED_VALUE"""),2.0)</f>
        <v>2</v>
      </c>
      <c r="I1781" s="13" t="str">
        <f>IFERROR(__xludf.DUMMYFUNCTION("""COMPUTED_VALUE"""),"General Petite")</f>
        <v>General Petite</v>
      </c>
      <c r="J1781" s="13" t="str">
        <f>IFERROR(__xludf.DUMMYFUNCTION("""COMPUTED_VALUE"""),"Bottoms")</f>
        <v>Bottoms</v>
      </c>
      <c r="K1781" s="13" t="str">
        <f>IFERROR(__xludf.DUMMYFUNCTION("""COMPUTED_VALUE"""),"Skirts")</f>
        <v>Skirts</v>
      </c>
      <c r="L1781" s="13"/>
    </row>
    <row r="1782">
      <c r="A1782" s="13">
        <f>IFERROR(__xludf.DUMMYFUNCTION("""COMPUTED_VALUE"""),1780.0)</f>
        <v>1780</v>
      </c>
      <c r="B1782" s="13">
        <f>IFERROR(__xludf.DUMMYFUNCTION("""COMPUTED_VALUE"""),867.0)</f>
        <v>867</v>
      </c>
      <c r="C1782" s="13">
        <f>IFERROR(__xludf.DUMMYFUNCTION("""COMPUTED_VALUE"""),73.0)</f>
        <v>73</v>
      </c>
      <c r="D1782" s="12" t="str">
        <f>IFERROR(__xludf.DUMMYFUNCTION("""COMPUTED_VALUE"""),"Wish it fit better for me")</f>
        <v>Wish it fit better for me</v>
      </c>
      <c r="E1782" s="12" t="str">
        <f>IFERROR(__xludf.DUMMYFUNCTION("""COMPUTED_VALUE"""),"I wish that it had fit me better as the feel of the fabric and the color were great! regrettably, i am sending it back as the v opening is too low for my tastes and the fabric on the left of the first layer drapes weird on me. i am usually a s or m and in"&amp;" this top the s was plenty of length and room, would be swimming in a m. the fabric was soft and felt great against your skin and not thin as some fabrics can be. the color was just as shown and beautiful. hope it works for some of you out there")</f>
        <v>I wish that it had fit me better as the feel of the fabric and the color were great! regrettably, i am sending it back as the v opening is too low for my tastes and the fabric on the left of the first layer drapes weird on me. i am usually a s or m and in this top the s was plenty of length and room, would be swimming in a m. the fabric was soft and felt great against your skin and not thin as some fabrics can be. the color was just as shown and beautiful. hope it works for some of you out there</v>
      </c>
      <c r="F1782" s="13">
        <f>IFERROR(__xludf.DUMMYFUNCTION("""COMPUTED_VALUE"""),3.0)</f>
        <v>3</v>
      </c>
      <c r="G1782" s="13">
        <f>IFERROR(__xludf.DUMMYFUNCTION("""COMPUTED_VALUE"""),1.0)</f>
        <v>1</v>
      </c>
      <c r="H1782" s="13">
        <f>IFERROR(__xludf.DUMMYFUNCTION("""COMPUTED_VALUE"""),10.0)</f>
        <v>10</v>
      </c>
      <c r="I1782" s="13" t="str">
        <f>IFERROR(__xludf.DUMMYFUNCTION("""COMPUTED_VALUE"""),"General")</f>
        <v>General</v>
      </c>
      <c r="J1782" s="13" t="str">
        <f>IFERROR(__xludf.DUMMYFUNCTION("""COMPUTED_VALUE"""),"Tops")</f>
        <v>Tops</v>
      </c>
      <c r="K1782" s="13" t="str">
        <f>IFERROR(__xludf.DUMMYFUNCTION("""COMPUTED_VALUE"""),"Knits")</f>
        <v>Knits</v>
      </c>
      <c r="L1782" s="13"/>
    </row>
    <row r="1783">
      <c r="A1783" s="13">
        <f>IFERROR(__xludf.DUMMYFUNCTION("""COMPUTED_VALUE"""),1781.0)</f>
        <v>1781</v>
      </c>
      <c r="B1783" s="13">
        <f>IFERROR(__xludf.DUMMYFUNCTION("""COMPUTED_VALUE"""),867.0)</f>
        <v>867</v>
      </c>
      <c r="C1783" s="13">
        <f>IFERROR(__xludf.DUMMYFUNCTION("""COMPUTED_VALUE"""),34.0)</f>
        <v>34</v>
      </c>
      <c r="D1783" s="12" t="str">
        <f>IFERROR(__xludf.DUMMYFUNCTION("""COMPUTED_VALUE"""),"Lovely top!")</f>
        <v>Lovely top!</v>
      </c>
      <c r="E1783" s="12" t="str">
        <f>IFERROR(__xludf.DUMMYFUNCTION("""COMPUTED_VALUE"""),"This is one of the best date night tops i've seen in a while. i'm 5'6, 120 lbs and the xs is perfect. the fit is spot on and the fabric feels nice. i will need a teeny tiny safety pin to keep the front closed, but i do that often so i don't see it as a de"&amp;"sign flaw.")</f>
        <v>This is one of the best date night tops i've seen in a while. i'm 5'6, 120 lbs and the xs is perfect. the fit is spot on and the fabric feels nice. i will need a teeny tiny safety pin to keep the front closed, but i do that often so i don't see it as a design flaw.</v>
      </c>
      <c r="F1783" s="13">
        <f>IFERROR(__xludf.DUMMYFUNCTION("""COMPUTED_VALUE"""),5.0)</f>
        <v>5</v>
      </c>
      <c r="G1783" s="13">
        <f>IFERROR(__xludf.DUMMYFUNCTION("""COMPUTED_VALUE"""),1.0)</f>
        <v>1</v>
      </c>
      <c r="H1783" s="13">
        <f>IFERROR(__xludf.DUMMYFUNCTION("""COMPUTED_VALUE"""),2.0)</f>
        <v>2</v>
      </c>
      <c r="I1783" s="13" t="str">
        <f>IFERROR(__xludf.DUMMYFUNCTION("""COMPUTED_VALUE"""),"General")</f>
        <v>General</v>
      </c>
      <c r="J1783" s="13" t="str">
        <f>IFERROR(__xludf.DUMMYFUNCTION("""COMPUTED_VALUE"""),"Tops")</f>
        <v>Tops</v>
      </c>
      <c r="K1783" s="13" t="str">
        <f>IFERROR(__xludf.DUMMYFUNCTION("""COMPUTED_VALUE"""),"Knits")</f>
        <v>Knits</v>
      </c>
      <c r="L1783" s="13"/>
    </row>
    <row r="1784">
      <c r="A1784" s="13">
        <f>IFERROR(__xludf.DUMMYFUNCTION("""COMPUTED_VALUE"""),1782.0)</f>
        <v>1782</v>
      </c>
      <c r="B1784" s="13">
        <f>IFERROR(__xludf.DUMMYFUNCTION("""COMPUTED_VALUE"""),1008.0)</f>
        <v>1008</v>
      </c>
      <c r="C1784" s="13">
        <f>IFERROR(__xludf.DUMMYFUNCTION("""COMPUTED_VALUE"""),41.0)</f>
        <v>41</v>
      </c>
      <c r="D1784" s="12" t="str">
        <f>IFERROR(__xludf.DUMMYFUNCTION("""COMPUTED_VALUE"""),"Perfect skirt")</f>
        <v>Perfect skirt</v>
      </c>
      <c r="E1784" s="12" t="str">
        <f>IFERROR(__xludf.DUMMYFUNCTION("""COMPUTED_VALUE"""),"Despite being a knit, this skirt holds its shape and is absolutely perfect. it goes with everything and is extremely comfortable.")</f>
        <v>Despite being a knit, this skirt holds its shape and is absolutely perfect. it goes with everything and is extremely comfortable.</v>
      </c>
      <c r="F1784" s="13">
        <f>IFERROR(__xludf.DUMMYFUNCTION("""COMPUTED_VALUE"""),5.0)</f>
        <v>5</v>
      </c>
      <c r="G1784" s="13">
        <f>IFERROR(__xludf.DUMMYFUNCTION("""COMPUTED_VALUE"""),1.0)</f>
        <v>1</v>
      </c>
      <c r="H1784" s="13">
        <f>IFERROR(__xludf.DUMMYFUNCTION("""COMPUTED_VALUE"""),0.0)</f>
        <v>0</v>
      </c>
      <c r="I1784" s="13" t="str">
        <f>IFERROR(__xludf.DUMMYFUNCTION("""COMPUTED_VALUE"""),"General Petite")</f>
        <v>General Petite</v>
      </c>
      <c r="J1784" s="13" t="str">
        <f>IFERROR(__xludf.DUMMYFUNCTION("""COMPUTED_VALUE"""),"Bottoms")</f>
        <v>Bottoms</v>
      </c>
      <c r="K1784" s="13" t="str">
        <f>IFERROR(__xludf.DUMMYFUNCTION("""COMPUTED_VALUE"""),"Skirts")</f>
        <v>Skirts</v>
      </c>
      <c r="L1784" s="13"/>
    </row>
    <row r="1785">
      <c r="A1785" s="13">
        <f>IFERROR(__xludf.DUMMYFUNCTION("""COMPUTED_VALUE"""),1783.0)</f>
        <v>1783</v>
      </c>
      <c r="B1785" s="13">
        <f>IFERROR(__xludf.DUMMYFUNCTION("""COMPUTED_VALUE"""),1095.0)</f>
        <v>1095</v>
      </c>
      <c r="C1785" s="13">
        <f>IFERROR(__xludf.DUMMYFUNCTION("""COMPUTED_VALUE"""),41.0)</f>
        <v>41</v>
      </c>
      <c r="D1785" s="12" t="str">
        <f>IFERROR(__xludf.DUMMYFUNCTION("""COMPUTED_VALUE"""),"Surprisingly flattering...plus pockets!!!")</f>
        <v>Surprisingly flattering...plus pockets!!!</v>
      </c>
      <c r="E1785" s="12" t="str">
        <f>IFERROR(__xludf.DUMMYFUNCTION("""COMPUTED_VALUE"""),"I tried this dress on in my local retailer and was pleasantly surprised. it fit!!!...and looked cute. as other reviewers have mentioned, it runs small, but it is super stretchy, especially in the top portion. with that said, it accommodated my bust! i hav"&amp;"e a 32g bust, and it possess a problem for me when i try to buy dresses. the top of this dress is pure elastic, so it works. the dress stretches on top, but comes back inward on the body?so i can show off my curves. i have no idea what bra i can w")</f>
        <v>I tried this dress on in my local retailer and was pleasantly surprised. it fit!!!...and looked cute. as other reviewers have mentioned, it runs small, but it is super stretchy, especially in the top portion. with that said, it accommodated my bust! i have a 32g bust, and it possess a problem for me when i try to buy dresses. the top of this dress is pure elastic, so it works. the dress stretches on top, but comes back inward on the body?so i can show off my curves. i have no idea what bra i can w</v>
      </c>
      <c r="F1785" s="13">
        <f>IFERROR(__xludf.DUMMYFUNCTION("""COMPUTED_VALUE"""),4.0)</f>
        <v>4</v>
      </c>
      <c r="G1785" s="13">
        <f>IFERROR(__xludf.DUMMYFUNCTION("""COMPUTED_VALUE"""),1.0)</f>
        <v>1</v>
      </c>
      <c r="H1785" s="13">
        <f>IFERROR(__xludf.DUMMYFUNCTION("""COMPUTED_VALUE"""),0.0)</f>
        <v>0</v>
      </c>
      <c r="I1785" s="13" t="str">
        <f>IFERROR(__xludf.DUMMYFUNCTION("""COMPUTED_VALUE"""),"General Petite")</f>
        <v>General Petite</v>
      </c>
      <c r="J1785" s="13" t="str">
        <f>IFERROR(__xludf.DUMMYFUNCTION("""COMPUTED_VALUE"""),"Dresses")</f>
        <v>Dresses</v>
      </c>
      <c r="K1785" s="13" t="str">
        <f>IFERROR(__xludf.DUMMYFUNCTION("""COMPUTED_VALUE"""),"Dresses")</f>
        <v>Dresses</v>
      </c>
      <c r="L1785" s="13"/>
    </row>
    <row r="1786">
      <c r="A1786" s="13">
        <f>IFERROR(__xludf.DUMMYFUNCTION("""COMPUTED_VALUE"""),1784.0)</f>
        <v>1784</v>
      </c>
      <c r="B1786" s="13">
        <f>IFERROR(__xludf.DUMMYFUNCTION("""COMPUTED_VALUE"""),825.0)</f>
        <v>825</v>
      </c>
      <c r="C1786" s="13">
        <f>IFERROR(__xludf.DUMMYFUNCTION("""COMPUTED_VALUE"""),37.0)</f>
        <v>37</v>
      </c>
      <c r="D1786" s="12"/>
      <c r="E1786" s="12" t="str">
        <f>IFERROR(__xludf.DUMMYFUNCTION("""COMPUTED_VALUE"""),"Unexpected delight! great top that can be dressed up or down. the only con is a little small through the bust.")</f>
        <v>Unexpected delight! great top that can be dressed up or down. the only con is a little small through the bust.</v>
      </c>
      <c r="F1786" s="13">
        <f>IFERROR(__xludf.DUMMYFUNCTION("""COMPUTED_VALUE"""),4.0)</f>
        <v>4</v>
      </c>
      <c r="G1786" s="13">
        <f>IFERROR(__xludf.DUMMYFUNCTION("""COMPUTED_VALUE"""),1.0)</f>
        <v>1</v>
      </c>
      <c r="H1786" s="13">
        <f>IFERROR(__xludf.DUMMYFUNCTION("""COMPUTED_VALUE"""),0.0)</f>
        <v>0</v>
      </c>
      <c r="I1786" s="13" t="str">
        <f>IFERROR(__xludf.DUMMYFUNCTION("""COMPUTED_VALUE"""),"General Petite")</f>
        <v>General Petite</v>
      </c>
      <c r="J1786" s="13" t="str">
        <f>IFERROR(__xludf.DUMMYFUNCTION("""COMPUTED_VALUE"""),"Tops")</f>
        <v>Tops</v>
      </c>
      <c r="K1786" s="13" t="str">
        <f>IFERROR(__xludf.DUMMYFUNCTION("""COMPUTED_VALUE"""),"Blouses")</f>
        <v>Blouses</v>
      </c>
      <c r="L1786" s="13"/>
    </row>
    <row r="1787">
      <c r="A1787" s="13">
        <f>IFERROR(__xludf.DUMMYFUNCTION("""COMPUTED_VALUE"""),1785.0)</f>
        <v>1785</v>
      </c>
      <c r="B1787" s="13">
        <f>IFERROR(__xludf.DUMMYFUNCTION("""COMPUTED_VALUE"""),825.0)</f>
        <v>825</v>
      </c>
      <c r="C1787" s="13">
        <f>IFERROR(__xludf.DUMMYFUNCTION("""COMPUTED_VALUE"""),43.0)</f>
        <v>43</v>
      </c>
      <c r="D1787" s="12" t="str">
        <f>IFERROR(__xludf.DUMMYFUNCTION("""COMPUTED_VALUE"""),"Very flattering fit")</f>
        <v>Very flattering fit</v>
      </c>
      <c r="E1787" s="12" t="str">
        <f>IFERROR(__xludf.DUMMYFUNCTION("""COMPUTED_VALUE"""),"Love this shirt, very flattering fit on my pear shape. also accommodates my larger 32dd bust without straining on the buttons. ever so slightly sheer fabric, but no cami needed if wearing a nude bra.")</f>
        <v>Love this shirt, very flattering fit on my pear shape. also accommodates my larger 32dd bust without straining on the buttons. ever so slightly sheer fabric, but no cami needed if wearing a nude bra.</v>
      </c>
      <c r="F1787" s="13">
        <f>IFERROR(__xludf.DUMMYFUNCTION("""COMPUTED_VALUE"""),5.0)</f>
        <v>5</v>
      </c>
      <c r="G1787" s="13">
        <f>IFERROR(__xludf.DUMMYFUNCTION("""COMPUTED_VALUE"""),1.0)</f>
        <v>1</v>
      </c>
      <c r="H1787" s="13">
        <f>IFERROR(__xludf.DUMMYFUNCTION("""COMPUTED_VALUE"""),0.0)</f>
        <v>0</v>
      </c>
      <c r="I1787" s="13" t="str">
        <f>IFERROR(__xludf.DUMMYFUNCTION("""COMPUTED_VALUE"""),"General Petite")</f>
        <v>General Petite</v>
      </c>
      <c r="J1787" s="13" t="str">
        <f>IFERROR(__xludf.DUMMYFUNCTION("""COMPUTED_VALUE"""),"Tops")</f>
        <v>Tops</v>
      </c>
      <c r="K1787" s="13" t="str">
        <f>IFERROR(__xludf.DUMMYFUNCTION("""COMPUTED_VALUE"""),"Blouses")</f>
        <v>Blouses</v>
      </c>
      <c r="L1787" s="13"/>
    </row>
    <row r="1788">
      <c r="A1788" s="13">
        <f>IFERROR(__xludf.DUMMYFUNCTION("""COMPUTED_VALUE"""),1786.0)</f>
        <v>1786</v>
      </c>
      <c r="B1788" s="13">
        <f>IFERROR(__xludf.DUMMYFUNCTION("""COMPUTED_VALUE"""),867.0)</f>
        <v>867</v>
      </c>
      <c r="C1788" s="13">
        <f>IFERROR(__xludf.DUMMYFUNCTION("""COMPUTED_VALUE"""),41.0)</f>
        <v>41</v>
      </c>
      <c r="D1788" s="12" t="str">
        <f>IFERROR(__xludf.DUMMYFUNCTION("""COMPUTED_VALUE"""),"Lovely top that runs very large")</f>
        <v>Lovely top that runs very large</v>
      </c>
      <c r="E1788" s="12" t="str">
        <f>IFERROR(__xludf.DUMMYFUNCTION("""COMPUTED_VALUE"""),"The color, design and fabric of this top (got it in the red) were just as i expected, but as the owner of several deletta brand tops, i was very surprised to find that my usual size small runs very large in this tank. not only did the front dip too low bu"&amp;"t so did the arm holes, and the top just hangs on me. it was so big for a small that it almost made me think it had been mislabeled and was really a size large. 
bummed to return it because i really love the color and the style. will try an x-s")</f>
        <v>The color, design and fabric of this top (got it in the red) were just as i expected, but as the owner of several deletta brand tops, i was very surprised to find that my usual size small runs very large in this tank. not only did the front dip too low but so did the arm holes, and the top just hangs on me. it was so big for a small that it almost made me think it had been mislabeled and was really a size large. 
bummed to return it because i really love the color and the style. will try an x-s</v>
      </c>
      <c r="F1788" s="13">
        <f>IFERROR(__xludf.DUMMYFUNCTION("""COMPUTED_VALUE"""),2.0)</f>
        <v>2</v>
      </c>
      <c r="G1788" s="13">
        <f>IFERROR(__xludf.DUMMYFUNCTION("""COMPUTED_VALUE"""),0.0)</f>
        <v>0</v>
      </c>
      <c r="H1788" s="13">
        <f>IFERROR(__xludf.DUMMYFUNCTION("""COMPUTED_VALUE"""),0.0)</f>
        <v>0</v>
      </c>
      <c r="I1788" s="13" t="str">
        <f>IFERROR(__xludf.DUMMYFUNCTION("""COMPUTED_VALUE"""),"General")</f>
        <v>General</v>
      </c>
      <c r="J1788" s="13" t="str">
        <f>IFERROR(__xludf.DUMMYFUNCTION("""COMPUTED_VALUE"""),"Tops")</f>
        <v>Tops</v>
      </c>
      <c r="K1788" s="13" t="str">
        <f>IFERROR(__xludf.DUMMYFUNCTION("""COMPUTED_VALUE"""),"Knits")</f>
        <v>Knits</v>
      </c>
      <c r="L1788" s="13"/>
    </row>
    <row r="1789">
      <c r="A1789" s="13">
        <f>IFERROR(__xludf.DUMMYFUNCTION("""COMPUTED_VALUE"""),1787.0)</f>
        <v>1787</v>
      </c>
      <c r="B1789" s="13">
        <f>IFERROR(__xludf.DUMMYFUNCTION("""COMPUTED_VALUE"""),867.0)</f>
        <v>867</v>
      </c>
      <c r="C1789" s="13">
        <f>IFERROR(__xludf.DUMMYFUNCTION("""COMPUTED_VALUE"""),32.0)</f>
        <v>32</v>
      </c>
      <c r="D1789" s="12" t="str">
        <f>IFERROR(__xludf.DUMMYFUNCTION("""COMPUTED_VALUE"""),"Beautiful drape, very deep v")</f>
        <v>Beautiful drape, very deep v</v>
      </c>
      <c r="E1789" s="12" t="str">
        <f>IFERROR(__xludf.DUMMYFUNCTION("""COMPUTED_VALUE"""),"I bought this yesterday and love it. it drapes beautifully. it's a little fancy but versatile enough that you could wear it for semi-casual occasions. the first tier hits at the natural waist, while the second tier hits at about hip height. this is very f"&amp;"lattering for the waist, while still being drape-y and a bit loose. i thought this fit a little bigger than to size. i am currently postpartum boobed so i am 5'4"", 135 lbs and 34dd and the s fit great. (i am currently a s in other retailer tops).")</f>
        <v>I bought this yesterday and love it. it drapes beautifully. it's a little fancy but versatile enough that you could wear it for semi-casual occasions. the first tier hits at the natural waist, while the second tier hits at about hip height. this is very flattering for the waist, while still being drape-y and a bit loose. i thought this fit a little bigger than to size. i am currently postpartum boobed so i am 5'4", 135 lbs and 34dd and the s fit great. (i am currently a s in other retailer tops).</v>
      </c>
      <c r="F1789" s="13">
        <f>IFERROR(__xludf.DUMMYFUNCTION("""COMPUTED_VALUE"""),5.0)</f>
        <v>5</v>
      </c>
      <c r="G1789" s="13">
        <f>IFERROR(__xludf.DUMMYFUNCTION("""COMPUTED_VALUE"""),1.0)</f>
        <v>1</v>
      </c>
      <c r="H1789" s="13">
        <f>IFERROR(__xludf.DUMMYFUNCTION("""COMPUTED_VALUE"""),2.0)</f>
        <v>2</v>
      </c>
      <c r="I1789" s="13" t="str">
        <f>IFERROR(__xludf.DUMMYFUNCTION("""COMPUTED_VALUE"""),"General")</f>
        <v>General</v>
      </c>
      <c r="J1789" s="13" t="str">
        <f>IFERROR(__xludf.DUMMYFUNCTION("""COMPUTED_VALUE"""),"Tops")</f>
        <v>Tops</v>
      </c>
      <c r="K1789" s="13" t="str">
        <f>IFERROR(__xludf.DUMMYFUNCTION("""COMPUTED_VALUE"""),"Knits")</f>
        <v>Knits</v>
      </c>
      <c r="L1789" s="13"/>
    </row>
    <row r="1790">
      <c r="A1790" s="13">
        <f>IFERROR(__xludf.DUMMYFUNCTION("""COMPUTED_VALUE"""),1788.0)</f>
        <v>1788</v>
      </c>
      <c r="B1790" s="13">
        <f>IFERROR(__xludf.DUMMYFUNCTION("""COMPUTED_VALUE"""),825.0)</f>
        <v>825</v>
      </c>
      <c r="C1790" s="13">
        <f>IFERROR(__xludf.DUMMYFUNCTION("""COMPUTED_VALUE"""),22.0)</f>
        <v>22</v>
      </c>
      <c r="D1790" s="12" t="str">
        <f>IFERROR(__xludf.DUMMYFUNCTION("""COMPUTED_VALUE"""),"Unique spin to classic button down")</f>
        <v>Unique spin to classic button down</v>
      </c>
      <c r="E1790" s="12" t="str">
        <f>IFERROR(__xludf.DUMMYFUNCTION("""COMPUTED_VALUE"""),"I have been wanting to incorporate button down blouses into my wardrobe for months but hadn't found any that caught my eye. leave it to retailer to supply the best alternative to a classic look. i love everything from the bottom flare to the way it cinche"&amp;"s my waist. i would say this is perfectly appropriate for a business setting while still giving you individual style.")</f>
        <v>I have been wanting to incorporate button down blouses into my wardrobe for months but hadn't found any that caught my eye. leave it to retailer to supply the best alternative to a classic look. i love everything from the bottom flare to the way it cinches my waist. i would say this is perfectly appropriate for a business setting while still giving you individual style.</v>
      </c>
      <c r="F1790" s="13">
        <f>IFERROR(__xludf.DUMMYFUNCTION("""COMPUTED_VALUE"""),5.0)</f>
        <v>5</v>
      </c>
      <c r="G1790" s="13">
        <f>IFERROR(__xludf.DUMMYFUNCTION("""COMPUTED_VALUE"""),1.0)</f>
        <v>1</v>
      </c>
      <c r="H1790" s="13">
        <f>IFERROR(__xludf.DUMMYFUNCTION("""COMPUTED_VALUE"""),0.0)</f>
        <v>0</v>
      </c>
      <c r="I1790" s="13" t="str">
        <f>IFERROR(__xludf.DUMMYFUNCTION("""COMPUTED_VALUE"""),"General Petite")</f>
        <v>General Petite</v>
      </c>
      <c r="J1790" s="13" t="str">
        <f>IFERROR(__xludf.DUMMYFUNCTION("""COMPUTED_VALUE"""),"Tops")</f>
        <v>Tops</v>
      </c>
      <c r="K1790" s="13" t="str">
        <f>IFERROR(__xludf.DUMMYFUNCTION("""COMPUTED_VALUE"""),"Blouses")</f>
        <v>Blouses</v>
      </c>
      <c r="L1790" s="13"/>
    </row>
    <row r="1791">
      <c r="A1791" s="13">
        <f>IFERROR(__xludf.DUMMYFUNCTION("""COMPUTED_VALUE"""),1789.0)</f>
        <v>1789</v>
      </c>
      <c r="B1791" s="13">
        <f>IFERROR(__xludf.DUMMYFUNCTION("""COMPUTED_VALUE"""),1095.0)</f>
        <v>1095</v>
      </c>
      <c r="C1791" s="13">
        <f>IFERROR(__xludf.DUMMYFUNCTION("""COMPUTED_VALUE"""),30.0)</f>
        <v>30</v>
      </c>
      <c r="D1791" s="12" t="str">
        <f>IFERROR(__xludf.DUMMYFUNCTION("""COMPUTED_VALUE"""),"So great - but quality not amazing")</f>
        <v>So great - but quality not amazing</v>
      </c>
      <c r="E1791" s="12" t="str">
        <f>IFERROR(__xludf.DUMMYFUNCTION("""COMPUTED_VALUE"""),"So, so cute. totally flattering. but the seams don't lie flat and there are loose threads all over the place. i've had issues with quality from retailer for a while (random holes in things) and was disappointed this fit that bill. i'm keeping it anyway be"&amp;"cause it's so cute!")</f>
        <v>So, so cute. totally flattering. but the seams don't lie flat and there are loose threads all over the place. i've had issues with quality from retailer for a while (random holes in things) and was disappointed this fit that bill. i'm keeping it anyway because it's so cute!</v>
      </c>
      <c r="F1791" s="13">
        <f>IFERROR(__xludf.DUMMYFUNCTION("""COMPUTED_VALUE"""),3.0)</f>
        <v>3</v>
      </c>
      <c r="G1791" s="13">
        <f>IFERROR(__xludf.DUMMYFUNCTION("""COMPUTED_VALUE"""),1.0)</f>
        <v>1</v>
      </c>
      <c r="H1791" s="13">
        <f>IFERROR(__xludf.DUMMYFUNCTION("""COMPUTED_VALUE"""),27.0)</f>
        <v>27</v>
      </c>
      <c r="I1791" s="13" t="str">
        <f>IFERROR(__xludf.DUMMYFUNCTION("""COMPUTED_VALUE"""),"General Petite")</f>
        <v>General Petite</v>
      </c>
      <c r="J1791" s="13" t="str">
        <f>IFERROR(__xludf.DUMMYFUNCTION("""COMPUTED_VALUE"""),"Dresses")</f>
        <v>Dresses</v>
      </c>
      <c r="K1791" s="13" t="str">
        <f>IFERROR(__xludf.DUMMYFUNCTION("""COMPUTED_VALUE"""),"Dresses")</f>
        <v>Dresses</v>
      </c>
      <c r="L1791" s="13"/>
    </row>
    <row r="1792">
      <c r="A1792" s="13">
        <f>IFERROR(__xludf.DUMMYFUNCTION("""COMPUTED_VALUE"""),1790.0)</f>
        <v>1790</v>
      </c>
      <c r="B1792" s="13">
        <f>IFERROR(__xludf.DUMMYFUNCTION("""COMPUTED_VALUE"""),1095.0)</f>
        <v>1095</v>
      </c>
      <c r="C1792" s="13">
        <f>IFERROR(__xludf.DUMMYFUNCTION("""COMPUTED_VALUE"""),26.0)</f>
        <v>26</v>
      </c>
      <c r="D1792" s="12" t="str">
        <f>IFERROR(__xludf.DUMMYFUNCTION("""COMPUTED_VALUE"""),"Flattering")</f>
        <v>Flattering</v>
      </c>
      <c r="E1792" s="12" t="str">
        <f>IFERROR(__xludf.DUMMYFUNCTION("""COMPUTED_VALUE"""),"Super flattering! my mom and i both bought this, and we have very different body types. (we both had to size up a bit, as i have a large chest, and she has a large ribcage.) i got a size 10 (i'm normally a size 8), and she got a 12. it was much easier to "&amp;"zip up without bras on, and it seems to have been designed to not need a bra. my mom is pretty short (5""2'), so she's going to get her straps shortened. for reference, i'm about 5'9"". hope this helps!")</f>
        <v>Super flattering! my mom and i both bought this, and we have very different body types. (we both had to size up a bit, as i have a large chest, and she has a large ribcage.) i got a size 10 (i'm normally a size 8), and she got a 12. it was much easier to zip up without bras on, and it seems to have been designed to not need a bra. my mom is pretty short (5"2'), so she's going to get her straps shortened. for reference, i'm about 5'9". hope this helps!</v>
      </c>
      <c r="F1792" s="13">
        <f>IFERROR(__xludf.DUMMYFUNCTION("""COMPUTED_VALUE"""),5.0)</f>
        <v>5</v>
      </c>
      <c r="G1792" s="13">
        <f>IFERROR(__xludf.DUMMYFUNCTION("""COMPUTED_VALUE"""),1.0)</f>
        <v>1</v>
      </c>
      <c r="H1792" s="13">
        <f>IFERROR(__xludf.DUMMYFUNCTION("""COMPUTED_VALUE"""),7.0)</f>
        <v>7</v>
      </c>
      <c r="I1792" s="13" t="str">
        <f>IFERROR(__xludf.DUMMYFUNCTION("""COMPUTED_VALUE"""),"General Petite")</f>
        <v>General Petite</v>
      </c>
      <c r="J1792" s="13" t="str">
        <f>IFERROR(__xludf.DUMMYFUNCTION("""COMPUTED_VALUE"""),"Dresses")</f>
        <v>Dresses</v>
      </c>
      <c r="K1792" s="13" t="str">
        <f>IFERROR(__xludf.DUMMYFUNCTION("""COMPUTED_VALUE"""),"Dresses")</f>
        <v>Dresses</v>
      </c>
      <c r="L1792" s="13"/>
    </row>
    <row r="1793">
      <c r="A1793" s="13">
        <f>IFERROR(__xludf.DUMMYFUNCTION("""COMPUTED_VALUE"""),1791.0)</f>
        <v>1791</v>
      </c>
      <c r="B1793" s="13">
        <f>IFERROR(__xludf.DUMMYFUNCTION("""COMPUTED_VALUE"""),825.0)</f>
        <v>825</v>
      </c>
      <c r="C1793" s="13">
        <f>IFERROR(__xludf.DUMMYFUNCTION("""COMPUTED_VALUE"""),43.0)</f>
        <v>43</v>
      </c>
      <c r="D1793" s="12" t="str">
        <f>IFERROR(__xludf.DUMMYFUNCTION("""COMPUTED_VALUE"""),"Fun &amp; flirty take on preppy look")</f>
        <v>Fun &amp; flirty take on preppy look</v>
      </c>
      <c r="E1793" s="12" t="str">
        <f>IFERROR(__xludf.DUMMYFUNCTION("""COMPUTED_VALUE"""),"I bought the grey and white plaid shirt in a large. i'm 165, 36d and the top closes without gaping - even when i push my shoulders back. it's kind of sheer, so will wear a cami underneath. the waist nips in right where it should - giving a trim silhouette"&amp;". adorable and fun top, without being cutesy. love tylho tops!")</f>
        <v>I bought the grey and white plaid shirt in a large. i'm 165, 36d and the top closes without gaping - even when i push my shoulders back. it's kind of sheer, so will wear a cami underneath. the waist nips in right where it should - giving a trim silhouette. adorable and fun top, without being cutesy. love tylho tops!</v>
      </c>
      <c r="F1793" s="13">
        <f>IFERROR(__xludf.DUMMYFUNCTION("""COMPUTED_VALUE"""),5.0)</f>
        <v>5</v>
      </c>
      <c r="G1793" s="13">
        <f>IFERROR(__xludf.DUMMYFUNCTION("""COMPUTED_VALUE"""),1.0)</f>
        <v>1</v>
      </c>
      <c r="H1793" s="13">
        <f>IFERROR(__xludf.DUMMYFUNCTION("""COMPUTED_VALUE"""),1.0)</f>
        <v>1</v>
      </c>
      <c r="I1793" s="13" t="str">
        <f>IFERROR(__xludf.DUMMYFUNCTION("""COMPUTED_VALUE"""),"General Petite")</f>
        <v>General Petite</v>
      </c>
      <c r="J1793" s="13" t="str">
        <f>IFERROR(__xludf.DUMMYFUNCTION("""COMPUTED_VALUE"""),"Tops")</f>
        <v>Tops</v>
      </c>
      <c r="K1793" s="13" t="str">
        <f>IFERROR(__xludf.DUMMYFUNCTION("""COMPUTED_VALUE"""),"Blouses")</f>
        <v>Blouses</v>
      </c>
      <c r="L1793" s="13"/>
    </row>
    <row r="1794">
      <c r="A1794" s="13">
        <f>IFERROR(__xludf.DUMMYFUNCTION("""COMPUTED_VALUE"""),1792.0)</f>
        <v>1792</v>
      </c>
      <c r="B1794" s="13">
        <f>IFERROR(__xludf.DUMMYFUNCTION("""COMPUTED_VALUE"""),1095.0)</f>
        <v>1095</v>
      </c>
      <c r="C1794" s="13">
        <f>IFERROR(__xludf.DUMMYFUNCTION("""COMPUTED_VALUE"""),66.0)</f>
        <v>66</v>
      </c>
      <c r="D1794" s="12"/>
      <c r="E1794" s="12" t="str">
        <f>IFERROR(__xludf.DUMMYFUNCTION("""COMPUTED_VALUE"""),"Super cute and flattering!")</f>
        <v>Super cute and flattering!</v>
      </c>
      <c r="F1794" s="13">
        <f>IFERROR(__xludf.DUMMYFUNCTION("""COMPUTED_VALUE"""),4.0)</f>
        <v>4</v>
      </c>
      <c r="G1794" s="13">
        <f>IFERROR(__xludf.DUMMYFUNCTION("""COMPUTED_VALUE"""),1.0)</f>
        <v>1</v>
      </c>
      <c r="H1794" s="13">
        <f>IFERROR(__xludf.DUMMYFUNCTION("""COMPUTED_VALUE"""),10.0)</f>
        <v>10</v>
      </c>
      <c r="I1794" s="13" t="str">
        <f>IFERROR(__xludf.DUMMYFUNCTION("""COMPUTED_VALUE"""),"General Petite")</f>
        <v>General Petite</v>
      </c>
      <c r="J1794" s="13" t="str">
        <f>IFERROR(__xludf.DUMMYFUNCTION("""COMPUTED_VALUE"""),"Dresses")</f>
        <v>Dresses</v>
      </c>
      <c r="K1794" s="13" t="str">
        <f>IFERROR(__xludf.DUMMYFUNCTION("""COMPUTED_VALUE"""),"Dresses")</f>
        <v>Dresses</v>
      </c>
      <c r="L1794" s="13"/>
    </row>
    <row r="1795">
      <c r="A1795" s="13">
        <f>IFERROR(__xludf.DUMMYFUNCTION("""COMPUTED_VALUE"""),1793.0)</f>
        <v>1793</v>
      </c>
      <c r="B1795" s="13">
        <f>IFERROR(__xludf.DUMMYFUNCTION("""COMPUTED_VALUE"""),867.0)</f>
        <v>867</v>
      </c>
      <c r="C1795" s="13">
        <f>IFERROR(__xludf.DUMMYFUNCTION("""COMPUTED_VALUE"""),39.0)</f>
        <v>39</v>
      </c>
      <c r="D1795" s="12" t="str">
        <f>IFERROR(__xludf.DUMMYFUNCTION("""COMPUTED_VALUE"""),"Pretty spring/summer top")</f>
        <v>Pretty spring/summer top</v>
      </c>
      <c r="E1795" s="12" t="str">
        <f>IFERROR(__xludf.DUMMYFUNCTION("""COMPUTED_VALUE"""),"First, i love this top overall. it is simple and classic and has a flattering, forgiving cut. i agree there is a major design flaw as other reviewers have mentioned. the v-neck is so deep and falls so low you need to wear a camisole underneath. instead i "&amp;"chose to take a stitch at the neckline to keep it together where i wanted it, and that worked beautifully. i think the top should have included either a small button or snap to hold the neckline up properly or should have been stitched together")</f>
        <v>First, i love this top overall. it is simple and classic and has a flattering, forgiving cut. i agree there is a major design flaw as other reviewers have mentioned. the v-neck is so deep and falls so low you need to wear a camisole underneath. instead i chose to take a stitch at the neckline to keep it together where i wanted it, and that worked beautifully. i think the top should have included either a small button or snap to hold the neckline up properly or should have been stitched together</v>
      </c>
      <c r="F1795" s="13">
        <f>IFERROR(__xludf.DUMMYFUNCTION("""COMPUTED_VALUE"""),4.0)</f>
        <v>4</v>
      </c>
      <c r="G1795" s="13">
        <f>IFERROR(__xludf.DUMMYFUNCTION("""COMPUTED_VALUE"""),1.0)</f>
        <v>1</v>
      </c>
      <c r="H1795" s="13">
        <f>IFERROR(__xludf.DUMMYFUNCTION("""COMPUTED_VALUE"""),7.0)</f>
        <v>7</v>
      </c>
      <c r="I1795" s="13" t="str">
        <f>IFERROR(__xludf.DUMMYFUNCTION("""COMPUTED_VALUE"""),"General")</f>
        <v>General</v>
      </c>
      <c r="J1795" s="13" t="str">
        <f>IFERROR(__xludf.DUMMYFUNCTION("""COMPUTED_VALUE"""),"Tops")</f>
        <v>Tops</v>
      </c>
      <c r="K1795" s="13" t="str">
        <f>IFERROR(__xludf.DUMMYFUNCTION("""COMPUTED_VALUE"""),"Knits")</f>
        <v>Knits</v>
      </c>
      <c r="L1795" s="13"/>
    </row>
    <row r="1796">
      <c r="A1796" s="13">
        <f>IFERROR(__xludf.DUMMYFUNCTION("""COMPUTED_VALUE"""),1794.0)</f>
        <v>1794</v>
      </c>
      <c r="B1796" s="13">
        <f>IFERROR(__xludf.DUMMYFUNCTION("""COMPUTED_VALUE"""),825.0)</f>
        <v>825</v>
      </c>
      <c r="C1796" s="13">
        <f>IFERROR(__xludf.DUMMYFUNCTION("""COMPUTED_VALUE"""),37.0)</f>
        <v>37</v>
      </c>
      <c r="D1796" s="12" t="str">
        <f>IFERROR(__xludf.DUMMYFUNCTION("""COMPUTED_VALUE"""),"Perfect fit for broad shoulders")</f>
        <v>Perfect fit for broad shoulders</v>
      </c>
      <c r="E1796" s="12" t="str">
        <f>IFERROR(__xludf.DUMMYFUNCTION("""COMPUTED_VALUE"""),"Based on previous reviews i ordered this shirt in both a small and medium. i have fairly broad shoulders, and thought i might not fit my usual small (if it helps for reference, i am 5'6"", 123 lbs, and wear a 32c bra). i first tried on the small and didn'"&amp;"t even bother opening the medium. i have a hard time finding blouses that fit in the torso without pulling at the bust (i think this is more related to my wide shoulders as opposed to actual bra size). with this blouse the buttons don't pull at a")</f>
        <v>Based on previous reviews i ordered this shirt in both a small and medium. i have fairly broad shoulders, and thought i might not fit my usual small (if it helps for reference, i am 5'6", 123 lbs, and wear a 32c bra). i first tried on the small and didn't even bother opening the medium. i have a hard time finding blouses that fit in the torso without pulling at the bust (i think this is more related to my wide shoulders as opposed to actual bra size). with this blouse the buttons don't pull at a</v>
      </c>
      <c r="F1796" s="13">
        <f>IFERROR(__xludf.DUMMYFUNCTION("""COMPUTED_VALUE"""),5.0)</f>
        <v>5</v>
      </c>
      <c r="G1796" s="13">
        <f>IFERROR(__xludf.DUMMYFUNCTION("""COMPUTED_VALUE"""),1.0)</f>
        <v>1</v>
      </c>
      <c r="H1796" s="13">
        <f>IFERROR(__xludf.DUMMYFUNCTION("""COMPUTED_VALUE"""),0.0)</f>
        <v>0</v>
      </c>
      <c r="I1796" s="13" t="str">
        <f>IFERROR(__xludf.DUMMYFUNCTION("""COMPUTED_VALUE"""),"General Petite")</f>
        <v>General Petite</v>
      </c>
      <c r="J1796" s="13" t="str">
        <f>IFERROR(__xludf.DUMMYFUNCTION("""COMPUTED_VALUE"""),"Tops")</f>
        <v>Tops</v>
      </c>
      <c r="K1796" s="13" t="str">
        <f>IFERROR(__xludf.DUMMYFUNCTION("""COMPUTED_VALUE"""),"Blouses")</f>
        <v>Blouses</v>
      </c>
      <c r="L1796" s="13"/>
    </row>
    <row r="1797">
      <c r="A1797" s="13">
        <f>IFERROR(__xludf.DUMMYFUNCTION("""COMPUTED_VALUE"""),1795.0)</f>
        <v>1795</v>
      </c>
      <c r="B1797" s="13">
        <f>IFERROR(__xludf.DUMMYFUNCTION("""COMPUTED_VALUE"""),825.0)</f>
        <v>825</v>
      </c>
      <c r="C1797" s="13">
        <f>IFERROR(__xludf.DUMMYFUNCTION("""COMPUTED_VALUE"""),56.0)</f>
        <v>56</v>
      </c>
      <c r="D1797" s="12" t="str">
        <f>IFERROR(__xludf.DUMMYFUNCTION("""COMPUTED_VALUE"""),"Absolute steal at sale price")</f>
        <v>Absolute steal at sale price</v>
      </c>
      <c r="E1797" s="12" t="str">
        <f>IFERROR(__xludf.DUMMYFUNCTION("""COMPUTED_VALUE"""),"This top is adorable, especially the grey check. timeless staple, with a modern &amp; cute update. i agree with 2nd reviewer; i don't think this blouse pulls or is tight in the chest. i'm also a 34d, i got a small, it fits perfectly &amp; i wear it all the time -"&amp;" i think it's great for every season. very flattering, the peplum hits at just the right spot and defines the waist. i get compliments all the time. i pair it with cropped sweaters when it's cold. the grey does seem a bit higher quality; the blu")</f>
        <v>This top is adorable, especially the grey check. timeless staple, with a modern &amp; cute update. i agree with 2nd reviewer; i don't think this blouse pulls or is tight in the chest. i'm also a 34d, i got a small, it fits perfectly &amp; i wear it all the time - i think it's great for every season. very flattering, the peplum hits at just the right spot and defines the waist. i get compliments all the time. i pair it with cropped sweaters when it's cold. the grey does seem a bit higher quality; the blu</v>
      </c>
      <c r="F1797" s="13">
        <f>IFERROR(__xludf.DUMMYFUNCTION("""COMPUTED_VALUE"""),5.0)</f>
        <v>5</v>
      </c>
      <c r="G1797" s="13">
        <f>IFERROR(__xludf.DUMMYFUNCTION("""COMPUTED_VALUE"""),1.0)</f>
        <v>1</v>
      </c>
      <c r="H1797" s="13">
        <f>IFERROR(__xludf.DUMMYFUNCTION("""COMPUTED_VALUE"""),0.0)</f>
        <v>0</v>
      </c>
      <c r="I1797" s="13" t="str">
        <f>IFERROR(__xludf.DUMMYFUNCTION("""COMPUTED_VALUE"""),"General Petite")</f>
        <v>General Petite</v>
      </c>
      <c r="J1797" s="13" t="str">
        <f>IFERROR(__xludf.DUMMYFUNCTION("""COMPUTED_VALUE"""),"Tops")</f>
        <v>Tops</v>
      </c>
      <c r="K1797" s="13" t="str">
        <f>IFERROR(__xludf.DUMMYFUNCTION("""COMPUTED_VALUE"""),"Blouses")</f>
        <v>Blouses</v>
      </c>
      <c r="L1797" s="13"/>
    </row>
    <row r="1798">
      <c r="A1798" s="13">
        <f>IFERROR(__xludf.DUMMYFUNCTION("""COMPUTED_VALUE"""),1796.0)</f>
        <v>1796</v>
      </c>
      <c r="B1798" s="13">
        <f>IFERROR(__xludf.DUMMYFUNCTION("""COMPUTED_VALUE"""),1008.0)</f>
        <v>1008</v>
      </c>
      <c r="C1798" s="13">
        <f>IFERROR(__xludf.DUMMYFUNCTION("""COMPUTED_VALUE"""),37.0)</f>
        <v>37</v>
      </c>
      <c r="D1798" s="12"/>
      <c r="E1798" s="12" t="str">
        <f>IFERROR(__xludf.DUMMYFUNCTION("""COMPUTED_VALUE"""),"Buy this skit- it's everything that retailer used to be. great pice, work appopriate, and it fits great.")</f>
        <v>Buy this skit- it's everything that retailer used to be. great pice, work appopriate, and it fits great.</v>
      </c>
      <c r="F1798" s="13">
        <f>IFERROR(__xludf.DUMMYFUNCTION("""COMPUTED_VALUE"""),5.0)</f>
        <v>5</v>
      </c>
      <c r="G1798" s="13">
        <f>IFERROR(__xludf.DUMMYFUNCTION("""COMPUTED_VALUE"""),1.0)</f>
        <v>1</v>
      </c>
      <c r="H1798" s="13">
        <f>IFERROR(__xludf.DUMMYFUNCTION("""COMPUTED_VALUE"""),0.0)</f>
        <v>0</v>
      </c>
      <c r="I1798" s="13" t="str">
        <f>IFERROR(__xludf.DUMMYFUNCTION("""COMPUTED_VALUE"""),"General Petite")</f>
        <v>General Petite</v>
      </c>
      <c r="J1798" s="13" t="str">
        <f>IFERROR(__xludf.DUMMYFUNCTION("""COMPUTED_VALUE"""),"Bottoms")</f>
        <v>Bottoms</v>
      </c>
      <c r="K1798" s="13" t="str">
        <f>IFERROR(__xludf.DUMMYFUNCTION("""COMPUTED_VALUE"""),"Skirts")</f>
        <v>Skirts</v>
      </c>
      <c r="L1798" s="13"/>
    </row>
    <row r="1799">
      <c r="A1799" s="13">
        <f>IFERROR(__xludf.DUMMYFUNCTION("""COMPUTED_VALUE"""),1797.0)</f>
        <v>1797</v>
      </c>
      <c r="B1799" s="13">
        <f>IFERROR(__xludf.DUMMYFUNCTION("""COMPUTED_VALUE"""),867.0)</f>
        <v>867</v>
      </c>
      <c r="C1799" s="13">
        <f>IFERROR(__xludf.DUMMYFUNCTION("""COMPUTED_VALUE"""),29.0)</f>
        <v>29</v>
      </c>
      <c r="D1799" s="12" t="str">
        <f>IFERROR(__xludf.DUMMYFUNCTION("""COMPUTED_VALUE"""),"Beautiful top!")</f>
        <v>Beautiful top!</v>
      </c>
      <c r="E1799" s="12" t="str">
        <f>IFERROR(__xludf.DUMMYFUNCTION("""COMPUTED_VALUE"""),"Wow im really glad i didn't listen to the negative reviews! in ordered this top in the black and red and i have to say this is one of my favorite tops! the neck line i agree does need to be secured. i wish they would have added a snap. it's fine though as"&amp;" i don't mind sewing it closed. this top is worth it! i'm 5'2 108 lbs and small chested. so for slim girls i think this is perfect!")</f>
        <v>Wow im really glad i didn't listen to the negative reviews! in ordered this top in the black and red and i have to say this is one of my favorite tops! the neck line i agree does need to be secured. i wish they would have added a snap. it's fine though as i don't mind sewing it closed. this top is worth it! i'm 5'2 108 lbs and small chested. so for slim girls i think this is perfect!</v>
      </c>
      <c r="F1799" s="13">
        <f>IFERROR(__xludf.DUMMYFUNCTION("""COMPUTED_VALUE"""),5.0)</f>
        <v>5</v>
      </c>
      <c r="G1799" s="13">
        <f>IFERROR(__xludf.DUMMYFUNCTION("""COMPUTED_VALUE"""),1.0)</f>
        <v>1</v>
      </c>
      <c r="H1799" s="13">
        <f>IFERROR(__xludf.DUMMYFUNCTION("""COMPUTED_VALUE"""),1.0)</f>
        <v>1</v>
      </c>
      <c r="I1799" s="13" t="str">
        <f>IFERROR(__xludf.DUMMYFUNCTION("""COMPUTED_VALUE"""),"General")</f>
        <v>General</v>
      </c>
      <c r="J1799" s="13" t="str">
        <f>IFERROR(__xludf.DUMMYFUNCTION("""COMPUTED_VALUE"""),"Tops")</f>
        <v>Tops</v>
      </c>
      <c r="K1799" s="13" t="str">
        <f>IFERROR(__xludf.DUMMYFUNCTION("""COMPUTED_VALUE"""),"Knits")</f>
        <v>Knits</v>
      </c>
      <c r="L1799" s="13"/>
    </row>
    <row r="1800">
      <c r="A1800" s="13">
        <f>IFERROR(__xludf.DUMMYFUNCTION("""COMPUTED_VALUE"""),1798.0)</f>
        <v>1798</v>
      </c>
      <c r="B1800" s="13">
        <f>IFERROR(__xludf.DUMMYFUNCTION("""COMPUTED_VALUE"""),825.0)</f>
        <v>825</v>
      </c>
      <c r="C1800" s="13">
        <f>IFERROR(__xludf.DUMMYFUNCTION("""COMPUTED_VALUE"""),62.0)</f>
        <v>62</v>
      </c>
      <c r="D1800" s="12" t="str">
        <f>IFERROR(__xludf.DUMMYFUNCTION("""COMPUTED_VALUE"""),"Great basic")</f>
        <v>Great basic</v>
      </c>
      <c r="E1800" s="12" t="str">
        <f>IFERROR(__xludf.DUMMYFUNCTION("""COMPUTED_VALUE"""),"I really like this shirt. the material was a little heavier cotton than i expected in looking at the picture which is good otherwise it could look like you slept in the shirt. it is something that is going to wrinkle when you wear it so if that is bothers"&amp;"ome then pass on this shirt. it's a bit longer which i also like because it will work by itself or under a jacket or sweater.")</f>
        <v>I really like this shirt. the material was a little heavier cotton than i expected in looking at the picture which is good otherwise it could look like you slept in the shirt. it is something that is going to wrinkle when you wear it so if that is bothersome then pass on this shirt. it's a bit longer which i also like because it will work by itself or under a jacket or sweater.</v>
      </c>
      <c r="F1800" s="13">
        <f>IFERROR(__xludf.DUMMYFUNCTION("""COMPUTED_VALUE"""),4.0)</f>
        <v>4</v>
      </c>
      <c r="G1800" s="13">
        <f>IFERROR(__xludf.DUMMYFUNCTION("""COMPUTED_VALUE"""),1.0)</f>
        <v>1</v>
      </c>
      <c r="H1800" s="13">
        <f>IFERROR(__xludf.DUMMYFUNCTION("""COMPUTED_VALUE"""),1.0)</f>
        <v>1</v>
      </c>
      <c r="I1800" s="13" t="str">
        <f>IFERROR(__xludf.DUMMYFUNCTION("""COMPUTED_VALUE"""),"General Petite")</f>
        <v>General Petite</v>
      </c>
      <c r="J1800" s="13" t="str">
        <f>IFERROR(__xludf.DUMMYFUNCTION("""COMPUTED_VALUE"""),"Tops")</f>
        <v>Tops</v>
      </c>
      <c r="K1800" s="13" t="str">
        <f>IFERROR(__xludf.DUMMYFUNCTION("""COMPUTED_VALUE"""),"Blouses")</f>
        <v>Blouses</v>
      </c>
      <c r="L1800" s="13"/>
    </row>
    <row r="1801">
      <c r="A1801" s="13">
        <f>IFERROR(__xludf.DUMMYFUNCTION("""COMPUTED_VALUE"""),1799.0)</f>
        <v>1799</v>
      </c>
      <c r="B1801" s="13">
        <f>IFERROR(__xludf.DUMMYFUNCTION("""COMPUTED_VALUE"""),1008.0)</f>
        <v>1008</v>
      </c>
      <c r="C1801" s="13">
        <f>IFERROR(__xludf.DUMMYFUNCTION("""COMPUTED_VALUE"""),66.0)</f>
        <v>66</v>
      </c>
      <c r="D1801" s="12" t="str">
        <f>IFERROR(__xludf.DUMMYFUNCTION("""COMPUTED_VALUE"""),"Colorful &amp; lovely")</f>
        <v>Colorful &amp; lovely</v>
      </c>
      <c r="E1801" s="12" t="str">
        <f>IFERROR(__xludf.DUMMYFUNCTION("""COMPUTED_VALUE"""),"I found this skirt to run tts - i am a size 16 and the bought the xl. it is so soft and comfortable and the colors are so much prettier in person. i paired it with a black turtle neck and black dolce vita booties that i snagged on sale at my local retaile"&amp;"r. happy girl!")</f>
        <v>I found this skirt to run tts - i am a size 16 and the bought the xl. it is so soft and comfortable and the colors are so much prettier in person. i paired it with a black turtle neck and black dolce vita booties that i snagged on sale at my local retailer. happy girl!</v>
      </c>
      <c r="F1801" s="13">
        <f>IFERROR(__xludf.DUMMYFUNCTION("""COMPUTED_VALUE"""),5.0)</f>
        <v>5</v>
      </c>
      <c r="G1801" s="13">
        <f>IFERROR(__xludf.DUMMYFUNCTION("""COMPUTED_VALUE"""),1.0)</f>
        <v>1</v>
      </c>
      <c r="H1801" s="13">
        <f>IFERROR(__xludf.DUMMYFUNCTION("""COMPUTED_VALUE"""),0.0)</f>
        <v>0</v>
      </c>
      <c r="I1801" s="13" t="str">
        <f>IFERROR(__xludf.DUMMYFUNCTION("""COMPUTED_VALUE"""),"General Petite")</f>
        <v>General Petite</v>
      </c>
      <c r="J1801" s="13" t="str">
        <f>IFERROR(__xludf.DUMMYFUNCTION("""COMPUTED_VALUE"""),"Bottoms")</f>
        <v>Bottoms</v>
      </c>
      <c r="K1801" s="13" t="str">
        <f>IFERROR(__xludf.DUMMYFUNCTION("""COMPUTED_VALUE"""),"Skirts")</f>
        <v>Skirts</v>
      </c>
      <c r="L1801" s="13"/>
    </row>
    <row r="1802">
      <c r="A1802" s="13">
        <f>IFERROR(__xludf.DUMMYFUNCTION("""COMPUTED_VALUE"""),1800.0)</f>
        <v>1800</v>
      </c>
      <c r="B1802" s="13">
        <f>IFERROR(__xludf.DUMMYFUNCTION("""COMPUTED_VALUE"""),921.0)</f>
        <v>921</v>
      </c>
      <c r="C1802" s="13">
        <f>IFERROR(__xludf.DUMMYFUNCTION("""COMPUTED_VALUE"""),32.0)</f>
        <v>32</v>
      </c>
      <c r="D1802" s="12" t="str">
        <f>IFERROR(__xludf.DUMMYFUNCTION("""COMPUTED_VALUE"""),"Beautiful sweater")</f>
        <v>Beautiful sweater</v>
      </c>
      <c r="E1802" s="12" t="str">
        <f>IFERROR(__xludf.DUMMYFUNCTION("""COMPUTED_VALUE"""),"This sweater is comfortable yet still work appropriate. the ruffled shoulders adds a feminine touch.")</f>
        <v>This sweater is comfortable yet still work appropriate. the ruffled shoulders adds a feminine touch.</v>
      </c>
      <c r="F1802" s="13">
        <f>IFERROR(__xludf.DUMMYFUNCTION("""COMPUTED_VALUE"""),5.0)</f>
        <v>5</v>
      </c>
      <c r="G1802" s="13">
        <f>IFERROR(__xludf.DUMMYFUNCTION("""COMPUTED_VALUE"""),1.0)</f>
        <v>1</v>
      </c>
      <c r="H1802" s="13">
        <f>IFERROR(__xludf.DUMMYFUNCTION("""COMPUTED_VALUE"""),0.0)</f>
        <v>0</v>
      </c>
      <c r="I1802" s="13" t="str">
        <f>IFERROR(__xludf.DUMMYFUNCTION("""COMPUTED_VALUE"""),"General")</f>
        <v>General</v>
      </c>
      <c r="J1802" s="13" t="str">
        <f>IFERROR(__xludf.DUMMYFUNCTION("""COMPUTED_VALUE"""),"Tops")</f>
        <v>Tops</v>
      </c>
      <c r="K1802" s="13" t="str">
        <f>IFERROR(__xludf.DUMMYFUNCTION("""COMPUTED_VALUE"""),"Sweaters")</f>
        <v>Sweaters</v>
      </c>
      <c r="L1802" s="13"/>
    </row>
    <row r="1803">
      <c r="A1803" s="13">
        <f>IFERROR(__xludf.DUMMYFUNCTION("""COMPUTED_VALUE"""),1801.0)</f>
        <v>1801</v>
      </c>
      <c r="B1803" s="13">
        <f>IFERROR(__xludf.DUMMYFUNCTION("""COMPUTED_VALUE"""),1095.0)</f>
        <v>1095</v>
      </c>
      <c r="C1803" s="13">
        <f>IFERROR(__xludf.DUMMYFUNCTION("""COMPUTED_VALUE"""),23.0)</f>
        <v>23</v>
      </c>
      <c r="D1803" s="12" t="str">
        <f>IFERROR(__xludf.DUMMYFUNCTION("""COMPUTED_VALUE"""),"Great idea, okay execution")</f>
        <v>Great idea, okay execution</v>
      </c>
      <c r="E1803" s="12" t="str">
        <f>IFERROR(__xludf.DUMMYFUNCTION("""COMPUTED_VALUE"""),"I have a shorter torso and so i usually love dresses that hit right at my waist- so this dress seemed perfect! 
i ordered a size 2 petite, which fit very well. the regular two (in picture) was not as well made. the straps didn't fit as well. they were les"&amp;"s of an ""x"" and way more fabric. petite fit great. i think this dress is really fun but not very mature. i returned it because it didn't feel adult enough for the event.")</f>
        <v>I have a shorter torso and so i usually love dresses that hit right at my waist- so this dress seemed perfect! 
i ordered a size 2 petite, which fit very well. the regular two (in picture) was not as well made. the straps didn't fit as well. they were less of an "x" and way more fabric. petite fit great. i think this dress is really fun but not very mature. i returned it because it didn't feel adult enough for the event.</v>
      </c>
      <c r="F1803" s="13">
        <f>IFERROR(__xludf.DUMMYFUNCTION("""COMPUTED_VALUE"""),4.0)</f>
        <v>4</v>
      </c>
      <c r="G1803" s="13">
        <f>IFERROR(__xludf.DUMMYFUNCTION("""COMPUTED_VALUE"""),1.0)</f>
        <v>1</v>
      </c>
      <c r="H1803" s="13">
        <f>IFERROR(__xludf.DUMMYFUNCTION("""COMPUTED_VALUE"""),8.0)</f>
        <v>8</v>
      </c>
      <c r="I1803" s="13" t="str">
        <f>IFERROR(__xludf.DUMMYFUNCTION("""COMPUTED_VALUE"""),"General Petite")</f>
        <v>General Petite</v>
      </c>
      <c r="J1803" s="13" t="str">
        <f>IFERROR(__xludf.DUMMYFUNCTION("""COMPUTED_VALUE"""),"Dresses")</f>
        <v>Dresses</v>
      </c>
      <c r="K1803" s="13" t="str">
        <f>IFERROR(__xludf.DUMMYFUNCTION("""COMPUTED_VALUE"""),"Dresses")</f>
        <v>Dresses</v>
      </c>
      <c r="L1803" s="13"/>
    </row>
    <row r="1804">
      <c r="A1804" s="13">
        <f>IFERROR(__xludf.DUMMYFUNCTION("""COMPUTED_VALUE"""),1802.0)</f>
        <v>1802</v>
      </c>
      <c r="B1804" s="13">
        <f>IFERROR(__xludf.DUMMYFUNCTION("""COMPUTED_VALUE"""),867.0)</f>
        <v>867</v>
      </c>
      <c r="C1804" s="13">
        <f>IFERROR(__xludf.DUMMYFUNCTION("""COMPUTED_VALUE"""),43.0)</f>
        <v>43</v>
      </c>
      <c r="D1804" s="12" t="str">
        <f>IFERROR(__xludf.DUMMYFUNCTION("""COMPUTED_VALUE"""),"Great buy on sale")</f>
        <v>Great buy on sale</v>
      </c>
      <c r="E1804" s="12" t="str">
        <f>IFERROR(__xludf.DUMMYFUNCTION("""COMPUTED_VALUE"""),"Just picked this up in black in the store. on the hanger it looks like just another v-neck tank, but it is quite flattering on. however, the v-neck is quite exaggerated and loose, i will be pinning it so it doesn't sag open. :)")</f>
        <v>Just picked this up in black in the store. on the hanger it looks like just another v-neck tank, but it is quite flattering on. however, the v-neck is quite exaggerated and loose, i will be pinning it so it doesn't sag open. :)</v>
      </c>
      <c r="F1804" s="13">
        <f>IFERROR(__xludf.DUMMYFUNCTION("""COMPUTED_VALUE"""),4.0)</f>
        <v>4</v>
      </c>
      <c r="G1804" s="13">
        <f>IFERROR(__xludf.DUMMYFUNCTION("""COMPUTED_VALUE"""),1.0)</f>
        <v>1</v>
      </c>
      <c r="H1804" s="13">
        <f>IFERROR(__xludf.DUMMYFUNCTION("""COMPUTED_VALUE"""),1.0)</f>
        <v>1</v>
      </c>
      <c r="I1804" s="13" t="str">
        <f>IFERROR(__xludf.DUMMYFUNCTION("""COMPUTED_VALUE"""),"General")</f>
        <v>General</v>
      </c>
      <c r="J1804" s="13" t="str">
        <f>IFERROR(__xludf.DUMMYFUNCTION("""COMPUTED_VALUE"""),"Tops")</f>
        <v>Tops</v>
      </c>
      <c r="K1804" s="13" t="str">
        <f>IFERROR(__xludf.DUMMYFUNCTION("""COMPUTED_VALUE"""),"Knits")</f>
        <v>Knits</v>
      </c>
      <c r="L1804" s="13"/>
    </row>
    <row r="1805">
      <c r="A1805" s="13">
        <f>IFERROR(__xludf.DUMMYFUNCTION("""COMPUTED_VALUE"""),1803.0)</f>
        <v>1803</v>
      </c>
      <c r="B1805" s="13">
        <f>IFERROR(__xludf.DUMMYFUNCTION("""COMPUTED_VALUE"""),1030.0)</f>
        <v>1030</v>
      </c>
      <c r="C1805" s="13">
        <f>IFERROR(__xludf.DUMMYFUNCTION("""COMPUTED_VALUE"""),41.0)</f>
        <v>41</v>
      </c>
      <c r="D1805" s="12" t="str">
        <f>IFERROR(__xludf.DUMMYFUNCTION("""COMPUTED_VALUE"""),"Just like the photo!!")</f>
        <v>Just like the photo!!</v>
      </c>
      <c r="E1805" s="12" t="str">
        <f>IFERROR(__xludf.DUMMYFUNCTION("""COMPUTED_VALUE"""),"I love jeans!!! especially this pair. perfect fit, hugs in all the right places. perfect length! worn it 3x already! and it gets better every time you wear it. goes great with a cute too!")</f>
        <v>I love jeans!!! especially this pair. perfect fit, hugs in all the right places. perfect length! worn it 3x already! and it gets better every time you wear it. goes great with a cute too!</v>
      </c>
      <c r="F1805" s="13">
        <f>IFERROR(__xludf.DUMMYFUNCTION("""COMPUTED_VALUE"""),5.0)</f>
        <v>5</v>
      </c>
      <c r="G1805" s="13">
        <f>IFERROR(__xludf.DUMMYFUNCTION("""COMPUTED_VALUE"""),1.0)</f>
        <v>1</v>
      </c>
      <c r="H1805" s="13">
        <f>IFERROR(__xludf.DUMMYFUNCTION("""COMPUTED_VALUE"""),1.0)</f>
        <v>1</v>
      </c>
      <c r="I1805" s="13" t="str">
        <f>IFERROR(__xludf.DUMMYFUNCTION("""COMPUTED_VALUE"""),"General")</f>
        <v>General</v>
      </c>
      <c r="J1805" s="13" t="str">
        <f>IFERROR(__xludf.DUMMYFUNCTION("""COMPUTED_VALUE"""),"Bottoms")</f>
        <v>Bottoms</v>
      </c>
      <c r="K1805" s="13" t="str">
        <f>IFERROR(__xludf.DUMMYFUNCTION("""COMPUTED_VALUE"""),"Jeans")</f>
        <v>Jeans</v>
      </c>
      <c r="L1805" s="13"/>
    </row>
    <row r="1806">
      <c r="A1806" s="13">
        <f>IFERROR(__xludf.DUMMYFUNCTION("""COMPUTED_VALUE"""),1804.0)</f>
        <v>1804</v>
      </c>
      <c r="B1806" s="13">
        <f>IFERROR(__xludf.DUMMYFUNCTION("""COMPUTED_VALUE"""),1095.0)</f>
        <v>1095</v>
      </c>
      <c r="C1806" s="13">
        <f>IFERROR(__xludf.DUMMYFUNCTION("""COMPUTED_VALUE"""),27.0)</f>
        <v>27</v>
      </c>
      <c r="D1806" s="12"/>
      <c r="E1806" s="12" t="str">
        <f>IFERROR(__xludf.DUMMYFUNCTION("""COMPUTED_VALUE"""),"This dress is made of a very thick material both on the top and bottom, making it very flattering. lots of compliments!")</f>
        <v>This dress is made of a very thick material both on the top and bottom, making it very flattering. lots of compliments!</v>
      </c>
      <c r="F1806" s="13">
        <f>IFERROR(__xludf.DUMMYFUNCTION("""COMPUTED_VALUE"""),5.0)</f>
        <v>5</v>
      </c>
      <c r="G1806" s="13">
        <f>IFERROR(__xludf.DUMMYFUNCTION("""COMPUTED_VALUE"""),1.0)</f>
        <v>1</v>
      </c>
      <c r="H1806" s="13">
        <f>IFERROR(__xludf.DUMMYFUNCTION("""COMPUTED_VALUE"""),2.0)</f>
        <v>2</v>
      </c>
      <c r="I1806" s="13" t="str">
        <f>IFERROR(__xludf.DUMMYFUNCTION("""COMPUTED_VALUE"""),"General Petite")</f>
        <v>General Petite</v>
      </c>
      <c r="J1806" s="13" t="str">
        <f>IFERROR(__xludf.DUMMYFUNCTION("""COMPUTED_VALUE"""),"Dresses")</f>
        <v>Dresses</v>
      </c>
      <c r="K1806" s="13" t="str">
        <f>IFERROR(__xludf.DUMMYFUNCTION("""COMPUTED_VALUE"""),"Dresses")</f>
        <v>Dresses</v>
      </c>
      <c r="L1806" s="13"/>
    </row>
    <row r="1807">
      <c r="A1807" s="13">
        <f>IFERROR(__xludf.DUMMYFUNCTION("""COMPUTED_VALUE"""),1805.0)</f>
        <v>1805</v>
      </c>
      <c r="B1807" s="13">
        <f>IFERROR(__xludf.DUMMYFUNCTION("""COMPUTED_VALUE"""),867.0)</f>
        <v>867</v>
      </c>
      <c r="C1807" s="13">
        <f>IFERROR(__xludf.DUMMYFUNCTION("""COMPUTED_VALUE"""),43.0)</f>
        <v>43</v>
      </c>
      <c r="D1807" s="12" t="str">
        <f>IFERROR(__xludf.DUMMYFUNCTION("""COMPUTED_VALUE"""),"Cute summer top")</f>
        <v>Cute summer top</v>
      </c>
      <c r="E1807" s="12" t="str">
        <f>IFERROR(__xludf.DUMMYFUNCTION("""COMPUTED_VALUE"""),"This is a nice lightweight summer top to wear with a pair of shorts. it is low cut though - lower than i expected so i wear a tank underneath it. the layers are flattering.")</f>
        <v>This is a nice lightweight summer top to wear with a pair of shorts. it is low cut though - lower than i expected so i wear a tank underneath it. the layers are flattering.</v>
      </c>
      <c r="F1807" s="13">
        <f>IFERROR(__xludf.DUMMYFUNCTION("""COMPUTED_VALUE"""),4.0)</f>
        <v>4</v>
      </c>
      <c r="G1807" s="13">
        <f>IFERROR(__xludf.DUMMYFUNCTION("""COMPUTED_VALUE"""),1.0)</f>
        <v>1</v>
      </c>
      <c r="H1807" s="13">
        <f>IFERROR(__xludf.DUMMYFUNCTION("""COMPUTED_VALUE"""),0.0)</f>
        <v>0</v>
      </c>
      <c r="I1807" s="13" t="str">
        <f>IFERROR(__xludf.DUMMYFUNCTION("""COMPUTED_VALUE"""),"General")</f>
        <v>General</v>
      </c>
      <c r="J1807" s="13" t="str">
        <f>IFERROR(__xludf.DUMMYFUNCTION("""COMPUTED_VALUE"""),"Tops")</f>
        <v>Tops</v>
      </c>
      <c r="K1807" s="13" t="str">
        <f>IFERROR(__xludf.DUMMYFUNCTION("""COMPUTED_VALUE"""),"Knits")</f>
        <v>Knits</v>
      </c>
      <c r="L1807" s="13"/>
    </row>
    <row r="1808">
      <c r="A1808" s="13">
        <f>IFERROR(__xludf.DUMMYFUNCTION("""COMPUTED_VALUE"""),1806.0)</f>
        <v>1806</v>
      </c>
      <c r="B1808" s="13">
        <f>IFERROR(__xludf.DUMMYFUNCTION("""COMPUTED_VALUE"""),867.0)</f>
        <v>867</v>
      </c>
      <c r="C1808" s="13">
        <f>IFERROR(__xludf.DUMMYFUNCTION("""COMPUTED_VALUE"""),37.0)</f>
        <v>37</v>
      </c>
      <c r="D1808" s="12" t="str">
        <f>IFERROR(__xludf.DUMMYFUNCTION("""COMPUTED_VALUE"""),"Odd fit")</f>
        <v>Odd fit</v>
      </c>
      <c r="E1808" s="12" t="str">
        <f>IFERROR(__xludf.DUMMYFUNCTION("""COMPUTED_VALUE"""),"This shirt was so weird?it does not fit like the photo at all. there seems to be missing a stitch or something at the top as it is wide open until the bottom/where it meets the other layer. i could wear a tank/camisole underneath, but it still just did no"&amp;"t fit right. i do not have a large chest, but this was ridiculous. beyond that, the red color was just okay. even though i purchased this on sale, it was not worth the price and i returned.")</f>
        <v>This shirt was so weird?it does not fit like the photo at all. there seems to be missing a stitch or something at the top as it is wide open until the bottom/where it meets the other layer. i could wear a tank/camisole underneath, but it still just did not fit right. i do not have a large chest, but this was ridiculous. beyond that, the red color was just okay. even though i purchased this on sale, it was not worth the price and i returned.</v>
      </c>
      <c r="F1808" s="13">
        <f>IFERROR(__xludf.DUMMYFUNCTION("""COMPUTED_VALUE"""),1.0)</f>
        <v>1</v>
      </c>
      <c r="G1808" s="13">
        <f>IFERROR(__xludf.DUMMYFUNCTION("""COMPUTED_VALUE"""),0.0)</f>
        <v>0</v>
      </c>
      <c r="H1808" s="13">
        <f>IFERROR(__xludf.DUMMYFUNCTION("""COMPUTED_VALUE"""),0.0)</f>
        <v>0</v>
      </c>
      <c r="I1808" s="13" t="str">
        <f>IFERROR(__xludf.DUMMYFUNCTION("""COMPUTED_VALUE"""),"General")</f>
        <v>General</v>
      </c>
      <c r="J1808" s="13" t="str">
        <f>IFERROR(__xludf.DUMMYFUNCTION("""COMPUTED_VALUE"""),"Tops")</f>
        <v>Tops</v>
      </c>
      <c r="K1808" s="13" t="str">
        <f>IFERROR(__xludf.DUMMYFUNCTION("""COMPUTED_VALUE"""),"Knits")</f>
        <v>Knits</v>
      </c>
      <c r="L1808" s="13"/>
    </row>
    <row r="1809">
      <c r="A1809" s="13">
        <f>IFERROR(__xludf.DUMMYFUNCTION("""COMPUTED_VALUE"""),1807.0)</f>
        <v>1807</v>
      </c>
      <c r="B1809" s="13">
        <f>IFERROR(__xludf.DUMMYFUNCTION("""COMPUTED_VALUE"""),1095.0)</f>
        <v>1095</v>
      </c>
      <c r="C1809" s="13">
        <f>IFERROR(__xludf.DUMMYFUNCTION("""COMPUTED_VALUE"""),42.0)</f>
        <v>42</v>
      </c>
      <c r="D1809" s="12" t="str">
        <f>IFERROR(__xludf.DUMMYFUNCTION("""COMPUTED_VALUE"""),"Just...weird")</f>
        <v>Just...weird</v>
      </c>
      <c r="E1809" s="12" t="str">
        <f>IFERROR(__xludf.DUMMYFUNCTION("""COMPUTED_VALUE"""),"I saw this dress and immediately started daydreaming about wearing it while honeymooning in italy along the amalfi coast or the cinque terre with my husband. and then i tried this dress on and immediately woke up. the cut is a disaster, the quality is ter"&amp;"rible, and the dress just plain didn't work. the strips of elastic were sewn unevenly, giving the appearance that there was one large breast and one non-existent breast. the neckline was so long that it had to have the elastic run over the outsi")</f>
        <v>I saw this dress and immediately started daydreaming about wearing it while honeymooning in italy along the amalfi coast or the cinque terre with my husband. and then i tried this dress on and immediately woke up. the cut is a disaster, the quality is terrible, and the dress just plain didn't work. the strips of elastic were sewn unevenly, giving the appearance that there was one large breast and one non-existent breast. the neckline was so long that it had to have the elastic run over the outsi</v>
      </c>
      <c r="F1809" s="13">
        <f>IFERROR(__xludf.DUMMYFUNCTION("""COMPUTED_VALUE"""),2.0)</f>
        <v>2</v>
      </c>
      <c r="G1809" s="13">
        <f>IFERROR(__xludf.DUMMYFUNCTION("""COMPUTED_VALUE"""),0.0)</f>
        <v>0</v>
      </c>
      <c r="H1809" s="13">
        <f>IFERROR(__xludf.DUMMYFUNCTION("""COMPUTED_VALUE"""),4.0)</f>
        <v>4</v>
      </c>
      <c r="I1809" s="13" t="str">
        <f>IFERROR(__xludf.DUMMYFUNCTION("""COMPUTED_VALUE"""),"General Petite")</f>
        <v>General Petite</v>
      </c>
      <c r="J1809" s="13" t="str">
        <f>IFERROR(__xludf.DUMMYFUNCTION("""COMPUTED_VALUE"""),"Dresses")</f>
        <v>Dresses</v>
      </c>
      <c r="K1809" s="13" t="str">
        <f>IFERROR(__xludf.DUMMYFUNCTION("""COMPUTED_VALUE"""),"Dresses")</f>
        <v>Dresses</v>
      </c>
      <c r="L1809" s="13"/>
    </row>
    <row r="1810">
      <c r="A1810" s="13">
        <f>IFERROR(__xludf.DUMMYFUNCTION("""COMPUTED_VALUE"""),1808.0)</f>
        <v>1808</v>
      </c>
      <c r="B1810" s="13">
        <f>IFERROR(__xludf.DUMMYFUNCTION("""COMPUTED_VALUE"""),822.0)</f>
        <v>822</v>
      </c>
      <c r="C1810" s="13">
        <f>IFERROR(__xludf.DUMMYFUNCTION("""COMPUTED_VALUE"""),25.0)</f>
        <v>25</v>
      </c>
      <c r="D1810" s="12" t="str">
        <f>IFERROR(__xludf.DUMMYFUNCTION("""COMPUTED_VALUE"""),"So different in a good way!")</f>
        <v>So different in a good way!</v>
      </c>
      <c r="E1810" s="12" t="str">
        <f>IFERROR(__xludf.DUMMYFUNCTION("""COMPUTED_VALUE"""),"This blouse is pretty sheer, but perfect for a summer day. good coverage in the front and under arms on the sides for limited bra exposure, and a very cute opening in on the lower back.")</f>
        <v>This blouse is pretty sheer, but perfect for a summer day. good coverage in the front and under arms on the sides for limited bra exposure, and a very cute opening in on the lower back.</v>
      </c>
      <c r="F1810" s="13">
        <f>IFERROR(__xludf.DUMMYFUNCTION("""COMPUTED_VALUE"""),4.0)</f>
        <v>4</v>
      </c>
      <c r="G1810" s="13">
        <f>IFERROR(__xludf.DUMMYFUNCTION("""COMPUTED_VALUE"""),1.0)</f>
        <v>1</v>
      </c>
      <c r="H1810" s="13">
        <f>IFERROR(__xludf.DUMMYFUNCTION("""COMPUTED_VALUE"""),1.0)</f>
        <v>1</v>
      </c>
      <c r="I1810" s="13" t="str">
        <f>IFERROR(__xludf.DUMMYFUNCTION("""COMPUTED_VALUE"""),"General")</f>
        <v>General</v>
      </c>
      <c r="J1810" s="13" t="str">
        <f>IFERROR(__xludf.DUMMYFUNCTION("""COMPUTED_VALUE"""),"Tops")</f>
        <v>Tops</v>
      </c>
      <c r="K1810" s="13" t="str">
        <f>IFERROR(__xludf.DUMMYFUNCTION("""COMPUTED_VALUE"""),"Blouses")</f>
        <v>Blouses</v>
      </c>
      <c r="L1810" s="13"/>
    </row>
    <row r="1811">
      <c r="A1811" s="13">
        <f>IFERROR(__xludf.DUMMYFUNCTION("""COMPUTED_VALUE"""),1809.0)</f>
        <v>1809</v>
      </c>
      <c r="B1811" s="13">
        <f>IFERROR(__xludf.DUMMYFUNCTION("""COMPUTED_VALUE"""),867.0)</f>
        <v>867</v>
      </c>
      <c r="C1811" s="13">
        <f>IFERROR(__xludf.DUMMYFUNCTION("""COMPUTED_VALUE"""),39.0)</f>
        <v>39</v>
      </c>
      <c r="D1811" s="12" t="str">
        <f>IFERROR(__xludf.DUMMYFUNCTION("""COMPUTED_VALUE"""),"Droopy front, heavy fabric")</f>
        <v>Droopy front, heavy fabric</v>
      </c>
      <c r="E1811" s="12" t="str">
        <f>IFERROR(__xludf.DUMMYFUNCTION("""COMPUTED_VALUE"""),"Right out of the bag, this top didn't really match the one pictured here (it is the right top, though). the fabric was heavy and felt ""damp"" -- the way something feels coming out of the wash. very odd.
and the fit is nothing like what's shown on the mod"&amp;"el. the ""v"" is not fitted or nicely wrapped (or even tacked in place) -- it was just two loose, droopy pieces so most of my bra was showing no matter how many times i put the pieces back where they belonged (i'm neither ""flat chested"" nor ""busty""")</f>
        <v>Right out of the bag, this top didn't really match the one pictured here (it is the right top, though). the fabric was heavy and felt "damp" -- the way something feels coming out of the wash. very odd.
and the fit is nothing like what's shown on the model. the "v" is not fitted or nicely wrapped (or even tacked in place) -- it was just two loose, droopy pieces so most of my bra was showing no matter how many times i put the pieces back where they belonged (i'm neither "flat chested" nor "busty"</v>
      </c>
      <c r="F1811" s="13">
        <f>IFERROR(__xludf.DUMMYFUNCTION("""COMPUTED_VALUE"""),1.0)</f>
        <v>1</v>
      </c>
      <c r="G1811" s="13">
        <f>IFERROR(__xludf.DUMMYFUNCTION("""COMPUTED_VALUE"""),0.0)</f>
        <v>0</v>
      </c>
      <c r="H1811" s="13">
        <f>IFERROR(__xludf.DUMMYFUNCTION("""COMPUTED_VALUE"""),8.0)</f>
        <v>8</v>
      </c>
      <c r="I1811" s="13" t="str">
        <f>IFERROR(__xludf.DUMMYFUNCTION("""COMPUTED_VALUE"""),"General")</f>
        <v>General</v>
      </c>
      <c r="J1811" s="13" t="str">
        <f>IFERROR(__xludf.DUMMYFUNCTION("""COMPUTED_VALUE"""),"Tops")</f>
        <v>Tops</v>
      </c>
      <c r="K1811" s="13" t="str">
        <f>IFERROR(__xludf.DUMMYFUNCTION("""COMPUTED_VALUE"""),"Knits")</f>
        <v>Knits</v>
      </c>
      <c r="L1811" s="13"/>
    </row>
    <row r="1812">
      <c r="A1812" s="13">
        <f>IFERROR(__xludf.DUMMYFUNCTION("""COMPUTED_VALUE"""),1810.0)</f>
        <v>1810</v>
      </c>
      <c r="B1812" s="13">
        <f>IFERROR(__xludf.DUMMYFUNCTION("""COMPUTED_VALUE"""),1094.0)</f>
        <v>1094</v>
      </c>
      <c r="C1812" s="13">
        <f>IFERROR(__xludf.DUMMYFUNCTION("""COMPUTED_VALUE"""),23.0)</f>
        <v>23</v>
      </c>
      <c r="D1812" s="12"/>
      <c r="E1812" s="12" t="str">
        <f>IFERROR(__xludf.DUMMYFUNCTION("""COMPUTED_VALUE"""),"I love this dress! perfect for both work and play and can be worn in all seasons thanks to the sleeves.")</f>
        <v>I love this dress! perfect for both work and play and can be worn in all seasons thanks to the sleeves.</v>
      </c>
      <c r="F1812" s="13">
        <f>IFERROR(__xludf.DUMMYFUNCTION("""COMPUTED_VALUE"""),5.0)</f>
        <v>5</v>
      </c>
      <c r="G1812" s="13">
        <f>IFERROR(__xludf.DUMMYFUNCTION("""COMPUTED_VALUE"""),1.0)</f>
        <v>1</v>
      </c>
      <c r="H1812" s="13">
        <f>IFERROR(__xludf.DUMMYFUNCTION("""COMPUTED_VALUE"""),0.0)</f>
        <v>0</v>
      </c>
      <c r="I1812" s="13" t="str">
        <f>IFERROR(__xludf.DUMMYFUNCTION("""COMPUTED_VALUE"""),"General")</f>
        <v>General</v>
      </c>
      <c r="J1812" s="13" t="str">
        <f>IFERROR(__xludf.DUMMYFUNCTION("""COMPUTED_VALUE"""),"Dresses")</f>
        <v>Dresses</v>
      </c>
      <c r="K1812" s="13" t="str">
        <f>IFERROR(__xludf.DUMMYFUNCTION("""COMPUTED_VALUE"""),"Dresses")</f>
        <v>Dresses</v>
      </c>
      <c r="L1812" s="13"/>
    </row>
    <row r="1813">
      <c r="A1813" s="13">
        <f>IFERROR(__xludf.DUMMYFUNCTION("""COMPUTED_VALUE"""),1811.0)</f>
        <v>1811</v>
      </c>
      <c r="B1813" s="13">
        <f>IFERROR(__xludf.DUMMYFUNCTION("""COMPUTED_VALUE"""),994.0)</f>
        <v>994</v>
      </c>
      <c r="C1813" s="13">
        <f>IFERROR(__xludf.DUMMYFUNCTION("""COMPUTED_VALUE"""),35.0)</f>
        <v>35</v>
      </c>
      <c r="D1813" s="12" t="str">
        <f>IFERROR(__xludf.DUMMYFUNCTION("""COMPUTED_VALUE"""),"Feminine, romantic skirt")</f>
        <v>Feminine, romantic skirt</v>
      </c>
      <c r="E1813" s="12" t="str">
        <f>IFERROR(__xludf.DUMMYFUNCTION("""COMPUTED_VALUE"""),"This skirt caught my eye immediately. i love the beautiful patterns and colors. i'm currently pairing it with a charcoal grey top, which works well. the only slight concern is the material is a little poofy. i still love it, and definitely recommend this "&amp;"standout piece.")</f>
        <v>This skirt caught my eye immediately. i love the beautiful patterns and colors. i'm currently pairing it with a charcoal grey top, which works well. the only slight concern is the material is a little poofy. i still love it, and definitely recommend this standout piece.</v>
      </c>
      <c r="F1813" s="13">
        <f>IFERROR(__xludf.DUMMYFUNCTION("""COMPUTED_VALUE"""),5.0)</f>
        <v>5</v>
      </c>
      <c r="G1813" s="13">
        <f>IFERROR(__xludf.DUMMYFUNCTION("""COMPUTED_VALUE"""),1.0)</f>
        <v>1</v>
      </c>
      <c r="H1813" s="13">
        <f>IFERROR(__xludf.DUMMYFUNCTION("""COMPUTED_VALUE"""),2.0)</f>
        <v>2</v>
      </c>
      <c r="I1813" s="13" t="str">
        <f>IFERROR(__xludf.DUMMYFUNCTION("""COMPUTED_VALUE"""),"General Petite")</f>
        <v>General Petite</v>
      </c>
      <c r="J1813" s="13" t="str">
        <f>IFERROR(__xludf.DUMMYFUNCTION("""COMPUTED_VALUE"""),"Bottoms")</f>
        <v>Bottoms</v>
      </c>
      <c r="K1813" s="13" t="str">
        <f>IFERROR(__xludf.DUMMYFUNCTION("""COMPUTED_VALUE"""),"Skirts")</f>
        <v>Skirts</v>
      </c>
      <c r="L1813" s="13"/>
    </row>
    <row r="1814">
      <c r="A1814" s="13">
        <f>IFERROR(__xludf.DUMMYFUNCTION("""COMPUTED_VALUE"""),1812.0)</f>
        <v>1812</v>
      </c>
      <c r="B1814" s="13">
        <f>IFERROR(__xludf.DUMMYFUNCTION("""COMPUTED_VALUE"""),868.0)</f>
        <v>868</v>
      </c>
      <c r="C1814" s="13">
        <f>IFERROR(__xludf.DUMMYFUNCTION("""COMPUTED_VALUE"""),38.0)</f>
        <v>38</v>
      </c>
      <c r="D1814" s="12" t="str">
        <f>IFERROR(__xludf.DUMMYFUNCTION("""COMPUTED_VALUE"""),"Great top!")</f>
        <v>Great top!</v>
      </c>
      <c r="E1814" s="12" t="str">
        <f>IFERROR(__xludf.DUMMYFUNCTION("""COMPUTED_VALUE"""),"I was surprised and impressed by how well made this top is. it looks and feels expensive and of good quality. it is a very flattering fit for someone like me who is small on top and wider at the hips area. i look forward to wearing this top all through th"&amp;"e fall/winter/holiday seasons!")</f>
        <v>I was surprised and impressed by how well made this top is. it looks and feels expensive and of good quality. it is a very flattering fit for someone like me who is small on top and wider at the hips area. i look forward to wearing this top all through the fall/winter/holiday seasons!</v>
      </c>
      <c r="F1814" s="13">
        <f>IFERROR(__xludf.DUMMYFUNCTION("""COMPUTED_VALUE"""),5.0)</f>
        <v>5</v>
      </c>
      <c r="G1814" s="13">
        <f>IFERROR(__xludf.DUMMYFUNCTION("""COMPUTED_VALUE"""),1.0)</f>
        <v>1</v>
      </c>
      <c r="H1814" s="13">
        <f>IFERROR(__xludf.DUMMYFUNCTION("""COMPUTED_VALUE"""),0.0)</f>
        <v>0</v>
      </c>
      <c r="I1814" s="13" t="str">
        <f>IFERROR(__xludf.DUMMYFUNCTION("""COMPUTED_VALUE"""),"General")</f>
        <v>General</v>
      </c>
      <c r="J1814" s="13" t="str">
        <f>IFERROR(__xludf.DUMMYFUNCTION("""COMPUTED_VALUE"""),"Tops")</f>
        <v>Tops</v>
      </c>
      <c r="K1814" s="13" t="str">
        <f>IFERROR(__xludf.DUMMYFUNCTION("""COMPUTED_VALUE"""),"Knits")</f>
        <v>Knits</v>
      </c>
      <c r="L1814" s="13"/>
    </row>
    <row r="1815">
      <c r="A1815" s="13">
        <f>IFERROR(__xludf.DUMMYFUNCTION("""COMPUTED_VALUE"""),1813.0)</f>
        <v>1813</v>
      </c>
      <c r="B1815" s="13">
        <f>IFERROR(__xludf.DUMMYFUNCTION("""COMPUTED_VALUE"""),481.0)</f>
        <v>481</v>
      </c>
      <c r="C1815" s="13">
        <f>IFERROR(__xludf.DUMMYFUNCTION("""COMPUTED_VALUE"""),53.0)</f>
        <v>53</v>
      </c>
      <c r="D1815" s="12" t="str">
        <f>IFERROR(__xludf.DUMMYFUNCTION("""COMPUTED_VALUE"""),"Too shortwaisted")</f>
        <v>Too shortwaisted</v>
      </c>
      <c r="E1815" s="12" t="str">
        <f>IFERROR(__xludf.DUMMYFUNCTION("""COMPUTED_VALUE"""),"So cute and so adorable but too short for my body in size small. i'm going to try a size medium.
fabric is a nice weight cotton. lining is good, sleeves are a not too tight.")</f>
        <v>So cute and so adorable but too short for my body in size small. i'm going to try a size medium.
fabric is a nice weight cotton. lining is good, sleeves are a not too tight.</v>
      </c>
      <c r="F1815" s="13">
        <f>IFERROR(__xludf.DUMMYFUNCTION("""COMPUTED_VALUE"""),4.0)</f>
        <v>4</v>
      </c>
      <c r="G1815" s="13">
        <f>IFERROR(__xludf.DUMMYFUNCTION("""COMPUTED_VALUE"""),1.0)</f>
        <v>1</v>
      </c>
      <c r="H1815" s="13">
        <f>IFERROR(__xludf.DUMMYFUNCTION("""COMPUTED_VALUE"""),3.0)</f>
        <v>3</v>
      </c>
      <c r="I1815" s="13" t="str">
        <f>IFERROR(__xludf.DUMMYFUNCTION("""COMPUTED_VALUE"""),"General Petite")</f>
        <v>General Petite</v>
      </c>
      <c r="J1815" s="13" t="str">
        <f>IFERROR(__xludf.DUMMYFUNCTION("""COMPUTED_VALUE"""),"Bottoms")</f>
        <v>Bottoms</v>
      </c>
      <c r="K1815" s="13" t="str">
        <f>IFERROR(__xludf.DUMMYFUNCTION("""COMPUTED_VALUE"""),"Pants")</f>
        <v>Pants</v>
      </c>
      <c r="L1815" s="13"/>
    </row>
    <row r="1816">
      <c r="A1816" s="13">
        <f>IFERROR(__xludf.DUMMYFUNCTION("""COMPUTED_VALUE"""),1814.0)</f>
        <v>1814</v>
      </c>
      <c r="B1816" s="13">
        <f>IFERROR(__xludf.DUMMYFUNCTION("""COMPUTED_VALUE"""),481.0)</f>
        <v>481</v>
      </c>
      <c r="C1816" s="13">
        <f>IFERROR(__xludf.DUMMYFUNCTION("""COMPUTED_VALUE"""),31.0)</f>
        <v>31</v>
      </c>
      <c r="D1816" s="12"/>
      <c r="E1816" s="12" t="str">
        <f>IFERROR(__xludf.DUMMYFUNCTION("""COMPUTED_VALUE"""),"It really is such a cute romper. took it on s trip to italy and it was airy and comfortable. that is in till i washed it. i'm in europe so there aren't dryers... washed it in cold water, line-dried it and it shrunk. significantly. it still fits but the to"&amp;"p doesn't blouse over like it previously did. and the shorts feel really short. so disappointed. my advice would be to hand wash it in very cold water")</f>
        <v>It really is such a cute romper. took it on s trip to italy and it was airy and comfortable. that is in till i washed it. i'm in europe so there aren't dryers... washed it in cold water, line-dried it and it shrunk. significantly. it still fits but the top doesn't blouse over like it previously did. and the shorts feel really short. so disappointed. my advice would be to hand wash it in very cold water</v>
      </c>
      <c r="F1816" s="13">
        <f>IFERROR(__xludf.DUMMYFUNCTION("""COMPUTED_VALUE"""),3.0)</f>
        <v>3</v>
      </c>
      <c r="G1816" s="13">
        <f>IFERROR(__xludf.DUMMYFUNCTION("""COMPUTED_VALUE"""),1.0)</f>
        <v>1</v>
      </c>
      <c r="H1816" s="13">
        <f>IFERROR(__xludf.DUMMYFUNCTION("""COMPUTED_VALUE"""),1.0)</f>
        <v>1</v>
      </c>
      <c r="I1816" s="13" t="str">
        <f>IFERROR(__xludf.DUMMYFUNCTION("""COMPUTED_VALUE"""),"General Petite")</f>
        <v>General Petite</v>
      </c>
      <c r="J1816" s="13" t="str">
        <f>IFERROR(__xludf.DUMMYFUNCTION("""COMPUTED_VALUE"""),"Bottoms")</f>
        <v>Bottoms</v>
      </c>
      <c r="K1816" s="13" t="str">
        <f>IFERROR(__xludf.DUMMYFUNCTION("""COMPUTED_VALUE"""),"Pants")</f>
        <v>Pants</v>
      </c>
      <c r="L1816" s="13"/>
    </row>
    <row r="1817">
      <c r="A1817" s="13">
        <f>IFERROR(__xludf.DUMMYFUNCTION("""COMPUTED_VALUE"""),1815.0)</f>
        <v>1815</v>
      </c>
      <c r="B1817" s="13">
        <f>IFERROR(__xludf.DUMMYFUNCTION("""COMPUTED_VALUE"""),1080.0)</f>
        <v>1080</v>
      </c>
      <c r="C1817" s="13">
        <f>IFERROR(__xludf.DUMMYFUNCTION("""COMPUTED_VALUE"""),57.0)</f>
        <v>57</v>
      </c>
      <c r="D1817" s="12" t="str">
        <f>IFERROR(__xludf.DUMMYFUNCTION("""COMPUTED_VALUE"""),"Perfect!")</f>
        <v>Perfect!</v>
      </c>
      <c r="E1817" s="12" t="str">
        <f>IFERROR(__xludf.DUMMYFUNCTION("""COMPUTED_VALUE"""),"Beautiful, flattering dress. love that you can where a bra without having to be concerned about straps showing. very happy with purchase. highly recommend.")</f>
        <v>Beautiful, flattering dress. love that you can where a bra without having to be concerned about straps showing. very happy with purchase. highly recommend.</v>
      </c>
      <c r="F1817" s="13">
        <f>IFERROR(__xludf.DUMMYFUNCTION("""COMPUTED_VALUE"""),5.0)</f>
        <v>5</v>
      </c>
      <c r="G1817" s="13">
        <f>IFERROR(__xludf.DUMMYFUNCTION("""COMPUTED_VALUE"""),1.0)</f>
        <v>1</v>
      </c>
      <c r="H1817" s="13">
        <f>IFERROR(__xludf.DUMMYFUNCTION("""COMPUTED_VALUE"""),0.0)</f>
        <v>0</v>
      </c>
      <c r="I1817" s="13" t="str">
        <f>IFERROR(__xludf.DUMMYFUNCTION("""COMPUTED_VALUE"""),"General")</f>
        <v>General</v>
      </c>
      <c r="J1817" s="13" t="str">
        <f>IFERROR(__xludf.DUMMYFUNCTION("""COMPUTED_VALUE"""),"Dresses")</f>
        <v>Dresses</v>
      </c>
      <c r="K1817" s="13" t="str">
        <f>IFERROR(__xludf.DUMMYFUNCTION("""COMPUTED_VALUE"""),"Dresses")</f>
        <v>Dresses</v>
      </c>
      <c r="L1817" s="13"/>
    </row>
    <row r="1818">
      <c r="A1818" s="13">
        <f>IFERROR(__xludf.DUMMYFUNCTION("""COMPUTED_VALUE"""),1816.0)</f>
        <v>1816</v>
      </c>
      <c r="B1818" s="13">
        <f>IFERROR(__xludf.DUMMYFUNCTION("""COMPUTED_VALUE"""),1080.0)</f>
        <v>1080</v>
      </c>
      <c r="C1818" s="13">
        <f>IFERROR(__xludf.DUMMYFUNCTION("""COMPUTED_VALUE"""),37.0)</f>
        <v>37</v>
      </c>
      <c r="D1818" s="12"/>
      <c r="E1818" s="12" t="str">
        <f>IFERROR(__xludf.DUMMYFUNCTION("""COMPUTED_VALUE"""),"I'm so excited about this dress! it's perfect for the summer. the material is so soft and lightweight, with a great lining. i ordered a small petite and it fits great! the ruching in the front isn't overdone, so you don't have to worry about adding bulk i"&amp;"n the midsection. no problem with my bra (32dd) showing in the back either.")</f>
        <v>I'm so excited about this dress! it's perfect for the summer. the material is so soft and lightweight, with a great lining. i ordered a small petite and it fits great! the ruching in the front isn't overdone, so you don't have to worry about adding bulk in the midsection. no problem with my bra (32dd) showing in the back either.</v>
      </c>
      <c r="F1818" s="13">
        <f>IFERROR(__xludf.DUMMYFUNCTION("""COMPUTED_VALUE"""),4.0)</f>
        <v>4</v>
      </c>
      <c r="G1818" s="13">
        <f>IFERROR(__xludf.DUMMYFUNCTION("""COMPUTED_VALUE"""),1.0)</f>
        <v>1</v>
      </c>
      <c r="H1818" s="13">
        <f>IFERROR(__xludf.DUMMYFUNCTION("""COMPUTED_VALUE"""),3.0)</f>
        <v>3</v>
      </c>
      <c r="I1818" s="13" t="str">
        <f>IFERROR(__xludf.DUMMYFUNCTION("""COMPUTED_VALUE"""),"General")</f>
        <v>General</v>
      </c>
      <c r="J1818" s="13" t="str">
        <f>IFERROR(__xludf.DUMMYFUNCTION("""COMPUTED_VALUE"""),"Dresses")</f>
        <v>Dresses</v>
      </c>
      <c r="K1818" s="13" t="str">
        <f>IFERROR(__xludf.DUMMYFUNCTION("""COMPUTED_VALUE"""),"Dresses")</f>
        <v>Dresses</v>
      </c>
      <c r="L1818" s="13"/>
    </row>
    <row r="1819">
      <c r="A1819" s="13">
        <f>IFERROR(__xludf.DUMMYFUNCTION("""COMPUTED_VALUE"""),1817.0)</f>
        <v>1817</v>
      </c>
      <c r="B1819" s="13">
        <f>IFERROR(__xludf.DUMMYFUNCTION("""COMPUTED_VALUE"""),994.0)</f>
        <v>994</v>
      </c>
      <c r="C1819" s="13">
        <f>IFERROR(__xludf.DUMMYFUNCTION("""COMPUTED_VALUE"""),35.0)</f>
        <v>35</v>
      </c>
      <c r="D1819" s="12"/>
      <c r="E1819" s="12"/>
      <c r="F1819" s="13">
        <f>IFERROR(__xludf.DUMMYFUNCTION("""COMPUTED_VALUE"""),5.0)</f>
        <v>5</v>
      </c>
      <c r="G1819" s="13">
        <f>IFERROR(__xludf.DUMMYFUNCTION("""COMPUTED_VALUE"""),1.0)</f>
        <v>1</v>
      </c>
      <c r="H1819" s="13">
        <f>IFERROR(__xludf.DUMMYFUNCTION("""COMPUTED_VALUE"""),0.0)</f>
        <v>0</v>
      </c>
      <c r="I1819" s="13" t="str">
        <f>IFERROR(__xludf.DUMMYFUNCTION("""COMPUTED_VALUE"""),"General Petite")</f>
        <v>General Petite</v>
      </c>
      <c r="J1819" s="13" t="str">
        <f>IFERROR(__xludf.DUMMYFUNCTION("""COMPUTED_VALUE"""),"Bottoms")</f>
        <v>Bottoms</v>
      </c>
      <c r="K1819" s="13" t="str">
        <f>IFERROR(__xludf.DUMMYFUNCTION("""COMPUTED_VALUE"""),"Skirts")</f>
        <v>Skirts</v>
      </c>
      <c r="L1819" s="13"/>
    </row>
    <row r="1820">
      <c r="A1820" s="13">
        <f>IFERROR(__xludf.DUMMYFUNCTION("""COMPUTED_VALUE"""),1818.0)</f>
        <v>1818</v>
      </c>
      <c r="B1820" s="13">
        <f>IFERROR(__xludf.DUMMYFUNCTION("""COMPUTED_VALUE"""),481.0)</f>
        <v>481</v>
      </c>
      <c r="C1820" s="13">
        <f>IFERROR(__xludf.DUMMYFUNCTION("""COMPUTED_VALUE"""),31.0)</f>
        <v>31</v>
      </c>
      <c r="D1820" s="12" t="str">
        <f>IFERROR(__xludf.DUMMYFUNCTION("""COMPUTED_VALUE"""),"If only")</f>
        <v>If only</v>
      </c>
      <c r="E1820" s="12" t="str">
        <f>IFERROR(__xludf.DUMMYFUNCTION("""COMPUTED_VALUE"""),"I was really happy when i saw this romper online and ordered it right away. unfortunately being larger chested i thought i would size up to a medium. bad choice. now i have a beautiful romper that is too big for me. i will be getting this one tailored.")</f>
        <v>I was really happy when i saw this romper online and ordered it right away. unfortunately being larger chested i thought i would size up to a medium. bad choice. now i have a beautiful romper that is too big for me. i will be getting this one tailored.</v>
      </c>
      <c r="F1820" s="13">
        <f>IFERROR(__xludf.DUMMYFUNCTION("""COMPUTED_VALUE"""),3.0)</f>
        <v>3</v>
      </c>
      <c r="G1820" s="13">
        <f>IFERROR(__xludf.DUMMYFUNCTION("""COMPUTED_VALUE"""),1.0)</f>
        <v>1</v>
      </c>
      <c r="H1820" s="13">
        <f>IFERROR(__xludf.DUMMYFUNCTION("""COMPUTED_VALUE"""),0.0)</f>
        <v>0</v>
      </c>
      <c r="I1820" s="13" t="str">
        <f>IFERROR(__xludf.DUMMYFUNCTION("""COMPUTED_VALUE"""),"General Petite")</f>
        <v>General Petite</v>
      </c>
      <c r="J1820" s="13" t="str">
        <f>IFERROR(__xludf.DUMMYFUNCTION("""COMPUTED_VALUE"""),"Bottoms")</f>
        <v>Bottoms</v>
      </c>
      <c r="K1820" s="13" t="str">
        <f>IFERROR(__xludf.DUMMYFUNCTION("""COMPUTED_VALUE"""),"Pants")</f>
        <v>Pants</v>
      </c>
      <c r="L1820" s="13"/>
    </row>
    <row r="1821">
      <c r="A1821" s="13">
        <f>IFERROR(__xludf.DUMMYFUNCTION("""COMPUTED_VALUE"""),1819.0)</f>
        <v>1819</v>
      </c>
      <c r="B1821" s="13">
        <f>IFERROR(__xludf.DUMMYFUNCTION("""COMPUTED_VALUE"""),481.0)</f>
        <v>481</v>
      </c>
      <c r="C1821" s="13">
        <f>IFERROR(__xludf.DUMMYFUNCTION("""COMPUTED_VALUE"""),38.0)</f>
        <v>38</v>
      </c>
      <c r="D1821" s="12" t="str">
        <f>IFERROR(__xludf.DUMMYFUNCTION("""COMPUTED_VALUE"""),"Cute... if you're planning to hold it on")</f>
        <v>Cute... if you're planning to hold it on</v>
      </c>
      <c r="E1821" s="12" t="str">
        <f>IFERROR(__xludf.DUMMYFUNCTION("""COMPUTED_VALUE"""),"This romper is cute, well-made and true to size, but i haven't figured it out how to put this on without having someone tie the back ties. which pretty much means that going to the bathroom is not an option while you have this romper on. not sure what the"&amp;" designers were thinking here. i'm returning this one.")</f>
        <v>This romper is cute, well-made and true to size, but i haven't figured it out how to put this on without having someone tie the back ties. which pretty much means that going to the bathroom is not an option while you have this romper on. not sure what the designers were thinking here. i'm returning this one.</v>
      </c>
      <c r="F1821" s="13">
        <f>IFERROR(__xludf.DUMMYFUNCTION("""COMPUTED_VALUE"""),2.0)</f>
        <v>2</v>
      </c>
      <c r="G1821" s="13">
        <f>IFERROR(__xludf.DUMMYFUNCTION("""COMPUTED_VALUE"""),0.0)</f>
        <v>0</v>
      </c>
      <c r="H1821" s="13">
        <f>IFERROR(__xludf.DUMMYFUNCTION("""COMPUTED_VALUE"""),1.0)</f>
        <v>1</v>
      </c>
      <c r="I1821" s="13" t="str">
        <f>IFERROR(__xludf.DUMMYFUNCTION("""COMPUTED_VALUE"""),"General Petite")</f>
        <v>General Petite</v>
      </c>
      <c r="J1821" s="13" t="str">
        <f>IFERROR(__xludf.DUMMYFUNCTION("""COMPUTED_VALUE"""),"Bottoms")</f>
        <v>Bottoms</v>
      </c>
      <c r="K1821" s="13" t="str">
        <f>IFERROR(__xludf.DUMMYFUNCTION("""COMPUTED_VALUE"""),"Pants")</f>
        <v>Pants</v>
      </c>
      <c r="L1821" s="13"/>
    </row>
    <row r="1822">
      <c r="A1822" s="13">
        <f>IFERROR(__xludf.DUMMYFUNCTION("""COMPUTED_VALUE"""),1820.0)</f>
        <v>1820</v>
      </c>
      <c r="B1822" s="13">
        <f>IFERROR(__xludf.DUMMYFUNCTION("""COMPUTED_VALUE"""),902.0)</f>
        <v>902</v>
      </c>
      <c r="C1822" s="13">
        <f>IFERROR(__xludf.DUMMYFUNCTION("""COMPUTED_VALUE"""),56.0)</f>
        <v>56</v>
      </c>
      <c r="D1822" s="12" t="str">
        <f>IFERROR(__xludf.DUMMYFUNCTION("""COMPUTED_VALUE"""),"High in back")</f>
        <v>High in back</v>
      </c>
      <c r="E1822" s="12" t="str">
        <f>IFERROR(__xludf.DUMMYFUNCTION("""COMPUTED_VALUE"""),"This is a beautiful sweater, but if came up weirdly high on me in back, higher than it looks on the model. she must have on high waisted pants.")</f>
        <v>This is a beautiful sweater, but if came up weirdly high on me in back, higher than it looks on the model. she must have on high waisted pants.</v>
      </c>
      <c r="F1822" s="13">
        <f>IFERROR(__xludf.DUMMYFUNCTION("""COMPUTED_VALUE"""),4.0)</f>
        <v>4</v>
      </c>
      <c r="G1822" s="13">
        <f>IFERROR(__xludf.DUMMYFUNCTION("""COMPUTED_VALUE"""),0.0)</f>
        <v>0</v>
      </c>
      <c r="H1822" s="13">
        <f>IFERROR(__xludf.DUMMYFUNCTION("""COMPUTED_VALUE"""),0.0)</f>
        <v>0</v>
      </c>
      <c r="I1822" s="13" t="str">
        <f>IFERROR(__xludf.DUMMYFUNCTION("""COMPUTED_VALUE"""),"General")</f>
        <v>General</v>
      </c>
      <c r="J1822" s="13" t="str">
        <f>IFERROR(__xludf.DUMMYFUNCTION("""COMPUTED_VALUE"""),"Tops")</f>
        <v>Tops</v>
      </c>
      <c r="K1822" s="13" t="str">
        <f>IFERROR(__xludf.DUMMYFUNCTION("""COMPUTED_VALUE"""),"Fine gauge")</f>
        <v>Fine gauge</v>
      </c>
      <c r="L1822" s="13"/>
    </row>
    <row r="1823">
      <c r="A1823" s="13">
        <f>IFERROR(__xludf.DUMMYFUNCTION("""COMPUTED_VALUE"""),1821.0)</f>
        <v>1821</v>
      </c>
      <c r="B1823" s="13">
        <f>IFERROR(__xludf.DUMMYFUNCTION("""COMPUTED_VALUE"""),1054.0)</f>
        <v>1054</v>
      </c>
      <c r="C1823" s="13">
        <f>IFERROR(__xludf.DUMMYFUNCTION("""COMPUTED_VALUE"""),62.0)</f>
        <v>62</v>
      </c>
      <c r="D1823" s="12" t="str">
        <f>IFERROR(__xludf.DUMMYFUNCTION("""COMPUTED_VALUE"""),"Not for me...")</f>
        <v>Not for me...</v>
      </c>
      <c r="E1823" s="12" t="str">
        <f>IFERROR(__xludf.DUMMYFUNCTION("""COMPUTED_VALUE"""),"Super long even at 5'7"" and a little too voluminous for my taste. incredibly comfortable and beautiful pattern though. i'm having a hard time imagining there getting much use for me, so even at the sale price they're going back.")</f>
        <v>Super long even at 5'7" and a little too voluminous for my taste. incredibly comfortable and beautiful pattern though. i'm having a hard time imagining there getting much use for me, so even at the sale price they're going back.</v>
      </c>
      <c r="F1823" s="13">
        <f>IFERROR(__xludf.DUMMYFUNCTION("""COMPUTED_VALUE"""),3.0)</f>
        <v>3</v>
      </c>
      <c r="G1823" s="13">
        <f>IFERROR(__xludf.DUMMYFUNCTION("""COMPUTED_VALUE"""),1.0)</f>
        <v>1</v>
      </c>
      <c r="H1823" s="13">
        <f>IFERROR(__xludf.DUMMYFUNCTION("""COMPUTED_VALUE"""),0.0)</f>
        <v>0</v>
      </c>
      <c r="I1823" s="13" t="str">
        <f>IFERROR(__xludf.DUMMYFUNCTION("""COMPUTED_VALUE"""),"General")</f>
        <v>General</v>
      </c>
      <c r="J1823" s="13" t="str">
        <f>IFERROR(__xludf.DUMMYFUNCTION("""COMPUTED_VALUE"""),"Bottoms")</f>
        <v>Bottoms</v>
      </c>
      <c r="K1823" s="13" t="str">
        <f>IFERROR(__xludf.DUMMYFUNCTION("""COMPUTED_VALUE"""),"Pants")</f>
        <v>Pants</v>
      </c>
      <c r="L1823" s="13"/>
    </row>
    <row r="1824">
      <c r="A1824" s="13">
        <f>IFERROR(__xludf.DUMMYFUNCTION("""COMPUTED_VALUE"""),1822.0)</f>
        <v>1822</v>
      </c>
      <c r="B1824" s="13">
        <f>IFERROR(__xludf.DUMMYFUNCTION("""COMPUTED_VALUE"""),1094.0)</f>
        <v>1094</v>
      </c>
      <c r="C1824" s="13">
        <f>IFERROR(__xludf.DUMMYFUNCTION("""COMPUTED_VALUE"""),43.0)</f>
        <v>43</v>
      </c>
      <c r="D1824" s="12" t="str">
        <f>IFERROR(__xludf.DUMMYFUNCTION("""COMPUTED_VALUE"""),"Huge")</f>
        <v>Huge</v>
      </c>
      <c r="E1824" s="12" t="str">
        <f>IFERROR(__xludf.DUMMYFUNCTION("""COMPUTED_VALUE"""),"I was so excited to order this dress, had the perfect red shoes to go with it. unfortunately i could have been nine months pregnant and still wear the small. i am 5'4/118lb and it was like a maternity dress. sad to send it back.")</f>
        <v>I was so excited to order this dress, had the perfect red shoes to go with it. unfortunately i could have been nine months pregnant and still wear the small. i am 5'4/118lb and it was like a maternity dress. sad to send it back.</v>
      </c>
      <c r="F1824" s="13">
        <f>IFERROR(__xludf.DUMMYFUNCTION("""COMPUTED_VALUE"""),2.0)</f>
        <v>2</v>
      </c>
      <c r="G1824" s="13">
        <f>IFERROR(__xludf.DUMMYFUNCTION("""COMPUTED_VALUE"""),0.0)</f>
        <v>0</v>
      </c>
      <c r="H1824" s="13">
        <f>IFERROR(__xludf.DUMMYFUNCTION("""COMPUTED_VALUE"""),0.0)</f>
        <v>0</v>
      </c>
      <c r="I1824" s="13" t="str">
        <f>IFERROR(__xludf.DUMMYFUNCTION("""COMPUTED_VALUE"""),"General")</f>
        <v>General</v>
      </c>
      <c r="J1824" s="13" t="str">
        <f>IFERROR(__xludf.DUMMYFUNCTION("""COMPUTED_VALUE"""),"Dresses")</f>
        <v>Dresses</v>
      </c>
      <c r="K1824" s="13" t="str">
        <f>IFERROR(__xludf.DUMMYFUNCTION("""COMPUTED_VALUE"""),"Dresses")</f>
        <v>Dresses</v>
      </c>
      <c r="L1824" s="13"/>
    </row>
    <row r="1825">
      <c r="A1825" s="13">
        <f>IFERROR(__xludf.DUMMYFUNCTION("""COMPUTED_VALUE"""),1823.0)</f>
        <v>1823</v>
      </c>
      <c r="B1825" s="13">
        <f>IFERROR(__xludf.DUMMYFUNCTION("""COMPUTED_VALUE"""),1026.0)</f>
        <v>1026</v>
      </c>
      <c r="C1825" s="13">
        <f>IFERROR(__xludf.DUMMYFUNCTION("""COMPUTED_VALUE"""),55.0)</f>
        <v>55</v>
      </c>
      <c r="D1825" s="12" t="str">
        <f>IFERROR(__xludf.DUMMYFUNCTION("""COMPUTED_VALUE"""),"Love them!")</f>
        <v>Love them!</v>
      </c>
      <c r="E1825" s="12" t="str">
        <f>IFERROR(__xludf.DUMMYFUNCTION("""COMPUTED_VALUE"""),"These are the most comfortable pants i own. i bought them in the gold, green, and gray (which really does look more like a grayish purple). the gold is my favorite - it goes with so many things! i was just checking to see if there were any other colors - "&amp;"would love them in black and a burgundy. i'm about 125 lbs,, 5 foot 7, and the 28 is a perfect fit. the saleswoman warned that they would stretch out, but i haven't found that to be a real problem.")</f>
        <v>These are the most comfortable pants i own. i bought them in the gold, green, and gray (which really does look more like a grayish purple). the gold is my favorite - it goes with so many things! i was just checking to see if there were any other colors - would love them in black and a burgundy. i'm about 125 lbs,, 5 foot 7, and the 28 is a perfect fit. the saleswoman warned that they would stretch out, but i haven't found that to be a real problem.</v>
      </c>
      <c r="F1825" s="13">
        <f>IFERROR(__xludf.DUMMYFUNCTION("""COMPUTED_VALUE"""),5.0)</f>
        <v>5</v>
      </c>
      <c r="G1825" s="13">
        <f>IFERROR(__xludf.DUMMYFUNCTION("""COMPUTED_VALUE"""),1.0)</f>
        <v>1</v>
      </c>
      <c r="H1825" s="13">
        <f>IFERROR(__xludf.DUMMYFUNCTION("""COMPUTED_VALUE"""),0.0)</f>
        <v>0</v>
      </c>
      <c r="I1825" s="13" t="str">
        <f>IFERROR(__xludf.DUMMYFUNCTION("""COMPUTED_VALUE"""),"General Petite")</f>
        <v>General Petite</v>
      </c>
      <c r="J1825" s="13" t="str">
        <f>IFERROR(__xludf.DUMMYFUNCTION("""COMPUTED_VALUE"""),"Bottoms")</f>
        <v>Bottoms</v>
      </c>
      <c r="K1825" s="13" t="str">
        <f>IFERROR(__xludf.DUMMYFUNCTION("""COMPUTED_VALUE"""),"Jeans")</f>
        <v>Jeans</v>
      </c>
      <c r="L1825" s="13"/>
    </row>
    <row r="1826">
      <c r="A1826" s="13">
        <f>IFERROR(__xludf.DUMMYFUNCTION("""COMPUTED_VALUE"""),1824.0)</f>
        <v>1824</v>
      </c>
      <c r="B1826" s="13">
        <f>IFERROR(__xludf.DUMMYFUNCTION("""COMPUTED_VALUE"""),868.0)</f>
        <v>868</v>
      </c>
      <c r="C1826" s="13">
        <f>IFERROR(__xludf.DUMMYFUNCTION("""COMPUTED_VALUE"""),66.0)</f>
        <v>66</v>
      </c>
      <c r="D1826" s="12" t="str">
        <f>IFERROR(__xludf.DUMMYFUNCTION("""COMPUTED_VALUE"""),"Great w/ black crops")</f>
        <v>Great w/ black crops</v>
      </c>
      <c r="E1826" s="12" t="str">
        <f>IFERROR(__xludf.DUMMYFUNCTION("""COMPUTED_VALUE"""),"Glad i got this on sale. it is more yellow than the photo &amp; short. it is also heavy with a sueded interior. would have given more stars if it was less boxy &amp; longer.")</f>
        <v>Glad i got this on sale. it is more yellow than the photo &amp; short. it is also heavy with a sueded interior. would have given more stars if it was less boxy &amp; longer.</v>
      </c>
      <c r="F1826" s="13">
        <f>IFERROR(__xludf.DUMMYFUNCTION("""COMPUTED_VALUE"""),3.0)</f>
        <v>3</v>
      </c>
      <c r="G1826" s="13">
        <f>IFERROR(__xludf.DUMMYFUNCTION("""COMPUTED_VALUE"""),1.0)</f>
        <v>1</v>
      </c>
      <c r="H1826" s="13">
        <f>IFERROR(__xludf.DUMMYFUNCTION("""COMPUTED_VALUE"""),0.0)</f>
        <v>0</v>
      </c>
      <c r="I1826" s="13" t="str">
        <f>IFERROR(__xludf.DUMMYFUNCTION("""COMPUTED_VALUE"""),"General")</f>
        <v>General</v>
      </c>
      <c r="J1826" s="13" t="str">
        <f>IFERROR(__xludf.DUMMYFUNCTION("""COMPUTED_VALUE"""),"Tops")</f>
        <v>Tops</v>
      </c>
      <c r="K1826" s="13" t="str">
        <f>IFERROR(__xludf.DUMMYFUNCTION("""COMPUTED_VALUE"""),"Knits")</f>
        <v>Knits</v>
      </c>
      <c r="L1826" s="13"/>
    </row>
    <row r="1827">
      <c r="A1827" s="13">
        <f>IFERROR(__xludf.DUMMYFUNCTION("""COMPUTED_VALUE"""),1825.0)</f>
        <v>1825</v>
      </c>
      <c r="B1827" s="13">
        <f>IFERROR(__xludf.DUMMYFUNCTION("""COMPUTED_VALUE"""),1054.0)</f>
        <v>1054</v>
      </c>
      <c r="C1827" s="13">
        <f>IFERROR(__xludf.DUMMYFUNCTION("""COMPUTED_VALUE"""),24.0)</f>
        <v>24</v>
      </c>
      <c r="D1827" s="12"/>
      <c r="E1827" s="12" t="str">
        <f>IFERROR(__xludf.DUMMYFUNCTION("""COMPUTED_VALUE"""),"Love these pants! super comfortable, but feel high quality. i am usually a size 2 and the xs fits perfectly.")</f>
        <v>Love these pants! super comfortable, but feel high quality. i am usually a size 2 and the xs fits perfectly.</v>
      </c>
      <c r="F1827" s="13">
        <f>IFERROR(__xludf.DUMMYFUNCTION("""COMPUTED_VALUE"""),5.0)</f>
        <v>5</v>
      </c>
      <c r="G1827" s="13">
        <f>IFERROR(__xludf.DUMMYFUNCTION("""COMPUTED_VALUE"""),1.0)</f>
        <v>1</v>
      </c>
      <c r="H1827" s="13">
        <f>IFERROR(__xludf.DUMMYFUNCTION("""COMPUTED_VALUE"""),0.0)</f>
        <v>0</v>
      </c>
      <c r="I1827" s="13" t="str">
        <f>IFERROR(__xludf.DUMMYFUNCTION("""COMPUTED_VALUE"""),"General")</f>
        <v>General</v>
      </c>
      <c r="J1827" s="13" t="str">
        <f>IFERROR(__xludf.DUMMYFUNCTION("""COMPUTED_VALUE"""),"Bottoms")</f>
        <v>Bottoms</v>
      </c>
      <c r="K1827" s="13" t="str">
        <f>IFERROR(__xludf.DUMMYFUNCTION("""COMPUTED_VALUE"""),"Pants")</f>
        <v>Pants</v>
      </c>
      <c r="L1827" s="13"/>
    </row>
    <row r="1828">
      <c r="A1828" s="13">
        <f>IFERROR(__xludf.DUMMYFUNCTION("""COMPUTED_VALUE"""),1826.0)</f>
        <v>1826</v>
      </c>
      <c r="B1828" s="13">
        <f>IFERROR(__xludf.DUMMYFUNCTION("""COMPUTED_VALUE"""),1080.0)</f>
        <v>1080</v>
      </c>
      <c r="C1828" s="13">
        <f>IFERROR(__xludf.DUMMYFUNCTION("""COMPUTED_VALUE"""),27.0)</f>
        <v>27</v>
      </c>
      <c r="D1828" s="12" t="str">
        <f>IFERROR(__xludf.DUMMYFUNCTION("""COMPUTED_VALUE"""),"Lining makes all the difference")</f>
        <v>Lining makes all the difference</v>
      </c>
      <c r="E1828" s="12" t="str">
        <f>IFERROR(__xludf.DUMMYFUNCTION("""COMPUTED_VALUE"""),"130 lb, 5'5, 32dd. ordered xs. this dress is a bit outside my normal retailer style, but i love tracy reese designs and it had good reviews so i decided to give it a try. i could not be more pleased with this decision. as some of the other reviewers have "&amp;"said, the dress is very well made. the lining in particular is excellent- it is a soft mesh that prevents the dress from clinging, without adding bulk in the hot summer weather. i typically wear more structured dresses, but the lining on this dres")</f>
        <v>130 lb, 5'5, 32dd. ordered xs. this dress is a bit outside my normal retailer style, but i love tracy reese designs and it had good reviews so i decided to give it a try. i could not be more pleased with this decision. as some of the other reviewers have said, the dress is very well made. the lining in particular is excellent- it is a soft mesh that prevents the dress from clinging, without adding bulk in the hot summer weather. i typically wear more structured dresses, but the lining on this dres</v>
      </c>
      <c r="F1828" s="13">
        <f>IFERROR(__xludf.DUMMYFUNCTION("""COMPUTED_VALUE"""),5.0)</f>
        <v>5</v>
      </c>
      <c r="G1828" s="13">
        <f>IFERROR(__xludf.DUMMYFUNCTION("""COMPUTED_VALUE"""),1.0)</f>
        <v>1</v>
      </c>
      <c r="H1828" s="13">
        <f>IFERROR(__xludf.DUMMYFUNCTION("""COMPUTED_VALUE"""),3.0)</f>
        <v>3</v>
      </c>
      <c r="I1828" s="13" t="str">
        <f>IFERROR(__xludf.DUMMYFUNCTION("""COMPUTED_VALUE"""),"General")</f>
        <v>General</v>
      </c>
      <c r="J1828" s="13" t="str">
        <f>IFERROR(__xludf.DUMMYFUNCTION("""COMPUTED_VALUE"""),"Dresses")</f>
        <v>Dresses</v>
      </c>
      <c r="K1828" s="13" t="str">
        <f>IFERROR(__xludf.DUMMYFUNCTION("""COMPUTED_VALUE"""),"Dresses")</f>
        <v>Dresses</v>
      </c>
      <c r="L1828" s="13"/>
    </row>
    <row r="1829">
      <c r="A1829" s="13">
        <f>IFERROR(__xludf.DUMMYFUNCTION("""COMPUTED_VALUE"""),1827.0)</f>
        <v>1827</v>
      </c>
      <c r="B1829" s="13">
        <f>IFERROR(__xludf.DUMMYFUNCTION("""COMPUTED_VALUE"""),994.0)</f>
        <v>994</v>
      </c>
      <c r="C1829" s="13">
        <f>IFERROR(__xludf.DUMMYFUNCTION("""COMPUTED_VALUE"""),24.0)</f>
        <v>24</v>
      </c>
      <c r="D1829" s="12" t="str">
        <f>IFERROR(__xludf.DUMMYFUNCTION("""COMPUTED_VALUE"""),"Great material and design!")</f>
        <v>Great material and design!</v>
      </c>
      <c r="E1829" s="12" t="str">
        <f>IFERROR(__xludf.DUMMYFUNCTION("""COMPUTED_VALUE"""),"As most other reviewers stated, the skirt does run a bit large and long. however, it is nothing a tailor can't fix! i plan on getting it taken in to fit higher up on my waist to make it both smaller and hit closer to below my knees rather than mid-calf. t"&amp;"he elegance of the skirt can be dressed up or down depending on what top/shoes you pair it with. it feels well made and the coloring is much better in person than in the picture!")</f>
        <v>As most other reviewers stated, the skirt does run a bit large and long. however, it is nothing a tailor can't fix! i plan on getting it taken in to fit higher up on my waist to make it both smaller and hit closer to below my knees rather than mid-calf. the elegance of the skirt can be dressed up or down depending on what top/shoes you pair it with. it feels well made and the coloring is much better in person than in the picture!</v>
      </c>
      <c r="F1829" s="13">
        <f>IFERROR(__xludf.DUMMYFUNCTION("""COMPUTED_VALUE"""),5.0)</f>
        <v>5</v>
      </c>
      <c r="G1829" s="13">
        <f>IFERROR(__xludf.DUMMYFUNCTION("""COMPUTED_VALUE"""),1.0)</f>
        <v>1</v>
      </c>
      <c r="H1829" s="13">
        <f>IFERROR(__xludf.DUMMYFUNCTION("""COMPUTED_VALUE"""),0.0)</f>
        <v>0</v>
      </c>
      <c r="I1829" s="13" t="str">
        <f>IFERROR(__xludf.DUMMYFUNCTION("""COMPUTED_VALUE"""),"General Petite")</f>
        <v>General Petite</v>
      </c>
      <c r="J1829" s="13" t="str">
        <f>IFERROR(__xludf.DUMMYFUNCTION("""COMPUTED_VALUE"""),"Bottoms")</f>
        <v>Bottoms</v>
      </c>
      <c r="K1829" s="13" t="str">
        <f>IFERROR(__xludf.DUMMYFUNCTION("""COMPUTED_VALUE"""),"Skirts")</f>
        <v>Skirts</v>
      </c>
      <c r="L1829" s="13"/>
    </row>
    <row r="1830">
      <c r="A1830" s="13">
        <f>IFERROR(__xludf.DUMMYFUNCTION("""COMPUTED_VALUE"""),1828.0)</f>
        <v>1828</v>
      </c>
      <c r="B1830" s="13">
        <f>IFERROR(__xludf.DUMMYFUNCTION("""COMPUTED_VALUE"""),1080.0)</f>
        <v>1080</v>
      </c>
      <c r="C1830" s="13">
        <f>IFERROR(__xludf.DUMMYFUNCTION("""COMPUTED_VALUE"""),43.0)</f>
        <v>43</v>
      </c>
      <c r="D1830" s="12" t="str">
        <f>IFERROR(__xludf.DUMMYFUNCTION("""COMPUTED_VALUE"""),"Really wanted to like it, but...")</f>
        <v>Really wanted to like it, but...</v>
      </c>
      <c r="E1830" s="12" t="str">
        <f>IFERROR(__xludf.DUMMYFUNCTION("""COMPUTED_VALUE"""),"I really wanted to like this dress and was so disappointed when it came in the mail. if you have any sort of hips, the light pattern in the middle doesn't do you any favors. this made my hips look soooo wide! and the seaming and gathering in the middle wa"&amp;"s just off. if it was one continuous piece of fabric it might look better. with the seam, the pattern was cut up and looked pieced together. that just drew too much attention to my stomach and hips. it had to go back.")</f>
        <v>I really wanted to like this dress and was so disappointed when it came in the mail. if you have any sort of hips, the light pattern in the middle doesn't do you any favors. this made my hips look soooo wide! and the seaming and gathering in the middle was just off. if it was one continuous piece of fabric it might look better. with the seam, the pattern was cut up and looked pieced together. that just drew too much attention to my stomach and hips. it had to go back.</v>
      </c>
      <c r="F1830" s="13">
        <f>IFERROR(__xludf.DUMMYFUNCTION("""COMPUTED_VALUE"""),1.0)</f>
        <v>1</v>
      </c>
      <c r="G1830" s="13">
        <f>IFERROR(__xludf.DUMMYFUNCTION("""COMPUTED_VALUE"""),0.0)</f>
        <v>0</v>
      </c>
      <c r="H1830" s="13">
        <f>IFERROR(__xludf.DUMMYFUNCTION("""COMPUTED_VALUE"""),0.0)</f>
        <v>0</v>
      </c>
      <c r="I1830" s="13" t="str">
        <f>IFERROR(__xludf.DUMMYFUNCTION("""COMPUTED_VALUE"""),"General")</f>
        <v>General</v>
      </c>
      <c r="J1830" s="13" t="str">
        <f>IFERROR(__xludf.DUMMYFUNCTION("""COMPUTED_VALUE"""),"Dresses")</f>
        <v>Dresses</v>
      </c>
      <c r="K1830" s="13" t="str">
        <f>IFERROR(__xludf.DUMMYFUNCTION("""COMPUTED_VALUE"""),"Dresses")</f>
        <v>Dresses</v>
      </c>
      <c r="L1830" s="13"/>
    </row>
    <row r="1831">
      <c r="A1831" s="13">
        <f>IFERROR(__xludf.DUMMYFUNCTION("""COMPUTED_VALUE"""),1829.0)</f>
        <v>1829</v>
      </c>
      <c r="B1831" s="13">
        <f>IFERROR(__xludf.DUMMYFUNCTION("""COMPUTED_VALUE"""),1080.0)</f>
        <v>1080</v>
      </c>
      <c r="C1831" s="13">
        <f>IFERROR(__xludf.DUMMYFUNCTION("""COMPUTED_VALUE"""),40.0)</f>
        <v>40</v>
      </c>
      <c r="D1831" s="12" t="str">
        <f>IFERROR(__xludf.DUMMYFUNCTION("""COMPUTED_VALUE"""),"The maxi dress i've been looking for")</f>
        <v>The maxi dress i've been looking for</v>
      </c>
      <c r="E1831" s="12" t="str">
        <f>IFERROR(__xludf.DUMMYFUNCTION("""COMPUTED_VALUE"""),"The first reviewer summed up many of my thoughts exactly. i don't like to go without a bra and this dress with its slightly wider, almost cap-sleeve straps solves my problem perfectly. i love this neckline and wish i'd see it in more maxi dresses! the cro"&amp;"ssover and cutouts in the back mimic the lines of a traditional indian sari blouse and skirt, again without sacrificing bra coverage. just a beautiful and inspired design - definitely a standout in the sea of summer maxi dresses i've seen. i lov")</f>
        <v>The first reviewer summed up many of my thoughts exactly. i don't like to go without a bra and this dress with its slightly wider, almost cap-sleeve straps solves my problem perfectly. i love this neckline and wish i'd see it in more maxi dresses! the crossover and cutouts in the back mimic the lines of a traditional indian sari blouse and skirt, again without sacrificing bra coverage. just a beautiful and inspired design - definitely a standout in the sea of summer maxi dresses i've seen. i lov</v>
      </c>
      <c r="F1831" s="13">
        <f>IFERROR(__xludf.DUMMYFUNCTION("""COMPUTED_VALUE"""),4.0)</f>
        <v>4</v>
      </c>
      <c r="G1831" s="13">
        <f>IFERROR(__xludf.DUMMYFUNCTION("""COMPUTED_VALUE"""),1.0)</f>
        <v>1</v>
      </c>
      <c r="H1831" s="13">
        <f>IFERROR(__xludf.DUMMYFUNCTION("""COMPUTED_VALUE"""),17.0)</f>
        <v>17</v>
      </c>
      <c r="I1831" s="13" t="str">
        <f>IFERROR(__xludf.DUMMYFUNCTION("""COMPUTED_VALUE"""),"General")</f>
        <v>General</v>
      </c>
      <c r="J1831" s="13" t="str">
        <f>IFERROR(__xludf.DUMMYFUNCTION("""COMPUTED_VALUE"""),"Dresses")</f>
        <v>Dresses</v>
      </c>
      <c r="K1831" s="13" t="str">
        <f>IFERROR(__xludf.DUMMYFUNCTION("""COMPUTED_VALUE"""),"Dresses")</f>
        <v>Dresses</v>
      </c>
      <c r="L1831" s="13"/>
    </row>
    <row r="1832">
      <c r="A1832" s="13">
        <f>IFERROR(__xludf.DUMMYFUNCTION("""COMPUTED_VALUE"""),1830.0)</f>
        <v>1830</v>
      </c>
      <c r="B1832" s="13">
        <f>IFERROR(__xludf.DUMMYFUNCTION("""COMPUTED_VALUE"""),1094.0)</f>
        <v>1094</v>
      </c>
      <c r="C1832" s="13">
        <f>IFERROR(__xludf.DUMMYFUNCTION("""COMPUTED_VALUE"""),47.0)</f>
        <v>47</v>
      </c>
      <c r="D1832" s="12" t="str">
        <f>IFERROR(__xludf.DUMMYFUNCTION("""COMPUTED_VALUE"""),"Gorgeus dress")</f>
        <v>Gorgeus dress</v>
      </c>
      <c r="E1832" s="12" t="str">
        <f>IFERROR(__xludf.DUMMYFUNCTION("""COMPUTED_VALUE"""),"I love the bohemian look and fell in love when i saw this dress when i saw it online. it's pricey but i am holding on to it because it's really beautiful. i got a medium. i'm 5'2"", medium built. it's just perfect. i'm tempted to get the petite but with p"&amp;"etite, the top gets to be too short so i think i'll stick with regular size. my family loved it! the quality and detail in the dress is just gorgeous! you can easily dress this up or down.")</f>
        <v>I love the bohemian look and fell in love when i saw this dress when i saw it online. it's pricey but i am holding on to it because it's really beautiful. i got a medium. i'm 5'2", medium built. it's just perfect. i'm tempted to get the petite but with petite, the top gets to be too short so i think i'll stick with regular size. my family loved it! the quality and detail in the dress is just gorgeous! you can easily dress this up or down.</v>
      </c>
      <c r="F1832" s="13">
        <f>IFERROR(__xludf.DUMMYFUNCTION("""COMPUTED_VALUE"""),5.0)</f>
        <v>5</v>
      </c>
      <c r="G1832" s="13">
        <f>IFERROR(__xludf.DUMMYFUNCTION("""COMPUTED_VALUE"""),1.0)</f>
        <v>1</v>
      </c>
      <c r="H1832" s="13">
        <f>IFERROR(__xludf.DUMMYFUNCTION("""COMPUTED_VALUE"""),0.0)</f>
        <v>0</v>
      </c>
      <c r="I1832" s="13" t="str">
        <f>IFERROR(__xludf.DUMMYFUNCTION("""COMPUTED_VALUE"""),"General")</f>
        <v>General</v>
      </c>
      <c r="J1832" s="13" t="str">
        <f>IFERROR(__xludf.DUMMYFUNCTION("""COMPUTED_VALUE"""),"Dresses")</f>
        <v>Dresses</v>
      </c>
      <c r="K1832" s="13" t="str">
        <f>IFERROR(__xludf.DUMMYFUNCTION("""COMPUTED_VALUE"""),"Dresses")</f>
        <v>Dresses</v>
      </c>
      <c r="L1832" s="13"/>
    </row>
    <row r="1833">
      <c r="A1833" s="13">
        <f>IFERROR(__xludf.DUMMYFUNCTION("""COMPUTED_VALUE"""),1831.0)</f>
        <v>1831</v>
      </c>
      <c r="B1833" s="13">
        <f>IFERROR(__xludf.DUMMYFUNCTION("""COMPUTED_VALUE"""),1001.0)</f>
        <v>1001</v>
      </c>
      <c r="C1833" s="13">
        <f>IFERROR(__xludf.DUMMYFUNCTION("""COMPUTED_VALUE"""),28.0)</f>
        <v>28</v>
      </c>
      <c r="D1833" s="12" t="str">
        <f>IFERROR(__xludf.DUMMYFUNCTION("""COMPUTED_VALUE"""),"High hopes, but tiny and flimsy")</f>
        <v>High hopes, but tiny and flimsy</v>
      </c>
      <c r="E1833" s="12" t="str">
        <f>IFERROR(__xludf.DUMMYFUNCTION("""COMPUTED_VALUE"""),"I am almost always an xs in bottoms (sz 0-2) but literally couldn't get the stretchy waistband (no zip or fastening) in xs up my hips. in addition, the ""brocade"" is a very lightweight polyestery, tinselly weave--does not suggest quality. as others have "&amp;"noted, it also runs short; i'm 5'3'' and this was a little below knee length on me, not ankle-length. i've had luck with retailer's sale section in the past, including some items that didn't always start off with the best reviews, but have no regret")</f>
        <v>I am almost always an xs in bottoms (sz 0-2) but literally couldn't get the stretchy waistband (no zip or fastening) in xs up my hips. in addition, the "brocade" is a very lightweight polyestery, tinselly weave--does not suggest quality. as others have noted, it also runs short; i'm 5'3'' and this was a little below knee length on me, not ankle-length. i've had luck with retailer's sale section in the past, including some items that didn't always start off with the best reviews, but have no regret</v>
      </c>
      <c r="F1833" s="13">
        <f>IFERROR(__xludf.DUMMYFUNCTION("""COMPUTED_VALUE"""),1.0)</f>
        <v>1</v>
      </c>
      <c r="G1833" s="13">
        <f>IFERROR(__xludf.DUMMYFUNCTION("""COMPUTED_VALUE"""),0.0)</f>
        <v>0</v>
      </c>
      <c r="H1833" s="13">
        <f>IFERROR(__xludf.DUMMYFUNCTION("""COMPUTED_VALUE"""),0.0)</f>
        <v>0</v>
      </c>
      <c r="I1833" s="13" t="str">
        <f>IFERROR(__xludf.DUMMYFUNCTION("""COMPUTED_VALUE"""),"General")</f>
        <v>General</v>
      </c>
      <c r="J1833" s="13" t="str">
        <f>IFERROR(__xludf.DUMMYFUNCTION("""COMPUTED_VALUE"""),"Bottoms")</f>
        <v>Bottoms</v>
      </c>
      <c r="K1833" s="13" t="str">
        <f>IFERROR(__xludf.DUMMYFUNCTION("""COMPUTED_VALUE"""),"Skirts")</f>
        <v>Skirts</v>
      </c>
      <c r="L1833" s="13"/>
    </row>
    <row r="1834">
      <c r="A1834" s="13">
        <f>IFERROR(__xludf.DUMMYFUNCTION("""COMPUTED_VALUE"""),1832.0)</f>
        <v>1832</v>
      </c>
      <c r="B1834" s="13">
        <f>IFERROR(__xludf.DUMMYFUNCTION("""COMPUTED_VALUE"""),1080.0)</f>
        <v>1080</v>
      </c>
      <c r="C1834" s="13">
        <f>IFERROR(__xludf.DUMMYFUNCTION("""COMPUTED_VALUE"""),37.0)</f>
        <v>37</v>
      </c>
      <c r="D1834" s="12"/>
      <c r="E1834" s="12" t="str">
        <f>IFERROR(__xludf.DUMMYFUNCTION("""COMPUTED_VALUE"""),"This dress is extremely comfortable and easy to wear with a bra. the back is great and the length is perfect for me. it's flattering, but the pattern (being light in color across the middle) isn't particularly flattering on your waist. that being said tho"&amp;"ugh, the gathering in front is great for hiding bumps and whatnot (after 3 kids that's important to me). lightweight and great for summer. 5'8"", 135lbs and the size s fit perfectly.")</f>
        <v>This dress is extremely comfortable and easy to wear with a bra. the back is great and the length is perfect for me. it's flattering, but the pattern (being light in color across the middle) isn't particularly flattering on your waist. that being said though, the gathering in front is great for hiding bumps and whatnot (after 3 kids that's important to me). lightweight and great for summer. 5'8", 135lbs and the size s fit perfectly.</v>
      </c>
      <c r="F1834" s="13">
        <f>IFERROR(__xludf.DUMMYFUNCTION("""COMPUTED_VALUE"""),4.0)</f>
        <v>4</v>
      </c>
      <c r="G1834" s="13">
        <f>IFERROR(__xludf.DUMMYFUNCTION("""COMPUTED_VALUE"""),1.0)</f>
        <v>1</v>
      </c>
      <c r="H1834" s="13">
        <f>IFERROR(__xludf.DUMMYFUNCTION("""COMPUTED_VALUE"""),10.0)</f>
        <v>10</v>
      </c>
      <c r="I1834" s="13" t="str">
        <f>IFERROR(__xludf.DUMMYFUNCTION("""COMPUTED_VALUE"""),"General")</f>
        <v>General</v>
      </c>
      <c r="J1834" s="13" t="str">
        <f>IFERROR(__xludf.DUMMYFUNCTION("""COMPUTED_VALUE"""),"Dresses")</f>
        <v>Dresses</v>
      </c>
      <c r="K1834" s="13" t="str">
        <f>IFERROR(__xludf.DUMMYFUNCTION("""COMPUTED_VALUE"""),"Dresses")</f>
        <v>Dresses</v>
      </c>
      <c r="L1834" s="13"/>
    </row>
    <row r="1835">
      <c r="A1835" s="13">
        <f>IFERROR(__xludf.DUMMYFUNCTION("""COMPUTED_VALUE"""),1833.0)</f>
        <v>1833</v>
      </c>
      <c r="B1835" s="13">
        <f>IFERROR(__xludf.DUMMYFUNCTION("""COMPUTED_VALUE"""),903.0)</f>
        <v>903</v>
      </c>
      <c r="C1835" s="13">
        <f>IFERROR(__xludf.DUMMYFUNCTION("""COMPUTED_VALUE"""),35.0)</f>
        <v>35</v>
      </c>
      <c r="D1835" s="12" t="str">
        <f>IFERROR(__xludf.DUMMYFUNCTION("""COMPUTED_VALUE"""),"Lovely!")</f>
        <v>Lovely!</v>
      </c>
      <c r="E1835" s="12" t="str">
        <f>IFERROR(__xludf.DUMMYFUNCTION("""COMPUTED_VALUE"""),"I love this top! fits true to size. tunic length, thin comfy fabric, adorable subtle print. the perfect top!")</f>
        <v>I love this top! fits true to size. tunic length, thin comfy fabric, adorable subtle print. the perfect top!</v>
      </c>
      <c r="F1835" s="13">
        <f>IFERROR(__xludf.DUMMYFUNCTION("""COMPUTED_VALUE"""),5.0)</f>
        <v>5</v>
      </c>
      <c r="G1835" s="13">
        <f>IFERROR(__xludf.DUMMYFUNCTION("""COMPUTED_VALUE"""),1.0)</f>
        <v>1</v>
      </c>
      <c r="H1835" s="13">
        <f>IFERROR(__xludf.DUMMYFUNCTION("""COMPUTED_VALUE"""),0.0)</f>
        <v>0</v>
      </c>
      <c r="I1835" s="13" t="str">
        <f>IFERROR(__xludf.DUMMYFUNCTION("""COMPUTED_VALUE"""),"General")</f>
        <v>General</v>
      </c>
      <c r="J1835" s="13" t="str">
        <f>IFERROR(__xludf.DUMMYFUNCTION("""COMPUTED_VALUE"""),"Tops")</f>
        <v>Tops</v>
      </c>
      <c r="K1835" s="13" t="str">
        <f>IFERROR(__xludf.DUMMYFUNCTION("""COMPUTED_VALUE"""),"Fine gauge")</f>
        <v>Fine gauge</v>
      </c>
      <c r="L1835" s="13"/>
    </row>
    <row r="1836">
      <c r="A1836" s="13">
        <f>IFERROR(__xludf.DUMMYFUNCTION("""COMPUTED_VALUE"""),1834.0)</f>
        <v>1834</v>
      </c>
      <c r="B1836" s="13">
        <f>IFERROR(__xludf.DUMMYFUNCTION("""COMPUTED_VALUE"""),1026.0)</f>
        <v>1026</v>
      </c>
      <c r="C1836" s="13">
        <f>IFERROR(__xludf.DUMMYFUNCTION("""COMPUTED_VALUE"""),33.0)</f>
        <v>33</v>
      </c>
      <c r="D1836" s="12" t="str">
        <f>IFERROR(__xludf.DUMMYFUNCTION("""COMPUTED_VALUE"""),"5-star fantastic!")</f>
        <v>5-star fantastic!</v>
      </c>
      <c r="E1836" s="12" t="str">
        <f>IFERROR(__xludf.DUMMYFUNCTION("""COMPUTED_VALUE"""),"This is my first ever review! these pants are 5-star fantastic. ordering additional colors because i love these so much and am finding i want to wear them every day. i initially ordered the bronze color which is superb, just beautiful. i was worried it mi"&amp;"ght be too bright to wear to work, or be a different hue in real life, but they look just like the picture. to my happy surprise they dress up easily. it's a really rich color that i have been able to pull off at work with long sweaters and boot")</f>
        <v>This is my first ever review! these pants are 5-star fantastic. ordering additional colors because i love these so much and am finding i want to wear them every day. i initially ordered the bronze color which is superb, just beautiful. i was worried it might be too bright to wear to work, or be a different hue in real life, but they look just like the picture. to my happy surprise they dress up easily. it's a really rich color that i have been able to pull off at work with long sweaters and boot</v>
      </c>
      <c r="F1836" s="13">
        <f>IFERROR(__xludf.DUMMYFUNCTION("""COMPUTED_VALUE"""),5.0)</f>
        <v>5</v>
      </c>
      <c r="G1836" s="13">
        <f>IFERROR(__xludf.DUMMYFUNCTION("""COMPUTED_VALUE"""),1.0)</f>
        <v>1</v>
      </c>
      <c r="H1836" s="13">
        <f>IFERROR(__xludf.DUMMYFUNCTION("""COMPUTED_VALUE"""),0.0)</f>
        <v>0</v>
      </c>
      <c r="I1836" s="13" t="str">
        <f>IFERROR(__xludf.DUMMYFUNCTION("""COMPUTED_VALUE"""),"General Petite")</f>
        <v>General Petite</v>
      </c>
      <c r="J1836" s="13" t="str">
        <f>IFERROR(__xludf.DUMMYFUNCTION("""COMPUTED_VALUE"""),"Bottoms")</f>
        <v>Bottoms</v>
      </c>
      <c r="K1836" s="13" t="str">
        <f>IFERROR(__xludf.DUMMYFUNCTION("""COMPUTED_VALUE"""),"Jeans")</f>
        <v>Jeans</v>
      </c>
      <c r="L1836" s="13"/>
    </row>
    <row r="1837">
      <c r="A1837" s="13">
        <f>IFERROR(__xludf.DUMMYFUNCTION("""COMPUTED_VALUE"""),1835.0)</f>
        <v>1835</v>
      </c>
      <c r="B1837" s="13">
        <f>IFERROR(__xludf.DUMMYFUNCTION("""COMPUTED_VALUE"""),994.0)</f>
        <v>994</v>
      </c>
      <c r="C1837" s="13">
        <f>IFERROR(__xludf.DUMMYFUNCTION("""COMPUTED_VALUE"""),57.0)</f>
        <v>57</v>
      </c>
      <c r="D1837" s="12"/>
      <c r="E1837" s="12"/>
      <c r="F1837" s="13">
        <f>IFERROR(__xludf.DUMMYFUNCTION("""COMPUTED_VALUE"""),5.0)</f>
        <v>5</v>
      </c>
      <c r="G1837" s="13">
        <f>IFERROR(__xludf.DUMMYFUNCTION("""COMPUTED_VALUE"""),1.0)</f>
        <v>1</v>
      </c>
      <c r="H1837" s="13">
        <f>IFERROR(__xludf.DUMMYFUNCTION("""COMPUTED_VALUE"""),0.0)</f>
        <v>0</v>
      </c>
      <c r="I1837" s="13" t="str">
        <f>IFERROR(__xludf.DUMMYFUNCTION("""COMPUTED_VALUE"""),"General Petite")</f>
        <v>General Petite</v>
      </c>
      <c r="J1837" s="13" t="str">
        <f>IFERROR(__xludf.DUMMYFUNCTION("""COMPUTED_VALUE"""),"Bottoms")</f>
        <v>Bottoms</v>
      </c>
      <c r="K1837" s="13" t="str">
        <f>IFERROR(__xludf.DUMMYFUNCTION("""COMPUTED_VALUE"""),"Skirts")</f>
        <v>Skirts</v>
      </c>
      <c r="L1837" s="13"/>
    </row>
    <row r="1838">
      <c r="A1838" s="13">
        <f>IFERROR(__xludf.DUMMYFUNCTION("""COMPUTED_VALUE"""),1836.0)</f>
        <v>1836</v>
      </c>
      <c r="B1838" s="13">
        <f>IFERROR(__xludf.DUMMYFUNCTION("""COMPUTED_VALUE"""),1094.0)</f>
        <v>1094</v>
      </c>
      <c r="C1838" s="13">
        <f>IFERROR(__xludf.DUMMYFUNCTION("""COMPUTED_VALUE"""),43.0)</f>
        <v>43</v>
      </c>
      <c r="D1838" s="12"/>
      <c r="E1838" s="12" t="str">
        <f>IFERROR(__xludf.DUMMYFUNCTION("""COMPUTED_VALUE"""),"I feel like an indian goddess in this dress! lots of swing to it!")</f>
        <v>I feel like an indian goddess in this dress! lots of swing to it!</v>
      </c>
      <c r="F1838" s="13">
        <f>IFERROR(__xludf.DUMMYFUNCTION("""COMPUTED_VALUE"""),5.0)</f>
        <v>5</v>
      </c>
      <c r="G1838" s="13">
        <f>IFERROR(__xludf.DUMMYFUNCTION("""COMPUTED_VALUE"""),1.0)</f>
        <v>1</v>
      </c>
      <c r="H1838" s="13">
        <f>IFERROR(__xludf.DUMMYFUNCTION("""COMPUTED_VALUE"""),0.0)</f>
        <v>0</v>
      </c>
      <c r="I1838" s="13" t="str">
        <f>IFERROR(__xludf.DUMMYFUNCTION("""COMPUTED_VALUE"""),"General")</f>
        <v>General</v>
      </c>
      <c r="J1838" s="13" t="str">
        <f>IFERROR(__xludf.DUMMYFUNCTION("""COMPUTED_VALUE"""),"Dresses")</f>
        <v>Dresses</v>
      </c>
      <c r="K1838" s="13" t="str">
        <f>IFERROR(__xludf.DUMMYFUNCTION("""COMPUTED_VALUE"""),"Dresses")</f>
        <v>Dresses</v>
      </c>
      <c r="L1838" s="13"/>
    </row>
    <row r="1839">
      <c r="A1839" s="13">
        <f>IFERROR(__xludf.DUMMYFUNCTION("""COMPUTED_VALUE"""),1837.0)</f>
        <v>1837</v>
      </c>
      <c r="B1839" s="13">
        <f>IFERROR(__xludf.DUMMYFUNCTION("""COMPUTED_VALUE"""),1094.0)</f>
        <v>1094</v>
      </c>
      <c r="C1839" s="13">
        <f>IFERROR(__xludf.DUMMYFUNCTION("""COMPUTED_VALUE"""),36.0)</f>
        <v>36</v>
      </c>
      <c r="D1839" s="12" t="str">
        <f>IFERROR(__xludf.DUMMYFUNCTION("""COMPUTED_VALUE"""),"Loved, but unsure about quality")</f>
        <v>Loved, but unsure about quality</v>
      </c>
      <c r="E1839" s="12" t="str">
        <f>IFERROR(__xludf.DUMMYFUNCTION("""COMPUTED_VALUE"""),"I loved this dress the minute i tried it on and am actually really sad that i had to return it. however, the embroidery was unraveling in several places before i'd even worn it, so i thought it would probably only get worse. too bad because it's gorgeous "&amp;"and flattering!")</f>
        <v>I loved this dress the minute i tried it on and am actually really sad that i had to return it. however, the embroidery was unraveling in several places before i'd even worn it, so i thought it would probably only get worse. too bad because it's gorgeous and flattering!</v>
      </c>
      <c r="F1839" s="13">
        <f>IFERROR(__xludf.DUMMYFUNCTION("""COMPUTED_VALUE"""),3.0)</f>
        <v>3</v>
      </c>
      <c r="G1839" s="13">
        <f>IFERROR(__xludf.DUMMYFUNCTION("""COMPUTED_VALUE"""),1.0)</f>
        <v>1</v>
      </c>
      <c r="H1839" s="13">
        <f>IFERROR(__xludf.DUMMYFUNCTION("""COMPUTED_VALUE"""),0.0)</f>
        <v>0</v>
      </c>
      <c r="I1839" s="13" t="str">
        <f>IFERROR(__xludf.DUMMYFUNCTION("""COMPUTED_VALUE"""),"General")</f>
        <v>General</v>
      </c>
      <c r="J1839" s="13" t="str">
        <f>IFERROR(__xludf.DUMMYFUNCTION("""COMPUTED_VALUE"""),"Dresses")</f>
        <v>Dresses</v>
      </c>
      <c r="K1839" s="13" t="str">
        <f>IFERROR(__xludf.DUMMYFUNCTION("""COMPUTED_VALUE"""),"Dresses")</f>
        <v>Dresses</v>
      </c>
      <c r="L1839" s="13"/>
    </row>
    <row r="1840">
      <c r="A1840" s="13">
        <f>IFERROR(__xludf.DUMMYFUNCTION("""COMPUTED_VALUE"""),1838.0)</f>
        <v>1838</v>
      </c>
      <c r="B1840" s="13">
        <f>IFERROR(__xludf.DUMMYFUNCTION("""COMPUTED_VALUE"""),481.0)</f>
        <v>481</v>
      </c>
      <c r="C1840" s="13">
        <f>IFERROR(__xludf.DUMMYFUNCTION("""COMPUTED_VALUE"""),33.0)</f>
        <v>33</v>
      </c>
      <c r="D1840" s="12"/>
      <c r="E1840" s="12" t="str">
        <f>IFERROR(__xludf.DUMMYFUNCTION("""COMPUTED_VALUE"""),"This romper originally caught my eye in the beginning of the summer with the sweet back bow detail. i had originally planned to purchase for a trip to paris in june, but waited until the last minute and my size wasn't immediately available at my local sto"&amp;"re. i had honestly forgotten about the romper until i noticed it recently in the sale section ... at that price i couldn't pass it up. again it wasn't available in my size at the store location, but they were able to ship it w/in a few days. i p")</f>
        <v>This romper originally caught my eye in the beginning of the summer with the sweet back bow detail. i had originally planned to purchase for a trip to paris in june, but waited until the last minute and my size wasn't immediately available at my local store. i had honestly forgotten about the romper until i noticed it recently in the sale section ... at that price i couldn't pass it up. again it wasn't available in my size at the store location, but they were able to ship it w/in a few days. i p</v>
      </c>
      <c r="F1840" s="13">
        <f>IFERROR(__xludf.DUMMYFUNCTION("""COMPUTED_VALUE"""),5.0)</f>
        <v>5</v>
      </c>
      <c r="G1840" s="13">
        <f>IFERROR(__xludf.DUMMYFUNCTION("""COMPUTED_VALUE"""),1.0)</f>
        <v>1</v>
      </c>
      <c r="H1840" s="13">
        <f>IFERROR(__xludf.DUMMYFUNCTION("""COMPUTED_VALUE"""),0.0)</f>
        <v>0</v>
      </c>
      <c r="I1840" s="13" t="str">
        <f>IFERROR(__xludf.DUMMYFUNCTION("""COMPUTED_VALUE"""),"General Petite")</f>
        <v>General Petite</v>
      </c>
      <c r="J1840" s="13" t="str">
        <f>IFERROR(__xludf.DUMMYFUNCTION("""COMPUTED_VALUE"""),"Bottoms")</f>
        <v>Bottoms</v>
      </c>
      <c r="K1840" s="13" t="str">
        <f>IFERROR(__xludf.DUMMYFUNCTION("""COMPUTED_VALUE"""),"Pants")</f>
        <v>Pants</v>
      </c>
      <c r="L1840" s="13"/>
    </row>
    <row r="1841">
      <c r="A1841" s="13">
        <f>IFERROR(__xludf.DUMMYFUNCTION("""COMPUTED_VALUE"""),1839.0)</f>
        <v>1839</v>
      </c>
      <c r="B1841" s="13">
        <f>IFERROR(__xludf.DUMMYFUNCTION("""COMPUTED_VALUE"""),868.0)</f>
        <v>868</v>
      </c>
      <c r="C1841" s="13">
        <f>IFERROR(__xludf.DUMMYFUNCTION("""COMPUTED_VALUE"""),48.0)</f>
        <v>48</v>
      </c>
      <c r="D1841" s="12" t="str">
        <f>IFERROR(__xludf.DUMMYFUNCTION("""COMPUTED_VALUE"""),"Beautiful unique top")</f>
        <v>Beautiful unique top</v>
      </c>
      <c r="E1841" s="12" t="str">
        <f>IFERROR(__xludf.DUMMYFUNCTION("""COMPUTED_VALUE"""),"Love the unique details and neutral color scheme. top is boxy but i liked the way it looked on my 5'2"" 115 lb. frame. it's comfortable and well made. thicker material.  seems to be holding up fine after one washing.  looks great with skinny jeans.  highl"&amp;"y recommend!")</f>
        <v>Love the unique details and neutral color scheme. top is boxy but i liked the way it looked on my 5'2" 115 lb. frame. it's comfortable and well made. thicker material.  seems to be holding up fine after one washing.  looks great with skinny jeans.  highly recommend!</v>
      </c>
      <c r="F1841" s="13">
        <f>IFERROR(__xludf.DUMMYFUNCTION("""COMPUTED_VALUE"""),5.0)</f>
        <v>5</v>
      </c>
      <c r="G1841" s="13">
        <f>IFERROR(__xludf.DUMMYFUNCTION("""COMPUTED_VALUE"""),1.0)</f>
        <v>1</v>
      </c>
      <c r="H1841" s="13">
        <f>IFERROR(__xludf.DUMMYFUNCTION("""COMPUTED_VALUE"""),0.0)</f>
        <v>0</v>
      </c>
      <c r="I1841" s="13" t="str">
        <f>IFERROR(__xludf.DUMMYFUNCTION("""COMPUTED_VALUE"""),"General")</f>
        <v>General</v>
      </c>
      <c r="J1841" s="13" t="str">
        <f>IFERROR(__xludf.DUMMYFUNCTION("""COMPUTED_VALUE"""),"Tops")</f>
        <v>Tops</v>
      </c>
      <c r="K1841" s="13" t="str">
        <f>IFERROR(__xludf.DUMMYFUNCTION("""COMPUTED_VALUE"""),"Knits")</f>
        <v>Knits</v>
      </c>
      <c r="L1841" s="13"/>
    </row>
    <row r="1842">
      <c r="A1842" s="13">
        <f>IFERROR(__xludf.DUMMYFUNCTION("""COMPUTED_VALUE"""),1840.0)</f>
        <v>1840</v>
      </c>
      <c r="B1842" s="13">
        <f>IFERROR(__xludf.DUMMYFUNCTION("""COMPUTED_VALUE"""),994.0)</f>
        <v>994</v>
      </c>
      <c r="C1842" s="13">
        <f>IFERROR(__xludf.DUMMYFUNCTION("""COMPUTED_VALUE"""),33.0)</f>
        <v>33</v>
      </c>
      <c r="D1842" s="12" t="str">
        <f>IFERROR(__xludf.DUMMYFUNCTION("""COMPUTED_VALUE"""),"Lovely skirt, runs a bit large.")</f>
        <v>Lovely skirt, runs a bit large.</v>
      </c>
      <c r="E1842" s="12" t="str">
        <f>IFERROR(__xludf.DUMMYFUNCTION("""COMPUTED_VALUE"""),"Lovely assemblage of prints, looks great in motion. but the waistband runs a touch large. if you're between sizes, maybe size down.")</f>
        <v>Lovely assemblage of prints, looks great in motion. but the waistband runs a touch large. if you're between sizes, maybe size down.</v>
      </c>
      <c r="F1842" s="13">
        <f>IFERROR(__xludf.DUMMYFUNCTION("""COMPUTED_VALUE"""),4.0)</f>
        <v>4</v>
      </c>
      <c r="G1842" s="13">
        <f>IFERROR(__xludf.DUMMYFUNCTION("""COMPUTED_VALUE"""),1.0)</f>
        <v>1</v>
      </c>
      <c r="H1842" s="13">
        <f>IFERROR(__xludf.DUMMYFUNCTION("""COMPUTED_VALUE"""),0.0)</f>
        <v>0</v>
      </c>
      <c r="I1842" s="13" t="str">
        <f>IFERROR(__xludf.DUMMYFUNCTION("""COMPUTED_VALUE"""),"General Petite")</f>
        <v>General Petite</v>
      </c>
      <c r="J1842" s="13" t="str">
        <f>IFERROR(__xludf.DUMMYFUNCTION("""COMPUTED_VALUE"""),"Bottoms")</f>
        <v>Bottoms</v>
      </c>
      <c r="K1842" s="13" t="str">
        <f>IFERROR(__xludf.DUMMYFUNCTION("""COMPUTED_VALUE"""),"Skirts")</f>
        <v>Skirts</v>
      </c>
      <c r="L1842" s="13"/>
    </row>
    <row r="1843">
      <c r="A1843" s="13">
        <f>IFERROR(__xludf.DUMMYFUNCTION("""COMPUTED_VALUE"""),1841.0)</f>
        <v>1841</v>
      </c>
      <c r="B1843" s="13">
        <f>IFERROR(__xludf.DUMMYFUNCTION("""COMPUTED_VALUE"""),1094.0)</f>
        <v>1094</v>
      </c>
      <c r="C1843" s="13">
        <f>IFERROR(__xludf.DUMMYFUNCTION("""COMPUTED_VALUE"""),58.0)</f>
        <v>58</v>
      </c>
      <c r="D1843" s="12" t="str">
        <f>IFERROR(__xludf.DUMMYFUNCTION("""COMPUTED_VALUE"""),"Love this dress")</f>
        <v>Love this dress</v>
      </c>
      <c r="E1843" s="12" t="str">
        <f>IFERROR(__xludf.DUMMYFUNCTION("""COMPUTED_VALUE"""),"The little details are just beautiful. the embroidery and tassels are so cute. loose fitting just floats over the body. feels very light.")</f>
        <v>The little details are just beautiful. the embroidery and tassels are so cute. loose fitting just floats over the body. feels very light.</v>
      </c>
      <c r="F1843" s="13">
        <f>IFERROR(__xludf.DUMMYFUNCTION("""COMPUTED_VALUE"""),5.0)</f>
        <v>5</v>
      </c>
      <c r="G1843" s="13">
        <f>IFERROR(__xludf.DUMMYFUNCTION("""COMPUTED_VALUE"""),1.0)</f>
        <v>1</v>
      </c>
      <c r="H1843" s="13">
        <f>IFERROR(__xludf.DUMMYFUNCTION("""COMPUTED_VALUE"""),3.0)</f>
        <v>3</v>
      </c>
      <c r="I1843" s="13" t="str">
        <f>IFERROR(__xludf.DUMMYFUNCTION("""COMPUTED_VALUE"""),"General")</f>
        <v>General</v>
      </c>
      <c r="J1843" s="13" t="str">
        <f>IFERROR(__xludf.DUMMYFUNCTION("""COMPUTED_VALUE"""),"Dresses")</f>
        <v>Dresses</v>
      </c>
      <c r="K1843" s="13" t="str">
        <f>IFERROR(__xludf.DUMMYFUNCTION("""COMPUTED_VALUE"""),"Dresses")</f>
        <v>Dresses</v>
      </c>
      <c r="L1843" s="13"/>
    </row>
    <row r="1844">
      <c r="A1844" s="13">
        <f>IFERROR(__xludf.DUMMYFUNCTION("""COMPUTED_VALUE"""),1842.0)</f>
        <v>1842</v>
      </c>
      <c r="B1844" s="13">
        <f>IFERROR(__xludf.DUMMYFUNCTION("""COMPUTED_VALUE"""),868.0)</f>
        <v>868</v>
      </c>
      <c r="C1844" s="13">
        <f>IFERROR(__xludf.DUMMYFUNCTION("""COMPUTED_VALUE"""),49.0)</f>
        <v>49</v>
      </c>
      <c r="D1844" s="12" t="str">
        <f>IFERROR(__xludf.DUMMYFUNCTION("""COMPUTED_VALUE"""),"Love this top")</f>
        <v>Love this top</v>
      </c>
      <c r="E1844" s="12" t="str">
        <f>IFERROR(__xludf.DUMMYFUNCTION("""COMPUTED_VALUE"""),"I really loved this top the minute i put it on. read the other reviews but it really worked for me. i am 5'3"", 36dd, athletic build and the m fit perfectly with a nice roomy fit. top will be perfect for my upcoming trip to tahoe. plan to wear with light "&amp;"denim, dark denim, and black cropped denim bottoms. even looks great with a culottes or denim skirt. the weight is really nice and it washed nicely. i washed on delicate, and laid flat to dry. a little pressing and good as new. it has a nice boze")</f>
        <v>I really loved this top the minute i put it on. read the other reviews but it really worked for me. i am 5'3", 36dd, athletic build and the m fit perfectly with a nice roomy fit. top will be perfect for my upcoming trip to tahoe. plan to wear with light denim, dark denim, and black cropped denim bottoms. even looks great with a culottes or denim skirt. the weight is really nice and it washed nicely. i washed on delicate, and laid flat to dry. a little pressing and good as new. it has a nice boze</v>
      </c>
      <c r="F1844" s="13">
        <f>IFERROR(__xludf.DUMMYFUNCTION("""COMPUTED_VALUE"""),5.0)</f>
        <v>5</v>
      </c>
      <c r="G1844" s="13">
        <f>IFERROR(__xludf.DUMMYFUNCTION("""COMPUTED_VALUE"""),1.0)</f>
        <v>1</v>
      </c>
      <c r="H1844" s="13">
        <f>IFERROR(__xludf.DUMMYFUNCTION("""COMPUTED_VALUE"""),6.0)</f>
        <v>6</v>
      </c>
      <c r="I1844" s="13" t="str">
        <f>IFERROR(__xludf.DUMMYFUNCTION("""COMPUTED_VALUE"""),"General")</f>
        <v>General</v>
      </c>
      <c r="J1844" s="13" t="str">
        <f>IFERROR(__xludf.DUMMYFUNCTION("""COMPUTED_VALUE"""),"Tops")</f>
        <v>Tops</v>
      </c>
      <c r="K1844" s="13" t="str">
        <f>IFERROR(__xludf.DUMMYFUNCTION("""COMPUTED_VALUE"""),"Knits")</f>
        <v>Knits</v>
      </c>
      <c r="L1844" s="13"/>
    </row>
    <row r="1845">
      <c r="A1845" s="13">
        <f>IFERROR(__xludf.DUMMYFUNCTION("""COMPUTED_VALUE"""),1843.0)</f>
        <v>1843</v>
      </c>
      <c r="B1845" s="13">
        <f>IFERROR(__xludf.DUMMYFUNCTION("""COMPUTED_VALUE"""),1026.0)</f>
        <v>1026</v>
      </c>
      <c r="C1845" s="13">
        <f>IFERROR(__xludf.DUMMYFUNCTION("""COMPUTED_VALUE"""),35.0)</f>
        <v>35</v>
      </c>
      <c r="D1845" s="12" t="str">
        <f>IFERROR(__xludf.DUMMYFUNCTION("""COMPUTED_VALUE"""),"Sizing is all over the map!")</f>
        <v>Sizing is all over the map!</v>
      </c>
      <c r="E1845" s="12" t="str">
        <f>IFERROR(__xludf.DUMMYFUNCTION("""COMPUTED_VALUE"""),"If you happen to get a size that fits you, you will love these leggings. they are true to size when the quality control works. i got 2 pair, both in size 28 - one fits perfectly and the other fits like my mothers high waisted jeans! the material is very s"&amp;"oft and comfortable. also, not sure who named these colors, but the grey is really light purple and the dark grey is dark purple.")</f>
        <v>If you happen to get a size that fits you, you will love these leggings. they are true to size when the quality control works. i got 2 pair, both in size 28 - one fits perfectly and the other fits like my mothers high waisted jeans! the material is very soft and comfortable. also, not sure who named these colors, but the grey is really light purple and the dark grey is dark purple.</v>
      </c>
      <c r="F1845" s="13">
        <f>IFERROR(__xludf.DUMMYFUNCTION("""COMPUTED_VALUE"""),4.0)</f>
        <v>4</v>
      </c>
      <c r="G1845" s="13">
        <f>IFERROR(__xludf.DUMMYFUNCTION("""COMPUTED_VALUE"""),1.0)</f>
        <v>1</v>
      </c>
      <c r="H1845" s="13">
        <f>IFERROR(__xludf.DUMMYFUNCTION("""COMPUTED_VALUE"""),0.0)</f>
        <v>0</v>
      </c>
      <c r="I1845" s="13" t="str">
        <f>IFERROR(__xludf.DUMMYFUNCTION("""COMPUTED_VALUE"""),"General Petite")</f>
        <v>General Petite</v>
      </c>
      <c r="J1845" s="13" t="str">
        <f>IFERROR(__xludf.DUMMYFUNCTION("""COMPUTED_VALUE"""),"Bottoms")</f>
        <v>Bottoms</v>
      </c>
      <c r="K1845" s="13" t="str">
        <f>IFERROR(__xludf.DUMMYFUNCTION("""COMPUTED_VALUE"""),"Jeans")</f>
        <v>Jeans</v>
      </c>
      <c r="L1845" s="13"/>
    </row>
    <row r="1846">
      <c r="A1846" s="13">
        <f>IFERROR(__xludf.DUMMYFUNCTION("""COMPUTED_VALUE"""),1844.0)</f>
        <v>1844</v>
      </c>
      <c r="B1846" s="13">
        <f>IFERROR(__xludf.DUMMYFUNCTION("""COMPUTED_VALUE"""),1080.0)</f>
        <v>1080</v>
      </c>
      <c r="C1846" s="13">
        <f>IFERROR(__xludf.DUMMYFUNCTION("""COMPUTED_VALUE"""),32.0)</f>
        <v>32</v>
      </c>
      <c r="D1846" s="12" t="str">
        <f>IFERROR(__xludf.DUMMYFUNCTION("""COMPUTED_VALUE"""),"Gorgeous maxi dress")</f>
        <v>Gorgeous maxi dress</v>
      </c>
      <c r="E1846" s="12" t="str">
        <f>IFERROR(__xludf.DUMMYFUNCTION("""COMPUTED_VALUE"""),"Flattering dress that looks great on. the back cut out shows some skin while still covering up a bra. the petite size fits true to size")</f>
        <v>Flattering dress that looks great on. the back cut out shows some skin while still covering up a bra. the petite size fits true to size</v>
      </c>
      <c r="F1846" s="13">
        <f>IFERROR(__xludf.DUMMYFUNCTION("""COMPUTED_VALUE"""),5.0)</f>
        <v>5</v>
      </c>
      <c r="G1846" s="13">
        <f>IFERROR(__xludf.DUMMYFUNCTION("""COMPUTED_VALUE"""),1.0)</f>
        <v>1</v>
      </c>
      <c r="H1846" s="13">
        <f>IFERROR(__xludf.DUMMYFUNCTION("""COMPUTED_VALUE"""),1.0)</f>
        <v>1</v>
      </c>
      <c r="I1846" s="13" t="str">
        <f>IFERROR(__xludf.DUMMYFUNCTION("""COMPUTED_VALUE"""),"General")</f>
        <v>General</v>
      </c>
      <c r="J1846" s="13" t="str">
        <f>IFERROR(__xludf.DUMMYFUNCTION("""COMPUTED_VALUE"""),"Dresses")</f>
        <v>Dresses</v>
      </c>
      <c r="K1846" s="13" t="str">
        <f>IFERROR(__xludf.DUMMYFUNCTION("""COMPUTED_VALUE"""),"Dresses")</f>
        <v>Dresses</v>
      </c>
      <c r="L1846" s="13"/>
    </row>
    <row r="1847">
      <c r="A1847" s="13">
        <f>IFERROR(__xludf.DUMMYFUNCTION("""COMPUTED_VALUE"""),1845.0)</f>
        <v>1845</v>
      </c>
      <c r="B1847" s="13">
        <f>IFERROR(__xludf.DUMMYFUNCTION("""COMPUTED_VALUE"""),1026.0)</f>
        <v>1026</v>
      </c>
      <c r="C1847" s="13">
        <f>IFERROR(__xludf.DUMMYFUNCTION("""COMPUTED_VALUE"""),34.0)</f>
        <v>34</v>
      </c>
      <c r="D1847" s="12" t="str">
        <f>IFERROR(__xludf.DUMMYFUNCTION("""COMPUTED_VALUE"""),"Cute leggings for cooler days, but be aware of fit")</f>
        <v>Cute leggings for cooler days, but be aware of fit</v>
      </c>
      <c r="E1847" s="12" t="str">
        <f>IFERROR(__xludf.DUMMYFUNCTION("""COMPUTED_VALUE"""),"I've been wanting to add some cords to my wardrobe and had to give these a try. i ordered the blue color on-line in size 31. i'm somewhat in-between size 30 and 31 in jeans right now, so i thought i'd be on the safe side and go up. i ended up keeping thes"&amp;"e and i'm happy with my purchase, although i do feel like the cut of the leggings is a bit off for me. i am a proportional hour-glass shape and i found these leggings to be quite snug in the thigh, while being oversized in the waist.
in the end,")</f>
        <v>I've been wanting to add some cords to my wardrobe and had to give these a try. i ordered the blue color on-line in size 31. i'm somewhat in-between size 30 and 31 in jeans right now, so i thought i'd be on the safe side and go up. i ended up keeping these and i'm happy with my purchase, although i do feel like the cut of the leggings is a bit off for me. i am a proportional hour-glass shape and i found these leggings to be quite snug in the thigh, while being oversized in the waist.
in the end,</v>
      </c>
      <c r="F1847" s="13">
        <f>IFERROR(__xludf.DUMMYFUNCTION("""COMPUTED_VALUE"""),4.0)</f>
        <v>4</v>
      </c>
      <c r="G1847" s="13">
        <f>IFERROR(__xludf.DUMMYFUNCTION("""COMPUTED_VALUE"""),1.0)</f>
        <v>1</v>
      </c>
      <c r="H1847" s="13">
        <f>IFERROR(__xludf.DUMMYFUNCTION("""COMPUTED_VALUE"""),2.0)</f>
        <v>2</v>
      </c>
      <c r="I1847" s="13" t="str">
        <f>IFERROR(__xludf.DUMMYFUNCTION("""COMPUTED_VALUE"""),"General Petite")</f>
        <v>General Petite</v>
      </c>
      <c r="J1847" s="13" t="str">
        <f>IFERROR(__xludf.DUMMYFUNCTION("""COMPUTED_VALUE"""),"Bottoms")</f>
        <v>Bottoms</v>
      </c>
      <c r="K1847" s="13" t="str">
        <f>IFERROR(__xludf.DUMMYFUNCTION("""COMPUTED_VALUE"""),"Jeans")</f>
        <v>Jeans</v>
      </c>
      <c r="L1847" s="13"/>
    </row>
    <row r="1848">
      <c r="A1848" s="13">
        <f>IFERROR(__xludf.DUMMYFUNCTION("""COMPUTED_VALUE"""),1846.0)</f>
        <v>1846</v>
      </c>
      <c r="B1848" s="13">
        <f>IFERROR(__xludf.DUMMYFUNCTION("""COMPUTED_VALUE"""),1026.0)</f>
        <v>1026</v>
      </c>
      <c r="C1848" s="13">
        <f>IFERROR(__xludf.DUMMYFUNCTION("""COMPUTED_VALUE"""),36.0)</f>
        <v>36</v>
      </c>
      <c r="D1848" s="12"/>
      <c r="E1848" s="12" t="str">
        <f>IFERROR(__xludf.DUMMYFUNCTION("""COMPUTED_VALUE"""),"I really wanted the dark grey, but it has been sold out in my size for many months. i finally ended up with the navy. i think they are much cuter in person, the color nicer also. i think the cuffs have been folded under in some of the pictures of the mode"&amp;"ls making the shape look just a tad odd. i got my usual size, and the fit was perfect. they stretch just enough. i would get the second pair in a heartbeat.")</f>
        <v>I really wanted the dark grey, but it has been sold out in my size for many months. i finally ended up with the navy. i think they are much cuter in person, the color nicer also. i think the cuffs have been folded under in some of the pictures of the models making the shape look just a tad odd. i got my usual size, and the fit was perfect. they stretch just enough. i would get the second pair in a heartbeat.</v>
      </c>
      <c r="F1848" s="13">
        <f>IFERROR(__xludf.DUMMYFUNCTION("""COMPUTED_VALUE"""),5.0)</f>
        <v>5</v>
      </c>
      <c r="G1848" s="13">
        <f>IFERROR(__xludf.DUMMYFUNCTION("""COMPUTED_VALUE"""),1.0)</f>
        <v>1</v>
      </c>
      <c r="H1848" s="13">
        <f>IFERROR(__xludf.DUMMYFUNCTION("""COMPUTED_VALUE"""),0.0)</f>
        <v>0</v>
      </c>
      <c r="I1848" s="13" t="str">
        <f>IFERROR(__xludf.DUMMYFUNCTION("""COMPUTED_VALUE"""),"General Petite")</f>
        <v>General Petite</v>
      </c>
      <c r="J1848" s="13" t="str">
        <f>IFERROR(__xludf.DUMMYFUNCTION("""COMPUTED_VALUE"""),"Bottoms")</f>
        <v>Bottoms</v>
      </c>
      <c r="K1848" s="13" t="str">
        <f>IFERROR(__xludf.DUMMYFUNCTION("""COMPUTED_VALUE"""),"Jeans")</f>
        <v>Jeans</v>
      </c>
      <c r="L1848" s="13"/>
    </row>
    <row r="1849">
      <c r="A1849" s="13">
        <f>IFERROR(__xludf.DUMMYFUNCTION("""COMPUTED_VALUE"""),1847.0)</f>
        <v>1847</v>
      </c>
      <c r="B1849" s="13">
        <f>IFERROR(__xludf.DUMMYFUNCTION("""COMPUTED_VALUE"""),1094.0)</f>
        <v>1094</v>
      </c>
      <c r="C1849" s="13">
        <f>IFERROR(__xludf.DUMMYFUNCTION("""COMPUTED_VALUE"""),66.0)</f>
        <v>66</v>
      </c>
      <c r="D1849" s="12" t="str">
        <f>IFERROR(__xludf.DUMMYFUNCTION("""COMPUTED_VALUE"""),"Great dress but...")</f>
        <v>Great dress but...</v>
      </c>
      <c r="E1849" s="12" t="str">
        <f>IFERROR(__xludf.DUMMYFUNCTION("""COMPUTED_VALUE"""),"Loved this dress and ordered it based on glowing reviews. ordered size large because i weigh 155 pounds and have a large 34g bust. the dress skimmed nicely over my body but the baby doll style fit loosely and made me look really wide from the side. i prob"&amp;"ably could have sized down for a better fit, but it might have just emphasized my bust. the fabric has a substantial weight and it's lined. best as a fall, winter dress. the embroidery is beautiful. i disliked the intense black color around my f")</f>
        <v>Loved this dress and ordered it based on glowing reviews. ordered size large because i weigh 155 pounds and have a large 34g bust. the dress skimmed nicely over my body but the baby doll style fit loosely and made me look really wide from the side. i probably could have sized down for a better fit, but it might have just emphasized my bust. the fabric has a substantial weight and it's lined. best as a fall, winter dress. the embroidery is beautiful. i disliked the intense black color around my f</v>
      </c>
      <c r="F1849" s="13">
        <f>IFERROR(__xludf.DUMMYFUNCTION("""COMPUTED_VALUE"""),3.0)</f>
        <v>3</v>
      </c>
      <c r="G1849" s="13">
        <f>IFERROR(__xludf.DUMMYFUNCTION("""COMPUTED_VALUE"""),1.0)</f>
        <v>1</v>
      </c>
      <c r="H1849" s="13">
        <f>IFERROR(__xludf.DUMMYFUNCTION("""COMPUTED_VALUE"""),2.0)</f>
        <v>2</v>
      </c>
      <c r="I1849" s="13" t="str">
        <f>IFERROR(__xludf.DUMMYFUNCTION("""COMPUTED_VALUE"""),"General")</f>
        <v>General</v>
      </c>
      <c r="J1849" s="13" t="str">
        <f>IFERROR(__xludf.DUMMYFUNCTION("""COMPUTED_VALUE"""),"Dresses")</f>
        <v>Dresses</v>
      </c>
      <c r="K1849" s="13" t="str">
        <f>IFERROR(__xludf.DUMMYFUNCTION("""COMPUTED_VALUE"""),"Dresses")</f>
        <v>Dresses</v>
      </c>
      <c r="L1849" s="13"/>
    </row>
    <row r="1850">
      <c r="A1850" s="13">
        <f>IFERROR(__xludf.DUMMYFUNCTION("""COMPUTED_VALUE"""),1848.0)</f>
        <v>1848</v>
      </c>
      <c r="B1850" s="13">
        <f>IFERROR(__xludf.DUMMYFUNCTION("""COMPUTED_VALUE"""),1080.0)</f>
        <v>1080</v>
      </c>
      <c r="C1850" s="13">
        <f>IFERROR(__xludf.DUMMYFUNCTION("""COMPUTED_VALUE"""),39.0)</f>
        <v>39</v>
      </c>
      <c r="D1850" s="12"/>
      <c r="E1850" s="12" t="str">
        <f>IFERROR(__xludf.DUMMYFUNCTION("""COMPUTED_VALUE"""),"I ordered a petite small. i'm 5'3, 135 lbs and 34b and the length was perfect and the fit was great. like the previous reviews. love you can wear a bra with it.")</f>
        <v>I ordered a petite small. i'm 5'3, 135 lbs and 34b and the length was perfect and the fit was great. like the previous reviews. love you can wear a bra with it.</v>
      </c>
      <c r="F1850" s="13">
        <f>IFERROR(__xludf.DUMMYFUNCTION("""COMPUTED_VALUE"""),5.0)</f>
        <v>5</v>
      </c>
      <c r="G1850" s="13">
        <f>IFERROR(__xludf.DUMMYFUNCTION("""COMPUTED_VALUE"""),1.0)</f>
        <v>1</v>
      </c>
      <c r="H1850" s="13">
        <f>IFERROR(__xludf.DUMMYFUNCTION("""COMPUTED_VALUE"""),2.0)</f>
        <v>2</v>
      </c>
      <c r="I1850" s="13" t="str">
        <f>IFERROR(__xludf.DUMMYFUNCTION("""COMPUTED_VALUE"""),"General")</f>
        <v>General</v>
      </c>
      <c r="J1850" s="13" t="str">
        <f>IFERROR(__xludf.DUMMYFUNCTION("""COMPUTED_VALUE"""),"Dresses")</f>
        <v>Dresses</v>
      </c>
      <c r="K1850" s="13" t="str">
        <f>IFERROR(__xludf.DUMMYFUNCTION("""COMPUTED_VALUE"""),"Dresses")</f>
        <v>Dresses</v>
      </c>
      <c r="L1850" s="13"/>
    </row>
    <row r="1851">
      <c r="A1851" s="13">
        <f>IFERROR(__xludf.DUMMYFUNCTION("""COMPUTED_VALUE"""),1849.0)</f>
        <v>1849</v>
      </c>
      <c r="B1851" s="13">
        <f>IFERROR(__xludf.DUMMYFUNCTION("""COMPUTED_VALUE"""),1080.0)</f>
        <v>1080</v>
      </c>
      <c r="C1851" s="13">
        <f>IFERROR(__xludf.DUMMYFUNCTION("""COMPUTED_VALUE"""),28.0)</f>
        <v>28</v>
      </c>
      <c r="D1851" s="12" t="str">
        <f>IFERROR(__xludf.DUMMYFUNCTION("""COMPUTED_VALUE"""),"This dress is perfect!")</f>
        <v>This dress is perfect!</v>
      </c>
      <c r="E1851" s="12" t="str">
        <f>IFERROR(__xludf.DUMMYFUNCTION("""COMPUTED_VALUE"""),"I love this dress so much! i got petite and the length was perfect. it was so soft and so pretty. perfect for a wedding.")</f>
        <v>I love this dress so much! i got petite and the length was perfect. it was so soft and so pretty. perfect for a wedding.</v>
      </c>
      <c r="F1851" s="13">
        <f>IFERROR(__xludf.DUMMYFUNCTION("""COMPUTED_VALUE"""),5.0)</f>
        <v>5</v>
      </c>
      <c r="G1851" s="13">
        <f>IFERROR(__xludf.DUMMYFUNCTION("""COMPUTED_VALUE"""),1.0)</f>
        <v>1</v>
      </c>
      <c r="H1851" s="13">
        <f>IFERROR(__xludf.DUMMYFUNCTION("""COMPUTED_VALUE"""),0.0)</f>
        <v>0</v>
      </c>
      <c r="I1851" s="13" t="str">
        <f>IFERROR(__xludf.DUMMYFUNCTION("""COMPUTED_VALUE"""),"General")</f>
        <v>General</v>
      </c>
      <c r="J1851" s="13" t="str">
        <f>IFERROR(__xludf.DUMMYFUNCTION("""COMPUTED_VALUE"""),"Dresses")</f>
        <v>Dresses</v>
      </c>
      <c r="K1851" s="13" t="str">
        <f>IFERROR(__xludf.DUMMYFUNCTION("""COMPUTED_VALUE"""),"Dresses")</f>
        <v>Dresses</v>
      </c>
      <c r="L1851" s="13"/>
    </row>
    <row r="1852">
      <c r="A1852" s="13">
        <f>IFERROR(__xludf.DUMMYFUNCTION("""COMPUTED_VALUE"""),1850.0)</f>
        <v>1850</v>
      </c>
      <c r="B1852" s="13">
        <f>IFERROR(__xludf.DUMMYFUNCTION("""COMPUTED_VALUE"""),1080.0)</f>
        <v>1080</v>
      </c>
      <c r="C1852" s="13">
        <f>IFERROR(__xludf.DUMMYFUNCTION("""COMPUTED_VALUE"""),31.0)</f>
        <v>31</v>
      </c>
      <c r="D1852" s="12" t="str">
        <f>IFERROR(__xludf.DUMMYFUNCTION("""COMPUTED_VALUE"""),"I adore this dress.")</f>
        <v>I adore this dress.</v>
      </c>
      <c r="E1852" s="12" t="str">
        <f>IFERROR(__xludf.DUMMYFUNCTION("""COMPUTED_VALUE"""),"Soft, comfy, flattering, just a beautiful dress. it works for any occasion. i can't express how much i love it!")</f>
        <v>Soft, comfy, flattering, just a beautiful dress. it works for any occasion. i can't express how much i love it!</v>
      </c>
      <c r="F1852" s="13">
        <f>IFERROR(__xludf.DUMMYFUNCTION("""COMPUTED_VALUE"""),5.0)</f>
        <v>5</v>
      </c>
      <c r="G1852" s="13">
        <f>IFERROR(__xludf.DUMMYFUNCTION("""COMPUTED_VALUE"""),1.0)</f>
        <v>1</v>
      </c>
      <c r="H1852" s="13">
        <f>IFERROR(__xludf.DUMMYFUNCTION("""COMPUTED_VALUE"""),0.0)</f>
        <v>0</v>
      </c>
      <c r="I1852" s="13" t="str">
        <f>IFERROR(__xludf.DUMMYFUNCTION("""COMPUTED_VALUE"""),"General")</f>
        <v>General</v>
      </c>
      <c r="J1852" s="13" t="str">
        <f>IFERROR(__xludf.DUMMYFUNCTION("""COMPUTED_VALUE"""),"Dresses")</f>
        <v>Dresses</v>
      </c>
      <c r="K1852" s="13" t="str">
        <f>IFERROR(__xludf.DUMMYFUNCTION("""COMPUTED_VALUE"""),"Dresses")</f>
        <v>Dresses</v>
      </c>
      <c r="L1852" s="13"/>
    </row>
    <row r="1853">
      <c r="A1853" s="13">
        <f>IFERROR(__xludf.DUMMYFUNCTION("""COMPUTED_VALUE"""),1851.0)</f>
        <v>1851</v>
      </c>
      <c r="B1853" s="13">
        <f>IFERROR(__xludf.DUMMYFUNCTION("""COMPUTED_VALUE"""),868.0)</f>
        <v>868</v>
      </c>
      <c r="C1853" s="13">
        <f>IFERROR(__xludf.DUMMYFUNCTION("""COMPUTED_VALUE"""),63.0)</f>
        <v>63</v>
      </c>
      <c r="D1853" s="12"/>
      <c r="E1853" s="12" t="str">
        <f>IFERROR(__xludf.DUMMYFUNCTION("""COMPUTED_VALUE"""),"I'm a 32ddd and this top fit perfect. i wore it with boyfriend jeans and flats. the material is nice and perfect for fall")</f>
        <v>I'm a 32ddd and this top fit perfect. i wore it with boyfriend jeans and flats. the material is nice and perfect for fall</v>
      </c>
      <c r="F1853" s="13">
        <f>IFERROR(__xludf.DUMMYFUNCTION("""COMPUTED_VALUE"""),4.0)</f>
        <v>4</v>
      </c>
      <c r="G1853" s="13">
        <f>IFERROR(__xludf.DUMMYFUNCTION("""COMPUTED_VALUE"""),1.0)</f>
        <v>1</v>
      </c>
      <c r="H1853" s="13">
        <f>IFERROR(__xludf.DUMMYFUNCTION("""COMPUTED_VALUE"""),0.0)</f>
        <v>0</v>
      </c>
      <c r="I1853" s="13" t="str">
        <f>IFERROR(__xludf.DUMMYFUNCTION("""COMPUTED_VALUE"""),"General")</f>
        <v>General</v>
      </c>
      <c r="J1853" s="13" t="str">
        <f>IFERROR(__xludf.DUMMYFUNCTION("""COMPUTED_VALUE"""),"Tops")</f>
        <v>Tops</v>
      </c>
      <c r="K1853" s="13" t="str">
        <f>IFERROR(__xludf.DUMMYFUNCTION("""COMPUTED_VALUE"""),"Knits")</f>
        <v>Knits</v>
      </c>
      <c r="L1853" s="13"/>
    </row>
    <row r="1854">
      <c r="A1854" s="13">
        <f>IFERROR(__xludf.DUMMYFUNCTION("""COMPUTED_VALUE"""),1852.0)</f>
        <v>1852</v>
      </c>
      <c r="B1854" s="13">
        <f>IFERROR(__xludf.DUMMYFUNCTION("""COMPUTED_VALUE"""),481.0)</f>
        <v>481</v>
      </c>
      <c r="C1854" s="13">
        <f>IFERROR(__xludf.DUMMYFUNCTION("""COMPUTED_VALUE"""),41.0)</f>
        <v>41</v>
      </c>
      <c r="D1854" s="12" t="str">
        <f>IFERROR(__xludf.DUMMYFUNCTION("""COMPUTED_VALUE"""),"Super adorable!")</f>
        <v>Super adorable!</v>
      </c>
      <c r="E1854" s="12" t="str">
        <f>IFERROR(__xludf.DUMMYFUNCTION("""COMPUTED_VALUE"""),"The romper is well made and just plain cute. i bought it the second i saw it and don't regret my impulse buy one bit. 135 5'5"" and the small fit perfectly.")</f>
        <v>The romper is well made and just plain cute. i bought it the second i saw it and don't regret my impulse buy one bit. 135 5'5" and the small fit perfectly.</v>
      </c>
      <c r="F1854" s="13">
        <f>IFERROR(__xludf.DUMMYFUNCTION("""COMPUTED_VALUE"""),5.0)</f>
        <v>5</v>
      </c>
      <c r="G1854" s="13">
        <f>IFERROR(__xludf.DUMMYFUNCTION("""COMPUTED_VALUE"""),1.0)</f>
        <v>1</v>
      </c>
      <c r="H1854" s="13">
        <f>IFERROR(__xludf.DUMMYFUNCTION("""COMPUTED_VALUE"""),9.0)</f>
        <v>9</v>
      </c>
      <c r="I1854" s="13" t="str">
        <f>IFERROR(__xludf.DUMMYFUNCTION("""COMPUTED_VALUE"""),"General Petite")</f>
        <v>General Petite</v>
      </c>
      <c r="J1854" s="13" t="str">
        <f>IFERROR(__xludf.DUMMYFUNCTION("""COMPUTED_VALUE"""),"Bottoms")</f>
        <v>Bottoms</v>
      </c>
      <c r="K1854" s="13" t="str">
        <f>IFERROR(__xludf.DUMMYFUNCTION("""COMPUTED_VALUE"""),"Pants")</f>
        <v>Pants</v>
      </c>
      <c r="L1854" s="13"/>
    </row>
    <row r="1855">
      <c r="A1855" s="13">
        <f>IFERROR(__xludf.DUMMYFUNCTION("""COMPUTED_VALUE"""),1853.0)</f>
        <v>1853</v>
      </c>
      <c r="B1855" s="13">
        <f>IFERROR(__xludf.DUMMYFUNCTION("""COMPUTED_VALUE"""),1080.0)</f>
        <v>1080</v>
      </c>
      <c r="C1855" s="13">
        <f>IFERROR(__xludf.DUMMYFUNCTION("""COMPUTED_VALUE"""),41.0)</f>
        <v>41</v>
      </c>
      <c r="D1855" s="12" t="str">
        <f>IFERROR(__xludf.DUMMYFUNCTION("""COMPUTED_VALUE"""),"Love it!")</f>
        <v>Love it!</v>
      </c>
      <c r="E1855" s="12" t="str">
        <f>IFERROR(__xludf.DUMMYFUNCTION("""COMPUTED_VALUE"""),"I have been searching for great bra friendly maxis and the design and colors of this one are exactly what i was looking for. i love how the front and back dip down and the open back with crossover detail is really sleek looking.  overall, it's tts, but th"&amp;"e chest is a little low cut, so some will want to size up for extra coverage.  the fabric is a silky jersey made of mostly rayon (95%) and spandex (5%) with a mesh nylon/spandex lining from the top through where the cream color ends at the botto")</f>
        <v>I have been searching for great bra friendly maxis and the design and colors of this one are exactly what i was looking for. i love how the front and back dip down and the open back with crossover detail is really sleek looking.  overall, it's tts, but the chest is a little low cut, so some will want to size up for extra coverage.  the fabric is a silky jersey made of mostly rayon (95%) and spandex (5%) with a mesh nylon/spandex lining from the top through where the cream color ends at the botto</v>
      </c>
      <c r="F1855" s="13">
        <f>IFERROR(__xludf.DUMMYFUNCTION("""COMPUTED_VALUE"""),4.0)</f>
        <v>4</v>
      </c>
      <c r="G1855" s="13">
        <f>IFERROR(__xludf.DUMMYFUNCTION("""COMPUTED_VALUE"""),1.0)</f>
        <v>1</v>
      </c>
      <c r="H1855" s="13">
        <f>IFERROR(__xludf.DUMMYFUNCTION("""COMPUTED_VALUE"""),47.0)</f>
        <v>47</v>
      </c>
      <c r="I1855" s="13" t="str">
        <f>IFERROR(__xludf.DUMMYFUNCTION("""COMPUTED_VALUE"""),"General")</f>
        <v>General</v>
      </c>
      <c r="J1855" s="13" t="str">
        <f>IFERROR(__xludf.DUMMYFUNCTION("""COMPUTED_VALUE"""),"Dresses")</f>
        <v>Dresses</v>
      </c>
      <c r="K1855" s="13" t="str">
        <f>IFERROR(__xludf.DUMMYFUNCTION("""COMPUTED_VALUE"""),"Dresses")</f>
        <v>Dresses</v>
      </c>
      <c r="L1855" s="13"/>
    </row>
    <row r="1856">
      <c r="A1856" s="13">
        <f>IFERROR(__xludf.DUMMYFUNCTION("""COMPUTED_VALUE"""),1854.0)</f>
        <v>1854</v>
      </c>
      <c r="B1856" s="13">
        <f>IFERROR(__xludf.DUMMYFUNCTION("""COMPUTED_VALUE"""),857.0)</f>
        <v>857</v>
      </c>
      <c r="C1856" s="13">
        <f>IFERROR(__xludf.DUMMYFUNCTION("""COMPUTED_VALUE"""),33.0)</f>
        <v>33</v>
      </c>
      <c r="D1856" s="12" t="str">
        <f>IFERROR(__xludf.DUMMYFUNCTION("""COMPUTED_VALUE"""),"Sleeves too tight")</f>
        <v>Sleeves too tight</v>
      </c>
      <c r="E1856" s="12" t="str">
        <f>IFERROR(__xludf.DUMMYFUNCTION("""COMPUTED_VALUE"""),"Ordered a l and xl, the sleeves were so tight on both sizes but the rest of the shirt was wide and loose. the tight sleeves were not proportional with the rest of the shirt. both sizes had to be returned.")</f>
        <v>Ordered a l and xl, the sleeves were so tight on both sizes but the rest of the shirt was wide and loose. the tight sleeves were not proportional with the rest of the shirt. both sizes had to be returned.</v>
      </c>
      <c r="F1856" s="13">
        <f>IFERROR(__xludf.DUMMYFUNCTION("""COMPUTED_VALUE"""),1.0)</f>
        <v>1</v>
      </c>
      <c r="G1856" s="13">
        <f>IFERROR(__xludf.DUMMYFUNCTION("""COMPUTED_VALUE"""),0.0)</f>
        <v>0</v>
      </c>
      <c r="H1856" s="13">
        <f>IFERROR(__xludf.DUMMYFUNCTION("""COMPUTED_VALUE"""),12.0)</f>
        <v>12</v>
      </c>
      <c r="I1856" s="13" t="str">
        <f>IFERROR(__xludf.DUMMYFUNCTION("""COMPUTED_VALUE"""),"General")</f>
        <v>General</v>
      </c>
      <c r="J1856" s="13" t="str">
        <f>IFERROR(__xludf.DUMMYFUNCTION("""COMPUTED_VALUE"""),"Tops")</f>
        <v>Tops</v>
      </c>
      <c r="K1856" s="13" t="str">
        <f>IFERROR(__xludf.DUMMYFUNCTION("""COMPUTED_VALUE"""),"Knits")</f>
        <v>Knits</v>
      </c>
      <c r="L1856" s="13"/>
    </row>
    <row r="1857">
      <c r="A1857" s="13">
        <f>IFERROR(__xludf.DUMMYFUNCTION("""COMPUTED_VALUE"""),1855.0)</f>
        <v>1855</v>
      </c>
      <c r="B1857" s="13">
        <f>IFERROR(__xludf.DUMMYFUNCTION("""COMPUTED_VALUE"""),1080.0)</f>
        <v>1080</v>
      </c>
      <c r="C1857" s="13">
        <f>IFERROR(__xludf.DUMMYFUNCTION("""COMPUTED_VALUE"""),43.0)</f>
        <v>43</v>
      </c>
      <c r="D1857" s="12" t="str">
        <f>IFERROR(__xludf.DUMMYFUNCTION("""COMPUTED_VALUE"""),"Dreamy bohemian maxi")</f>
        <v>Dreamy bohemian maxi</v>
      </c>
      <c r="E1857" s="12" t="str">
        <f>IFERROR(__xludf.DUMMYFUNCTION("""COMPUTED_VALUE"""),"I'd give this dress 6 stars if i could, it's possibly the best dress i've bought at retailer in 12 years of shopping there.  the fit is fantastic with the ruching around the waist adding camouflage  for anyone with a bit of a tummy. the cross back stamps "&amp;"hide a bra effortlessly (even those wide supportive bra straps that larger cupped women need to wear), the mature rial is soft and silky to the touch, the fit is true to size, the pattern is bohemian and elegant -- not hippy dippy at all. i'm 5'6""")</f>
        <v>I'd give this dress 6 stars if i could, it's possibly the best dress i've bought at retailer in 12 years of shopping there.  the fit is fantastic with the ruching around the waist adding camouflage  for anyone with a bit of a tummy. the cross back stamps hide a bra effortlessly (even those wide supportive bra straps that larger cupped women need to wear), the mature rial is soft and silky to the touch, the fit is true to size, the pattern is bohemian and elegant -- not hippy dippy at all. i'm 5'6"</v>
      </c>
      <c r="F1857" s="13">
        <f>IFERROR(__xludf.DUMMYFUNCTION("""COMPUTED_VALUE"""),5.0)</f>
        <v>5</v>
      </c>
      <c r="G1857" s="13">
        <f>IFERROR(__xludf.DUMMYFUNCTION("""COMPUTED_VALUE"""),1.0)</f>
        <v>1</v>
      </c>
      <c r="H1857" s="13">
        <f>IFERROR(__xludf.DUMMYFUNCTION("""COMPUTED_VALUE"""),2.0)</f>
        <v>2</v>
      </c>
      <c r="I1857" s="13" t="str">
        <f>IFERROR(__xludf.DUMMYFUNCTION("""COMPUTED_VALUE"""),"General")</f>
        <v>General</v>
      </c>
      <c r="J1857" s="13" t="str">
        <f>IFERROR(__xludf.DUMMYFUNCTION("""COMPUTED_VALUE"""),"Dresses")</f>
        <v>Dresses</v>
      </c>
      <c r="K1857" s="13" t="str">
        <f>IFERROR(__xludf.DUMMYFUNCTION("""COMPUTED_VALUE"""),"Dresses")</f>
        <v>Dresses</v>
      </c>
      <c r="L1857" s="13"/>
    </row>
    <row r="1858">
      <c r="A1858" s="13">
        <f>IFERROR(__xludf.DUMMYFUNCTION("""COMPUTED_VALUE"""),1856.0)</f>
        <v>1856</v>
      </c>
      <c r="B1858" s="13">
        <f>IFERROR(__xludf.DUMMYFUNCTION("""COMPUTED_VALUE"""),481.0)</f>
        <v>481</v>
      </c>
      <c r="C1858" s="13">
        <f>IFERROR(__xludf.DUMMYFUNCTION("""COMPUTED_VALUE"""),59.0)</f>
        <v>59</v>
      </c>
      <c r="D1858" s="12" t="str">
        <f>IFERROR(__xludf.DUMMYFUNCTION("""COMPUTED_VALUE"""),"Beautiful! ...but not for a long torso")</f>
        <v>Beautiful! ...but not for a long torso</v>
      </c>
      <c r="E1858" s="12" t="str">
        <f>IFERROR(__xludf.DUMMYFUNCTION("""COMPUTED_VALUE"""),"Hahaha! as gorgeous as this piece is, i look absolutely ridiculous in it. i am 5'7'' 115 lbs but have a long torso and so the crotch area is, well, a little unflattering to say the least:) i am really sad because i shy away from shorts due to my year roun"&amp;"d pale skin, but this fabric and color worked really well for me. the length of the shorts is also nice and the back is beautiful! i've never had a romper and i was truly hoping this one would be the one for me. it is all round perfect...if you")</f>
        <v>Hahaha! as gorgeous as this piece is, i look absolutely ridiculous in it. i am 5'7'' 115 lbs but have a long torso and so the crotch area is, well, a little unflattering to say the least:) i am really sad because i shy away from shorts due to my year round pale skin, but this fabric and color worked really well for me. the length of the shorts is also nice and the back is beautiful! i've never had a romper and i was truly hoping this one would be the one for me. it is all round perfect...if you</v>
      </c>
      <c r="F1858" s="13">
        <f>IFERROR(__xludf.DUMMYFUNCTION("""COMPUTED_VALUE"""),4.0)</f>
        <v>4</v>
      </c>
      <c r="G1858" s="13">
        <f>IFERROR(__xludf.DUMMYFUNCTION("""COMPUTED_VALUE"""),0.0)</f>
        <v>0</v>
      </c>
      <c r="H1858" s="13">
        <f>IFERROR(__xludf.DUMMYFUNCTION("""COMPUTED_VALUE"""),1.0)</f>
        <v>1</v>
      </c>
      <c r="I1858" s="13" t="str">
        <f>IFERROR(__xludf.DUMMYFUNCTION("""COMPUTED_VALUE"""),"General Petite")</f>
        <v>General Petite</v>
      </c>
      <c r="J1858" s="13" t="str">
        <f>IFERROR(__xludf.DUMMYFUNCTION("""COMPUTED_VALUE"""),"Bottoms")</f>
        <v>Bottoms</v>
      </c>
      <c r="K1858" s="13" t="str">
        <f>IFERROR(__xludf.DUMMYFUNCTION("""COMPUTED_VALUE"""),"Pants")</f>
        <v>Pants</v>
      </c>
      <c r="L1858" s="13"/>
    </row>
    <row r="1859">
      <c r="A1859" s="13">
        <f>IFERROR(__xludf.DUMMYFUNCTION("""COMPUTED_VALUE"""),1857.0)</f>
        <v>1857</v>
      </c>
      <c r="B1859" s="13">
        <f>IFERROR(__xludf.DUMMYFUNCTION("""COMPUTED_VALUE"""),1094.0)</f>
        <v>1094</v>
      </c>
      <c r="C1859" s="13">
        <f>IFERROR(__xludf.DUMMYFUNCTION("""COMPUTED_VALUE"""),30.0)</f>
        <v>30</v>
      </c>
      <c r="D1859" s="12" t="str">
        <f>IFERROR(__xludf.DUMMYFUNCTION("""COMPUTED_VALUE"""),"Huge!!")</f>
        <v>Huge!!</v>
      </c>
      <c r="E1859" s="12" t="str">
        <f>IFERROR(__xludf.DUMMYFUNCTION("""COMPUTED_VALUE"""),"This dress had beautiful details, and the material was better than i expected; however, it was huge! it completed swallowed me. i am 5'1 about 106 pounds with quite a bit of muscle. i ordered a 00p and it still looked like a sack.")</f>
        <v>This dress had beautiful details, and the material was better than i expected; however, it was huge! it completed swallowed me. i am 5'1 about 106 pounds with quite a bit of muscle. i ordered a 00p and it still looked like a sack.</v>
      </c>
      <c r="F1859" s="13">
        <f>IFERROR(__xludf.DUMMYFUNCTION("""COMPUTED_VALUE"""),2.0)</f>
        <v>2</v>
      </c>
      <c r="G1859" s="13">
        <f>IFERROR(__xludf.DUMMYFUNCTION("""COMPUTED_VALUE"""),0.0)</f>
        <v>0</v>
      </c>
      <c r="H1859" s="13">
        <f>IFERROR(__xludf.DUMMYFUNCTION("""COMPUTED_VALUE"""),0.0)</f>
        <v>0</v>
      </c>
      <c r="I1859" s="13" t="str">
        <f>IFERROR(__xludf.DUMMYFUNCTION("""COMPUTED_VALUE"""),"General")</f>
        <v>General</v>
      </c>
      <c r="J1859" s="13" t="str">
        <f>IFERROR(__xludf.DUMMYFUNCTION("""COMPUTED_VALUE"""),"Dresses")</f>
        <v>Dresses</v>
      </c>
      <c r="K1859" s="13" t="str">
        <f>IFERROR(__xludf.DUMMYFUNCTION("""COMPUTED_VALUE"""),"Dresses")</f>
        <v>Dresses</v>
      </c>
      <c r="L1859" s="13"/>
    </row>
    <row r="1860">
      <c r="A1860" s="13">
        <f>IFERROR(__xludf.DUMMYFUNCTION("""COMPUTED_VALUE"""),1858.0)</f>
        <v>1858</v>
      </c>
      <c r="B1860" s="13">
        <f>IFERROR(__xludf.DUMMYFUNCTION("""COMPUTED_VALUE"""),1094.0)</f>
        <v>1094</v>
      </c>
      <c r="C1860" s="13">
        <f>IFERROR(__xludf.DUMMYFUNCTION("""COMPUTED_VALUE"""),63.0)</f>
        <v>63</v>
      </c>
      <c r="D1860" s="12" t="str">
        <f>IFERROR(__xludf.DUMMYFUNCTION("""COMPUTED_VALUE"""),"Tassels :(")</f>
        <v>Tassels :(</v>
      </c>
      <c r="E1860" s="12" t="str">
        <f>IFERROR(__xludf.DUMMYFUNCTION("""COMPUTED_VALUE"""),"I wanted to love this, as it seemed like a fun and carefree take on a little black dress.
but how did i not see that this has tassels? but they're there, a whole row of them - look hear the bottom of the skirt part, between the colorful stripes and the l"&amp;"acy area. that's a deal breaker for me - i really can't stand the way these look, and they're not the sort of thing you can easily remove.
the fabric, though nice quality, has no stretch at all. i wasn't expecting stretch, but i'd just say")</f>
        <v>I wanted to love this, as it seemed like a fun and carefree take on a little black dress.
but how did i not see that this has tassels? but they're there, a whole row of them - look hear the bottom of the skirt part, between the colorful stripes and the lacy area. that's a deal breaker for me - i really can't stand the way these look, and they're not the sort of thing you can easily remove.
the fabric, though nice quality, has no stretch at all. i wasn't expecting stretch, but i'd just say</v>
      </c>
      <c r="F1860" s="13">
        <f>IFERROR(__xludf.DUMMYFUNCTION("""COMPUTED_VALUE"""),3.0)</f>
        <v>3</v>
      </c>
      <c r="G1860" s="13">
        <f>IFERROR(__xludf.DUMMYFUNCTION("""COMPUTED_VALUE"""),0.0)</f>
        <v>0</v>
      </c>
      <c r="H1860" s="13">
        <f>IFERROR(__xludf.DUMMYFUNCTION("""COMPUTED_VALUE"""),1.0)</f>
        <v>1</v>
      </c>
      <c r="I1860" s="13" t="str">
        <f>IFERROR(__xludf.DUMMYFUNCTION("""COMPUTED_VALUE"""),"General")</f>
        <v>General</v>
      </c>
      <c r="J1860" s="13" t="str">
        <f>IFERROR(__xludf.DUMMYFUNCTION("""COMPUTED_VALUE"""),"Dresses")</f>
        <v>Dresses</v>
      </c>
      <c r="K1860" s="13" t="str">
        <f>IFERROR(__xludf.DUMMYFUNCTION("""COMPUTED_VALUE"""),"Dresses")</f>
        <v>Dresses</v>
      </c>
      <c r="L1860" s="13"/>
    </row>
    <row r="1861">
      <c r="A1861" s="13">
        <f>IFERROR(__xludf.DUMMYFUNCTION("""COMPUTED_VALUE"""),1859.0)</f>
        <v>1859</v>
      </c>
      <c r="B1861" s="13">
        <f>IFERROR(__xludf.DUMMYFUNCTION("""COMPUTED_VALUE"""),857.0)</f>
        <v>857</v>
      </c>
      <c r="C1861" s="13">
        <f>IFERROR(__xludf.DUMMYFUNCTION("""COMPUTED_VALUE"""),34.0)</f>
        <v>34</v>
      </c>
      <c r="D1861" s="12" t="str">
        <f>IFERROR(__xludf.DUMMYFUNCTION("""COMPUTED_VALUE"""),"Great casual top")</f>
        <v>Great casual top</v>
      </c>
      <c r="E1861" s="12" t="str">
        <f>IFERROR(__xludf.DUMMYFUNCTION("""COMPUTED_VALUE"""),"This might be one of my new go to tops. looks cute with jeans and a sweater or alone. the arms are snug but not uncomfortable and i think it adds to the shirt.")</f>
        <v>This might be one of my new go to tops. looks cute with jeans and a sweater or alone. the arms are snug but not uncomfortable and i think it adds to the shirt.</v>
      </c>
      <c r="F1861" s="13">
        <f>IFERROR(__xludf.DUMMYFUNCTION("""COMPUTED_VALUE"""),4.0)</f>
        <v>4</v>
      </c>
      <c r="G1861" s="13">
        <f>IFERROR(__xludf.DUMMYFUNCTION("""COMPUTED_VALUE"""),1.0)</f>
        <v>1</v>
      </c>
      <c r="H1861" s="13">
        <f>IFERROR(__xludf.DUMMYFUNCTION("""COMPUTED_VALUE"""),0.0)</f>
        <v>0</v>
      </c>
      <c r="I1861" s="13" t="str">
        <f>IFERROR(__xludf.DUMMYFUNCTION("""COMPUTED_VALUE"""),"General")</f>
        <v>General</v>
      </c>
      <c r="J1861" s="13" t="str">
        <f>IFERROR(__xludf.DUMMYFUNCTION("""COMPUTED_VALUE"""),"Tops")</f>
        <v>Tops</v>
      </c>
      <c r="K1861" s="13" t="str">
        <f>IFERROR(__xludf.DUMMYFUNCTION("""COMPUTED_VALUE"""),"Knits")</f>
        <v>Knits</v>
      </c>
      <c r="L1861" s="13"/>
    </row>
    <row r="1862">
      <c r="A1862" s="13">
        <f>IFERROR(__xludf.DUMMYFUNCTION("""COMPUTED_VALUE"""),1860.0)</f>
        <v>1860</v>
      </c>
      <c r="B1862" s="13">
        <f>IFERROR(__xludf.DUMMYFUNCTION("""COMPUTED_VALUE"""),1094.0)</f>
        <v>1094</v>
      </c>
      <c r="C1862" s="13">
        <f>IFERROR(__xludf.DUMMYFUNCTION("""COMPUTED_VALUE"""),58.0)</f>
        <v>58</v>
      </c>
      <c r="D1862" s="12" t="str">
        <f>IFERROR(__xludf.DUMMYFUNCTION("""COMPUTED_VALUE"""),"Great autumn dress")</f>
        <v>Great autumn dress</v>
      </c>
      <c r="E1862" s="12" t="str">
        <f>IFERROR(__xludf.DUMMYFUNCTION("""COMPUTED_VALUE"""),"I needed a dress to go to a reunion party(not hs) and this fit the bill perfectly. it fits perfectly and its short but not too short. it is a great work dress or change your accessories and its  perfect for out to dinner.")</f>
        <v>I needed a dress to go to a reunion party(not hs) and this fit the bill perfectly. it fits perfectly and its short but not too short. it is a great work dress or change your accessories and its  perfect for out to dinner.</v>
      </c>
      <c r="F1862" s="13">
        <f>IFERROR(__xludf.DUMMYFUNCTION("""COMPUTED_VALUE"""),5.0)</f>
        <v>5</v>
      </c>
      <c r="G1862" s="13">
        <f>IFERROR(__xludf.DUMMYFUNCTION("""COMPUTED_VALUE"""),1.0)</f>
        <v>1</v>
      </c>
      <c r="H1862" s="13">
        <f>IFERROR(__xludf.DUMMYFUNCTION("""COMPUTED_VALUE"""),0.0)</f>
        <v>0</v>
      </c>
      <c r="I1862" s="13" t="str">
        <f>IFERROR(__xludf.DUMMYFUNCTION("""COMPUTED_VALUE"""),"General")</f>
        <v>General</v>
      </c>
      <c r="J1862" s="13" t="str">
        <f>IFERROR(__xludf.DUMMYFUNCTION("""COMPUTED_VALUE"""),"Dresses")</f>
        <v>Dresses</v>
      </c>
      <c r="K1862" s="13" t="str">
        <f>IFERROR(__xludf.DUMMYFUNCTION("""COMPUTED_VALUE"""),"Dresses")</f>
        <v>Dresses</v>
      </c>
      <c r="L1862" s="13"/>
    </row>
    <row r="1863">
      <c r="A1863" s="13">
        <f>IFERROR(__xludf.DUMMYFUNCTION("""COMPUTED_VALUE"""),1861.0)</f>
        <v>1861</v>
      </c>
      <c r="B1863" s="13">
        <f>IFERROR(__xludf.DUMMYFUNCTION("""COMPUTED_VALUE"""),1026.0)</f>
        <v>1026</v>
      </c>
      <c r="C1863" s="13">
        <f>IFERROR(__xludf.DUMMYFUNCTION("""COMPUTED_VALUE"""),35.0)</f>
        <v>35</v>
      </c>
      <c r="D1863" s="12" t="str">
        <f>IFERROR(__xludf.DUMMYFUNCTION("""COMPUTED_VALUE"""),"Great legging cord!!")</f>
        <v>Great legging cord!!</v>
      </c>
      <c r="E1863" s="12" t="str">
        <f>IFERROR(__xludf.DUMMYFUNCTION("""COMPUTED_VALUE"""),"These are really great legging style cords. you can wear them without worrying about covering your bum in my opinion! they are not too bulky at all which you might expect in a corduroy pant. they are a tad loose in the waist area unfortunately but fit me "&amp;"well in the thighs, so i don't think sizing down would work for me. i bought the bronze, and it's a very versatile color! darker than the picture, but still a good color. i feel it will be perfect for fall and spring especially. i'll wear it all")</f>
        <v>These are really great legging style cords. you can wear them without worrying about covering your bum in my opinion! they are not too bulky at all which you might expect in a corduroy pant. they are a tad loose in the waist area unfortunately but fit me well in the thighs, so i don't think sizing down would work for me. i bought the bronze, and it's a very versatile color! darker than the picture, but still a good color. i feel it will be perfect for fall and spring especially. i'll wear it all</v>
      </c>
      <c r="F1863" s="13">
        <f>IFERROR(__xludf.DUMMYFUNCTION("""COMPUTED_VALUE"""),4.0)</f>
        <v>4</v>
      </c>
      <c r="G1863" s="13">
        <f>IFERROR(__xludf.DUMMYFUNCTION("""COMPUTED_VALUE"""),1.0)</f>
        <v>1</v>
      </c>
      <c r="H1863" s="13">
        <f>IFERROR(__xludf.DUMMYFUNCTION("""COMPUTED_VALUE"""),0.0)</f>
        <v>0</v>
      </c>
      <c r="I1863" s="13" t="str">
        <f>IFERROR(__xludf.DUMMYFUNCTION("""COMPUTED_VALUE"""),"General Petite")</f>
        <v>General Petite</v>
      </c>
      <c r="J1863" s="13" t="str">
        <f>IFERROR(__xludf.DUMMYFUNCTION("""COMPUTED_VALUE"""),"Bottoms")</f>
        <v>Bottoms</v>
      </c>
      <c r="K1863" s="13" t="str">
        <f>IFERROR(__xludf.DUMMYFUNCTION("""COMPUTED_VALUE"""),"Jeans")</f>
        <v>Jeans</v>
      </c>
      <c r="L1863" s="13"/>
    </row>
    <row r="1864">
      <c r="A1864" s="13">
        <f>IFERROR(__xludf.DUMMYFUNCTION("""COMPUTED_VALUE"""),1862.0)</f>
        <v>1862</v>
      </c>
      <c r="B1864" s="13">
        <f>IFERROR(__xludf.DUMMYFUNCTION("""COMPUTED_VALUE"""),1026.0)</f>
        <v>1026</v>
      </c>
      <c r="C1864" s="13">
        <f>IFERROR(__xludf.DUMMYFUNCTION("""COMPUTED_VALUE"""),34.0)</f>
        <v>34</v>
      </c>
      <c r="D1864" s="12" t="str">
        <f>IFERROR(__xludf.DUMMYFUNCTION("""COMPUTED_VALUE"""),"Nice fitting cords-bronze")</f>
        <v>Nice fitting cords-bronze</v>
      </c>
      <c r="E1864" s="12" t="str">
        <f>IFERROR(__xludf.DUMMYFUNCTION("""COMPUTED_VALUE"""),"These cords are soft, comfy and my normal size 32 for tts. the length was fine for my 5'9 height. i really like the bronze color, it is almost a yellow.")</f>
        <v>These cords are soft, comfy and my normal size 32 for tts. the length was fine for my 5'9 height. i really like the bronze color, it is almost a yellow.</v>
      </c>
      <c r="F1864" s="13">
        <f>IFERROR(__xludf.DUMMYFUNCTION("""COMPUTED_VALUE"""),5.0)</f>
        <v>5</v>
      </c>
      <c r="G1864" s="13">
        <f>IFERROR(__xludf.DUMMYFUNCTION("""COMPUTED_VALUE"""),1.0)</f>
        <v>1</v>
      </c>
      <c r="H1864" s="13">
        <f>IFERROR(__xludf.DUMMYFUNCTION("""COMPUTED_VALUE"""),0.0)</f>
        <v>0</v>
      </c>
      <c r="I1864" s="13" t="str">
        <f>IFERROR(__xludf.DUMMYFUNCTION("""COMPUTED_VALUE"""),"General Petite")</f>
        <v>General Petite</v>
      </c>
      <c r="J1864" s="13" t="str">
        <f>IFERROR(__xludf.DUMMYFUNCTION("""COMPUTED_VALUE"""),"Bottoms")</f>
        <v>Bottoms</v>
      </c>
      <c r="K1864" s="13" t="str">
        <f>IFERROR(__xludf.DUMMYFUNCTION("""COMPUTED_VALUE"""),"Jeans")</f>
        <v>Jeans</v>
      </c>
      <c r="L1864" s="13"/>
    </row>
    <row r="1865">
      <c r="A1865" s="13">
        <f>IFERROR(__xludf.DUMMYFUNCTION("""COMPUTED_VALUE"""),1863.0)</f>
        <v>1863</v>
      </c>
      <c r="B1865" s="13">
        <f>IFERROR(__xludf.DUMMYFUNCTION("""COMPUTED_VALUE"""),903.0)</f>
        <v>903</v>
      </c>
      <c r="C1865" s="13">
        <f>IFERROR(__xludf.DUMMYFUNCTION("""COMPUTED_VALUE"""),36.0)</f>
        <v>36</v>
      </c>
      <c r="D1865" s="12" t="str">
        <f>IFERROR(__xludf.DUMMYFUNCTION("""COMPUTED_VALUE"""),"Beautiful design")</f>
        <v>Beautiful design</v>
      </c>
      <c r="E1865" s="12" t="str">
        <f>IFERROR(__xludf.DUMMYFUNCTION("""COMPUTED_VALUE"""),"I really like this pullover. the design is beautiful, and i love the asymmetrical hem. my own complaint is that the fit is a bit boxy on me because i'm large-chested. it's more drapey than tailored. but it's not overwhelming and doesn't cancel out how muc"&amp;"h i like it overall.")</f>
        <v>I really like this pullover. the design is beautiful, and i love the asymmetrical hem. my own complaint is that the fit is a bit boxy on me because i'm large-chested. it's more drapey than tailored. but it's not overwhelming and doesn't cancel out how much i like it overall.</v>
      </c>
      <c r="F1865" s="13">
        <f>IFERROR(__xludf.DUMMYFUNCTION("""COMPUTED_VALUE"""),4.0)</f>
        <v>4</v>
      </c>
      <c r="G1865" s="13">
        <f>IFERROR(__xludf.DUMMYFUNCTION("""COMPUTED_VALUE"""),1.0)</f>
        <v>1</v>
      </c>
      <c r="H1865" s="13">
        <f>IFERROR(__xludf.DUMMYFUNCTION("""COMPUTED_VALUE"""),0.0)</f>
        <v>0</v>
      </c>
      <c r="I1865" s="13" t="str">
        <f>IFERROR(__xludf.DUMMYFUNCTION("""COMPUTED_VALUE"""),"General")</f>
        <v>General</v>
      </c>
      <c r="J1865" s="13" t="str">
        <f>IFERROR(__xludf.DUMMYFUNCTION("""COMPUTED_VALUE"""),"Tops")</f>
        <v>Tops</v>
      </c>
      <c r="K1865" s="13" t="str">
        <f>IFERROR(__xludf.DUMMYFUNCTION("""COMPUTED_VALUE"""),"Fine gauge")</f>
        <v>Fine gauge</v>
      </c>
      <c r="L1865" s="13"/>
    </row>
    <row r="1866">
      <c r="A1866" s="13">
        <f>IFERROR(__xludf.DUMMYFUNCTION("""COMPUTED_VALUE"""),1864.0)</f>
        <v>1864</v>
      </c>
      <c r="B1866" s="13">
        <f>IFERROR(__xludf.DUMMYFUNCTION("""COMPUTED_VALUE"""),1054.0)</f>
        <v>1054</v>
      </c>
      <c r="C1866" s="13">
        <f>IFERROR(__xludf.DUMMYFUNCTION("""COMPUTED_VALUE"""),35.0)</f>
        <v>35</v>
      </c>
      <c r="D1866" s="12" t="str">
        <f>IFERROR(__xludf.DUMMYFUNCTION("""COMPUTED_VALUE"""),"Beautiful fabric")</f>
        <v>Beautiful fabric</v>
      </c>
      <c r="E1866" s="12" t="str">
        <f>IFERROR(__xludf.DUMMYFUNCTION("""COMPUTED_VALUE"""),"The flow and feel of the material is really nice, however, i think it runs large. i ordered a small, and i have exchanged it for an xs, which i am hoping fits a bit better. i wanted the pants to be a bit more fitted around the hips and flow from there.")</f>
        <v>The flow and feel of the material is really nice, however, i think it runs large. i ordered a small, and i have exchanged it for an xs, which i am hoping fits a bit better. i wanted the pants to be a bit more fitted around the hips and flow from there.</v>
      </c>
      <c r="F1866" s="13">
        <f>IFERROR(__xludf.DUMMYFUNCTION("""COMPUTED_VALUE"""),4.0)</f>
        <v>4</v>
      </c>
      <c r="G1866" s="13">
        <f>IFERROR(__xludf.DUMMYFUNCTION("""COMPUTED_VALUE"""),1.0)</f>
        <v>1</v>
      </c>
      <c r="H1866" s="13">
        <f>IFERROR(__xludf.DUMMYFUNCTION("""COMPUTED_VALUE"""),0.0)</f>
        <v>0</v>
      </c>
      <c r="I1866" s="13" t="str">
        <f>IFERROR(__xludf.DUMMYFUNCTION("""COMPUTED_VALUE"""),"General")</f>
        <v>General</v>
      </c>
      <c r="J1866" s="13" t="str">
        <f>IFERROR(__xludf.DUMMYFUNCTION("""COMPUTED_VALUE"""),"Bottoms")</f>
        <v>Bottoms</v>
      </c>
      <c r="K1866" s="13" t="str">
        <f>IFERROR(__xludf.DUMMYFUNCTION("""COMPUTED_VALUE"""),"Pants")</f>
        <v>Pants</v>
      </c>
      <c r="L1866" s="13"/>
    </row>
    <row r="1867">
      <c r="A1867" s="13">
        <f>IFERROR(__xludf.DUMMYFUNCTION("""COMPUTED_VALUE"""),1865.0)</f>
        <v>1865</v>
      </c>
      <c r="B1867" s="13">
        <f>IFERROR(__xludf.DUMMYFUNCTION("""COMPUTED_VALUE"""),1094.0)</f>
        <v>1094</v>
      </c>
      <c r="C1867" s="13">
        <f>IFERROR(__xludf.DUMMYFUNCTION("""COMPUTED_VALUE"""),39.0)</f>
        <v>39</v>
      </c>
      <c r="D1867" s="12" t="str">
        <f>IFERROR(__xludf.DUMMYFUNCTION("""COMPUTED_VALUE"""),"Bohoranna rhapsody")</f>
        <v>Bohoranna rhapsody</v>
      </c>
      <c r="E1867" s="12" t="str">
        <f>IFERROR(__xludf.DUMMYFUNCTION("""COMPUTED_VALUE"""),"This cute dress is swingy and chock full of fun little details.  love the embroidery, colors, crochet lace, tassels, wide sleeves.  don't like that it's all polyester and some embroidery is unraveling so i don't know what to do about that.  size down if y"&amp;"our petite or slender.  i'm a med-large (135# 36c 38-27-35) and medium fit great at the bodice/shoulders.  hem hits my knees in regular size.")</f>
        <v>This cute dress is swingy and chock full of fun little details.  love the embroidery, colors, crochet lace, tassels, wide sleeves.  don't like that it's all polyester and some embroidery is unraveling so i don't know what to do about that.  size down if your petite or slender.  i'm a med-large (135# 36c 38-27-35) and medium fit great at the bodice/shoulders.  hem hits my knees in regular size.</v>
      </c>
      <c r="F1867" s="13">
        <f>IFERROR(__xludf.DUMMYFUNCTION("""COMPUTED_VALUE"""),4.0)</f>
        <v>4</v>
      </c>
      <c r="G1867" s="13">
        <f>IFERROR(__xludf.DUMMYFUNCTION("""COMPUTED_VALUE"""),1.0)</f>
        <v>1</v>
      </c>
      <c r="H1867" s="13">
        <f>IFERROR(__xludf.DUMMYFUNCTION("""COMPUTED_VALUE"""),0.0)</f>
        <v>0</v>
      </c>
      <c r="I1867" s="13" t="str">
        <f>IFERROR(__xludf.DUMMYFUNCTION("""COMPUTED_VALUE"""),"General")</f>
        <v>General</v>
      </c>
      <c r="J1867" s="13" t="str">
        <f>IFERROR(__xludf.DUMMYFUNCTION("""COMPUTED_VALUE"""),"Dresses")</f>
        <v>Dresses</v>
      </c>
      <c r="K1867" s="13" t="str">
        <f>IFERROR(__xludf.DUMMYFUNCTION("""COMPUTED_VALUE"""),"Dresses")</f>
        <v>Dresses</v>
      </c>
      <c r="L1867" s="13"/>
    </row>
    <row r="1868">
      <c r="A1868" s="13">
        <f>IFERROR(__xludf.DUMMYFUNCTION("""COMPUTED_VALUE"""),1866.0)</f>
        <v>1866</v>
      </c>
      <c r="B1868" s="13">
        <f>IFERROR(__xludf.DUMMYFUNCTION("""COMPUTED_VALUE"""),1080.0)</f>
        <v>1080</v>
      </c>
      <c r="C1868" s="13">
        <f>IFERROR(__xludf.DUMMYFUNCTION("""COMPUTED_VALUE"""),39.0)</f>
        <v>39</v>
      </c>
      <c r="D1868" s="12" t="str">
        <f>IFERROR(__xludf.DUMMYFUNCTION("""COMPUTED_VALUE"""),"Another tracy reese winner")</f>
        <v>Another tracy reese winner</v>
      </c>
      <c r="E1868" s="12" t="str">
        <f>IFERROR(__xludf.DUMMYFUNCTION("""COMPUTED_VALUE"""),"I can't get enough of maxi dresses and i can't resist tracy reese. this stunning dress caught my eye immediately, but i was worried that the back cut out at the waist would make my backside look flatter. i'm so glad i took the plunge to buy before it sold"&amp;" out. this dress fits perfectly, it's flattering to my figure, the print is beautiful, the fabric and drape do not cling to my figure flaws and i'm just so happy! for sizing reference here are my stats: 5'3"" 140# 36dd and i purchased the medium")</f>
        <v>I can't get enough of maxi dresses and i can't resist tracy reese. this stunning dress caught my eye immediately, but i was worried that the back cut out at the waist would make my backside look flatter. i'm so glad i took the plunge to buy before it sold out. this dress fits perfectly, it's flattering to my figure, the print is beautiful, the fabric and drape do not cling to my figure flaws and i'm just so happy! for sizing reference here are my stats: 5'3" 140# 36dd and i purchased the medium</v>
      </c>
      <c r="F1868" s="13">
        <f>IFERROR(__xludf.DUMMYFUNCTION("""COMPUTED_VALUE"""),5.0)</f>
        <v>5</v>
      </c>
      <c r="G1868" s="13">
        <f>IFERROR(__xludf.DUMMYFUNCTION("""COMPUTED_VALUE"""),1.0)</f>
        <v>1</v>
      </c>
      <c r="H1868" s="13">
        <f>IFERROR(__xludf.DUMMYFUNCTION("""COMPUTED_VALUE"""),6.0)</f>
        <v>6</v>
      </c>
      <c r="I1868" s="13" t="str">
        <f>IFERROR(__xludf.DUMMYFUNCTION("""COMPUTED_VALUE"""),"General")</f>
        <v>General</v>
      </c>
      <c r="J1868" s="13" t="str">
        <f>IFERROR(__xludf.DUMMYFUNCTION("""COMPUTED_VALUE"""),"Dresses")</f>
        <v>Dresses</v>
      </c>
      <c r="K1868" s="13" t="str">
        <f>IFERROR(__xludf.DUMMYFUNCTION("""COMPUTED_VALUE"""),"Dresses")</f>
        <v>Dresses</v>
      </c>
      <c r="L1868" s="13"/>
    </row>
    <row r="1869">
      <c r="A1869" s="13">
        <f>IFERROR(__xludf.DUMMYFUNCTION("""COMPUTED_VALUE"""),1867.0)</f>
        <v>1867</v>
      </c>
      <c r="B1869" s="13">
        <f>IFERROR(__xludf.DUMMYFUNCTION("""COMPUTED_VALUE"""),1080.0)</f>
        <v>1080</v>
      </c>
      <c r="C1869" s="13">
        <f>IFERROR(__xludf.DUMMYFUNCTION("""COMPUTED_VALUE"""),33.0)</f>
        <v>33</v>
      </c>
      <c r="D1869" s="12" t="str">
        <f>IFERROR(__xludf.DUMMYFUNCTION("""COMPUTED_VALUE"""),"Great dress")</f>
        <v>Great dress</v>
      </c>
      <c r="E1869" s="12" t="str">
        <f>IFERROR(__xludf.DUMMYFUNCTION("""COMPUTED_VALUE"""),"True to size. length is perfect for 5'8""-5'9"". soft fabric. not too low cut in the front, but not all covered up either. ruching is subtle and does not add bulk. skirt portion skims curves, neither clinging to them nor poufing out from them. strap desig"&amp;"n is perfect, covers bra while revealing a touch of skin. comfortable and effortless to wear, very very pretty.")</f>
        <v>True to size. length is perfect for 5'8"-5'9". soft fabric. not too low cut in the front, but not all covered up either. ruching is subtle and does not add bulk. skirt portion skims curves, neither clinging to them nor poufing out from them. strap design is perfect, covers bra while revealing a touch of skin. comfortable and effortless to wear, very very pretty.</v>
      </c>
      <c r="F1869" s="13">
        <f>IFERROR(__xludf.DUMMYFUNCTION("""COMPUTED_VALUE"""),5.0)</f>
        <v>5</v>
      </c>
      <c r="G1869" s="13">
        <f>IFERROR(__xludf.DUMMYFUNCTION("""COMPUTED_VALUE"""),1.0)</f>
        <v>1</v>
      </c>
      <c r="H1869" s="13">
        <f>IFERROR(__xludf.DUMMYFUNCTION("""COMPUTED_VALUE"""),2.0)</f>
        <v>2</v>
      </c>
      <c r="I1869" s="13" t="str">
        <f>IFERROR(__xludf.DUMMYFUNCTION("""COMPUTED_VALUE"""),"General")</f>
        <v>General</v>
      </c>
      <c r="J1869" s="13" t="str">
        <f>IFERROR(__xludf.DUMMYFUNCTION("""COMPUTED_VALUE"""),"Dresses")</f>
        <v>Dresses</v>
      </c>
      <c r="K1869" s="13" t="str">
        <f>IFERROR(__xludf.DUMMYFUNCTION("""COMPUTED_VALUE"""),"Dresses")</f>
        <v>Dresses</v>
      </c>
      <c r="L1869" s="13"/>
    </row>
    <row r="1870">
      <c r="A1870" s="13">
        <f>IFERROR(__xludf.DUMMYFUNCTION("""COMPUTED_VALUE"""),1868.0)</f>
        <v>1868</v>
      </c>
      <c r="B1870" s="13">
        <f>IFERROR(__xludf.DUMMYFUNCTION("""COMPUTED_VALUE"""),1094.0)</f>
        <v>1094</v>
      </c>
      <c r="C1870" s="13">
        <f>IFERROR(__xludf.DUMMYFUNCTION("""COMPUTED_VALUE"""),50.0)</f>
        <v>50</v>
      </c>
      <c r="D1870" s="12" t="str">
        <f>IFERROR(__xludf.DUMMYFUNCTION("""COMPUTED_VALUE"""),"Beautiful dress")</f>
        <v>Beautiful dress</v>
      </c>
      <c r="E1870" s="12" t="str">
        <f>IFERROR(__xludf.DUMMYFUNCTION("""COMPUTED_VALUE"""),"This dress is so pretty. i loved the details on it. the material was ok. would have prefered a softer material so the bottom part of the dress would have been more flattering. unfortunately, it did not fit me right. i'm 5-2"",34c, 28, 37 and the 4p fit ok"&amp;". it hit just above my knees so the length was fine. what i did not like was that it was a little too loose around my waist making me look pregnant so unfortunately i had to send it back. i'm so sad cause this is a really pretty dress. you can dr")</f>
        <v>This dress is so pretty. i loved the details on it. the material was ok. would have prefered a softer material so the bottom part of the dress would have been more flattering. unfortunately, it did not fit me right. i'm 5-2",34c, 28, 37 and the 4p fit ok. it hit just above my knees so the length was fine. what i did not like was that it was a little too loose around my waist making me look pregnant so unfortunately i had to send it back. i'm so sad cause this is a really pretty dress. you can dr</v>
      </c>
      <c r="F1870" s="13">
        <f>IFERROR(__xludf.DUMMYFUNCTION("""COMPUTED_VALUE"""),5.0)</f>
        <v>5</v>
      </c>
      <c r="G1870" s="13">
        <f>IFERROR(__xludf.DUMMYFUNCTION("""COMPUTED_VALUE"""),1.0)</f>
        <v>1</v>
      </c>
      <c r="H1870" s="13">
        <f>IFERROR(__xludf.DUMMYFUNCTION("""COMPUTED_VALUE"""),0.0)</f>
        <v>0</v>
      </c>
      <c r="I1870" s="13" t="str">
        <f>IFERROR(__xludf.DUMMYFUNCTION("""COMPUTED_VALUE"""),"General")</f>
        <v>General</v>
      </c>
      <c r="J1870" s="13" t="str">
        <f>IFERROR(__xludf.DUMMYFUNCTION("""COMPUTED_VALUE"""),"Dresses")</f>
        <v>Dresses</v>
      </c>
      <c r="K1870" s="13" t="str">
        <f>IFERROR(__xludf.DUMMYFUNCTION("""COMPUTED_VALUE"""),"Dresses")</f>
        <v>Dresses</v>
      </c>
      <c r="L1870" s="13"/>
    </row>
    <row r="1871">
      <c r="A1871" s="13">
        <f>IFERROR(__xludf.DUMMYFUNCTION("""COMPUTED_VALUE"""),1869.0)</f>
        <v>1869</v>
      </c>
      <c r="B1871" s="13">
        <f>IFERROR(__xludf.DUMMYFUNCTION("""COMPUTED_VALUE"""),857.0)</f>
        <v>857</v>
      </c>
      <c r="C1871" s="13">
        <f>IFERROR(__xludf.DUMMYFUNCTION("""COMPUTED_VALUE"""),32.0)</f>
        <v>32</v>
      </c>
      <c r="D1871" s="12" t="str">
        <f>IFERROR(__xludf.DUMMYFUNCTION("""COMPUTED_VALUE"""),"Cute but a little maternity looking")</f>
        <v>Cute but a little maternity looking</v>
      </c>
      <c r="E1871" s="12" t="str">
        <f>IFERROR(__xludf.DUMMYFUNCTION("""COMPUTED_VALUE"""),"I'm keeping this top bc it was on sale but it does look a little maternity! i wore with super skinny white jeans and 3"" casual heel. i'm short so i needed a little more height to slim me but if your tall and and slender this might work better for you?")</f>
        <v>I'm keeping this top bc it was on sale but it does look a little maternity! i wore with super skinny white jeans and 3" casual heel. i'm short so i needed a little more height to slim me but if your tall and and slender this might work better for you?</v>
      </c>
      <c r="F1871" s="13">
        <f>IFERROR(__xludf.DUMMYFUNCTION("""COMPUTED_VALUE"""),3.0)</f>
        <v>3</v>
      </c>
      <c r="G1871" s="13">
        <f>IFERROR(__xludf.DUMMYFUNCTION("""COMPUTED_VALUE"""),1.0)</f>
        <v>1</v>
      </c>
      <c r="H1871" s="13">
        <f>IFERROR(__xludf.DUMMYFUNCTION("""COMPUTED_VALUE"""),0.0)</f>
        <v>0</v>
      </c>
      <c r="I1871" s="13" t="str">
        <f>IFERROR(__xludf.DUMMYFUNCTION("""COMPUTED_VALUE"""),"General")</f>
        <v>General</v>
      </c>
      <c r="J1871" s="13" t="str">
        <f>IFERROR(__xludf.DUMMYFUNCTION("""COMPUTED_VALUE"""),"Tops")</f>
        <v>Tops</v>
      </c>
      <c r="K1871" s="13" t="str">
        <f>IFERROR(__xludf.DUMMYFUNCTION("""COMPUTED_VALUE"""),"Knits")</f>
        <v>Knits</v>
      </c>
      <c r="L1871" s="13"/>
    </row>
    <row r="1872">
      <c r="A1872" s="13">
        <f>IFERROR(__xludf.DUMMYFUNCTION("""COMPUTED_VALUE"""),1870.0)</f>
        <v>1870</v>
      </c>
      <c r="B1872" s="13">
        <f>IFERROR(__xludf.DUMMYFUNCTION("""COMPUTED_VALUE"""),1080.0)</f>
        <v>1080</v>
      </c>
      <c r="C1872" s="13">
        <f>IFERROR(__xludf.DUMMYFUNCTION("""COMPUTED_VALUE"""),33.0)</f>
        <v>33</v>
      </c>
      <c r="D1872" s="12" t="str">
        <f>IFERROR(__xludf.DUMMYFUNCTION("""COMPUTED_VALUE"""),"Gorgeous!")</f>
        <v>Gorgeous!</v>
      </c>
      <c r="E1872" s="12" t="str">
        <f>IFERROR(__xludf.DUMMYFUNCTION("""COMPUTED_VALUE"""),"I feel like an indian princess in this dress! it isn't very forgiving, make sure you don't mind showing some skin - but there's some subtle rouching right at the spot where most of us wish we could hide at all times. great colors; boyfriend loves it.")</f>
        <v>I feel like an indian princess in this dress! it isn't very forgiving, make sure you don't mind showing some skin - but there's some subtle rouching right at the spot where most of us wish we could hide at all times. great colors; boyfriend loves it.</v>
      </c>
      <c r="F1872" s="13">
        <f>IFERROR(__xludf.DUMMYFUNCTION("""COMPUTED_VALUE"""),5.0)</f>
        <v>5</v>
      </c>
      <c r="G1872" s="13">
        <f>IFERROR(__xludf.DUMMYFUNCTION("""COMPUTED_VALUE"""),1.0)</f>
        <v>1</v>
      </c>
      <c r="H1872" s="13">
        <f>IFERROR(__xludf.DUMMYFUNCTION("""COMPUTED_VALUE"""),0.0)</f>
        <v>0</v>
      </c>
      <c r="I1872" s="13" t="str">
        <f>IFERROR(__xludf.DUMMYFUNCTION("""COMPUTED_VALUE"""),"General")</f>
        <v>General</v>
      </c>
      <c r="J1872" s="13" t="str">
        <f>IFERROR(__xludf.DUMMYFUNCTION("""COMPUTED_VALUE"""),"Dresses")</f>
        <v>Dresses</v>
      </c>
      <c r="K1872" s="13" t="str">
        <f>IFERROR(__xludf.DUMMYFUNCTION("""COMPUTED_VALUE"""),"Dresses")</f>
        <v>Dresses</v>
      </c>
      <c r="L1872" s="13"/>
    </row>
    <row r="1873">
      <c r="A1873" s="13">
        <f>IFERROR(__xludf.DUMMYFUNCTION("""COMPUTED_VALUE"""),1871.0)</f>
        <v>1871</v>
      </c>
      <c r="B1873" s="13">
        <f>IFERROR(__xludf.DUMMYFUNCTION("""COMPUTED_VALUE"""),1094.0)</f>
        <v>1094</v>
      </c>
      <c r="C1873" s="13">
        <f>IFERROR(__xludf.DUMMYFUNCTION("""COMPUTED_VALUE"""),39.0)</f>
        <v>39</v>
      </c>
      <c r="D1873" s="12" t="str">
        <f>IFERROR(__xludf.DUMMYFUNCTION("""COMPUTED_VALUE"""),"Exquisite")</f>
        <v>Exquisite</v>
      </c>
      <c r="E1873" s="12" t="str">
        <f>IFERROR(__xludf.DUMMYFUNCTION("""COMPUTED_VALUE"""),"Absolutely love this dress. i saw it online and didn't give it much thought and then saw it in the store and it was amazing. the photos really do not do it justice. the embroarding detail at the bottom is beyond beautiful in person. i agree that if you do"&amp;"n't want skin showing you will need a black bra or black cami to over the delegate lace down the front and back of the dress. got this for fall/winter in fl and cannot wait to wear it, perfect holiday party dress!")</f>
        <v>Absolutely love this dress. i saw it online and didn't give it much thought and then saw it in the store and it was amazing. the photos really do not do it justice. the embroarding detail at the bottom is beyond beautiful in person. i agree that if you don't want skin showing you will need a black bra or black cami to over the delegate lace down the front and back of the dress. got this for fall/winter in fl and cannot wait to wear it, perfect holiday party dress!</v>
      </c>
      <c r="F1873" s="13">
        <f>IFERROR(__xludf.DUMMYFUNCTION("""COMPUTED_VALUE"""),5.0)</f>
        <v>5</v>
      </c>
      <c r="G1873" s="13">
        <f>IFERROR(__xludf.DUMMYFUNCTION("""COMPUTED_VALUE"""),1.0)</f>
        <v>1</v>
      </c>
      <c r="H1873" s="13">
        <f>IFERROR(__xludf.DUMMYFUNCTION("""COMPUTED_VALUE"""),0.0)</f>
        <v>0</v>
      </c>
      <c r="I1873" s="13" t="str">
        <f>IFERROR(__xludf.DUMMYFUNCTION("""COMPUTED_VALUE"""),"General")</f>
        <v>General</v>
      </c>
      <c r="J1873" s="13" t="str">
        <f>IFERROR(__xludf.DUMMYFUNCTION("""COMPUTED_VALUE"""),"Dresses")</f>
        <v>Dresses</v>
      </c>
      <c r="K1873" s="13" t="str">
        <f>IFERROR(__xludf.DUMMYFUNCTION("""COMPUTED_VALUE"""),"Dresses")</f>
        <v>Dresses</v>
      </c>
      <c r="L1873" s="13"/>
    </row>
    <row r="1874">
      <c r="A1874" s="13">
        <f>IFERROR(__xludf.DUMMYFUNCTION("""COMPUTED_VALUE"""),1872.0)</f>
        <v>1872</v>
      </c>
      <c r="B1874" s="13">
        <f>IFERROR(__xludf.DUMMYFUNCTION("""COMPUTED_VALUE"""),1094.0)</f>
        <v>1094</v>
      </c>
      <c r="C1874" s="13">
        <f>IFERROR(__xludf.DUMMYFUNCTION("""COMPUTED_VALUE"""),65.0)</f>
        <v>65</v>
      </c>
      <c r="D1874" s="12" t="str">
        <f>IFERROR(__xludf.DUMMYFUNCTION("""COMPUTED_VALUE"""),"Ingenious mix of line and detail: ranna gill!")</f>
        <v>Ingenious mix of line and detail: ranna gill!</v>
      </c>
      <c r="E1874" s="12" t="str">
        <f>IFERROR(__xludf.DUMMYFUNCTION("""COMPUTED_VALUE"""),"This dress is my personal introduction to talented indian designer, ranna gill. i just love this gorgeous, free- spirited dress! i bought the regular medium for my 5'1"", 34f, size 8 figure. it works very well. i will want to wear a black cami, as i'm not"&amp;" comfortable with some cleavage showing (maybe 3/4"") and the open lines of lacy, small holes down the front and back. you might not mind showing more skin though and not need a cami. the top is not very see-through, and the skirt is lined. the re")</f>
        <v>This dress is my personal introduction to talented indian designer, ranna gill. i just love this gorgeous, free- spirited dress! i bought the regular medium for my 5'1", 34f, size 8 figure. it works very well. i will want to wear a black cami, as i'm not comfortable with some cleavage showing (maybe 3/4") and the open lines of lacy, small holes down the front and back. you might not mind showing more skin though and not need a cami. the top is not very see-through, and the skirt is lined. the re</v>
      </c>
      <c r="F1874" s="13">
        <f>IFERROR(__xludf.DUMMYFUNCTION("""COMPUTED_VALUE"""),5.0)</f>
        <v>5</v>
      </c>
      <c r="G1874" s="13">
        <f>IFERROR(__xludf.DUMMYFUNCTION("""COMPUTED_VALUE"""),1.0)</f>
        <v>1</v>
      </c>
      <c r="H1874" s="13">
        <f>IFERROR(__xludf.DUMMYFUNCTION("""COMPUTED_VALUE"""),9.0)</f>
        <v>9</v>
      </c>
      <c r="I1874" s="13" t="str">
        <f>IFERROR(__xludf.DUMMYFUNCTION("""COMPUTED_VALUE"""),"General")</f>
        <v>General</v>
      </c>
      <c r="J1874" s="13" t="str">
        <f>IFERROR(__xludf.DUMMYFUNCTION("""COMPUTED_VALUE"""),"Dresses")</f>
        <v>Dresses</v>
      </c>
      <c r="K1874" s="13" t="str">
        <f>IFERROR(__xludf.DUMMYFUNCTION("""COMPUTED_VALUE"""),"Dresses")</f>
        <v>Dresses</v>
      </c>
      <c r="L1874" s="13"/>
    </row>
    <row r="1875">
      <c r="A1875" s="13">
        <f>IFERROR(__xludf.DUMMYFUNCTION("""COMPUTED_VALUE"""),1873.0)</f>
        <v>1873</v>
      </c>
      <c r="B1875" s="13">
        <f>IFERROR(__xludf.DUMMYFUNCTION("""COMPUTED_VALUE"""),1001.0)</f>
        <v>1001</v>
      </c>
      <c r="C1875" s="13">
        <f>IFERROR(__xludf.DUMMYFUNCTION("""COMPUTED_VALUE"""),43.0)</f>
        <v>43</v>
      </c>
      <c r="D1875" s="12" t="str">
        <f>IFERROR(__xludf.DUMMYFUNCTION("""COMPUTED_VALUE"""),"Not as shown")</f>
        <v>Not as shown</v>
      </c>
      <c r="E1875" s="12" t="str">
        <f>IFERROR(__xludf.DUMMYFUNCTION("""COMPUTED_VALUE"""),"I agree with the previous reviewer that the length is not at all what is shown in the picture. much shorter than that. and while the overall detail of the skirt is very nice, the elastic waistband makes it look cheap considering the price...")</f>
        <v>I agree with the previous reviewer that the length is not at all what is shown in the picture. much shorter than that. and while the overall detail of the skirt is very nice, the elastic waistband makes it look cheap considering the price...</v>
      </c>
      <c r="F1875" s="13">
        <f>IFERROR(__xludf.DUMMYFUNCTION("""COMPUTED_VALUE"""),2.0)</f>
        <v>2</v>
      </c>
      <c r="G1875" s="13">
        <f>IFERROR(__xludf.DUMMYFUNCTION("""COMPUTED_VALUE"""),0.0)</f>
        <v>0</v>
      </c>
      <c r="H1875" s="13">
        <f>IFERROR(__xludf.DUMMYFUNCTION("""COMPUTED_VALUE"""),5.0)</f>
        <v>5</v>
      </c>
      <c r="I1875" s="13" t="str">
        <f>IFERROR(__xludf.DUMMYFUNCTION("""COMPUTED_VALUE"""),"General")</f>
        <v>General</v>
      </c>
      <c r="J1875" s="13" t="str">
        <f>IFERROR(__xludf.DUMMYFUNCTION("""COMPUTED_VALUE"""),"Bottoms")</f>
        <v>Bottoms</v>
      </c>
      <c r="K1875" s="13" t="str">
        <f>IFERROR(__xludf.DUMMYFUNCTION("""COMPUTED_VALUE"""),"Skirts")</f>
        <v>Skirts</v>
      </c>
      <c r="L1875" s="13"/>
    </row>
    <row r="1876">
      <c r="A1876" s="13">
        <f>IFERROR(__xludf.DUMMYFUNCTION("""COMPUTED_VALUE"""),1874.0)</f>
        <v>1874</v>
      </c>
      <c r="B1876" s="13">
        <f>IFERROR(__xludf.DUMMYFUNCTION("""COMPUTED_VALUE"""),1080.0)</f>
        <v>1080</v>
      </c>
      <c r="C1876" s="13">
        <f>IFERROR(__xludf.DUMMYFUNCTION("""COMPUTED_VALUE"""),44.0)</f>
        <v>44</v>
      </c>
      <c r="D1876" s="12" t="str">
        <f>IFERROR(__xludf.DUMMYFUNCTION("""COMPUTED_VALUE"""),"Great dress, even better in person!")</f>
        <v>Great dress, even better in person!</v>
      </c>
      <c r="E1876" s="12" t="str">
        <f>IFERROR(__xludf.DUMMYFUNCTION("""COMPUTED_VALUE"""),"This dress is great, and looks even prettier in person, the colors are more vibrant. the ruching is very forgiving for the belly and the length is perfect. most maxi's are too long on me, but i ordered a ps and it fit perfect. my only complaint is that it"&amp;" is very low cut, which i was unaware of standing up, but when i sat down at a dinner party, well, let's just say i gave everyone a show :(. recommend wearing a cami or something underneath.")</f>
        <v>This dress is great, and looks even prettier in person, the colors are more vibrant. the ruching is very forgiving for the belly and the length is perfect. most maxi's are too long on me, but i ordered a ps and it fit perfect. my only complaint is that it is very low cut, which i was unaware of standing up, but when i sat down at a dinner party, well, let's just say i gave everyone a show :(. recommend wearing a cami or something underneath.</v>
      </c>
      <c r="F1876" s="13">
        <f>IFERROR(__xludf.DUMMYFUNCTION("""COMPUTED_VALUE"""),5.0)</f>
        <v>5</v>
      </c>
      <c r="G1876" s="13">
        <f>IFERROR(__xludf.DUMMYFUNCTION("""COMPUTED_VALUE"""),1.0)</f>
        <v>1</v>
      </c>
      <c r="H1876" s="13">
        <f>IFERROR(__xludf.DUMMYFUNCTION("""COMPUTED_VALUE"""),2.0)</f>
        <v>2</v>
      </c>
      <c r="I1876" s="13" t="str">
        <f>IFERROR(__xludf.DUMMYFUNCTION("""COMPUTED_VALUE"""),"General")</f>
        <v>General</v>
      </c>
      <c r="J1876" s="13" t="str">
        <f>IFERROR(__xludf.DUMMYFUNCTION("""COMPUTED_VALUE"""),"Dresses")</f>
        <v>Dresses</v>
      </c>
      <c r="K1876" s="13" t="str">
        <f>IFERROR(__xludf.DUMMYFUNCTION("""COMPUTED_VALUE"""),"Dresses")</f>
        <v>Dresses</v>
      </c>
      <c r="L1876" s="13"/>
    </row>
    <row r="1877">
      <c r="A1877" s="13">
        <f>IFERROR(__xludf.DUMMYFUNCTION("""COMPUTED_VALUE"""),1875.0)</f>
        <v>1875</v>
      </c>
      <c r="B1877" s="13">
        <f>IFERROR(__xludf.DUMMYFUNCTION("""COMPUTED_VALUE"""),857.0)</f>
        <v>857</v>
      </c>
      <c r="C1877" s="13">
        <f>IFERROR(__xludf.DUMMYFUNCTION("""COMPUTED_VALUE"""),38.0)</f>
        <v>38</v>
      </c>
      <c r="D1877" s="12" t="str">
        <f>IFERROR(__xludf.DUMMYFUNCTION("""COMPUTED_VALUE"""),"Flows nicely")</f>
        <v>Flows nicely</v>
      </c>
      <c r="E1877" s="12" t="str">
        <f>IFERROR(__xludf.DUMMYFUNCTION("""COMPUTED_VALUE"""),"I love this shirt. i'm 5' 4"", 110lbs, just had 3rd baby so not into tight fighting clothes at the moment. love the loose yet flattering fit of this shirt. the sleeves are not too tight on me and i love the length.")</f>
        <v>I love this shirt. i'm 5' 4", 110lbs, just had 3rd baby so not into tight fighting clothes at the moment. love the loose yet flattering fit of this shirt. the sleeves are not too tight on me and i love the length.</v>
      </c>
      <c r="F1877" s="13">
        <f>IFERROR(__xludf.DUMMYFUNCTION("""COMPUTED_VALUE"""),5.0)</f>
        <v>5</v>
      </c>
      <c r="G1877" s="13">
        <f>IFERROR(__xludf.DUMMYFUNCTION("""COMPUTED_VALUE"""),1.0)</f>
        <v>1</v>
      </c>
      <c r="H1877" s="13">
        <f>IFERROR(__xludf.DUMMYFUNCTION("""COMPUTED_VALUE"""),1.0)</f>
        <v>1</v>
      </c>
      <c r="I1877" s="13" t="str">
        <f>IFERROR(__xludf.DUMMYFUNCTION("""COMPUTED_VALUE"""),"General")</f>
        <v>General</v>
      </c>
      <c r="J1877" s="13" t="str">
        <f>IFERROR(__xludf.DUMMYFUNCTION("""COMPUTED_VALUE"""),"Tops")</f>
        <v>Tops</v>
      </c>
      <c r="K1877" s="13" t="str">
        <f>IFERROR(__xludf.DUMMYFUNCTION("""COMPUTED_VALUE"""),"Knits")</f>
        <v>Knits</v>
      </c>
      <c r="L1877" s="13"/>
    </row>
    <row r="1878">
      <c r="A1878" s="13">
        <f>IFERROR(__xludf.DUMMYFUNCTION("""COMPUTED_VALUE"""),1876.0)</f>
        <v>1876</v>
      </c>
      <c r="B1878" s="13">
        <f>IFERROR(__xludf.DUMMYFUNCTION("""COMPUTED_VALUE"""),1054.0)</f>
        <v>1054</v>
      </c>
      <c r="C1878" s="13">
        <f>IFERROR(__xludf.DUMMYFUNCTION("""COMPUTED_VALUE"""),37.0)</f>
        <v>37</v>
      </c>
      <c r="D1878" s="12" t="str">
        <f>IFERROR(__xludf.DUMMYFUNCTION("""COMPUTED_VALUE"""),"Too big")</f>
        <v>Too big</v>
      </c>
      <c r="E1878" s="12" t="str">
        <f>IFERROR(__xludf.DUMMYFUNCTION("""COMPUTED_VALUE"""),"I ordered these pants after seeing the good reviews, but i don't agree. these are going back. i ordered a small. i'm 5'5"" and 135 pounds. i am usually between a small and a medium in pants, but the small in these pants is huge. i could definitely fit int"&amp;"o an xs. but i also don't think they are very flattering and don't like the feel of the fabric. it's too bad. i love the idea of these.")</f>
        <v>I ordered these pants after seeing the good reviews, but i don't agree. these are going back. i ordered a small. i'm 5'5" and 135 pounds. i am usually between a small and a medium in pants, but the small in these pants is huge. i could definitely fit into an xs. but i also don't think they are very flattering and don't like the feel of the fabric. it's too bad. i love the idea of these.</v>
      </c>
      <c r="F1878" s="13">
        <f>IFERROR(__xludf.DUMMYFUNCTION("""COMPUTED_VALUE"""),2.0)</f>
        <v>2</v>
      </c>
      <c r="G1878" s="13">
        <f>IFERROR(__xludf.DUMMYFUNCTION("""COMPUTED_VALUE"""),0.0)</f>
        <v>0</v>
      </c>
      <c r="H1878" s="13">
        <f>IFERROR(__xludf.DUMMYFUNCTION("""COMPUTED_VALUE"""),0.0)</f>
        <v>0</v>
      </c>
      <c r="I1878" s="13" t="str">
        <f>IFERROR(__xludf.DUMMYFUNCTION("""COMPUTED_VALUE"""),"General")</f>
        <v>General</v>
      </c>
      <c r="J1878" s="13" t="str">
        <f>IFERROR(__xludf.DUMMYFUNCTION("""COMPUTED_VALUE"""),"Bottoms")</f>
        <v>Bottoms</v>
      </c>
      <c r="K1878" s="13" t="str">
        <f>IFERROR(__xludf.DUMMYFUNCTION("""COMPUTED_VALUE"""),"Pants")</f>
        <v>Pants</v>
      </c>
      <c r="L1878" s="13"/>
    </row>
    <row r="1879">
      <c r="A1879" s="13">
        <f>IFERROR(__xludf.DUMMYFUNCTION("""COMPUTED_VALUE"""),1877.0)</f>
        <v>1877</v>
      </c>
      <c r="B1879" s="13">
        <f>IFERROR(__xludf.DUMMYFUNCTION("""COMPUTED_VALUE"""),1080.0)</f>
        <v>1080</v>
      </c>
      <c r="C1879" s="13">
        <f>IFERROR(__xludf.DUMMYFUNCTION("""COMPUTED_VALUE"""),39.0)</f>
        <v>39</v>
      </c>
      <c r="D1879" s="12" t="str">
        <f>IFERROR(__xludf.DUMMYFUNCTION("""COMPUTED_VALUE"""),"In love with this dress!!!!")</f>
        <v>In love with this dress!!!!</v>
      </c>
      <c r="E1879" s="12" t="str">
        <f>IFERROR(__xludf.DUMMYFUNCTION("""COMPUTED_VALUE"""),"This dress is so pretty- the colors are vibrant, beautiful pattern, the ruched part in the center hides the tummy!!! the neck line was too low for me, so had to wear a red cami underneath which hid the skin showing parts in the back around the waist. so i"&amp;"nstead of skin color, it was now red- even more prettier! no body could tell!! got so many compliments!!!")</f>
        <v>This dress is so pretty- the colors are vibrant, beautiful pattern, the ruched part in the center hides the tummy!!! the neck line was too low for me, so had to wear a red cami underneath which hid the skin showing parts in the back around the waist. so instead of skin color, it was now red- even more prettier! no body could tell!! got so many compliments!!!</v>
      </c>
      <c r="F1879" s="13">
        <f>IFERROR(__xludf.DUMMYFUNCTION("""COMPUTED_VALUE"""),5.0)</f>
        <v>5</v>
      </c>
      <c r="G1879" s="13">
        <f>IFERROR(__xludf.DUMMYFUNCTION("""COMPUTED_VALUE"""),1.0)</f>
        <v>1</v>
      </c>
      <c r="H1879" s="13">
        <f>IFERROR(__xludf.DUMMYFUNCTION("""COMPUTED_VALUE"""),1.0)</f>
        <v>1</v>
      </c>
      <c r="I1879" s="13" t="str">
        <f>IFERROR(__xludf.DUMMYFUNCTION("""COMPUTED_VALUE"""),"General")</f>
        <v>General</v>
      </c>
      <c r="J1879" s="13" t="str">
        <f>IFERROR(__xludf.DUMMYFUNCTION("""COMPUTED_VALUE"""),"Dresses")</f>
        <v>Dresses</v>
      </c>
      <c r="K1879" s="13" t="str">
        <f>IFERROR(__xludf.DUMMYFUNCTION("""COMPUTED_VALUE"""),"Dresses")</f>
        <v>Dresses</v>
      </c>
      <c r="L1879" s="13"/>
    </row>
    <row r="1880">
      <c r="A1880" s="13">
        <f>IFERROR(__xludf.DUMMYFUNCTION("""COMPUTED_VALUE"""),1878.0)</f>
        <v>1878</v>
      </c>
      <c r="B1880" s="13">
        <f>IFERROR(__xludf.DUMMYFUNCTION("""COMPUTED_VALUE"""),860.0)</f>
        <v>860</v>
      </c>
      <c r="C1880" s="13">
        <f>IFERROR(__xludf.DUMMYFUNCTION("""COMPUTED_VALUE"""),36.0)</f>
        <v>36</v>
      </c>
      <c r="D1880" s="12" t="str">
        <f>IFERROR(__xludf.DUMMYFUNCTION("""COMPUTED_VALUE"""),"Nice knit button up")</f>
        <v>Nice knit button up</v>
      </c>
      <c r="E1880" s="12" t="str">
        <f>IFERROR(__xludf.DUMMYFUNCTION("""COMPUTED_VALUE"""),"I was pleasantly surprised when this arrived. it hangs in a flattering way and the red has a nice soft hue. i couldn't believe what a great deal i got while on sale.")</f>
        <v>I was pleasantly surprised when this arrived. it hangs in a flattering way and the red has a nice soft hue. i couldn't believe what a great deal i got while on sale.</v>
      </c>
      <c r="F1880" s="13">
        <f>IFERROR(__xludf.DUMMYFUNCTION("""COMPUTED_VALUE"""),5.0)</f>
        <v>5</v>
      </c>
      <c r="G1880" s="13">
        <f>IFERROR(__xludf.DUMMYFUNCTION("""COMPUTED_VALUE"""),1.0)</f>
        <v>1</v>
      </c>
      <c r="H1880" s="13">
        <f>IFERROR(__xludf.DUMMYFUNCTION("""COMPUTED_VALUE"""),0.0)</f>
        <v>0</v>
      </c>
      <c r="I1880" s="13" t="str">
        <f>IFERROR(__xludf.DUMMYFUNCTION("""COMPUTED_VALUE"""),"General")</f>
        <v>General</v>
      </c>
      <c r="J1880" s="13" t="str">
        <f>IFERROR(__xludf.DUMMYFUNCTION("""COMPUTED_VALUE"""),"Tops")</f>
        <v>Tops</v>
      </c>
      <c r="K1880" s="13" t="str">
        <f>IFERROR(__xludf.DUMMYFUNCTION("""COMPUTED_VALUE"""),"Knits")</f>
        <v>Knits</v>
      </c>
      <c r="L1880" s="13"/>
    </row>
    <row r="1881">
      <c r="A1881" s="13">
        <f>IFERROR(__xludf.DUMMYFUNCTION("""COMPUTED_VALUE"""),1879.0)</f>
        <v>1879</v>
      </c>
      <c r="B1881" s="13">
        <f>IFERROR(__xludf.DUMMYFUNCTION("""COMPUTED_VALUE"""),1059.0)</f>
        <v>1059</v>
      </c>
      <c r="C1881" s="13">
        <f>IFERROR(__xludf.DUMMYFUNCTION("""COMPUTED_VALUE"""),67.0)</f>
        <v>67</v>
      </c>
      <c r="D1881" s="12" t="str">
        <f>IFERROR(__xludf.DUMMYFUNCTION("""COMPUTED_VALUE"""),"Funky fun")</f>
        <v>Funky fun</v>
      </c>
      <c r="E1881" s="12" t="str">
        <f>IFERROR(__xludf.DUMMYFUNCTION("""COMPUTED_VALUE"""),"These crops are very well proportioned and fun. the graphic pattern is spot on trend and the unusual silhouette can spice up your pants options.
i am a fan of cartonnier and these particular pants were surprisingly generously cut in comparison to most of"&amp;" the styles i have. i usually need to order cropped pants in tall, but these worked with the regular inseam.")</f>
        <v>These crops are very well proportioned and fun. the graphic pattern is spot on trend and the unusual silhouette can spice up your pants options.
i am a fan of cartonnier and these particular pants were surprisingly generously cut in comparison to most of the styles i have. i usually need to order cropped pants in tall, but these worked with the regular inseam.</v>
      </c>
      <c r="F1881" s="13">
        <f>IFERROR(__xludf.DUMMYFUNCTION("""COMPUTED_VALUE"""),5.0)</f>
        <v>5</v>
      </c>
      <c r="G1881" s="13">
        <f>IFERROR(__xludf.DUMMYFUNCTION("""COMPUTED_VALUE"""),1.0)</f>
        <v>1</v>
      </c>
      <c r="H1881" s="13">
        <f>IFERROR(__xludf.DUMMYFUNCTION("""COMPUTED_VALUE"""),13.0)</f>
        <v>13</v>
      </c>
      <c r="I1881" s="13" t="str">
        <f>IFERROR(__xludf.DUMMYFUNCTION("""COMPUTED_VALUE"""),"General Petite")</f>
        <v>General Petite</v>
      </c>
      <c r="J1881" s="13" t="str">
        <f>IFERROR(__xludf.DUMMYFUNCTION("""COMPUTED_VALUE"""),"Bottoms")</f>
        <v>Bottoms</v>
      </c>
      <c r="K1881" s="13" t="str">
        <f>IFERROR(__xludf.DUMMYFUNCTION("""COMPUTED_VALUE"""),"Pants")</f>
        <v>Pants</v>
      </c>
      <c r="L1881" s="13"/>
    </row>
    <row r="1882">
      <c r="A1882" s="13">
        <f>IFERROR(__xludf.DUMMYFUNCTION("""COMPUTED_VALUE"""),1880.0)</f>
        <v>1880</v>
      </c>
      <c r="B1882" s="13">
        <f>IFERROR(__xludf.DUMMYFUNCTION("""COMPUTED_VALUE"""),1066.0)</f>
        <v>1066</v>
      </c>
      <c r="C1882" s="13">
        <f>IFERROR(__xludf.DUMMYFUNCTION("""COMPUTED_VALUE"""),51.0)</f>
        <v>51</v>
      </c>
      <c r="D1882" s="12" t="str">
        <f>IFERROR(__xludf.DUMMYFUNCTION("""COMPUTED_VALUE"""),"Perfect summer pants!")</f>
        <v>Perfect summer pants!</v>
      </c>
      <c r="E1882" s="12" t="str">
        <f>IFERROR(__xludf.DUMMYFUNCTION("""COMPUTED_VALUE"""),"The linen- cotton blend breathes so well for a hot summer day! the design on the waistline is super cute and yes they are a little long in the leg but that can be a plus+ for vertically challenged girls like me. wedges and platforms are perfect to show of"&amp;"f the soft drape of the pant legs. now that they're on sale, i'm snatching up other colors, like white and light khaki- already have the seersucker blue pair!")</f>
        <v>The linen- cotton blend breathes so well for a hot summer day! the design on the waistline is super cute and yes they are a little long in the leg but that can be a plus+ for vertically challenged girls like me. wedges and platforms are perfect to show off the soft drape of the pant legs. now that they're on sale, i'm snatching up other colors, like white and light khaki- already have the seersucker blue pair!</v>
      </c>
      <c r="F1882" s="13">
        <f>IFERROR(__xludf.DUMMYFUNCTION("""COMPUTED_VALUE"""),5.0)</f>
        <v>5</v>
      </c>
      <c r="G1882" s="13">
        <f>IFERROR(__xludf.DUMMYFUNCTION("""COMPUTED_VALUE"""),1.0)</f>
        <v>1</v>
      </c>
      <c r="H1882" s="13">
        <f>IFERROR(__xludf.DUMMYFUNCTION("""COMPUTED_VALUE"""),0.0)</f>
        <v>0</v>
      </c>
      <c r="I1882" s="13" t="str">
        <f>IFERROR(__xludf.DUMMYFUNCTION("""COMPUTED_VALUE"""),"General Petite")</f>
        <v>General Petite</v>
      </c>
      <c r="J1882" s="13" t="str">
        <f>IFERROR(__xludf.DUMMYFUNCTION("""COMPUTED_VALUE"""),"Bottoms")</f>
        <v>Bottoms</v>
      </c>
      <c r="K1882" s="13" t="str">
        <f>IFERROR(__xludf.DUMMYFUNCTION("""COMPUTED_VALUE"""),"Pants")</f>
        <v>Pants</v>
      </c>
      <c r="L1882" s="13"/>
    </row>
    <row r="1883">
      <c r="A1883" s="13">
        <f>IFERROR(__xludf.DUMMYFUNCTION("""COMPUTED_VALUE"""),1881.0)</f>
        <v>1881</v>
      </c>
      <c r="B1883" s="13">
        <f>IFERROR(__xludf.DUMMYFUNCTION("""COMPUTED_VALUE"""),1094.0)</f>
        <v>1094</v>
      </c>
      <c r="C1883" s="13">
        <f>IFERROR(__xludf.DUMMYFUNCTION("""COMPUTED_VALUE"""),26.0)</f>
        <v>26</v>
      </c>
      <c r="D1883" s="12" t="str">
        <f>IFERROR(__xludf.DUMMYFUNCTION("""COMPUTED_VALUE"""),"Belle of the ball")</f>
        <v>Belle of the ball</v>
      </c>
      <c r="E1883" s="12" t="str">
        <f>IFERROR(__xludf.DUMMYFUNCTION("""COMPUTED_VALUE"""),"I wore this dress to a party once and haven't been able to find an outfit that can top it!")</f>
        <v>I wore this dress to a party once and haven't been able to find an outfit that can top it!</v>
      </c>
      <c r="F1883" s="13">
        <f>IFERROR(__xludf.DUMMYFUNCTION("""COMPUTED_VALUE"""),5.0)</f>
        <v>5</v>
      </c>
      <c r="G1883" s="13">
        <f>IFERROR(__xludf.DUMMYFUNCTION("""COMPUTED_VALUE"""),1.0)</f>
        <v>1</v>
      </c>
      <c r="H1883" s="13">
        <f>IFERROR(__xludf.DUMMYFUNCTION("""COMPUTED_VALUE"""),0.0)</f>
        <v>0</v>
      </c>
      <c r="I1883" s="13" t="str">
        <f>IFERROR(__xludf.DUMMYFUNCTION("""COMPUTED_VALUE"""),"General")</f>
        <v>General</v>
      </c>
      <c r="J1883" s="13" t="str">
        <f>IFERROR(__xludf.DUMMYFUNCTION("""COMPUTED_VALUE"""),"Dresses")</f>
        <v>Dresses</v>
      </c>
      <c r="K1883" s="13" t="str">
        <f>IFERROR(__xludf.DUMMYFUNCTION("""COMPUTED_VALUE"""),"Dresses")</f>
        <v>Dresses</v>
      </c>
      <c r="L1883" s="13"/>
    </row>
    <row r="1884">
      <c r="A1884" s="13">
        <f>IFERROR(__xludf.DUMMYFUNCTION("""COMPUTED_VALUE"""),1882.0)</f>
        <v>1882</v>
      </c>
      <c r="B1884" s="13">
        <f>IFERROR(__xludf.DUMMYFUNCTION("""COMPUTED_VALUE"""),371.0)</f>
        <v>371</v>
      </c>
      <c r="C1884" s="13">
        <f>IFERROR(__xludf.DUMMYFUNCTION("""COMPUTED_VALUE"""),38.0)</f>
        <v>38</v>
      </c>
      <c r="D1884" s="12" t="str">
        <f>IFERROR(__xludf.DUMMYFUNCTION("""COMPUTED_VALUE"""),"Disappointed")</f>
        <v>Disappointed</v>
      </c>
      <c r="E1884" s="12" t="str">
        <f>IFERROR(__xludf.DUMMYFUNCTION("""COMPUTED_VALUE"""),"Cute and very soft, but the elastic wasn't sewn in right. i took them out of the wash and the waistband was a twisted mess. disappointing for more expensive loungewear.")</f>
        <v>Cute and very soft, but the elastic wasn't sewn in right. i took them out of the wash and the waistband was a twisted mess. disappointing for more expensive loungewear.</v>
      </c>
      <c r="F1884" s="13">
        <f>IFERROR(__xludf.DUMMYFUNCTION("""COMPUTED_VALUE"""),1.0)</f>
        <v>1</v>
      </c>
      <c r="G1884" s="13">
        <f>IFERROR(__xludf.DUMMYFUNCTION("""COMPUTED_VALUE"""),0.0)</f>
        <v>0</v>
      </c>
      <c r="H1884" s="13">
        <f>IFERROR(__xludf.DUMMYFUNCTION("""COMPUTED_VALUE"""),1.0)</f>
        <v>1</v>
      </c>
      <c r="I1884" s="13" t="str">
        <f>IFERROR(__xludf.DUMMYFUNCTION("""COMPUTED_VALUE"""),"Initmates")</f>
        <v>Initmates</v>
      </c>
      <c r="J1884" s="13" t="str">
        <f>IFERROR(__xludf.DUMMYFUNCTION("""COMPUTED_VALUE"""),"Intimate")</f>
        <v>Intimate</v>
      </c>
      <c r="K1884" s="13" t="str">
        <f>IFERROR(__xludf.DUMMYFUNCTION("""COMPUTED_VALUE"""),"Lounge")</f>
        <v>Lounge</v>
      </c>
      <c r="L1884" s="13"/>
    </row>
    <row r="1885">
      <c r="A1885" s="13">
        <f>IFERROR(__xludf.DUMMYFUNCTION("""COMPUTED_VALUE"""),1883.0)</f>
        <v>1883</v>
      </c>
      <c r="B1885" s="13">
        <f>IFERROR(__xludf.DUMMYFUNCTION("""COMPUTED_VALUE"""),1066.0)</f>
        <v>1066</v>
      </c>
      <c r="C1885" s="13">
        <f>IFERROR(__xludf.DUMMYFUNCTION("""COMPUTED_VALUE"""),44.0)</f>
        <v>44</v>
      </c>
      <c r="D1885" s="12"/>
      <c r="E1885" s="12" t="str">
        <f>IFERROR(__xludf.DUMMYFUNCTION("""COMPUTED_VALUE"""),"I love these pants! comfortable, light and can be dressed up for work and down for the weekend. the color is a little more saturated in person, but can't really complain about that too much!")</f>
        <v>I love these pants! comfortable, light and can be dressed up for work and down for the weekend. the color is a little more saturated in person, but can't really complain about that too much!</v>
      </c>
      <c r="F1885" s="13">
        <f>IFERROR(__xludf.DUMMYFUNCTION("""COMPUTED_VALUE"""),5.0)</f>
        <v>5</v>
      </c>
      <c r="G1885" s="13">
        <f>IFERROR(__xludf.DUMMYFUNCTION("""COMPUTED_VALUE"""),1.0)</f>
        <v>1</v>
      </c>
      <c r="H1885" s="13">
        <f>IFERROR(__xludf.DUMMYFUNCTION("""COMPUTED_VALUE"""),2.0)</f>
        <v>2</v>
      </c>
      <c r="I1885" s="13" t="str">
        <f>IFERROR(__xludf.DUMMYFUNCTION("""COMPUTED_VALUE"""),"General Petite")</f>
        <v>General Petite</v>
      </c>
      <c r="J1885" s="13" t="str">
        <f>IFERROR(__xludf.DUMMYFUNCTION("""COMPUTED_VALUE"""),"Bottoms")</f>
        <v>Bottoms</v>
      </c>
      <c r="K1885" s="13" t="str">
        <f>IFERROR(__xludf.DUMMYFUNCTION("""COMPUTED_VALUE"""),"Pants")</f>
        <v>Pants</v>
      </c>
      <c r="L1885" s="13"/>
    </row>
    <row r="1886">
      <c r="A1886" s="13">
        <f>IFERROR(__xludf.DUMMYFUNCTION("""COMPUTED_VALUE"""),1884.0)</f>
        <v>1884</v>
      </c>
      <c r="B1886" s="13">
        <f>IFERROR(__xludf.DUMMYFUNCTION("""COMPUTED_VALUE"""),828.0)</f>
        <v>828</v>
      </c>
      <c r="C1886" s="13">
        <f>IFERROR(__xludf.DUMMYFUNCTION("""COMPUTED_VALUE"""),56.0)</f>
        <v>56</v>
      </c>
      <c r="D1886" s="12" t="str">
        <f>IFERROR(__xludf.DUMMYFUNCTION("""COMPUTED_VALUE"""),"Runs small")</f>
        <v>Runs small</v>
      </c>
      <c r="E1886" s="12" t="str">
        <f>IFERROR(__xludf.DUMMYFUNCTION("""COMPUTED_VALUE"""),"I loved this top, however had to return as it does run small. by the time it arrived they were sold out in the larger size. like the quality of cloth and stone, however their products do run a size small.")</f>
        <v>I loved this top, however had to return as it does run small. by the time it arrived they were sold out in the larger size. like the quality of cloth and stone, however their products do run a size small.</v>
      </c>
      <c r="F1886" s="13">
        <f>IFERROR(__xludf.DUMMYFUNCTION("""COMPUTED_VALUE"""),4.0)</f>
        <v>4</v>
      </c>
      <c r="G1886" s="13">
        <f>IFERROR(__xludf.DUMMYFUNCTION("""COMPUTED_VALUE"""),1.0)</f>
        <v>1</v>
      </c>
      <c r="H1886" s="13">
        <f>IFERROR(__xludf.DUMMYFUNCTION("""COMPUTED_VALUE"""),0.0)</f>
        <v>0</v>
      </c>
      <c r="I1886" s="13" t="str">
        <f>IFERROR(__xludf.DUMMYFUNCTION("""COMPUTED_VALUE"""),"General")</f>
        <v>General</v>
      </c>
      <c r="J1886" s="13" t="str">
        <f>IFERROR(__xludf.DUMMYFUNCTION("""COMPUTED_VALUE"""),"Tops")</f>
        <v>Tops</v>
      </c>
      <c r="K1886" s="13" t="str">
        <f>IFERROR(__xludf.DUMMYFUNCTION("""COMPUTED_VALUE"""),"Blouses")</f>
        <v>Blouses</v>
      </c>
      <c r="L1886" s="13"/>
    </row>
    <row r="1887">
      <c r="A1887" s="13">
        <f>IFERROR(__xludf.DUMMYFUNCTION("""COMPUTED_VALUE"""),1885.0)</f>
        <v>1885</v>
      </c>
      <c r="B1887" s="13">
        <f>IFERROR(__xludf.DUMMYFUNCTION("""COMPUTED_VALUE"""),1035.0)</f>
        <v>1035</v>
      </c>
      <c r="C1887" s="13">
        <f>IFERROR(__xludf.DUMMYFUNCTION("""COMPUTED_VALUE"""),41.0)</f>
        <v>41</v>
      </c>
      <c r="D1887" s="12" t="str">
        <f>IFERROR(__xludf.DUMMYFUNCTION("""COMPUTED_VALUE"""),"Just a perfect pair!")</f>
        <v>Just a perfect pair!</v>
      </c>
      <c r="E1887" s="12" t="str">
        <f>IFERROR(__xludf.DUMMYFUNCTION("""COMPUTED_VALUE"""),"As a lazy one, i have to confess i barely leave any reviews even though i rely on the reviews from others to make my online order decision. yes! i owe a big ""thank you"" to anyone who wrote a helpful and honest reviews here :) and thank you!! now it is m"&amp;"y time to pay back to the community. this pair of jeans are just perfect - perfect design, perfect fit and perfect material, soft, cozy and hip with a good spirit.. i don't want to take it off once i put on! i am 108 pounds and 5' 3"" ordered size")</f>
        <v>As a lazy one, i have to confess i barely leave any reviews even though i rely on the reviews from others to make my online order decision. yes! i owe a big "thank you" to anyone who wrote a helpful and honest reviews here :) and thank you!! now it is my time to pay back to the community. this pair of jeans are just perfect - perfect design, perfect fit and perfect material, soft, cozy and hip with a good spirit.. i don't want to take it off once i put on! i am 108 pounds and 5' 3" ordered size</v>
      </c>
      <c r="F1887" s="13">
        <f>IFERROR(__xludf.DUMMYFUNCTION("""COMPUTED_VALUE"""),5.0)</f>
        <v>5</v>
      </c>
      <c r="G1887" s="13">
        <f>IFERROR(__xludf.DUMMYFUNCTION("""COMPUTED_VALUE"""),1.0)</f>
        <v>1</v>
      </c>
      <c r="H1887" s="13">
        <f>IFERROR(__xludf.DUMMYFUNCTION("""COMPUTED_VALUE"""),4.0)</f>
        <v>4</v>
      </c>
      <c r="I1887" s="13" t="str">
        <f>IFERROR(__xludf.DUMMYFUNCTION("""COMPUTED_VALUE"""),"General")</f>
        <v>General</v>
      </c>
      <c r="J1887" s="13" t="str">
        <f>IFERROR(__xludf.DUMMYFUNCTION("""COMPUTED_VALUE"""),"Bottoms")</f>
        <v>Bottoms</v>
      </c>
      <c r="K1887" s="13" t="str">
        <f>IFERROR(__xludf.DUMMYFUNCTION("""COMPUTED_VALUE"""),"Jeans")</f>
        <v>Jeans</v>
      </c>
      <c r="L1887" s="13"/>
    </row>
    <row r="1888">
      <c r="A1888" s="13">
        <f>IFERROR(__xludf.DUMMYFUNCTION("""COMPUTED_VALUE"""),1886.0)</f>
        <v>1886</v>
      </c>
      <c r="B1888" s="13">
        <f>IFERROR(__xludf.DUMMYFUNCTION("""COMPUTED_VALUE"""),1059.0)</f>
        <v>1059</v>
      </c>
      <c r="C1888" s="13">
        <f>IFERROR(__xludf.DUMMYFUNCTION("""COMPUTED_VALUE"""),36.0)</f>
        <v>36</v>
      </c>
      <c r="D1888" s="12" t="str">
        <f>IFERROR(__xludf.DUMMYFUNCTION("""COMPUTED_VALUE"""),"Super cute but not for me")</f>
        <v>Super cute but not for me</v>
      </c>
      <c r="E1888" s="12" t="str">
        <f>IFERROR(__xludf.DUMMYFUNCTION("""COMPUTED_VALUE"""),"I am just over 5'8""and i found that these pants hit me in a weird spot on my torso, almost creating a muffin top that i don't normally have. in addition, they were too short on me to give the chic and modern look of cropped ankle pants. on my frame, they"&amp;" fit more like capris from the late 1990s. both the construction and execution of the pants are otherwise fantastic.")</f>
        <v>I am just over 5'8"and i found that these pants hit me in a weird spot on my torso, almost creating a muffin top that i don't normally have. in addition, they were too short on me to give the chic and modern look of cropped ankle pants. on my frame, they fit more like capris from the late 1990s. both the construction and execution of the pants are otherwise fantastic.</v>
      </c>
      <c r="F1888" s="13">
        <f>IFERROR(__xludf.DUMMYFUNCTION("""COMPUTED_VALUE"""),4.0)</f>
        <v>4</v>
      </c>
      <c r="G1888" s="13">
        <f>IFERROR(__xludf.DUMMYFUNCTION("""COMPUTED_VALUE"""),0.0)</f>
        <v>0</v>
      </c>
      <c r="H1888" s="13">
        <f>IFERROR(__xludf.DUMMYFUNCTION("""COMPUTED_VALUE"""),0.0)</f>
        <v>0</v>
      </c>
      <c r="I1888" s="13" t="str">
        <f>IFERROR(__xludf.DUMMYFUNCTION("""COMPUTED_VALUE"""),"General Petite")</f>
        <v>General Petite</v>
      </c>
      <c r="J1888" s="13" t="str">
        <f>IFERROR(__xludf.DUMMYFUNCTION("""COMPUTED_VALUE"""),"Bottoms")</f>
        <v>Bottoms</v>
      </c>
      <c r="K1888" s="13" t="str">
        <f>IFERROR(__xludf.DUMMYFUNCTION("""COMPUTED_VALUE"""),"Pants")</f>
        <v>Pants</v>
      </c>
      <c r="L1888" s="13"/>
    </row>
    <row r="1889">
      <c r="A1889" s="13">
        <f>IFERROR(__xludf.DUMMYFUNCTION("""COMPUTED_VALUE"""),1887.0)</f>
        <v>1887</v>
      </c>
      <c r="B1889" s="13">
        <f>IFERROR(__xludf.DUMMYFUNCTION("""COMPUTED_VALUE"""),1059.0)</f>
        <v>1059</v>
      </c>
      <c r="C1889" s="13">
        <f>IFERROR(__xludf.DUMMYFUNCTION("""COMPUTED_VALUE"""),39.0)</f>
        <v>39</v>
      </c>
      <c r="D1889" s="12" t="str">
        <f>IFERROR(__xludf.DUMMYFUNCTION("""COMPUTED_VALUE"""),"Great day/night pants")</f>
        <v>Great day/night pants</v>
      </c>
      <c r="E1889" s="12" t="str">
        <f>IFERROR(__xludf.DUMMYFUNCTION("""COMPUTED_VALUE"""),"Adorable and amazing quality. true to size. i ordered a 6 and fit perfect.")</f>
        <v>Adorable and amazing quality. true to size. i ordered a 6 and fit perfect.</v>
      </c>
      <c r="F1889" s="13">
        <f>IFERROR(__xludf.DUMMYFUNCTION("""COMPUTED_VALUE"""),5.0)</f>
        <v>5</v>
      </c>
      <c r="G1889" s="13">
        <f>IFERROR(__xludf.DUMMYFUNCTION("""COMPUTED_VALUE"""),1.0)</f>
        <v>1</v>
      </c>
      <c r="H1889" s="13">
        <f>IFERROR(__xludf.DUMMYFUNCTION("""COMPUTED_VALUE"""),0.0)</f>
        <v>0</v>
      </c>
      <c r="I1889" s="13" t="str">
        <f>IFERROR(__xludf.DUMMYFUNCTION("""COMPUTED_VALUE"""),"General Petite")</f>
        <v>General Petite</v>
      </c>
      <c r="J1889" s="13" t="str">
        <f>IFERROR(__xludf.DUMMYFUNCTION("""COMPUTED_VALUE"""),"Bottoms")</f>
        <v>Bottoms</v>
      </c>
      <c r="K1889" s="13" t="str">
        <f>IFERROR(__xludf.DUMMYFUNCTION("""COMPUTED_VALUE"""),"Pants")</f>
        <v>Pants</v>
      </c>
      <c r="L1889" s="13"/>
    </row>
    <row r="1890">
      <c r="A1890" s="13">
        <f>IFERROR(__xludf.DUMMYFUNCTION("""COMPUTED_VALUE"""),1888.0)</f>
        <v>1888</v>
      </c>
      <c r="B1890" s="13">
        <f>IFERROR(__xludf.DUMMYFUNCTION("""COMPUTED_VALUE"""),1066.0)</f>
        <v>1066</v>
      </c>
      <c r="C1890" s="13">
        <f>IFERROR(__xludf.DUMMYFUNCTION("""COMPUTED_VALUE"""),38.0)</f>
        <v>38</v>
      </c>
      <c r="D1890" s="12" t="str">
        <f>IFERROR(__xludf.DUMMYFUNCTION("""COMPUTED_VALUE"""),"Great for spring")</f>
        <v>Great for spring</v>
      </c>
      <c r="E1890" s="12" t="str">
        <f>IFERROR(__xludf.DUMMYFUNCTION("""COMPUTED_VALUE"""),"Love these pants. super light and great color. they are a bit long though")</f>
        <v>Love these pants. super light and great color. they are a bit long though</v>
      </c>
      <c r="F1890" s="13">
        <f>IFERROR(__xludf.DUMMYFUNCTION("""COMPUTED_VALUE"""),4.0)</f>
        <v>4</v>
      </c>
      <c r="G1890" s="13">
        <f>IFERROR(__xludf.DUMMYFUNCTION("""COMPUTED_VALUE"""),1.0)</f>
        <v>1</v>
      </c>
      <c r="H1890" s="13">
        <f>IFERROR(__xludf.DUMMYFUNCTION("""COMPUTED_VALUE"""),0.0)</f>
        <v>0</v>
      </c>
      <c r="I1890" s="13" t="str">
        <f>IFERROR(__xludf.DUMMYFUNCTION("""COMPUTED_VALUE"""),"General Petite")</f>
        <v>General Petite</v>
      </c>
      <c r="J1890" s="13" t="str">
        <f>IFERROR(__xludf.DUMMYFUNCTION("""COMPUTED_VALUE"""),"Bottoms")</f>
        <v>Bottoms</v>
      </c>
      <c r="K1890" s="13" t="str">
        <f>IFERROR(__xludf.DUMMYFUNCTION("""COMPUTED_VALUE"""),"Pants")</f>
        <v>Pants</v>
      </c>
      <c r="L1890" s="13"/>
    </row>
    <row r="1891">
      <c r="A1891" s="13">
        <f>IFERROR(__xludf.DUMMYFUNCTION("""COMPUTED_VALUE"""),1889.0)</f>
        <v>1889</v>
      </c>
      <c r="B1891" s="13">
        <f>IFERROR(__xludf.DUMMYFUNCTION("""COMPUTED_VALUE"""),860.0)</f>
        <v>860</v>
      </c>
      <c r="C1891" s="13">
        <f>IFERROR(__xludf.DUMMYFUNCTION("""COMPUTED_VALUE"""),41.0)</f>
        <v>41</v>
      </c>
      <c r="D1891" s="12"/>
      <c r="E1891" s="12" t="str">
        <f>IFERROR(__xludf.DUMMYFUNCTION("""COMPUTED_VALUE"""),"Very nice top. flattering and goes with everything. i bought the medium in the green but would have needed the large in the white as the white was a little see through and showed more of my flaws. i agree with the other reviewer in that this top has good "&amp;"button placement.")</f>
        <v>Very nice top. flattering and goes with everything. i bought the medium in the green but would have needed the large in the white as the white was a little see through and showed more of my flaws. i agree with the other reviewer in that this top has good button placement.</v>
      </c>
      <c r="F1891" s="13">
        <f>IFERROR(__xludf.DUMMYFUNCTION("""COMPUTED_VALUE"""),5.0)</f>
        <v>5</v>
      </c>
      <c r="G1891" s="13">
        <f>IFERROR(__xludf.DUMMYFUNCTION("""COMPUTED_VALUE"""),1.0)</f>
        <v>1</v>
      </c>
      <c r="H1891" s="13">
        <f>IFERROR(__xludf.DUMMYFUNCTION("""COMPUTED_VALUE"""),16.0)</f>
        <v>16</v>
      </c>
      <c r="I1891" s="13" t="str">
        <f>IFERROR(__xludf.DUMMYFUNCTION("""COMPUTED_VALUE"""),"General")</f>
        <v>General</v>
      </c>
      <c r="J1891" s="13" t="str">
        <f>IFERROR(__xludf.DUMMYFUNCTION("""COMPUTED_VALUE"""),"Tops")</f>
        <v>Tops</v>
      </c>
      <c r="K1891" s="13" t="str">
        <f>IFERROR(__xludf.DUMMYFUNCTION("""COMPUTED_VALUE"""),"Knits")</f>
        <v>Knits</v>
      </c>
      <c r="L1891" s="13"/>
    </row>
    <row r="1892">
      <c r="A1892" s="13">
        <f>IFERROR(__xludf.DUMMYFUNCTION("""COMPUTED_VALUE"""),1890.0)</f>
        <v>1890</v>
      </c>
      <c r="B1892" s="13">
        <f>IFERROR(__xludf.DUMMYFUNCTION("""COMPUTED_VALUE"""),838.0)</f>
        <v>838</v>
      </c>
      <c r="C1892" s="13">
        <f>IFERROR(__xludf.DUMMYFUNCTION("""COMPUTED_VALUE"""),42.0)</f>
        <v>42</v>
      </c>
      <c r="D1892" s="12" t="str">
        <f>IFERROR(__xludf.DUMMYFUNCTION("""COMPUTED_VALUE"""),"Beautiful - if you're pregnant with twins.")</f>
        <v>Beautiful - if you're pregnant with twins.</v>
      </c>
      <c r="E1892" s="12" t="str">
        <f>IFERROR(__xludf.DUMMYFUNCTION("""COMPUTED_VALUE"""),"This is a gorgeous top. very well made with a classy design. it fits true to size from the lower chest up. however, at about the mid-belly range, the shirt widens out and basically allows a 5 month twin pregnancy to comfortably fit in. size xs. i was so s"&amp;"ad. for the price, i can't justify taking it for alterations. it would have been the perfect top.")</f>
        <v>This is a gorgeous top. very well made with a classy design. it fits true to size from the lower chest up. however, at about the mid-belly range, the shirt widens out and basically allows a 5 month twin pregnancy to comfortably fit in. size xs. i was so sad. for the price, i can't justify taking it for alterations. it would have been the perfect top.</v>
      </c>
      <c r="F1892" s="13">
        <f>IFERROR(__xludf.DUMMYFUNCTION("""COMPUTED_VALUE"""),2.0)</f>
        <v>2</v>
      </c>
      <c r="G1892" s="13">
        <f>IFERROR(__xludf.DUMMYFUNCTION("""COMPUTED_VALUE"""),0.0)</f>
        <v>0</v>
      </c>
      <c r="H1892" s="13">
        <f>IFERROR(__xludf.DUMMYFUNCTION("""COMPUTED_VALUE"""),14.0)</f>
        <v>14</v>
      </c>
      <c r="I1892" s="13" t="str">
        <f>IFERROR(__xludf.DUMMYFUNCTION("""COMPUTED_VALUE"""),"General")</f>
        <v>General</v>
      </c>
      <c r="J1892" s="13" t="str">
        <f>IFERROR(__xludf.DUMMYFUNCTION("""COMPUTED_VALUE"""),"Tops")</f>
        <v>Tops</v>
      </c>
      <c r="K1892" s="13" t="str">
        <f>IFERROR(__xludf.DUMMYFUNCTION("""COMPUTED_VALUE"""),"Blouses")</f>
        <v>Blouses</v>
      </c>
      <c r="L1892" s="13"/>
    </row>
    <row r="1893">
      <c r="A1893" s="13">
        <f>IFERROR(__xludf.DUMMYFUNCTION("""COMPUTED_VALUE"""),1891.0)</f>
        <v>1891</v>
      </c>
      <c r="B1893" s="13">
        <f>IFERROR(__xludf.DUMMYFUNCTION("""COMPUTED_VALUE"""),1081.0)</f>
        <v>1081</v>
      </c>
      <c r="C1893" s="13">
        <f>IFERROR(__xludf.DUMMYFUNCTION("""COMPUTED_VALUE"""),42.0)</f>
        <v>42</v>
      </c>
      <c r="D1893" s="12" t="str">
        <f>IFERROR(__xludf.DUMMYFUNCTION("""COMPUTED_VALUE"""),"Beautiful dress, fits poorly")</f>
        <v>Beautiful dress, fits poorly</v>
      </c>
      <c r="E1893" s="12" t="str">
        <f>IFERROR(__xludf.DUMMYFUNCTION("""COMPUTED_VALUE"""),"I purchased this and another eva franco dress during retailer's recent 20% off sale. i was looking for dresses that were work appropriate, but that would also transition well to happy hour or date night. they both seemed to be just what i was looking for."&amp;" i ordered a 4 regular and a 6 regular, as i am usually in between sizes. the 4 was definitely too small. the 6 fit, technically, but was very ill fitting. not only is the dress itself short, but it is very short-waisted. i am only 5'3"", but it fe")</f>
        <v>I purchased this and another eva franco dress during retailer's recent 20% off sale. i was looking for dresses that were work appropriate, but that would also transition well to happy hour or date night. they both seemed to be just what i was looking for. i ordered a 4 regular and a 6 regular, as i am usually in between sizes. the 4 was definitely too small. the 6 fit, technically, but was very ill fitting. not only is the dress itself short, but it is very short-waisted. i am only 5'3", but it fe</v>
      </c>
      <c r="F1893" s="13">
        <f>IFERROR(__xludf.DUMMYFUNCTION("""COMPUTED_VALUE"""),2.0)</f>
        <v>2</v>
      </c>
      <c r="G1893" s="13">
        <f>IFERROR(__xludf.DUMMYFUNCTION("""COMPUTED_VALUE"""),0.0)</f>
        <v>0</v>
      </c>
      <c r="H1893" s="13">
        <f>IFERROR(__xludf.DUMMYFUNCTION("""COMPUTED_VALUE"""),5.0)</f>
        <v>5</v>
      </c>
      <c r="I1893" s="13" t="str">
        <f>IFERROR(__xludf.DUMMYFUNCTION("""COMPUTED_VALUE"""),"General")</f>
        <v>General</v>
      </c>
      <c r="J1893" s="13" t="str">
        <f>IFERROR(__xludf.DUMMYFUNCTION("""COMPUTED_VALUE"""),"Dresses")</f>
        <v>Dresses</v>
      </c>
      <c r="K1893" s="13" t="str">
        <f>IFERROR(__xludf.DUMMYFUNCTION("""COMPUTED_VALUE"""),"Dresses")</f>
        <v>Dresses</v>
      </c>
      <c r="L1893" s="13"/>
    </row>
    <row r="1894">
      <c r="A1894" s="13">
        <f>IFERROR(__xludf.DUMMYFUNCTION("""COMPUTED_VALUE"""),1892.0)</f>
        <v>1892</v>
      </c>
      <c r="B1894" s="13">
        <f>IFERROR(__xludf.DUMMYFUNCTION("""COMPUTED_VALUE"""),828.0)</f>
        <v>828</v>
      </c>
      <c r="C1894" s="13">
        <f>IFERROR(__xludf.DUMMYFUNCTION("""COMPUTED_VALUE"""),33.0)</f>
        <v>33</v>
      </c>
      <c r="D1894" s="12" t="str">
        <f>IFERROR(__xludf.DUMMYFUNCTION("""COMPUTED_VALUE"""),"Surprised this shirt is still available !")</f>
        <v>Surprised this shirt is still available !</v>
      </c>
      <c r="E1894" s="12" t="str">
        <f>IFERROR(__xludf.DUMMYFUNCTION("""COMPUTED_VALUE"""),"This shirt has such a fun twist on an otherwise basic jean shirt! i bought this shirt on a whim despite having a closet full of denim shirts... and i'm glad i did! the fabric is the same cloth")</f>
        <v>This shirt has such a fun twist on an otherwise basic jean shirt! i bought this shirt on a whim despite having a closet full of denim shirts... and i'm glad i did! the fabric is the same cloth</v>
      </c>
      <c r="F1894" s="13">
        <f>IFERROR(__xludf.DUMMYFUNCTION("""COMPUTED_VALUE"""),5.0)</f>
        <v>5</v>
      </c>
      <c r="G1894" s="13">
        <f>IFERROR(__xludf.DUMMYFUNCTION("""COMPUTED_VALUE"""),1.0)</f>
        <v>1</v>
      </c>
      <c r="H1894" s="13">
        <f>IFERROR(__xludf.DUMMYFUNCTION("""COMPUTED_VALUE"""),0.0)</f>
        <v>0</v>
      </c>
      <c r="I1894" s="13" t="str">
        <f>IFERROR(__xludf.DUMMYFUNCTION("""COMPUTED_VALUE"""),"General")</f>
        <v>General</v>
      </c>
      <c r="J1894" s="13" t="str">
        <f>IFERROR(__xludf.DUMMYFUNCTION("""COMPUTED_VALUE"""),"Tops")</f>
        <v>Tops</v>
      </c>
      <c r="K1894" s="13" t="str">
        <f>IFERROR(__xludf.DUMMYFUNCTION("""COMPUTED_VALUE"""),"Blouses")</f>
        <v>Blouses</v>
      </c>
      <c r="L1894" s="13"/>
    </row>
    <row r="1895">
      <c r="A1895" s="13">
        <f>IFERROR(__xludf.DUMMYFUNCTION("""COMPUTED_VALUE"""),1893.0)</f>
        <v>1893</v>
      </c>
      <c r="B1895" s="13">
        <f>IFERROR(__xludf.DUMMYFUNCTION("""COMPUTED_VALUE"""),898.0)</f>
        <v>898</v>
      </c>
      <c r="C1895" s="13">
        <f>IFERROR(__xludf.DUMMYFUNCTION("""COMPUTED_VALUE"""),50.0)</f>
        <v>50</v>
      </c>
      <c r="D1895" s="12" t="str">
        <f>IFERROR(__xludf.DUMMYFUNCTION("""COMPUTED_VALUE"""),"I'd rather pay property taxes than buy this one!")</f>
        <v>I'd rather pay property taxes than buy this one!</v>
      </c>
      <c r="E1895" s="12" t="str">
        <f>IFERROR(__xludf.DUMMYFUNCTION("""COMPUTED_VALUE"""),"Disappointment city with this one and i am so lucky i had a coupon because if i would have paid the full $128 they are asking, i would be a tad skewed. not just thin material but thin and cheap feeling. doesn't itch but i seriously expected a lot more fro"&amp;"m retailer. i have noted the name of the designer and have promised myself to never buy this label again. big loser.")</f>
        <v>Disappointment city with this one and i am so lucky i had a coupon because if i would have paid the full $128 they are asking, i would be a tad skewed. not just thin material but thin and cheap feeling. doesn't itch but i seriously expected a lot more from retailer. i have noted the name of the designer and have promised myself to never buy this label again. big loser.</v>
      </c>
      <c r="F1895" s="13">
        <f>IFERROR(__xludf.DUMMYFUNCTION("""COMPUTED_VALUE"""),2.0)</f>
        <v>2</v>
      </c>
      <c r="G1895" s="13">
        <f>IFERROR(__xludf.DUMMYFUNCTION("""COMPUTED_VALUE"""),0.0)</f>
        <v>0</v>
      </c>
      <c r="H1895" s="13">
        <f>IFERROR(__xludf.DUMMYFUNCTION("""COMPUTED_VALUE"""),7.0)</f>
        <v>7</v>
      </c>
      <c r="I1895" s="13" t="str">
        <f>IFERROR(__xludf.DUMMYFUNCTION("""COMPUTED_VALUE"""),"General")</f>
        <v>General</v>
      </c>
      <c r="J1895" s="13" t="str">
        <f>IFERROR(__xludf.DUMMYFUNCTION("""COMPUTED_VALUE"""),"Tops")</f>
        <v>Tops</v>
      </c>
      <c r="K1895" s="13" t="str">
        <f>IFERROR(__xludf.DUMMYFUNCTION("""COMPUTED_VALUE"""),"Fine gauge")</f>
        <v>Fine gauge</v>
      </c>
      <c r="L1895" s="13"/>
    </row>
    <row r="1896">
      <c r="A1896" s="13">
        <f>IFERROR(__xludf.DUMMYFUNCTION("""COMPUTED_VALUE"""),1894.0)</f>
        <v>1894</v>
      </c>
      <c r="B1896" s="13">
        <f>IFERROR(__xludf.DUMMYFUNCTION("""COMPUTED_VALUE"""),860.0)</f>
        <v>860</v>
      </c>
      <c r="C1896" s="13">
        <f>IFERROR(__xludf.DUMMYFUNCTION("""COMPUTED_VALUE"""),53.0)</f>
        <v>53</v>
      </c>
      <c r="D1896" s="12" t="str">
        <f>IFERROR(__xludf.DUMMYFUNCTION("""COMPUTED_VALUE"""),"Great shirt")</f>
        <v>Great shirt</v>
      </c>
      <c r="E1896" s="12" t="str">
        <f>IFERROR(__xludf.DUMMYFUNCTION("""COMPUTED_VALUE"""),"I first bought the red &amp; green at the store. when they went on sale bought the blue &amp; ivory. love, love ,love these shirts! they go great with a skirt or jeans. so happy i got them. the fabric is stretchy, but still fits very nicely. what a great buy, hop"&amp;"e to see more of this style again.")</f>
        <v>I first bought the red &amp; green at the store. when they went on sale bought the blue &amp; ivory. love, love ,love these shirts! they go great with a skirt or jeans. so happy i got them. the fabric is stretchy, but still fits very nicely. what a great buy, hope to see more of this style again.</v>
      </c>
      <c r="F1896" s="13">
        <f>IFERROR(__xludf.DUMMYFUNCTION("""COMPUTED_VALUE"""),5.0)</f>
        <v>5</v>
      </c>
      <c r="G1896" s="13">
        <f>IFERROR(__xludf.DUMMYFUNCTION("""COMPUTED_VALUE"""),1.0)</f>
        <v>1</v>
      </c>
      <c r="H1896" s="13">
        <f>IFERROR(__xludf.DUMMYFUNCTION("""COMPUTED_VALUE"""),2.0)</f>
        <v>2</v>
      </c>
      <c r="I1896" s="13" t="str">
        <f>IFERROR(__xludf.DUMMYFUNCTION("""COMPUTED_VALUE"""),"General")</f>
        <v>General</v>
      </c>
      <c r="J1896" s="13" t="str">
        <f>IFERROR(__xludf.DUMMYFUNCTION("""COMPUTED_VALUE"""),"Tops")</f>
        <v>Tops</v>
      </c>
      <c r="K1896" s="13" t="str">
        <f>IFERROR(__xludf.DUMMYFUNCTION("""COMPUTED_VALUE"""),"Knits")</f>
        <v>Knits</v>
      </c>
      <c r="L1896" s="13"/>
    </row>
    <row r="1897">
      <c r="A1897" s="13">
        <f>IFERROR(__xludf.DUMMYFUNCTION("""COMPUTED_VALUE"""),1895.0)</f>
        <v>1895</v>
      </c>
      <c r="B1897" s="13">
        <f>IFERROR(__xludf.DUMMYFUNCTION("""COMPUTED_VALUE"""),1035.0)</f>
        <v>1035</v>
      </c>
      <c r="C1897" s="13">
        <f>IFERROR(__xludf.DUMMYFUNCTION("""COMPUTED_VALUE"""),39.0)</f>
        <v>39</v>
      </c>
      <c r="D1897" s="12" t="str">
        <f>IFERROR(__xludf.DUMMYFUNCTION("""COMPUTED_VALUE"""),"Ok, but didn't love the length (on me)")</f>
        <v>Ok, but didn't love the length (on me)</v>
      </c>
      <c r="E1897" s="12" t="str">
        <f>IFERROR(__xludf.DUMMYFUNCTION("""COMPUTED_VALUE"""),"These jeans are well-made, the cut is decently flattering, but on more muscular thighs, it would look nicer if the cuff was a bit higher. the petite on me was just below the ankle, so it just looks like i folded my jeans because they were too long. if you"&amp;" are taller or have longer legs (mine are short on my short height), then i think these would be great. i dind't find them particularly small, but htey were snug (muscular thighs). overall, ok but returning them. (25 p ordered, 115 lbs, 26.5 in")</f>
        <v>These jeans are well-made, the cut is decently flattering, but on more muscular thighs, it would look nicer if the cuff was a bit higher. the petite on me was just below the ankle, so it just looks like i folded my jeans because they were too long. if you are taller or have longer legs (mine are short on my short height), then i think these would be great. i dind't find them particularly small, but htey were snug (muscular thighs). overall, ok but returning them. (25 p ordered, 115 lbs, 26.5 in</v>
      </c>
      <c r="F1897" s="13">
        <f>IFERROR(__xludf.DUMMYFUNCTION("""COMPUTED_VALUE"""),4.0)</f>
        <v>4</v>
      </c>
      <c r="G1897" s="13">
        <f>IFERROR(__xludf.DUMMYFUNCTION("""COMPUTED_VALUE"""),1.0)</f>
        <v>1</v>
      </c>
      <c r="H1897" s="13">
        <f>IFERROR(__xludf.DUMMYFUNCTION("""COMPUTED_VALUE"""),2.0)</f>
        <v>2</v>
      </c>
      <c r="I1897" s="13" t="str">
        <f>IFERROR(__xludf.DUMMYFUNCTION("""COMPUTED_VALUE"""),"General")</f>
        <v>General</v>
      </c>
      <c r="J1897" s="13" t="str">
        <f>IFERROR(__xludf.DUMMYFUNCTION("""COMPUTED_VALUE"""),"Bottoms")</f>
        <v>Bottoms</v>
      </c>
      <c r="K1897" s="13" t="str">
        <f>IFERROR(__xludf.DUMMYFUNCTION("""COMPUTED_VALUE"""),"Jeans")</f>
        <v>Jeans</v>
      </c>
      <c r="L1897" s="13"/>
    </row>
    <row r="1898">
      <c r="A1898" s="13">
        <f>IFERROR(__xludf.DUMMYFUNCTION("""COMPUTED_VALUE"""),1896.0)</f>
        <v>1896</v>
      </c>
      <c r="B1898" s="13">
        <f>IFERROR(__xludf.DUMMYFUNCTION("""COMPUTED_VALUE"""),1066.0)</f>
        <v>1066</v>
      </c>
      <c r="C1898" s="13">
        <f>IFERROR(__xludf.DUMMYFUNCTION("""COMPUTED_VALUE"""),39.0)</f>
        <v>39</v>
      </c>
      <c r="D1898" s="12" t="str">
        <f>IFERROR(__xludf.DUMMYFUNCTION("""COMPUTED_VALUE"""),"Nice but stil la tad long in eptite")</f>
        <v>Nice but stil la tad long in eptite</v>
      </c>
      <c r="E1898" s="12" t="str">
        <f>IFERROR(__xludf.DUMMYFUNCTION("""COMPUTED_VALUE"""),"Iordered hte petite after trying the rregualr size in the store, and i will have to wear heels with the pants... or get them hemmed... the color choices are all great, i wanted navy, but i have a pair of grey ones that look similar, so i deciced on the ne"&amp;"tural if my size is stil lavaialble in yellow at sale time, i will be grabbing those as well.
i went with 25, my typical size lately (115 lbs)")</f>
        <v>Iordered hte petite after trying the rregualr size in the store, and i will have to wear heels with the pants... or get them hemmed... the color choices are all great, i wanted navy, but i have a pair of grey ones that look similar, so i deciced on the netural if my size is stil lavaialble in yellow at sale time, i will be grabbing those as well.
i went with 25, my typical size lately (115 lbs)</v>
      </c>
      <c r="F1898" s="13">
        <f>IFERROR(__xludf.DUMMYFUNCTION("""COMPUTED_VALUE"""),5.0)</f>
        <v>5</v>
      </c>
      <c r="G1898" s="13">
        <f>IFERROR(__xludf.DUMMYFUNCTION("""COMPUTED_VALUE"""),1.0)</f>
        <v>1</v>
      </c>
      <c r="H1898" s="13">
        <f>IFERROR(__xludf.DUMMYFUNCTION("""COMPUTED_VALUE"""),13.0)</f>
        <v>13</v>
      </c>
      <c r="I1898" s="13" t="str">
        <f>IFERROR(__xludf.DUMMYFUNCTION("""COMPUTED_VALUE"""),"General Petite")</f>
        <v>General Petite</v>
      </c>
      <c r="J1898" s="13" t="str">
        <f>IFERROR(__xludf.DUMMYFUNCTION("""COMPUTED_VALUE"""),"Bottoms")</f>
        <v>Bottoms</v>
      </c>
      <c r="K1898" s="13" t="str">
        <f>IFERROR(__xludf.DUMMYFUNCTION("""COMPUTED_VALUE"""),"Pants")</f>
        <v>Pants</v>
      </c>
      <c r="L1898" s="13"/>
    </row>
    <row r="1899">
      <c r="A1899" s="13">
        <f>IFERROR(__xludf.DUMMYFUNCTION("""COMPUTED_VALUE"""),1897.0)</f>
        <v>1897</v>
      </c>
      <c r="B1899" s="13">
        <f>IFERROR(__xludf.DUMMYFUNCTION("""COMPUTED_VALUE"""),1035.0)</f>
        <v>1035</v>
      </c>
      <c r="C1899" s="13">
        <f>IFERROR(__xludf.DUMMYFUNCTION("""COMPUTED_VALUE"""),59.0)</f>
        <v>59</v>
      </c>
      <c r="D1899" s="12" t="str">
        <f>IFERROR(__xludf.DUMMYFUNCTION("""COMPUTED_VALUE"""),"Perfect except runs way too small")</f>
        <v>Perfect except runs way too small</v>
      </c>
      <c r="E1899" s="12" t="str">
        <f>IFERROR(__xludf.DUMMYFUNCTION("""COMPUTED_VALUE"""),"I ordered these in my usual size and could barely get them on. they fit ike tight leggings. they have spandex that is comfortable and they will probably stretch as you wear them,. i exchanged for the next size up, because the style is great for year -roun"&amp;"d and the quality excellent. i live 2 hours from a store, i would either order up at least one size or try them on in store.")</f>
        <v>I ordered these in my usual size and could barely get them on. they fit ike tight leggings. they have spandex that is comfortable and they will probably stretch as you wear them,. i exchanged for the next size up, because the style is great for year -round and the quality excellent. i live 2 hours from a store, i would either order up at least one size or try them on in store.</v>
      </c>
      <c r="F1899" s="13">
        <f>IFERROR(__xludf.DUMMYFUNCTION("""COMPUTED_VALUE"""),3.0)</f>
        <v>3</v>
      </c>
      <c r="G1899" s="13">
        <f>IFERROR(__xludf.DUMMYFUNCTION("""COMPUTED_VALUE"""),1.0)</f>
        <v>1</v>
      </c>
      <c r="H1899" s="13">
        <f>IFERROR(__xludf.DUMMYFUNCTION("""COMPUTED_VALUE"""),15.0)</f>
        <v>15</v>
      </c>
      <c r="I1899" s="13" t="str">
        <f>IFERROR(__xludf.DUMMYFUNCTION("""COMPUTED_VALUE"""),"General")</f>
        <v>General</v>
      </c>
      <c r="J1899" s="13" t="str">
        <f>IFERROR(__xludf.DUMMYFUNCTION("""COMPUTED_VALUE"""),"Bottoms")</f>
        <v>Bottoms</v>
      </c>
      <c r="K1899" s="13" t="str">
        <f>IFERROR(__xludf.DUMMYFUNCTION("""COMPUTED_VALUE"""),"Jeans")</f>
        <v>Jeans</v>
      </c>
      <c r="L1899" s="13"/>
    </row>
    <row r="1900">
      <c r="A1900" s="13">
        <f>IFERROR(__xludf.DUMMYFUNCTION("""COMPUTED_VALUE"""),1898.0)</f>
        <v>1898</v>
      </c>
      <c r="B1900" s="13">
        <f>IFERROR(__xludf.DUMMYFUNCTION("""COMPUTED_VALUE"""),1035.0)</f>
        <v>1035</v>
      </c>
      <c r="C1900" s="13">
        <f>IFERROR(__xludf.DUMMYFUNCTION("""COMPUTED_VALUE"""),38.0)</f>
        <v>38</v>
      </c>
      <c r="D1900" s="12" t="str">
        <f>IFERROR(__xludf.DUMMYFUNCTION("""COMPUTED_VALUE"""),"Great fit")</f>
        <v>Great fit</v>
      </c>
      <c r="E1900" s="12" t="str">
        <f>IFERROR(__xludf.DUMMYFUNCTION("""COMPUTED_VALUE"""),"I love love love the fit in the corduroy, so thought about grabbing these jeans as well. they fit much pretty well, just the color wasn't quite right. i'm really picky about the blueness of my jeans, and these don't quite match the coloring in the photo. "&amp;"still debating whether to keep them. love the cuff styling and straight leg fit!")</f>
        <v>I love love love the fit in the corduroy, so thought about grabbing these jeans as well. they fit much pretty well, just the color wasn't quite right. i'm really picky about the blueness of my jeans, and these don't quite match the coloring in the photo. still debating whether to keep them. love the cuff styling and straight leg fit!</v>
      </c>
      <c r="F1900" s="13">
        <f>IFERROR(__xludf.DUMMYFUNCTION("""COMPUTED_VALUE"""),4.0)</f>
        <v>4</v>
      </c>
      <c r="G1900" s="13">
        <f>IFERROR(__xludf.DUMMYFUNCTION("""COMPUTED_VALUE"""),1.0)</f>
        <v>1</v>
      </c>
      <c r="H1900" s="13">
        <f>IFERROR(__xludf.DUMMYFUNCTION("""COMPUTED_VALUE"""),1.0)</f>
        <v>1</v>
      </c>
      <c r="I1900" s="13" t="str">
        <f>IFERROR(__xludf.DUMMYFUNCTION("""COMPUTED_VALUE"""),"General")</f>
        <v>General</v>
      </c>
      <c r="J1900" s="13" t="str">
        <f>IFERROR(__xludf.DUMMYFUNCTION("""COMPUTED_VALUE"""),"Bottoms")</f>
        <v>Bottoms</v>
      </c>
      <c r="K1900" s="13" t="str">
        <f>IFERROR(__xludf.DUMMYFUNCTION("""COMPUTED_VALUE"""),"Jeans")</f>
        <v>Jeans</v>
      </c>
      <c r="L1900" s="13"/>
    </row>
    <row r="1901">
      <c r="A1901" s="13">
        <f>IFERROR(__xludf.DUMMYFUNCTION("""COMPUTED_VALUE"""),1899.0)</f>
        <v>1899</v>
      </c>
      <c r="B1901" s="13">
        <f>IFERROR(__xludf.DUMMYFUNCTION("""COMPUTED_VALUE"""),860.0)</f>
        <v>860</v>
      </c>
      <c r="C1901" s="13">
        <f>IFERROR(__xludf.DUMMYFUNCTION("""COMPUTED_VALUE"""),25.0)</f>
        <v>25</v>
      </c>
      <c r="D1901" s="12"/>
      <c r="E1901" s="12" t="str">
        <f>IFERROR(__xludf.DUMMYFUNCTION("""COMPUTED_VALUE"""),"I love this shirt, it's easy to belt. i just wish it was tighter.")</f>
        <v>I love this shirt, it's easy to belt. i just wish it was tighter.</v>
      </c>
      <c r="F1901" s="13">
        <f>IFERROR(__xludf.DUMMYFUNCTION("""COMPUTED_VALUE"""),5.0)</f>
        <v>5</v>
      </c>
      <c r="G1901" s="13">
        <f>IFERROR(__xludf.DUMMYFUNCTION("""COMPUTED_VALUE"""),1.0)</f>
        <v>1</v>
      </c>
      <c r="H1901" s="13">
        <f>IFERROR(__xludf.DUMMYFUNCTION("""COMPUTED_VALUE"""),0.0)</f>
        <v>0</v>
      </c>
      <c r="I1901" s="13" t="str">
        <f>IFERROR(__xludf.DUMMYFUNCTION("""COMPUTED_VALUE"""),"General")</f>
        <v>General</v>
      </c>
      <c r="J1901" s="13" t="str">
        <f>IFERROR(__xludf.DUMMYFUNCTION("""COMPUTED_VALUE"""),"Tops")</f>
        <v>Tops</v>
      </c>
      <c r="K1901" s="13" t="str">
        <f>IFERROR(__xludf.DUMMYFUNCTION("""COMPUTED_VALUE"""),"Knits")</f>
        <v>Knits</v>
      </c>
      <c r="L1901" s="13"/>
    </row>
    <row r="1902">
      <c r="A1902" s="13">
        <f>IFERROR(__xludf.DUMMYFUNCTION("""COMPUTED_VALUE"""),1900.0)</f>
        <v>1900</v>
      </c>
      <c r="B1902" s="13">
        <f>IFERROR(__xludf.DUMMYFUNCTION("""COMPUTED_VALUE"""),1066.0)</f>
        <v>1066</v>
      </c>
      <c r="C1902" s="13">
        <f>IFERROR(__xludf.DUMMYFUNCTION("""COMPUTED_VALUE"""),56.0)</f>
        <v>56</v>
      </c>
      <c r="D1902" s="12" t="str">
        <f>IFERROR(__xludf.DUMMYFUNCTION("""COMPUTED_VALUE"""),"The perfect pant for warmer weather")</f>
        <v>The perfect pant for warmer weather</v>
      </c>
      <c r="E1902" s="12" t="str">
        <f>IFERROR(__xludf.DUMMYFUNCTION("""COMPUTED_VALUE"""),"Finding pants off the rack that fit me is always a challenge - i'm petite (5' 1'), a bit curvy and short-waisted, so many of today's low-rise styles just do not work for me. however, these pants are a better cut and come pretty close to a perfect fit - co"&amp;"mfortable and flattering, too. i've actually had pretty good luck with pilcro pants. i always have some gapping in the waist, but it's not much of an issue with these. more than likely whatever top i wear will hide that part. i was advised by th")</f>
        <v>Finding pants off the rack that fit me is always a challenge - i'm petite (5' 1'), a bit curvy and short-waisted, so many of today's low-rise styles just do not work for me. however, these pants are a better cut and come pretty close to a perfect fit - comfortable and flattering, too. i've actually had pretty good luck with pilcro pants. i always have some gapping in the waist, but it's not much of an issue with these. more than likely whatever top i wear will hide that part. i was advised by th</v>
      </c>
      <c r="F1902" s="13">
        <f>IFERROR(__xludf.DUMMYFUNCTION("""COMPUTED_VALUE"""),5.0)</f>
        <v>5</v>
      </c>
      <c r="G1902" s="13">
        <f>IFERROR(__xludf.DUMMYFUNCTION("""COMPUTED_VALUE"""),1.0)</f>
        <v>1</v>
      </c>
      <c r="H1902" s="13">
        <f>IFERROR(__xludf.DUMMYFUNCTION("""COMPUTED_VALUE"""),4.0)</f>
        <v>4</v>
      </c>
      <c r="I1902" s="13" t="str">
        <f>IFERROR(__xludf.DUMMYFUNCTION("""COMPUTED_VALUE"""),"General Petite")</f>
        <v>General Petite</v>
      </c>
      <c r="J1902" s="13" t="str">
        <f>IFERROR(__xludf.DUMMYFUNCTION("""COMPUTED_VALUE"""),"Bottoms")</f>
        <v>Bottoms</v>
      </c>
      <c r="K1902" s="13" t="str">
        <f>IFERROR(__xludf.DUMMYFUNCTION("""COMPUTED_VALUE"""),"Pants")</f>
        <v>Pants</v>
      </c>
      <c r="L1902" s="13"/>
    </row>
    <row r="1903">
      <c r="A1903" s="13">
        <f>IFERROR(__xludf.DUMMYFUNCTION("""COMPUTED_VALUE"""),1901.0)</f>
        <v>1901</v>
      </c>
      <c r="B1903" s="13">
        <f>IFERROR(__xludf.DUMMYFUNCTION("""COMPUTED_VALUE"""),1066.0)</f>
        <v>1066</v>
      </c>
      <c r="C1903" s="13">
        <f>IFERROR(__xludf.DUMMYFUNCTION("""COMPUTED_VALUE"""),41.0)</f>
        <v>41</v>
      </c>
      <c r="D1903" s="12" t="str">
        <f>IFERROR(__xludf.DUMMYFUNCTION("""COMPUTED_VALUE"""),"Great pants!")</f>
        <v>Great pants!</v>
      </c>
      <c r="E1903" s="12" t="str">
        <f>IFERROR(__xludf.DUMMYFUNCTION("""COMPUTED_VALUE"""),"I absolutely love these pants! i have been searching for a pair of linen pants for quite a few years but have never really found a pair that looked good on me until now. i have usually found linen pants to lack shape and end up making me look frumpy but i"&amp;" really love the fabric. well, these pants actually have some structure to them and are still super comfy and soft. i bought the neutral color which is acutually a very fine tan and white pinstripe which makes the pants a bit more classy. i love")</f>
        <v>I absolutely love these pants! i have been searching for a pair of linen pants for quite a few years but have never really found a pair that looked good on me until now. i have usually found linen pants to lack shape and end up making me look frumpy but i really love the fabric. well, these pants actually have some structure to them and are still super comfy and soft. i bought the neutral color which is acutually a very fine tan and white pinstripe which makes the pants a bit more classy. i love</v>
      </c>
      <c r="F1903" s="13">
        <f>IFERROR(__xludf.DUMMYFUNCTION("""COMPUTED_VALUE"""),5.0)</f>
        <v>5</v>
      </c>
      <c r="G1903" s="13">
        <f>IFERROR(__xludf.DUMMYFUNCTION("""COMPUTED_VALUE"""),1.0)</f>
        <v>1</v>
      </c>
      <c r="H1903" s="13">
        <f>IFERROR(__xludf.DUMMYFUNCTION("""COMPUTED_VALUE"""),2.0)</f>
        <v>2</v>
      </c>
      <c r="I1903" s="13" t="str">
        <f>IFERROR(__xludf.DUMMYFUNCTION("""COMPUTED_VALUE"""),"General Petite")</f>
        <v>General Petite</v>
      </c>
      <c r="J1903" s="13" t="str">
        <f>IFERROR(__xludf.DUMMYFUNCTION("""COMPUTED_VALUE"""),"Bottoms")</f>
        <v>Bottoms</v>
      </c>
      <c r="K1903" s="13" t="str">
        <f>IFERROR(__xludf.DUMMYFUNCTION("""COMPUTED_VALUE"""),"Pants")</f>
        <v>Pants</v>
      </c>
      <c r="L1903" s="13"/>
    </row>
    <row r="1904">
      <c r="A1904" s="13">
        <f>IFERROR(__xludf.DUMMYFUNCTION("""COMPUTED_VALUE"""),1902.0)</f>
        <v>1902</v>
      </c>
      <c r="B1904" s="13">
        <f>IFERROR(__xludf.DUMMYFUNCTION("""COMPUTED_VALUE"""),1066.0)</f>
        <v>1066</v>
      </c>
      <c r="C1904" s="13">
        <f>IFERROR(__xludf.DUMMYFUNCTION("""COMPUTED_VALUE"""),52.0)</f>
        <v>52</v>
      </c>
      <c r="D1904" s="12" t="str">
        <f>IFERROR(__xludf.DUMMYFUNCTION("""COMPUTED_VALUE"""),"Love these pants!")</f>
        <v>Love these pants!</v>
      </c>
      <c r="E1904" s="12" t="str">
        <f>IFERROR(__xludf.DUMMYFUNCTION("""COMPUTED_VALUE"""),"These are the most comfortable, happening pants i have ever owned! they are extremely flattering and slimming at the waist. i am a size 4 and bought the 4, and they fit perfectly. they are a bit long, but after washing and drying on low, mine shrunk enoug"&amp;"h that i can wear them with flats or flip flops, and not just heels. my 2 teenage daughters have complimented me on them saying how ""modern"" they look. i bought them in navy and just ordered the grey yesterday. i might go into my local store and")</f>
        <v>These are the most comfortable, happening pants i have ever owned! they are extremely flattering and slimming at the waist. i am a size 4 and bought the 4, and they fit perfectly. they are a bit long, but after washing and drying on low, mine shrunk enough that i can wear them with flats or flip flops, and not just heels. my 2 teenage daughters have complimented me on them saying how "modern" they look. i bought them in navy and just ordered the grey yesterday. i might go into my local store and</v>
      </c>
      <c r="F1904" s="13">
        <f>IFERROR(__xludf.DUMMYFUNCTION("""COMPUTED_VALUE"""),5.0)</f>
        <v>5</v>
      </c>
      <c r="G1904" s="13">
        <f>IFERROR(__xludf.DUMMYFUNCTION("""COMPUTED_VALUE"""),1.0)</f>
        <v>1</v>
      </c>
      <c r="H1904" s="13">
        <f>IFERROR(__xludf.DUMMYFUNCTION("""COMPUTED_VALUE"""),1.0)</f>
        <v>1</v>
      </c>
      <c r="I1904" s="13" t="str">
        <f>IFERROR(__xludf.DUMMYFUNCTION("""COMPUTED_VALUE"""),"General Petite")</f>
        <v>General Petite</v>
      </c>
      <c r="J1904" s="13" t="str">
        <f>IFERROR(__xludf.DUMMYFUNCTION("""COMPUTED_VALUE"""),"Bottoms")</f>
        <v>Bottoms</v>
      </c>
      <c r="K1904" s="13" t="str">
        <f>IFERROR(__xludf.DUMMYFUNCTION("""COMPUTED_VALUE"""),"Pants")</f>
        <v>Pants</v>
      </c>
      <c r="L1904" s="13"/>
    </row>
    <row r="1905">
      <c r="A1905" s="13">
        <f>IFERROR(__xludf.DUMMYFUNCTION("""COMPUTED_VALUE"""),1903.0)</f>
        <v>1903</v>
      </c>
      <c r="B1905" s="13">
        <f>IFERROR(__xludf.DUMMYFUNCTION("""COMPUTED_VALUE"""),1036.0)</f>
        <v>1036</v>
      </c>
      <c r="C1905" s="13">
        <f>IFERROR(__xludf.DUMMYFUNCTION("""COMPUTED_VALUE"""),56.0)</f>
        <v>56</v>
      </c>
      <c r="D1905" s="12" t="str">
        <f>IFERROR(__xludf.DUMMYFUNCTION("""COMPUTED_VALUE"""),"Great jean")</f>
        <v>Great jean</v>
      </c>
      <c r="E1905" s="12" t="str">
        <f>IFERROR(__xludf.DUMMYFUNCTION("""COMPUTED_VALUE"""),"I love these jeans, well,i have not worn them out yet so not sure if they will stretch, but just in terms of fit and cut, i really like them. i normally wear ch or ag in 25 or 26. i got these in 25 and they fit perfectly. i love the stretch, great color, "&amp;"not too thin, very comfie. i was worried about too much flare, but not a problem. they are very long, but i am only 5""2 and i will be hemming them about 8 inches .")</f>
        <v>I love these jeans, well,i have not worn them out yet so not sure if they will stretch, but just in terms of fit and cut, i really like them. i normally wear ch or ag in 25 or 26. i got these in 25 and they fit perfectly. i love the stretch, great color, not too thin, very comfie. i was worried about too much flare, but not a problem. they are very long, but i am only 5"2 and i will be hemming them about 8 inches .</v>
      </c>
      <c r="F1905" s="13">
        <f>IFERROR(__xludf.DUMMYFUNCTION("""COMPUTED_VALUE"""),5.0)</f>
        <v>5</v>
      </c>
      <c r="G1905" s="13">
        <f>IFERROR(__xludf.DUMMYFUNCTION("""COMPUTED_VALUE"""),1.0)</f>
        <v>1</v>
      </c>
      <c r="H1905" s="13">
        <f>IFERROR(__xludf.DUMMYFUNCTION("""COMPUTED_VALUE"""),0.0)</f>
        <v>0</v>
      </c>
      <c r="I1905" s="13" t="str">
        <f>IFERROR(__xludf.DUMMYFUNCTION("""COMPUTED_VALUE"""),"General")</f>
        <v>General</v>
      </c>
      <c r="J1905" s="13" t="str">
        <f>IFERROR(__xludf.DUMMYFUNCTION("""COMPUTED_VALUE"""),"Bottoms")</f>
        <v>Bottoms</v>
      </c>
      <c r="K1905" s="13" t="str">
        <f>IFERROR(__xludf.DUMMYFUNCTION("""COMPUTED_VALUE"""),"Jeans")</f>
        <v>Jeans</v>
      </c>
      <c r="L1905" s="13"/>
    </row>
    <row r="1906">
      <c r="A1906" s="13">
        <f>IFERROR(__xludf.DUMMYFUNCTION("""COMPUTED_VALUE"""),1904.0)</f>
        <v>1904</v>
      </c>
      <c r="B1906" s="13">
        <f>IFERROR(__xludf.DUMMYFUNCTION("""COMPUTED_VALUE"""),1078.0)</f>
        <v>1078</v>
      </c>
      <c r="C1906" s="13">
        <f>IFERROR(__xludf.DUMMYFUNCTION("""COMPUTED_VALUE"""),46.0)</f>
        <v>46</v>
      </c>
      <c r="D1906" s="12" t="str">
        <f>IFERROR(__xludf.DUMMYFUNCTION("""COMPUTED_VALUE"""),"Truly beautiful dress")</f>
        <v>Truly beautiful dress</v>
      </c>
      <c r="E1906" s="12" t="str">
        <f>IFERROR(__xludf.DUMMYFUNCTION("""COMPUTED_VALUE"""),"I'm an avid retailer shopper.
i bought this dress for my niece, her style tends to run 
bohemian/gothic.
the style, fabric and overall design/quality of this dress, is something i felt she would like (even though the color is not black).
she loves it - pe"&amp;"rfect fit. she accessorized it with her usual biker/moto jacket,boots, etc.
but it looks awesome on her!")</f>
        <v>I'm an avid retailer shopper.
i bought this dress for my niece, her style tends to run 
bohemian/gothic.
the style, fabric and overall design/quality of this dress, is something i felt she would like (even though the color is not black).
she loves it - perfect fit. she accessorized it with her usual biker/moto jacket,boots, etc.
but it looks awesome on her!</v>
      </c>
      <c r="F1906" s="13">
        <f>IFERROR(__xludf.DUMMYFUNCTION("""COMPUTED_VALUE"""),5.0)</f>
        <v>5</v>
      </c>
      <c r="G1906" s="13">
        <f>IFERROR(__xludf.DUMMYFUNCTION("""COMPUTED_VALUE"""),1.0)</f>
        <v>1</v>
      </c>
      <c r="H1906" s="13">
        <f>IFERROR(__xludf.DUMMYFUNCTION("""COMPUTED_VALUE"""),0.0)</f>
        <v>0</v>
      </c>
      <c r="I1906" s="13" t="str">
        <f>IFERROR(__xludf.DUMMYFUNCTION("""COMPUTED_VALUE"""),"General")</f>
        <v>General</v>
      </c>
      <c r="J1906" s="13" t="str">
        <f>IFERROR(__xludf.DUMMYFUNCTION("""COMPUTED_VALUE"""),"Dresses")</f>
        <v>Dresses</v>
      </c>
      <c r="K1906" s="13" t="str">
        <f>IFERROR(__xludf.DUMMYFUNCTION("""COMPUTED_VALUE"""),"Dresses")</f>
        <v>Dresses</v>
      </c>
      <c r="L1906" s="13"/>
    </row>
    <row r="1907">
      <c r="A1907" s="13">
        <f>IFERROR(__xludf.DUMMYFUNCTION("""COMPUTED_VALUE"""),1905.0)</f>
        <v>1905</v>
      </c>
      <c r="B1907" s="13">
        <f>IFERROR(__xludf.DUMMYFUNCTION("""COMPUTED_VALUE"""),1094.0)</f>
        <v>1094</v>
      </c>
      <c r="C1907" s="13">
        <f>IFERROR(__xludf.DUMMYFUNCTION("""COMPUTED_VALUE"""),26.0)</f>
        <v>26</v>
      </c>
      <c r="D1907" s="12"/>
      <c r="E1907" s="12" t="str">
        <f>IFERROR(__xludf.DUMMYFUNCTION("""COMPUTED_VALUE"""),"This dress is absolutely beautiful. i was hesitant to purchase it due to the price, but i just couldn't resist. it's so flowy and comfortable. it's quite long on me; i'm 5'5 and have to wear heels so that it doesn't drag, but could easily be fixed with al"&amp;"erations. i wore this to a wedding and received so many compliments.")</f>
        <v>This dress is absolutely beautiful. i was hesitant to purchase it due to the price, but i just couldn't resist. it's so flowy and comfortable. it's quite long on me; i'm 5'5 and have to wear heels so that it doesn't drag, but could easily be fixed with alerations. i wore this to a wedding and received so many compliments.</v>
      </c>
      <c r="F1907" s="13">
        <f>IFERROR(__xludf.DUMMYFUNCTION("""COMPUTED_VALUE"""),5.0)</f>
        <v>5</v>
      </c>
      <c r="G1907" s="13">
        <f>IFERROR(__xludf.DUMMYFUNCTION("""COMPUTED_VALUE"""),1.0)</f>
        <v>1</v>
      </c>
      <c r="H1907" s="13">
        <f>IFERROR(__xludf.DUMMYFUNCTION("""COMPUTED_VALUE"""),0.0)</f>
        <v>0</v>
      </c>
      <c r="I1907" s="13" t="str">
        <f>IFERROR(__xludf.DUMMYFUNCTION("""COMPUTED_VALUE"""),"General")</f>
        <v>General</v>
      </c>
      <c r="J1907" s="13" t="str">
        <f>IFERROR(__xludf.DUMMYFUNCTION("""COMPUTED_VALUE"""),"Dresses")</f>
        <v>Dresses</v>
      </c>
      <c r="K1907" s="13" t="str">
        <f>IFERROR(__xludf.DUMMYFUNCTION("""COMPUTED_VALUE"""),"Dresses")</f>
        <v>Dresses</v>
      </c>
      <c r="L1907" s="13"/>
    </row>
    <row r="1908">
      <c r="A1908" s="13">
        <f>IFERROR(__xludf.DUMMYFUNCTION("""COMPUTED_VALUE"""),1906.0)</f>
        <v>1906</v>
      </c>
      <c r="B1908" s="13">
        <f>IFERROR(__xludf.DUMMYFUNCTION("""COMPUTED_VALUE"""),1081.0)</f>
        <v>1081</v>
      </c>
      <c r="C1908" s="13">
        <f>IFERROR(__xludf.DUMMYFUNCTION("""COMPUTED_VALUE"""),47.0)</f>
        <v>47</v>
      </c>
      <c r="D1908" s="12" t="str">
        <f>IFERROR(__xludf.DUMMYFUNCTION("""COMPUTED_VALUE"""),"Square")</f>
        <v>Square</v>
      </c>
      <c r="E1908" s="12" t="str">
        <f>IFERROR(__xludf.DUMMYFUNCTION("""COMPUTED_VALUE"""),"Short and wide. the color and print are so pretty, but the shape isn't flattering, at least not to me. might work better on a teen?")</f>
        <v>Short and wide. the color and print are so pretty, but the shape isn't flattering, at least not to me. might work better on a teen?</v>
      </c>
      <c r="F1908" s="13">
        <f>IFERROR(__xludf.DUMMYFUNCTION("""COMPUTED_VALUE"""),3.0)</f>
        <v>3</v>
      </c>
      <c r="G1908" s="13">
        <f>IFERROR(__xludf.DUMMYFUNCTION("""COMPUTED_VALUE"""),0.0)</f>
        <v>0</v>
      </c>
      <c r="H1908" s="13">
        <f>IFERROR(__xludf.DUMMYFUNCTION("""COMPUTED_VALUE"""),0.0)</f>
        <v>0</v>
      </c>
      <c r="I1908" s="13" t="str">
        <f>IFERROR(__xludf.DUMMYFUNCTION("""COMPUTED_VALUE"""),"General")</f>
        <v>General</v>
      </c>
      <c r="J1908" s="13" t="str">
        <f>IFERROR(__xludf.DUMMYFUNCTION("""COMPUTED_VALUE"""),"Dresses")</f>
        <v>Dresses</v>
      </c>
      <c r="K1908" s="13" t="str">
        <f>IFERROR(__xludf.DUMMYFUNCTION("""COMPUTED_VALUE"""),"Dresses")</f>
        <v>Dresses</v>
      </c>
      <c r="L1908" s="13"/>
    </row>
    <row r="1909">
      <c r="A1909" s="13">
        <f>IFERROR(__xludf.DUMMYFUNCTION("""COMPUTED_VALUE"""),1907.0)</f>
        <v>1907</v>
      </c>
      <c r="B1909" s="13">
        <f>IFERROR(__xludf.DUMMYFUNCTION("""COMPUTED_VALUE"""),1059.0)</f>
        <v>1059</v>
      </c>
      <c r="C1909" s="13">
        <f>IFERROR(__xludf.DUMMYFUNCTION("""COMPUTED_VALUE"""),54.0)</f>
        <v>54</v>
      </c>
      <c r="D1909" s="12" t="str">
        <f>IFERROR(__xludf.DUMMYFUNCTION("""COMPUTED_VALUE"""),"Off the grid")</f>
        <v>Off the grid</v>
      </c>
      <c r="E1909" s="12" t="str">
        <f>IFERROR(__xludf.DUMMYFUNCTION("""COMPUTED_VALUE"""),"Kicky looking pants, that i got at a bargain basement steal. i'd be kicking myself if i didn't buy them. can't wait to wear them once it warms up. they'll look great with a lightweight, boxy sweater and flats. i tried on the 4 and the 2 and the 2 is perfe"&amp;"ct. the fabric has a nice, fluid feel to it. i always swore to my husband i'd never wear plaids, but i guess i lied.")</f>
        <v>Kicky looking pants, that i got at a bargain basement steal. i'd be kicking myself if i didn't buy them. can't wait to wear them once it warms up. they'll look great with a lightweight, boxy sweater and flats. i tried on the 4 and the 2 and the 2 is perfect. the fabric has a nice, fluid feel to it. i always swore to my husband i'd never wear plaids, but i guess i lied.</v>
      </c>
      <c r="F1909" s="13">
        <f>IFERROR(__xludf.DUMMYFUNCTION("""COMPUTED_VALUE"""),5.0)</f>
        <v>5</v>
      </c>
      <c r="G1909" s="13">
        <f>IFERROR(__xludf.DUMMYFUNCTION("""COMPUTED_VALUE"""),1.0)</f>
        <v>1</v>
      </c>
      <c r="H1909" s="13">
        <f>IFERROR(__xludf.DUMMYFUNCTION("""COMPUTED_VALUE"""),0.0)</f>
        <v>0</v>
      </c>
      <c r="I1909" s="13" t="str">
        <f>IFERROR(__xludf.DUMMYFUNCTION("""COMPUTED_VALUE"""),"General Petite")</f>
        <v>General Petite</v>
      </c>
      <c r="J1909" s="13" t="str">
        <f>IFERROR(__xludf.DUMMYFUNCTION("""COMPUTED_VALUE"""),"Bottoms")</f>
        <v>Bottoms</v>
      </c>
      <c r="K1909" s="13" t="str">
        <f>IFERROR(__xludf.DUMMYFUNCTION("""COMPUTED_VALUE"""),"Pants")</f>
        <v>Pants</v>
      </c>
      <c r="L1909" s="13"/>
    </row>
    <row r="1910">
      <c r="A1910" s="13">
        <f>IFERROR(__xludf.DUMMYFUNCTION("""COMPUTED_VALUE"""),1908.0)</f>
        <v>1908</v>
      </c>
      <c r="B1910" s="13">
        <f>IFERROR(__xludf.DUMMYFUNCTION("""COMPUTED_VALUE"""),860.0)</f>
        <v>860</v>
      </c>
      <c r="C1910" s="13">
        <f>IFERROR(__xludf.DUMMYFUNCTION("""COMPUTED_VALUE"""),41.0)</f>
        <v>41</v>
      </c>
      <c r="D1910" s="12" t="str">
        <f>IFERROR(__xludf.DUMMYFUNCTION("""COMPUTED_VALUE"""),"Like, don't love")</f>
        <v>Like, don't love</v>
      </c>
      <c r="E1910" s="12" t="str">
        <f>IFERROR(__xludf.DUMMYFUNCTION("""COMPUTED_VALUE"""),"I'm keeping this blouse anyway. i purchased the olive and it's such a great color. i live in a warm climate and really don't need long sleeves, but since the color is so great and pairs well with a lot, i will keep it.")</f>
        <v>I'm keeping this blouse anyway. i purchased the olive and it's such a great color. i live in a warm climate and really don't need long sleeves, but since the color is so great and pairs well with a lot, i will keep it.</v>
      </c>
      <c r="F1910" s="13">
        <f>IFERROR(__xludf.DUMMYFUNCTION("""COMPUTED_VALUE"""),4.0)</f>
        <v>4</v>
      </c>
      <c r="G1910" s="13">
        <f>IFERROR(__xludf.DUMMYFUNCTION("""COMPUTED_VALUE"""),1.0)</f>
        <v>1</v>
      </c>
      <c r="H1910" s="13">
        <f>IFERROR(__xludf.DUMMYFUNCTION("""COMPUTED_VALUE"""),2.0)</f>
        <v>2</v>
      </c>
      <c r="I1910" s="13" t="str">
        <f>IFERROR(__xludf.DUMMYFUNCTION("""COMPUTED_VALUE"""),"General")</f>
        <v>General</v>
      </c>
      <c r="J1910" s="13" t="str">
        <f>IFERROR(__xludf.DUMMYFUNCTION("""COMPUTED_VALUE"""),"Tops")</f>
        <v>Tops</v>
      </c>
      <c r="K1910" s="13" t="str">
        <f>IFERROR(__xludf.DUMMYFUNCTION("""COMPUTED_VALUE"""),"Knits")</f>
        <v>Knits</v>
      </c>
      <c r="L1910" s="13"/>
    </row>
    <row r="1911">
      <c r="A1911" s="13">
        <f>IFERROR(__xludf.DUMMYFUNCTION("""COMPUTED_VALUE"""),1909.0)</f>
        <v>1909</v>
      </c>
      <c r="B1911" s="13">
        <f>IFERROR(__xludf.DUMMYFUNCTION("""COMPUTED_VALUE"""),1066.0)</f>
        <v>1066</v>
      </c>
      <c r="C1911" s="13">
        <f>IFERROR(__xludf.DUMMYFUNCTION("""COMPUTED_VALUE"""),56.0)</f>
        <v>56</v>
      </c>
      <c r="D1911" s="12" t="str">
        <f>IFERROR(__xludf.DUMMYFUNCTION("""COMPUTED_VALUE"""),"My favorite spring pants")</f>
        <v>My favorite spring pants</v>
      </c>
      <c r="E1911" s="12" t="str">
        <f>IFERROR(__xludf.DUMMYFUNCTION("""COMPUTED_VALUE"""),"I absolutely love these pants. i got the yellow and it is a beautiful, soft color. the fabric is soft and flowing. i am 5'1"", 102 lb and the 0 petite fit perfectly. some stated they are too long even in petite but i disagree. the patch pockets are darlin"&amp;"g. don't hesitate to try these pants out!")</f>
        <v>I absolutely love these pants. i got the yellow and it is a beautiful, soft color. the fabric is soft and flowing. i am 5'1", 102 lb and the 0 petite fit perfectly. some stated they are too long even in petite but i disagree. the patch pockets are darling. don't hesitate to try these pants out!</v>
      </c>
      <c r="F1911" s="13">
        <f>IFERROR(__xludf.DUMMYFUNCTION("""COMPUTED_VALUE"""),5.0)</f>
        <v>5</v>
      </c>
      <c r="G1911" s="13">
        <f>IFERROR(__xludf.DUMMYFUNCTION("""COMPUTED_VALUE"""),1.0)</f>
        <v>1</v>
      </c>
      <c r="H1911" s="13">
        <f>IFERROR(__xludf.DUMMYFUNCTION("""COMPUTED_VALUE"""),3.0)</f>
        <v>3</v>
      </c>
      <c r="I1911" s="13" t="str">
        <f>IFERROR(__xludf.DUMMYFUNCTION("""COMPUTED_VALUE"""),"General Petite")</f>
        <v>General Petite</v>
      </c>
      <c r="J1911" s="13" t="str">
        <f>IFERROR(__xludf.DUMMYFUNCTION("""COMPUTED_VALUE"""),"Bottoms")</f>
        <v>Bottoms</v>
      </c>
      <c r="K1911" s="13" t="str">
        <f>IFERROR(__xludf.DUMMYFUNCTION("""COMPUTED_VALUE"""),"Pants")</f>
        <v>Pants</v>
      </c>
      <c r="L1911" s="13"/>
    </row>
    <row r="1912">
      <c r="A1912" s="13">
        <f>IFERROR(__xludf.DUMMYFUNCTION("""COMPUTED_VALUE"""),1910.0)</f>
        <v>1910</v>
      </c>
      <c r="B1912" s="13">
        <f>IFERROR(__xludf.DUMMYFUNCTION("""COMPUTED_VALUE"""),1146.0)</f>
        <v>1146</v>
      </c>
      <c r="C1912" s="13">
        <f>IFERROR(__xludf.DUMMYFUNCTION("""COMPUTED_VALUE"""),66.0)</f>
        <v>66</v>
      </c>
      <c r="D1912" s="12" t="str">
        <f>IFERROR(__xludf.DUMMYFUNCTION("""COMPUTED_VALUE"""),"Odd fit")</f>
        <v>Odd fit</v>
      </c>
      <c r="E1912" s="12" t="str">
        <f>IFERROR(__xludf.DUMMYFUNCTION("""COMPUTED_VALUE"""),"I was excited to try something by this designer and decided to order size large. unfortunately, this top just looked very odd. cute from the front but it wings out in the back where the sleeves meet the arms. the fabric makes an odd poof in that area. i d"&amp;"o have a large bust and it didn't pull anywhere in the front. i expected it to be soft and drapey but the cotton feels very coarse and doesn't drape well. it covered my behind in back. unfortunately it made me look wide from the side view. i hav")</f>
        <v>I was excited to try something by this designer and decided to order size large. unfortunately, this top just looked very odd. cute from the front but it wings out in the back where the sleeves meet the arms. the fabric makes an odd poof in that area. i do have a large bust and it didn't pull anywhere in the front. i expected it to be soft and drapey but the cotton feels very coarse and doesn't drape well. it covered my behind in back. unfortunately it made me look wide from the side view. i hav</v>
      </c>
      <c r="F1912" s="13">
        <f>IFERROR(__xludf.DUMMYFUNCTION("""COMPUTED_VALUE"""),3.0)</f>
        <v>3</v>
      </c>
      <c r="G1912" s="13">
        <f>IFERROR(__xludf.DUMMYFUNCTION("""COMPUTED_VALUE"""),1.0)</f>
        <v>1</v>
      </c>
      <c r="H1912" s="13">
        <f>IFERROR(__xludf.DUMMYFUNCTION("""COMPUTED_VALUE"""),10.0)</f>
        <v>10</v>
      </c>
      <c r="I1912" s="13" t="str">
        <f>IFERROR(__xludf.DUMMYFUNCTION("""COMPUTED_VALUE"""),"General")</f>
        <v>General</v>
      </c>
      <c r="J1912" s="13" t="str">
        <f>IFERROR(__xludf.DUMMYFUNCTION("""COMPUTED_VALUE"""),"Trend")</f>
        <v>Trend</v>
      </c>
      <c r="K1912" s="13" t="str">
        <f>IFERROR(__xludf.DUMMYFUNCTION("""COMPUTED_VALUE"""),"Trend")</f>
        <v>Trend</v>
      </c>
      <c r="L1912" s="13"/>
    </row>
    <row r="1913">
      <c r="A1913" s="13">
        <f>IFERROR(__xludf.DUMMYFUNCTION("""COMPUTED_VALUE"""),1911.0)</f>
        <v>1911</v>
      </c>
      <c r="B1913" s="13">
        <f>IFERROR(__xludf.DUMMYFUNCTION("""COMPUTED_VALUE"""),206.0)</f>
        <v>206</v>
      </c>
      <c r="C1913" s="13">
        <f>IFERROR(__xludf.DUMMYFUNCTION("""COMPUTED_VALUE"""),39.0)</f>
        <v>39</v>
      </c>
      <c r="D1913" s="12" t="str">
        <f>IFERROR(__xludf.DUMMYFUNCTION("""COMPUTED_VALUE"""),"Can't resist hot air balloons!")</f>
        <v>Can't resist hot air balloons!</v>
      </c>
      <c r="E1913" s="12" t="str">
        <f>IFERROR(__xludf.DUMMYFUNCTION("""COMPUTED_VALUE"""),"I am powerless to resist hot air balloons and had to get these the moment they popped up! the pjs are charming and comfortable. the material feels very satiny. it's hard to tell, but there are small white dots in the midst of the champagne colored backgro"&amp;"und. true to size.")</f>
        <v>I am powerless to resist hot air balloons and had to get these the moment they popped up! the pjs are charming and comfortable. the material feels very satiny. it's hard to tell, but there are small white dots in the midst of the champagne colored background. true to size.</v>
      </c>
      <c r="F1913" s="13">
        <f>IFERROR(__xludf.DUMMYFUNCTION("""COMPUTED_VALUE"""),5.0)</f>
        <v>5</v>
      </c>
      <c r="G1913" s="13">
        <f>IFERROR(__xludf.DUMMYFUNCTION("""COMPUTED_VALUE"""),1.0)</f>
        <v>1</v>
      </c>
      <c r="H1913" s="13">
        <f>IFERROR(__xludf.DUMMYFUNCTION("""COMPUTED_VALUE"""),2.0)</f>
        <v>2</v>
      </c>
      <c r="I1913" s="13" t="str">
        <f>IFERROR(__xludf.DUMMYFUNCTION("""COMPUTED_VALUE"""),"Initmates")</f>
        <v>Initmates</v>
      </c>
      <c r="J1913" s="13" t="str">
        <f>IFERROR(__xludf.DUMMYFUNCTION("""COMPUTED_VALUE"""),"Intimate")</f>
        <v>Intimate</v>
      </c>
      <c r="K1913" s="13" t="str">
        <f>IFERROR(__xludf.DUMMYFUNCTION("""COMPUTED_VALUE"""),"Sleep")</f>
        <v>Sleep</v>
      </c>
      <c r="L1913" s="13"/>
    </row>
    <row r="1914">
      <c r="A1914" s="13">
        <f>IFERROR(__xludf.DUMMYFUNCTION("""COMPUTED_VALUE"""),1912.0)</f>
        <v>1912</v>
      </c>
      <c r="B1914" s="13">
        <f>IFERROR(__xludf.DUMMYFUNCTION("""COMPUTED_VALUE"""),1066.0)</f>
        <v>1066</v>
      </c>
      <c r="C1914" s="13">
        <f>IFERROR(__xludf.DUMMYFUNCTION("""COMPUTED_VALUE"""),49.0)</f>
        <v>49</v>
      </c>
      <c r="D1914" s="12" t="str">
        <f>IFERROR(__xludf.DUMMYFUNCTION("""COMPUTED_VALUE"""),"Dreamy pants")</f>
        <v>Dreamy pants</v>
      </c>
      <c r="E1914" s="12" t="str">
        <f>IFERROR(__xludf.DUMMYFUNCTION("""COMPUTED_VALUE"""),"These pants are exactly what i expected. true to size and color were perfect! they feel so good to wear and love the detail in the sewing. perfect office attire or night out for dinner. just add a fancier blouse. ta da :)
would highly recommend them.")</f>
        <v>These pants are exactly what i expected. true to size and color were perfect! they feel so good to wear and love the detail in the sewing. perfect office attire or night out for dinner. just add a fancier blouse. ta da :)
would highly recommend them.</v>
      </c>
      <c r="F1914" s="13">
        <f>IFERROR(__xludf.DUMMYFUNCTION("""COMPUTED_VALUE"""),5.0)</f>
        <v>5</v>
      </c>
      <c r="G1914" s="13">
        <f>IFERROR(__xludf.DUMMYFUNCTION("""COMPUTED_VALUE"""),1.0)</f>
        <v>1</v>
      </c>
      <c r="H1914" s="13">
        <f>IFERROR(__xludf.DUMMYFUNCTION("""COMPUTED_VALUE"""),2.0)</f>
        <v>2</v>
      </c>
      <c r="I1914" s="13" t="str">
        <f>IFERROR(__xludf.DUMMYFUNCTION("""COMPUTED_VALUE"""),"General Petite")</f>
        <v>General Petite</v>
      </c>
      <c r="J1914" s="13" t="str">
        <f>IFERROR(__xludf.DUMMYFUNCTION("""COMPUTED_VALUE"""),"Bottoms")</f>
        <v>Bottoms</v>
      </c>
      <c r="K1914" s="13" t="str">
        <f>IFERROR(__xludf.DUMMYFUNCTION("""COMPUTED_VALUE"""),"Pants")</f>
        <v>Pants</v>
      </c>
      <c r="L1914" s="13"/>
    </row>
    <row r="1915">
      <c r="A1915" s="13">
        <f>IFERROR(__xludf.DUMMYFUNCTION("""COMPUTED_VALUE"""),1913.0)</f>
        <v>1913</v>
      </c>
      <c r="B1915" s="13">
        <f>IFERROR(__xludf.DUMMYFUNCTION("""COMPUTED_VALUE"""),1059.0)</f>
        <v>1059</v>
      </c>
      <c r="C1915" s="13">
        <f>IFERROR(__xludf.DUMMYFUNCTION("""COMPUTED_VALUE"""),57.0)</f>
        <v>57</v>
      </c>
      <c r="D1915" s="12" t="str">
        <f>IFERROR(__xludf.DUMMYFUNCTION("""COMPUTED_VALUE"""),"Perfect summer crop")</f>
        <v>Perfect summer crop</v>
      </c>
      <c r="E1915" s="12" t="str">
        <f>IFERROR(__xludf.DUMMYFUNCTION("""COMPUTED_VALUE"""),"I will be living in these this summer! i couldn't find them in my local store, so i was pleasantly surprised when i received my grey pair from my online order. the fabric feels so comfortable with just the right amount of stretch and the cut is very compl"&amp;"imentary to those of us with athletic thighs. i was so pleased that i bought a black pair and discovered they look adorable with my tall boots and a black boxy sweater. they've already become my ""go to"" pants. everyone should have a fun pair of")</f>
        <v>I will be living in these this summer! i couldn't find them in my local store, so i was pleasantly surprised when i received my grey pair from my online order. the fabric feels so comfortable with just the right amount of stretch and the cut is very complimentary to those of us with athletic thighs. i was so pleased that i bought a black pair and discovered they look adorable with my tall boots and a black boxy sweater. they've already become my "go to" pants. everyone should have a fun pair of</v>
      </c>
      <c r="F1915" s="13">
        <f>IFERROR(__xludf.DUMMYFUNCTION("""COMPUTED_VALUE"""),5.0)</f>
        <v>5</v>
      </c>
      <c r="G1915" s="13">
        <f>IFERROR(__xludf.DUMMYFUNCTION("""COMPUTED_VALUE"""),1.0)</f>
        <v>1</v>
      </c>
      <c r="H1915" s="13">
        <f>IFERROR(__xludf.DUMMYFUNCTION("""COMPUTED_VALUE"""),0.0)</f>
        <v>0</v>
      </c>
      <c r="I1915" s="13" t="str">
        <f>IFERROR(__xludf.DUMMYFUNCTION("""COMPUTED_VALUE"""),"General Petite")</f>
        <v>General Petite</v>
      </c>
      <c r="J1915" s="13" t="str">
        <f>IFERROR(__xludf.DUMMYFUNCTION("""COMPUTED_VALUE"""),"Bottoms")</f>
        <v>Bottoms</v>
      </c>
      <c r="K1915" s="13" t="str">
        <f>IFERROR(__xludf.DUMMYFUNCTION("""COMPUTED_VALUE"""),"Pants")</f>
        <v>Pants</v>
      </c>
      <c r="L1915" s="13"/>
    </row>
    <row r="1916">
      <c r="A1916" s="13">
        <f>IFERROR(__xludf.DUMMYFUNCTION("""COMPUTED_VALUE"""),1914.0)</f>
        <v>1914</v>
      </c>
      <c r="B1916" s="13">
        <f>IFERROR(__xludf.DUMMYFUNCTION("""COMPUTED_VALUE"""),1066.0)</f>
        <v>1066</v>
      </c>
      <c r="C1916" s="13">
        <f>IFERROR(__xludf.DUMMYFUNCTION("""COMPUTED_VALUE"""),57.0)</f>
        <v>57</v>
      </c>
      <c r="D1916" s="12" t="str">
        <f>IFERROR(__xludf.DUMMYFUNCTION("""COMPUTED_VALUE"""),"Nice summer pants.")</f>
        <v>Nice summer pants.</v>
      </c>
      <c r="E1916" s="12" t="str">
        <f>IFERROR(__xludf.DUMMYFUNCTION("""COMPUTED_VALUE"""),"1. i'm 5'5"" tall, 143 lbs, and 38-32-40 and my normal size 10s fit me perfectly.")</f>
        <v>1. i'm 5'5" tall, 143 lbs, and 38-32-40 and my normal size 10s fit me perfectly.</v>
      </c>
      <c r="F1916" s="13">
        <f>IFERROR(__xludf.DUMMYFUNCTION("""COMPUTED_VALUE"""),5.0)</f>
        <v>5</v>
      </c>
      <c r="G1916" s="13">
        <f>IFERROR(__xludf.DUMMYFUNCTION("""COMPUTED_VALUE"""),1.0)</f>
        <v>1</v>
      </c>
      <c r="H1916" s="13">
        <f>IFERROR(__xludf.DUMMYFUNCTION("""COMPUTED_VALUE"""),5.0)</f>
        <v>5</v>
      </c>
      <c r="I1916" s="13" t="str">
        <f>IFERROR(__xludf.DUMMYFUNCTION("""COMPUTED_VALUE"""),"General Petite")</f>
        <v>General Petite</v>
      </c>
      <c r="J1916" s="13" t="str">
        <f>IFERROR(__xludf.DUMMYFUNCTION("""COMPUTED_VALUE"""),"Bottoms")</f>
        <v>Bottoms</v>
      </c>
      <c r="K1916" s="13" t="str">
        <f>IFERROR(__xludf.DUMMYFUNCTION("""COMPUTED_VALUE"""),"Pants")</f>
        <v>Pants</v>
      </c>
      <c r="L1916" s="13"/>
    </row>
    <row r="1917">
      <c r="A1917" s="13">
        <f>IFERROR(__xludf.DUMMYFUNCTION("""COMPUTED_VALUE"""),1915.0)</f>
        <v>1915</v>
      </c>
      <c r="B1917" s="13">
        <f>IFERROR(__xludf.DUMMYFUNCTION("""COMPUTED_VALUE"""),1082.0)</f>
        <v>1082</v>
      </c>
      <c r="C1917" s="13">
        <f>IFERROR(__xludf.DUMMYFUNCTION("""COMPUTED_VALUE"""),35.0)</f>
        <v>35</v>
      </c>
      <c r="D1917" s="12"/>
      <c r="E1917" s="12" t="str">
        <f>IFERROR(__xludf.DUMMYFUNCTION("""COMPUTED_VALUE"""),"Gorgeous dress. perfect for something special. paired with black heels. runs a touch large. i normally wear a small (5'6 and 140 pounds) but i'm expecting so i sized up to a medium and it's very roomy. the sleeves do cap out a little too much but it's jus"&amp;"t so pretty i don't care! def a keeper.")</f>
        <v>Gorgeous dress. perfect for something special. paired with black heels. runs a touch large. i normally wear a small (5'6 and 140 pounds) but i'm expecting so i sized up to a medium and it's very roomy. the sleeves do cap out a little too much but it's just so pretty i don't care! def a keeper.</v>
      </c>
      <c r="F1917" s="13">
        <f>IFERROR(__xludf.DUMMYFUNCTION("""COMPUTED_VALUE"""),5.0)</f>
        <v>5</v>
      </c>
      <c r="G1917" s="13">
        <f>IFERROR(__xludf.DUMMYFUNCTION("""COMPUTED_VALUE"""),1.0)</f>
        <v>1</v>
      </c>
      <c r="H1917" s="13">
        <f>IFERROR(__xludf.DUMMYFUNCTION("""COMPUTED_VALUE"""),1.0)</f>
        <v>1</v>
      </c>
      <c r="I1917" s="13" t="str">
        <f>IFERROR(__xludf.DUMMYFUNCTION("""COMPUTED_VALUE"""),"General Petite")</f>
        <v>General Petite</v>
      </c>
      <c r="J1917" s="13" t="str">
        <f>IFERROR(__xludf.DUMMYFUNCTION("""COMPUTED_VALUE"""),"Dresses")</f>
        <v>Dresses</v>
      </c>
      <c r="K1917" s="13" t="str">
        <f>IFERROR(__xludf.DUMMYFUNCTION("""COMPUTED_VALUE"""),"Dresses")</f>
        <v>Dresses</v>
      </c>
      <c r="L1917" s="13"/>
    </row>
    <row r="1918">
      <c r="A1918" s="13">
        <f>IFERROR(__xludf.DUMMYFUNCTION("""COMPUTED_VALUE"""),1916.0)</f>
        <v>1916</v>
      </c>
      <c r="B1918" s="13">
        <f>IFERROR(__xludf.DUMMYFUNCTION("""COMPUTED_VALUE"""),1035.0)</f>
        <v>1035</v>
      </c>
      <c r="C1918" s="13">
        <f>IFERROR(__xludf.DUMMYFUNCTION("""COMPUTED_VALUE"""),32.0)</f>
        <v>32</v>
      </c>
      <c r="D1918" s="12" t="str">
        <f>IFERROR(__xludf.DUMMYFUNCTION("""COMPUTED_VALUE"""),"Awesome versatile jeans")</f>
        <v>Awesome versatile jeans</v>
      </c>
      <c r="E1918" s="12" t="str">
        <f>IFERROR(__xludf.DUMMYFUNCTION("""COMPUTED_VALUE"""),"The perfect jeans for daytime and bending down with the kids or dressing up later for night. i love that the cuff isn't sewn, so you can choose to roll them down too. with just the right amount of stretch, they are extremely flattering. they are definitel"&amp;"y my new favorite pair this season!")</f>
        <v>The perfect jeans for daytime and bending down with the kids or dressing up later for night. i love that the cuff isn't sewn, so you can choose to roll them down too. with just the right amount of stretch, they are extremely flattering. they are definitely my new favorite pair this season!</v>
      </c>
      <c r="F1918" s="13">
        <f>IFERROR(__xludf.DUMMYFUNCTION("""COMPUTED_VALUE"""),5.0)</f>
        <v>5</v>
      </c>
      <c r="G1918" s="13">
        <f>IFERROR(__xludf.DUMMYFUNCTION("""COMPUTED_VALUE"""),1.0)</f>
        <v>1</v>
      </c>
      <c r="H1918" s="13">
        <f>IFERROR(__xludf.DUMMYFUNCTION("""COMPUTED_VALUE"""),1.0)</f>
        <v>1</v>
      </c>
      <c r="I1918" s="13" t="str">
        <f>IFERROR(__xludf.DUMMYFUNCTION("""COMPUTED_VALUE"""),"General Petite")</f>
        <v>General Petite</v>
      </c>
      <c r="J1918" s="13" t="str">
        <f>IFERROR(__xludf.DUMMYFUNCTION("""COMPUTED_VALUE"""),"Bottoms")</f>
        <v>Bottoms</v>
      </c>
      <c r="K1918" s="13" t="str">
        <f>IFERROR(__xludf.DUMMYFUNCTION("""COMPUTED_VALUE"""),"Jeans")</f>
        <v>Jeans</v>
      </c>
      <c r="L1918" s="13"/>
    </row>
    <row r="1919">
      <c r="A1919" s="13">
        <f>IFERROR(__xludf.DUMMYFUNCTION("""COMPUTED_VALUE"""),1917.0)</f>
        <v>1917</v>
      </c>
      <c r="B1919" s="13">
        <f>IFERROR(__xludf.DUMMYFUNCTION("""COMPUTED_VALUE"""),1066.0)</f>
        <v>1066</v>
      </c>
      <c r="C1919" s="13">
        <f>IFERROR(__xludf.DUMMYFUNCTION("""COMPUTED_VALUE"""),72.0)</f>
        <v>72</v>
      </c>
      <c r="D1919" s="12" t="str">
        <f>IFERROR(__xludf.DUMMYFUNCTION("""COMPUTED_VALUE"""),"Love! but more tall options, please!")</f>
        <v>Love! but more tall options, please!</v>
      </c>
      <c r="E1919" s="12" t="str">
        <f>IFERROR(__xludf.DUMMYFUNCTION("""COMPUTED_VALUE"""),"These pants are so great. i am 5'10 and the talls are actually a hair too long. but no complaints! just wish they made every color available in tall. i had been waiting for new colors to get a second pair and was disappointed they are only offered in regu"&amp;"lar length. but overall these pants are super comfortable and great for work. as far as sizing goes, i wear a 29 in the pilcro cord leggings and wear a 12 in these.")</f>
        <v>These pants are so great. i am 5'10 and the talls are actually a hair too long. but no complaints! just wish they made every color available in tall. i had been waiting for new colors to get a second pair and was disappointed they are only offered in regular length. but overall these pants are super comfortable and great for work. as far as sizing goes, i wear a 29 in the pilcro cord leggings and wear a 12 in these.</v>
      </c>
      <c r="F1919" s="13">
        <f>IFERROR(__xludf.DUMMYFUNCTION("""COMPUTED_VALUE"""),5.0)</f>
        <v>5</v>
      </c>
      <c r="G1919" s="13">
        <f>IFERROR(__xludf.DUMMYFUNCTION("""COMPUTED_VALUE"""),1.0)</f>
        <v>1</v>
      </c>
      <c r="H1919" s="13">
        <f>IFERROR(__xludf.DUMMYFUNCTION("""COMPUTED_VALUE"""),11.0)</f>
        <v>11</v>
      </c>
      <c r="I1919" s="13" t="str">
        <f>IFERROR(__xludf.DUMMYFUNCTION("""COMPUTED_VALUE"""),"General Petite")</f>
        <v>General Petite</v>
      </c>
      <c r="J1919" s="13" t="str">
        <f>IFERROR(__xludf.DUMMYFUNCTION("""COMPUTED_VALUE"""),"Bottoms")</f>
        <v>Bottoms</v>
      </c>
      <c r="K1919" s="13" t="str">
        <f>IFERROR(__xludf.DUMMYFUNCTION("""COMPUTED_VALUE"""),"Pants")</f>
        <v>Pants</v>
      </c>
      <c r="L1919" s="13"/>
    </row>
    <row r="1920">
      <c r="A1920" s="13">
        <f>IFERROR(__xludf.DUMMYFUNCTION("""COMPUTED_VALUE"""),1918.0)</f>
        <v>1918</v>
      </c>
      <c r="B1920" s="13">
        <f>IFERROR(__xludf.DUMMYFUNCTION("""COMPUTED_VALUE"""),1066.0)</f>
        <v>1066</v>
      </c>
      <c r="C1920" s="13">
        <f>IFERROR(__xludf.DUMMYFUNCTION("""COMPUTED_VALUE"""),36.0)</f>
        <v>36</v>
      </c>
      <c r="D1920" s="12" t="str">
        <f>IFERROR(__xludf.DUMMYFUNCTION("""COMPUTED_VALUE"""),"Great pants, a tad long in petite")</f>
        <v>Great pants, a tad long in petite</v>
      </c>
      <c r="E1920" s="12" t="str">
        <f>IFERROR(__xludf.DUMMYFUNCTION("""COMPUTED_VALUE"""),"I love these pants and have two colors from last season. they are well-made and versatile. however, given the amount they stretch and the summer season for sandals, 30.5 is a tad long for petite. i'll have them hemmed an inch to keep them from dragging on"&amp;" the floor. also, i wish the coral and green came in petite.")</f>
        <v>I love these pants and have two colors from last season. they are well-made and versatile. however, given the amount they stretch and the summer season for sandals, 30.5 is a tad long for petite. i'll have them hemmed an inch to keep them from dragging on the floor. also, i wish the coral and green came in petite.</v>
      </c>
      <c r="F1920" s="13">
        <f>IFERROR(__xludf.DUMMYFUNCTION("""COMPUTED_VALUE"""),4.0)</f>
        <v>4</v>
      </c>
      <c r="G1920" s="13">
        <f>IFERROR(__xludf.DUMMYFUNCTION("""COMPUTED_VALUE"""),1.0)</f>
        <v>1</v>
      </c>
      <c r="H1920" s="13">
        <f>IFERROR(__xludf.DUMMYFUNCTION("""COMPUTED_VALUE"""),1.0)</f>
        <v>1</v>
      </c>
      <c r="I1920" s="13" t="str">
        <f>IFERROR(__xludf.DUMMYFUNCTION("""COMPUTED_VALUE"""),"General Petite")</f>
        <v>General Petite</v>
      </c>
      <c r="J1920" s="13" t="str">
        <f>IFERROR(__xludf.DUMMYFUNCTION("""COMPUTED_VALUE"""),"Bottoms")</f>
        <v>Bottoms</v>
      </c>
      <c r="K1920" s="13" t="str">
        <f>IFERROR(__xludf.DUMMYFUNCTION("""COMPUTED_VALUE"""),"Pants")</f>
        <v>Pants</v>
      </c>
      <c r="L1920" s="13"/>
    </row>
    <row r="1921">
      <c r="A1921" s="13">
        <f>IFERROR(__xludf.DUMMYFUNCTION("""COMPUTED_VALUE"""),1919.0)</f>
        <v>1919</v>
      </c>
      <c r="B1921" s="13">
        <f>IFERROR(__xludf.DUMMYFUNCTION("""COMPUTED_VALUE"""),1035.0)</f>
        <v>1035</v>
      </c>
      <c r="C1921" s="13">
        <f>IFERROR(__xludf.DUMMYFUNCTION("""COMPUTED_VALUE"""),41.0)</f>
        <v>41</v>
      </c>
      <c r="D1921" s="12" t="str">
        <f>IFERROR(__xludf.DUMMYFUNCTION("""COMPUTED_VALUE"""),"Comfy and flattering")</f>
        <v>Comfy and flattering</v>
      </c>
      <c r="E1921" s="12" t="str">
        <f>IFERROR(__xludf.DUMMYFUNCTION("""COMPUTED_VALUE"""),"Love all pilcro, this is no exception. very flattering. slim fit but not skin tight. comfy!")</f>
        <v>Love all pilcro, this is no exception. very flattering. slim fit but not skin tight. comfy!</v>
      </c>
      <c r="F1921" s="13">
        <f>IFERROR(__xludf.DUMMYFUNCTION("""COMPUTED_VALUE"""),5.0)</f>
        <v>5</v>
      </c>
      <c r="G1921" s="13">
        <f>IFERROR(__xludf.DUMMYFUNCTION("""COMPUTED_VALUE"""),1.0)</f>
        <v>1</v>
      </c>
      <c r="H1921" s="13">
        <f>IFERROR(__xludf.DUMMYFUNCTION("""COMPUTED_VALUE"""),1.0)</f>
        <v>1</v>
      </c>
      <c r="I1921" s="13" t="str">
        <f>IFERROR(__xludf.DUMMYFUNCTION("""COMPUTED_VALUE"""),"General Petite")</f>
        <v>General Petite</v>
      </c>
      <c r="J1921" s="13" t="str">
        <f>IFERROR(__xludf.DUMMYFUNCTION("""COMPUTED_VALUE"""),"Bottoms")</f>
        <v>Bottoms</v>
      </c>
      <c r="K1921" s="13" t="str">
        <f>IFERROR(__xludf.DUMMYFUNCTION("""COMPUTED_VALUE"""),"Jeans")</f>
        <v>Jeans</v>
      </c>
      <c r="L1921" s="13"/>
    </row>
    <row r="1922">
      <c r="A1922" s="13">
        <f>IFERROR(__xludf.DUMMYFUNCTION("""COMPUTED_VALUE"""),1920.0)</f>
        <v>1920</v>
      </c>
      <c r="B1922" s="13">
        <f>IFERROR(__xludf.DUMMYFUNCTION("""COMPUTED_VALUE"""),828.0)</f>
        <v>828</v>
      </c>
      <c r="C1922" s="13">
        <f>IFERROR(__xludf.DUMMYFUNCTION("""COMPUTED_VALUE"""),25.0)</f>
        <v>25</v>
      </c>
      <c r="D1922" s="12" t="str">
        <f>IFERROR(__xludf.DUMMYFUNCTION("""COMPUTED_VALUE"""),"Great shirt, excellent details")</f>
        <v>Great shirt, excellent details</v>
      </c>
      <c r="E1922" s="12" t="str">
        <f>IFERROR(__xludf.DUMMYFUNCTION("""COMPUTED_VALUE"""),"I am so glad i waited for this to go on sale! this shirt is incredibly soft, with great detail on the fading. i ordered a medium (5'10"", 160 lbs) and it fits perfectly.")</f>
        <v>I am so glad i waited for this to go on sale! this shirt is incredibly soft, with great detail on the fading. i ordered a medium (5'10", 160 lbs) and it fits perfectly.</v>
      </c>
      <c r="F1922" s="13">
        <f>IFERROR(__xludf.DUMMYFUNCTION("""COMPUTED_VALUE"""),5.0)</f>
        <v>5</v>
      </c>
      <c r="G1922" s="13">
        <f>IFERROR(__xludf.DUMMYFUNCTION("""COMPUTED_VALUE"""),1.0)</f>
        <v>1</v>
      </c>
      <c r="H1922" s="13">
        <f>IFERROR(__xludf.DUMMYFUNCTION("""COMPUTED_VALUE"""),0.0)</f>
        <v>0</v>
      </c>
      <c r="I1922" s="13" t="str">
        <f>IFERROR(__xludf.DUMMYFUNCTION("""COMPUTED_VALUE"""),"General")</f>
        <v>General</v>
      </c>
      <c r="J1922" s="13" t="str">
        <f>IFERROR(__xludf.DUMMYFUNCTION("""COMPUTED_VALUE"""),"Tops")</f>
        <v>Tops</v>
      </c>
      <c r="K1922" s="13" t="str">
        <f>IFERROR(__xludf.DUMMYFUNCTION("""COMPUTED_VALUE"""),"Blouses")</f>
        <v>Blouses</v>
      </c>
      <c r="L1922" s="13"/>
    </row>
    <row r="1923">
      <c r="A1923" s="13">
        <f>IFERROR(__xludf.DUMMYFUNCTION("""COMPUTED_VALUE"""),1921.0)</f>
        <v>1921</v>
      </c>
      <c r="B1923" s="13">
        <f>IFERROR(__xludf.DUMMYFUNCTION("""COMPUTED_VALUE"""),1066.0)</f>
        <v>1066</v>
      </c>
      <c r="C1923" s="13">
        <f>IFERROR(__xludf.DUMMYFUNCTION("""COMPUTED_VALUE"""),60.0)</f>
        <v>60</v>
      </c>
      <c r="D1923" s="12"/>
      <c r="E1923" s="12" t="str">
        <f>IFERROR(__xludf.DUMMYFUNCTION("""COMPUTED_VALUE"""),"Nice length in tall.  order up one size: cut slim in body.  fabric lightweight bordering on flimsy.")</f>
        <v>Nice length in tall.  order up one size: cut slim in body.  fabric lightweight bordering on flimsy.</v>
      </c>
      <c r="F1923" s="13">
        <f>IFERROR(__xludf.DUMMYFUNCTION("""COMPUTED_VALUE"""),4.0)</f>
        <v>4</v>
      </c>
      <c r="G1923" s="13">
        <f>IFERROR(__xludf.DUMMYFUNCTION("""COMPUTED_VALUE"""),1.0)</f>
        <v>1</v>
      </c>
      <c r="H1923" s="13">
        <f>IFERROR(__xludf.DUMMYFUNCTION("""COMPUTED_VALUE"""),8.0)</f>
        <v>8</v>
      </c>
      <c r="I1923" s="13" t="str">
        <f>IFERROR(__xludf.DUMMYFUNCTION("""COMPUTED_VALUE"""),"General Petite")</f>
        <v>General Petite</v>
      </c>
      <c r="J1923" s="13" t="str">
        <f>IFERROR(__xludf.DUMMYFUNCTION("""COMPUTED_VALUE"""),"Bottoms")</f>
        <v>Bottoms</v>
      </c>
      <c r="K1923" s="13" t="str">
        <f>IFERROR(__xludf.DUMMYFUNCTION("""COMPUTED_VALUE"""),"Pants")</f>
        <v>Pants</v>
      </c>
      <c r="L1923" s="13"/>
    </row>
    <row r="1924">
      <c r="A1924" s="13">
        <f>IFERROR(__xludf.DUMMYFUNCTION("""COMPUTED_VALUE"""),1922.0)</f>
        <v>1922</v>
      </c>
      <c r="B1924" s="13">
        <f>IFERROR(__xludf.DUMMYFUNCTION("""COMPUTED_VALUE"""),1066.0)</f>
        <v>1066</v>
      </c>
      <c r="C1924" s="13">
        <f>IFERROR(__xludf.DUMMYFUNCTION("""COMPUTED_VALUE"""),49.0)</f>
        <v>49</v>
      </c>
      <c r="D1924" s="12" t="str">
        <f>IFERROR(__xludf.DUMMYFUNCTION("""COMPUTED_VALUE"""),"Cute pants")</f>
        <v>Cute pants</v>
      </c>
      <c r="E1924" s="12" t="str">
        <f>IFERROR(__xludf.DUMMYFUNCTION("""COMPUTED_VALUE"""),"The retailer store had mostly white left of these pilcro linen pants so i tried them on. the main reason i did not leave the store with them is because i could see the washing tag inside the pants as clear as day. the white pants were just too see-through"&amp;" and i was really looking for some casual items to wear to the office. if it was at least lined, these pants would have come home with me. otherwise, i think the fit was tts.")</f>
        <v>The retailer store had mostly white left of these pilcro linen pants so i tried them on. the main reason i did not leave the store with them is because i could see the washing tag inside the pants as clear as day. the white pants were just too see-through and i was really looking for some casual items to wear to the office. if it was at least lined, these pants would have come home with me. otherwise, i think the fit was tts.</v>
      </c>
      <c r="F1924" s="13">
        <f>IFERROR(__xludf.DUMMYFUNCTION("""COMPUTED_VALUE"""),4.0)</f>
        <v>4</v>
      </c>
      <c r="G1924" s="13">
        <f>IFERROR(__xludf.DUMMYFUNCTION("""COMPUTED_VALUE"""),1.0)</f>
        <v>1</v>
      </c>
      <c r="H1924" s="13">
        <f>IFERROR(__xludf.DUMMYFUNCTION("""COMPUTED_VALUE"""),0.0)</f>
        <v>0</v>
      </c>
      <c r="I1924" s="13" t="str">
        <f>IFERROR(__xludf.DUMMYFUNCTION("""COMPUTED_VALUE"""),"General Petite")</f>
        <v>General Petite</v>
      </c>
      <c r="J1924" s="13" t="str">
        <f>IFERROR(__xludf.DUMMYFUNCTION("""COMPUTED_VALUE"""),"Bottoms")</f>
        <v>Bottoms</v>
      </c>
      <c r="K1924" s="13" t="str">
        <f>IFERROR(__xludf.DUMMYFUNCTION("""COMPUTED_VALUE"""),"Pants")</f>
        <v>Pants</v>
      </c>
      <c r="L1924" s="13"/>
    </row>
    <row r="1925">
      <c r="A1925" s="13">
        <f>IFERROR(__xludf.DUMMYFUNCTION("""COMPUTED_VALUE"""),1923.0)</f>
        <v>1923</v>
      </c>
      <c r="B1925" s="13">
        <f>IFERROR(__xludf.DUMMYFUNCTION("""COMPUTED_VALUE"""),828.0)</f>
        <v>828</v>
      </c>
      <c r="C1925" s="13">
        <f>IFERROR(__xludf.DUMMYFUNCTION("""COMPUTED_VALUE"""),45.0)</f>
        <v>45</v>
      </c>
      <c r="D1925" s="12" t="str">
        <f>IFERROR(__xludf.DUMMYFUNCTION("""COMPUTED_VALUE"""),"Great take on a classic!")</f>
        <v>Great take on a classic!</v>
      </c>
      <c r="E1925" s="12" t="str">
        <f>IFERROR(__xludf.DUMMYFUNCTION("""COMPUTED_VALUE"""),"I had been looking for a chambray shirt, but am not a fan of the typical button-down style. this shirt is very versatile, but is far more interesting with the lace up neckline. i received multiple compliments the first time i wore it. the material is incr"&amp;"edibly soft, but i haven't laundered it yet, so i am not sure how it will holdup.")</f>
        <v>I had been looking for a chambray shirt, but am not a fan of the typical button-down style. this shirt is very versatile, but is far more interesting with the lace up neckline. i received multiple compliments the first time i wore it. the material is incredibly soft, but i haven't laundered it yet, so i am not sure how it will holdup.</v>
      </c>
      <c r="F1925" s="13">
        <f>IFERROR(__xludf.DUMMYFUNCTION("""COMPUTED_VALUE"""),5.0)</f>
        <v>5</v>
      </c>
      <c r="G1925" s="13">
        <f>IFERROR(__xludf.DUMMYFUNCTION("""COMPUTED_VALUE"""),1.0)</f>
        <v>1</v>
      </c>
      <c r="H1925" s="13">
        <f>IFERROR(__xludf.DUMMYFUNCTION("""COMPUTED_VALUE"""),0.0)</f>
        <v>0</v>
      </c>
      <c r="I1925" s="13" t="str">
        <f>IFERROR(__xludf.DUMMYFUNCTION("""COMPUTED_VALUE"""),"General")</f>
        <v>General</v>
      </c>
      <c r="J1925" s="13" t="str">
        <f>IFERROR(__xludf.DUMMYFUNCTION("""COMPUTED_VALUE"""),"Tops")</f>
        <v>Tops</v>
      </c>
      <c r="K1925" s="13" t="str">
        <f>IFERROR(__xludf.DUMMYFUNCTION("""COMPUTED_VALUE"""),"Blouses")</f>
        <v>Blouses</v>
      </c>
      <c r="L1925" s="13"/>
    </row>
    <row r="1926">
      <c r="A1926" s="13">
        <f>IFERROR(__xludf.DUMMYFUNCTION("""COMPUTED_VALUE"""),1924.0)</f>
        <v>1924</v>
      </c>
      <c r="B1926" s="13">
        <f>IFERROR(__xludf.DUMMYFUNCTION("""COMPUTED_VALUE"""),1059.0)</f>
        <v>1059</v>
      </c>
      <c r="C1926" s="13">
        <f>IFERROR(__xludf.DUMMYFUNCTION("""COMPUTED_VALUE"""),68.0)</f>
        <v>68</v>
      </c>
      <c r="D1926" s="12" t="str">
        <f>IFERROR(__xludf.DUMMYFUNCTION("""COMPUTED_VALUE"""),"Very cute, very, very cute")</f>
        <v>Very cute, very, very cute</v>
      </c>
      <c r="E1926" s="12" t="str">
        <f>IFERROR(__xludf.DUMMYFUNCTION("""COMPUTED_VALUE"""),"These pants are flattering and comfortable, plus they are cute, cute, cute. i'm a little too conservative to wear them with a striped top, but with a solid black or ivory/off white top they are perfect. can be work appropriate with a blazer or twin set or"&amp;" ""girlfriends'"" lunch appropriate with a tee or turtleneck. highly recommend")</f>
        <v>These pants are flattering and comfortable, plus they are cute, cute, cute. i'm a little too conservative to wear them with a striped top, but with a solid black or ivory/off white top they are perfect. can be work appropriate with a blazer or twin set or "girlfriends'" lunch appropriate with a tee or turtleneck. highly recommend</v>
      </c>
      <c r="F1926" s="13">
        <f>IFERROR(__xludf.DUMMYFUNCTION("""COMPUTED_VALUE"""),5.0)</f>
        <v>5</v>
      </c>
      <c r="G1926" s="13">
        <f>IFERROR(__xludf.DUMMYFUNCTION("""COMPUTED_VALUE"""),1.0)</f>
        <v>1</v>
      </c>
      <c r="H1926" s="13">
        <f>IFERROR(__xludf.DUMMYFUNCTION("""COMPUTED_VALUE"""),2.0)</f>
        <v>2</v>
      </c>
      <c r="I1926" s="13" t="str">
        <f>IFERROR(__xludf.DUMMYFUNCTION("""COMPUTED_VALUE"""),"General Petite")</f>
        <v>General Petite</v>
      </c>
      <c r="J1926" s="13" t="str">
        <f>IFERROR(__xludf.DUMMYFUNCTION("""COMPUTED_VALUE"""),"Bottoms")</f>
        <v>Bottoms</v>
      </c>
      <c r="K1926" s="13" t="str">
        <f>IFERROR(__xludf.DUMMYFUNCTION("""COMPUTED_VALUE"""),"Pants")</f>
        <v>Pants</v>
      </c>
      <c r="L1926" s="13"/>
    </row>
    <row r="1927">
      <c r="A1927" s="13">
        <f>IFERROR(__xludf.DUMMYFUNCTION("""COMPUTED_VALUE"""),1925.0)</f>
        <v>1925</v>
      </c>
      <c r="B1927" s="13">
        <f>IFERROR(__xludf.DUMMYFUNCTION("""COMPUTED_VALUE"""),1078.0)</f>
        <v>1078</v>
      </c>
      <c r="C1927" s="13">
        <f>IFERROR(__xludf.DUMMYFUNCTION("""COMPUTED_VALUE"""),28.0)</f>
        <v>28</v>
      </c>
      <c r="D1927" s="12" t="str">
        <f>IFERROR(__xludf.DUMMYFUNCTION("""COMPUTED_VALUE"""),"Gorgeous detailing")</f>
        <v>Gorgeous detailing</v>
      </c>
      <c r="E1927" s="12" t="str">
        <f>IFERROR(__xludf.DUMMYFUNCTION("""COMPUTED_VALUE"""),"I never write reviews but this dress is so fantastic i felt compelled to write one. it has unbelievably gorgeous detailing, from delicate beading and sequins on the bodice to the three layers of the skirt: slip, floral pattern, pleats. i literally feel li"&amp;"ke a princess/ greek muse in this dress. can't recommend it enough. true to size; i'm 5'7"" and 133 lb and got a size 4.")</f>
        <v>I never write reviews but this dress is so fantastic i felt compelled to write one. it has unbelievably gorgeous detailing, from delicate beading and sequins on the bodice to the three layers of the skirt: slip, floral pattern, pleats. i literally feel like a princess/ greek muse in this dress. can't recommend it enough. true to size; i'm 5'7" and 133 lb and got a size 4.</v>
      </c>
      <c r="F1927" s="13">
        <f>IFERROR(__xludf.DUMMYFUNCTION("""COMPUTED_VALUE"""),5.0)</f>
        <v>5</v>
      </c>
      <c r="G1927" s="13">
        <f>IFERROR(__xludf.DUMMYFUNCTION("""COMPUTED_VALUE"""),1.0)</f>
        <v>1</v>
      </c>
      <c r="H1927" s="13">
        <f>IFERROR(__xludf.DUMMYFUNCTION("""COMPUTED_VALUE"""),3.0)</f>
        <v>3</v>
      </c>
      <c r="I1927" s="13" t="str">
        <f>IFERROR(__xludf.DUMMYFUNCTION("""COMPUTED_VALUE"""),"General Petite")</f>
        <v>General Petite</v>
      </c>
      <c r="J1927" s="13" t="str">
        <f>IFERROR(__xludf.DUMMYFUNCTION("""COMPUTED_VALUE"""),"Dresses")</f>
        <v>Dresses</v>
      </c>
      <c r="K1927" s="13" t="str">
        <f>IFERROR(__xludf.DUMMYFUNCTION("""COMPUTED_VALUE"""),"Dresses")</f>
        <v>Dresses</v>
      </c>
      <c r="L1927" s="13"/>
    </row>
    <row r="1928">
      <c r="A1928" s="13">
        <f>IFERROR(__xludf.DUMMYFUNCTION("""COMPUTED_VALUE"""),1926.0)</f>
        <v>1926</v>
      </c>
      <c r="B1928" s="13">
        <f>IFERROR(__xludf.DUMMYFUNCTION("""COMPUTED_VALUE"""),1082.0)</f>
        <v>1082</v>
      </c>
      <c r="C1928" s="13">
        <f>IFERROR(__xludf.DUMMYFUNCTION("""COMPUTED_VALUE"""),59.0)</f>
        <v>59</v>
      </c>
      <c r="D1928" s="12" t="str">
        <f>IFERROR(__xludf.DUMMYFUNCTION("""COMPUTED_VALUE"""),"Very unflattering dress")</f>
        <v>Very unflattering dress</v>
      </c>
      <c r="E1928" s="12" t="str">
        <f>IFERROR(__xludf.DUMMYFUNCTION("""COMPUTED_VALUE"""),"This dress looks lovely on the model, but it looks just awful on me!
i am 5'4"" and curvy. the shoulders are cut w/ a weird shape. instead of a cap sleeve, it is like a pointy cap on the side and stuck out on my shoulders. it looks like i am ready to get "&amp;"beamed into space.
the material is nice and the sequins are pretty, but the cut of the dress is unflattering.")</f>
        <v>This dress looks lovely on the model, but it looks just awful on me!
i am 5'4" and curvy. the shoulders are cut w/ a weird shape. instead of a cap sleeve, it is like a pointy cap on the side and stuck out on my shoulders. it looks like i am ready to get beamed into space.
the material is nice and the sequins are pretty, but the cut of the dress is unflattering.</v>
      </c>
      <c r="F1928" s="13">
        <f>IFERROR(__xludf.DUMMYFUNCTION("""COMPUTED_VALUE"""),1.0)</f>
        <v>1</v>
      </c>
      <c r="G1928" s="13">
        <f>IFERROR(__xludf.DUMMYFUNCTION("""COMPUTED_VALUE"""),0.0)</f>
        <v>0</v>
      </c>
      <c r="H1928" s="13">
        <f>IFERROR(__xludf.DUMMYFUNCTION("""COMPUTED_VALUE"""),6.0)</f>
        <v>6</v>
      </c>
      <c r="I1928" s="13" t="str">
        <f>IFERROR(__xludf.DUMMYFUNCTION("""COMPUTED_VALUE"""),"General Petite")</f>
        <v>General Petite</v>
      </c>
      <c r="J1928" s="13" t="str">
        <f>IFERROR(__xludf.DUMMYFUNCTION("""COMPUTED_VALUE"""),"Dresses")</f>
        <v>Dresses</v>
      </c>
      <c r="K1928" s="13" t="str">
        <f>IFERROR(__xludf.DUMMYFUNCTION("""COMPUTED_VALUE"""),"Dresses")</f>
        <v>Dresses</v>
      </c>
      <c r="L1928" s="13"/>
    </row>
    <row r="1929">
      <c r="A1929" s="13">
        <f>IFERROR(__xludf.DUMMYFUNCTION("""COMPUTED_VALUE"""),1927.0)</f>
        <v>1927</v>
      </c>
      <c r="B1929" s="13">
        <f>IFERROR(__xludf.DUMMYFUNCTION("""COMPUTED_VALUE"""),1059.0)</f>
        <v>1059</v>
      </c>
      <c r="C1929" s="13">
        <f>IFERROR(__xludf.DUMMYFUNCTION("""COMPUTED_VALUE"""),38.0)</f>
        <v>38</v>
      </c>
      <c r="D1929" s="12" t="str">
        <f>IFERROR(__xludf.DUMMYFUNCTION("""COMPUTED_VALUE"""),"So cute")</f>
        <v>So cute</v>
      </c>
      <c r="E1929" s="12" t="str">
        <f>IFERROR(__xludf.DUMMYFUNCTION("""COMPUTED_VALUE"""),"These are great quality and hang very nice. tts. i'm 5'6"" and about 130lbs and the 2 fit and hit just above the ankle.")</f>
        <v>These are great quality and hang very nice. tts. i'm 5'6" and about 130lbs and the 2 fit and hit just above the ankle.</v>
      </c>
      <c r="F1929" s="13">
        <f>IFERROR(__xludf.DUMMYFUNCTION("""COMPUTED_VALUE"""),5.0)</f>
        <v>5</v>
      </c>
      <c r="G1929" s="13">
        <f>IFERROR(__xludf.DUMMYFUNCTION("""COMPUTED_VALUE"""),1.0)</f>
        <v>1</v>
      </c>
      <c r="H1929" s="13">
        <f>IFERROR(__xludf.DUMMYFUNCTION("""COMPUTED_VALUE"""),3.0)</f>
        <v>3</v>
      </c>
      <c r="I1929" s="13" t="str">
        <f>IFERROR(__xludf.DUMMYFUNCTION("""COMPUTED_VALUE"""),"General Petite")</f>
        <v>General Petite</v>
      </c>
      <c r="J1929" s="13" t="str">
        <f>IFERROR(__xludf.DUMMYFUNCTION("""COMPUTED_VALUE"""),"Bottoms")</f>
        <v>Bottoms</v>
      </c>
      <c r="K1929" s="13" t="str">
        <f>IFERROR(__xludf.DUMMYFUNCTION("""COMPUTED_VALUE"""),"Pants")</f>
        <v>Pants</v>
      </c>
      <c r="L1929" s="13"/>
    </row>
    <row r="1930">
      <c r="A1930" s="13">
        <f>IFERROR(__xludf.DUMMYFUNCTION("""COMPUTED_VALUE"""),1928.0)</f>
        <v>1928</v>
      </c>
      <c r="B1930" s="13">
        <f>IFERROR(__xludf.DUMMYFUNCTION("""COMPUTED_VALUE"""),860.0)</f>
        <v>860</v>
      </c>
      <c r="C1930" s="13">
        <f>IFERROR(__xludf.DUMMYFUNCTION("""COMPUTED_VALUE"""),28.0)</f>
        <v>28</v>
      </c>
      <c r="D1930" s="12"/>
      <c r="E1930" s="12"/>
      <c r="F1930" s="13">
        <f>IFERROR(__xludf.DUMMYFUNCTION("""COMPUTED_VALUE"""),5.0)</f>
        <v>5</v>
      </c>
      <c r="G1930" s="13">
        <f>IFERROR(__xludf.DUMMYFUNCTION("""COMPUTED_VALUE"""),1.0)</f>
        <v>1</v>
      </c>
      <c r="H1930" s="13">
        <f>IFERROR(__xludf.DUMMYFUNCTION("""COMPUTED_VALUE"""),0.0)</f>
        <v>0</v>
      </c>
      <c r="I1930" s="13" t="str">
        <f>IFERROR(__xludf.DUMMYFUNCTION("""COMPUTED_VALUE"""),"General")</f>
        <v>General</v>
      </c>
      <c r="J1930" s="13" t="str">
        <f>IFERROR(__xludf.DUMMYFUNCTION("""COMPUTED_VALUE"""),"Tops")</f>
        <v>Tops</v>
      </c>
      <c r="K1930" s="13" t="str">
        <f>IFERROR(__xludf.DUMMYFUNCTION("""COMPUTED_VALUE"""),"Knits")</f>
        <v>Knits</v>
      </c>
      <c r="L1930" s="13"/>
    </row>
    <row r="1931">
      <c r="A1931" s="13">
        <f>IFERROR(__xludf.DUMMYFUNCTION("""COMPUTED_VALUE"""),1929.0)</f>
        <v>1929</v>
      </c>
      <c r="B1931" s="13">
        <f>IFERROR(__xludf.DUMMYFUNCTION("""COMPUTED_VALUE"""),1066.0)</f>
        <v>1066</v>
      </c>
      <c r="C1931" s="13">
        <f>IFERROR(__xludf.DUMMYFUNCTION("""COMPUTED_VALUE"""),50.0)</f>
        <v>50</v>
      </c>
      <c r="D1931" s="12" t="str">
        <f>IFERROR(__xludf.DUMMYFUNCTION("""COMPUTED_VALUE"""),"Super cute wear well")</f>
        <v>Super cute wear well</v>
      </c>
      <c r="E1931" s="12" t="str">
        <f>IFERROR(__xludf.DUMMYFUNCTION("""COMPUTED_VALUE"""),"I ordered the neutral in a 2p. i had to hem them. i 5' about 110lbs. i wore them to wore. they wore beautifully with some wrinkling to be expected with linen. but they didn't look like i slept in them. i ordered another pair same size right after the firs"&amp;"t pair came and tried them on to find the fit tighter than the first pair. a bit disappointed. debating if they'll stay or get returned. i see the notes about stretching. overall a nice pant for the money.")</f>
        <v>I ordered the neutral in a 2p. i had to hem them. i 5' about 110lbs. i wore them to wore. they wore beautifully with some wrinkling to be expected with linen. but they didn't look like i slept in them. i ordered another pair same size right after the first pair came and tried them on to find the fit tighter than the first pair. a bit disappointed. debating if they'll stay or get returned. i see the notes about stretching. overall a nice pant for the money.</v>
      </c>
      <c r="F1931" s="13">
        <f>IFERROR(__xludf.DUMMYFUNCTION("""COMPUTED_VALUE"""),5.0)</f>
        <v>5</v>
      </c>
      <c r="G1931" s="13">
        <f>IFERROR(__xludf.DUMMYFUNCTION("""COMPUTED_VALUE"""),1.0)</f>
        <v>1</v>
      </c>
      <c r="H1931" s="13">
        <f>IFERROR(__xludf.DUMMYFUNCTION("""COMPUTED_VALUE"""),2.0)</f>
        <v>2</v>
      </c>
      <c r="I1931" s="13" t="str">
        <f>IFERROR(__xludf.DUMMYFUNCTION("""COMPUTED_VALUE"""),"General Petite")</f>
        <v>General Petite</v>
      </c>
      <c r="J1931" s="13" t="str">
        <f>IFERROR(__xludf.DUMMYFUNCTION("""COMPUTED_VALUE"""),"Bottoms")</f>
        <v>Bottoms</v>
      </c>
      <c r="K1931" s="13" t="str">
        <f>IFERROR(__xludf.DUMMYFUNCTION("""COMPUTED_VALUE"""),"Pants")</f>
        <v>Pants</v>
      </c>
      <c r="L1931" s="13"/>
    </row>
    <row r="1932">
      <c r="A1932" s="13">
        <f>IFERROR(__xludf.DUMMYFUNCTION("""COMPUTED_VALUE"""),1930.0)</f>
        <v>1930</v>
      </c>
      <c r="B1932" s="13">
        <f>IFERROR(__xludf.DUMMYFUNCTION("""COMPUTED_VALUE"""),1081.0)</f>
        <v>1081</v>
      </c>
      <c r="C1932" s="13">
        <f>IFERROR(__xludf.DUMMYFUNCTION("""COMPUTED_VALUE"""),55.0)</f>
        <v>55</v>
      </c>
      <c r="D1932" s="12" t="str">
        <f>IFERROR(__xludf.DUMMYFUNCTION("""COMPUTED_VALUE"""),"Almost.")</f>
        <v>Almost.</v>
      </c>
      <c r="E1932" s="12" t="str">
        <f>IFERROR(__xludf.DUMMYFUNCTION("""COMPUTED_VALUE"""),"It's pretty, floaty, feminine; the photos don't do justice to the prettiness. but the photos also don't show an asymmetrical hem. i understood it runs small so i got two sizes, to be safe, and even my larger size was strangely short-waisted, and i'm short"&amp;"-waisted to start with. maybe i could've lived with that, but both the dresses i received have an uneven hem unlike any i've ever worn or seen before. it's not longer on just the sides; the hem is longer in one spot on the front, and one in the")</f>
        <v>It's pretty, floaty, feminine; the photos don't do justice to the prettiness. but the photos also don't show an asymmetrical hem. i understood it runs small so i got two sizes, to be safe, and even my larger size was strangely short-waisted, and i'm short-waisted to start with. maybe i could've lived with that, but both the dresses i received have an uneven hem unlike any i've ever worn or seen before. it's not longer on just the sides; the hem is longer in one spot on the front, and one in the</v>
      </c>
      <c r="F1932" s="13">
        <f>IFERROR(__xludf.DUMMYFUNCTION("""COMPUTED_VALUE"""),2.0)</f>
        <v>2</v>
      </c>
      <c r="G1932" s="13">
        <f>IFERROR(__xludf.DUMMYFUNCTION("""COMPUTED_VALUE"""),0.0)</f>
        <v>0</v>
      </c>
      <c r="H1932" s="13">
        <f>IFERROR(__xludf.DUMMYFUNCTION("""COMPUTED_VALUE"""),3.0)</f>
        <v>3</v>
      </c>
      <c r="I1932" s="13" t="str">
        <f>IFERROR(__xludf.DUMMYFUNCTION("""COMPUTED_VALUE"""),"General Petite")</f>
        <v>General Petite</v>
      </c>
      <c r="J1932" s="13" t="str">
        <f>IFERROR(__xludf.DUMMYFUNCTION("""COMPUTED_VALUE"""),"Dresses")</f>
        <v>Dresses</v>
      </c>
      <c r="K1932" s="13" t="str">
        <f>IFERROR(__xludf.DUMMYFUNCTION("""COMPUTED_VALUE"""),"Dresses")</f>
        <v>Dresses</v>
      </c>
      <c r="L1932" s="13"/>
    </row>
    <row r="1933">
      <c r="A1933" s="13">
        <f>IFERROR(__xludf.DUMMYFUNCTION("""COMPUTED_VALUE"""),1931.0)</f>
        <v>1931</v>
      </c>
      <c r="B1933" s="13">
        <f>IFERROR(__xludf.DUMMYFUNCTION("""COMPUTED_VALUE"""),860.0)</f>
        <v>860</v>
      </c>
      <c r="C1933" s="13">
        <f>IFERROR(__xludf.DUMMYFUNCTION("""COMPUTED_VALUE"""),48.0)</f>
        <v>48</v>
      </c>
      <c r="D1933" s="12" t="str">
        <f>IFERROR(__xludf.DUMMYFUNCTION("""COMPUTED_VALUE"""),"Perfect shirt")</f>
        <v>Perfect shirt</v>
      </c>
      <c r="E1933" s="12" t="str">
        <f>IFERROR(__xludf.DUMMYFUNCTION("""COMPUTED_VALUE"""),"I own this shirt in dark green,
navy, and white.
it is perfect. it drapes in such a flattering way, nice weight.
it shows curves in all the right ways but does not fit too snug, emphasizing every flaw.
and finally... the buttons are placed perfectly so th"&amp;"at you don't have to choose between extremely conservative or way too provocative (bra showing).
well done!")</f>
        <v>I own this shirt in dark green,
navy, and white.
it is perfect. it drapes in such a flattering way, nice weight.
it shows curves in all the right ways but does not fit too snug, emphasizing every flaw.
and finally... the buttons are placed perfectly so that you don't have to choose between extremely conservative or way too provocative (bra showing).
well done!</v>
      </c>
      <c r="F1933" s="13">
        <f>IFERROR(__xludf.DUMMYFUNCTION("""COMPUTED_VALUE"""),5.0)</f>
        <v>5</v>
      </c>
      <c r="G1933" s="13">
        <f>IFERROR(__xludf.DUMMYFUNCTION("""COMPUTED_VALUE"""),1.0)</f>
        <v>1</v>
      </c>
      <c r="H1933" s="13">
        <f>IFERROR(__xludf.DUMMYFUNCTION("""COMPUTED_VALUE"""),37.0)</f>
        <v>37</v>
      </c>
      <c r="I1933" s="13" t="str">
        <f>IFERROR(__xludf.DUMMYFUNCTION("""COMPUTED_VALUE"""),"General")</f>
        <v>General</v>
      </c>
      <c r="J1933" s="13" t="str">
        <f>IFERROR(__xludf.DUMMYFUNCTION("""COMPUTED_VALUE"""),"Tops")</f>
        <v>Tops</v>
      </c>
      <c r="K1933" s="13" t="str">
        <f>IFERROR(__xludf.DUMMYFUNCTION("""COMPUTED_VALUE"""),"Knits")</f>
        <v>Knits</v>
      </c>
      <c r="L1933" s="13"/>
    </row>
    <row r="1934">
      <c r="A1934" s="13">
        <f>IFERROR(__xludf.DUMMYFUNCTION("""COMPUTED_VALUE"""),1932.0)</f>
        <v>1932</v>
      </c>
      <c r="B1934" s="13">
        <f>IFERROR(__xludf.DUMMYFUNCTION("""COMPUTED_VALUE"""),860.0)</f>
        <v>860</v>
      </c>
      <c r="C1934" s="13">
        <f>IFERROR(__xludf.DUMMYFUNCTION("""COMPUTED_VALUE"""),50.0)</f>
        <v>50</v>
      </c>
      <c r="D1934" s="12" t="str">
        <f>IFERROR(__xludf.DUMMYFUNCTION("""COMPUTED_VALUE"""),"Sizing is off")</f>
        <v>Sizing is off</v>
      </c>
      <c r="E1934" s="12" t="str">
        <f>IFERROR(__xludf.DUMMYFUNCTION("""COMPUTED_VALUE"""),"I like the feel and color of this blouse. however, i was very disappointed with the sizing. i usually wear medium so i ordered medium for this blouse, it fits way too big. it is a bummer because the ""curve"" is not even visible when i wear it.")</f>
        <v>I like the feel and color of this blouse. however, i was very disappointed with the sizing. i usually wear medium so i ordered medium for this blouse, it fits way too big. it is a bummer because the "curve" is not even visible when i wear it.</v>
      </c>
      <c r="F1934" s="13">
        <f>IFERROR(__xludf.DUMMYFUNCTION("""COMPUTED_VALUE"""),3.0)</f>
        <v>3</v>
      </c>
      <c r="G1934" s="13">
        <f>IFERROR(__xludf.DUMMYFUNCTION("""COMPUTED_VALUE"""),1.0)</f>
        <v>1</v>
      </c>
      <c r="H1934" s="13">
        <f>IFERROR(__xludf.DUMMYFUNCTION("""COMPUTED_VALUE"""),0.0)</f>
        <v>0</v>
      </c>
      <c r="I1934" s="13" t="str">
        <f>IFERROR(__xludf.DUMMYFUNCTION("""COMPUTED_VALUE"""),"General")</f>
        <v>General</v>
      </c>
      <c r="J1934" s="13" t="str">
        <f>IFERROR(__xludf.DUMMYFUNCTION("""COMPUTED_VALUE"""),"Tops")</f>
        <v>Tops</v>
      </c>
      <c r="K1934" s="13" t="str">
        <f>IFERROR(__xludf.DUMMYFUNCTION("""COMPUTED_VALUE"""),"Knits")</f>
        <v>Knits</v>
      </c>
      <c r="L1934" s="13"/>
    </row>
    <row r="1935">
      <c r="A1935" s="13">
        <f>IFERROR(__xludf.DUMMYFUNCTION("""COMPUTED_VALUE"""),1933.0)</f>
        <v>1933</v>
      </c>
      <c r="B1935" s="13">
        <f>IFERROR(__xludf.DUMMYFUNCTION("""COMPUTED_VALUE"""),1035.0)</f>
        <v>1035</v>
      </c>
      <c r="C1935" s="13">
        <f>IFERROR(__xludf.DUMMYFUNCTION("""COMPUTED_VALUE"""),37.0)</f>
        <v>37</v>
      </c>
      <c r="D1935" s="12" t="str">
        <f>IFERROR(__xludf.DUMMYFUNCTION("""COMPUTED_VALUE"""),"Fun but not perfect")</f>
        <v>Fun but not perfect</v>
      </c>
      <c r="E1935" s="12" t="str">
        <f>IFERROR(__xludf.DUMMYFUNCTION("""COMPUTED_VALUE"""),"I love these jeans and have been wearing them a lot now that the weather is turning a bit cooler in my area. i like that the cuff is not sewn in, so you can wear them with a cuff like pictured, or fully unrolled/down. they are a bit higher-waisted than i "&amp;"prefer - kind of an awkward waist height in my opinion. and they are very stretchy. i was torn between two sizes so i went with the larger. i wasn't sure of how to mark how they fit because they are somewhat fitted/slim in the thigh area, but th")</f>
        <v>I love these jeans and have been wearing them a lot now that the weather is turning a bit cooler in my area. i like that the cuff is not sewn in, so you can wear them with a cuff like pictured, or fully unrolled/down. they are a bit higher-waisted than i prefer - kind of an awkward waist height in my opinion. and they are very stretchy. i was torn between two sizes so i went with the larger. i wasn't sure of how to mark how they fit because they are somewhat fitted/slim in the thigh area, but th</v>
      </c>
      <c r="F1935" s="13">
        <f>IFERROR(__xludf.DUMMYFUNCTION("""COMPUTED_VALUE"""),4.0)</f>
        <v>4</v>
      </c>
      <c r="G1935" s="13">
        <f>IFERROR(__xludf.DUMMYFUNCTION("""COMPUTED_VALUE"""),1.0)</f>
        <v>1</v>
      </c>
      <c r="H1935" s="13">
        <f>IFERROR(__xludf.DUMMYFUNCTION("""COMPUTED_VALUE"""),2.0)</f>
        <v>2</v>
      </c>
      <c r="I1935" s="13" t="str">
        <f>IFERROR(__xludf.DUMMYFUNCTION("""COMPUTED_VALUE"""),"General Petite")</f>
        <v>General Petite</v>
      </c>
      <c r="J1935" s="13" t="str">
        <f>IFERROR(__xludf.DUMMYFUNCTION("""COMPUTED_VALUE"""),"Bottoms")</f>
        <v>Bottoms</v>
      </c>
      <c r="K1935" s="13" t="str">
        <f>IFERROR(__xludf.DUMMYFUNCTION("""COMPUTED_VALUE"""),"Jeans")</f>
        <v>Jeans</v>
      </c>
      <c r="L1935" s="13"/>
    </row>
    <row r="1936">
      <c r="A1936" s="13">
        <f>IFERROR(__xludf.DUMMYFUNCTION("""COMPUTED_VALUE"""),1934.0)</f>
        <v>1934</v>
      </c>
      <c r="B1936" s="13">
        <f>IFERROR(__xludf.DUMMYFUNCTION("""COMPUTED_VALUE"""),1009.0)</f>
        <v>1009</v>
      </c>
      <c r="C1936" s="13">
        <f>IFERROR(__xludf.DUMMYFUNCTION("""COMPUTED_VALUE"""),56.0)</f>
        <v>56</v>
      </c>
      <c r="D1936" s="12"/>
      <c r="E1936" s="12" t="str">
        <f>IFERROR(__xludf.DUMMYFUNCTION("""COMPUTED_VALUE"""),"Very cute. i received many compliments when i wore it. fits true to size (petite 2) with some good stretch in it. i am 5'3 and it was slightly longer than that on the model. it is a little odd that the buttons are all not the same. but perhaps that is par"&amp;"t of its charm and it is not noticeable. it is very comfortable and the pictures are representative of what it looks like.")</f>
        <v>Very cute. i received many compliments when i wore it. fits true to size (petite 2) with some good stretch in it. i am 5'3 and it was slightly longer than that on the model. it is a little odd that the buttons are all not the same. but perhaps that is part of its charm and it is not noticeable. it is very comfortable and the pictures are representative of what it looks like.</v>
      </c>
      <c r="F1936" s="13">
        <f>IFERROR(__xludf.DUMMYFUNCTION("""COMPUTED_VALUE"""),5.0)</f>
        <v>5</v>
      </c>
      <c r="G1936" s="13">
        <f>IFERROR(__xludf.DUMMYFUNCTION("""COMPUTED_VALUE"""),1.0)</f>
        <v>1</v>
      </c>
      <c r="H1936" s="13">
        <f>IFERROR(__xludf.DUMMYFUNCTION("""COMPUTED_VALUE"""),1.0)</f>
        <v>1</v>
      </c>
      <c r="I1936" s="13" t="str">
        <f>IFERROR(__xludf.DUMMYFUNCTION("""COMPUTED_VALUE"""),"General Petite")</f>
        <v>General Petite</v>
      </c>
      <c r="J1936" s="13" t="str">
        <f>IFERROR(__xludf.DUMMYFUNCTION("""COMPUTED_VALUE"""),"Bottoms")</f>
        <v>Bottoms</v>
      </c>
      <c r="K1936" s="13" t="str">
        <f>IFERROR(__xludf.DUMMYFUNCTION("""COMPUTED_VALUE"""),"Skirts")</f>
        <v>Skirts</v>
      </c>
      <c r="L1936" s="13"/>
    </row>
    <row r="1937">
      <c r="A1937" s="13">
        <f>IFERROR(__xludf.DUMMYFUNCTION("""COMPUTED_VALUE"""),1935.0)</f>
        <v>1935</v>
      </c>
      <c r="B1937" s="13">
        <f>IFERROR(__xludf.DUMMYFUNCTION("""COMPUTED_VALUE"""),1092.0)</f>
        <v>1092</v>
      </c>
      <c r="C1937" s="13">
        <f>IFERROR(__xludf.DUMMYFUNCTION("""COMPUTED_VALUE"""),50.0)</f>
        <v>50</v>
      </c>
      <c r="D1937" s="12" t="str">
        <f>IFERROR(__xludf.DUMMYFUNCTION("""COMPUTED_VALUE"""),"Just right")</f>
        <v>Just right</v>
      </c>
      <c r="E1937" s="12" t="str">
        <f>IFERROR(__xludf.DUMMYFUNCTION("""COMPUTED_VALUE"""),"I ordered this in a size s, my usual size and it fits great. i love the color, style and fit of the dress. the only criticism i can think of is the braided trim on the skirt hits right at my hip and kind of, ever so slightly, poofs out a bit and i wish it"&amp;" had pockets. other than that it's pretty darn cute and i got it at a great price of under $40. so i will wear it as much as i can until it gets cooler. because of the rich color, i can probably wear with cute sweater and booties into the fall!")</f>
        <v>I ordered this in a size s, my usual size and it fits great. i love the color, style and fit of the dress. the only criticism i can think of is the braided trim on the skirt hits right at my hip and kind of, ever so slightly, poofs out a bit and i wish it had pockets. other than that it's pretty darn cute and i got it at a great price of under $40. so i will wear it as much as i can until it gets cooler. because of the rich color, i can probably wear with cute sweater and booties into the fall!</v>
      </c>
      <c r="F1937" s="13">
        <f>IFERROR(__xludf.DUMMYFUNCTION("""COMPUTED_VALUE"""),5.0)</f>
        <v>5</v>
      </c>
      <c r="G1937" s="13">
        <f>IFERROR(__xludf.DUMMYFUNCTION("""COMPUTED_VALUE"""),1.0)</f>
        <v>1</v>
      </c>
      <c r="H1937" s="13">
        <f>IFERROR(__xludf.DUMMYFUNCTION("""COMPUTED_VALUE"""),0.0)</f>
        <v>0</v>
      </c>
      <c r="I1937" s="13" t="str">
        <f>IFERROR(__xludf.DUMMYFUNCTION("""COMPUTED_VALUE"""),"General Petite")</f>
        <v>General Petite</v>
      </c>
      <c r="J1937" s="13" t="str">
        <f>IFERROR(__xludf.DUMMYFUNCTION("""COMPUTED_VALUE"""),"Dresses")</f>
        <v>Dresses</v>
      </c>
      <c r="K1937" s="13" t="str">
        <f>IFERROR(__xludf.DUMMYFUNCTION("""COMPUTED_VALUE"""),"Dresses")</f>
        <v>Dresses</v>
      </c>
      <c r="L1937" s="13"/>
    </row>
    <row r="1938">
      <c r="A1938" s="13">
        <f>IFERROR(__xludf.DUMMYFUNCTION("""COMPUTED_VALUE"""),1936.0)</f>
        <v>1936</v>
      </c>
      <c r="B1938" s="13">
        <f>IFERROR(__xludf.DUMMYFUNCTION("""COMPUTED_VALUE"""),872.0)</f>
        <v>872</v>
      </c>
      <c r="C1938" s="13">
        <f>IFERROR(__xludf.DUMMYFUNCTION("""COMPUTED_VALUE"""),49.0)</f>
        <v>49</v>
      </c>
      <c r="D1938" s="12"/>
      <c r="E1938" s="12" t="str">
        <f>IFERROR(__xludf.DUMMYFUNCTION("""COMPUTED_VALUE"""),"This is a great basic t that works with shorts, pants, or a skirt.")</f>
        <v>This is a great basic t that works with shorts, pants, or a skirt.</v>
      </c>
      <c r="F1938" s="13">
        <f>IFERROR(__xludf.DUMMYFUNCTION("""COMPUTED_VALUE"""),5.0)</f>
        <v>5</v>
      </c>
      <c r="G1938" s="13">
        <f>IFERROR(__xludf.DUMMYFUNCTION("""COMPUTED_VALUE"""),1.0)</f>
        <v>1</v>
      </c>
      <c r="H1938" s="13">
        <f>IFERROR(__xludf.DUMMYFUNCTION("""COMPUTED_VALUE"""),0.0)</f>
        <v>0</v>
      </c>
      <c r="I1938" s="13" t="str">
        <f>IFERROR(__xludf.DUMMYFUNCTION("""COMPUTED_VALUE"""),"General Petite")</f>
        <v>General Petite</v>
      </c>
      <c r="J1938" s="13" t="str">
        <f>IFERROR(__xludf.DUMMYFUNCTION("""COMPUTED_VALUE"""),"Tops")</f>
        <v>Tops</v>
      </c>
      <c r="K1938" s="13" t="str">
        <f>IFERROR(__xludf.DUMMYFUNCTION("""COMPUTED_VALUE"""),"Knits")</f>
        <v>Knits</v>
      </c>
      <c r="L1938" s="13"/>
    </row>
    <row r="1939">
      <c r="A1939" s="13">
        <f>IFERROR(__xludf.DUMMYFUNCTION("""COMPUTED_VALUE"""),1937.0)</f>
        <v>1937</v>
      </c>
      <c r="B1939" s="13">
        <f>IFERROR(__xludf.DUMMYFUNCTION("""COMPUTED_VALUE"""),1016.0)</f>
        <v>1016</v>
      </c>
      <c r="C1939" s="13">
        <f>IFERROR(__xludf.DUMMYFUNCTION("""COMPUTED_VALUE"""),41.0)</f>
        <v>41</v>
      </c>
      <c r="D1939" s="12" t="str">
        <f>IFERROR(__xludf.DUMMYFUNCTION("""COMPUTED_VALUE"""),"Would be great but...")</f>
        <v>Would be great but...</v>
      </c>
      <c r="E1939" s="12" t="str">
        <f>IFERROR(__xludf.DUMMYFUNCTION("""COMPUTED_VALUE"""),"Such a cute skirt- but impossible to get on. ordered in an xs (i have a 25/26 waist) but could barely get it past my knees to step into. if you have any hips at all, unfortunately this skirt won't work. i was tempted to size up but once i got it on it fit"&amp;" great in the waist and already had too much material to size up to a small.")</f>
        <v>Such a cute skirt- but impossible to get on. ordered in an xs (i have a 25/26 waist) but could barely get it past my knees to step into. if you have any hips at all, unfortunately this skirt won't work. i was tempted to size up but once i got it on it fit great in the waist and already had too much material to size up to a small.</v>
      </c>
      <c r="F1939" s="13">
        <f>IFERROR(__xludf.DUMMYFUNCTION("""COMPUTED_VALUE"""),2.0)</f>
        <v>2</v>
      </c>
      <c r="G1939" s="13">
        <f>IFERROR(__xludf.DUMMYFUNCTION("""COMPUTED_VALUE"""),0.0)</f>
        <v>0</v>
      </c>
      <c r="H1939" s="13">
        <f>IFERROR(__xludf.DUMMYFUNCTION("""COMPUTED_VALUE"""),11.0)</f>
        <v>11</v>
      </c>
      <c r="I1939" s="13" t="str">
        <f>IFERROR(__xludf.DUMMYFUNCTION("""COMPUTED_VALUE"""),"General")</f>
        <v>General</v>
      </c>
      <c r="J1939" s="13" t="str">
        <f>IFERROR(__xludf.DUMMYFUNCTION("""COMPUTED_VALUE"""),"Bottoms")</f>
        <v>Bottoms</v>
      </c>
      <c r="K1939" s="13" t="str">
        <f>IFERROR(__xludf.DUMMYFUNCTION("""COMPUTED_VALUE"""),"Skirts")</f>
        <v>Skirts</v>
      </c>
      <c r="L1939" s="13"/>
    </row>
    <row r="1940">
      <c r="A1940" s="13">
        <f>IFERROR(__xludf.DUMMYFUNCTION("""COMPUTED_VALUE"""),1938.0)</f>
        <v>1938</v>
      </c>
      <c r="B1940" s="13">
        <f>IFERROR(__xludf.DUMMYFUNCTION("""COMPUTED_VALUE"""),1197.0)</f>
        <v>1197</v>
      </c>
      <c r="C1940" s="13">
        <f>IFERROR(__xludf.DUMMYFUNCTION("""COMPUTED_VALUE"""),68.0)</f>
        <v>68</v>
      </c>
      <c r="D1940" s="12" t="str">
        <f>IFERROR(__xludf.DUMMYFUNCTION("""COMPUTED_VALUE"""),"Perfect every day neutral")</f>
        <v>Perfect every day neutral</v>
      </c>
      <c r="E1940" s="12" t="str">
        <f>IFERROR(__xludf.DUMMYFUNCTION("""COMPUTED_VALUE"""),"So glad i ordered this dress. it fits true to size and is extra soft. i was unsure about the color, but it looks nicer in person. the fabric is a mid weight that hangs nicely. this will go great with leggings or tights and wear into spring.")</f>
        <v>So glad i ordered this dress. it fits true to size and is extra soft. i was unsure about the color, but it looks nicer in person. the fabric is a mid weight that hangs nicely. this will go great with leggings or tights and wear into spring.</v>
      </c>
      <c r="F1940" s="13">
        <f>IFERROR(__xludf.DUMMYFUNCTION("""COMPUTED_VALUE"""),5.0)</f>
        <v>5</v>
      </c>
      <c r="G1940" s="13">
        <f>IFERROR(__xludf.DUMMYFUNCTION("""COMPUTED_VALUE"""),1.0)</f>
        <v>1</v>
      </c>
      <c r="H1940" s="13">
        <f>IFERROR(__xludf.DUMMYFUNCTION("""COMPUTED_VALUE"""),1.0)</f>
        <v>1</v>
      </c>
      <c r="I1940" s="13" t="str">
        <f>IFERROR(__xludf.DUMMYFUNCTION("""COMPUTED_VALUE"""),"General")</f>
        <v>General</v>
      </c>
      <c r="J1940" s="13" t="str">
        <f>IFERROR(__xludf.DUMMYFUNCTION("""COMPUTED_VALUE"""),"Dresses")</f>
        <v>Dresses</v>
      </c>
      <c r="K1940" s="13" t="str">
        <f>IFERROR(__xludf.DUMMYFUNCTION("""COMPUTED_VALUE"""),"Dresses")</f>
        <v>Dresses</v>
      </c>
      <c r="L1940" s="13"/>
    </row>
    <row r="1941">
      <c r="A1941" s="13">
        <f>IFERROR(__xludf.DUMMYFUNCTION("""COMPUTED_VALUE"""),1939.0)</f>
        <v>1939</v>
      </c>
      <c r="B1941" s="13">
        <f>IFERROR(__xludf.DUMMYFUNCTION("""COMPUTED_VALUE"""),862.0)</f>
        <v>862</v>
      </c>
      <c r="C1941" s="13">
        <f>IFERROR(__xludf.DUMMYFUNCTION("""COMPUTED_VALUE"""),76.0)</f>
        <v>76</v>
      </c>
      <c r="D1941" s="12"/>
      <c r="E1941" s="12" t="str">
        <f>IFERROR(__xludf.DUMMYFUNCTION("""COMPUTED_VALUE"""),"It was very pretty,but it ran very big , sadly i had to return it.")</f>
        <v>It was very pretty,but it ran very big , sadly i had to return it.</v>
      </c>
      <c r="F1941" s="13">
        <f>IFERROR(__xludf.DUMMYFUNCTION("""COMPUTED_VALUE"""),2.0)</f>
        <v>2</v>
      </c>
      <c r="G1941" s="13">
        <f>IFERROR(__xludf.DUMMYFUNCTION("""COMPUTED_VALUE"""),0.0)</f>
        <v>0</v>
      </c>
      <c r="H1941" s="13">
        <f>IFERROR(__xludf.DUMMYFUNCTION("""COMPUTED_VALUE"""),0.0)</f>
        <v>0</v>
      </c>
      <c r="I1941" s="13" t="str">
        <f>IFERROR(__xludf.DUMMYFUNCTION("""COMPUTED_VALUE"""),"General Petite")</f>
        <v>General Petite</v>
      </c>
      <c r="J1941" s="13" t="str">
        <f>IFERROR(__xludf.DUMMYFUNCTION("""COMPUTED_VALUE"""),"Tops")</f>
        <v>Tops</v>
      </c>
      <c r="K1941" s="13" t="str">
        <f>IFERROR(__xludf.DUMMYFUNCTION("""COMPUTED_VALUE"""),"Knits")</f>
        <v>Knits</v>
      </c>
      <c r="L1941" s="13"/>
    </row>
    <row r="1942">
      <c r="A1942" s="13">
        <f>IFERROR(__xludf.DUMMYFUNCTION("""COMPUTED_VALUE"""),1940.0)</f>
        <v>1940</v>
      </c>
      <c r="B1942" s="13">
        <f>IFERROR(__xludf.DUMMYFUNCTION("""COMPUTED_VALUE"""),1092.0)</f>
        <v>1092</v>
      </c>
      <c r="C1942" s="13">
        <f>IFERROR(__xludf.DUMMYFUNCTION("""COMPUTED_VALUE"""),50.0)</f>
        <v>50</v>
      </c>
      <c r="D1942" s="12" t="str">
        <f>IFERROR(__xludf.DUMMYFUNCTION("""COMPUTED_VALUE"""),"Wanted to like it")</f>
        <v>Wanted to like it</v>
      </c>
      <c r="E1942" s="12" t="str">
        <f>IFERROR(__xludf.DUMMYFUNCTION("""COMPUTED_VALUE"""),"I thought this dress was very cute on the model, however it was way too tight across the chest for me. going up a size would mean it would be too roomy everywhere else. also, fabric wasn't great.")</f>
        <v>I thought this dress was very cute on the model, however it was way too tight across the chest for me. going up a size would mean it would be too roomy everywhere else. also, fabric wasn't great.</v>
      </c>
      <c r="F1942" s="13">
        <f>IFERROR(__xludf.DUMMYFUNCTION("""COMPUTED_VALUE"""),3.0)</f>
        <v>3</v>
      </c>
      <c r="G1942" s="13">
        <f>IFERROR(__xludf.DUMMYFUNCTION("""COMPUTED_VALUE"""),0.0)</f>
        <v>0</v>
      </c>
      <c r="H1942" s="13">
        <f>IFERROR(__xludf.DUMMYFUNCTION("""COMPUTED_VALUE"""),0.0)</f>
        <v>0</v>
      </c>
      <c r="I1942" s="13" t="str">
        <f>IFERROR(__xludf.DUMMYFUNCTION("""COMPUTED_VALUE"""),"General Petite")</f>
        <v>General Petite</v>
      </c>
      <c r="J1942" s="13" t="str">
        <f>IFERROR(__xludf.DUMMYFUNCTION("""COMPUTED_VALUE"""),"Dresses")</f>
        <v>Dresses</v>
      </c>
      <c r="K1942" s="13" t="str">
        <f>IFERROR(__xludf.DUMMYFUNCTION("""COMPUTED_VALUE"""),"Dresses")</f>
        <v>Dresses</v>
      </c>
      <c r="L1942" s="13"/>
    </row>
    <row r="1943">
      <c r="A1943" s="13">
        <f>IFERROR(__xludf.DUMMYFUNCTION("""COMPUTED_VALUE"""),1941.0)</f>
        <v>1941</v>
      </c>
      <c r="B1943" s="13">
        <f>IFERROR(__xludf.DUMMYFUNCTION("""COMPUTED_VALUE"""),1016.0)</f>
        <v>1016</v>
      </c>
      <c r="C1943" s="13">
        <f>IFERROR(__xludf.DUMMYFUNCTION("""COMPUTED_VALUE"""),42.0)</f>
        <v>42</v>
      </c>
      <c r="D1943" s="12" t="str">
        <f>IFERROR(__xludf.DUMMYFUNCTION("""COMPUTED_VALUE"""),"Try on before purchasing")</f>
        <v>Try on before purchasing</v>
      </c>
      <c r="E1943" s="12" t="str">
        <f>IFERROR(__xludf.DUMMYFUNCTION("""COMPUTED_VALUE"""),"I like many of you had the same issues. i tried my normal size of xs and s and couldn't get it on. the sales associate looked at it and went and got several size small and they all fit differently. some fit normal and others did not, so i would try on fir"&amp;"st. i love it when it fits correctly")</f>
        <v>I like many of you had the same issues. i tried my normal size of xs and s and couldn't get it on. the sales associate looked at it and went and got several size small and they all fit differently. some fit normal and others did not, so i would try on first. i love it when it fits correctly</v>
      </c>
      <c r="F1943" s="13">
        <f>IFERROR(__xludf.DUMMYFUNCTION("""COMPUTED_VALUE"""),4.0)</f>
        <v>4</v>
      </c>
      <c r="G1943" s="13">
        <f>IFERROR(__xludf.DUMMYFUNCTION("""COMPUTED_VALUE"""),1.0)</f>
        <v>1</v>
      </c>
      <c r="H1943" s="13">
        <f>IFERROR(__xludf.DUMMYFUNCTION("""COMPUTED_VALUE"""),1.0)</f>
        <v>1</v>
      </c>
      <c r="I1943" s="13" t="str">
        <f>IFERROR(__xludf.DUMMYFUNCTION("""COMPUTED_VALUE"""),"General")</f>
        <v>General</v>
      </c>
      <c r="J1943" s="13" t="str">
        <f>IFERROR(__xludf.DUMMYFUNCTION("""COMPUTED_VALUE"""),"Bottoms")</f>
        <v>Bottoms</v>
      </c>
      <c r="K1943" s="13" t="str">
        <f>IFERROR(__xludf.DUMMYFUNCTION("""COMPUTED_VALUE"""),"Skirts")</f>
        <v>Skirts</v>
      </c>
      <c r="L1943" s="13"/>
    </row>
    <row r="1944">
      <c r="A1944" s="13">
        <f>IFERROR(__xludf.DUMMYFUNCTION("""COMPUTED_VALUE"""),1942.0)</f>
        <v>1942</v>
      </c>
      <c r="B1944" s="13">
        <f>IFERROR(__xludf.DUMMYFUNCTION("""COMPUTED_VALUE"""),862.0)</f>
        <v>862</v>
      </c>
      <c r="C1944" s="13">
        <f>IFERROR(__xludf.DUMMYFUNCTION("""COMPUTED_VALUE"""),37.0)</f>
        <v>37</v>
      </c>
      <c r="D1944" s="12"/>
      <c r="E1944" s="12" t="str">
        <f>IFERROR(__xludf.DUMMYFUNCTION("""COMPUTED_VALUE"""),"I've had my eye on this for awhile, glad it was still in stock.  really great deep wine color, soft.  more texture and detail than i had appreciated in the picture.  love.")</f>
        <v>I've had my eye on this for awhile, glad it was still in stock.  really great deep wine color, soft.  more texture and detail than i had appreciated in the picture.  love.</v>
      </c>
      <c r="F1944" s="13">
        <f>IFERROR(__xludf.DUMMYFUNCTION("""COMPUTED_VALUE"""),5.0)</f>
        <v>5</v>
      </c>
      <c r="G1944" s="13">
        <f>IFERROR(__xludf.DUMMYFUNCTION("""COMPUTED_VALUE"""),1.0)</f>
        <v>1</v>
      </c>
      <c r="H1944" s="13">
        <f>IFERROR(__xludf.DUMMYFUNCTION("""COMPUTED_VALUE"""),0.0)</f>
        <v>0</v>
      </c>
      <c r="I1944" s="13" t="str">
        <f>IFERROR(__xludf.DUMMYFUNCTION("""COMPUTED_VALUE"""),"General Petite")</f>
        <v>General Petite</v>
      </c>
      <c r="J1944" s="13" t="str">
        <f>IFERROR(__xludf.DUMMYFUNCTION("""COMPUTED_VALUE"""),"Tops")</f>
        <v>Tops</v>
      </c>
      <c r="K1944" s="13" t="str">
        <f>IFERROR(__xludf.DUMMYFUNCTION("""COMPUTED_VALUE"""),"Knits")</f>
        <v>Knits</v>
      </c>
      <c r="L1944" s="13"/>
    </row>
    <row r="1945">
      <c r="A1945" s="13">
        <f>IFERROR(__xludf.DUMMYFUNCTION("""COMPUTED_VALUE"""),1943.0)</f>
        <v>1943</v>
      </c>
      <c r="B1945" s="13">
        <f>IFERROR(__xludf.DUMMYFUNCTION("""COMPUTED_VALUE"""),1092.0)</f>
        <v>1092</v>
      </c>
      <c r="C1945" s="13">
        <f>IFERROR(__xludf.DUMMYFUNCTION("""COMPUTED_VALUE"""),44.0)</f>
        <v>44</v>
      </c>
      <c r="D1945" s="12"/>
      <c r="E1945" s="12" t="str">
        <f>IFERROR(__xludf.DUMMYFUNCTION("""COMPUTED_VALUE"""),"Ugh.  i was so excited to get this dress and for 30% off.  this dress is adorable.  unfortunately the top part is super tight around my girls.  otherwise the fit was perfect.  very disappointed in the top of this dress.")</f>
        <v>Ugh.  i was so excited to get this dress and for 30% off.  this dress is adorable.  unfortunately the top part is super tight around my girls.  otherwise the fit was perfect.  very disappointed in the top of this dress.</v>
      </c>
      <c r="F1945" s="13">
        <f>IFERROR(__xludf.DUMMYFUNCTION("""COMPUTED_VALUE"""),3.0)</f>
        <v>3</v>
      </c>
      <c r="G1945" s="13">
        <f>IFERROR(__xludf.DUMMYFUNCTION("""COMPUTED_VALUE"""),0.0)</f>
        <v>0</v>
      </c>
      <c r="H1945" s="13">
        <f>IFERROR(__xludf.DUMMYFUNCTION("""COMPUTED_VALUE"""),0.0)</f>
        <v>0</v>
      </c>
      <c r="I1945" s="13" t="str">
        <f>IFERROR(__xludf.DUMMYFUNCTION("""COMPUTED_VALUE"""),"General Petite")</f>
        <v>General Petite</v>
      </c>
      <c r="J1945" s="13" t="str">
        <f>IFERROR(__xludf.DUMMYFUNCTION("""COMPUTED_VALUE"""),"Dresses")</f>
        <v>Dresses</v>
      </c>
      <c r="K1945" s="13" t="str">
        <f>IFERROR(__xludf.DUMMYFUNCTION("""COMPUTED_VALUE"""),"Dresses")</f>
        <v>Dresses</v>
      </c>
      <c r="L1945" s="13"/>
    </row>
    <row r="1946">
      <c r="A1946" s="13">
        <f>IFERROR(__xludf.DUMMYFUNCTION("""COMPUTED_VALUE"""),1944.0)</f>
        <v>1944</v>
      </c>
      <c r="B1946" s="13">
        <f>IFERROR(__xludf.DUMMYFUNCTION("""COMPUTED_VALUE"""),862.0)</f>
        <v>862</v>
      </c>
      <c r="C1946" s="13">
        <f>IFERROR(__xludf.DUMMYFUNCTION("""COMPUTED_VALUE"""),46.0)</f>
        <v>46</v>
      </c>
      <c r="D1946" s="12" t="str">
        <f>IFERROR(__xludf.DUMMYFUNCTION("""COMPUTED_VALUE"""),"Not your everyday cardi")</f>
        <v>Not your everyday cardi</v>
      </c>
      <c r="E1946" s="12" t="str">
        <f>IFERROR(__xludf.DUMMYFUNCTION("""COMPUTED_VALUE"""),"You will love this cardigan. very well made with beautiful details. the sleeves have the same detail as the collar and the back. has darker flecks that will go well with dark pants or cords or jeans. you will love this cardi! wish it came in more springy "&amp;"colors. i only gave it a lower rating for quality because the first one i tried on had a sleeve that was much tighter than the other sleeve. the replacement was fine!!")</f>
        <v>You will love this cardigan. very well made with beautiful details. the sleeves have the same detail as the collar and the back. has darker flecks that will go well with dark pants or cords or jeans. you will love this cardi! wish it came in more springy colors. i only gave it a lower rating for quality because the first one i tried on had a sleeve that was much tighter than the other sleeve. the replacement was fine!!</v>
      </c>
      <c r="F1946" s="13">
        <f>IFERROR(__xludf.DUMMYFUNCTION("""COMPUTED_VALUE"""),5.0)</f>
        <v>5</v>
      </c>
      <c r="G1946" s="13">
        <f>IFERROR(__xludf.DUMMYFUNCTION("""COMPUTED_VALUE"""),1.0)</f>
        <v>1</v>
      </c>
      <c r="H1946" s="13">
        <f>IFERROR(__xludf.DUMMYFUNCTION("""COMPUTED_VALUE"""),6.0)</f>
        <v>6</v>
      </c>
      <c r="I1946" s="13" t="str">
        <f>IFERROR(__xludf.DUMMYFUNCTION("""COMPUTED_VALUE"""),"General Petite")</f>
        <v>General Petite</v>
      </c>
      <c r="J1946" s="13" t="str">
        <f>IFERROR(__xludf.DUMMYFUNCTION("""COMPUTED_VALUE"""),"Tops")</f>
        <v>Tops</v>
      </c>
      <c r="K1946" s="13" t="str">
        <f>IFERROR(__xludf.DUMMYFUNCTION("""COMPUTED_VALUE"""),"Knits")</f>
        <v>Knits</v>
      </c>
      <c r="L1946" s="13"/>
    </row>
    <row r="1947">
      <c r="A1947" s="13">
        <f>IFERROR(__xludf.DUMMYFUNCTION("""COMPUTED_VALUE"""),1945.0)</f>
        <v>1945</v>
      </c>
      <c r="B1947" s="13">
        <f>IFERROR(__xludf.DUMMYFUNCTION("""COMPUTED_VALUE"""),1016.0)</f>
        <v>1016</v>
      </c>
      <c r="C1947" s="13">
        <f>IFERROR(__xludf.DUMMYFUNCTION("""COMPUTED_VALUE"""),49.0)</f>
        <v>49</v>
      </c>
      <c r="D1947" s="12" t="str">
        <f>IFERROR(__xludf.DUMMYFUNCTION("""COMPUTED_VALUE"""),"Cute")</f>
        <v>Cute</v>
      </c>
      <c r="E1947" s="12" t="str">
        <f>IFERROR(__xludf.DUMMYFUNCTION("""COMPUTED_VALUE"""),"Really cute skirt, but difficult to get on! i had to shimmy it over my hips due to the lack of a much needed zipper. i am not very curvy, so if you got them, forget it! i sent back the xs - hope the small is a little roomier because it will make a pretty "&amp;"summer skirt.")</f>
        <v>Really cute skirt, but difficult to get on! i had to shimmy it over my hips due to the lack of a much needed zipper. i am not very curvy, so if you got them, forget it! i sent back the xs - hope the small is a little roomier because it will make a pretty summer skirt.</v>
      </c>
      <c r="F1947" s="13">
        <f>IFERROR(__xludf.DUMMYFUNCTION("""COMPUTED_VALUE"""),4.0)</f>
        <v>4</v>
      </c>
      <c r="G1947" s="13">
        <f>IFERROR(__xludf.DUMMYFUNCTION("""COMPUTED_VALUE"""),1.0)</f>
        <v>1</v>
      </c>
      <c r="H1947" s="13">
        <f>IFERROR(__xludf.DUMMYFUNCTION("""COMPUTED_VALUE"""),1.0)</f>
        <v>1</v>
      </c>
      <c r="I1947" s="13" t="str">
        <f>IFERROR(__xludf.DUMMYFUNCTION("""COMPUTED_VALUE"""),"General")</f>
        <v>General</v>
      </c>
      <c r="J1947" s="13" t="str">
        <f>IFERROR(__xludf.DUMMYFUNCTION("""COMPUTED_VALUE"""),"Bottoms")</f>
        <v>Bottoms</v>
      </c>
      <c r="K1947" s="13" t="str">
        <f>IFERROR(__xludf.DUMMYFUNCTION("""COMPUTED_VALUE"""),"Skirts")</f>
        <v>Skirts</v>
      </c>
      <c r="L1947" s="13"/>
    </row>
    <row r="1948">
      <c r="A1948" s="13">
        <f>IFERROR(__xludf.DUMMYFUNCTION("""COMPUTED_VALUE"""),1946.0)</f>
        <v>1946</v>
      </c>
      <c r="B1948" s="13">
        <f>IFERROR(__xludf.DUMMYFUNCTION("""COMPUTED_VALUE"""),1016.0)</f>
        <v>1016</v>
      </c>
      <c r="C1948" s="13">
        <f>IFERROR(__xludf.DUMMYFUNCTION("""COMPUTED_VALUE"""),35.0)</f>
        <v>35</v>
      </c>
      <c r="D1948" s="12" t="str">
        <f>IFERROR(__xludf.DUMMYFUNCTION("""COMPUTED_VALUE"""),"Flawed")</f>
        <v>Flawed</v>
      </c>
      <c r="E1948" s="12" t="str">
        <f>IFERROR(__xludf.DUMMYFUNCTION("""COMPUTED_VALUE"""),"Cute skirt but i agree with the other reviewer. you can't get it on! i tried my skinny daughter tried no go!")</f>
        <v>Cute skirt but i agree with the other reviewer. you can't get it on! i tried my skinny daughter tried no go!</v>
      </c>
      <c r="F1948" s="13">
        <f>IFERROR(__xludf.DUMMYFUNCTION("""COMPUTED_VALUE"""),1.0)</f>
        <v>1</v>
      </c>
      <c r="G1948" s="13">
        <f>IFERROR(__xludf.DUMMYFUNCTION("""COMPUTED_VALUE"""),0.0)</f>
        <v>0</v>
      </c>
      <c r="H1948" s="13">
        <f>IFERROR(__xludf.DUMMYFUNCTION("""COMPUTED_VALUE"""),3.0)</f>
        <v>3</v>
      </c>
      <c r="I1948" s="13" t="str">
        <f>IFERROR(__xludf.DUMMYFUNCTION("""COMPUTED_VALUE"""),"General")</f>
        <v>General</v>
      </c>
      <c r="J1948" s="13" t="str">
        <f>IFERROR(__xludf.DUMMYFUNCTION("""COMPUTED_VALUE"""),"Bottoms")</f>
        <v>Bottoms</v>
      </c>
      <c r="K1948" s="13" t="str">
        <f>IFERROR(__xludf.DUMMYFUNCTION("""COMPUTED_VALUE"""),"Skirts")</f>
        <v>Skirts</v>
      </c>
      <c r="L1948" s="13"/>
    </row>
    <row r="1949">
      <c r="A1949" s="13">
        <f>IFERROR(__xludf.DUMMYFUNCTION("""COMPUTED_VALUE"""),1947.0)</f>
        <v>1947</v>
      </c>
      <c r="B1949" s="13">
        <f>IFERROR(__xludf.DUMMYFUNCTION("""COMPUTED_VALUE"""),862.0)</f>
        <v>862</v>
      </c>
      <c r="C1949" s="13">
        <f>IFERROR(__xludf.DUMMYFUNCTION("""COMPUTED_VALUE"""),64.0)</f>
        <v>64</v>
      </c>
      <c r="D1949" s="12"/>
      <c r="E1949" s="12" t="str">
        <f>IFERROR(__xludf.DUMMYFUNCTION("""COMPUTED_VALUE"""),"This is a beautiful sweater! it is not too heavy and the variation in knit from front to back makes not the same old boring sweater. the color is gorgeous.")</f>
        <v>This is a beautiful sweater! it is not too heavy and the variation in knit from front to back makes not the same old boring sweater. the color is gorgeous.</v>
      </c>
      <c r="F1949" s="13">
        <f>IFERROR(__xludf.DUMMYFUNCTION("""COMPUTED_VALUE"""),5.0)</f>
        <v>5</v>
      </c>
      <c r="G1949" s="13">
        <f>IFERROR(__xludf.DUMMYFUNCTION("""COMPUTED_VALUE"""),1.0)</f>
        <v>1</v>
      </c>
      <c r="H1949" s="13">
        <f>IFERROR(__xludf.DUMMYFUNCTION("""COMPUTED_VALUE"""),3.0)</f>
        <v>3</v>
      </c>
      <c r="I1949" s="13" t="str">
        <f>IFERROR(__xludf.DUMMYFUNCTION("""COMPUTED_VALUE"""),"General Petite")</f>
        <v>General Petite</v>
      </c>
      <c r="J1949" s="13" t="str">
        <f>IFERROR(__xludf.DUMMYFUNCTION("""COMPUTED_VALUE"""),"Tops")</f>
        <v>Tops</v>
      </c>
      <c r="K1949" s="13" t="str">
        <f>IFERROR(__xludf.DUMMYFUNCTION("""COMPUTED_VALUE"""),"Knits")</f>
        <v>Knits</v>
      </c>
      <c r="L1949" s="13"/>
    </row>
    <row r="1950">
      <c r="A1950" s="13">
        <f>IFERROR(__xludf.DUMMYFUNCTION("""COMPUTED_VALUE"""),1948.0)</f>
        <v>1948</v>
      </c>
      <c r="B1950" s="13">
        <f>IFERROR(__xludf.DUMMYFUNCTION("""COMPUTED_VALUE"""),872.0)</f>
        <v>872</v>
      </c>
      <c r="C1950" s="13">
        <f>IFERROR(__xludf.DUMMYFUNCTION("""COMPUTED_VALUE"""),29.0)</f>
        <v>29</v>
      </c>
      <c r="D1950" s="12" t="str">
        <f>IFERROR(__xludf.DUMMYFUNCTION("""COMPUTED_VALUE"""),"Awkward shape")</f>
        <v>Awkward shape</v>
      </c>
      <c r="E1950" s="12" t="str">
        <f>IFERROR(__xludf.DUMMYFUNCTION("""COMPUTED_VALUE"""),"I would definitely only recommend this top to girls who are smaller chested. it fits in the shoulders/arms, and then flares out too much at the bottom, almost looks like a maternity top. the material is very nice however - both soft, and feels like it wil"&amp;"l hold up through multiple washes.")</f>
        <v>I would definitely only recommend this top to girls who are smaller chested. it fits in the shoulders/arms, and then flares out too much at the bottom, almost looks like a maternity top. the material is very nice however - both soft, and feels like it will hold up through multiple washes.</v>
      </c>
      <c r="F1950" s="13">
        <f>IFERROR(__xludf.DUMMYFUNCTION("""COMPUTED_VALUE"""),4.0)</f>
        <v>4</v>
      </c>
      <c r="G1950" s="13">
        <f>IFERROR(__xludf.DUMMYFUNCTION("""COMPUTED_VALUE"""),0.0)</f>
        <v>0</v>
      </c>
      <c r="H1950" s="13">
        <f>IFERROR(__xludf.DUMMYFUNCTION("""COMPUTED_VALUE"""),0.0)</f>
        <v>0</v>
      </c>
      <c r="I1950" s="13" t="str">
        <f>IFERROR(__xludf.DUMMYFUNCTION("""COMPUTED_VALUE"""),"General Petite")</f>
        <v>General Petite</v>
      </c>
      <c r="J1950" s="13" t="str">
        <f>IFERROR(__xludf.DUMMYFUNCTION("""COMPUTED_VALUE"""),"Tops")</f>
        <v>Tops</v>
      </c>
      <c r="K1950" s="13" t="str">
        <f>IFERROR(__xludf.DUMMYFUNCTION("""COMPUTED_VALUE"""),"Knits")</f>
        <v>Knits</v>
      </c>
      <c r="L1950" s="13"/>
    </row>
    <row r="1951">
      <c r="A1951" s="13">
        <f>IFERROR(__xludf.DUMMYFUNCTION("""COMPUTED_VALUE"""),1949.0)</f>
        <v>1949</v>
      </c>
      <c r="B1951" s="13">
        <f>IFERROR(__xludf.DUMMYFUNCTION("""COMPUTED_VALUE"""),1092.0)</f>
        <v>1092</v>
      </c>
      <c r="C1951" s="13">
        <f>IFERROR(__xludf.DUMMYFUNCTION("""COMPUTED_VALUE"""),31.0)</f>
        <v>31</v>
      </c>
      <c r="D1951" s="12" t="str">
        <f>IFERROR(__xludf.DUMMYFUNCTION("""COMPUTED_VALUE"""),"Love")</f>
        <v>Love</v>
      </c>
      <c r="E1951" s="12" t="str">
        <f>IFERROR(__xludf.DUMMYFUNCTION("""COMPUTED_VALUE"""),"I just love this dress! the color, the quality, the design - all great! sizing can be tricky however. i sized down due to reading the other reviews, and i'm glad i did - it fits perfectly! this dress does not have a zipper on top, so if you have broad sho"&amp;"ulders it might be a little harder to squeeze into.")</f>
        <v>I just love this dress! the color, the quality, the design - all great! sizing can be tricky however. i sized down due to reading the other reviews, and i'm glad i did - it fits perfectly! this dress does not have a zipper on top, so if you have broad shoulders it might be a little harder to squeeze into.</v>
      </c>
      <c r="F1951" s="13">
        <f>IFERROR(__xludf.DUMMYFUNCTION("""COMPUTED_VALUE"""),5.0)</f>
        <v>5</v>
      </c>
      <c r="G1951" s="13">
        <f>IFERROR(__xludf.DUMMYFUNCTION("""COMPUTED_VALUE"""),1.0)</f>
        <v>1</v>
      </c>
      <c r="H1951" s="13">
        <f>IFERROR(__xludf.DUMMYFUNCTION("""COMPUTED_VALUE"""),3.0)</f>
        <v>3</v>
      </c>
      <c r="I1951" s="13" t="str">
        <f>IFERROR(__xludf.DUMMYFUNCTION("""COMPUTED_VALUE"""),"General Petite")</f>
        <v>General Petite</v>
      </c>
      <c r="J1951" s="13" t="str">
        <f>IFERROR(__xludf.DUMMYFUNCTION("""COMPUTED_VALUE"""),"Dresses")</f>
        <v>Dresses</v>
      </c>
      <c r="K1951" s="13" t="str">
        <f>IFERROR(__xludf.DUMMYFUNCTION("""COMPUTED_VALUE"""),"Dresses")</f>
        <v>Dresses</v>
      </c>
      <c r="L1951" s="13"/>
    </row>
    <row r="1952">
      <c r="A1952" s="13">
        <f>IFERROR(__xludf.DUMMYFUNCTION("""COMPUTED_VALUE"""),1950.0)</f>
        <v>1950</v>
      </c>
      <c r="B1952" s="13">
        <f>IFERROR(__xludf.DUMMYFUNCTION("""COMPUTED_VALUE"""),807.0)</f>
        <v>807</v>
      </c>
      <c r="C1952" s="13">
        <f>IFERROR(__xludf.DUMMYFUNCTION("""COMPUTED_VALUE"""),21.0)</f>
        <v>21</v>
      </c>
      <c r="D1952" s="12"/>
      <c r="E1952" s="12" t="str">
        <f>IFERROR(__xludf.DUMMYFUNCTION("""COMPUTED_VALUE"""),"I purchased this sweet little cami in all three colors (the black for some reason only available to order in store). the fabric is luxurious and smooth to the touch! i've purchased other silk shells by eloise and would say this one runs small. i'm 5'2"" 1"&amp;"25lbs 34c and and typically wear an xs at retailer. this tank was too tight in the chest and i sized up to a small which fixed the problem. i can't wait to make my jeans and bomber jackets for fall just a little more special with these babies!")</f>
        <v>I purchased this sweet little cami in all three colors (the black for some reason only available to order in store). the fabric is luxurious and smooth to the touch! i've purchased other silk shells by eloise and would say this one runs small. i'm 5'2" 125lbs 34c and and typically wear an xs at retailer. this tank was too tight in the chest and i sized up to a small which fixed the problem. i can't wait to make my jeans and bomber jackets for fall just a little more special with these babies!</v>
      </c>
      <c r="F1952" s="13">
        <f>IFERROR(__xludf.DUMMYFUNCTION("""COMPUTED_VALUE"""),5.0)</f>
        <v>5</v>
      </c>
      <c r="G1952" s="13">
        <f>IFERROR(__xludf.DUMMYFUNCTION("""COMPUTED_VALUE"""),1.0)</f>
        <v>1</v>
      </c>
      <c r="H1952" s="13">
        <f>IFERROR(__xludf.DUMMYFUNCTION("""COMPUTED_VALUE"""),2.0)</f>
        <v>2</v>
      </c>
      <c r="I1952" s="13" t="str">
        <f>IFERROR(__xludf.DUMMYFUNCTION("""COMPUTED_VALUE"""),"Initmates")</f>
        <v>Initmates</v>
      </c>
      <c r="J1952" s="13" t="str">
        <f>IFERROR(__xludf.DUMMYFUNCTION("""COMPUTED_VALUE"""),"Intimate")</f>
        <v>Intimate</v>
      </c>
      <c r="K1952" s="13" t="str">
        <f>IFERROR(__xludf.DUMMYFUNCTION("""COMPUTED_VALUE"""),"Intimates")</f>
        <v>Intimates</v>
      </c>
      <c r="L1952" s="13"/>
    </row>
    <row r="1953">
      <c r="A1953" s="13">
        <f>IFERROR(__xludf.DUMMYFUNCTION("""COMPUTED_VALUE"""),1951.0)</f>
        <v>1951</v>
      </c>
      <c r="B1953" s="13">
        <f>IFERROR(__xludf.DUMMYFUNCTION("""COMPUTED_VALUE"""),1197.0)</f>
        <v>1197</v>
      </c>
      <c r="C1953" s="13">
        <f>IFERROR(__xludf.DUMMYFUNCTION("""COMPUTED_VALUE"""),60.0)</f>
        <v>60</v>
      </c>
      <c r="D1953" s="12" t="str">
        <f>IFERROR(__xludf.DUMMYFUNCTION("""COMPUTED_VALUE"""),"Most comfortable fabric i've ever worn")</f>
        <v>Most comfortable fabric i've ever worn</v>
      </c>
      <c r="E1953" s="12" t="str">
        <f>IFERROR(__xludf.DUMMYFUNCTION("""COMPUTED_VALUE"""),"I originally bought this dress in another color back when retailer was doing the 25% off dresses promotion a few months ago. i had seen it on a store associate at my local store and absolutely loved it, but hemmed and hawed at the original price. it was a"&amp;" splurge even at 25% off, but as soon as i put it on i was in love. this dress is so soft. i wore it to see some old friends, and after every hug i received a comment about how unbelievably soft it was! the material is thick enough to have a decen")</f>
        <v>I originally bought this dress in another color back when retailer was doing the 25% off dresses promotion a few months ago. i had seen it on a store associate at my local store and absolutely loved it, but hemmed and hawed at the original price. it was a splurge even at 25% off, but as soon as i put it on i was in love. this dress is so soft. i wore it to see some old friends, and after every hug i received a comment about how unbelievably soft it was! the material is thick enough to have a decen</v>
      </c>
      <c r="F1953" s="13">
        <f>IFERROR(__xludf.DUMMYFUNCTION("""COMPUTED_VALUE"""),5.0)</f>
        <v>5</v>
      </c>
      <c r="G1953" s="13">
        <f>IFERROR(__xludf.DUMMYFUNCTION("""COMPUTED_VALUE"""),1.0)</f>
        <v>1</v>
      </c>
      <c r="H1953" s="13">
        <f>IFERROR(__xludf.DUMMYFUNCTION("""COMPUTED_VALUE"""),0.0)</f>
        <v>0</v>
      </c>
      <c r="I1953" s="13" t="str">
        <f>IFERROR(__xludf.DUMMYFUNCTION("""COMPUTED_VALUE"""),"General")</f>
        <v>General</v>
      </c>
      <c r="J1953" s="13" t="str">
        <f>IFERROR(__xludf.DUMMYFUNCTION("""COMPUTED_VALUE"""),"Dresses")</f>
        <v>Dresses</v>
      </c>
      <c r="K1953" s="13" t="str">
        <f>IFERROR(__xludf.DUMMYFUNCTION("""COMPUTED_VALUE"""),"Dresses")</f>
        <v>Dresses</v>
      </c>
      <c r="L1953" s="13"/>
    </row>
    <row r="1954">
      <c r="A1954" s="13">
        <f>IFERROR(__xludf.DUMMYFUNCTION("""COMPUTED_VALUE"""),1952.0)</f>
        <v>1952</v>
      </c>
      <c r="B1954" s="13">
        <f>IFERROR(__xludf.DUMMYFUNCTION("""COMPUTED_VALUE"""),1016.0)</f>
        <v>1016</v>
      </c>
      <c r="C1954" s="13">
        <f>IFERROR(__xludf.DUMMYFUNCTION("""COMPUTED_VALUE"""),45.0)</f>
        <v>45</v>
      </c>
      <c r="D1954" s="12" t="str">
        <f>IFERROR(__xludf.DUMMYFUNCTION("""COMPUTED_VALUE"""),"Cute skirt in theory")</f>
        <v>Cute skirt in theory</v>
      </c>
      <c r="E1954" s="12" t="str">
        <f>IFERROR(__xludf.DUMMYFUNCTION("""COMPUTED_VALUE"""),"This looked like such a cute, casual skirt when i picked it up but like other reviewers have said, it runs small. i'm usually a xs in retailer skirts but they only had a small to try on. i was able to get it on but did notice it was snug pulling on past m"&amp;"y hips. however once on, i couldn't figure out how i'd wear this. i wouldn't pair this with a flowy top but tucking something in didn't seem like a good idea either. between the pleats and elastic waist it will make almost anyone look like they ha")</f>
        <v>This looked like such a cute, casual skirt when i picked it up but like other reviewers have said, it runs small. i'm usually a xs in retailer skirts but they only had a small to try on. i was able to get it on but did notice it was snug pulling on past my hips. however once on, i couldn't figure out how i'd wear this. i wouldn't pair this with a flowy top but tucking something in didn't seem like a good idea either. between the pleats and elastic waist it will make almost anyone look like they ha</v>
      </c>
      <c r="F1954" s="13">
        <f>IFERROR(__xludf.DUMMYFUNCTION("""COMPUTED_VALUE"""),2.0)</f>
        <v>2</v>
      </c>
      <c r="G1954" s="13">
        <f>IFERROR(__xludf.DUMMYFUNCTION("""COMPUTED_VALUE"""),0.0)</f>
        <v>0</v>
      </c>
      <c r="H1954" s="13">
        <f>IFERROR(__xludf.DUMMYFUNCTION("""COMPUTED_VALUE"""),2.0)</f>
        <v>2</v>
      </c>
      <c r="I1954" s="13" t="str">
        <f>IFERROR(__xludf.DUMMYFUNCTION("""COMPUTED_VALUE"""),"General")</f>
        <v>General</v>
      </c>
      <c r="J1954" s="13" t="str">
        <f>IFERROR(__xludf.DUMMYFUNCTION("""COMPUTED_VALUE"""),"Bottoms")</f>
        <v>Bottoms</v>
      </c>
      <c r="K1954" s="13" t="str">
        <f>IFERROR(__xludf.DUMMYFUNCTION("""COMPUTED_VALUE"""),"Skirts")</f>
        <v>Skirts</v>
      </c>
      <c r="L1954" s="13"/>
    </row>
    <row r="1955">
      <c r="A1955" s="13">
        <f>IFERROR(__xludf.DUMMYFUNCTION("""COMPUTED_VALUE"""),1953.0)</f>
        <v>1953</v>
      </c>
      <c r="B1955" s="13">
        <f>IFERROR(__xludf.DUMMYFUNCTION("""COMPUTED_VALUE"""),872.0)</f>
        <v>872</v>
      </c>
      <c r="C1955" s="13">
        <f>IFERROR(__xludf.DUMMYFUNCTION("""COMPUTED_VALUE"""),60.0)</f>
        <v>60</v>
      </c>
      <c r="D1955" s="12" t="str">
        <f>IFERROR(__xludf.DUMMYFUNCTION("""COMPUTED_VALUE"""),"Love this shirt!")</f>
        <v>Love this shirt!</v>
      </c>
      <c r="E1955" s="12" t="str">
        <f>IFERROR(__xludf.DUMMYFUNCTION("""COMPUTED_VALUE"""),"This shirt is perfect for me. i have very small shoulders, but i am pear shaped. so the flare on the bottom is welcomed for my body type. i bought 2 colors. i have a similar shirt from retailer a few years ago that was multicolor which i wear all the time"&amp;", so i am thankful they have repeated this design. also i did get this on sale which is a more realistic price for the quality of this shirt.")</f>
        <v>This shirt is perfect for me. i have very small shoulders, but i am pear shaped. so the flare on the bottom is welcomed for my body type. i bought 2 colors. i have a similar shirt from retailer a few years ago that was multicolor which i wear all the time, so i am thankful they have repeated this design. also i did get this on sale which is a more realistic price for the quality of this shirt.</v>
      </c>
      <c r="F1955" s="13">
        <f>IFERROR(__xludf.DUMMYFUNCTION("""COMPUTED_VALUE"""),5.0)</f>
        <v>5</v>
      </c>
      <c r="G1955" s="13">
        <f>IFERROR(__xludf.DUMMYFUNCTION("""COMPUTED_VALUE"""),1.0)</f>
        <v>1</v>
      </c>
      <c r="H1955" s="13">
        <f>IFERROR(__xludf.DUMMYFUNCTION("""COMPUTED_VALUE"""),0.0)</f>
        <v>0</v>
      </c>
      <c r="I1955" s="13" t="str">
        <f>IFERROR(__xludf.DUMMYFUNCTION("""COMPUTED_VALUE"""),"General Petite")</f>
        <v>General Petite</v>
      </c>
      <c r="J1955" s="13" t="str">
        <f>IFERROR(__xludf.DUMMYFUNCTION("""COMPUTED_VALUE"""),"Tops")</f>
        <v>Tops</v>
      </c>
      <c r="K1955" s="13" t="str">
        <f>IFERROR(__xludf.DUMMYFUNCTION("""COMPUTED_VALUE"""),"Knits")</f>
        <v>Knits</v>
      </c>
      <c r="L1955" s="13"/>
    </row>
    <row r="1956">
      <c r="A1956" s="13">
        <f>IFERROR(__xludf.DUMMYFUNCTION("""COMPUTED_VALUE"""),1954.0)</f>
        <v>1954</v>
      </c>
      <c r="B1956" s="13">
        <f>IFERROR(__xludf.DUMMYFUNCTION("""COMPUTED_VALUE"""),1016.0)</f>
        <v>1016</v>
      </c>
      <c r="C1956" s="13">
        <f>IFERROR(__xludf.DUMMYFUNCTION("""COMPUTED_VALUE"""),44.0)</f>
        <v>44</v>
      </c>
      <c r="D1956" s="12" t="str">
        <f>IFERROR(__xludf.DUMMYFUNCTION("""COMPUTED_VALUE"""),"Can't get it on")</f>
        <v>Can't get it on</v>
      </c>
      <c r="E1956" s="12" t="str">
        <f>IFERROR(__xludf.DUMMYFUNCTION("""COMPUTED_VALUE"""),"I thought it was only me and immediately assumed i needed to go on a diet when i attempted to put this adorable skirt on. it got stuck at my hips. i'm a very consistent size small in dresses and skirts. i actually thought about putting it on over my head "&amp;"but that was impossible. its going back. now i see the other reviews and am relieved that its the skirt and not me! wish i had read them before purchasing. retailer is going to get a lot of returns on this one.")</f>
        <v>I thought it was only me and immediately assumed i needed to go on a diet when i attempted to put this adorable skirt on. it got stuck at my hips. i'm a very consistent size small in dresses and skirts. i actually thought about putting it on over my head but that was impossible. its going back. now i see the other reviews and am relieved that its the skirt and not me! wish i had read them before purchasing. retailer is going to get a lot of returns on this one.</v>
      </c>
      <c r="F1956" s="13">
        <f>IFERROR(__xludf.DUMMYFUNCTION("""COMPUTED_VALUE"""),1.0)</f>
        <v>1</v>
      </c>
      <c r="G1956" s="13">
        <f>IFERROR(__xludf.DUMMYFUNCTION("""COMPUTED_VALUE"""),0.0)</f>
        <v>0</v>
      </c>
      <c r="H1956" s="13">
        <f>IFERROR(__xludf.DUMMYFUNCTION("""COMPUTED_VALUE"""),2.0)</f>
        <v>2</v>
      </c>
      <c r="I1956" s="13" t="str">
        <f>IFERROR(__xludf.DUMMYFUNCTION("""COMPUTED_VALUE"""),"General")</f>
        <v>General</v>
      </c>
      <c r="J1956" s="13" t="str">
        <f>IFERROR(__xludf.DUMMYFUNCTION("""COMPUTED_VALUE"""),"Bottoms")</f>
        <v>Bottoms</v>
      </c>
      <c r="K1956" s="13" t="str">
        <f>IFERROR(__xludf.DUMMYFUNCTION("""COMPUTED_VALUE"""),"Skirts")</f>
        <v>Skirts</v>
      </c>
      <c r="L1956" s="13"/>
    </row>
    <row r="1957">
      <c r="A1957" s="13">
        <f>IFERROR(__xludf.DUMMYFUNCTION("""COMPUTED_VALUE"""),1955.0)</f>
        <v>1955</v>
      </c>
      <c r="B1957" s="13">
        <f>IFERROR(__xludf.DUMMYFUNCTION("""COMPUTED_VALUE"""),1197.0)</f>
        <v>1197</v>
      </c>
      <c r="C1957" s="13">
        <f>IFERROR(__xludf.DUMMYFUNCTION("""COMPUTED_VALUE"""),55.0)</f>
        <v>55</v>
      </c>
      <c r="D1957" s="12" t="str">
        <f>IFERROR(__xludf.DUMMYFUNCTION("""COMPUTED_VALUE"""),"Flattering and versatile")</f>
        <v>Flattering and versatile</v>
      </c>
      <c r="E1957" s="12" t="str">
        <f>IFERROR(__xludf.DUMMYFUNCTION("""COMPUTED_VALUE"""),"I ordered this winth some trepidation as the dress looked a bit baggy on the model. i don't typically buy this style of dress because many times, they are unflattering on me. i'm 5'6"" and 130 lbs, in very good shape. the small was perfect for me. a size "&amp;"up would've resulted in a baggier look. the length is perfect, above my knee; not too short, but short enough so i don't look frumpy. the dress drapes beautifully, and i can wear it with tights and boots now, and capri tights and wedge sandals in")</f>
        <v>I ordered this winth some trepidation as the dress looked a bit baggy on the model. i don't typically buy this style of dress because many times, they are unflattering on me. i'm 5'6" and 130 lbs, in very good shape. the small was perfect for me. a size up would've resulted in a baggier look. the length is perfect, above my knee; not too short, but short enough so i don't look frumpy. the dress drapes beautifully, and i can wear it with tights and boots now, and capri tights and wedge sandals in</v>
      </c>
      <c r="F1957" s="13">
        <f>IFERROR(__xludf.DUMMYFUNCTION("""COMPUTED_VALUE"""),5.0)</f>
        <v>5</v>
      </c>
      <c r="G1957" s="13">
        <f>IFERROR(__xludf.DUMMYFUNCTION("""COMPUTED_VALUE"""),1.0)</f>
        <v>1</v>
      </c>
      <c r="H1957" s="13">
        <f>IFERROR(__xludf.DUMMYFUNCTION("""COMPUTED_VALUE"""),0.0)</f>
        <v>0</v>
      </c>
      <c r="I1957" s="13" t="str">
        <f>IFERROR(__xludf.DUMMYFUNCTION("""COMPUTED_VALUE"""),"General")</f>
        <v>General</v>
      </c>
      <c r="J1957" s="13" t="str">
        <f>IFERROR(__xludf.DUMMYFUNCTION("""COMPUTED_VALUE"""),"Dresses")</f>
        <v>Dresses</v>
      </c>
      <c r="K1957" s="13" t="str">
        <f>IFERROR(__xludf.DUMMYFUNCTION("""COMPUTED_VALUE"""),"Dresses")</f>
        <v>Dresses</v>
      </c>
      <c r="L1957" s="13"/>
    </row>
    <row r="1958">
      <c r="A1958" s="13">
        <f>IFERROR(__xludf.DUMMYFUNCTION("""COMPUTED_VALUE"""),1956.0)</f>
        <v>1956</v>
      </c>
      <c r="B1958" s="13">
        <f>IFERROR(__xludf.DUMMYFUNCTION("""COMPUTED_VALUE"""),1009.0)</f>
        <v>1009</v>
      </c>
      <c r="C1958" s="13">
        <f>IFERROR(__xludf.DUMMYFUNCTION("""COMPUTED_VALUE"""),23.0)</f>
        <v>23</v>
      </c>
      <c r="D1958" s="12"/>
      <c r="E1958" s="12" t="str">
        <f>IFERROR(__xludf.DUMMYFUNCTION("""COMPUTED_VALUE"""),"Ugh. this skirt is beautiful and so well made, but i sized up to a 0 from my usual 00 based on reviews, and it's too large, and now my size is all sold out! if it were the right size it would fit beautifully! i'm pretty much a stick, (5'5, 105lbs) and it "&amp;"does poof out at the hips, making me look a little curvier, which might be an issue for some. but the quality is amazing, and this piece will spruce up most outfits !")</f>
        <v>Ugh. this skirt is beautiful and so well made, but i sized up to a 0 from my usual 00 based on reviews, and it's too large, and now my size is all sold out! if it were the right size it would fit beautifully! i'm pretty much a stick, (5'5, 105lbs) and it does poof out at the hips, making me look a little curvier, which might be an issue for some. but the quality is amazing, and this piece will spruce up most outfits !</v>
      </c>
      <c r="F1958" s="13">
        <f>IFERROR(__xludf.DUMMYFUNCTION("""COMPUTED_VALUE"""),4.0)</f>
        <v>4</v>
      </c>
      <c r="G1958" s="13">
        <f>IFERROR(__xludf.DUMMYFUNCTION("""COMPUTED_VALUE"""),1.0)</f>
        <v>1</v>
      </c>
      <c r="H1958" s="13">
        <f>IFERROR(__xludf.DUMMYFUNCTION("""COMPUTED_VALUE"""),0.0)</f>
        <v>0</v>
      </c>
      <c r="I1958" s="13" t="str">
        <f>IFERROR(__xludf.DUMMYFUNCTION("""COMPUTED_VALUE"""),"General Petite")</f>
        <v>General Petite</v>
      </c>
      <c r="J1958" s="13" t="str">
        <f>IFERROR(__xludf.DUMMYFUNCTION("""COMPUTED_VALUE"""),"Bottoms")</f>
        <v>Bottoms</v>
      </c>
      <c r="K1958" s="13" t="str">
        <f>IFERROR(__xludf.DUMMYFUNCTION("""COMPUTED_VALUE"""),"Skirts")</f>
        <v>Skirts</v>
      </c>
      <c r="L1958" s="13"/>
    </row>
    <row r="1959">
      <c r="A1959" s="13">
        <f>IFERROR(__xludf.DUMMYFUNCTION("""COMPUTED_VALUE"""),1957.0)</f>
        <v>1957</v>
      </c>
      <c r="B1959" s="13">
        <f>IFERROR(__xludf.DUMMYFUNCTION("""COMPUTED_VALUE"""),793.0)</f>
        <v>793</v>
      </c>
      <c r="C1959" s="13">
        <f>IFERROR(__xludf.DUMMYFUNCTION("""COMPUTED_VALUE"""),66.0)</f>
        <v>66</v>
      </c>
      <c r="D1959" s="12" t="str">
        <f>IFERROR(__xludf.DUMMYFUNCTION("""COMPUTED_VALUE"""),"Wide and long")</f>
        <v>Wide and long</v>
      </c>
      <c r="E1959" s="12" t="str">
        <f>IFERROR(__xludf.DUMMYFUNCTION("""COMPUTED_VALUE"""),"Been on the hunt for jammie's so gave these a shot. ordered my normal size large. fit well in the waist but i don't like the super wide legs. and they're too long. pretty color and pattern, however, the fabric isn't as soft or cozy as i hoped. i'm retired"&amp;" and wanted pajamas to lounge in all day. these missed the mark for me.")</f>
        <v>Been on the hunt for jammie's so gave these a shot. ordered my normal size large. fit well in the waist but i don't like the super wide legs. and they're too long. pretty color and pattern, however, the fabric isn't as soft or cozy as i hoped. i'm retired and wanted pajamas to lounge in all day. these missed the mark for me.</v>
      </c>
      <c r="F1959" s="13">
        <f>IFERROR(__xludf.DUMMYFUNCTION("""COMPUTED_VALUE"""),4.0)</f>
        <v>4</v>
      </c>
      <c r="G1959" s="13">
        <f>IFERROR(__xludf.DUMMYFUNCTION("""COMPUTED_VALUE"""),1.0)</f>
        <v>1</v>
      </c>
      <c r="H1959" s="13">
        <f>IFERROR(__xludf.DUMMYFUNCTION("""COMPUTED_VALUE"""),0.0)</f>
        <v>0</v>
      </c>
      <c r="I1959" s="13" t="str">
        <f>IFERROR(__xludf.DUMMYFUNCTION("""COMPUTED_VALUE"""),"Initmates")</f>
        <v>Initmates</v>
      </c>
      <c r="J1959" s="13" t="str">
        <f>IFERROR(__xludf.DUMMYFUNCTION("""COMPUTED_VALUE"""),"Intimate")</f>
        <v>Intimate</v>
      </c>
      <c r="K1959" s="13" t="str">
        <f>IFERROR(__xludf.DUMMYFUNCTION("""COMPUTED_VALUE"""),"Sleep")</f>
        <v>Sleep</v>
      </c>
      <c r="L1959" s="13"/>
    </row>
    <row r="1960">
      <c r="A1960" s="13">
        <f>IFERROR(__xludf.DUMMYFUNCTION("""COMPUTED_VALUE"""),1958.0)</f>
        <v>1958</v>
      </c>
      <c r="B1960" s="13">
        <f>IFERROR(__xludf.DUMMYFUNCTION("""COMPUTED_VALUE"""),1009.0)</f>
        <v>1009</v>
      </c>
      <c r="C1960" s="13">
        <f>IFERROR(__xludf.DUMMYFUNCTION("""COMPUTED_VALUE"""),51.0)</f>
        <v>51</v>
      </c>
      <c r="D1960" s="12" t="str">
        <f>IFERROR(__xludf.DUMMYFUNCTION("""COMPUTED_VALUE"""),"Halfway lovely")</f>
        <v>Halfway lovely</v>
      </c>
      <c r="E1960" s="12" t="str">
        <f>IFERROR(__xludf.DUMMYFUNCTION("""COMPUTED_VALUE"""),"Facing the mirror--near perfection. high waist emphasizes the narrowest part of the frame--pleats nicely hide any stomach flaws. color is an eye-catching deep mustardy perfection and the interlocking button pattern is creative and beautiful. the problem i"&amp;"s the walk away. from that view, the skirt waist finishes just where there's a bit of extra flesh. the cut is more of a long a-line--fairly boxy--and the heaviness of the cotton maintains that structure, so while the look as you approach walking")</f>
        <v>Facing the mirror--near perfection. high waist emphasizes the narrowest part of the frame--pleats nicely hide any stomach flaws. color is an eye-catching deep mustardy perfection and the interlocking button pattern is creative and beautiful. the problem is the walk away. from that view, the skirt waist finishes just where there's a bit of extra flesh. the cut is more of a long a-line--fairly boxy--and the heaviness of the cotton maintains that structure, so while the look as you approach walking</v>
      </c>
      <c r="F1960" s="13">
        <f>IFERROR(__xludf.DUMMYFUNCTION("""COMPUTED_VALUE"""),3.0)</f>
        <v>3</v>
      </c>
      <c r="G1960" s="13">
        <f>IFERROR(__xludf.DUMMYFUNCTION("""COMPUTED_VALUE"""),0.0)</f>
        <v>0</v>
      </c>
      <c r="H1960" s="13">
        <f>IFERROR(__xludf.DUMMYFUNCTION("""COMPUTED_VALUE"""),4.0)</f>
        <v>4</v>
      </c>
      <c r="I1960" s="13" t="str">
        <f>IFERROR(__xludf.DUMMYFUNCTION("""COMPUTED_VALUE"""),"General Petite")</f>
        <v>General Petite</v>
      </c>
      <c r="J1960" s="13" t="str">
        <f>IFERROR(__xludf.DUMMYFUNCTION("""COMPUTED_VALUE"""),"Bottoms")</f>
        <v>Bottoms</v>
      </c>
      <c r="K1960" s="13" t="str">
        <f>IFERROR(__xludf.DUMMYFUNCTION("""COMPUTED_VALUE"""),"Skirts")</f>
        <v>Skirts</v>
      </c>
      <c r="L1960" s="13"/>
    </row>
    <row r="1961">
      <c r="A1961" s="13">
        <f>IFERROR(__xludf.DUMMYFUNCTION("""COMPUTED_VALUE"""),1959.0)</f>
        <v>1959</v>
      </c>
      <c r="B1961" s="13">
        <f>IFERROR(__xludf.DUMMYFUNCTION("""COMPUTED_VALUE"""),872.0)</f>
        <v>872</v>
      </c>
      <c r="C1961" s="13">
        <f>IFERROR(__xludf.DUMMYFUNCTION("""COMPUTED_VALUE"""),28.0)</f>
        <v>28</v>
      </c>
      <c r="D1961" s="12" t="str">
        <f>IFERROR(__xludf.DUMMYFUNCTION("""COMPUTED_VALUE"""),"Great t-shirt for everyday use")</f>
        <v>Great t-shirt for everyday use</v>
      </c>
      <c r="E1961" s="12" t="str">
        <f>IFERROR(__xludf.DUMMYFUNCTION("""COMPUTED_VALUE"""),"I'm: 34a, 125 lbs, 5'8""
purchased: small
i was going back and forth between xs and s. i decided on small because it fit better in my arms, didn't feel as tight. the xs fit well in the torso area and didn't have as much fabric as the small. the small als"&amp;"o had a longer shirt tail. 
if you don't have as much mass in the arms, get the xs. if you have some muscle or extra mass in the arms, it's better to go with the small.")</f>
        <v>I'm: 34a, 125 lbs, 5'8"
purchased: small
i was going back and forth between xs and s. i decided on small because it fit better in my arms, didn't feel as tight. the xs fit well in the torso area and didn't have as much fabric as the small. the small also had a longer shirt tail. 
if you don't have as much mass in the arms, get the xs. if you have some muscle or extra mass in the arms, it's better to go with the small.</v>
      </c>
      <c r="F1961" s="13">
        <f>IFERROR(__xludf.DUMMYFUNCTION("""COMPUTED_VALUE"""),5.0)</f>
        <v>5</v>
      </c>
      <c r="G1961" s="13">
        <f>IFERROR(__xludf.DUMMYFUNCTION("""COMPUTED_VALUE"""),1.0)</f>
        <v>1</v>
      </c>
      <c r="H1961" s="13">
        <f>IFERROR(__xludf.DUMMYFUNCTION("""COMPUTED_VALUE"""),3.0)</f>
        <v>3</v>
      </c>
      <c r="I1961" s="13" t="str">
        <f>IFERROR(__xludf.DUMMYFUNCTION("""COMPUTED_VALUE"""),"General Petite")</f>
        <v>General Petite</v>
      </c>
      <c r="J1961" s="13" t="str">
        <f>IFERROR(__xludf.DUMMYFUNCTION("""COMPUTED_VALUE"""),"Tops")</f>
        <v>Tops</v>
      </c>
      <c r="K1961" s="13" t="str">
        <f>IFERROR(__xludf.DUMMYFUNCTION("""COMPUTED_VALUE"""),"Knits")</f>
        <v>Knits</v>
      </c>
      <c r="L1961" s="13"/>
    </row>
    <row r="1962">
      <c r="A1962" s="13">
        <f>IFERROR(__xludf.DUMMYFUNCTION("""COMPUTED_VALUE"""),1960.0)</f>
        <v>1960</v>
      </c>
      <c r="B1962" s="13">
        <f>IFERROR(__xludf.DUMMYFUNCTION("""COMPUTED_VALUE"""),1016.0)</f>
        <v>1016</v>
      </c>
      <c r="C1962" s="13">
        <f>IFERROR(__xludf.DUMMYFUNCTION("""COMPUTED_VALUE"""),61.0)</f>
        <v>61</v>
      </c>
      <c r="D1962" s="12" t="str">
        <f>IFERROR(__xludf.DUMMYFUNCTION("""COMPUTED_VALUE"""),"So bizarre!")</f>
        <v>So bizarre!</v>
      </c>
      <c r="E1962" s="12" t="str">
        <f>IFERROR(__xludf.DUMMYFUNCTION("""COMPUTED_VALUE"""),"I bought this skirt a month or so ago and only wore it for the first time yesterday. i thought the design was fluid, summer appropriate, and easy like sunday morning. i enjoyed wearing it so much that i went on to the retailer site today to order it in an"&amp;"other color. and lo and behold i saw all the reviews on the sizing/fit. i totally respect other reviewers, so i questioned why that had not been my experience when i wore it yesterday, so much so that i went and put it on again, sans issues.i am n")</f>
        <v>I bought this skirt a month or so ago and only wore it for the first time yesterday. i thought the design was fluid, summer appropriate, and easy like sunday morning. i enjoyed wearing it so much that i went on to the retailer site today to order it in another color. and lo and behold i saw all the reviews on the sizing/fit. i totally respect other reviewers, so i questioned why that had not been my experience when i wore it yesterday, so much so that i went and put it on again, sans issues.i am n</v>
      </c>
      <c r="F1962" s="13">
        <f>IFERROR(__xludf.DUMMYFUNCTION("""COMPUTED_VALUE"""),5.0)</f>
        <v>5</v>
      </c>
      <c r="G1962" s="13">
        <f>IFERROR(__xludf.DUMMYFUNCTION("""COMPUTED_VALUE"""),1.0)</f>
        <v>1</v>
      </c>
      <c r="H1962" s="13">
        <f>IFERROR(__xludf.DUMMYFUNCTION("""COMPUTED_VALUE"""),3.0)</f>
        <v>3</v>
      </c>
      <c r="I1962" s="13" t="str">
        <f>IFERROR(__xludf.DUMMYFUNCTION("""COMPUTED_VALUE"""),"General")</f>
        <v>General</v>
      </c>
      <c r="J1962" s="13" t="str">
        <f>IFERROR(__xludf.DUMMYFUNCTION("""COMPUTED_VALUE"""),"Bottoms")</f>
        <v>Bottoms</v>
      </c>
      <c r="K1962" s="13" t="str">
        <f>IFERROR(__xludf.DUMMYFUNCTION("""COMPUTED_VALUE"""),"Skirts")</f>
        <v>Skirts</v>
      </c>
      <c r="L1962" s="13"/>
    </row>
    <row r="1963">
      <c r="A1963" s="13">
        <f>IFERROR(__xludf.DUMMYFUNCTION("""COMPUTED_VALUE"""),1961.0)</f>
        <v>1961</v>
      </c>
      <c r="B1963" s="13">
        <f>IFERROR(__xludf.DUMMYFUNCTION("""COMPUTED_VALUE"""),1009.0)</f>
        <v>1009</v>
      </c>
      <c r="C1963" s="13">
        <f>IFERROR(__xludf.DUMMYFUNCTION("""COMPUTED_VALUE"""),39.0)</f>
        <v>39</v>
      </c>
      <c r="D1963" s="12" t="str">
        <f>IFERROR(__xludf.DUMMYFUNCTION("""COMPUTED_VALUE"""),"Good idea, wrong color.")</f>
        <v>Good idea, wrong color.</v>
      </c>
      <c r="E1963" s="12" t="str">
        <f>IFERROR(__xludf.DUMMYFUNCTION("""COMPUTED_VALUE"""),"Cute design with interesting details. i felt it ran a bit large. i'm 5'8"", 135 lbs, an 8 was too big and baggy. my biggest complaint with this skirt is the color. it's just not flattering.")</f>
        <v>Cute design with interesting details. i felt it ran a bit large. i'm 5'8", 135 lbs, an 8 was too big and baggy. my biggest complaint with this skirt is the color. it's just not flattering.</v>
      </c>
      <c r="F1963" s="13">
        <f>IFERROR(__xludf.DUMMYFUNCTION("""COMPUTED_VALUE"""),3.0)</f>
        <v>3</v>
      </c>
      <c r="G1963" s="13">
        <f>IFERROR(__xludf.DUMMYFUNCTION("""COMPUTED_VALUE"""),1.0)</f>
        <v>1</v>
      </c>
      <c r="H1963" s="13">
        <f>IFERROR(__xludf.DUMMYFUNCTION("""COMPUTED_VALUE"""),0.0)</f>
        <v>0</v>
      </c>
      <c r="I1963" s="13" t="str">
        <f>IFERROR(__xludf.DUMMYFUNCTION("""COMPUTED_VALUE"""),"General Petite")</f>
        <v>General Petite</v>
      </c>
      <c r="J1963" s="13" t="str">
        <f>IFERROR(__xludf.DUMMYFUNCTION("""COMPUTED_VALUE"""),"Bottoms")</f>
        <v>Bottoms</v>
      </c>
      <c r="K1963" s="13" t="str">
        <f>IFERROR(__xludf.DUMMYFUNCTION("""COMPUTED_VALUE"""),"Skirts")</f>
        <v>Skirts</v>
      </c>
      <c r="L1963" s="13"/>
    </row>
    <row r="1964">
      <c r="A1964" s="13">
        <f>IFERROR(__xludf.DUMMYFUNCTION("""COMPUTED_VALUE"""),1962.0)</f>
        <v>1962</v>
      </c>
      <c r="B1964" s="13">
        <f>IFERROR(__xludf.DUMMYFUNCTION("""COMPUTED_VALUE"""),1092.0)</f>
        <v>1092</v>
      </c>
      <c r="C1964" s="13">
        <f>IFERROR(__xludf.DUMMYFUNCTION("""COMPUTED_VALUE"""),44.0)</f>
        <v>44</v>
      </c>
      <c r="D1964" s="12" t="str">
        <f>IFERROR(__xludf.DUMMYFUNCTION("""COMPUTED_VALUE"""),"Another huge dress...")</f>
        <v>Another huge dress...</v>
      </c>
      <c r="E1964" s="12" t="str">
        <f>IFERROR(__xludf.DUMMYFUNCTION("""COMPUTED_VALUE"""),"Okay, i get the idea of the loose swing dresses but i have a couple that do it well without looking like a moo-moo. i ordered my ""typical"" pxs. the length was good and the color beautiful. i like the details of the dress but it was huge and not in a fla"&amp;"ttering swingy drapey way. i was undecided if i should try the pxxs as the pxs was so large that i don't know if the pxxs would fix this problem for me. i will still be thinking about it.")</f>
        <v>Okay, i get the idea of the loose swing dresses but i have a couple that do it well without looking like a moo-moo. i ordered my "typical" pxs. the length was good and the color beautiful. i like the details of the dress but it was huge and not in a flattering swingy drapey way. i was undecided if i should try the pxxs as the pxs was so large that i don't know if the pxxs would fix this problem for me. i will still be thinking about it.</v>
      </c>
      <c r="F1964" s="13">
        <f>IFERROR(__xludf.DUMMYFUNCTION("""COMPUTED_VALUE"""),4.0)</f>
        <v>4</v>
      </c>
      <c r="G1964" s="13">
        <f>IFERROR(__xludf.DUMMYFUNCTION("""COMPUTED_VALUE"""),1.0)</f>
        <v>1</v>
      </c>
      <c r="H1964" s="13">
        <f>IFERROR(__xludf.DUMMYFUNCTION("""COMPUTED_VALUE"""),3.0)</f>
        <v>3</v>
      </c>
      <c r="I1964" s="13" t="str">
        <f>IFERROR(__xludf.DUMMYFUNCTION("""COMPUTED_VALUE"""),"General Petite")</f>
        <v>General Petite</v>
      </c>
      <c r="J1964" s="13" t="str">
        <f>IFERROR(__xludf.DUMMYFUNCTION("""COMPUTED_VALUE"""),"Dresses")</f>
        <v>Dresses</v>
      </c>
      <c r="K1964" s="13" t="str">
        <f>IFERROR(__xludf.DUMMYFUNCTION("""COMPUTED_VALUE"""),"Dresses")</f>
        <v>Dresses</v>
      </c>
      <c r="L1964" s="13"/>
    </row>
    <row r="1965">
      <c r="A1965" s="13">
        <f>IFERROR(__xludf.DUMMYFUNCTION("""COMPUTED_VALUE"""),1963.0)</f>
        <v>1963</v>
      </c>
      <c r="B1965" s="13">
        <f>IFERROR(__xludf.DUMMYFUNCTION("""COMPUTED_VALUE"""),1083.0)</f>
        <v>1083</v>
      </c>
      <c r="C1965" s="13">
        <f>IFERROR(__xludf.DUMMYFUNCTION("""COMPUTED_VALUE"""),31.0)</f>
        <v>31</v>
      </c>
      <c r="D1965" s="12" t="str">
        <f>IFERROR(__xludf.DUMMYFUNCTION("""COMPUTED_VALUE"""),"An absolute hit - if you buy the right print")</f>
        <v>An absolute hit - if you buy the right print</v>
      </c>
      <c r="E1965" s="12" t="str">
        <f>IFERROR(__xludf.DUMMYFUNCTION("""COMPUTED_VALUE"""),"Dear creatures always has sizing issues. they run the gamut of bust-problems. i'd been salivating for this dress for a long time so i really did my homework. at 5'7"", 130-135 lbs, 34c, 28"" waist - typically a 4 in dresses... i bought the small. each dre"&amp;"ss is cut from the same fabric, leaving each dress's color swatch placement to be randomly determined. as a result, i've seen some dresses have only pink, purple, and green. i lucked out and got every color represented. so the dress you see may no")</f>
        <v>Dear creatures always has sizing issues. they run the gamut of bust-problems. i'd been salivating for this dress for a long time so i really did my homework. at 5'7", 130-135 lbs, 34c, 28" waist - typically a 4 in dresses... i bought the small. each dress is cut from the same fabric, leaving each dress's color swatch placement to be randomly determined. as a result, i've seen some dresses have only pink, purple, and green. i lucked out and got every color represented. so the dress you see may no</v>
      </c>
      <c r="F1965" s="13">
        <f>IFERROR(__xludf.DUMMYFUNCTION("""COMPUTED_VALUE"""),4.0)</f>
        <v>4</v>
      </c>
      <c r="G1965" s="13">
        <f>IFERROR(__xludf.DUMMYFUNCTION("""COMPUTED_VALUE"""),1.0)</f>
        <v>1</v>
      </c>
      <c r="H1965" s="13">
        <f>IFERROR(__xludf.DUMMYFUNCTION("""COMPUTED_VALUE"""),2.0)</f>
        <v>2</v>
      </c>
      <c r="I1965" s="13" t="str">
        <f>IFERROR(__xludf.DUMMYFUNCTION("""COMPUTED_VALUE"""),"General Petite")</f>
        <v>General Petite</v>
      </c>
      <c r="J1965" s="13" t="str">
        <f>IFERROR(__xludf.DUMMYFUNCTION("""COMPUTED_VALUE"""),"Dresses")</f>
        <v>Dresses</v>
      </c>
      <c r="K1965" s="13" t="str">
        <f>IFERROR(__xludf.DUMMYFUNCTION("""COMPUTED_VALUE"""),"Dresses")</f>
        <v>Dresses</v>
      </c>
      <c r="L1965" s="13"/>
    </row>
    <row r="1966">
      <c r="A1966" s="13">
        <f>IFERROR(__xludf.DUMMYFUNCTION("""COMPUTED_VALUE"""),1964.0)</f>
        <v>1964</v>
      </c>
      <c r="B1966" s="13">
        <f>IFERROR(__xludf.DUMMYFUNCTION("""COMPUTED_VALUE"""),1009.0)</f>
        <v>1009</v>
      </c>
      <c r="C1966" s="13">
        <f>IFERROR(__xludf.DUMMYFUNCTION("""COMPUTED_VALUE"""),31.0)</f>
        <v>31</v>
      </c>
      <c r="D1966" s="12" t="str">
        <f>IFERROR(__xludf.DUMMYFUNCTION("""COMPUTED_VALUE"""),"Girls with hips - size up!")</f>
        <v>Girls with hips - size up!</v>
      </c>
      <c r="E1966" s="12" t="str">
        <f>IFERROR(__xludf.DUMMYFUNCTION("""COMPUTED_VALUE"""),"Fell in love with this the moment it arrived in stores. whimsical but work--appropriate. i'm typically a 4 in dresses. i would say this skirt runs tts; however, the front pleats will create a pouch-y stomach if you have a small waist and a lucious anythin"&amp;"g-below-your-waist. size up one size to avoid this. the waist size will be loose, but it will allow the pleats to lay flat. absolutely lovely with a mock neck sleeveless top. also great with solid white, black, or printed blouses. not a true pen")</f>
        <v>Fell in love with this the moment it arrived in stores. whimsical but work--appropriate. i'm typically a 4 in dresses. i would say this skirt runs tts; however, the front pleats will create a pouch-y stomach if you have a small waist and a lucious anything-below-your-waist. size up one size to avoid this. the waist size will be loose, but it will allow the pleats to lay flat. absolutely lovely with a mock neck sleeveless top. also great with solid white, black, or printed blouses. not a true pen</v>
      </c>
      <c r="F1966" s="13">
        <f>IFERROR(__xludf.DUMMYFUNCTION("""COMPUTED_VALUE"""),4.0)</f>
        <v>4</v>
      </c>
      <c r="G1966" s="13">
        <f>IFERROR(__xludf.DUMMYFUNCTION("""COMPUTED_VALUE"""),1.0)</f>
        <v>1</v>
      </c>
      <c r="H1966" s="13">
        <f>IFERROR(__xludf.DUMMYFUNCTION("""COMPUTED_VALUE"""),4.0)</f>
        <v>4</v>
      </c>
      <c r="I1966" s="13" t="str">
        <f>IFERROR(__xludf.DUMMYFUNCTION("""COMPUTED_VALUE"""),"General Petite")</f>
        <v>General Petite</v>
      </c>
      <c r="J1966" s="13" t="str">
        <f>IFERROR(__xludf.DUMMYFUNCTION("""COMPUTED_VALUE"""),"Bottoms")</f>
        <v>Bottoms</v>
      </c>
      <c r="K1966" s="13" t="str">
        <f>IFERROR(__xludf.DUMMYFUNCTION("""COMPUTED_VALUE"""),"Skirts")</f>
        <v>Skirts</v>
      </c>
      <c r="L1966" s="13"/>
    </row>
    <row r="1967">
      <c r="A1967" s="13">
        <f>IFERROR(__xludf.DUMMYFUNCTION("""COMPUTED_VALUE"""),1965.0)</f>
        <v>1965</v>
      </c>
      <c r="B1967" s="13">
        <f>IFERROR(__xludf.DUMMYFUNCTION("""COMPUTED_VALUE"""),1016.0)</f>
        <v>1016</v>
      </c>
      <c r="C1967" s="13">
        <f>IFERROR(__xludf.DUMMYFUNCTION("""COMPUTED_VALUE"""),38.0)</f>
        <v>38</v>
      </c>
      <c r="D1967" s="12" t="str">
        <f>IFERROR(__xludf.DUMMYFUNCTION("""COMPUTED_VALUE"""),"Would be cute if i could get it on")</f>
        <v>Would be cute if i could get it on</v>
      </c>
      <c r="E1967" s="12" t="str">
        <f>IFERROR(__xludf.DUMMYFUNCTION("""COMPUTED_VALUE"""),"This skirt is very pretty, but not only does it run small but only a small portion of the waistband is elasticized, so there's very little stretch. for those of us with a significant difference in our waist and hip measurements, there's no way to get this"&amp;" skirt on past the hips.")</f>
        <v>This skirt is very pretty, but not only does it run small but only a small portion of the waistband is elasticized, so there's very little stretch. for those of us with a significant difference in our waist and hip measurements, there's no way to get this skirt on past the hips.</v>
      </c>
      <c r="F1967" s="13">
        <f>IFERROR(__xludf.DUMMYFUNCTION("""COMPUTED_VALUE"""),2.0)</f>
        <v>2</v>
      </c>
      <c r="G1967" s="13">
        <f>IFERROR(__xludf.DUMMYFUNCTION("""COMPUTED_VALUE"""),0.0)</f>
        <v>0</v>
      </c>
      <c r="H1967" s="13">
        <f>IFERROR(__xludf.DUMMYFUNCTION("""COMPUTED_VALUE"""),24.0)</f>
        <v>24</v>
      </c>
      <c r="I1967" s="13" t="str">
        <f>IFERROR(__xludf.DUMMYFUNCTION("""COMPUTED_VALUE"""),"General")</f>
        <v>General</v>
      </c>
      <c r="J1967" s="13" t="str">
        <f>IFERROR(__xludf.DUMMYFUNCTION("""COMPUTED_VALUE"""),"Bottoms")</f>
        <v>Bottoms</v>
      </c>
      <c r="K1967" s="13" t="str">
        <f>IFERROR(__xludf.DUMMYFUNCTION("""COMPUTED_VALUE"""),"Skirts")</f>
        <v>Skirts</v>
      </c>
      <c r="L1967" s="13"/>
    </row>
    <row r="1968">
      <c r="A1968" s="13">
        <f>IFERROR(__xludf.DUMMYFUNCTION("""COMPUTED_VALUE"""),1966.0)</f>
        <v>1966</v>
      </c>
      <c r="B1968" s="13">
        <f>IFERROR(__xludf.DUMMYFUNCTION("""COMPUTED_VALUE"""),1009.0)</f>
        <v>1009</v>
      </c>
      <c r="C1968" s="13">
        <f>IFERROR(__xludf.DUMMYFUNCTION("""COMPUTED_VALUE"""),34.0)</f>
        <v>34</v>
      </c>
      <c r="D1968" s="12" t="str">
        <f>IFERROR(__xludf.DUMMYFUNCTION("""COMPUTED_VALUE"""),"Beautiful!")</f>
        <v>Beautiful!</v>
      </c>
      <c r="E1968" s="12" t="str">
        <f>IFERROR(__xludf.DUMMYFUNCTION("""COMPUTED_VALUE"""),"This skirt is beautiful...the color is definitely more a greeny-gold then a true yellow gold...nice quality fabric, has some stretch, big pockets with cute lining, buttons are adorable, perfect knee length, sits higher on the waist. because it's not lined"&amp;" and the pockets are big, the pocket line is visible on my thigh area, so i am going up a size just so i don't see that...if you have less curves, your regular size should be perfect. it has so much character, but it!!")</f>
        <v>This skirt is beautiful...the color is definitely more a greeny-gold then a true yellow gold...nice quality fabric, has some stretch, big pockets with cute lining, buttons are adorable, perfect knee length, sits higher on the waist. because it's not lined and the pockets are big, the pocket line is visible on my thigh area, so i am going up a size just so i don't see that...if you have less curves, your regular size should be perfect. it has so much character, but it!!</v>
      </c>
      <c r="F1968" s="13">
        <f>IFERROR(__xludf.DUMMYFUNCTION("""COMPUTED_VALUE"""),5.0)</f>
        <v>5</v>
      </c>
      <c r="G1968" s="13">
        <f>IFERROR(__xludf.DUMMYFUNCTION("""COMPUTED_VALUE"""),1.0)</f>
        <v>1</v>
      </c>
      <c r="H1968" s="13">
        <f>IFERROR(__xludf.DUMMYFUNCTION("""COMPUTED_VALUE"""),17.0)</f>
        <v>17</v>
      </c>
      <c r="I1968" s="13" t="str">
        <f>IFERROR(__xludf.DUMMYFUNCTION("""COMPUTED_VALUE"""),"General Petite")</f>
        <v>General Petite</v>
      </c>
      <c r="J1968" s="13" t="str">
        <f>IFERROR(__xludf.DUMMYFUNCTION("""COMPUTED_VALUE"""),"Bottoms")</f>
        <v>Bottoms</v>
      </c>
      <c r="K1968" s="13" t="str">
        <f>IFERROR(__xludf.DUMMYFUNCTION("""COMPUTED_VALUE"""),"Skirts")</f>
        <v>Skirts</v>
      </c>
      <c r="L1968" s="13"/>
    </row>
    <row r="1969">
      <c r="A1969" s="13">
        <f>IFERROR(__xludf.DUMMYFUNCTION("""COMPUTED_VALUE"""),1967.0)</f>
        <v>1967</v>
      </c>
      <c r="B1969" s="13">
        <f>IFERROR(__xludf.DUMMYFUNCTION("""COMPUTED_VALUE"""),1009.0)</f>
        <v>1009</v>
      </c>
      <c r="C1969" s="13">
        <f>IFERROR(__xludf.DUMMYFUNCTION("""COMPUTED_VALUE"""),57.0)</f>
        <v>57</v>
      </c>
      <c r="D1969" s="12" t="str">
        <f>IFERROR(__xludf.DUMMYFUNCTION("""COMPUTED_VALUE"""),"Mustard")</f>
        <v>Mustard</v>
      </c>
      <c r="E1969" s="12" t="str">
        <f>IFERROR(__xludf.DUMMYFUNCTION("""COMPUTED_VALUE"""),"1. i'm 5'5"" tall, 145 lbs, and 38-32-40. i'm normally a size 10, but i took a 12 in this skirt.
2. it's comfortable and has pockets that you can really put your hands in.
3. sits at high waist. hem hits below the knee.
4. i didn't like the buttons. th"&amp;"ey are very round and stick out quite far. they are also mismatched. i would have liked them better if they were flatter.
5. i also didn't like the mustard color. it's unflattering to me.")</f>
        <v>1. i'm 5'5" tall, 145 lbs, and 38-32-40. i'm normally a size 10, but i took a 12 in this skirt.
2. it's comfortable and has pockets that you can really put your hands in.
3. sits at high waist. hem hits below the knee.
4. i didn't like the buttons. they are very round and stick out quite far. they are also mismatched. i would have liked them better if they were flatter.
5. i also didn't like the mustard color. it's unflattering to me.</v>
      </c>
      <c r="F1969" s="13">
        <f>IFERROR(__xludf.DUMMYFUNCTION("""COMPUTED_VALUE"""),4.0)</f>
        <v>4</v>
      </c>
      <c r="G1969" s="13">
        <f>IFERROR(__xludf.DUMMYFUNCTION("""COMPUTED_VALUE"""),1.0)</f>
        <v>1</v>
      </c>
      <c r="H1969" s="13">
        <f>IFERROR(__xludf.DUMMYFUNCTION("""COMPUTED_VALUE"""),8.0)</f>
        <v>8</v>
      </c>
      <c r="I1969" s="13" t="str">
        <f>IFERROR(__xludf.DUMMYFUNCTION("""COMPUTED_VALUE"""),"General Petite")</f>
        <v>General Petite</v>
      </c>
      <c r="J1969" s="13" t="str">
        <f>IFERROR(__xludf.DUMMYFUNCTION("""COMPUTED_VALUE"""),"Bottoms")</f>
        <v>Bottoms</v>
      </c>
      <c r="K1969" s="13" t="str">
        <f>IFERROR(__xludf.DUMMYFUNCTION("""COMPUTED_VALUE"""),"Skirts")</f>
        <v>Skirts</v>
      </c>
      <c r="L1969" s="13"/>
    </row>
    <row r="1970">
      <c r="A1970" s="13">
        <f>IFERROR(__xludf.DUMMYFUNCTION("""COMPUTED_VALUE"""),1968.0)</f>
        <v>1968</v>
      </c>
      <c r="B1970" s="13">
        <f>IFERROR(__xludf.DUMMYFUNCTION("""COMPUTED_VALUE"""),862.0)</f>
        <v>862</v>
      </c>
      <c r="C1970" s="13">
        <f>IFERROR(__xludf.DUMMYFUNCTION("""COMPUTED_VALUE"""),63.0)</f>
        <v>63</v>
      </c>
      <c r="D1970" s="12"/>
      <c r="E1970" s="12" t="str">
        <f>IFERROR(__xludf.DUMMYFUNCTION("""COMPUTED_VALUE"""),"This is a very classy sweater/jacket. it is a beautiful color. i had not even noticed it until it was on sale, and then read all the favorable reviews. it can be dressy or casual as seen in this photo! so glad i got it!")</f>
        <v>This is a very classy sweater/jacket. it is a beautiful color. i had not even noticed it until it was on sale, and then read all the favorable reviews. it can be dressy or casual as seen in this photo! so glad i got it!</v>
      </c>
      <c r="F1970" s="13">
        <f>IFERROR(__xludf.DUMMYFUNCTION("""COMPUTED_VALUE"""),5.0)</f>
        <v>5</v>
      </c>
      <c r="G1970" s="13">
        <f>IFERROR(__xludf.DUMMYFUNCTION("""COMPUTED_VALUE"""),1.0)</f>
        <v>1</v>
      </c>
      <c r="H1970" s="13">
        <f>IFERROR(__xludf.DUMMYFUNCTION("""COMPUTED_VALUE"""),0.0)</f>
        <v>0</v>
      </c>
      <c r="I1970" s="13" t="str">
        <f>IFERROR(__xludf.DUMMYFUNCTION("""COMPUTED_VALUE"""),"General Petite")</f>
        <v>General Petite</v>
      </c>
      <c r="J1970" s="13" t="str">
        <f>IFERROR(__xludf.DUMMYFUNCTION("""COMPUTED_VALUE"""),"Tops")</f>
        <v>Tops</v>
      </c>
      <c r="K1970" s="13" t="str">
        <f>IFERROR(__xludf.DUMMYFUNCTION("""COMPUTED_VALUE"""),"Knits")</f>
        <v>Knits</v>
      </c>
      <c r="L1970" s="13"/>
    </row>
    <row r="1971">
      <c r="A1971" s="13">
        <f>IFERROR(__xludf.DUMMYFUNCTION("""COMPUTED_VALUE"""),1969.0)</f>
        <v>1969</v>
      </c>
      <c r="B1971" s="13">
        <f>IFERROR(__xludf.DUMMYFUNCTION("""COMPUTED_VALUE"""),872.0)</f>
        <v>872</v>
      </c>
      <c r="C1971" s="13">
        <f>IFERROR(__xludf.DUMMYFUNCTION("""COMPUTED_VALUE"""),41.0)</f>
        <v>41</v>
      </c>
      <c r="D1971" s="12" t="str">
        <f>IFERROR(__xludf.DUMMYFUNCTION("""COMPUTED_VALUE"""),"Cute basic")</f>
        <v>Cute basic</v>
      </c>
      <c r="E1971" s="12" t="str">
        <f>IFERROR(__xludf.DUMMYFUNCTION("""COMPUTED_VALUE"""),"This is a great basic tee (purchased in navy) but fits much larger than it appears on the model. the arms/chest area fit fine but it really billows out below. the front is shorter and the back is longer than i would've expected. i thought this would be gr"&amp;"eat for summer, but it's really too long in the back to wear with shorts. it does, however, look great with skinny jeans.")</f>
        <v>This is a great basic tee (purchased in navy) but fits much larger than it appears on the model. the arms/chest area fit fine but it really billows out below. the front is shorter and the back is longer than i would've expected. i thought this would be great for summer, but it's really too long in the back to wear with shorts. it does, however, look great with skinny jeans.</v>
      </c>
      <c r="F1971" s="13">
        <f>IFERROR(__xludf.DUMMYFUNCTION("""COMPUTED_VALUE"""),4.0)</f>
        <v>4</v>
      </c>
      <c r="G1971" s="13">
        <f>IFERROR(__xludf.DUMMYFUNCTION("""COMPUTED_VALUE"""),1.0)</f>
        <v>1</v>
      </c>
      <c r="H1971" s="13">
        <f>IFERROR(__xludf.DUMMYFUNCTION("""COMPUTED_VALUE"""),0.0)</f>
        <v>0</v>
      </c>
      <c r="I1971" s="13" t="str">
        <f>IFERROR(__xludf.DUMMYFUNCTION("""COMPUTED_VALUE"""),"General Petite")</f>
        <v>General Petite</v>
      </c>
      <c r="J1971" s="13" t="str">
        <f>IFERROR(__xludf.DUMMYFUNCTION("""COMPUTED_VALUE"""),"Tops")</f>
        <v>Tops</v>
      </c>
      <c r="K1971" s="13" t="str">
        <f>IFERROR(__xludf.DUMMYFUNCTION("""COMPUTED_VALUE"""),"Knits")</f>
        <v>Knits</v>
      </c>
      <c r="L1971" s="13"/>
    </row>
    <row r="1972">
      <c r="A1972" s="13">
        <f>IFERROR(__xludf.DUMMYFUNCTION("""COMPUTED_VALUE"""),1970.0)</f>
        <v>1970</v>
      </c>
      <c r="B1972" s="13">
        <f>IFERROR(__xludf.DUMMYFUNCTION("""COMPUTED_VALUE"""),862.0)</f>
        <v>862</v>
      </c>
      <c r="C1972" s="13">
        <f>IFERROR(__xludf.DUMMYFUNCTION("""COMPUTED_VALUE"""),31.0)</f>
        <v>31</v>
      </c>
      <c r="D1972" s="12" t="str">
        <f>IFERROR(__xludf.DUMMYFUNCTION("""COMPUTED_VALUE"""),"Gorgeous sweater")</f>
        <v>Gorgeous sweater</v>
      </c>
      <c r="E1972" s="12" t="str">
        <f>IFERROR(__xludf.DUMMYFUNCTION("""COMPUTED_VALUE"""),"I absolutely love this gorgeous cardigan. i will wear it for years to come!!")</f>
        <v>I absolutely love this gorgeous cardigan. i will wear it for years to come!!</v>
      </c>
      <c r="F1972" s="13">
        <f>IFERROR(__xludf.DUMMYFUNCTION("""COMPUTED_VALUE"""),5.0)</f>
        <v>5</v>
      </c>
      <c r="G1972" s="13">
        <f>IFERROR(__xludf.DUMMYFUNCTION("""COMPUTED_VALUE"""),1.0)</f>
        <v>1</v>
      </c>
      <c r="H1972" s="13">
        <f>IFERROR(__xludf.DUMMYFUNCTION("""COMPUTED_VALUE"""),0.0)</f>
        <v>0</v>
      </c>
      <c r="I1972" s="13" t="str">
        <f>IFERROR(__xludf.DUMMYFUNCTION("""COMPUTED_VALUE"""),"General Petite")</f>
        <v>General Petite</v>
      </c>
      <c r="J1972" s="13" t="str">
        <f>IFERROR(__xludf.DUMMYFUNCTION("""COMPUTED_VALUE"""),"Tops")</f>
        <v>Tops</v>
      </c>
      <c r="K1972" s="13" t="str">
        <f>IFERROR(__xludf.DUMMYFUNCTION("""COMPUTED_VALUE"""),"Knits")</f>
        <v>Knits</v>
      </c>
      <c r="L1972" s="13"/>
    </row>
    <row r="1973">
      <c r="A1973" s="13">
        <f>IFERROR(__xludf.DUMMYFUNCTION("""COMPUTED_VALUE"""),1971.0)</f>
        <v>1971</v>
      </c>
      <c r="B1973" s="13">
        <f>IFERROR(__xludf.DUMMYFUNCTION("""COMPUTED_VALUE"""),1016.0)</f>
        <v>1016</v>
      </c>
      <c r="C1973" s="13">
        <f>IFERROR(__xludf.DUMMYFUNCTION("""COMPUTED_VALUE"""),43.0)</f>
        <v>43</v>
      </c>
      <c r="D1973" s="12" t="str">
        <f>IFERROR(__xludf.DUMMYFUNCTION("""COMPUTED_VALUE"""),"Beautiful skirt!")</f>
        <v>Beautiful skirt!</v>
      </c>
      <c r="E1973" s="12" t="str">
        <f>IFERROR(__xludf.DUMMYFUNCTION("""COMPUTED_VALUE"""),"I tried this skirt in my usual size s, and although it fit, it was too short for my liking and made my hips look wide b/c of the way it billowed out. the size m looked much better- hit me right below the knee in the front. (i'm 5'2"") my skirt is much mor"&amp;"e high-low than the picture. also, it sits much lower on my waist, which i like. i bought the blue, and with the color variations, it is gorgeous- reminds me of a chambray or denim coloring. i rolled it up to take on vacation, and it traveled rea")</f>
        <v>I tried this skirt in my usual size s, and although it fit, it was too short for my liking and made my hips look wide b/c of the way it billowed out. the size m looked much better- hit me right below the knee in the front. (i'm 5'2") my skirt is much more high-low than the picture. also, it sits much lower on my waist, which i like. i bought the blue, and with the color variations, it is gorgeous- reminds me of a chambray or denim coloring. i rolled it up to take on vacation, and it traveled rea</v>
      </c>
      <c r="F1973" s="13">
        <f>IFERROR(__xludf.DUMMYFUNCTION("""COMPUTED_VALUE"""),4.0)</f>
        <v>4</v>
      </c>
      <c r="G1973" s="13">
        <f>IFERROR(__xludf.DUMMYFUNCTION("""COMPUTED_VALUE"""),1.0)</f>
        <v>1</v>
      </c>
      <c r="H1973" s="13">
        <f>IFERROR(__xludf.DUMMYFUNCTION("""COMPUTED_VALUE"""),1.0)</f>
        <v>1</v>
      </c>
      <c r="I1973" s="13" t="str">
        <f>IFERROR(__xludf.DUMMYFUNCTION("""COMPUTED_VALUE"""),"General")</f>
        <v>General</v>
      </c>
      <c r="J1973" s="13" t="str">
        <f>IFERROR(__xludf.DUMMYFUNCTION("""COMPUTED_VALUE"""),"Bottoms")</f>
        <v>Bottoms</v>
      </c>
      <c r="K1973" s="13" t="str">
        <f>IFERROR(__xludf.DUMMYFUNCTION("""COMPUTED_VALUE"""),"Skirts")</f>
        <v>Skirts</v>
      </c>
      <c r="L1973" s="13"/>
    </row>
    <row r="1974">
      <c r="A1974" s="13">
        <f>IFERROR(__xludf.DUMMYFUNCTION("""COMPUTED_VALUE"""),1972.0)</f>
        <v>1972</v>
      </c>
      <c r="B1974" s="13">
        <f>IFERROR(__xludf.DUMMYFUNCTION("""COMPUTED_VALUE"""),1016.0)</f>
        <v>1016</v>
      </c>
      <c r="C1974" s="13">
        <f>IFERROR(__xludf.DUMMYFUNCTION("""COMPUTED_VALUE"""),32.0)</f>
        <v>32</v>
      </c>
      <c r="D1974" s="12" t="str">
        <f>IFERROR(__xludf.DUMMYFUNCTION("""COMPUTED_VALUE"""),"Beautiful skirt")</f>
        <v>Beautiful skirt</v>
      </c>
      <c r="E1974" s="12" t="str">
        <f>IFERROR(__xludf.DUMMYFUNCTION("""COMPUTED_VALUE"""),"I love this skirt! it is a lovely and soft gauze layer with lining underneath. i live where the summer""s are hot and humid and this skirt keeps me cool when everything else just sticks to me. it is, for sure, very limited because it does not have a zippe"&amp;"r.... if you cannot get this over your hips or over your shoulders and bust, this is not the skirt for you. the elastic waistband is really strong and really highlights your waist, but yes, i am petite and i struggle to get it on. once it is on,")</f>
        <v>I love this skirt! it is a lovely and soft gauze layer with lining underneath. i live where the summer"s are hot and humid and this skirt keeps me cool when everything else just sticks to me. it is, for sure, very limited because it does not have a zipper.... if you cannot get this over your hips or over your shoulders and bust, this is not the skirt for you. the elastic waistband is really strong and really highlights your waist, but yes, i am petite and i struggle to get it on. once it is on,</v>
      </c>
      <c r="F1974" s="13">
        <f>IFERROR(__xludf.DUMMYFUNCTION("""COMPUTED_VALUE"""),4.0)</f>
        <v>4</v>
      </c>
      <c r="G1974" s="13">
        <f>IFERROR(__xludf.DUMMYFUNCTION("""COMPUTED_VALUE"""),1.0)</f>
        <v>1</v>
      </c>
      <c r="H1974" s="13">
        <f>IFERROR(__xludf.DUMMYFUNCTION("""COMPUTED_VALUE"""),0.0)</f>
        <v>0</v>
      </c>
      <c r="I1974" s="13" t="str">
        <f>IFERROR(__xludf.DUMMYFUNCTION("""COMPUTED_VALUE"""),"General")</f>
        <v>General</v>
      </c>
      <c r="J1974" s="13" t="str">
        <f>IFERROR(__xludf.DUMMYFUNCTION("""COMPUTED_VALUE"""),"Bottoms")</f>
        <v>Bottoms</v>
      </c>
      <c r="K1974" s="13" t="str">
        <f>IFERROR(__xludf.DUMMYFUNCTION("""COMPUTED_VALUE"""),"Skirts")</f>
        <v>Skirts</v>
      </c>
      <c r="L1974" s="13"/>
    </row>
    <row r="1975">
      <c r="A1975" s="13">
        <f>IFERROR(__xludf.DUMMYFUNCTION("""COMPUTED_VALUE"""),1973.0)</f>
        <v>1973</v>
      </c>
      <c r="B1975" s="13">
        <f>IFERROR(__xludf.DUMMYFUNCTION("""COMPUTED_VALUE"""),1092.0)</f>
        <v>1092</v>
      </c>
      <c r="C1975" s="13">
        <f>IFERROR(__xludf.DUMMYFUNCTION("""COMPUTED_VALUE"""),36.0)</f>
        <v>36</v>
      </c>
      <c r="D1975" s="12"/>
      <c r="E1975" s="12" t="str">
        <f>IFERROR(__xludf.DUMMYFUNCTION("""COMPUTED_VALUE"""),"I adore this dress, the perfect summer dress that you can dress up or down. the color is vibrant and the fabric flows and feels fantastic against your skin. i love that you can still wear a strapless bra with it, but with the adjustable shoulder ties you "&amp;"can have it go as low as you want for a more sexy look. the bottom hem is this super cute fringe, so fun and feminine. and while it is a loose fitting dress i did not feel like my figure was drowned out by the fullness of the fabric. this dress")</f>
        <v>I adore this dress, the perfect summer dress that you can dress up or down. the color is vibrant and the fabric flows and feels fantastic against your skin. i love that you can still wear a strapless bra with it, but with the adjustable shoulder ties you can have it go as low as you want for a more sexy look. the bottom hem is this super cute fringe, so fun and feminine. and while it is a loose fitting dress i did not feel like my figure was drowned out by the fullness of the fabric. this dress</v>
      </c>
      <c r="F1975" s="13">
        <f>IFERROR(__xludf.DUMMYFUNCTION("""COMPUTED_VALUE"""),5.0)</f>
        <v>5</v>
      </c>
      <c r="G1975" s="13">
        <f>IFERROR(__xludf.DUMMYFUNCTION("""COMPUTED_VALUE"""),1.0)</f>
        <v>1</v>
      </c>
      <c r="H1975" s="13">
        <f>IFERROR(__xludf.DUMMYFUNCTION("""COMPUTED_VALUE"""),22.0)</f>
        <v>22</v>
      </c>
      <c r="I1975" s="13" t="str">
        <f>IFERROR(__xludf.DUMMYFUNCTION("""COMPUTED_VALUE"""),"General Petite")</f>
        <v>General Petite</v>
      </c>
      <c r="J1975" s="13" t="str">
        <f>IFERROR(__xludf.DUMMYFUNCTION("""COMPUTED_VALUE"""),"Dresses")</f>
        <v>Dresses</v>
      </c>
      <c r="K1975" s="13" t="str">
        <f>IFERROR(__xludf.DUMMYFUNCTION("""COMPUTED_VALUE"""),"Dresses")</f>
        <v>Dresses</v>
      </c>
      <c r="L1975" s="13"/>
    </row>
    <row r="1976">
      <c r="A1976" s="13">
        <f>IFERROR(__xludf.DUMMYFUNCTION("""COMPUTED_VALUE"""),1974.0)</f>
        <v>1974</v>
      </c>
      <c r="B1976" s="13">
        <f>IFERROR(__xludf.DUMMYFUNCTION("""COMPUTED_VALUE"""),1092.0)</f>
        <v>1092</v>
      </c>
      <c r="C1976" s="13">
        <f>IFERROR(__xludf.DUMMYFUNCTION("""COMPUTED_VALUE"""),50.0)</f>
        <v>50</v>
      </c>
      <c r="D1976" s="12" t="str">
        <f>IFERROR(__xludf.DUMMYFUNCTION("""COMPUTED_VALUE"""),"Love this dress")</f>
        <v>Love this dress</v>
      </c>
      <c r="E1976" s="12" t="str">
        <f>IFERROR(__xludf.DUMMYFUNCTION("""COMPUTED_VALUE"""),"One of the things i love most about this dress is that the straps are adjustable. you can tie them as loose or tight as you like. like other reviewers mentioned, the color of this dress is vibrant and the fringe at the bottom is the perfect detail retaile"&amp;"r is famous for doing! i am 5'5 105 lbs and lately all of the dresses i have been buying at retailer have been xsp. i have never worn petites before, so i don't know if retailer is just making their dresses a little bigger, but i definitely have neede")</f>
        <v>One of the things i love most about this dress is that the straps are adjustable. you can tie them as loose or tight as you like. like other reviewers mentioned, the color of this dress is vibrant and the fringe at the bottom is the perfect detail retailer is famous for doing! i am 5'5 105 lbs and lately all of the dresses i have been buying at retailer have been xsp. i have never worn petites before, so i don't know if retailer is just making their dresses a little bigger, but i definitely have neede</v>
      </c>
      <c r="F1976" s="13">
        <f>IFERROR(__xludf.DUMMYFUNCTION("""COMPUTED_VALUE"""),5.0)</f>
        <v>5</v>
      </c>
      <c r="G1976" s="13">
        <f>IFERROR(__xludf.DUMMYFUNCTION("""COMPUTED_VALUE"""),1.0)</f>
        <v>1</v>
      </c>
      <c r="H1976" s="13">
        <f>IFERROR(__xludf.DUMMYFUNCTION("""COMPUTED_VALUE"""),1.0)</f>
        <v>1</v>
      </c>
      <c r="I1976" s="13" t="str">
        <f>IFERROR(__xludf.DUMMYFUNCTION("""COMPUTED_VALUE"""),"General Petite")</f>
        <v>General Petite</v>
      </c>
      <c r="J1976" s="13" t="str">
        <f>IFERROR(__xludf.DUMMYFUNCTION("""COMPUTED_VALUE"""),"Dresses")</f>
        <v>Dresses</v>
      </c>
      <c r="K1976" s="13" t="str">
        <f>IFERROR(__xludf.DUMMYFUNCTION("""COMPUTED_VALUE"""),"Dresses")</f>
        <v>Dresses</v>
      </c>
      <c r="L1976" s="13"/>
    </row>
    <row r="1977">
      <c r="A1977" s="13">
        <f>IFERROR(__xludf.DUMMYFUNCTION("""COMPUTED_VALUE"""),1975.0)</f>
        <v>1975</v>
      </c>
      <c r="B1977" s="13">
        <f>IFERROR(__xludf.DUMMYFUNCTION("""COMPUTED_VALUE"""),862.0)</f>
        <v>862</v>
      </c>
      <c r="C1977" s="13">
        <f>IFERROR(__xludf.DUMMYFUNCTION("""COMPUTED_VALUE"""),27.0)</f>
        <v>27</v>
      </c>
      <c r="D1977" s="12" t="str">
        <f>IFERROR(__xludf.DUMMYFUNCTION("""COMPUTED_VALUE"""),"Effortless style")</f>
        <v>Effortless style</v>
      </c>
      <c r="E1977" s="12" t="str">
        <f>IFERROR(__xludf.DUMMYFUNCTION("""COMPUTED_VALUE"""),"Love the deep purple color of this cardi sweater - long and drapey looks great with leggings skinnies and jeans. my only problem is the way the loose stitching around the cuffs is makes it worrisome. wore once and already starting to get a hole. still a g"&amp;"reat piece.")</f>
        <v>Love the deep purple color of this cardi sweater - long and drapey looks great with leggings skinnies and jeans. my only problem is the way the loose stitching around the cuffs is makes it worrisome. wore once and already starting to get a hole. still a great piece.</v>
      </c>
      <c r="F1977" s="13">
        <f>IFERROR(__xludf.DUMMYFUNCTION("""COMPUTED_VALUE"""),4.0)</f>
        <v>4</v>
      </c>
      <c r="G1977" s="13">
        <f>IFERROR(__xludf.DUMMYFUNCTION("""COMPUTED_VALUE"""),1.0)</f>
        <v>1</v>
      </c>
      <c r="H1977" s="13">
        <f>IFERROR(__xludf.DUMMYFUNCTION("""COMPUTED_VALUE"""),0.0)</f>
        <v>0</v>
      </c>
      <c r="I1977" s="13" t="str">
        <f>IFERROR(__xludf.DUMMYFUNCTION("""COMPUTED_VALUE"""),"General")</f>
        <v>General</v>
      </c>
      <c r="J1977" s="13" t="str">
        <f>IFERROR(__xludf.DUMMYFUNCTION("""COMPUTED_VALUE"""),"Tops")</f>
        <v>Tops</v>
      </c>
      <c r="K1977" s="13" t="str">
        <f>IFERROR(__xludf.DUMMYFUNCTION("""COMPUTED_VALUE"""),"Knits")</f>
        <v>Knits</v>
      </c>
      <c r="L1977" s="13"/>
    </row>
    <row r="1978">
      <c r="A1978" s="13">
        <f>IFERROR(__xludf.DUMMYFUNCTION("""COMPUTED_VALUE"""),1976.0)</f>
        <v>1976</v>
      </c>
      <c r="B1978" s="13">
        <f>IFERROR(__xludf.DUMMYFUNCTION("""COMPUTED_VALUE"""),872.0)</f>
        <v>872</v>
      </c>
      <c r="C1978" s="13">
        <f>IFERROR(__xludf.DUMMYFUNCTION("""COMPUTED_VALUE"""),66.0)</f>
        <v>66</v>
      </c>
      <c r="D1978" s="12" t="str">
        <f>IFERROR(__xludf.DUMMYFUNCTION("""COMPUTED_VALUE"""),"Cute and comfy")</f>
        <v>Cute and comfy</v>
      </c>
      <c r="E1978" s="12" t="str">
        <f>IFERROR(__xludf.DUMMYFUNCTION("""COMPUTED_VALUE"""),"Yes, this top runs large and it doesn't show your curves, but it's still really cute and fun to wear. i first purchased the beautiful sage color, and after getting compliments, i also ordered the navy version. these tops are easy to wear, have an interest"&amp;"ing detail at the neck, and could be layered. cozy, comfortable, stylish. love mine!")</f>
        <v>Yes, this top runs large and it doesn't show your curves, but it's still really cute and fun to wear. i first purchased the beautiful sage color, and after getting compliments, i also ordered the navy version. these tops are easy to wear, have an interesting detail at the neck, and could be layered. cozy, comfortable, stylish. love mine!</v>
      </c>
      <c r="F1978" s="13">
        <f>IFERROR(__xludf.DUMMYFUNCTION("""COMPUTED_VALUE"""),5.0)</f>
        <v>5</v>
      </c>
      <c r="G1978" s="13">
        <f>IFERROR(__xludf.DUMMYFUNCTION("""COMPUTED_VALUE"""),1.0)</f>
        <v>1</v>
      </c>
      <c r="H1978" s="13">
        <f>IFERROR(__xludf.DUMMYFUNCTION("""COMPUTED_VALUE"""),0.0)</f>
        <v>0</v>
      </c>
      <c r="I1978" s="13" t="str">
        <f>IFERROR(__xludf.DUMMYFUNCTION("""COMPUTED_VALUE"""),"General Petite")</f>
        <v>General Petite</v>
      </c>
      <c r="J1978" s="13" t="str">
        <f>IFERROR(__xludf.DUMMYFUNCTION("""COMPUTED_VALUE"""),"Tops")</f>
        <v>Tops</v>
      </c>
      <c r="K1978" s="13" t="str">
        <f>IFERROR(__xludf.DUMMYFUNCTION("""COMPUTED_VALUE"""),"Knits")</f>
        <v>Knits</v>
      </c>
      <c r="L1978" s="13"/>
    </row>
    <row r="1979">
      <c r="A1979" s="13">
        <f>IFERROR(__xludf.DUMMYFUNCTION("""COMPUTED_VALUE"""),1977.0)</f>
        <v>1977</v>
      </c>
      <c r="B1979" s="13">
        <f>IFERROR(__xludf.DUMMYFUNCTION("""COMPUTED_VALUE"""),1016.0)</f>
        <v>1016</v>
      </c>
      <c r="C1979" s="13">
        <f>IFERROR(__xludf.DUMMYFUNCTION("""COMPUTED_VALUE"""),46.0)</f>
        <v>46</v>
      </c>
      <c r="D1979" s="12" t="str">
        <f>IFERROR(__xludf.DUMMYFUNCTION("""COMPUTED_VALUE"""),"Small")</f>
        <v>Small</v>
      </c>
      <c r="E1979" s="12" t="str">
        <f>IFERROR(__xludf.DUMMYFUNCTION("""COMPUTED_VALUE"""),"I agree with the other reviews - runs small. would have been perfect if it actually was comfortable. waistband doesn't stretch all the way around. bummer.")</f>
        <v>I agree with the other reviews - runs small. would have been perfect if it actually was comfortable. waistband doesn't stretch all the way around. bummer.</v>
      </c>
      <c r="F1979" s="13">
        <f>IFERROR(__xludf.DUMMYFUNCTION("""COMPUTED_VALUE"""),2.0)</f>
        <v>2</v>
      </c>
      <c r="G1979" s="13">
        <f>IFERROR(__xludf.DUMMYFUNCTION("""COMPUTED_VALUE"""),0.0)</f>
        <v>0</v>
      </c>
      <c r="H1979" s="13">
        <f>IFERROR(__xludf.DUMMYFUNCTION("""COMPUTED_VALUE"""),1.0)</f>
        <v>1</v>
      </c>
      <c r="I1979" s="13" t="str">
        <f>IFERROR(__xludf.DUMMYFUNCTION("""COMPUTED_VALUE"""),"General")</f>
        <v>General</v>
      </c>
      <c r="J1979" s="13" t="str">
        <f>IFERROR(__xludf.DUMMYFUNCTION("""COMPUTED_VALUE"""),"Bottoms")</f>
        <v>Bottoms</v>
      </c>
      <c r="K1979" s="13" t="str">
        <f>IFERROR(__xludf.DUMMYFUNCTION("""COMPUTED_VALUE"""),"Skirts")</f>
        <v>Skirts</v>
      </c>
      <c r="L1979" s="13"/>
    </row>
    <row r="1980">
      <c r="A1980" s="13">
        <f>IFERROR(__xludf.DUMMYFUNCTION("""COMPUTED_VALUE"""),1978.0)</f>
        <v>1978</v>
      </c>
      <c r="B1980" s="13">
        <f>IFERROR(__xludf.DUMMYFUNCTION("""COMPUTED_VALUE"""),321.0)</f>
        <v>321</v>
      </c>
      <c r="C1980" s="13">
        <f>IFERROR(__xludf.DUMMYFUNCTION("""COMPUTED_VALUE"""),27.0)</f>
        <v>27</v>
      </c>
      <c r="D1980" s="12" t="str">
        <f>IFERROR(__xludf.DUMMYFUNCTION("""COMPUTED_VALUE"""),"Love it!!")</f>
        <v>Love it!!</v>
      </c>
      <c r="E1980" s="12" t="str">
        <f>IFERROR(__xludf.DUMMYFUNCTION("""COMPUTED_VALUE"""),"This swimsuit is aaaahmazing. seafolly is an australian brand and their sizing is way off, luckily i already own a one piece by them so i knew what size to order. i am usually a 0 or a 2, chest size 34 d, and i ordered a 6 in this and it fits perfectly. t"&amp;"aking it out of the package i wasn't sure if it would fit, but it did! the keyhole is pretty open, and the shape of the sides and high neck make some cleavage happen. i got it in black and it's really sohpisticated, but still sexy and cool. i ca")</f>
        <v>This swimsuit is aaaahmazing. seafolly is an australian brand and their sizing is way off, luckily i already own a one piece by them so i knew what size to order. i am usually a 0 or a 2, chest size 34 d, and i ordered a 6 in this and it fits perfectly. taking it out of the package i wasn't sure if it would fit, but it did! the keyhole is pretty open, and the shape of the sides and high neck make some cleavage happen. i got it in black and it's really sohpisticated, but still sexy and cool. i ca</v>
      </c>
      <c r="F1980" s="13">
        <f>IFERROR(__xludf.DUMMYFUNCTION("""COMPUTED_VALUE"""),5.0)</f>
        <v>5</v>
      </c>
      <c r="G1980" s="13">
        <f>IFERROR(__xludf.DUMMYFUNCTION("""COMPUTED_VALUE"""),1.0)</f>
        <v>1</v>
      </c>
      <c r="H1980" s="13">
        <f>IFERROR(__xludf.DUMMYFUNCTION("""COMPUTED_VALUE"""),5.0)</f>
        <v>5</v>
      </c>
      <c r="I1980" s="13" t="str">
        <f>IFERROR(__xludf.DUMMYFUNCTION("""COMPUTED_VALUE"""),"Initmates")</f>
        <v>Initmates</v>
      </c>
      <c r="J1980" s="13" t="str">
        <f>IFERROR(__xludf.DUMMYFUNCTION("""COMPUTED_VALUE"""),"Intimate")</f>
        <v>Intimate</v>
      </c>
      <c r="K1980" s="13" t="str">
        <f>IFERROR(__xludf.DUMMYFUNCTION("""COMPUTED_VALUE"""),"Swim")</f>
        <v>Swim</v>
      </c>
      <c r="L1980" s="13"/>
    </row>
    <row r="1981">
      <c r="A1981" s="13">
        <f>IFERROR(__xludf.DUMMYFUNCTION("""COMPUTED_VALUE"""),1979.0)</f>
        <v>1979</v>
      </c>
      <c r="B1981" s="13">
        <f>IFERROR(__xludf.DUMMYFUNCTION("""COMPUTED_VALUE"""),807.0)</f>
        <v>807</v>
      </c>
      <c r="C1981" s="13">
        <f>IFERROR(__xludf.DUMMYFUNCTION("""COMPUTED_VALUE"""),39.0)</f>
        <v>39</v>
      </c>
      <c r="D1981" s="12" t="str">
        <f>IFERROR(__xludf.DUMMYFUNCTION("""COMPUTED_VALUE"""),"Great top!")</f>
        <v>Great top!</v>
      </c>
      <c r="E1981" s="12" t="str">
        <f>IFERROR(__xludf.DUMMYFUNCTION("""COMPUTED_VALUE"""),"I typically wear an xs to s in tops and purchased an xs for a less flowy fit.  this top has a luxurious feel and the green color is really beautiful (more matte than shiny).  perfect piece to wear under a jacket or blazer.")</f>
        <v>I typically wear an xs to s in tops and purchased an xs for a less flowy fit.  this top has a luxurious feel and the green color is really beautiful (more matte than shiny).  perfect piece to wear under a jacket or blazer.</v>
      </c>
      <c r="F1981" s="13">
        <f>IFERROR(__xludf.DUMMYFUNCTION("""COMPUTED_VALUE"""),5.0)</f>
        <v>5</v>
      </c>
      <c r="G1981" s="13">
        <f>IFERROR(__xludf.DUMMYFUNCTION("""COMPUTED_VALUE"""),1.0)</f>
        <v>1</v>
      </c>
      <c r="H1981" s="13">
        <f>IFERROR(__xludf.DUMMYFUNCTION("""COMPUTED_VALUE"""),0.0)</f>
        <v>0</v>
      </c>
      <c r="I1981" s="13" t="str">
        <f>IFERROR(__xludf.DUMMYFUNCTION("""COMPUTED_VALUE"""),"Initmates")</f>
        <v>Initmates</v>
      </c>
      <c r="J1981" s="13" t="str">
        <f>IFERROR(__xludf.DUMMYFUNCTION("""COMPUTED_VALUE"""),"Intimate")</f>
        <v>Intimate</v>
      </c>
      <c r="K1981" s="13" t="str">
        <f>IFERROR(__xludf.DUMMYFUNCTION("""COMPUTED_VALUE"""),"Intimates")</f>
        <v>Intimates</v>
      </c>
      <c r="L1981" s="13"/>
    </row>
    <row r="1982">
      <c r="A1982" s="13">
        <f>IFERROR(__xludf.DUMMYFUNCTION("""COMPUTED_VALUE"""),1980.0)</f>
        <v>1980</v>
      </c>
      <c r="B1982" s="13">
        <f>IFERROR(__xludf.DUMMYFUNCTION("""COMPUTED_VALUE"""),807.0)</f>
        <v>807</v>
      </c>
      <c r="C1982" s="13">
        <f>IFERROR(__xludf.DUMMYFUNCTION("""COMPUTED_VALUE"""),43.0)</f>
        <v>43</v>
      </c>
      <c r="D1982" s="12" t="str">
        <f>IFERROR(__xludf.DUMMYFUNCTION("""COMPUTED_VALUE"""),"Gorgeous green color")</f>
        <v>Gorgeous green color</v>
      </c>
      <c r="E1982" s="12" t="str">
        <f>IFERROR(__xludf.DUMMYFUNCTION("""COMPUTED_VALUE"""),"Great piece just wish it fit a bit more blousy rather than cami")</f>
        <v>Great piece just wish it fit a bit more blousy rather than cami</v>
      </c>
      <c r="F1982" s="13">
        <f>IFERROR(__xludf.DUMMYFUNCTION("""COMPUTED_VALUE"""),5.0)</f>
        <v>5</v>
      </c>
      <c r="G1982" s="13">
        <f>IFERROR(__xludf.DUMMYFUNCTION("""COMPUTED_VALUE"""),1.0)</f>
        <v>1</v>
      </c>
      <c r="H1982" s="13">
        <f>IFERROR(__xludf.DUMMYFUNCTION("""COMPUTED_VALUE"""),0.0)</f>
        <v>0</v>
      </c>
      <c r="I1982" s="13" t="str">
        <f>IFERROR(__xludf.DUMMYFUNCTION("""COMPUTED_VALUE"""),"Initmates")</f>
        <v>Initmates</v>
      </c>
      <c r="J1982" s="13" t="str">
        <f>IFERROR(__xludf.DUMMYFUNCTION("""COMPUTED_VALUE"""),"Intimate")</f>
        <v>Intimate</v>
      </c>
      <c r="K1982" s="13" t="str">
        <f>IFERROR(__xludf.DUMMYFUNCTION("""COMPUTED_VALUE"""),"Intimates")</f>
        <v>Intimates</v>
      </c>
      <c r="L1982" s="13"/>
    </row>
    <row r="1983">
      <c r="A1983" s="13">
        <f>IFERROR(__xludf.DUMMYFUNCTION("""COMPUTED_VALUE"""),1981.0)</f>
        <v>1981</v>
      </c>
      <c r="B1983" s="13">
        <f>IFERROR(__xludf.DUMMYFUNCTION("""COMPUTED_VALUE"""),872.0)</f>
        <v>872</v>
      </c>
      <c r="C1983" s="13">
        <f>IFERROR(__xludf.DUMMYFUNCTION("""COMPUTED_VALUE"""),36.0)</f>
        <v>36</v>
      </c>
      <c r="D1983" s="12" t="str">
        <f>IFERROR(__xludf.DUMMYFUNCTION("""COMPUTED_VALUE"""),"A staple!")</f>
        <v>A staple!</v>
      </c>
      <c r="E1983" s="12" t="str">
        <f>IFERROR(__xludf.DUMMYFUNCTION("""COMPUTED_VALUE"""),"This top! it is so simple, but so great at the same time! it does run large, and i'm not a skinny girl... but it has a style that is certainly meant to flow away from the body as it goes down. i find the top portion very flattering and the looser bottom s"&amp;"ection doesn't take away from that. i have been wearing the olive green with fitting dark jeans and a flannel or oversized soft, washed-jean button down shirt over it for the cool spring weather. it's casual, but so comfy. it's great for loungin")</f>
        <v>This top! it is so simple, but so great at the same time! it does run large, and i'm not a skinny girl... but it has a style that is certainly meant to flow away from the body as it goes down. i find the top portion very flattering and the looser bottom section doesn't take away from that. i have been wearing the olive green with fitting dark jeans and a flannel or oversized soft, washed-jean button down shirt over it for the cool spring weather. it's casual, but so comfy. it's great for loungin</v>
      </c>
      <c r="F1983" s="13">
        <f>IFERROR(__xludf.DUMMYFUNCTION("""COMPUTED_VALUE"""),5.0)</f>
        <v>5</v>
      </c>
      <c r="G1983" s="13">
        <f>IFERROR(__xludf.DUMMYFUNCTION("""COMPUTED_VALUE"""),1.0)</f>
        <v>1</v>
      </c>
      <c r="H1983" s="13">
        <f>IFERROR(__xludf.DUMMYFUNCTION("""COMPUTED_VALUE"""),4.0)</f>
        <v>4</v>
      </c>
      <c r="I1983" s="13" t="str">
        <f>IFERROR(__xludf.DUMMYFUNCTION("""COMPUTED_VALUE"""),"General Petite")</f>
        <v>General Petite</v>
      </c>
      <c r="J1983" s="13" t="str">
        <f>IFERROR(__xludf.DUMMYFUNCTION("""COMPUTED_VALUE"""),"Tops")</f>
        <v>Tops</v>
      </c>
      <c r="K1983" s="13" t="str">
        <f>IFERROR(__xludf.DUMMYFUNCTION("""COMPUTED_VALUE"""),"Knits")</f>
        <v>Knits</v>
      </c>
      <c r="L1983" s="13"/>
    </row>
    <row r="1984">
      <c r="A1984" s="13">
        <f>IFERROR(__xludf.DUMMYFUNCTION("""COMPUTED_VALUE"""),1982.0)</f>
        <v>1982</v>
      </c>
      <c r="B1984" s="13">
        <f>IFERROR(__xludf.DUMMYFUNCTION("""COMPUTED_VALUE"""),1092.0)</f>
        <v>1092</v>
      </c>
      <c r="C1984" s="13">
        <f>IFERROR(__xludf.DUMMYFUNCTION("""COMPUTED_VALUE"""),39.0)</f>
        <v>39</v>
      </c>
      <c r="D1984" s="12" t="str">
        <f>IFERROR(__xludf.DUMMYFUNCTION("""COMPUTED_VALUE"""),"Uhhhmmmazing!")</f>
        <v>Uhhhmmmazing!</v>
      </c>
      <c r="E1984" s="12" t="str">
        <f>IFERROR(__xludf.DUMMYFUNCTION("""COMPUTED_VALUE"""),"Color, style, adjustability, easy fit, flattering!  yes on so many levels!  oh wait it's on sale!  fantastic, magnificent and pretty!  i bought medium and in 39-28-35")</f>
        <v>Color, style, adjustability, easy fit, flattering!  yes on so many levels!  oh wait it's on sale!  fantastic, magnificent and pretty!  i bought medium and in 39-28-35</v>
      </c>
      <c r="F1984" s="13">
        <f>IFERROR(__xludf.DUMMYFUNCTION("""COMPUTED_VALUE"""),5.0)</f>
        <v>5</v>
      </c>
      <c r="G1984" s="13">
        <f>IFERROR(__xludf.DUMMYFUNCTION("""COMPUTED_VALUE"""),1.0)</f>
        <v>1</v>
      </c>
      <c r="H1984" s="13">
        <f>IFERROR(__xludf.DUMMYFUNCTION("""COMPUTED_VALUE"""),2.0)</f>
        <v>2</v>
      </c>
      <c r="I1984" s="13" t="str">
        <f>IFERROR(__xludf.DUMMYFUNCTION("""COMPUTED_VALUE"""),"General Petite")</f>
        <v>General Petite</v>
      </c>
      <c r="J1984" s="13" t="str">
        <f>IFERROR(__xludf.DUMMYFUNCTION("""COMPUTED_VALUE"""),"Dresses")</f>
        <v>Dresses</v>
      </c>
      <c r="K1984" s="13" t="str">
        <f>IFERROR(__xludf.DUMMYFUNCTION("""COMPUTED_VALUE"""),"Dresses")</f>
        <v>Dresses</v>
      </c>
      <c r="L1984" s="13"/>
    </row>
    <row r="1985">
      <c r="A1985" s="13">
        <f>IFERROR(__xludf.DUMMYFUNCTION("""COMPUTED_VALUE"""),1983.0)</f>
        <v>1983</v>
      </c>
      <c r="B1985" s="13">
        <f>IFERROR(__xludf.DUMMYFUNCTION("""COMPUTED_VALUE"""),862.0)</f>
        <v>862</v>
      </c>
      <c r="C1985" s="13">
        <f>IFERROR(__xludf.DUMMYFUNCTION("""COMPUTED_VALUE"""),61.0)</f>
        <v>61</v>
      </c>
      <c r="D1985" s="12"/>
      <c r="E1985" s="12" t="str">
        <f>IFERROR(__xludf.DUMMYFUNCTION("""COMPUTED_VALUE"""),"It's a lovely and unexpected sweater. a few things to keep in mind- 
- the knit details are beautiful- the pictures don't do it justice.
- it's pretty lightweight.
- the color is a little darker than the picture shown- it's a very dark plum
- it runs "&amp;"bigger- this is the only retailer sweater where the sleeves of a m are a little to long. 
- the style is decidedly casual and ""slouchy"". it looks great with jeans, but don't plan to dress up an outfit with this piece.")</f>
        <v>It's a lovely and unexpected sweater. a few things to keep in mind- 
- the knit details are beautiful- the pictures don't do it justice.
- it's pretty lightweight.
- the color is a little darker than the picture shown- it's a very dark plum
- it runs bigger- this is the only retailer sweater where the sleeves of a m are a little to long. 
- the style is decidedly casual and "slouchy". it looks great with jeans, but don't plan to dress up an outfit with this piece.</v>
      </c>
      <c r="F1985" s="13">
        <f>IFERROR(__xludf.DUMMYFUNCTION("""COMPUTED_VALUE"""),4.0)</f>
        <v>4</v>
      </c>
      <c r="G1985" s="13">
        <f>IFERROR(__xludf.DUMMYFUNCTION("""COMPUTED_VALUE"""),1.0)</f>
        <v>1</v>
      </c>
      <c r="H1985" s="13">
        <f>IFERROR(__xludf.DUMMYFUNCTION("""COMPUTED_VALUE"""),6.0)</f>
        <v>6</v>
      </c>
      <c r="I1985" s="13" t="str">
        <f>IFERROR(__xludf.DUMMYFUNCTION("""COMPUTED_VALUE"""),"General")</f>
        <v>General</v>
      </c>
      <c r="J1985" s="13" t="str">
        <f>IFERROR(__xludf.DUMMYFUNCTION("""COMPUTED_VALUE"""),"Tops")</f>
        <v>Tops</v>
      </c>
      <c r="K1985" s="13" t="str">
        <f>IFERROR(__xludf.DUMMYFUNCTION("""COMPUTED_VALUE"""),"Knits")</f>
        <v>Knits</v>
      </c>
      <c r="L1985" s="13"/>
    </row>
    <row r="1986">
      <c r="A1986" s="13">
        <f>IFERROR(__xludf.DUMMYFUNCTION("""COMPUTED_VALUE"""),1984.0)</f>
        <v>1984</v>
      </c>
      <c r="B1986" s="13">
        <f>IFERROR(__xludf.DUMMYFUNCTION("""COMPUTED_VALUE"""),1016.0)</f>
        <v>1016</v>
      </c>
      <c r="C1986" s="13">
        <f>IFERROR(__xludf.DUMMYFUNCTION("""COMPUTED_VALUE"""),67.0)</f>
        <v>67</v>
      </c>
      <c r="D1986" s="12" t="str">
        <f>IFERROR(__xludf.DUMMYFUNCTION("""COMPUTED_VALUE"""),"Mission impossible")</f>
        <v>Mission impossible</v>
      </c>
      <c r="E1986" s="12" t="str">
        <f>IFERROR(__xludf.DUMMYFUNCTION("""COMPUTED_VALUE"""),"What an adorable and frustrating skirt! i'm not a large person: 32d-26-36. and i ordered my normal size small. this is a pull on skirt, and the waist opening could not accommodate either my shoulders or my hips. in most retailer clothes, i'm either a size"&amp;" 2 or 4; i have to agree with the other reviewer. there is no way to put this item on.")</f>
        <v>What an adorable and frustrating skirt! i'm not a large person: 32d-26-36. and i ordered my normal size small. this is a pull on skirt, and the waist opening could not accommodate either my shoulders or my hips. in most retailer clothes, i'm either a size 2 or 4; i have to agree with the other reviewer. there is no way to put this item on.</v>
      </c>
      <c r="F1986" s="13">
        <f>IFERROR(__xludf.DUMMYFUNCTION("""COMPUTED_VALUE"""),1.0)</f>
        <v>1</v>
      </c>
      <c r="G1986" s="13">
        <f>IFERROR(__xludf.DUMMYFUNCTION("""COMPUTED_VALUE"""),0.0)</f>
        <v>0</v>
      </c>
      <c r="H1986" s="13">
        <f>IFERROR(__xludf.DUMMYFUNCTION("""COMPUTED_VALUE"""),13.0)</f>
        <v>13</v>
      </c>
      <c r="I1986" s="13" t="str">
        <f>IFERROR(__xludf.DUMMYFUNCTION("""COMPUTED_VALUE"""),"General")</f>
        <v>General</v>
      </c>
      <c r="J1986" s="13" t="str">
        <f>IFERROR(__xludf.DUMMYFUNCTION("""COMPUTED_VALUE"""),"Bottoms")</f>
        <v>Bottoms</v>
      </c>
      <c r="K1986" s="13" t="str">
        <f>IFERROR(__xludf.DUMMYFUNCTION("""COMPUTED_VALUE"""),"Skirts")</f>
        <v>Skirts</v>
      </c>
      <c r="L1986" s="13"/>
    </row>
    <row r="1987">
      <c r="A1987" s="13">
        <f>IFERROR(__xludf.DUMMYFUNCTION("""COMPUTED_VALUE"""),1985.0)</f>
        <v>1985</v>
      </c>
      <c r="B1987" s="13">
        <f>IFERROR(__xludf.DUMMYFUNCTION("""COMPUTED_VALUE"""),1116.0)</f>
        <v>1116</v>
      </c>
      <c r="C1987" s="13">
        <f>IFERROR(__xludf.DUMMYFUNCTION("""COMPUTED_VALUE"""),46.0)</f>
        <v>46</v>
      </c>
      <c r="D1987" s="12" t="str">
        <f>IFERROR(__xludf.DUMMYFUNCTION("""COMPUTED_VALUE"""),"Too bulky")</f>
        <v>Too bulky</v>
      </c>
      <c r="E1987" s="12" t="str">
        <f>IFERROR(__xludf.DUMMYFUNCTION("""COMPUTED_VALUE"""),"This sweater was huge, it hung down to my calves! it also is really bulky and scratchy, it feels as if you are wearing an old wool blanket. i think it is only made for really tall and skinny people. i'm 5'2"" and weigh 120lbs. and i ordered a size s, and "&amp;"i was swimming in it. the fabric is very thick, i may be great if you live in alaska or the arctic. it adds about 20lbs to your body frame.......")</f>
        <v>This sweater was huge, it hung down to my calves! it also is really bulky and scratchy, it feels as if you are wearing an old wool blanket. i think it is only made for really tall and skinny people. i'm 5'2" and weigh 120lbs. and i ordered a size s, and i was swimming in it. the fabric is very thick, i may be great if you live in alaska or the arctic. it adds about 20lbs to your body frame.......</v>
      </c>
      <c r="F1987" s="13">
        <f>IFERROR(__xludf.DUMMYFUNCTION("""COMPUTED_VALUE"""),1.0)</f>
        <v>1</v>
      </c>
      <c r="G1987" s="13">
        <f>IFERROR(__xludf.DUMMYFUNCTION("""COMPUTED_VALUE"""),0.0)</f>
        <v>0</v>
      </c>
      <c r="H1987" s="13">
        <f>IFERROR(__xludf.DUMMYFUNCTION("""COMPUTED_VALUE"""),1.0)</f>
        <v>1</v>
      </c>
      <c r="I1987" s="13" t="str">
        <f>IFERROR(__xludf.DUMMYFUNCTION("""COMPUTED_VALUE"""),"General")</f>
        <v>General</v>
      </c>
      <c r="J1987" s="13" t="str">
        <f>IFERROR(__xludf.DUMMYFUNCTION("""COMPUTED_VALUE"""),"Jackets")</f>
        <v>Jackets</v>
      </c>
      <c r="K1987" s="13" t="str">
        <f>IFERROR(__xludf.DUMMYFUNCTION("""COMPUTED_VALUE"""),"Outerwear")</f>
        <v>Outerwear</v>
      </c>
      <c r="L1987" s="13"/>
    </row>
    <row r="1988">
      <c r="A1988" s="13">
        <f>IFERROR(__xludf.DUMMYFUNCTION("""COMPUTED_VALUE"""),1986.0)</f>
        <v>1986</v>
      </c>
      <c r="B1988" s="13">
        <f>IFERROR(__xludf.DUMMYFUNCTION("""COMPUTED_VALUE"""),1009.0)</f>
        <v>1009</v>
      </c>
      <c r="C1988" s="13">
        <f>IFERROR(__xludf.DUMMYFUNCTION("""COMPUTED_VALUE"""),38.0)</f>
        <v>38</v>
      </c>
      <c r="D1988" s="12" t="str">
        <f>IFERROR(__xludf.DUMMYFUNCTION("""COMPUTED_VALUE"""),"Great skirt")</f>
        <v>Great skirt</v>
      </c>
      <c r="E1988" s="12" t="str">
        <f>IFERROR(__xludf.DUMMYFUNCTION("""COMPUTED_VALUE"""),"Fit is tts and comfortable. the color didn't suit mine but if the color works for you then grab it because it's a beauty")</f>
        <v>Fit is tts and comfortable. the color didn't suit mine but if the color works for you then grab it because it's a beauty</v>
      </c>
      <c r="F1988" s="13">
        <f>IFERROR(__xludf.DUMMYFUNCTION("""COMPUTED_VALUE"""),5.0)</f>
        <v>5</v>
      </c>
      <c r="G1988" s="13">
        <f>IFERROR(__xludf.DUMMYFUNCTION("""COMPUTED_VALUE"""),1.0)</f>
        <v>1</v>
      </c>
      <c r="H1988" s="13">
        <f>IFERROR(__xludf.DUMMYFUNCTION("""COMPUTED_VALUE"""),0.0)</f>
        <v>0</v>
      </c>
      <c r="I1988" s="13" t="str">
        <f>IFERROR(__xludf.DUMMYFUNCTION("""COMPUTED_VALUE"""),"General Petite")</f>
        <v>General Petite</v>
      </c>
      <c r="J1988" s="13" t="str">
        <f>IFERROR(__xludf.DUMMYFUNCTION("""COMPUTED_VALUE"""),"Bottoms")</f>
        <v>Bottoms</v>
      </c>
      <c r="K1988" s="13" t="str">
        <f>IFERROR(__xludf.DUMMYFUNCTION("""COMPUTED_VALUE"""),"Skirts")</f>
        <v>Skirts</v>
      </c>
      <c r="L1988" s="13"/>
    </row>
    <row r="1989">
      <c r="A1989" s="13">
        <f>IFERROR(__xludf.DUMMYFUNCTION("""COMPUTED_VALUE"""),1987.0)</f>
        <v>1987</v>
      </c>
      <c r="B1989" s="13">
        <f>IFERROR(__xludf.DUMMYFUNCTION("""COMPUTED_VALUE"""),1022.0)</f>
        <v>1022</v>
      </c>
      <c r="C1989" s="13">
        <f>IFERROR(__xludf.DUMMYFUNCTION("""COMPUTED_VALUE"""),42.0)</f>
        <v>42</v>
      </c>
      <c r="D1989" s="12" t="str">
        <f>IFERROR(__xludf.DUMMYFUNCTION("""COMPUTED_VALUE"""),"Love these jeans!")</f>
        <v>Love these jeans!</v>
      </c>
      <c r="E1989" s="12" t="str">
        <f>IFERROR(__xludf.DUMMYFUNCTION("""COMPUTED_VALUE"""),"I have been searching for a comfortable pair of flared jeans to wear with tennis shoes or flats. i have tried several different brands and these are amazing! they are super soft and comfortable with just the right amount of stretch. the coloring is excell"&amp;"ent for the casual look i am going for. the pocket detailing is cute and helps to flatter your bottom. i am 5'2"" so these were very long but nothing a good seamstress can't fix. i will note that cutting of that much of the bottom will reduce som")</f>
        <v>I have been searching for a comfortable pair of flared jeans to wear with tennis shoes or flats. i have tried several different brands and these are amazing! they are super soft and comfortable with just the right amount of stretch. the coloring is excellent for the casual look i am going for. the pocket detailing is cute and helps to flatter your bottom. i am 5'2" so these were very long but nothing a good seamstress can't fix. i will note that cutting of that much of the bottom will reduce som</v>
      </c>
      <c r="F1989" s="13">
        <f>IFERROR(__xludf.DUMMYFUNCTION("""COMPUTED_VALUE"""),5.0)</f>
        <v>5</v>
      </c>
      <c r="G1989" s="13">
        <f>IFERROR(__xludf.DUMMYFUNCTION("""COMPUTED_VALUE"""),1.0)</f>
        <v>1</v>
      </c>
      <c r="H1989" s="13">
        <f>IFERROR(__xludf.DUMMYFUNCTION("""COMPUTED_VALUE"""),4.0)</f>
        <v>4</v>
      </c>
      <c r="I1989" s="13" t="str">
        <f>IFERROR(__xludf.DUMMYFUNCTION("""COMPUTED_VALUE"""),"General")</f>
        <v>General</v>
      </c>
      <c r="J1989" s="13" t="str">
        <f>IFERROR(__xludf.DUMMYFUNCTION("""COMPUTED_VALUE"""),"Bottoms")</f>
        <v>Bottoms</v>
      </c>
      <c r="K1989" s="13" t="str">
        <f>IFERROR(__xludf.DUMMYFUNCTION("""COMPUTED_VALUE"""),"Jeans")</f>
        <v>Jeans</v>
      </c>
      <c r="L1989" s="13"/>
    </row>
    <row r="1990">
      <c r="A1990" s="13">
        <f>IFERROR(__xludf.DUMMYFUNCTION("""COMPUTED_VALUE"""),1988.0)</f>
        <v>1988</v>
      </c>
      <c r="B1990" s="13">
        <f>IFERROR(__xludf.DUMMYFUNCTION("""COMPUTED_VALUE"""),831.0)</f>
        <v>831</v>
      </c>
      <c r="C1990" s="13">
        <f>IFERROR(__xludf.DUMMYFUNCTION("""COMPUTED_VALUE"""),32.0)</f>
        <v>32</v>
      </c>
      <c r="D1990" s="12" t="str">
        <f>IFERROR(__xludf.DUMMYFUNCTION("""COMPUTED_VALUE"""),"Beautiful")</f>
        <v>Beautiful</v>
      </c>
      <c r="E1990" s="12" t="str">
        <f>IFERROR(__xludf.DUMMYFUNCTION("""COMPUTED_VALUE"""),"This top is just adorable. i'm usually between an xs and a small and i went with the small and it's a little more roomy. i wanted it to be long enough. the colors are beautiful and it's a must have.")</f>
        <v>This top is just adorable. i'm usually between an xs and a small and i went with the small and it's a little more roomy. i wanted it to be long enough. the colors are beautiful and it's a must have.</v>
      </c>
      <c r="F1990" s="13">
        <f>IFERROR(__xludf.DUMMYFUNCTION("""COMPUTED_VALUE"""),5.0)</f>
        <v>5</v>
      </c>
      <c r="G1990" s="13">
        <f>IFERROR(__xludf.DUMMYFUNCTION("""COMPUTED_VALUE"""),1.0)</f>
        <v>1</v>
      </c>
      <c r="H1990" s="13">
        <f>IFERROR(__xludf.DUMMYFUNCTION("""COMPUTED_VALUE"""),0.0)</f>
        <v>0</v>
      </c>
      <c r="I1990" s="13" t="str">
        <f>IFERROR(__xludf.DUMMYFUNCTION("""COMPUTED_VALUE"""),"General")</f>
        <v>General</v>
      </c>
      <c r="J1990" s="13" t="str">
        <f>IFERROR(__xludf.DUMMYFUNCTION("""COMPUTED_VALUE"""),"Tops")</f>
        <v>Tops</v>
      </c>
      <c r="K1990" s="13" t="str">
        <f>IFERROR(__xludf.DUMMYFUNCTION("""COMPUTED_VALUE"""),"Blouses")</f>
        <v>Blouses</v>
      </c>
      <c r="L1990" s="13"/>
    </row>
    <row r="1991">
      <c r="A1991" s="13">
        <f>IFERROR(__xludf.DUMMYFUNCTION("""COMPUTED_VALUE"""),1989.0)</f>
        <v>1989</v>
      </c>
      <c r="B1991" s="13">
        <f>IFERROR(__xludf.DUMMYFUNCTION("""COMPUTED_VALUE"""),872.0)</f>
        <v>872</v>
      </c>
      <c r="C1991" s="13">
        <f>IFERROR(__xludf.DUMMYFUNCTION("""COMPUTED_VALUE"""),29.0)</f>
        <v>29</v>
      </c>
      <c r="D1991" s="12"/>
      <c r="E1991" s="12" t="str">
        <f>IFERROR(__xludf.DUMMYFUNCTION("""COMPUTED_VALUE"""),"Gorgeous linen blend tee. purchased in grey and white. classic timeless staples. fits baggy which i love. for reference i am 32a 5'1 105 lbs. love love love!")</f>
        <v>Gorgeous linen blend tee. purchased in grey and white. classic timeless staples. fits baggy which i love. for reference i am 32a 5'1 105 lbs. love love love!</v>
      </c>
      <c r="F1991" s="13">
        <f>IFERROR(__xludf.DUMMYFUNCTION("""COMPUTED_VALUE"""),5.0)</f>
        <v>5</v>
      </c>
      <c r="G1991" s="13">
        <f>IFERROR(__xludf.DUMMYFUNCTION("""COMPUTED_VALUE"""),1.0)</f>
        <v>1</v>
      </c>
      <c r="H1991" s="13">
        <f>IFERROR(__xludf.DUMMYFUNCTION("""COMPUTED_VALUE"""),0.0)</f>
        <v>0</v>
      </c>
      <c r="I1991" s="13" t="str">
        <f>IFERROR(__xludf.DUMMYFUNCTION("""COMPUTED_VALUE"""),"General Petite")</f>
        <v>General Petite</v>
      </c>
      <c r="J1991" s="13" t="str">
        <f>IFERROR(__xludf.DUMMYFUNCTION("""COMPUTED_VALUE"""),"Tops")</f>
        <v>Tops</v>
      </c>
      <c r="K1991" s="13" t="str">
        <f>IFERROR(__xludf.DUMMYFUNCTION("""COMPUTED_VALUE"""),"Knits")</f>
        <v>Knits</v>
      </c>
      <c r="L1991" s="13"/>
    </row>
    <row r="1992">
      <c r="A1992" s="13">
        <f>IFERROR(__xludf.DUMMYFUNCTION("""COMPUTED_VALUE"""),1990.0)</f>
        <v>1990</v>
      </c>
      <c r="B1992" s="13">
        <f>IFERROR(__xludf.DUMMYFUNCTION("""COMPUTED_VALUE"""),831.0)</f>
        <v>831</v>
      </c>
      <c r="C1992" s="13">
        <f>IFERROR(__xludf.DUMMYFUNCTION("""COMPUTED_VALUE"""),67.0)</f>
        <v>67</v>
      </c>
      <c r="D1992" s="12" t="str">
        <f>IFERROR(__xludf.DUMMYFUNCTION("""COMPUTED_VALUE"""),"Greenhouse tank")</f>
        <v>Greenhouse tank</v>
      </c>
      <c r="E1992" s="12" t="str">
        <f>IFERROR(__xludf.DUMMYFUNCTION("""COMPUTED_VALUE"""),"I loved this top . it is beautiful.")</f>
        <v>I loved this top . it is beautiful.</v>
      </c>
      <c r="F1992" s="13">
        <f>IFERROR(__xludf.DUMMYFUNCTION("""COMPUTED_VALUE"""),5.0)</f>
        <v>5</v>
      </c>
      <c r="G1992" s="13">
        <f>IFERROR(__xludf.DUMMYFUNCTION("""COMPUTED_VALUE"""),1.0)</f>
        <v>1</v>
      </c>
      <c r="H1992" s="13">
        <f>IFERROR(__xludf.DUMMYFUNCTION("""COMPUTED_VALUE"""),2.0)</f>
        <v>2</v>
      </c>
      <c r="I1992" s="13" t="str">
        <f>IFERROR(__xludf.DUMMYFUNCTION("""COMPUTED_VALUE"""),"General")</f>
        <v>General</v>
      </c>
      <c r="J1992" s="13" t="str">
        <f>IFERROR(__xludf.DUMMYFUNCTION("""COMPUTED_VALUE"""),"Tops")</f>
        <v>Tops</v>
      </c>
      <c r="K1992" s="13" t="str">
        <f>IFERROR(__xludf.DUMMYFUNCTION("""COMPUTED_VALUE"""),"Blouses")</f>
        <v>Blouses</v>
      </c>
      <c r="L1992" s="13"/>
    </row>
    <row r="1993">
      <c r="A1993" s="13">
        <f>IFERROR(__xludf.DUMMYFUNCTION("""COMPUTED_VALUE"""),1991.0)</f>
        <v>1991</v>
      </c>
      <c r="B1993" s="13">
        <f>IFERROR(__xludf.DUMMYFUNCTION("""COMPUTED_VALUE"""),831.0)</f>
        <v>831</v>
      </c>
      <c r="C1993" s="13">
        <f>IFERROR(__xludf.DUMMYFUNCTION("""COMPUTED_VALUE"""),43.0)</f>
        <v>43</v>
      </c>
      <c r="D1993" s="12" t="str">
        <f>IFERROR(__xludf.DUMMYFUNCTION("""COMPUTED_VALUE"""),"Pleasing spring floral print")</f>
        <v>Pleasing spring floral print</v>
      </c>
      <c r="E1993" s="12" t="str">
        <f>IFERROR(__xludf.DUMMYFUNCTION("""COMPUTED_VALUE"""),"The picture doesn't do it justice. i am wearing it right now with cream pants to work with a cardigan i also purchased from retailer and it looks amazing. the fit is true to size. i am large chested but it fit comfortable...i did go up a size so it is a l"&amp;"ittle longer than i like but i think if i had picked my normal size it would have been a little too snug at the chest. still looks amazing. i feel very feminine in this blouse. good quality material.")</f>
        <v>The picture doesn't do it justice. i am wearing it right now with cream pants to work with a cardigan i also purchased from retailer and it looks amazing. the fit is true to size. i am large chested but it fit comfortable...i did go up a size so it is a little longer than i like but i think if i had picked my normal size it would have been a little too snug at the chest. still looks amazing. i feel very feminine in this blouse. good quality material.</v>
      </c>
      <c r="F1993" s="13">
        <f>IFERROR(__xludf.DUMMYFUNCTION("""COMPUTED_VALUE"""),5.0)</f>
        <v>5</v>
      </c>
      <c r="G1993" s="13">
        <f>IFERROR(__xludf.DUMMYFUNCTION("""COMPUTED_VALUE"""),1.0)</f>
        <v>1</v>
      </c>
      <c r="H1993" s="13">
        <f>IFERROR(__xludf.DUMMYFUNCTION("""COMPUTED_VALUE"""),3.0)</f>
        <v>3</v>
      </c>
      <c r="I1993" s="13" t="str">
        <f>IFERROR(__xludf.DUMMYFUNCTION("""COMPUTED_VALUE"""),"General")</f>
        <v>General</v>
      </c>
      <c r="J1993" s="13" t="str">
        <f>IFERROR(__xludf.DUMMYFUNCTION("""COMPUTED_VALUE"""),"Tops")</f>
        <v>Tops</v>
      </c>
      <c r="K1993" s="13" t="str">
        <f>IFERROR(__xludf.DUMMYFUNCTION("""COMPUTED_VALUE"""),"Blouses")</f>
        <v>Blouses</v>
      </c>
      <c r="L1993" s="13"/>
    </row>
    <row r="1994">
      <c r="A1994" s="13">
        <f>IFERROR(__xludf.DUMMYFUNCTION("""COMPUTED_VALUE"""),1992.0)</f>
        <v>1992</v>
      </c>
      <c r="B1994" s="13">
        <f>IFERROR(__xludf.DUMMYFUNCTION("""COMPUTED_VALUE"""),831.0)</f>
        <v>831</v>
      </c>
      <c r="C1994" s="13">
        <f>IFERROR(__xludf.DUMMYFUNCTION("""COMPUTED_VALUE"""),64.0)</f>
        <v>64</v>
      </c>
      <c r="D1994" s="12" t="str">
        <f>IFERROR(__xludf.DUMMYFUNCTION("""COMPUTED_VALUE"""),"Gorgeous spring blouse!")</f>
        <v>Gorgeous spring blouse!</v>
      </c>
      <c r="E1994" s="12" t="str">
        <f>IFERROR(__xludf.DUMMYFUNCTION("""COMPUTED_VALUE"""),"So stunning, i had to have it for my spring wardrobe! fits true to size and fits well in the bust and is looser on the bottom. the model weara it just as it fits on me. if you have a large bust you may need to size up as the fabric isn't stretchy.")</f>
        <v>So stunning, i had to have it for my spring wardrobe! fits true to size and fits well in the bust and is looser on the bottom. the model weara it just as it fits on me. if you have a large bust you may need to size up as the fabric isn't stretchy.</v>
      </c>
      <c r="F1994" s="13">
        <f>IFERROR(__xludf.DUMMYFUNCTION("""COMPUTED_VALUE"""),5.0)</f>
        <v>5</v>
      </c>
      <c r="G1994" s="13">
        <f>IFERROR(__xludf.DUMMYFUNCTION("""COMPUTED_VALUE"""),1.0)</f>
        <v>1</v>
      </c>
      <c r="H1994" s="13">
        <f>IFERROR(__xludf.DUMMYFUNCTION("""COMPUTED_VALUE"""),3.0)</f>
        <v>3</v>
      </c>
      <c r="I1994" s="13" t="str">
        <f>IFERROR(__xludf.DUMMYFUNCTION("""COMPUTED_VALUE"""),"General")</f>
        <v>General</v>
      </c>
      <c r="J1994" s="13" t="str">
        <f>IFERROR(__xludf.DUMMYFUNCTION("""COMPUTED_VALUE"""),"Tops")</f>
        <v>Tops</v>
      </c>
      <c r="K1994" s="13" t="str">
        <f>IFERROR(__xludf.DUMMYFUNCTION("""COMPUTED_VALUE"""),"Blouses")</f>
        <v>Blouses</v>
      </c>
      <c r="L1994" s="13"/>
    </row>
    <row r="1995">
      <c r="A1995" s="13">
        <f>IFERROR(__xludf.DUMMYFUNCTION("""COMPUTED_VALUE"""),1993.0)</f>
        <v>1993</v>
      </c>
      <c r="B1995" s="13">
        <f>IFERROR(__xludf.DUMMYFUNCTION("""COMPUTED_VALUE"""),1146.0)</f>
        <v>1146</v>
      </c>
      <c r="C1995" s="13">
        <f>IFERROR(__xludf.DUMMYFUNCTION("""COMPUTED_VALUE"""),36.0)</f>
        <v>36</v>
      </c>
      <c r="D1995" s="12" t="str">
        <f>IFERROR(__xludf.DUMMYFUNCTION("""COMPUTED_VALUE"""),"Gorgeous vintage glamour")</f>
        <v>Gorgeous vintage glamour</v>
      </c>
      <c r="E1995" s="12" t="str">
        <f>IFERROR(__xludf.DUMMYFUNCTION("""COMPUTED_VALUE"""),"Besides being my favorite color to wear, this dress oozes vintage glamour while not looking like a costume. the fabric is super silky and will need a professional steaming to get out any wrinkles. the fit is not what i'm used to, because it fits in a 1940"&amp;"s type of way, and when i took it to my tailor, she ensured me that it is the perfect fit. the bodice is a bit looser than contemporary pieces, but is perfect for a night out.")</f>
        <v>Besides being my favorite color to wear, this dress oozes vintage glamour while not looking like a costume. the fabric is super silky and will need a professional steaming to get out any wrinkles. the fit is not what i'm used to, because it fits in a 1940s type of way, and when i took it to my tailor, she ensured me that it is the perfect fit. the bodice is a bit looser than contemporary pieces, but is perfect for a night out.</v>
      </c>
      <c r="F1995" s="13">
        <f>IFERROR(__xludf.DUMMYFUNCTION("""COMPUTED_VALUE"""),5.0)</f>
        <v>5</v>
      </c>
      <c r="G1995" s="13">
        <f>IFERROR(__xludf.DUMMYFUNCTION("""COMPUTED_VALUE"""),1.0)</f>
        <v>1</v>
      </c>
      <c r="H1995" s="13">
        <f>IFERROR(__xludf.DUMMYFUNCTION("""COMPUTED_VALUE"""),1.0)</f>
        <v>1</v>
      </c>
      <c r="I1995" s="13" t="str">
        <f>IFERROR(__xludf.DUMMYFUNCTION("""COMPUTED_VALUE"""),"General")</f>
        <v>General</v>
      </c>
      <c r="J1995" s="13" t="str">
        <f>IFERROR(__xludf.DUMMYFUNCTION("""COMPUTED_VALUE"""),"Trend")</f>
        <v>Trend</v>
      </c>
      <c r="K1995" s="13" t="str">
        <f>IFERROR(__xludf.DUMMYFUNCTION("""COMPUTED_VALUE"""),"Trend")</f>
        <v>Trend</v>
      </c>
      <c r="L1995" s="13"/>
    </row>
    <row r="1996">
      <c r="A1996" s="13">
        <f>IFERROR(__xludf.DUMMYFUNCTION("""COMPUTED_VALUE"""),1994.0)</f>
        <v>1994</v>
      </c>
      <c r="B1996" s="13">
        <f>IFERROR(__xludf.DUMMYFUNCTION("""COMPUTED_VALUE"""),1097.0)</f>
        <v>1097</v>
      </c>
      <c r="C1996" s="13">
        <f>IFERROR(__xludf.DUMMYFUNCTION("""COMPUTED_VALUE"""),37.0)</f>
        <v>37</v>
      </c>
      <c r="D1996" s="12" t="str">
        <f>IFERROR(__xludf.DUMMYFUNCTION("""COMPUTED_VALUE"""),"Fun summer dress.")</f>
        <v>Fun summer dress.</v>
      </c>
      <c r="E1996" s="12" t="str">
        <f>IFERROR(__xludf.DUMMYFUNCTION("""COMPUTED_VALUE"""),"Cute dress that is perfect for a casual summer wedding or brunch with friends. i love the material and that the dress is lined. it is very comfortable and it has pockets. this is definitely more of a ?golden? yellow vs. a soft yellow. my only complaint is"&amp;" that i wish it were cinched more right below the bust. it would give the dress (and me) more shape. i would say this dress is true to size but if you have a larger chest, you will likely want to size up. if you have a small chest, i would proba")</f>
        <v>Cute dress that is perfect for a casual summer wedding or brunch with friends. i love the material and that the dress is lined. it is very comfortable and it has pockets. this is definitely more of a ?golden? yellow vs. a soft yellow. my only complaint is that i wish it were cinched more right below the bust. it would give the dress (and me) more shape. i would say this dress is true to size but if you have a larger chest, you will likely want to size up. if you have a small chest, i would proba</v>
      </c>
      <c r="F1996" s="13">
        <f>IFERROR(__xludf.DUMMYFUNCTION("""COMPUTED_VALUE"""),4.0)</f>
        <v>4</v>
      </c>
      <c r="G1996" s="13">
        <f>IFERROR(__xludf.DUMMYFUNCTION("""COMPUTED_VALUE"""),1.0)</f>
        <v>1</v>
      </c>
      <c r="H1996" s="13">
        <f>IFERROR(__xludf.DUMMYFUNCTION("""COMPUTED_VALUE"""),10.0)</f>
        <v>10</v>
      </c>
      <c r="I1996" s="13" t="str">
        <f>IFERROR(__xludf.DUMMYFUNCTION("""COMPUTED_VALUE"""),"General")</f>
        <v>General</v>
      </c>
      <c r="J1996" s="13" t="str">
        <f>IFERROR(__xludf.DUMMYFUNCTION("""COMPUTED_VALUE"""),"Dresses")</f>
        <v>Dresses</v>
      </c>
      <c r="K1996" s="13" t="str">
        <f>IFERROR(__xludf.DUMMYFUNCTION("""COMPUTED_VALUE"""),"Dresses")</f>
        <v>Dresses</v>
      </c>
      <c r="L1996" s="13"/>
    </row>
    <row r="1997">
      <c r="A1997" s="13">
        <f>IFERROR(__xludf.DUMMYFUNCTION("""COMPUTED_VALUE"""),1995.0)</f>
        <v>1995</v>
      </c>
      <c r="B1997" s="13">
        <f>IFERROR(__xludf.DUMMYFUNCTION("""COMPUTED_VALUE"""),867.0)</f>
        <v>867</v>
      </c>
      <c r="C1997" s="13">
        <f>IFERROR(__xludf.DUMMYFUNCTION("""COMPUTED_VALUE"""),38.0)</f>
        <v>38</v>
      </c>
      <c r="D1997" s="12" t="str">
        <f>IFERROR(__xludf.DUMMYFUNCTION("""COMPUTED_VALUE"""),"Material")</f>
        <v>Material</v>
      </c>
      <c r="E1997" s="12" t="str">
        <f>IFERROR(__xludf.DUMMYFUNCTION("""COMPUTED_VALUE"""),"Material is hard to wear a bra under it")</f>
        <v>Material is hard to wear a bra under it</v>
      </c>
      <c r="F1997" s="13">
        <f>IFERROR(__xludf.DUMMYFUNCTION("""COMPUTED_VALUE"""),2.0)</f>
        <v>2</v>
      </c>
      <c r="G1997" s="13">
        <f>IFERROR(__xludf.DUMMYFUNCTION("""COMPUTED_VALUE"""),0.0)</f>
        <v>0</v>
      </c>
      <c r="H1997" s="13">
        <f>IFERROR(__xludf.DUMMYFUNCTION("""COMPUTED_VALUE"""),0.0)</f>
        <v>0</v>
      </c>
      <c r="I1997" s="13" t="str">
        <f>IFERROR(__xludf.DUMMYFUNCTION("""COMPUTED_VALUE"""),"General")</f>
        <v>General</v>
      </c>
      <c r="J1997" s="13" t="str">
        <f>IFERROR(__xludf.DUMMYFUNCTION("""COMPUTED_VALUE"""),"Tops")</f>
        <v>Tops</v>
      </c>
      <c r="K1997" s="13" t="str">
        <f>IFERROR(__xludf.DUMMYFUNCTION("""COMPUTED_VALUE"""),"Knits")</f>
        <v>Knits</v>
      </c>
      <c r="L1997" s="13"/>
    </row>
    <row r="1998">
      <c r="A1998" s="13">
        <f>IFERROR(__xludf.DUMMYFUNCTION("""COMPUTED_VALUE"""),1996.0)</f>
        <v>1996</v>
      </c>
      <c r="B1998" s="13">
        <f>IFERROR(__xludf.DUMMYFUNCTION("""COMPUTED_VALUE"""),927.0)</f>
        <v>927</v>
      </c>
      <c r="C1998" s="13">
        <f>IFERROR(__xludf.DUMMYFUNCTION("""COMPUTED_VALUE"""),48.0)</f>
        <v>48</v>
      </c>
      <c r="D1998" s="12"/>
      <c r="E1998" s="12" t="str">
        <f>IFERROR(__xludf.DUMMYFUNCTION("""COMPUTED_VALUE"""),"Very soft fabric. does begin to ball up due to boucle material, very common")</f>
        <v>Very soft fabric. does begin to ball up due to boucle material, very common</v>
      </c>
      <c r="F1998" s="13">
        <f>IFERROR(__xludf.DUMMYFUNCTION("""COMPUTED_VALUE"""),4.0)</f>
        <v>4</v>
      </c>
      <c r="G1998" s="13">
        <f>IFERROR(__xludf.DUMMYFUNCTION("""COMPUTED_VALUE"""),1.0)</f>
        <v>1</v>
      </c>
      <c r="H1998" s="13">
        <f>IFERROR(__xludf.DUMMYFUNCTION("""COMPUTED_VALUE"""),0.0)</f>
        <v>0</v>
      </c>
      <c r="I1998" s="13" t="str">
        <f>IFERROR(__xludf.DUMMYFUNCTION("""COMPUTED_VALUE"""),"General Petite")</f>
        <v>General Petite</v>
      </c>
      <c r="J1998" s="13" t="str">
        <f>IFERROR(__xludf.DUMMYFUNCTION("""COMPUTED_VALUE"""),"Tops")</f>
        <v>Tops</v>
      </c>
      <c r="K1998" s="13" t="str">
        <f>IFERROR(__xludf.DUMMYFUNCTION("""COMPUTED_VALUE"""),"Sweaters")</f>
        <v>Sweaters</v>
      </c>
      <c r="L1998" s="13"/>
    </row>
    <row r="1999">
      <c r="A1999" s="13">
        <f>IFERROR(__xludf.DUMMYFUNCTION("""COMPUTED_VALUE"""),1997.0)</f>
        <v>1997</v>
      </c>
      <c r="B1999" s="13">
        <f>IFERROR(__xludf.DUMMYFUNCTION("""COMPUTED_VALUE"""),1022.0)</f>
        <v>1022</v>
      </c>
      <c r="C1999" s="13">
        <f>IFERROR(__xludf.DUMMYFUNCTION("""COMPUTED_VALUE"""),35.0)</f>
        <v>35</v>
      </c>
      <c r="D1999" s="12"/>
      <c r="E1999" s="12" t="str">
        <f>IFERROR(__xludf.DUMMYFUNCTION("""COMPUTED_VALUE"""),"These jeans hug in all the right places. the high waist accentuates my body and makes my legs look a mile long! the jeans will need a trip to the tailor to be hemmed, pooling even with my highest heels.")</f>
        <v>These jeans hug in all the right places. the high waist accentuates my body and makes my legs look a mile long! the jeans will need a trip to the tailor to be hemmed, pooling even with my highest heels.</v>
      </c>
      <c r="F1999" s="13">
        <f>IFERROR(__xludf.DUMMYFUNCTION("""COMPUTED_VALUE"""),5.0)</f>
        <v>5</v>
      </c>
      <c r="G1999" s="13">
        <f>IFERROR(__xludf.DUMMYFUNCTION("""COMPUTED_VALUE"""),1.0)</f>
        <v>1</v>
      </c>
      <c r="H1999" s="13">
        <f>IFERROR(__xludf.DUMMYFUNCTION("""COMPUTED_VALUE"""),0.0)</f>
        <v>0</v>
      </c>
      <c r="I1999" s="13" t="str">
        <f>IFERROR(__xludf.DUMMYFUNCTION("""COMPUTED_VALUE"""),"General")</f>
        <v>General</v>
      </c>
      <c r="J1999" s="13" t="str">
        <f>IFERROR(__xludf.DUMMYFUNCTION("""COMPUTED_VALUE"""),"Bottoms")</f>
        <v>Bottoms</v>
      </c>
      <c r="K1999" s="13" t="str">
        <f>IFERROR(__xludf.DUMMYFUNCTION("""COMPUTED_VALUE"""),"Jeans")</f>
        <v>Jeans</v>
      </c>
      <c r="L1999" s="13"/>
    </row>
    <row r="2000">
      <c r="A2000" s="13">
        <f>IFERROR(__xludf.DUMMYFUNCTION("""COMPUTED_VALUE"""),1998.0)</f>
        <v>1998</v>
      </c>
      <c r="B2000" s="13">
        <f>IFERROR(__xludf.DUMMYFUNCTION("""COMPUTED_VALUE"""),164.0)</f>
        <v>164</v>
      </c>
      <c r="C2000" s="13">
        <f>IFERROR(__xludf.DUMMYFUNCTION("""COMPUTED_VALUE"""),25.0)</f>
        <v>25</v>
      </c>
      <c r="D2000" s="12" t="str">
        <f>IFERROR(__xludf.DUMMYFUNCTION("""COMPUTED_VALUE"""),"Super comfy")</f>
        <v>Super comfy</v>
      </c>
      <c r="E2000" s="12" t="str">
        <f>IFERROR(__xludf.DUMMYFUNCTION("""COMPUTED_VALUE"""),"Loved the way these felt but like the previous reviewer said it did run slightly large. i am usually a size 6 or m and the legs were a little baggy w/the medium. since the m is sold out i'm going to try and see if they shrink in the dryer. the color and d"&amp;"esign of the ankle is different from other leggings which is a plus. i'm 5'7"" and they are the perfect length.")</f>
        <v>Loved the way these felt but like the previous reviewer said it did run slightly large. i am usually a size 6 or m and the legs were a little baggy w/the medium. since the m is sold out i'm going to try and see if they shrink in the dryer. the color and design of the ankle is different from other leggings which is a plus. i'm 5'7" and they are the perfect length.</v>
      </c>
      <c r="F2000" s="13">
        <f>IFERROR(__xludf.DUMMYFUNCTION("""COMPUTED_VALUE"""),4.0)</f>
        <v>4</v>
      </c>
      <c r="G2000" s="13">
        <f>IFERROR(__xludf.DUMMYFUNCTION("""COMPUTED_VALUE"""),1.0)</f>
        <v>1</v>
      </c>
      <c r="H2000" s="13">
        <f>IFERROR(__xludf.DUMMYFUNCTION("""COMPUTED_VALUE"""),0.0)</f>
        <v>0</v>
      </c>
      <c r="I2000" s="13" t="str">
        <f>IFERROR(__xludf.DUMMYFUNCTION("""COMPUTED_VALUE"""),"Initmates")</f>
        <v>Initmates</v>
      </c>
      <c r="J2000" s="13" t="str">
        <f>IFERROR(__xludf.DUMMYFUNCTION("""COMPUTED_VALUE"""),"Intimate")</f>
        <v>Intimate</v>
      </c>
      <c r="K2000" s="13" t="str">
        <f>IFERROR(__xludf.DUMMYFUNCTION("""COMPUTED_VALUE"""),"Lounge")</f>
        <v>Lounge</v>
      </c>
      <c r="L2000" s="13"/>
    </row>
    <row r="2001">
      <c r="A2001" s="13">
        <f>IFERROR(__xludf.DUMMYFUNCTION("""COMPUTED_VALUE"""),1999.0)</f>
        <v>1999</v>
      </c>
      <c r="B2001" s="13">
        <f>IFERROR(__xludf.DUMMYFUNCTION("""COMPUTED_VALUE"""),1110.0)</f>
        <v>1110</v>
      </c>
      <c r="C2001" s="13">
        <f>IFERROR(__xludf.DUMMYFUNCTION("""COMPUTED_VALUE"""),26.0)</f>
        <v>26</v>
      </c>
      <c r="D2001" s="12" t="str">
        <f>IFERROR(__xludf.DUMMYFUNCTION("""COMPUTED_VALUE"""),"Beautiful shortt dress")</f>
        <v>Beautiful shortt dress</v>
      </c>
      <c r="E2001" s="12" t="str">
        <f>IFERROR(__xludf.DUMMYFUNCTION("""COMPUTED_VALUE"""),"Beautiful dress! perfect mid length dress for the colder months. i tried a size 2 regular first (my normal dress size) but it was a little baggy, so the 0 fit perfectly.")</f>
        <v>Beautiful dress! perfect mid length dress for the colder months. i tried a size 2 regular first (my normal dress size) but it was a little baggy, so the 0 fit perfectly.</v>
      </c>
      <c r="F2001" s="13">
        <f>IFERROR(__xludf.DUMMYFUNCTION("""COMPUTED_VALUE"""),5.0)</f>
        <v>5</v>
      </c>
      <c r="G2001" s="13">
        <f>IFERROR(__xludf.DUMMYFUNCTION("""COMPUTED_VALUE"""),1.0)</f>
        <v>1</v>
      </c>
      <c r="H2001" s="13">
        <f>IFERROR(__xludf.DUMMYFUNCTION("""COMPUTED_VALUE"""),0.0)</f>
        <v>0</v>
      </c>
      <c r="I2001" s="13" t="str">
        <f>IFERROR(__xludf.DUMMYFUNCTION("""COMPUTED_VALUE"""),"General Petite")</f>
        <v>General Petite</v>
      </c>
      <c r="J2001" s="13" t="str">
        <f>IFERROR(__xludf.DUMMYFUNCTION("""COMPUTED_VALUE"""),"Dresses")</f>
        <v>Dresses</v>
      </c>
      <c r="K2001" s="13" t="str">
        <f>IFERROR(__xludf.DUMMYFUNCTION("""COMPUTED_VALUE"""),"Dresses")</f>
        <v>Dresses</v>
      </c>
      <c r="L2001" s="13"/>
    </row>
    <row r="2002">
      <c r="A2002" s="13">
        <f>IFERROR(__xludf.DUMMYFUNCTION("""COMPUTED_VALUE"""),2000.0)</f>
        <v>2000</v>
      </c>
      <c r="B2002" s="13">
        <f>IFERROR(__xludf.DUMMYFUNCTION("""COMPUTED_VALUE"""),1083.0)</f>
        <v>1083</v>
      </c>
      <c r="C2002" s="13">
        <f>IFERROR(__xludf.DUMMYFUNCTION("""COMPUTED_VALUE"""),57.0)</f>
        <v>57</v>
      </c>
      <c r="D2002" s="12" t="str">
        <f>IFERROR(__xludf.DUMMYFUNCTION("""COMPUTED_VALUE"""),"Disappointed")</f>
        <v>Disappointed</v>
      </c>
      <c r="E2002" s="12" t="str">
        <f>IFERROR(__xludf.DUMMYFUNCTION("""COMPUTED_VALUE"""),"The pleats on the bib make this look like something from chloe sevigny's wardrobe on the set of big love. and the shoulders are cut for an offensive lineman.")</f>
        <v>The pleats on the bib make this look like something from chloe sevigny's wardrobe on the set of big love. and the shoulders are cut for an offensive lineman.</v>
      </c>
      <c r="F2002" s="13">
        <f>IFERROR(__xludf.DUMMYFUNCTION("""COMPUTED_VALUE"""),1.0)</f>
        <v>1</v>
      </c>
      <c r="G2002" s="13">
        <f>IFERROR(__xludf.DUMMYFUNCTION("""COMPUTED_VALUE"""),0.0)</f>
        <v>0</v>
      </c>
      <c r="H2002" s="13">
        <f>IFERROR(__xludf.DUMMYFUNCTION("""COMPUTED_VALUE"""),0.0)</f>
        <v>0</v>
      </c>
      <c r="I2002" s="13" t="str">
        <f>IFERROR(__xludf.DUMMYFUNCTION("""COMPUTED_VALUE"""),"General Petite")</f>
        <v>General Petite</v>
      </c>
      <c r="J2002" s="13" t="str">
        <f>IFERROR(__xludf.DUMMYFUNCTION("""COMPUTED_VALUE"""),"Dresses")</f>
        <v>Dresses</v>
      </c>
      <c r="K2002" s="13" t="str">
        <f>IFERROR(__xludf.DUMMYFUNCTION("""COMPUTED_VALUE"""),"Dresses")</f>
        <v>Dresses</v>
      </c>
      <c r="L2002" s="13"/>
    </row>
    <row r="2003">
      <c r="A2003" s="13">
        <f>IFERROR(__xludf.DUMMYFUNCTION("""COMPUTED_VALUE"""),2001.0)</f>
        <v>2001</v>
      </c>
      <c r="B2003" s="13">
        <f>IFERROR(__xludf.DUMMYFUNCTION("""COMPUTED_VALUE"""),1083.0)</f>
        <v>1083</v>
      </c>
      <c r="C2003" s="13">
        <f>IFERROR(__xludf.DUMMYFUNCTION("""COMPUTED_VALUE"""),38.0)</f>
        <v>38</v>
      </c>
      <c r="D2003" s="12" t="str">
        <f>IFERROR(__xludf.DUMMYFUNCTION("""COMPUTED_VALUE"""),"Love this dress!!!")</f>
        <v>Love this dress!!!</v>
      </c>
      <c r="E2003" s="12" t="str">
        <f>IFERROR(__xludf.DUMMYFUNCTION("""COMPUTED_VALUE"""),"I absolutely love this dress. i feel it's the perfect year-round piece. looks super cute with boots or booties. even with a cute baggy sweater over it. i am usually a small or medium, depending on brand. i'm a small with this one. and i actually like it w"&amp;"orn without the button fastened in the back, it just worked better that way. it is not see-thru, though is a light material. i live in fl so i can wear year round. but up north, with tights and boots, you can too. so worth the price!")</f>
        <v>I absolutely love this dress. i feel it's the perfect year-round piece. looks super cute with boots or booties. even with a cute baggy sweater over it. i am usually a small or medium, depending on brand. i'm a small with this one. and i actually like it worn without the button fastened in the back, it just worked better that way. it is not see-thru, though is a light material. i live in fl so i can wear year round. but up north, with tights and boots, you can too. so worth the price!</v>
      </c>
      <c r="F2003" s="13">
        <f>IFERROR(__xludf.DUMMYFUNCTION("""COMPUTED_VALUE"""),5.0)</f>
        <v>5</v>
      </c>
      <c r="G2003" s="13">
        <f>IFERROR(__xludf.DUMMYFUNCTION("""COMPUTED_VALUE"""),1.0)</f>
        <v>1</v>
      </c>
      <c r="H2003" s="13">
        <f>IFERROR(__xludf.DUMMYFUNCTION("""COMPUTED_VALUE"""),0.0)</f>
        <v>0</v>
      </c>
      <c r="I2003" s="13" t="str">
        <f>IFERROR(__xludf.DUMMYFUNCTION("""COMPUTED_VALUE"""),"General Petite")</f>
        <v>General Petite</v>
      </c>
      <c r="J2003" s="13" t="str">
        <f>IFERROR(__xludf.DUMMYFUNCTION("""COMPUTED_VALUE"""),"Dresses")</f>
        <v>Dresses</v>
      </c>
      <c r="K2003" s="13" t="str">
        <f>IFERROR(__xludf.DUMMYFUNCTION("""COMPUTED_VALUE"""),"Dresses")</f>
        <v>Dresses</v>
      </c>
      <c r="L2003" s="13"/>
    </row>
    <row r="2004">
      <c r="A2004" s="13">
        <f>IFERROR(__xludf.DUMMYFUNCTION("""COMPUTED_VALUE"""),2002.0)</f>
        <v>2002</v>
      </c>
      <c r="B2004" s="13">
        <f>IFERROR(__xludf.DUMMYFUNCTION("""COMPUTED_VALUE"""),1044.0)</f>
        <v>1044</v>
      </c>
      <c r="C2004" s="13">
        <f>IFERROR(__xludf.DUMMYFUNCTION("""COMPUTED_VALUE"""),34.0)</f>
        <v>34</v>
      </c>
      <c r="D2004" s="12" t="str">
        <f>IFERROR(__xludf.DUMMYFUNCTION("""COMPUTED_VALUE"""),"Recommended for certain body types")</f>
        <v>Recommended for certain body types</v>
      </c>
      <c r="E2004" s="12" t="str">
        <f>IFERROR(__xludf.DUMMYFUNCTION("""COMPUTED_VALUE"""),"Other reviews are correct. but this has potential to look as good as on the model - structure and quality of the cotton are very flattering. makes legs look miles long. however this fits very tight, allows no room for extra tummy, hips, booty, or thighs. "&amp;"i ordered a s (i'm usually a 4) - was able to get it on (step into it from the top), but felt a little self conscious about how tight the fit was. if there was an m, would have definitely sized up, as i really liked the look.")</f>
        <v>Other reviews are correct. but this has potential to look as good as on the model - structure and quality of the cotton are very flattering. makes legs look miles long. however this fits very tight, allows no room for extra tummy, hips, booty, or thighs. i ordered a s (i'm usually a 4) - was able to get it on (step into it from the top), but felt a little self conscious about how tight the fit was. if there was an m, would have definitely sized up, as i really liked the look.</v>
      </c>
      <c r="F2004" s="13">
        <f>IFERROR(__xludf.DUMMYFUNCTION("""COMPUTED_VALUE"""),3.0)</f>
        <v>3</v>
      </c>
      <c r="G2004" s="13">
        <f>IFERROR(__xludf.DUMMYFUNCTION("""COMPUTED_VALUE"""),1.0)</f>
        <v>1</v>
      </c>
      <c r="H2004" s="13">
        <f>IFERROR(__xludf.DUMMYFUNCTION("""COMPUTED_VALUE"""),2.0)</f>
        <v>2</v>
      </c>
      <c r="I2004" s="13" t="str">
        <f>IFERROR(__xludf.DUMMYFUNCTION("""COMPUTED_VALUE"""),"General")</f>
        <v>General</v>
      </c>
      <c r="J2004" s="13" t="str">
        <f>IFERROR(__xludf.DUMMYFUNCTION("""COMPUTED_VALUE"""),"Bottoms")</f>
        <v>Bottoms</v>
      </c>
      <c r="K2004" s="13" t="str">
        <f>IFERROR(__xludf.DUMMYFUNCTION("""COMPUTED_VALUE"""),"Pants")</f>
        <v>Pants</v>
      </c>
      <c r="L2004" s="13"/>
    </row>
    <row r="2005">
      <c r="A2005" s="13">
        <f>IFERROR(__xludf.DUMMYFUNCTION("""COMPUTED_VALUE"""),2003.0)</f>
        <v>2003</v>
      </c>
      <c r="B2005" s="13">
        <f>IFERROR(__xludf.DUMMYFUNCTION("""COMPUTED_VALUE"""),1022.0)</f>
        <v>1022</v>
      </c>
      <c r="C2005" s="13">
        <f>IFERROR(__xludf.DUMMYFUNCTION("""COMPUTED_VALUE"""),33.0)</f>
        <v>33</v>
      </c>
      <c r="D2005" s="12" t="str">
        <f>IFERROR(__xludf.DUMMYFUNCTION("""COMPUTED_VALUE"""),"Perfect flare")</f>
        <v>Perfect flare</v>
      </c>
      <c r="E2005" s="12" t="str">
        <f>IFERROR(__xludf.DUMMYFUNCTION("""COMPUTED_VALUE"""),"I have been hunting for a pair of high rise flares that have significant width at the bottom and these are perfect. i love the vintage silhouette and how they make your legs look a mile long and i adore how they open wide enough to cover my shoes, not to "&amp;"mention being long enough for me to wear a 3.5"" heel and still skim the ground. for reference, i'm 5'8 140lbs with super long legs and straight athletic build. i sized up to a 30 which is usually for me in ag jeans so for the brand, they run tts")</f>
        <v>I have been hunting for a pair of high rise flares that have significant width at the bottom and these are perfect. i love the vintage silhouette and how they make your legs look a mile long and i adore how they open wide enough to cover my shoes, not to mention being long enough for me to wear a 3.5" heel and still skim the ground. for reference, i'm 5'8 140lbs with super long legs and straight athletic build. i sized up to a 30 which is usually for me in ag jeans so for the brand, they run tts</v>
      </c>
      <c r="F2005" s="13">
        <f>IFERROR(__xludf.DUMMYFUNCTION("""COMPUTED_VALUE"""),5.0)</f>
        <v>5</v>
      </c>
      <c r="G2005" s="13">
        <f>IFERROR(__xludf.DUMMYFUNCTION("""COMPUTED_VALUE"""),1.0)</f>
        <v>1</v>
      </c>
      <c r="H2005" s="13">
        <f>IFERROR(__xludf.DUMMYFUNCTION("""COMPUTED_VALUE"""),2.0)</f>
        <v>2</v>
      </c>
      <c r="I2005" s="13" t="str">
        <f>IFERROR(__xludf.DUMMYFUNCTION("""COMPUTED_VALUE"""),"General")</f>
        <v>General</v>
      </c>
      <c r="J2005" s="13" t="str">
        <f>IFERROR(__xludf.DUMMYFUNCTION("""COMPUTED_VALUE"""),"Bottoms")</f>
        <v>Bottoms</v>
      </c>
      <c r="K2005" s="13" t="str">
        <f>IFERROR(__xludf.DUMMYFUNCTION("""COMPUTED_VALUE"""),"Jeans")</f>
        <v>Jeans</v>
      </c>
      <c r="L2005" s="13"/>
    </row>
    <row r="2006">
      <c r="A2006" s="13">
        <f>IFERROR(__xludf.DUMMYFUNCTION("""COMPUTED_VALUE"""),2004.0)</f>
        <v>2004</v>
      </c>
      <c r="B2006" s="13">
        <f>IFERROR(__xludf.DUMMYFUNCTION("""COMPUTED_VALUE"""),1110.0)</f>
        <v>1110</v>
      </c>
      <c r="C2006" s="13">
        <f>IFERROR(__xludf.DUMMYFUNCTION("""COMPUTED_VALUE"""),35.0)</f>
        <v>35</v>
      </c>
      <c r="D2006" s="12" t="str">
        <f>IFERROR(__xludf.DUMMYFUNCTION("""COMPUTED_VALUE"""),"Excellent dress")</f>
        <v>Excellent dress</v>
      </c>
      <c r="E2006" s="12" t="str">
        <f>IFERROR(__xludf.DUMMYFUNCTION("""COMPUTED_VALUE"""),"Beautiful, unique, colors perfect for winter. i received so many compliments at two holiday parties. and on sale, this is a no-brainer")</f>
        <v>Beautiful, unique, colors perfect for winter. i received so many compliments at two holiday parties. and on sale, this is a no-brainer</v>
      </c>
      <c r="F2006" s="13">
        <f>IFERROR(__xludf.DUMMYFUNCTION("""COMPUTED_VALUE"""),5.0)</f>
        <v>5</v>
      </c>
      <c r="G2006" s="13">
        <f>IFERROR(__xludf.DUMMYFUNCTION("""COMPUTED_VALUE"""),1.0)</f>
        <v>1</v>
      </c>
      <c r="H2006" s="13">
        <f>IFERROR(__xludf.DUMMYFUNCTION("""COMPUTED_VALUE"""),0.0)</f>
        <v>0</v>
      </c>
      <c r="I2006" s="13" t="str">
        <f>IFERROR(__xludf.DUMMYFUNCTION("""COMPUTED_VALUE"""),"General Petite")</f>
        <v>General Petite</v>
      </c>
      <c r="J2006" s="13" t="str">
        <f>IFERROR(__xludf.DUMMYFUNCTION("""COMPUTED_VALUE"""),"Dresses")</f>
        <v>Dresses</v>
      </c>
      <c r="K2006" s="13" t="str">
        <f>IFERROR(__xludf.DUMMYFUNCTION("""COMPUTED_VALUE"""),"Dresses")</f>
        <v>Dresses</v>
      </c>
      <c r="L2006" s="13"/>
    </row>
    <row r="2007">
      <c r="A2007" s="13">
        <f>IFERROR(__xludf.DUMMYFUNCTION("""COMPUTED_VALUE"""),2005.0)</f>
        <v>2005</v>
      </c>
      <c r="B2007" s="13">
        <f>IFERROR(__xludf.DUMMYFUNCTION("""COMPUTED_VALUE"""),1083.0)</f>
        <v>1083</v>
      </c>
      <c r="C2007" s="13">
        <f>IFERROR(__xludf.DUMMYFUNCTION("""COMPUTED_VALUE"""),43.0)</f>
        <v>43</v>
      </c>
      <c r="D2007" s="12" t="str">
        <f>IFERROR(__xludf.DUMMYFUNCTION("""COMPUTED_VALUE"""),"Prettier in person")</f>
        <v>Prettier in person</v>
      </c>
      <c r="E2007" s="12" t="str">
        <f>IFERROR(__xludf.DUMMYFUNCTION("""COMPUTED_VALUE"""),"The picture online doesn't do this pretty dress justice. i'm curvy, and always searching for dresses that don't make me look like a sack of potatoes. its pin tucks at the bust give it a little shape, and the print is much more vibrant in person. will look"&amp;" great with tights and a black blazer for dinners out.")</f>
        <v>The picture online doesn't do this pretty dress justice. i'm curvy, and always searching for dresses that don't make me look like a sack of potatoes. its pin tucks at the bust give it a little shape, and the print is much more vibrant in person. will look great with tights and a black blazer for dinners out.</v>
      </c>
      <c r="F2007" s="13">
        <f>IFERROR(__xludf.DUMMYFUNCTION("""COMPUTED_VALUE"""),5.0)</f>
        <v>5</v>
      </c>
      <c r="G2007" s="13">
        <f>IFERROR(__xludf.DUMMYFUNCTION("""COMPUTED_VALUE"""),1.0)</f>
        <v>1</v>
      </c>
      <c r="H2007" s="13">
        <f>IFERROR(__xludf.DUMMYFUNCTION("""COMPUTED_VALUE"""),0.0)</f>
        <v>0</v>
      </c>
      <c r="I2007" s="13" t="str">
        <f>IFERROR(__xludf.DUMMYFUNCTION("""COMPUTED_VALUE"""),"General Petite")</f>
        <v>General Petite</v>
      </c>
      <c r="J2007" s="13" t="str">
        <f>IFERROR(__xludf.DUMMYFUNCTION("""COMPUTED_VALUE"""),"Dresses")</f>
        <v>Dresses</v>
      </c>
      <c r="K2007" s="13" t="str">
        <f>IFERROR(__xludf.DUMMYFUNCTION("""COMPUTED_VALUE"""),"Dresses")</f>
        <v>Dresses</v>
      </c>
      <c r="L2007" s="13"/>
    </row>
    <row r="2008">
      <c r="A2008" s="13">
        <f>IFERROR(__xludf.DUMMYFUNCTION("""COMPUTED_VALUE"""),2006.0)</f>
        <v>2006</v>
      </c>
      <c r="B2008" s="13">
        <f>IFERROR(__xludf.DUMMYFUNCTION("""COMPUTED_VALUE"""),1080.0)</f>
        <v>1080</v>
      </c>
      <c r="C2008" s="13">
        <f>IFERROR(__xludf.DUMMYFUNCTION("""COMPUTED_VALUE"""),83.0)</f>
        <v>83</v>
      </c>
      <c r="D2008" s="12" t="str">
        <f>IFERROR(__xludf.DUMMYFUNCTION("""COMPUTED_VALUE"""),"Perfection !")</f>
        <v>Perfection !</v>
      </c>
      <c r="E2008" s="12" t="str">
        <f>IFERROR(__xludf.DUMMYFUNCTION("""COMPUTED_VALUE"""),"Received this dress yesterday, love it!
my initial hesitation in ordering this dress, even though it is my fav color....was rather bright for sept..
but loved it and decided to order and wear it next spring.
delighted to open the package and see that the "&amp;"dress is much darker than in the pics...more of a jade green.
it is still a summer fabric/style, however the darker color will be perfect for the warmer fall days ahead.
this dress is beautifully made, superior workmanship, and the fabric i")</f>
        <v>Received this dress yesterday, love it!
my initial hesitation in ordering this dress, even though it is my fav color....was rather bright for sept..
but loved it and decided to order and wear it next spring.
delighted to open the package and see that the dress is much darker than in the pics...more of a jade green.
it is still a summer fabric/style, however the darker color will be perfect for the warmer fall days ahead.
this dress is beautifully made, superior workmanship, and the fabric i</v>
      </c>
      <c r="F2008" s="13">
        <f>IFERROR(__xludf.DUMMYFUNCTION("""COMPUTED_VALUE"""),5.0)</f>
        <v>5</v>
      </c>
      <c r="G2008" s="13">
        <f>IFERROR(__xludf.DUMMYFUNCTION("""COMPUTED_VALUE"""),1.0)</f>
        <v>1</v>
      </c>
      <c r="H2008" s="13">
        <f>IFERROR(__xludf.DUMMYFUNCTION("""COMPUTED_VALUE"""),5.0)</f>
        <v>5</v>
      </c>
      <c r="I2008" s="13" t="str">
        <f>IFERROR(__xludf.DUMMYFUNCTION("""COMPUTED_VALUE"""),"General")</f>
        <v>General</v>
      </c>
      <c r="J2008" s="13" t="str">
        <f>IFERROR(__xludf.DUMMYFUNCTION("""COMPUTED_VALUE"""),"Dresses")</f>
        <v>Dresses</v>
      </c>
      <c r="K2008" s="13" t="str">
        <f>IFERROR(__xludf.DUMMYFUNCTION("""COMPUTED_VALUE"""),"Dresses")</f>
        <v>Dresses</v>
      </c>
      <c r="L2008" s="13"/>
    </row>
    <row r="2009">
      <c r="A2009" s="13">
        <f>IFERROR(__xludf.DUMMYFUNCTION("""COMPUTED_VALUE"""),2007.0)</f>
        <v>2007</v>
      </c>
      <c r="B2009" s="13">
        <f>IFERROR(__xludf.DUMMYFUNCTION("""COMPUTED_VALUE"""),1095.0)</f>
        <v>1095</v>
      </c>
      <c r="C2009" s="13">
        <f>IFERROR(__xludf.DUMMYFUNCTION("""COMPUTED_VALUE"""),53.0)</f>
        <v>53</v>
      </c>
      <c r="D2009" s="12" t="str">
        <f>IFERROR(__xludf.DUMMYFUNCTION("""COMPUTED_VALUE"""),"In agreement with other reviewers...")</f>
        <v>In agreement with other reviewers...</v>
      </c>
      <c r="E2009" s="12" t="str">
        <f>IFERROR(__xludf.DUMMYFUNCTION("""COMPUTED_VALUE"""),"This is a beautiful dress with unfortunate design flaws at the bodice of the dress. the fit at hips and length is perfect, falling just to my knee (i'm 5'5"" 142 lbs.) and grazing my hips. in that regard the fit is spectacular. but the bodice seems cut ve"&amp;"ry oddly, which would require tayloring to correct. the armholes are large and flared at the bottom which leaves 'wings' just under the arms that stick out. since this dress has a side zip, to correct that would seem a major undertaking. the stra")</f>
        <v>This is a beautiful dress with unfortunate design flaws at the bodice of the dress. the fit at hips and length is perfect, falling just to my knee (i'm 5'5" 142 lbs.) and grazing my hips. in that regard the fit is spectacular. but the bodice seems cut very oddly, which would require tayloring to correct. the armholes are large and flared at the bottom which leaves 'wings' just under the arms that stick out. since this dress has a side zip, to correct that would seem a major undertaking. the stra</v>
      </c>
      <c r="F2009" s="13">
        <f>IFERROR(__xludf.DUMMYFUNCTION("""COMPUTED_VALUE"""),3.0)</f>
        <v>3</v>
      </c>
      <c r="G2009" s="13">
        <f>IFERROR(__xludf.DUMMYFUNCTION("""COMPUTED_VALUE"""),1.0)</f>
        <v>1</v>
      </c>
      <c r="H2009" s="13">
        <f>IFERROR(__xludf.DUMMYFUNCTION("""COMPUTED_VALUE"""),0.0)</f>
        <v>0</v>
      </c>
      <c r="I2009" s="13" t="str">
        <f>IFERROR(__xludf.DUMMYFUNCTION("""COMPUTED_VALUE"""),"General Petite")</f>
        <v>General Petite</v>
      </c>
      <c r="J2009" s="13" t="str">
        <f>IFERROR(__xludf.DUMMYFUNCTION("""COMPUTED_VALUE"""),"Dresses")</f>
        <v>Dresses</v>
      </c>
      <c r="K2009" s="13" t="str">
        <f>IFERROR(__xludf.DUMMYFUNCTION("""COMPUTED_VALUE"""),"Dresses")</f>
        <v>Dresses</v>
      </c>
      <c r="L2009" s="13"/>
    </row>
    <row r="2010">
      <c r="A2010" s="13">
        <f>IFERROR(__xludf.DUMMYFUNCTION("""COMPUTED_VALUE"""),2008.0)</f>
        <v>2008</v>
      </c>
      <c r="B2010" s="13">
        <f>IFERROR(__xludf.DUMMYFUNCTION("""COMPUTED_VALUE"""),1083.0)</f>
        <v>1083</v>
      </c>
      <c r="C2010" s="13">
        <f>IFERROR(__xludf.DUMMYFUNCTION("""COMPUTED_VALUE"""),41.0)</f>
        <v>41</v>
      </c>
      <c r="D2010" s="12" t="str">
        <f>IFERROR(__xludf.DUMMYFUNCTION("""COMPUTED_VALUE"""),"Soooo pretty")</f>
        <v>Soooo pretty</v>
      </c>
      <c r="E2010" s="12" t="str">
        <f>IFERROR(__xludf.DUMMYFUNCTION("""COMPUTED_VALUE"""),"This dress is sure to become one of my favorites! i ordered it online and the colors are even prettier in person; very vivid! it is a little light for the climate where i live right now but, i'm sure that as soon as it gets a little warmer i will be weari"&amp;"ng it often. i can't wait!")</f>
        <v>This dress is sure to become one of my favorites! i ordered it online and the colors are even prettier in person; very vivid! it is a little light for the climate where i live right now but, i'm sure that as soon as it gets a little warmer i will be wearing it often. i can't wait!</v>
      </c>
      <c r="F2010" s="13">
        <f>IFERROR(__xludf.DUMMYFUNCTION("""COMPUTED_VALUE"""),5.0)</f>
        <v>5</v>
      </c>
      <c r="G2010" s="13">
        <f>IFERROR(__xludf.DUMMYFUNCTION("""COMPUTED_VALUE"""),1.0)</f>
        <v>1</v>
      </c>
      <c r="H2010" s="13">
        <f>IFERROR(__xludf.DUMMYFUNCTION("""COMPUTED_VALUE"""),0.0)</f>
        <v>0</v>
      </c>
      <c r="I2010" s="13" t="str">
        <f>IFERROR(__xludf.DUMMYFUNCTION("""COMPUTED_VALUE"""),"General Petite")</f>
        <v>General Petite</v>
      </c>
      <c r="J2010" s="13" t="str">
        <f>IFERROR(__xludf.DUMMYFUNCTION("""COMPUTED_VALUE"""),"Dresses")</f>
        <v>Dresses</v>
      </c>
      <c r="K2010" s="13" t="str">
        <f>IFERROR(__xludf.DUMMYFUNCTION("""COMPUTED_VALUE"""),"Dresses")</f>
        <v>Dresses</v>
      </c>
      <c r="L2010" s="13"/>
    </row>
    <row r="2011">
      <c r="A2011" s="13">
        <f>IFERROR(__xludf.DUMMYFUNCTION("""COMPUTED_VALUE"""),2009.0)</f>
        <v>2009</v>
      </c>
      <c r="B2011" s="13">
        <f>IFERROR(__xludf.DUMMYFUNCTION("""COMPUTED_VALUE"""),164.0)</f>
        <v>164</v>
      </c>
      <c r="C2011" s="13">
        <f>IFERROR(__xludf.DUMMYFUNCTION("""COMPUTED_VALUE"""),44.0)</f>
        <v>44</v>
      </c>
      <c r="D2011" s="12" t="str">
        <f>IFERROR(__xludf.DUMMYFUNCTION("""COMPUTED_VALUE"""),"Review for fit only")</f>
        <v>Review for fit only</v>
      </c>
      <c r="E2011" s="12" t="str">
        <f>IFERROR(__xludf.DUMMYFUNCTION("""COMPUTED_VALUE"""),"Nice but i thought these ran big. me: 28-29' waist, 36"" hips, athletic thighs. usually a medium in leggings but these size mediums were a bit baggy to my surprise. hoping to exchange for a size down as they are pretty, the ankle detail is fun and decentl"&amp;"y made.")</f>
        <v>Nice but i thought these ran big. me: 28-29' waist, 36" hips, athletic thighs. usually a medium in leggings but these size mediums were a bit baggy to my surprise. hoping to exchange for a size down as they are pretty, the ankle detail is fun and decently made.</v>
      </c>
      <c r="F2011" s="13">
        <f>IFERROR(__xludf.DUMMYFUNCTION("""COMPUTED_VALUE"""),4.0)</f>
        <v>4</v>
      </c>
      <c r="G2011" s="13">
        <f>IFERROR(__xludf.DUMMYFUNCTION("""COMPUTED_VALUE"""),1.0)</f>
        <v>1</v>
      </c>
      <c r="H2011" s="13">
        <f>IFERROR(__xludf.DUMMYFUNCTION("""COMPUTED_VALUE"""),0.0)</f>
        <v>0</v>
      </c>
      <c r="I2011" s="13" t="str">
        <f>IFERROR(__xludf.DUMMYFUNCTION("""COMPUTED_VALUE"""),"Initmates")</f>
        <v>Initmates</v>
      </c>
      <c r="J2011" s="13" t="str">
        <f>IFERROR(__xludf.DUMMYFUNCTION("""COMPUTED_VALUE"""),"Intimate")</f>
        <v>Intimate</v>
      </c>
      <c r="K2011" s="13" t="str">
        <f>IFERROR(__xludf.DUMMYFUNCTION("""COMPUTED_VALUE"""),"Lounge")</f>
        <v>Lounge</v>
      </c>
      <c r="L2011" s="13"/>
    </row>
    <row r="2012">
      <c r="A2012" s="13">
        <f>IFERROR(__xludf.DUMMYFUNCTION("""COMPUTED_VALUE"""),2010.0)</f>
        <v>2010</v>
      </c>
      <c r="B2012" s="13">
        <f>IFERROR(__xludf.DUMMYFUNCTION("""COMPUTED_VALUE"""),1083.0)</f>
        <v>1083</v>
      </c>
      <c r="C2012" s="13">
        <f>IFERROR(__xludf.DUMMYFUNCTION("""COMPUTED_VALUE"""),56.0)</f>
        <v>56</v>
      </c>
      <c r="D2012" s="12" t="str">
        <f>IFERROR(__xludf.DUMMYFUNCTION("""COMPUTED_VALUE"""),"So cute!")</f>
        <v>So cute!</v>
      </c>
      <c r="E2012" s="12" t="str">
        <f>IFERROR(__xludf.DUMMYFUNCTION("""COMPUTED_VALUE"""),"I absolutely love this dress! i wore it with taupe tights and suede boots and got so many compliments. i have also worn it over leggings, and can see myself wearing it in the warmer months with sandals. even though the material is somewhat thin, i did not"&amp;" have to wear a cami with it. the fabric pattern is really cute!")</f>
        <v>I absolutely love this dress! i wore it with taupe tights and suede boots and got so many compliments. i have also worn it over leggings, and can see myself wearing it in the warmer months with sandals. even though the material is somewhat thin, i did not have to wear a cami with it. the fabric pattern is really cute!</v>
      </c>
      <c r="F2012" s="13">
        <f>IFERROR(__xludf.DUMMYFUNCTION("""COMPUTED_VALUE"""),5.0)</f>
        <v>5</v>
      </c>
      <c r="G2012" s="13">
        <f>IFERROR(__xludf.DUMMYFUNCTION("""COMPUTED_VALUE"""),1.0)</f>
        <v>1</v>
      </c>
      <c r="H2012" s="13">
        <f>IFERROR(__xludf.DUMMYFUNCTION("""COMPUTED_VALUE"""),0.0)</f>
        <v>0</v>
      </c>
      <c r="I2012" s="13" t="str">
        <f>IFERROR(__xludf.DUMMYFUNCTION("""COMPUTED_VALUE"""),"General Petite")</f>
        <v>General Petite</v>
      </c>
      <c r="J2012" s="13" t="str">
        <f>IFERROR(__xludf.DUMMYFUNCTION("""COMPUTED_VALUE"""),"Dresses")</f>
        <v>Dresses</v>
      </c>
      <c r="K2012" s="13" t="str">
        <f>IFERROR(__xludf.DUMMYFUNCTION("""COMPUTED_VALUE"""),"Dresses")</f>
        <v>Dresses</v>
      </c>
      <c r="L2012" s="13"/>
    </row>
    <row r="2013">
      <c r="A2013" s="13">
        <f>IFERROR(__xludf.DUMMYFUNCTION("""COMPUTED_VALUE"""),2011.0)</f>
        <v>2011</v>
      </c>
      <c r="B2013" s="13">
        <f>IFERROR(__xludf.DUMMYFUNCTION("""COMPUTED_VALUE"""),862.0)</f>
        <v>862</v>
      </c>
      <c r="C2013" s="13">
        <f>IFERROR(__xludf.DUMMYFUNCTION("""COMPUTED_VALUE"""),41.0)</f>
        <v>41</v>
      </c>
      <c r="D2013" s="12" t="str">
        <f>IFERROR(__xludf.DUMMYFUNCTION("""COMPUTED_VALUE"""),"Beautiful shade of pink, very low-cut")</f>
        <v>Beautiful shade of pink, very low-cut</v>
      </c>
      <c r="E2013" s="12" t="str">
        <f>IFERROR(__xludf.DUMMYFUNCTION("""COMPUTED_VALUE"""),"I bought the pink, which is a vibrant but not neon shade of deep reddish pink. love it. i love how the flutter of the sleeves is balanced with a slimmer fitting body, which keeps it from looking frumpy. i did order a size down to achieve this look. i pref"&amp;"er a more tailored look so this suits me while satisfying my desire for a little whimsy now and then. my only issue is that it's too low cut. trying to decide if i just need to wear it with a lower-cut bra or if this requires a cami. i hate laye")</f>
        <v>I bought the pink, which is a vibrant but not neon shade of deep reddish pink. love it. i love how the flutter of the sleeves is balanced with a slimmer fitting body, which keeps it from looking frumpy. i did order a size down to achieve this look. i prefer a more tailored look so this suits me while satisfying my desire for a little whimsy now and then. my only issue is that it's too low cut. trying to decide if i just need to wear it with a lower-cut bra or if this requires a cami. i hate laye</v>
      </c>
      <c r="F2013" s="13">
        <f>IFERROR(__xludf.DUMMYFUNCTION("""COMPUTED_VALUE"""),4.0)</f>
        <v>4</v>
      </c>
      <c r="G2013" s="13">
        <f>IFERROR(__xludf.DUMMYFUNCTION("""COMPUTED_VALUE"""),1.0)</f>
        <v>1</v>
      </c>
      <c r="H2013" s="13">
        <f>IFERROR(__xludf.DUMMYFUNCTION("""COMPUTED_VALUE"""),2.0)</f>
        <v>2</v>
      </c>
      <c r="I2013" s="13" t="str">
        <f>IFERROR(__xludf.DUMMYFUNCTION("""COMPUTED_VALUE"""),"General Petite")</f>
        <v>General Petite</v>
      </c>
      <c r="J2013" s="13" t="str">
        <f>IFERROR(__xludf.DUMMYFUNCTION("""COMPUTED_VALUE"""),"Tops")</f>
        <v>Tops</v>
      </c>
      <c r="K2013" s="13" t="str">
        <f>IFERROR(__xludf.DUMMYFUNCTION("""COMPUTED_VALUE"""),"Knits")</f>
        <v>Knits</v>
      </c>
      <c r="L2013" s="13"/>
    </row>
    <row r="2014">
      <c r="A2014" s="13">
        <f>IFERROR(__xludf.DUMMYFUNCTION("""COMPUTED_VALUE"""),2012.0)</f>
        <v>2012</v>
      </c>
      <c r="B2014" s="13">
        <f>IFERROR(__xludf.DUMMYFUNCTION("""COMPUTED_VALUE"""),862.0)</f>
        <v>862</v>
      </c>
      <c r="C2014" s="13">
        <f>IFERROR(__xludf.DUMMYFUNCTION("""COMPUTED_VALUE"""),23.0)</f>
        <v>23</v>
      </c>
      <c r="D2014" s="12"/>
      <c r="E2014" s="12" t="str">
        <f>IFERROR(__xludf.DUMMYFUNCTION("""COMPUTED_VALUE"""),"I got the pink color, which is really vibrant and beautiful in person. this top is low cut, so if you don't like to show much cleavage plan to wear it over a cami.
i'm 5'5 145lbs, 37-29-39. got a size medium. it fits okay in the bust area, but is much lo"&amp;"oser than i would prefer below the bust. i will either return or exchange for a small to see if the fit is better.")</f>
        <v>I got the pink color, which is really vibrant and beautiful in person. this top is low cut, so if you don't like to show much cleavage plan to wear it over a cami.
i'm 5'5 145lbs, 37-29-39. got a size medium. it fits okay in the bust area, but is much looser than i would prefer below the bust. i will either return or exchange for a small to see if the fit is better.</v>
      </c>
      <c r="F2014" s="13">
        <f>IFERROR(__xludf.DUMMYFUNCTION("""COMPUTED_VALUE"""),4.0)</f>
        <v>4</v>
      </c>
      <c r="G2014" s="13">
        <f>IFERROR(__xludf.DUMMYFUNCTION("""COMPUTED_VALUE"""),1.0)</f>
        <v>1</v>
      </c>
      <c r="H2014" s="13">
        <f>IFERROR(__xludf.DUMMYFUNCTION("""COMPUTED_VALUE"""),3.0)</f>
        <v>3</v>
      </c>
      <c r="I2014" s="13" t="str">
        <f>IFERROR(__xludf.DUMMYFUNCTION("""COMPUTED_VALUE"""),"General Petite")</f>
        <v>General Petite</v>
      </c>
      <c r="J2014" s="13" t="str">
        <f>IFERROR(__xludf.DUMMYFUNCTION("""COMPUTED_VALUE"""),"Tops")</f>
        <v>Tops</v>
      </c>
      <c r="K2014" s="13" t="str">
        <f>IFERROR(__xludf.DUMMYFUNCTION("""COMPUTED_VALUE"""),"Knits")</f>
        <v>Knits</v>
      </c>
      <c r="L2014" s="13"/>
    </row>
    <row r="2015">
      <c r="A2015" s="13">
        <f>IFERROR(__xludf.DUMMYFUNCTION("""COMPUTED_VALUE"""),2013.0)</f>
        <v>2013</v>
      </c>
      <c r="B2015" s="13">
        <f>IFERROR(__xludf.DUMMYFUNCTION("""COMPUTED_VALUE"""),1134.0)</f>
        <v>1134</v>
      </c>
      <c r="C2015" s="13">
        <f>IFERROR(__xludf.DUMMYFUNCTION("""COMPUTED_VALUE"""),42.0)</f>
        <v>42</v>
      </c>
      <c r="D2015" s="12"/>
      <c r="E2015" s="12" t="str">
        <f>IFERROR(__xludf.DUMMYFUNCTION("""COMPUTED_VALUE"""),"I love sanctuary clothing. this parka is on the lighter side, good for this mild east coast winter. it is water repellent. the length hits me on my upper thigh and the sleeves are long ( good for longer limbs). i received many compliments.")</f>
        <v>I love sanctuary clothing. this parka is on the lighter side, good for this mild east coast winter. it is water repellent. the length hits me on my upper thigh and the sleeves are long ( good for longer limbs). i received many compliments.</v>
      </c>
      <c r="F2015" s="13">
        <f>IFERROR(__xludf.DUMMYFUNCTION("""COMPUTED_VALUE"""),5.0)</f>
        <v>5</v>
      </c>
      <c r="G2015" s="13">
        <f>IFERROR(__xludf.DUMMYFUNCTION("""COMPUTED_VALUE"""),1.0)</f>
        <v>1</v>
      </c>
      <c r="H2015" s="13">
        <f>IFERROR(__xludf.DUMMYFUNCTION("""COMPUTED_VALUE"""),4.0)</f>
        <v>4</v>
      </c>
      <c r="I2015" s="13" t="str">
        <f>IFERROR(__xludf.DUMMYFUNCTION("""COMPUTED_VALUE"""),"General")</f>
        <v>General</v>
      </c>
      <c r="J2015" s="13" t="str">
        <f>IFERROR(__xludf.DUMMYFUNCTION("""COMPUTED_VALUE"""),"Jackets")</f>
        <v>Jackets</v>
      </c>
      <c r="K2015" s="13" t="str">
        <f>IFERROR(__xludf.DUMMYFUNCTION("""COMPUTED_VALUE"""),"Outerwear")</f>
        <v>Outerwear</v>
      </c>
      <c r="L2015" s="13"/>
    </row>
    <row r="2016">
      <c r="A2016" s="13">
        <f>IFERROR(__xludf.DUMMYFUNCTION("""COMPUTED_VALUE"""),2014.0)</f>
        <v>2014</v>
      </c>
      <c r="B2016" s="13">
        <f>IFERROR(__xludf.DUMMYFUNCTION("""COMPUTED_VALUE"""),1110.0)</f>
        <v>1110</v>
      </c>
      <c r="C2016" s="13">
        <f>IFERROR(__xludf.DUMMYFUNCTION("""COMPUTED_VALUE"""),36.0)</f>
        <v>36</v>
      </c>
      <c r="D2016" s="12"/>
      <c r="E2016" s="12" t="str">
        <f>IFERROR(__xludf.DUMMYFUNCTION("""COMPUTED_VALUE"""),"Very flattering, not too short, beautiful. i'm 5.6, 36d, usually wear m in dresses, wide hips. the 8 fit very nicely.")</f>
        <v>Very flattering, not too short, beautiful. i'm 5.6, 36d, usually wear m in dresses, wide hips. the 8 fit very nicely.</v>
      </c>
      <c r="F2016" s="13">
        <f>IFERROR(__xludf.DUMMYFUNCTION("""COMPUTED_VALUE"""),5.0)</f>
        <v>5</v>
      </c>
      <c r="G2016" s="13">
        <f>IFERROR(__xludf.DUMMYFUNCTION("""COMPUTED_VALUE"""),1.0)</f>
        <v>1</v>
      </c>
      <c r="H2016" s="13">
        <f>IFERROR(__xludf.DUMMYFUNCTION("""COMPUTED_VALUE"""),0.0)</f>
        <v>0</v>
      </c>
      <c r="I2016" s="13" t="str">
        <f>IFERROR(__xludf.DUMMYFUNCTION("""COMPUTED_VALUE"""),"General Petite")</f>
        <v>General Petite</v>
      </c>
      <c r="J2016" s="13" t="str">
        <f>IFERROR(__xludf.DUMMYFUNCTION("""COMPUTED_VALUE"""),"Dresses")</f>
        <v>Dresses</v>
      </c>
      <c r="K2016" s="13" t="str">
        <f>IFERROR(__xludf.DUMMYFUNCTION("""COMPUTED_VALUE"""),"Dresses")</f>
        <v>Dresses</v>
      </c>
      <c r="L2016" s="13"/>
    </row>
    <row r="2017">
      <c r="A2017" s="13">
        <f>IFERROR(__xludf.DUMMYFUNCTION("""COMPUTED_VALUE"""),2015.0)</f>
        <v>2015</v>
      </c>
      <c r="B2017" s="13">
        <f>IFERROR(__xludf.DUMMYFUNCTION("""COMPUTED_VALUE"""),867.0)</f>
        <v>867</v>
      </c>
      <c r="C2017" s="13">
        <f>IFERROR(__xludf.DUMMYFUNCTION("""COMPUTED_VALUE"""),79.0)</f>
        <v>79</v>
      </c>
      <c r="D2017" s="12" t="str">
        <f>IFERROR(__xludf.DUMMYFUNCTION("""COMPUTED_VALUE"""),"Very flattering!")</f>
        <v>Very flattering!</v>
      </c>
      <c r="E2017" s="12" t="str">
        <f>IFERROR(__xludf.DUMMYFUNCTION("""COMPUTED_VALUE"""),"Finally a white top that is not see through! this tank is very form fitting and flattering, but does not hug too tight. i am neither large nor small breasted and love the way the v-neck fits on me. for reference, i am 5'2, 105#, 32c and i got the xxs.")</f>
        <v>Finally a white top that is not see through! this tank is very form fitting and flattering, but does not hug too tight. i am neither large nor small breasted and love the way the v-neck fits on me. for reference, i am 5'2, 105#, 32c and i got the xxs.</v>
      </c>
      <c r="F2017" s="13">
        <f>IFERROR(__xludf.DUMMYFUNCTION("""COMPUTED_VALUE"""),5.0)</f>
        <v>5</v>
      </c>
      <c r="G2017" s="13">
        <f>IFERROR(__xludf.DUMMYFUNCTION("""COMPUTED_VALUE"""),1.0)</f>
        <v>1</v>
      </c>
      <c r="H2017" s="13">
        <f>IFERROR(__xludf.DUMMYFUNCTION("""COMPUTED_VALUE"""),0.0)</f>
        <v>0</v>
      </c>
      <c r="I2017" s="13" t="str">
        <f>IFERROR(__xludf.DUMMYFUNCTION("""COMPUTED_VALUE"""),"General")</f>
        <v>General</v>
      </c>
      <c r="J2017" s="13" t="str">
        <f>IFERROR(__xludf.DUMMYFUNCTION("""COMPUTED_VALUE"""),"Tops")</f>
        <v>Tops</v>
      </c>
      <c r="K2017" s="13" t="str">
        <f>IFERROR(__xludf.DUMMYFUNCTION("""COMPUTED_VALUE"""),"Knits")</f>
        <v>Knits</v>
      </c>
      <c r="L2017" s="13"/>
    </row>
    <row r="2018">
      <c r="A2018" s="13">
        <f>IFERROR(__xludf.DUMMYFUNCTION("""COMPUTED_VALUE"""),2016.0)</f>
        <v>2016</v>
      </c>
      <c r="B2018" s="13">
        <f>IFERROR(__xludf.DUMMYFUNCTION("""COMPUTED_VALUE"""),862.0)</f>
        <v>862</v>
      </c>
      <c r="C2018" s="13">
        <f>IFERROR(__xludf.DUMMYFUNCTION("""COMPUTED_VALUE"""),66.0)</f>
        <v>66</v>
      </c>
      <c r="D2018" s="12" t="str">
        <f>IFERROR(__xludf.DUMMYFUNCTION("""COMPUTED_VALUE"""),"A step up!")</f>
        <v>A step up!</v>
      </c>
      <c r="E2018" s="12" t="str">
        <f>IFERROR(__xludf.DUMMYFUNCTION("""COMPUTED_VALUE"""),"Very pleasantly surprised by this top! it's looser, but in a flowy not baggy way. i ordered the m. the
vee is just right on me, tasteful but just low enough. love the sleeve length
ordered thinking another black tee , but it's going to be well used,and gr"&amp;"eat for evenings.")</f>
        <v>Very pleasantly surprised by this top! it's looser, but in a flowy not baggy way. i ordered the m. the
vee is just right on me, tasteful but just low enough. love the sleeve length
ordered thinking another black tee , but it's going to be well used,and great for evenings.</v>
      </c>
      <c r="F2018" s="13">
        <f>IFERROR(__xludf.DUMMYFUNCTION("""COMPUTED_VALUE"""),5.0)</f>
        <v>5</v>
      </c>
      <c r="G2018" s="13">
        <f>IFERROR(__xludf.DUMMYFUNCTION("""COMPUTED_VALUE"""),1.0)</f>
        <v>1</v>
      </c>
      <c r="H2018" s="13">
        <f>IFERROR(__xludf.DUMMYFUNCTION("""COMPUTED_VALUE"""),0.0)</f>
        <v>0</v>
      </c>
      <c r="I2018" s="13" t="str">
        <f>IFERROR(__xludf.DUMMYFUNCTION("""COMPUTED_VALUE"""),"General Petite")</f>
        <v>General Petite</v>
      </c>
      <c r="J2018" s="13" t="str">
        <f>IFERROR(__xludf.DUMMYFUNCTION("""COMPUTED_VALUE"""),"Tops")</f>
        <v>Tops</v>
      </c>
      <c r="K2018" s="13" t="str">
        <f>IFERROR(__xludf.DUMMYFUNCTION("""COMPUTED_VALUE"""),"Knits")</f>
        <v>Knits</v>
      </c>
      <c r="L2018" s="13"/>
    </row>
    <row r="2019">
      <c r="A2019" s="13">
        <f>IFERROR(__xludf.DUMMYFUNCTION("""COMPUTED_VALUE"""),2017.0)</f>
        <v>2017</v>
      </c>
      <c r="B2019" s="13">
        <f>IFERROR(__xludf.DUMMYFUNCTION("""COMPUTED_VALUE"""),927.0)</f>
        <v>927</v>
      </c>
      <c r="C2019" s="13">
        <f>IFERROR(__xludf.DUMMYFUNCTION("""COMPUTED_VALUE"""),41.0)</f>
        <v>41</v>
      </c>
      <c r="D2019" s="12" t="str">
        <f>IFERROR(__xludf.DUMMYFUNCTION("""COMPUTED_VALUE"""),"Beautiful, soft and cozy")</f>
        <v>Beautiful, soft and cozy</v>
      </c>
      <c r="E2019" s="12" t="str">
        <f>IFERROR(__xludf.DUMMYFUNCTION("""COMPUTED_VALUE"""),"As one would expect from boucle, this sweater is incredibly soft, warm and cozy without being heavy. i fell in love with it when i first saw it and got it in white color. it's beautiful, goes with casual and work clothing (belt helps with the latter styli"&amp;"ng), and it didn't leave lint on the dark skirt i wore with it to work! i usually wear xs or s and found this sweater to be still roomy in xs, with sleeves being a bit long. i hope it won't stretch with wear as boucles sometimes do - that's my o")</f>
        <v>As one would expect from boucle, this sweater is incredibly soft, warm and cozy without being heavy. i fell in love with it when i first saw it and got it in white color. it's beautiful, goes with casual and work clothing (belt helps with the latter styling), and it didn't leave lint on the dark skirt i wore with it to work! i usually wear xs or s and found this sweater to be still roomy in xs, with sleeves being a bit long. i hope it won't stretch with wear as boucles sometimes do - that's my o</v>
      </c>
      <c r="F2019" s="13">
        <f>IFERROR(__xludf.DUMMYFUNCTION("""COMPUTED_VALUE"""),4.0)</f>
        <v>4</v>
      </c>
      <c r="G2019" s="13">
        <f>IFERROR(__xludf.DUMMYFUNCTION("""COMPUTED_VALUE"""),1.0)</f>
        <v>1</v>
      </c>
      <c r="H2019" s="13">
        <f>IFERROR(__xludf.DUMMYFUNCTION("""COMPUTED_VALUE"""),3.0)</f>
        <v>3</v>
      </c>
      <c r="I2019" s="13" t="str">
        <f>IFERROR(__xludf.DUMMYFUNCTION("""COMPUTED_VALUE"""),"General Petite")</f>
        <v>General Petite</v>
      </c>
      <c r="J2019" s="13" t="str">
        <f>IFERROR(__xludf.DUMMYFUNCTION("""COMPUTED_VALUE"""),"Tops")</f>
        <v>Tops</v>
      </c>
      <c r="K2019" s="13" t="str">
        <f>IFERROR(__xludf.DUMMYFUNCTION("""COMPUTED_VALUE"""),"Sweaters")</f>
        <v>Sweaters</v>
      </c>
      <c r="L2019" s="13"/>
    </row>
    <row r="2020">
      <c r="A2020" s="13">
        <f>IFERROR(__xludf.DUMMYFUNCTION("""COMPUTED_VALUE"""),2018.0)</f>
        <v>2018</v>
      </c>
      <c r="B2020" s="13">
        <f>IFERROR(__xludf.DUMMYFUNCTION("""COMPUTED_VALUE"""),63.0)</f>
        <v>63</v>
      </c>
      <c r="C2020" s="13">
        <f>IFERROR(__xludf.DUMMYFUNCTION("""COMPUTED_VALUE"""),33.0)</f>
        <v>33</v>
      </c>
      <c r="D2020" s="12" t="str">
        <f>IFERROR(__xludf.DUMMYFUNCTION("""COMPUTED_VALUE"""),"Extra fabric")</f>
        <v>Extra fabric</v>
      </c>
      <c r="E2020" s="12" t="str">
        <f>IFERROR(__xludf.DUMMYFUNCTION("""COMPUTED_VALUE"""),"There is a lot of fabric here! the legs fit me fine, but they are long and when you roll them up it creates a bunching of fabric in an awkward area. i've also found that they don't stay rolled up in the back, especially if you sit down. it's a shame since"&amp;" the fabric is soft and comfortable. maybe sizing down would've helped, but i doubt that would've fixed the problem of the cuffs staying rolled up.")</f>
        <v>There is a lot of fabric here! the legs fit me fine, but they are long and when you roll them up it creates a bunching of fabric in an awkward area. i've also found that they don't stay rolled up in the back, especially if you sit down. it's a shame since the fabric is soft and comfortable. maybe sizing down would've helped, but i doubt that would've fixed the problem of the cuffs staying rolled up.</v>
      </c>
      <c r="F2020" s="13">
        <f>IFERROR(__xludf.DUMMYFUNCTION("""COMPUTED_VALUE"""),3.0)</f>
        <v>3</v>
      </c>
      <c r="G2020" s="13">
        <f>IFERROR(__xludf.DUMMYFUNCTION("""COMPUTED_VALUE"""),0.0)</f>
        <v>0</v>
      </c>
      <c r="H2020" s="13">
        <f>IFERROR(__xludf.DUMMYFUNCTION("""COMPUTED_VALUE"""),0.0)</f>
        <v>0</v>
      </c>
      <c r="I2020" s="13" t="str">
        <f>IFERROR(__xludf.DUMMYFUNCTION("""COMPUTED_VALUE"""),"General")</f>
        <v>General</v>
      </c>
      <c r="J2020" s="13" t="str">
        <f>IFERROR(__xludf.DUMMYFUNCTION("""COMPUTED_VALUE"""),"Bottoms")</f>
        <v>Bottoms</v>
      </c>
      <c r="K2020" s="13" t="str">
        <f>IFERROR(__xludf.DUMMYFUNCTION("""COMPUTED_VALUE"""),"Shorts")</f>
        <v>Shorts</v>
      </c>
      <c r="L2020" s="13"/>
    </row>
    <row r="2021">
      <c r="A2021" s="13">
        <f>IFERROR(__xludf.DUMMYFUNCTION("""COMPUTED_VALUE"""),2019.0)</f>
        <v>2019</v>
      </c>
      <c r="B2021" s="13">
        <f>IFERROR(__xludf.DUMMYFUNCTION("""COMPUTED_VALUE"""),1095.0)</f>
        <v>1095</v>
      </c>
      <c r="C2021" s="13">
        <f>IFERROR(__xludf.DUMMYFUNCTION("""COMPUTED_VALUE"""),29.0)</f>
        <v>29</v>
      </c>
      <c r="D2021" s="12" t="str">
        <f>IFERROR(__xludf.DUMMYFUNCTION("""COMPUTED_VALUE"""),"Well made. beautiful colors")</f>
        <v>Well made. beautiful colors</v>
      </c>
      <c r="E2021" s="12" t="str">
        <f>IFERROR(__xludf.DUMMYFUNCTION("""COMPUTED_VALUE"""),"Gorgeous dress! fits true to size with high quality material. the colors are stunning.")</f>
        <v>Gorgeous dress! fits true to size with high quality material. the colors are stunning.</v>
      </c>
      <c r="F2021" s="13">
        <f>IFERROR(__xludf.DUMMYFUNCTION("""COMPUTED_VALUE"""),5.0)</f>
        <v>5</v>
      </c>
      <c r="G2021" s="13">
        <f>IFERROR(__xludf.DUMMYFUNCTION("""COMPUTED_VALUE"""),1.0)</f>
        <v>1</v>
      </c>
      <c r="H2021" s="13">
        <f>IFERROR(__xludf.DUMMYFUNCTION("""COMPUTED_VALUE"""),3.0)</f>
        <v>3</v>
      </c>
      <c r="I2021" s="13" t="str">
        <f>IFERROR(__xludf.DUMMYFUNCTION("""COMPUTED_VALUE"""),"General Petite")</f>
        <v>General Petite</v>
      </c>
      <c r="J2021" s="13" t="str">
        <f>IFERROR(__xludf.DUMMYFUNCTION("""COMPUTED_VALUE"""),"Dresses")</f>
        <v>Dresses</v>
      </c>
      <c r="K2021" s="13" t="str">
        <f>IFERROR(__xludf.DUMMYFUNCTION("""COMPUTED_VALUE"""),"Dresses")</f>
        <v>Dresses</v>
      </c>
      <c r="L2021" s="13"/>
    </row>
    <row r="2022">
      <c r="A2022" s="13">
        <f>IFERROR(__xludf.DUMMYFUNCTION("""COMPUTED_VALUE"""),2020.0)</f>
        <v>2020</v>
      </c>
      <c r="B2022" s="13">
        <f>IFERROR(__xludf.DUMMYFUNCTION("""COMPUTED_VALUE"""),1022.0)</f>
        <v>1022</v>
      </c>
      <c r="C2022" s="13">
        <f>IFERROR(__xludf.DUMMYFUNCTION("""COMPUTED_VALUE"""),21.0)</f>
        <v>21</v>
      </c>
      <c r="D2022" s="12" t="str">
        <f>IFERROR(__xludf.DUMMYFUNCTION("""COMPUTED_VALUE"""),"Awesome pair of high waisted jeans")</f>
        <v>Awesome pair of high waisted jeans</v>
      </c>
      <c r="E2022" s="12" t="str">
        <f>IFERROR(__xludf.DUMMYFUNCTION("""COMPUTED_VALUE"""),"These jeans are awesome! i usually wear a 26 in ag jeans as they tend to stretch, but i ordered a 27p because i am only 5'1 and these are a flare style. i have a small waist but a larger booty, and these jeans hug me in all the right places. they also hav"&amp;"e a great dark color and are super classy so you can dress them up if need be. the only thing i didn't like was the length. even with the petite size i have to wear wedges so they don't drag on the ground. but, this is an issue i have with most")</f>
        <v>These jeans are awesome! i usually wear a 26 in ag jeans as they tend to stretch, but i ordered a 27p because i am only 5'1 and these are a flare style. i have a small waist but a larger booty, and these jeans hug me in all the right places. they also have a great dark color and are super classy so you can dress them up if need be. the only thing i didn't like was the length. even with the petite size i have to wear wedges so they don't drag on the ground. but, this is an issue i have with most</v>
      </c>
      <c r="F2022" s="13">
        <f>IFERROR(__xludf.DUMMYFUNCTION("""COMPUTED_VALUE"""),4.0)</f>
        <v>4</v>
      </c>
      <c r="G2022" s="13">
        <f>IFERROR(__xludf.DUMMYFUNCTION("""COMPUTED_VALUE"""),1.0)</f>
        <v>1</v>
      </c>
      <c r="H2022" s="13">
        <f>IFERROR(__xludf.DUMMYFUNCTION("""COMPUTED_VALUE"""),6.0)</f>
        <v>6</v>
      </c>
      <c r="I2022" s="13" t="str">
        <f>IFERROR(__xludf.DUMMYFUNCTION("""COMPUTED_VALUE"""),"General")</f>
        <v>General</v>
      </c>
      <c r="J2022" s="13" t="str">
        <f>IFERROR(__xludf.DUMMYFUNCTION("""COMPUTED_VALUE"""),"Bottoms")</f>
        <v>Bottoms</v>
      </c>
      <c r="K2022" s="13" t="str">
        <f>IFERROR(__xludf.DUMMYFUNCTION("""COMPUTED_VALUE"""),"Jeans")</f>
        <v>Jeans</v>
      </c>
      <c r="L2022" s="13"/>
    </row>
    <row r="2023">
      <c r="A2023" s="13">
        <f>IFERROR(__xludf.DUMMYFUNCTION("""COMPUTED_VALUE"""),2021.0)</f>
        <v>2021</v>
      </c>
      <c r="B2023" s="13">
        <f>IFERROR(__xludf.DUMMYFUNCTION("""COMPUTED_VALUE"""),1110.0)</f>
        <v>1110</v>
      </c>
      <c r="C2023" s="13">
        <f>IFERROR(__xludf.DUMMYFUNCTION("""COMPUTED_VALUE"""),56.0)</f>
        <v>56</v>
      </c>
      <c r="D2023" s="12" t="str">
        <f>IFERROR(__xludf.DUMMYFUNCTION("""COMPUTED_VALUE"""),"One of the most beautiful dresses i have ever seen")</f>
        <v>One of the most beautiful dresses i have ever seen</v>
      </c>
      <c r="E2023" s="12" t="str">
        <f>IFERROR(__xludf.DUMMYFUNCTION("""COMPUTED_VALUE"""),"I purchased this dress online after two reviews and i am so glad i did. this is a work of art and beauty and will be my go to dress for spring and summer weddings, special occasions and other events. i am so glad the arms are covered with lace and flowers"&amp;". this is spectacular.")</f>
        <v>I purchased this dress online after two reviews and i am so glad i did. this is a work of art and beauty and will be my go to dress for spring and summer weddings, special occasions and other events. i am so glad the arms are covered with lace and flowers. this is spectacular.</v>
      </c>
      <c r="F2023" s="13">
        <f>IFERROR(__xludf.DUMMYFUNCTION("""COMPUTED_VALUE"""),5.0)</f>
        <v>5</v>
      </c>
      <c r="G2023" s="13">
        <f>IFERROR(__xludf.DUMMYFUNCTION("""COMPUTED_VALUE"""),1.0)</f>
        <v>1</v>
      </c>
      <c r="H2023" s="13">
        <f>IFERROR(__xludf.DUMMYFUNCTION("""COMPUTED_VALUE"""),1.0)</f>
        <v>1</v>
      </c>
      <c r="I2023" s="13" t="str">
        <f>IFERROR(__xludf.DUMMYFUNCTION("""COMPUTED_VALUE"""),"General")</f>
        <v>General</v>
      </c>
      <c r="J2023" s="13" t="str">
        <f>IFERROR(__xludf.DUMMYFUNCTION("""COMPUTED_VALUE"""),"Dresses")</f>
        <v>Dresses</v>
      </c>
      <c r="K2023" s="13" t="str">
        <f>IFERROR(__xludf.DUMMYFUNCTION("""COMPUTED_VALUE"""),"Dresses")</f>
        <v>Dresses</v>
      </c>
      <c r="L2023" s="13"/>
    </row>
    <row r="2024">
      <c r="A2024" s="13">
        <f>IFERROR(__xludf.DUMMYFUNCTION("""COMPUTED_VALUE"""),2022.0)</f>
        <v>2022</v>
      </c>
      <c r="B2024" s="13">
        <f>IFERROR(__xludf.DUMMYFUNCTION("""COMPUTED_VALUE"""),867.0)</f>
        <v>867</v>
      </c>
      <c r="C2024" s="13">
        <f>IFERROR(__xludf.DUMMYFUNCTION("""COMPUTED_VALUE"""),31.0)</f>
        <v>31</v>
      </c>
      <c r="D2024" s="12"/>
      <c r="E2024" s="12" t="str">
        <f>IFERROR(__xludf.DUMMYFUNCTION("""COMPUTED_VALUE"""),"Even on sale, this was just too pricey for what it is, which is a glorified tank. i liked the straps, but it hangs very wide off your chest.")</f>
        <v>Even on sale, this was just too pricey for what it is, which is a glorified tank. i liked the straps, but it hangs very wide off your chest.</v>
      </c>
      <c r="F2024" s="13">
        <f>IFERROR(__xludf.DUMMYFUNCTION("""COMPUTED_VALUE"""),2.0)</f>
        <v>2</v>
      </c>
      <c r="G2024" s="13">
        <f>IFERROR(__xludf.DUMMYFUNCTION("""COMPUTED_VALUE"""),0.0)</f>
        <v>0</v>
      </c>
      <c r="H2024" s="13">
        <f>IFERROR(__xludf.DUMMYFUNCTION("""COMPUTED_VALUE"""),0.0)</f>
        <v>0</v>
      </c>
      <c r="I2024" s="13" t="str">
        <f>IFERROR(__xludf.DUMMYFUNCTION("""COMPUTED_VALUE"""),"General")</f>
        <v>General</v>
      </c>
      <c r="J2024" s="13" t="str">
        <f>IFERROR(__xludf.DUMMYFUNCTION("""COMPUTED_VALUE"""),"Tops")</f>
        <v>Tops</v>
      </c>
      <c r="K2024" s="13" t="str">
        <f>IFERROR(__xludf.DUMMYFUNCTION("""COMPUTED_VALUE"""),"Knits")</f>
        <v>Knits</v>
      </c>
      <c r="L2024" s="13"/>
    </row>
    <row r="2025">
      <c r="A2025" s="13">
        <f>IFERROR(__xludf.DUMMYFUNCTION("""COMPUTED_VALUE"""),2023.0)</f>
        <v>2023</v>
      </c>
      <c r="B2025" s="13">
        <f>IFERROR(__xludf.DUMMYFUNCTION("""COMPUTED_VALUE"""),1044.0)</f>
        <v>1044</v>
      </c>
      <c r="C2025" s="13">
        <f>IFERROR(__xludf.DUMMYFUNCTION("""COMPUTED_VALUE"""),68.0)</f>
        <v>68</v>
      </c>
      <c r="D2025" s="12" t="str">
        <f>IFERROR(__xludf.DUMMYFUNCTION("""COMPUTED_VALUE"""),"Very cute, but impossible to put on")</f>
        <v>Very cute, but impossible to put on</v>
      </c>
      <c r="E2025" s="12" t="str">
        <f>IFERROR(__xludf.DUMMYFUNCTION("""COMPUTED_VALUE"""),"I wrote item ran large, but that was true only in length. it would be long for someone 5'10"" . however the bigger issue is getting it on. the style and quality are quite nice, but it does have some issues.")</f>
        <v>I wrote item ran large, but that was true only in length. it would be long for someone 5'10" . however the bigger issue is getting it on. the style and quality are quite nice, but it does have some issues.</v>
      </c>
      <c r="F2025" s="13">
        <f>IFERROR(__xludf.DUMMYFUNCTION("""COMPUTED_VALUE"""),3.0)</f>
        <v>3</v>
      </c>
      <c r="G2025" s="13">
        <f>IFERROR(__xludf.DUMMYFUNCTION("""COMPUTED_VALUE"""),0.0)</f>
        <v>0</v>
      </c>
      <c r="H2025" s="13">
        <f>IFERROR(__xludf.DUMMYFUNCTION("""COMPUTED_VALUE"""),6.0)</f>
        <v>6</v>
      </c>
      <c r="I2025" s="13" t="str">
        <f>IFERROR(__xludf.DUMMYFUNCTION("""COMPUTED_VALUE"""),"General")</f>
        <v>General</v>
      </c>
      <c r="J2025" s="13" t="str">
        <f>IFERROR(__xludf.DUMMYFUNCTION("""COMPUTED_VALUE"""),"Bottoms")</f>
        <v>Bottoms</v>
      </c>
      <c r="K2025" s="13" t="str">
        <f>IFERROR(__xludf.DUMMYFUNCTION("""COMPUTED_VALUE"""),"Pants")</f>
        <v>Pants</v>
      </c>
      <c r="L2025" s="13"/>
    </row>
    <row r="2026">
      <c r="A2026" s="13">
        <f>IFERROR(__xludf.DUMMYFUNCTION("""COMPUTED_VALUE"""),2024.0)</f>
        <v>2024</v>
      </c>
      <c r="B2026" s="13">
        <f>IFERROR(__xludf.DUMMYFUNCTION("""COMPUTED_VALUE"""),862.0)</f>
        <v>862</v>
      </c>
      <c r="C2026" s="13">
        <f>IFERROR(__xludf.DUMMYFUNCTION("""COMPUTED_VALUE"""),45.0)</f>
        <v>45</v>
      </c>
      <c r="D2026" s="12" t="str">
        <f>IFERROR(__xludf.DUMMYFUNCTION("""COMPUTED_VALUE"""),"Cute top!")</f>
        <v>Cute top!</v>
      </c>
      <c r="E2026" s="12" t="str">
        <f>IFERROR(__xludf.DUMMYFUNCTION("""COMPUTED_VALUE"""),"I'm either a medium or large in retailer tops. i was able to wear a medium in this top. the color is vibrant and the material is soft and light. it will be a great spring and summer top. can't wait to wear it.")</f>
        <v>I'm either a medium or large in retailer tops. i was able to wear a medium in this top. the color is vibrant and the material is soft and light. it will be a great spring and summer top. can't wait to wear it.</v>
      </c>
      <c r="F2026" s="13">
        <f>IFERROR(__xludf.DUMMYFUNCTION("""COMPUTED_VALUE"""),5.0)</f>
        <v>5</v>
      </c>
      <c r="G2026" s="13">
        <f>IFERROR(__xludf.DUMMYFUNCTION("""COMPUTED_VALUE"""),1.0)</f>
        <v>1</v>
      </c>
      <c r="H2026" s="13">
        <f>IFERROR(__xludf.DUMMYFUNCTION("""COMPUTED_VALUE"""),1.0)</f>
        <v>1</v>
      </c>
      <c r="I2026" s="13" t="str">
        <f>IFERROR(__xludf.DUMMYFUNCTION("""COMPUTED_VALUE"""),"General Petite")</f>
        <v>General Petite</v>
      </c>
      <c r="J2026" s="13" t="str">
        <f>IFERROR(__xludf.DUMMYFUNCTION("""COMPUTED_VALUE"""),"Tops")</f>
        <v>Tops</v>
      </c>
      <c r="K2026" s="13" t="str">
        <f>IFERROR(__xludf.DUMMYFUNCTION("""COMPUTED_VALUE"""),"Knits")</f>
        <v>Knits</v>
      </c>
      <c r="L2026" s="13"/>
    </row>
    <row r="2027">
      <c r="A2027" s="13">
        <f>IFERROR(__xludf.DUMMYFUNCTION("""COMPUTED_VALUE"""),2025.0)</f>
        <v>2025</v>
      </c>
      <c r="B2027" s="13">
        <f>IFERROR(__xludf.DUMMYFUNCTION("""COMPUTED_VALUE"""),1075.0)</f>
        <v>1075</v>
      </c>
      <c r="C2027" s="13">
        <f>IFERROR(__xludf.DUMMYFUNCTION("""COMPUTED_VALUE"""),37.0)</f>
        <v>37</v>
      </c>
      <c r="D2027" s="12" t="str">
        <f>IFERROR(__xludf.DUMMYFUNCTION("""COMPUTED_VALUE"""),"Love it. stylish but comfortable and low key")</f>
        <v>Love it. stylish but comfortable and low key</v>
      </c>
      <c r="E2027" s="12" t="str">
        <f>IFERROR(__xludf.DUMMYFUNCTION("""COMPUTED_VALUE"""),"This dress runs large so i sized down. when it arrived i looked at it and thought the fabric was ugly and boring for a dress. it sat there for about two weeks till i tried it on. i love it! it is so comfortable and is so cute how the pockets hang. all it "&amp;"need is some long necklaces or a scarf to complete the look. i get complements on it everytime i wear it. my only complaint is that it peels under the arms a little bit.")</f>
        <v>This dress runs large so i sized down. when it arrived i looked at it and thought the fabric was ugly and boring for a dress. it sat there for about two weeks till i tried it on. i love it! it is so comfortable and is so cute how the pockets hang. all it need is some long necklaces or a scarf to complete the look. i get complements on it everytime i wear it. my only complaint is that it peels under the arms a little bit.</v>
      </c>
      <c r="F2027" s="13">
        <f>IFERROR(__xludf.DUMMYFUNCTION("""COMPUTED_VALUE"""),5.0)</f>
        <v>5</v>
      </c>
      <c r="G2027" s="13">
        <f>IFERROR(__xludf.DUMMYFUNCTION("""COMPUTED_VALUE"""),1.0)</f>
        <v>1</v>
      </c>
      <c r="H2027" s="13">
        <f>IFERROR(__xludf.DUMMYFUNCTION("""COMPUTED_VALUE"""),0.0)</f>
        <v>0</v>
      </c>
      <c r="I2027" s="13" t="str">
        <f>IFERROR(__xludf.DUMMYFUNCTION("""COMPUTED_VALUE"""),"General")</f>
        <v>General</v>
      </c>
      <c r="J2027" s="13" t="str">
        <f>IFERROR(__xludf.DUMMYFUNCTION("""COMPUTED_VALUE"""),"Dresses")</f>
        <v>Dresses</v>
      </c>
      <c r="K2027" s="13" t="str">
        <f>IFERROR(__xludf.DUMMYFUNCTION("""COMPUTED_VALUE"""),"Dresses")</f>
        <v>Dresses</v>
      </c>
      <c r="L2027" s="13"/>
    </row>
    <row r="2028">
      <c r="A2028" s="13">
        <f>IFERROR(__xludf.DUMMYFUNCTION("""COMPUTED_VALUE"""),2026.0)</f>
        <v>2026</v>
      </c>
      <c r="B2028" s="13">
        <f>IFERROR(__xludf.DUMMYFUNCTION("""COMPUTED_VALUE"""),1095.0)</f>
        <v>1095</v>
      </c>
      <c r="C2028" s="13">
        <f>IFERROR(__xludf.DUMMYFUNCTION("""COMPUTED_VALUE"""),32.0)</f>
        <v>32</v>
      </c>
      <c r="D2028" s="12" t="str">
        <f>IFERROR(__xludf.DUMMYFUNCTION("""COMPUTED_VALUE"""),"Such a beautiful well fitting dress !")</f>
        <v>Such a beautiful well fitting dress !</v>
      </c>
      <c r="E2028" s="12" t="str">
        <f>IFERROR(__xludf.DUMMYFUNCTION("""COMPUTED_VALUE"""),"This dress is amazing ! the colors in person are so vibrant and yet organic somehow at the same time. perhaps this is because the fabric has a really nice depth and texture to it. i got this dress for a summer wedding and it's casual yet dressy at the sam"&amp;"e time. 
re: fit - the best thing about this dress - is a fit ! it's so incredibly flattering on, it fits like a glove. it just hugs your figure in the most flattering way, especially if you have an hourglass figure. the fit is true to size -")</f>
        <v>This dress is amazing ! the colors in person are so vibrant and yet organic somehow at the same time. perhaps this is because the fabric has a really nice depth and texture to it. i got this dress for a summer wedding and it's casual yet dressy at the same time. 
re: fit - the best thing about this dress - is a fit ! it's so incredibly flattering on, it fits like a glove. it just hugs your figure in the most flattering way, especially if you have an hourglass figure. the fit is true to size -</v>
      </c>
      <c r="F2028" s="13">
        <f>IFERROR(__xludf.DUMMYFUNCTION("""COMPUTED_VALUE"""),5.0)</f>
        <v>5</v>
      </c>
      <c r="G2028" s="13">
        <f>IFERROR(__xludf.DUMMYFUNCTION("""COMPUTED_VALUE"""),1.0)</f>
        <v>1</v>
      </c>
      <c r="H2028" s="13">
        <f>IFERROR(__xludf.DUMMYFUNCTION("""COMPUTED_VALUE"""),12.0)</f>
        <v>12</v>
      </c>
      <c r="I2028" s="13" t="str">
        <f>IFERROR(__xludf.DUMMYFUNCTION("""COMPUTED_VALUE"""),"General Petite")</f>
        <v>General Petite</v>
      </c>
      <c r="J2028" s="13" t="str">
        <f>IFERROR(__xludf.DUMMYFUNCTION("""COMPUTED_VALUE"""),"Dresses")</f>
        <v>Dresses</v>
      </c>
      <c r="K2028" s="13" t="str">
        <f>IFERROR(__xludf.DUMMYFUNCTION("""COMPUTED_VALUE"""),"Dresses")</f>
        <v>Dresses</v>
      </c>
      <c r="L2028" s="13"/>
    </row>
    <row r="2029">
      <c r="A2029" s="13">
        <f>IFERROR(__xludf.DUMMYFUNCTION("""COMPUTED_VALUE"""),2027.0)</f>
        <v>2027</v>
      </c>
      <c r="B2029" s="13">
        <f>IFERROR(__xludf.DUMMYFUNCTION("""COMPUTED_VALUE"""),1083.0)</f>
        <v>1083</v>
      </c>
      <c r="C2029" s="13">
        <f>IFERROR(__xludf.DUMMYFUNCTION("""COMPUTED_VALUE"""),36.0)</f>
        <v>36</v>
      </c>
      <c r="D2029" s="12" t="str">
        <f>IFERROR(__xludf.DUMMYFUNCTION("""COMPUTED_VALUE"""),"Comfy and cute")</f>
        <v>Comfy and cute</v>
      </c>
      <c r="E2029" s="12" t="str">
        <f>IFERROR(__xludf.DUMMYFUNCTION("""COMPUTED_VALUE"""),"Love the pockets! fits loose, but lies nicely. comfy but able to be dressed up or down. great versatile dress.")</f>
        <v>Love the pockets! fits loose, but lies nicely. comfy but able to be dressed up or down. great versatile dress.</v>
      </c>
      <c r="F2029" s="13">
        <f>IFERROR(__xludf.DUMMYFUNCTION("""COMPUTED_VALUE"""),4.0)</f>
        <v>4</v>
      </c>
      <c r="G2029" s="13">
        <f>IFERROR(__xludf.DUMMYFUNCTION("""COMPUTED_VALUE"""),1.0)</f>
        <v>1</v>
      </c>
      <c r="H2029" s="13">
        <f>IFERROR(__xludf.DUMMYFUNCTION("""COMPUTED_VALUE"""),0.0)</f>
        <v>0</v>
      </c>
      <c r="I2029" s="13" t="str">
        <f>IFERROR(__xludf.DUMMYFUNCTION("""COMPUTED_VALUE"""),"General Petite")</f>
        <v>General Petite</v>
      </c>
      <c r="J2029" s="13" t="str">
        <f>IFERROR(__xludf.DUMMYFUNCTION("""COMPUTED_VALUE"""),"Dresses")</f>
        <v>Dresses</v>
      </c>
      <c r="K2029" s="13" t="str">
        <f>IFERROR(__xludf.DUMMYFUNCTION("""COMPUTED_VALUE"""),"Dresses")</f>
        <v>Dresses</v>
      </c>
      <c r="L2029" s="13"/>
    </row>
    <row r="2030">
      <c r="A2030" s="13">
        <f>IFERROR(__xludf.DUMMYFUNCTION("""COMPUTED_VALUE"""),2028.0)</f>
        <v>2028</v>
      </c>
      <c r="B2030" s="13">
        <f>IFERROR(__xludf.DUMMYFUNCTION("""COMPUTED_VALUE"""),862.0)</f>
        <v>862</v>
      </c>
      <c r="C2030" s="13">
        <f>IFERROR(__xludf.DUMMYFUNCTION("""COMPUTED_VALUE"""),48.0)</f>
        <v>48</v>
      </c>
      <c r="D2030" s="12"/>
      <c r="E2030" s="12" t="str">
        <f>IFERROR(__xludf.DUMMYFUNCTION("""COMPUTED_VALUE"""),"This t-shirt does a great job of elevating the basic t-shirt in to one with a touch of flair. i typically wear a medium but luckily read earlier reviews and went with the small.")</f>
        <v>This t-shirt does a great job of elevating the basic t-shirt in to one with a touch of flair. i typically wear a medium but luckily read earlier reviews and went with the small.</v>
      </c>
      <c r="F2030" s="13">
        <f>IFERROR(__xludf.DUMMYFUNCTION("""COMPUTED_VALUE"""),4.0)</f>
        <v>4</v>
      </c>
      <c r="G2030" s="13">
        <f>IFERROR(__xludf.DUMMYFUNCTION("""COMPUTED_VALUE"""),1.0)</f>
        <v>1</v>
      </c>
      <c r="H2030" s="13">
        <f>IFERROR(__xludf.DUMMYFUNCTION("""COMPUTED_VALUE"""),0.0)</f>
        <v>0</v>
      </c>
      <c r="I2030" s="13" t="str">
        <f>IFERROR(__xludf.DUMMYFUNCTION("""COMPUTED_VALUE"""),"General Petite")</f>
        <v>General Petite</v>
      </c>
      <c r="J2030" s="13" t="str">
        <f>IFERROR(__xludf.DUMMYFUNCTION("""COMPUTED_VALUE"""),"Tops")</f>
        <v>Tops</v>
      </c>
      <c r="K2030" s="13" t="str">
        <f>IFERROR(__xludf.DUMMYFUNCTION("""COMPUTED_VALUE"""),"Knits")</f>
        <v>Knits</v>
      </c>
      <c r="L2030" s="13"/>
    </row>
    <row r="2031">
      <c r="A2031" s="13">
        <f>IFERROR(__xludf.DUMMYFUNCTION("""COMPUTED_VALUE"""),2029.0)</f>
        <v>2029</v>
      </c>
      <c r="B2031" s="13">
        <f>IFERROR(__xludf.DUMMYFUNCTION("""COMPUTED_VALUE"""),1110.0)</f>
        <v>1110</v>
      </c>
      <c r="C2031" s="13">
        <f>IFERROR(__xludf.DUMMYFUNCTION("""COMPUTED_VALUE"""),48.0)</f>
        <v>48</v>
      </c>
      <c r="D2031" s="12" t="str">
        <f>IFERROR(__xludf.DUMMYFUNCTION("""COMPUTED_VALUE"""),"Absolutely gorgeous!")</f>
        <v>Absolutely gorgeous!</v>
      </c>
      <c r="E2031" s="12" t="str">
        <f>IFERROR(__xludf.DUMMYFUNCTION("""COMPUTED_VALUE"""),"I'm so happy to add this lovely and unusual dress to my fall wardrobe. i absolutely fell in love with it the moment i tried it on. i wear a two or four, depending on the designer, and the two fit me perfectly. another reviewer said it's special occasion o"&amp;"nly, but i like it so much, i'll wear it more often. with that said, it's a wonderful go-to dress for the holiday season.")</f>
        <v>I'm so happy to add this lovely and unusual dress to my fall wardrobe. i absolutely fell in love with it the moment i tried it on. i wear a two or four, depending on the designer, and the two fit me perfectly. another reviewer said it's special occasion only, but i like it so much, i'll wear it more often. with that said, it's a wonderful go-to dress for the holiday season.</v>
      </c>
      <c r="F2031" s="13">
        <f>IFERROR(__xludf.DUMMYFUNCTION("""COMPUTED_VALUE"""),5.0)</f>
        <v>5</v>
      </c>
      <c r="G2031" s="13">
        <f>IFERROR(__xludf.DUMMYFUNCTION("""COMPUTED_VALUE"""),1.0)</f>
        <v>1</v>
      </c>
      <c r="H2031" s="13">
        <f>IFERROR(__xludf.DUMMYFUNCTION("""COMPUTED_VALUE"""),5.0)</f>
        <v>5</v>
      </c>
      <c r="I2031" s="13" t="str">
        <f>IFERROR(__xludf.DUMMYFUNCTION("""COMPUTED_VALUE"""),"General")</f>
        <v>General</v>
      </c>
      <c r="J2031" s="13" t="str">
        <f>IFERROR(__xludf.DUMMYFUNCTION("""COMPUTED_VALUE"""),"Dresses")</f>
        <v>Dresses</v>
      </c>
      <c r="K2031" s="13" t="str">
        <f>IFERROR(__xludf.DUMMYFUNCTION("""COMPUTED_VALUE"""),"Dresses")</f>
        <v>Dresses</v>
      </c>
      <c r="L2031" s="13"/>
    </row>
    <row r="2032">
      <c r="A2032" s="13">
        <f>IFERROR(__xludf.DUMMYFUNCTION("""COMPUTED_VALUE"""),2030.0)</f>
        <v>2030</v>
      </c>
      <c r="B2032" s="13">
        <f>IFERROR(__xludf.DUMMYFUNCTION("""COMPUTED_VALUE"""),1095.0)</f>
        <v>1095</v>
      </c>
      <c r="C2032" s="13">
        <f>IFERROR(__xludf.DUMMYFUNCTION("""COMPUTED_VALUE"""),64.0)</f>
        <v>64</v>
      </c>
      <c r="D2032" s="12" t="str">
        <f>IFERROR(__xludf.DUMMYFUNCTION("""COMPUTED_VALUE"""),"Very cute but...")</f>
        <v>Very cute but...</v>
      </c>
      <c r="E2032" s="12" t="str">
        <f>IFERROR(__xludf.DUMMYFUNCTION("""COMPUTED_VALUE"""),"I ordered a 6p in this dress so it wld fall above my knees &amp; be slightly smaller than a regular 6. sometimes a regular size 4 works, sometimes a 6. typically a regular size 6 is big on me. i am 5'3"", 118#, 36c. just recd the 6p in the mail. the first thi"&amp;"ng i noticed is that it's s a knit fabric that looks &amp; feels like polyester although says 'cotton' on the inside label. i think it wld be a bit warm in hot weather, but that is just my observation. the main problem is that it is too big on each s")</f>
        <v>I ordered a 6p in this dress so it wld fall above my knees &amp; be slightly smaller than a regular 6. sometimes a regular size 4 works, sometimes a 6. typically a regular size 6 is big on me. i am 5'3", 118#, 36c. just recd the 6p in the mail. the first thing i noticed is that it's s a knit fabric that looks &amp; feels like polyester although says 'cotton' on the inside label. i think it wld be a bit warm in hot weather, but that is just my observation. the main problem is that it is too big on each s</v>
      </c>
      <c r="F2032" s="13">
        <f>IFERROR(__xludf.DUMMYFUNCTION("""COMPUTED_VALUE"""),4.0)</f>
        <v>4</v>
      </c>
      <c r="G2032" s="13">
        <f>IFERROR(__xludf.DUMMYFUNCTION("""COMPUTED_VALUE"""),1.0)</f>
        <v>1</v>
      </c>
      <c r="H2032" s="13">
        <f>IFERROR(__xludf.DUMMYFUNCTION("""COMPUTED_VALUE"""),9.0)</f>
        <v>9</v>
      </c>
      <c r="I2032" s="13" t="str">
        <f>IFERROR(__xludf.DUMMYFUNCTION("""COMPUTED_VALUE"""),"General Petite")</f>
        <v>General Petite</v>
      </c>
      <c r="J2032" s="13" t="str">
        <f>IFERROR(__xludf.DUMMYFUNCTION("""COMPUTED_VALUE"""),"Dresses")</f>
        <v>Dresses</v>
      </c>
      <c r="K2032" s="13" t="str">
        <f>IFERROR(__xludf.DUMMYFUNCTION("""COMPUTED_VALUE"""),"Dresses")</f>
        <v>Dresses</v>
      </c>
      <c r="L2032" s="13"/>
    </row>
    <row r="2033">
      <c r="A2033" s="13">
        <f>IFERROR(__xludf.DUMMYFUNCTION("""COMPUTED_VALUE"""),2031.0)</f>
        <v>2031</v>
      </c>
      <c r="B2033" s="13">
        <f>IFERROR(__xludf.DUMMYFUNCTION("""COMPUTED_VALUE"""),1095.0)</f>
        <v>1095</v>
      </c>
      <c r="C2033" s="13">
        <f>IFERROR(__xludf.DUMMYFUNCTION("""COMPUTED_VALUE"""),49.0)</f>
        <v>49</v>
      </c>
      <c r="D2033" s="12" t="str">
        <f>IFERROR(__xludf.DUMMYFUNCTION("""COMPUTED_VALUE"""),"Weird fit")</f>
        <v>Weird fit</v>
      </c>
      <c r="E2033" s="12" t="str">
        <f>IFERROR(__xludf.DUMMYFUNCTION("""COMPUTED_VALUE"""),"I love the colors of this dress, and i waited for the sale since it isn't really good for work. i wear size 6 in hd all the time, but this one doesn't fit at all on the top. the bust is cut for someone really curvy, but the bottom is for someone really st"&amp;"raight. i don't know what they were using for a model, but this has to be tried on before purchased. the material is also rough, and there is no lining to protect you from that. i love my hd dresses for style and functionality, but this one is j")</f>
        <v>I love the colors of this dress, and i waited for the sale since it isn't really good for work. i wear size 6 in hd all the time, but this one doesn't fit at all on the top. the bust is cut for someone really curvy, but the bottom is for someone really straight. i don't know what they were using for a model, but this has to be tried on before purchased. the material is also rough, and there is no lining to protect you from that. i love my hd dresses for style and functionality, but this one is j</v>
      </c>
      <c r="F2033" s="13">
        <f>IFERROR(__xludf.DUMMYFUNCTION("""COMPUTED_VALUE"""),2.0)</f>
        <v>2</v>
      </c>
      <c r="G2033" s="13">
        <f>IFERROR(__xludf.DUMMYFUNCTION("""COMPUTED_VALUE"""),0.0)</f>
        <v>0</v>
      </c>
      <c r="H2033" s="13">
        <f>IFERROR(__xludf.DUMMYFUNCTION("""COMPUTED_VALUE"""),0.0)</f>
        <v>0</v>
      </c>
      <c r="I2033" s="13" t="str">
        <f>IFERROR(__xludf.DUMMYFUNCTION("""COMPUTED_VALUE"""),"General Petite")</f>
        <v>General Petite</v>
      </c>
      <c r="J2033" s="13" t="str">
        <f>IFERROR(__xludf.DUMMYFUNCTION("""COMPUTED_VALUE"""),"Dresses")</f>
        <v>Dresses</v>
      </c>
      <c r="K2033" s="13" t="str">
        <f>IFERROR(__xludf.DUMMYFUNCTION("""COMPUTED_VALUE"""),"Dresses")</f>
        <v>Dresses</v>
      </c>
      <c r="L2033" s="13"/>
    </row>
    <row r="2034">
      <c r="A2034" s="13">
        <f>IFERROR(__xludf.DUMMYFUNCTION("""COMPUTED_VALUE"""),2032.0)</f>
        <v>2032</v>
      </c>
      <c r="B2034" s="13">
        <f>IFERROR(__xludf.DUMMYFUNCTION("""COMPUTED_VALUE"""),1083.0)</f>
        <v>1083</v>
      </c>
      <c r="C2034" s="13">
        <f>IFERROR(__xludf.DUMMYFUNCTION("""COMPUTED_VALUE"""),37.0)</f>
        <v>37</v>
      </c>
      <c r="D2034" s="12" t="str">
        <f>IFERROR(__xludf.DUMMYFUNCTION("""COMPUTED_VALUE"""),"Fun and flirty")</f>
        <v>Fun and flirty</v>
      </c>
      <c r="E2034" s="12" t="str">
        <f>IFERROR(__xludf.DUMMYFUNCTION("""COMPUTED_VALUE"""),"I love this dress! tried it on at the store. they only had medium. while i'm usually always a medium, it fit perfectly but pulled at the bust (i'm a 38). i ordered a large online the next day. i have it now and i am extremely pleased. the pattern is uniqu"&amp;"e, the length falls just above the knee and has s sexy flirtiness to it. the back button is key as it gives some contour to the dress. the side pockets are an awesome touch. you can wear this dress any season. i'm wearing it with ankle boots and")</f>
        <v>I love this dress! tried it on at the store. they only had medium. while i'm usually always a medium, it fit perfectly but pulled at the bust (i'm a 38). i ordered a large online the next day. i have it now and i am extremely pleased. the pattern is unique, the length falls just above the knee and has s sexy flirtiness to it. the back button is key as it gives some contour to the dress. the side pockets are an awesome touch. you can wear this dress any season. i'm wearing it with ankle boots and</v>
      </c>
      <c r="F2034" s="13">
        <f>IFERROR(__xludf.DUMMYFUNCTION("""COMPUTED_VALUE"""),4.0)</f>
        <v>4</v>
      </c>
      <c r="G2034" s="13">
        <f>IFERROR(__xludf.DUMMYFUNCTION("""COMPUTED_VALUE"""),1.0)</f>
        <v>1</v>
      </c>
      <c r="H2034" s="13">
        <f>IFERROR(__xludf.DUMMYFUNCTION("""COMPUTED_VALUE"""),0.0)</f>
        <v>0</v>
      </c>
      <c r="I2034" s="13" t="str">
        <f>IFERROR(__xludf.DUMMYFUNCTION("""COMPUTED_VALUE"""),"General Petite")</f>
        <v>General Petite</v>
      </c>
      <c r="J2034" s="13" t="str">
        <f>IFERROR(__xludf.DUMMYFUNCTION("""COMPUTED_VALUE"""),"Dresses")</f>
        <v>Dresses</v>
      </c>
      <c r="K2034" s="13" t="str">
        <f>IFERROR(__xludf.DUMMYFUNCTION("""COMPUTED_VALUE"""),"Dresses")</f>
        <v>Dresses</v>
      </c>
      <c r="L2034" s="13"/>
    </row>
    <row r="2035">
      <c r="A2035" s="13">
        <f>IFERROR(__xludf.DUMMYFUNCTION("""COMPUTED_VALUE"""),2033.0)</f>
        <v>2033</v>
      </c>
      <c r="B2035" s="13">
        <f>IFERROR(__xludf.DUMMYFUNCTION("""COMPUTED_VALUE"""),1079.0)</f>
        <v>1079</v>
      </c>
      <c r="C2035" s="13">
        <f>IFERROR(__xludf.DUMMYFUNCTION("""COMPUTED_VALUE"""),47.0)</f>
        <v>47</v>
      </c>
      <c r="D2035" s="12" t="str">
        <f>IFERROR(__xludf.DUMMYFUNCTION("""COMPUTED_VALUE"""),"Very well made - runs large!")</f>
        <v>Very well made - runs large!</v>
      </c>
      <c r="E2035" s="12" t="str">
        <f>IFERROR(__xludf.DUMMYFUNCTION("""COMPUTED_VALUE"""),"This dress is adorable and well made. this brand runs on the large side. i ordered an xs and the tag says 'p"" on it. it's not petite. it ran large through the hips and will need alteration. i'm keeping it because it is really cute and is well made. the m"&amp;"aterial is knit and soft - very comfortable. i'm surprised nobody has reviewed this item. i probably will not buy this brand again only because it runs large.")</f>
        <v>This dress is adorable and well made. this brand runs on the large side. i ordered an xs and the tag says 'p" on it. it's not petite. it ran large through the hips and will need alteration. i'm keeping it because it is really cute and is well made. the material is knit and soft - very comfortable. i'm surprised nobody has reviewed this item. i probably will not buy this brand again only because it runs large.</v>
      </c>
      <c r="F2035" s="13">
        <f>IFERROR(__xludf.DUMMYFUNCTION("""COMPUTED_VALUE"""),3.0)</f>
        <v>3</v>
      </c>
      <c r="G2035" s="13">
        <f>IFERROR(__xludf.DUMMYFUNCTION("""COMPUTED_VALUE"""),1.0)</f>
        <v>1</v>
      </c>
      <c r="H2035" s="13">
        <f>IFERROR(__xludf.DUMMYFUNCTION("""COMPUTED_VALUE"""),1.0)</f>
        <v>1</v>
      </c>
      <c r="I2035" s="13" t="str">
        <f>IFERROR(__xludf.DUMMYFUNCTION("""COMPUTED_VALUE"""),"General")</f>
        <v>General</v>
      </c>
      <c r="J2035" s="13" t="str">
        <f>IFERROR(__xludf.DUMMYFUNCTION("""COMPUTED_VALUE"""),"Dresses")</f>
        <v>Dresses</v>
      </c>
      <c r="K2035" s="13" t="str">
        <f>IFERROR(__xludf.DUMMYFUNCTION("""COMPUTED_VALUE"""),"Dresses")</f>
        <v>Dresses</v>
      </c>
      <c r="L2035" s="13"/>
    </row>
    <row r="2036">
      <c r="A2036" s="13">
        <f>IFERROR(__xludf.DUMMYFUNCTION("""COMPUTED_VALUE"""),2034.0)</f>
        <v>2034</v>
      </c>
      <c r="B2036" s="13">
        <f>IFERROR(__xludf.DUMMYFUNCTION("""COMPUTED_VALUE"""),1072.0)</f>
        <v>1072</v>
      </c>
      <c r="C2036" s="13">
        <f>IFERROR(__xludf.DUMMYFUNCTION("""COMPUTED_VALUE"""),67.0)</f>
        <v>67</v>
      </c>
      <c r="D2036" s="12" t="str">
        <f>IFERROR(__xludf.DUMMYFUNCTION("""COMPUTED_VALUE"""),"This dress is adorable!!")</f>
        <v>This dress is adorable!!</v>
      </c>
      <c r="E2036" s="12" t="str">
        <f>IFERROR(__xludf.DUMMYFUNCTION("""COMPUTED_VALUE"""),"This dress is so cute. i love that it has pockets. it looks great with sandels, and also ballet flats. it is airy, and run true to size. i wear a small, and it fit perfect. i even bought the other navy, and cream dress. you will wear this dress over, and "&amp;"over. just roll up the sleeves, and throw it on, and your ready. just love it!!!!")</f>
        <v>This dress is so cute. i love that it has pockets. it looks great with sandels, and also ballet flats. it is airy, and run true to size. i wear a small, and it fit perfect. i even bought the other navy, and cream dress. you will wear this dress over, and over. just roll up the sleeves, and throw it on, and your ready. just love it!!!!</v>
      </c>
      <c r="F2036" s="13">
        <f>IFERROR(__xludf.DUMMYFUNCTION("""COMPUTED_VALUE"""),5.0)</f>
        <v>5</v>
      </c>
      <c r="G2036" s="13">
        <f>IFERROR(__xludf.DUMMYFUNCTION("""COMPUTED_VALUE"""),1.0)</f>
        <v>1</v>
      </c>
      <c r="H2036" s="13">
        <f>IFERROR(__xludf.DUMMYFUNCTION("""COMPUTED_VALUE"""),1.0)</f>
        <v>1</v>
      </c>
      <c r="I2036" s="13" t="str">
        <f>IFERROR(__xludf.DUMMYFUNCTION("""COMPUTED_VALUE"""),"General")</f>
        <v>General</v>
      </c>
      <c r="J2036" s="13" t="str">
        <f>IFERROR(__xludf.DUMMYFUNCTION("""COMPUTED_VALUE"""),"Dresses")</f>
        <v>Dresses</v>
      </c>
      <c r="K2036" s="13" t="str">
        <f>IFERROR(__xludf.DUMMYFUNCTION("""COMPUTED_VALUE"""),"Dresses")</f>
        <v>Dresses</v>
      </c>
      <c r="L2036" s="13"/>
    </row>
    <row r="2037">
      <c r="A2037" s="13">
        <f>IFERROR(__xludf.DUMMYFUNCTION("""COMPUTED_VALUE"""),2035.0)</f>
        <v>2035</v>
      </c>
      <c r="B2037" s="13">
        <f>IFERROR(__xludf.DUMMYFUNCTION("""COMPUTED_VALUE"""),872.0)</f>
        <v>872</v>
      </c>
      <c r="C2037" s="13">
        <f>IFERROR(__xludf.DUMMYFUNCTION("""COMPUTED_VALUE"""),30.0)</f>
        <v>30</v>
      </c>
      <c r="D2037" s="12" t="str">
        <f>IFERROR(__xludf.DUMMYFUNCTION("""COMPUTED_VALUE"""),"Good concept, poor product")</f>
        <v>Good concept, poor product</v>
      </c>
      <c r="E2037" s="12" t="str">
        <f>IFERROR(__xludf.DUMMYFUNCTION("""COMPUTED_VALUE"""),"I loved the aesthetic but as a true hourglass shape, i was frustrated that it didn't have a little more give as i tried to pull it over my head. the fabric was stiff, and seemed to be lace over cotton? not entirely sure. i couldn't get past the feeling of"&amp;"f the material.")</f>
        <v>I loved the aesthetic but as a true hourglass shape, i was frustrated that it didn't have a little more give as i tried to pull it over my head. the fabric was stiff, and seemed to be lace over cotton? not entirely sure. i couldn't get past the feeling off the material.</v>
      </c>
      <c r="F2037" s="13">
        <f>IFERROR(__xludf.DUMMYFUNCTION("""COMPUTED_VALUE"""),2.0)</f>
        <v>2</v>
      </c>
      <c r="G2037" s="13">
        <f>IFERROR(__xludf.DUMMYFUNCTION("""COMPUTED_VALUE"""),0.0)</f>
        <v>0</v>
      </c>
      <c r="H2037" s="13">
        <f>IFERROR(__xludf.DUMMYFUNCTION("""COMPUTED_VALUE"""),0.0)</f>
        <v>0</v>
      </c>
      <c r="I2037" s="13" t="str">
        <f>IFERROR(__xludf.DUMMYFUNCTION("""COMPUTED_VALUE"""),"General Petite")</f>
        <v>General Petite</v>
      </c>
      <c r="J2037" s="13" t="str">
        <f>IFERROR(__xludf.DUMMYFUNCTION("""COMPUTED_VALUE"""),"Tops")</f>
        <v>Tops</v>
      </c>
      <c r="K2037" s="13" t="str">
        <f>IFERROR(__xludf.DUMMYFUNCTION("""COMPUTED_VALUE"""),"Knits")</f>
        <v>Knits</v>
      </c>
      <c r="L2037" s="13"/>
    </row>
    <row r="2038">
      <c r="A2038" s="13">
        <f>IFERROR(__xludf.DUMMYFUNCTION("""COMPUTED_VALUE"""),2036.0)</f>
        <v>2036</v>
      </c>
      <c r="B2038" s="13">
        <f>IFERROR(__xludf.DUMMYFUNCTION("""COMPUTED_VALUE"""),1072.0)</f>
        <v>1072</v>
      </c>
      <c r="C2038" s="13">
        <f>IFERROR(__xludf.DUMMYFUNCTION("""COMPUTED_VALUE"""),55.0)</f>
        <v>55</v>
      </c>
      <c r="D2038" s="12" t="str">
        <f>IFERROR(__xludf.DUMMYFUNCTION("""COMPUTED_VALUE"""),"Great features:pockets,lace in front")</f>
        <v>Great features:pockets,lace in front</v>
      </c>
      <c r="E2038" s="12" t="str">
        <f>IFERROR(__xludf.DUMMYFUNCTION("""COMPUTED_VALUE"""),"I purchased the green print which has so many patterns and colors which makes this dress have a very interesting look. i love that it has a drop waist because it is so flattering to most body types.the other thing i liked was that this dress came in petit"&amp;"e sizes, perfect for me.")</f>
        <v>I purchased the green print which has so many patterns and colors which makes this dress have a very interesting look. i love that it has a drop waist because it is so flattering to most body types.the other thing i liked was that this dress came in petite sizes, perfect for me.</v>
      </c>
      <c r="F2038" s="13">
        <f>IFERROR(__xludf.DUMMYFUNCTION("""COMPUTED_VALUE"""),5.0)</f>
        <v>5</v>
      </c>
      <c r="G2038" s="13">
        <f>IFERROR(__xludf.DUMMYFUNCTION("""COMPUTED_VALUE"""),1.0)</f>
        <v>1</v>
      </c>
      <c r="H2038" s="13">
        <f>IFERROR(__xludf.DUMMYFUNCTION("""COMPUTED_VALUE"""),1.0)</f>
        <v>1</v>
      </c>
      <c r="I2038" s="13" t="str">
        <f>IFERROR(__xludf.DUMMYFUNCTION("""COMPUTED_VALUE"""),"General")</f>
        <v>General</v>
      </c>
      <c r="J2038" s="13" t="str">
        <f>IFERROR(__xludf.DUMMYFUNCTION("""COMPUTED_VALUE"""),"Dresses")</f>
        <v>Dresses</v>
      </c>
      <c r="K2038" s="13" t="str">
        <f>IFERROR(__xludf.DUMMYFUNCTION("""COMPUTED_VALUE"""),"Dresses")</f>
        <v>Dresses</v>
      </c>
      <c r="L2038" s="13"/>
    </row>
    <row r="2039">
      <c r="A2039" s="13">
        <f>IFERROR(__xludf.DUMMYFUNCTION("""COMPUTED_VALUE"""),2037.0)</f>
        <v>2037</v>
      </c>
      <c r="B2039" s="13">
        <f>IFERROR(__xludf.DUMMYFUNCTION("""COMPUTED_VALUE"""),815.0)</f>
        <v>815</v>
      </c>
      <c r="C2039" s="13">
        <f>IFERROR(__xludf.DUMMYFUNCTION("""COMPUTED_VALUE"""),60.0)</f>
        <v>60</v>
      </c>
      <c r="D2039" s="12"/>
      <c r="E2039" s="12" t="str">
        <f>IFERROR(__xludf.DUMMYFUNCTION("""COMPUTED_VALUE"""),"I thought the quality of the fabric was good and liked the idea of wearing it, either with opening in front or back. it was a little larger then i was expecting and i wish it had a closure, (hook and eye or snap) at the top. it has three places in the bac"&amp;"k to tie together and when i tied them in a bow they came loose easily. overall glad i bought it.")</f>
        <v>I thought the quality of the fabric was good and liked the idea of wearing it, either with opening in front or back. it was a little larger then i was expecting and i wish it had a closure, (hook and eye or snap) at the top. it has three places in the back to tie together and when i tied them in a bow they came loose easily. overall glad i bought it.</v>
      </c>
      <c r="F2039" s="13">
        <f>IFERROR(__xludf.DUMMYFUNCTION("""COMPUTED_VALUE"""),3.0)</f>
        <v>3</v>
      </c>
      <c r="G2039" s="13">
        <f>IFERROR(__xludf.DUMMYFUNCTION("""COMPUTED_VALUE"""),1.0)</f>
        <v>1</v>
      </c>
      <c r="H2039" s="13">
        <f>IFERROR(__xludf.DUMMYFUNCTION("""COMPUTED_VALUE"""),0.0)</f>
        <v>0</v>
      </c>
      <c r="I2039" s="13" t="str">
        <f>IFERROR(__xludf.DUMMYFUNCTION("""COMPUTED_VALUE"""),"General Petite")</f>
        <v>General Petite</v>
      </c>
      <c r="J2039" s="13" t="str">
        <f>IFERROR(__xludf.DUMMYFUNCTION("""COMPUTED_VALUE"""),"Tops")</f>
        <v>Tops</v>
      </c>
      <c r="K2039" s="13" t="str">
        <f>IFERROR(__xludf.DUMMYFUNCTION("""COMPUTED_VALUE"""),"Blouses")</f>
        <v>Blouses</v>
      </c>
      <c r="L2039" s="13"/>
    </row>
    <row r="2040">
      <c r="A2040" s="13">
        <f>IFERROR(__xludf.DUMMYFUNCTION("""COMPUTED_VALUE"""),2038.0)</f>
        <v>2038</v>
      </c>
      <c r="B2040" s="13">
        <f>IFERROR(__xludf.DUMMYFUNCTION("""COMPUTED_VALUE"""),1072.0)</f>
        <v>1072</v>
      </c>
      <c r="C2040" s="13">
        <f>IFERROR(__xludf.DUMMYFUNCTION("""COMPUTED_VALUE"""),39.0)</f>
        <v>39</v>
      </c>
      <c r="D2040" s="12" t="str">
        <f>IFERROR(__xludf.DUMMYFUNCTION("""COMPUTED_VALUE"""),"Tried it on a whim. love it.")</f>
        <v>Tried it on a whim. love it.</v>
      </c>
      <c r="E2040" s="12" t="str">
        <f>IFERROR(__xludf.DUMMYFUNCTION("""COMPUTED_VALUE"""),"Went to the store in search of a butter dish. tried this dress on a was shocked at how comfortable, versatile and all over appealing this dress is. i'm 5'10"" and the medium hits at my knees.  as always i think the quality could be better. it's not someth"&amp;"ing that will last for years.")</f>
        <v>Went to the store in search of a butter dish. tried this dress on a was shocked at how comfortable, versatile and all over appealing this dress is. i'm 5'10" and the medium hits at my knees.  as always i think the quality could be better. it's not something that will last for years.</v>
      </c>
      <c r="F2040" s="13">
        <f>IFERROR(__xludf.DUMMYFUNCTION("""COMPUTED_VALUE"""),4.0)</f>
        <v>4</v>
      </c>
      <c r="G2040" s="13">
        <f>IFERROR(__xludf.DUMMYFUNCTION("""COMPUTED_VALUE"""),1.0)</f>
        <v>1</v>
      </c>
      <c r="H2040" s="13">
        <f>IFERROR(__xludf.DUMMYFUNCTION("""COMPUTED_VALUE"""),0.0)</f>
        <v>0</v>
      </c>
      <c r="I2040" s="13" t="str">
        <f>IFERROR(__xludf.DUMMYFUNCTION("""COMPUTED_VALUE"""),"General")</f>
        <v>General</v>
      </c>
      <c r="J2040" s="13" t="str">
        <f>IFERROR(__xludf.DUMMYFUNCTION("""COMPUTED_VALUE"""),"Dresses")</f>
        <v>Dresses</v>
      </c>
      <c r="K2040" s="13" t="str">
        <f>IFERROR(__xludf.DUMMYFUNCTION("""COMPUTED_VALUE"""),"Dresses")</f>
        <v>Dresses</v>
      </c>
      <c r="L2040" s="13"/>
    </row>
    <row r="2041">
      <c r="A2041" s="13">
        <f>IFERROR(__xludf.DUMMYFUNCTION("""COMPUTED_VALUE"""),2039.0)</f>
        <v>2039</v>
      </c>
      <c r="B2041" s="13">
        <f>IFERROR(__xludf.DUMMYFUNCTION("""COMPUTED_VALUE"""),862.0)</f>
        <v>862</v>
      </c>
      <c r="C2041" s="13">
        <f>IFERROR(__xludf.DUMMYFUNCTION("""COMPUTED_VALUE"""),53.0)</f>
        <v>53</v>
      </c>
      <c r="D2041" s="12" t="str">
        <f>IFERROR(__xludf.DUMMYFUNCTION("""COMPUTED_VALUE"""),"Cute but....")</f>
        <v>Cute but....</v>
      </c>
      <c r="E2041" s="12" t="str">
        <f>IFERROR(__xludf.DUMMYFUNCTION("""COMPUTED_VALUE"""),"I saw this top on sale and tried it on right away. my normal medium was too big, so i purchased the small in the rose color. wore it with a shimmery kimono and cream colored pilcro boyfriend jeans. wow, what an outfit!!!!
then i washed it according to dir"&amp;"ections, and sadly it shrunk into a crop peplum tank. i was so disappointed. i wished i had read the reviews beforehand.")</f>
        <v>I saw this top on sale and tried it on right away. my normal medium was too big, so i purchased the small in the rose color. wore it with a shimmery kimono and cream colored pilcro boyfriend jeans. wow, what an outfit!!!!
then i washed it according to directions, and sadly it shrunk into a crop peplum tank. i was so disappointed. i wished i had read the reviews beforehand.</v>
      </c>
      <c r="F2041" s="13">
        <f>IFERROR(__xludf.DUMMYFUNCTION("""COMPUTED_VALUE"""),3.0)</f>
        <v>3</v>
      </c>
      <c r="G2041" s="13">
        <f>IFERROR(__xludf.DUMMYFUNCTION("""COMPUTED_VALUE"""),0.0)</f>
        <v>0</v>
      </c>
      <c r="H2041" s="13">
        <f>IFERROR(__xludf.DUMMYFUNCTION("""COMPUTED_VALUE"""),4.0)</f>
        <v>4</v>
      </c>
      <c r="I2041" s="13" t="str">
        <f>IFERROR(__xludf.DUMMYFUNCTION("""COMPUTED_VALUE"""),"General")</f>
        <v>General</v>
      </c>
      <c r="J2041" s="13" t="str">
        <f>IFERROR(__xludf.DUMMYFUNCTION("""COMPUTED_VALUE"""),"Tops")</f>
        <v>Tops</v>
      </c>
      <c r="K2041" s="13" t="str">
        <f>IFERROR(__xludf.DUMMYFUNCTION("""COMPUTED_VALUE"""),"Knits")</f>
        <v>Knits</v>
      </c>
      <c r="L2041" s="13"/>
    </row>
    <row r="2042">
      <c r="A2042" s="13">
        <f>IFERROR(__xludf.DUMMYFUNCTION("""COMPUTED_VALUE"""),2040.0)</f>
        <v>2040</v>
      </c>
      <c r="B2042" s="13">
        <f>IFERROR(__xludf.DUMMYFUNCTION("""COMPUTED_VALUE"""),1072.0)</f>
        <v>1072</v>
      </c>
      <c r="C2042" s="13">
        <f>IFERROR(__xludf.DUMMYFUNCTION("""COMPUTED_VALUE"""),39.0)</f>
        <v>39</v>
      </c>
      <c r="D2042" s="12" t="str">
        <f>IFERROR(__xludf.DUMMYFUNCTION("""COMPUTED_VALUE"""),"Great casual dress!")</f>
        <v>Great casual dress!</v>
      </c>
      <c r="E2042" s="12" t="str">
        <f>IFERROR(__xludf.DUMMYFUNCTION("""COMPUTED_VALUE"""),"This is my second dress from this designer. it is very comfortable, stylish, and looks great with sandals/wedges. i would have given it 5 stars but the neckline was a little lower than i expected and the length was a little longer. i am still keeping it t"&amp;"hough and expect to wear it spring, summer, and fall.")</f>
        <v>This is my second dress from this designer. it is very comfortable, stylish, and looks great with sandals/wedges. i would have given it 5 stars but the neckline was a little lower than i expected and the length was a little longer. i am still keeping it though and expect to wear it spring, summer, and fall.</v>
      </c>
      <c r="F2042" s="13">
        <f>IFERROR(__xludf.DUMMYFUNCTION("""COMPUTED_VALUE"""),4.0)</f>
        <v>4</v>
      </c>
      <c r="G2042" s="13">
        <f>IFERROR(__xludf.DUMMYFUNCTION("""COMPUTED_VALUE"""),1.0)</f>
        <v>1</v>
      </c>
      <c r="H2042" s="13">
        <f>IFERROR(__xludf.DUMMYFUNCTION("""COMPUTED_VALUE"""),0.0)</f>
        <v>0</v>
      </c>
      <c r="I2042" s="13" t="str">
        <f>IFERROR(__xludf.DUMMYFUNCTION("""COMPUTED_VALUE"""),"General")</f>
        <v>General</v>
      </c>
      <c r="J2042" s="13" t="str">
        <f>IFERROR(__xludf.DUMMYFUNCTION("""COMPUTED_VALUE"""),"Dresses")</f>
        <v>Dresses</v>
      </c>
      <c r="K2042" s="13" t="str">
        <f>IFERROR(__xludf.DUMMYFUNCTION("""COMPUTED_VALUE"""),"Dresses")</f>
        <v>Dresses</v>
      </c>
      <c r="L2042" s="13"/>
    </row>
    <row r="2043">
      <c r="A2043" s="13">
        <f>IFERROR(__xludf.DUMMYFUNCTION("""COMPUTED_VALUE"""),2041.0)</f>
        <v>2041</v>
      </c>
      <c r="B2043" s="13">
        <f>IFERROR(__xludf.DUMMYFUNCTION("""COMPUTED_VALUE"""),862.0)</f>
        <v>862</v>
      </c>
      <c r="C2043" s="13">
        <f>IFERROR(__xludf.DUMMYFUNCTION("""COMPUTED_VALUE"""),49.0)</f>
        <v>49</v>
      </c>
      <c r="D2043" s="12" t="str">
        <f>IFERROR(__xludf.DUMMYFUNCTION("""COMPUTED_VALUE"""),"Shrinks")</f>
        <v>Shrinks</v>
      </c>
      <c r="E2043" s="12" t="str">
        <f>IFERROR(__xludf.DUMMYFUNCTION("""COMPUTED_VALUE"""),"I'm 5'4, 125 lbs, &amp; have a 36 c/d bust; the xs fits great.
i wash everything in cold &amp; line dry... this was no exception. when i took it out of the washer i knew immediately :( i've pulled it back into shape &amp; hung it up, but we'll see.
 dry clean if you "&amp;"want to keep it")</f>
        <v>I'm 5'4, 125 lbs, &amp; have a 36 c/d bust; the xs fits great.
i wash everything in cold &amp; line dry... this was no exception. when i took it out of the washer i knew immediately :( i've pulled it back into shape &amp; hung it up, but we'll see.
 dry clean if you want to keep it</v>
      </c>
      <c r="F2043" s="13">
        <f>IFERROR(__xludf.DUMMYFUNCTION("""COMPUTED_VALUE"""),4.0)</f>
        <v>4</v>
      </c>
      <c r="G2043" s="13">
        <f>IFERROR(__xludf.DUMMYFUNCTION("""COMPUTED_VALUE"""),1.0)</f>
        <v>1</v>
      </c>
      <c r="H2043" s="13">
        <f>IFERROR(__xludf.DUMMYFUNCTION("""COMPUTED_VALUE"""),7.0)</f>
        <v>7</v>
      </c>
      <c r="I2043" s="13" t="str">
        <f>IFERROR(__xludf.DUMMYFUNCTION("""COMPUTED_VALUE"""),"General")</f>
        <v>General</v>
      </c>
      <c r="J2043" s="13" t="str">
        <f>IFERROR(__xludf.DUMMYFUNCTION("""COMPUTED_VALUE"""),"Tops")</f>
        <v>Tops</v>
      </c>
      <c r="K2043" s="13" t="str">
        <f>IFERROR(__xludf.DUMMYFUNCTION("""COMPUTED_VALUE"""),"Knits")</f>
        <v>Knits</v>
      </c>
      <c r="L2043" s="13"/>
    </row>
    <row r="2044">
      <c r="A2044" s="13">
        <f>IFERROR(__xludf.DUMMYFUNCTION("""COMPUTED_VALUE"""),2042.0)</f>
        <v>2042</v>
      </c>
      <c r="B2044" s="13">
        <f>IFERROR(__xludf.DUMMYFUNCTION("""COMPUTED_VALUE"""),1072.0)</f>
        <v>1072</v>
      </c>
      <c r="C2044" s="13">
        <f>IFERROR(__xludf.DUMMYFUNCTION("""COMPUTED_VALUE"""),33.0)</f>
        <v>33</v>
      </c>
      <c r="D2044" s="12" t="str">
        <f>IFERROR(__xludf.DUMMYFUNCTION("""COMPUTED_VALUE"""),"Effortlessly cool")</f>
        <v>Effortlessly cool</v>
      </c>
      <c r="E2044" s="12" t="str">
        <f>IFERROR(__xludf.DUMMYFUNCTION("""COMPUTED_VALUE"""),"I will preface this review by stating that this item was available only in one size at my local retailer. they have a section of dresses mostly offered online that are in store for you to touch, see, try on and order through the store (which is much appre"&amp;"ciated). i am normally a size 0-2/xs in retailer clothes and i will typically order a petite when available. the option my store had to try on was a regular medium which is what i have pictured here.
i mostly wanted to try it on just to get a fee")</f>
        <v>I will preface this review by stating that this item was available only in one size at my local retailer. they have a section of dresses mostly offered online that are in store for you to touch, see, try on and order through the store (which is much appreciated). i am normally a size 0-2/xs in retailer clothes and i will typically order a petite when available. the option my store had to try on was a regular medium which is what i have pictured here.
i mostly wanted to try it on just to get a fee</v>
      </c>
      <c r="F2044" s="13">
        <f>IFERROR(__xludf.DUMMYFUNCTION("""COMPUTED_VALUE"""),5.0)</f>
        <v>5</v>
      </c>
      <c r="G2044" s="13">
        <f>IFERROR(__xludf.DUMMYFUNCTION("""COMPUTED_VALUE"""),1.0)</f>
        <v>1</v>
      </c>
      <c r="H2044" s="13">
        <f>IFERROR(__xludf.DUMMYFUNCTION("""COMPUTED_VALUE"""),51.0)</f>
        <v>51</v>
      </c>
      <c r="I2044" s="13" t="str">
        <f>IFERROR(__xludf.DUMMYFUNCTION("""COMPUTED_VALUE"""),"General")</f>
        <v>General</v>
      </c>
      <c r="J2044" s="13" t="str">
        <f>IFERROR(__xludf.DUMMYFUNCTION("""COMPUTED_VALUE"""),"Dresses")</f>
        <v>Dresses</v>
      </c>
      <c r="K2044" s="13" t="str">
        <f>IFERROR(__xludf.DUMMYFUNCTION("""COMPUTED_VALUE"""),"Dresses")</f>
        <v>Dresses</v>
      </c>
      <c r="L2044" s="13"/>
    </row>
    <row r="2045">
      <c r="A2045" s="13">
        <f>IFERROR(__xludf.DUMMYFUNCTION("""COMPUTED_VALUE"""),2043.0)</f>
        <v>2043</v>
      </c>
      <c r="B2045" s="13">
        <f>IFERROR(__xludf.DUMMYFUNCTION("""COMPUTED_VALUE"""),896.0)</f>
        <v>896</v>
      </c>
      <c r="C2045" s="13">
        <f>IFERROR(__xludf.DUMMYFUNCTION("""COMPUTED_VALUE"""),52.0)</f>
        <v>52</v>
      </c>
      <c r="D2045" s="12" t="str">
        <f>IFERROR(__xludf.DUMMYFUNCTION("""COMPUTED_VALUE"""),"Beautiful sweater")</f>
        <v>Beautiful sweater</v>
      </c>
      <c r="E2045" s="12" t="str">
        <f>IFERROR(__xludf.DUMMYFUNCTION("""COMPUTED_VALUE"""),"I love this top, wish they had it in more colors, i would buy more!")</f>
        <v>I love this top, wish they had it in more colors, i would buy more!</v>
      </c>
      <c r="F2045" s="13">
        <f>IFERROR(__xludf.DUMMYFUNCTION("""COMPUTED_VALUE"""),5.0)</f>
        <v>5</v>
      </c>
      <c r="G2045" s="13">
        <f>IFERROR(__xludf.DUMMYFUNCTION("""COMPUTED_VALUE"""),1.0)</f>
        <v>1</v>
      </c>
      <c r="H2045" s="13">
        <f>IFERROR(__xludf.DUMMYFUNCTION("""COMPUTED_VALUE"""),0.0)</f>
        <v>0</v>
      </c>
      <c r="I2045" s="13" t="str">
        <f>IFERROR(__xludf.DUMMYFUNCTION("""COMPUTED_VALUE"""),"General")</f>
        <v>General</v>
      </c>
      <c r="J2045" s="13" t="str">
        <f>IFERROR(__xludf.DUMMYFUNCTION("""COMPUTED_VALUE"""),"Tops")</f>
        <v>Tops</v>
      </c>
      <c r="K2045" s="13" t="str">
        <f>IFERROR(__xludf.DUMMYFUNCTION("""COMPUTED_VALUE"""),"Fine gauge")</f>
        <v>Fine gauge</v>
      </c>
      <c r="L2045" s="13"/>
    </row>
    <row r="2046">
      <c r="A2046" s="13">
        <f>IFERROR(__xludf.DUMMYFUNCTION("""COMPUTED_VALUE"""),2044.0)</f>
        <v>2044</v>
      </c>
      <c r="B2046" s="13">
        <f>IFERROR(__xludf.DUMMYFUNCTION("""COMPUTED_VALUE"""),872.0)</f>
        <v>872</v>
      </c>
      <c r="C2046" s="13">
        <f>IFERROR(__xludf.DUMMYFUNCTION("""COMPUTED_VALUE"""),36.0)</f>
        <v>36</v>
      </c>
      <c r="D2046" s="12" t="str">
        <f>IFERROR(__xludf.DUMMYFUNCTION("""COMPUTED_VALUE"""),"Lovely and so flattering")</f>
        <v>Lovely and so flattering</v>
      </c>
      <c r="E2046" s="12" t="str">
        <f>IFERROR(__xludf.DUMMYFUNCTION("""COMPUTED_VALUE"""),"I purchased this with some hesitation, having read that some people thought it was unflattering. but i couldn't resist the sale price, and i love a low-maintenance work top and doesn't require ironing. this fits the bill perfectly. it's made of high quali"&amp;"ty fabric, there's a soft inner lining with a side zip closure, and it has a pretty narrow profile so initially i found it a little snug to wiggle into (i got a small), but once on it fit perfectly, and is so flattering i can't imagine why other")</f>
        <v>I purchased this with some hesitation, having read that some people thought it was unflattering. but i couldn't resist the sale price, and i love a low-maintenance work top and doesn't require ironing. this fits the bill perfectly. it's made of high quality fabric, there's a soft inner lining with a side zip closure, and it has a pretty narrow profile so initially i found it a little snug to wiggle into (i got a small), but once on it fit perfectly, and is so flattering i can't imagine why other</v>
      </c>
      <c r="F2046" s="13">
        <f>IFERROR(__xludf.DUMMYFUNCTION("""COMPUTED_VALUE"""),5.0)</f>
        <v>5</v>
      </c>
      <c r="G2046" s="13">
        <f>IFERROR(__xludf.DUMMYFUNCTION("""COMPUTED_VALUE"""),1.0)</f>
        <v>1</v>
      </c>
      <c r="H2046" s="13">
        <f>IFERROR(__xludf.DUMMYFUNCTION("""COMPUTED_VALUE"""),1.0)</f>
        <v>1</v>
      </c>
      <c r="I2046" s="13" t="str">
        <f>IFERROR(__xludf.DUMMYFUNCTION("""COMPUTED_VALUE"""),"General Petite")</f>
        <v>General Petite</v>
      </c>
      <c r="J2046" s="13" t="str">
        <f>IFERROR(__xludf.DUMMYFUNCTION("""COMPUTED_VALUE"""),"Tops")</f>
        <v>Tops</v>
      </c>
      <c r="K2046" s="13" t="str">
        <f>IFERROR(__xludf.DUMMYFUNCTION("""COMPUTED_VALUE"""),"Knits")</f>
        <v>Knits</v>
      </c>
      <c r="L2046" s="13"/>
    </row>
    <row r="2047">
      <c r="A2047" s="13">
        <f>IFERROR(__xludf.DUMMYFUNCTION("""COMPUTED_VALUE"""),2045.0)</f>
        <v>2045</v>
      </c>
      <c r="B2047" s="13">
        <f>IFERROR(__xludf.DUMMYFUNCTION("""COMPUTED_VALUE"""),1068.0)</f>
        <v>1068</v>
      </c>
      <c r="C2047" s="13">
        <f>IFERROR(__xludf.DUMMYFUNCTION("""COMPUTED_VALUE"""),74.0)</f>
        <v>74</v>
      </c>
      <c r="D2047" s="12"/>
      <c r="E2047" s="12" t="str">
        <f>IFERROR(__xludf.DUMMYFUNCTION("""COMPUTED_VALUE"""),"I wanted to love these. the fabric was soft and they were good quality but they fit differently than the hyphen chinos and were too small. sadly, i had to return them.")</f>
        <v>I wanted to love these. the fabric was soft and they were good quality but they fit differently than the hyphen chinos and were too small. sadly, i had to return them.</v>
      </c>
      <c r="F2047" s="13">
        <f>IFERROR(__xludf.DUMMYFUNCTION("""COMPUTED_VALUE"""),4.0)</f>
        <v>4</v>
      </c>
      <c r="G2047" s="13">
        <f>IFERROR(__xludf.DUMMYFUNCTION("""COMPUTED_VALUE"""),1.0)</f>
        <v>1</v>
      </c>
      <c r="H2047" s="13">
        <f>IFERROR(__xludf.DUMMYFUNCTION("""COMPUTED_VALUE"""),7.0)</f>
        <v>7</v>
      </c>
      <c r="I2047" s="13" t="str">
        <f>IFERROR(__xludf.DUMMYFUNCTION("""COMPUTED_VALUE"""),"General")</f>
        <v>General</v>
      </c>
      <c r="J2047" s="13" t="str">
        <f>IFERROR(__xludf.DUMMYFUNCTION("""COMPUTED_VALUE"""),"Bottoms")</f>
        <v>Bottoms</v>
      </c>
      <c r="K2047" s="13" t="str">
        <f>IFERROR(__xludf.DUMMYFUNCTION("""COMPUTED_VALUE"""),"Pants")</f>
        <v>Pants</v>
      </c>
      <c r="L2047" s="13"/>
    </row>
    <row r="2048">
      <c r="A2048" s="13">
        <f>IFERROR(__xludf.DUMMYFUNCTION("""COMPUTED_VALUE"""),2046.0)</f>
        <v>2046</v>
      </c>
      <c r="B2048" s="13">
        <f>IFERROR(__xludf.DUMMYFUNCTION("""COMPUTED_VALUE"""),1092.0)</f>
        <v>1092</v>
      </c>
      <c r="C2048" s="13">
        <f>IFERROR(__xludf.DUMMYFUNCTION("""COMPUTED_VALUE"""),35.0)</f>
        <v>35</v>
      </c>
      <c r="D2048" s="12" t="str">
        <f>IFERROR(__xludf.DUMMYFUNCTION("""COMPUTED_VALUE"""),"It's gorgeous")</f>
        <v>It's gorgeous</v>
      </c>
      <c r="E2048" s="12" t="str">
        <f>IFERROR(__xludf.DUMMYFUNCTION("""COMPUTED_VALUE"""),"Should've ordered a larger size. it runs a bit tight around the top and the zipper isn't that helpful.")</f>
        <v>Should've ordered a larger size. it runs a bit tight around the top and the zipper isn't that helpful.</v>
      </c>
      <c r="F2048" s="13">
        <f>IFERROR(__xludf.DUMMYFUNCTION("""COMPUTED_VALUE"""),5.0)</f>
        <v>5</v>
      </c>
      <c r="G2048" s="13">
        <f>IFERROR(__xludf.DUMMYFUNCTION("""COMPUTED_VALUE"""),1.0)</f>
        <v>1</v>
      </c>
      <c r="H2048" s="13">
        <f>IFERROR(__xludf.DUMMYFUNCTION("""COMPUTED_VALUE"""),0.0)</f>
        <v>0</v>
      </c>
      <c r="I2048" s="13" t="str">
        <f>IFERROR(__xludf.DUMMYFUNCTION("""COMPUTED_VALUE"""),"General Petite")</f>
        <v>General Petite</v>
      </c>
      <c r="J2048" s="13" t="str">
        <f>IFERROR(__xludf.DUMMYFUNCTION("""COMPUTED_VALUE"""),"Dresses")</f>
        <v>Dresses</v>
      </c>
      <c r="K2048" s="13" t="str">
        <f>IFERROR(__xludf.DUMMYFUNCTION("""COMPUTED_VALUE"""),"Dresses")</f>
        <v>Dresses</v>
      </c>
      <c r="L2048" s="13"/>
    </row>
    <row r="2049">
      <c r="A2049" s="13">
        <f>IFERROR(__xludf.DUMMYFUNCTION("""COMPUTED_VALUE"""),2047.0)</f>
        <v>2047</v>
      </c>
      <c r="B2049" s="13">
        <f>IFERROR(__xludf.DUMMYFUNCTION("""COMPUTED_VALUE"""),1072.0)</f>
        <v>1072</v>
      </c>
      <c r="C2049" s="13">
        <f>IFERROR(__xludf.DUMMYFUNCTION("""COMPUTED_VALUE"""),62.0)</f>
        <v>62</v>
      </c>
      <c r="D2049" s="12" t="str">
        <f>IFERROR(__xludf.DUMMYFUNCTION("""COMPUTED_VALUE"""),"Beautiful but big")</f>
        <v>Beautiful but big</v>
      </c>
      <c r="E2049" s="12" t="str">
        <f>IFERROR(__xludf.DUMMYFUNCTION("""COMPUTED_VALUE"""),"This was my first tiny shirtdress purchase after seeing the past few patterns/seasons. for me the last few were a little too busy, but something about both patterns this season felt right for summer. i'm 5'7"", 128# and found my usual s to be too long in "&amp;"length and in sleeve length (the sleeves being a problem that i never have). going to try to exchange for an xs because it really is a lovely piece in both colors (though i slightly prefer the green because it feels more tropical/exotic for summe")</f>
        <v>This was my first tiny shirtdress purchase after seeing the past few patterns/seasons. for me the last few were a little too busy, but something about both patterns this season felt right for summer. i'm 5'7", 128# and found my usual s to be too long in length and in sleeve length (the sleeves being a problem that i never have). going to try to exchange for an xs because it really is a lovely piece in both colors (though i slightly prefer the green because it feels more tropical/exotic for summe</v>
      </c>
      <c r="F2049" s="13">
        <f>IFERROR(__xludf.DUMMYFUNCTION("""COMPUTED_VALUE"""),4.0)</f>
        <v>4</v>
      </c>
      <c r="G2049" s="13">
        <f>IFERROR(__xludf.DUMMYFUNCTION("""COMPUTED_VALUE"""),1.0)</f>
        <v>1</v>
      </c>
      <c r="H2049" s="13">
        <f>IFERROR(__xludf.DUMMYFUNCTION("""COMPUTED_VALUE"""),5.0)</f>
        <v>5</v>
      </c>
      <c r="I2049" s="13" t="str">
        <f>IFERROR(__xludf.DUMMYFUNCTION("""COMPUTED_VALUE"""),"General")</f>
        <v>General</v>
      </c>
      <c r="J2049" s="13" t="str">
        <f>IFERROR(__xludf.DUMMYFUNCTION("""COMPUTED_VALUE"""),"Dresses")</f>
        <v>Dresses</v>
      </c>
      <c r="K2049" s="13" t="str">
        <f>IFERROR(__xludf.DUMMYFUNCTION("""COMPUTED_VALUE"""),"Dresses")</f>
        <v>Dresses</v>
      </c>
      <c r="L2049" s="13"/>
    </row>
    <row r="2050">
      <c r="A2050" s="13">
        <f>IFERROR(__xludf.DUMMYFUNCTION("""COMPUTED_VALUE"""),2048.0)</f>
        <v>2048</v>
      </c>
      <c r="B2050" s="13">
        <f>IFERROR(__xludf.DUMMYFUNCTION("""COMPUTED_VALUE"""),1092.0)</f>
        <v>1092</v>
      </c>
      <c r="C2050" s="13">
        <f>IFERROR(__xludf.DUMMYFUNCTION("""COMPUTED_VALUE"""),43.0)</f>
        <v>43</v>
      </c>
      <c r="D2050" s="12" t="str">
        <f>IFERROR(__xludf.DUMMYFUNCTION("""COMPUTED_VALUE"""),"Dream dress")</f>
        <v>Dream dress</v>
      </c>
      <c r="E2050" s="12" t="str">
        <f>IFERROR(__xludf.DUMMYFUNCTION("""COMPUTED_VALUE"""),"I'm 5'6 and between 100-105lbs. buying clothes from retailer is always a stuggle because i have a petite frame but i don't fall into the petite height range. i usually order a petite size and just deal with the shorter length, which is hard when you're al"&amp;"l limbs. i purchased a 0r and i'm in love with the fit! the top of the dress fits under my arms perfectly! the waist of the dress also hits nicely. usually the waist of regular sized dresses falls below my natural waistline due to my short")</f>
        <v>I'm 5'6 and between 100-105lbs. buying clothes from retailer is always a stuggle because i have a petite frame but i don't fall into the petite height range. i usually order a petite size and just deal with the shorter length, which is hard when you're all limbs. i purchased a 0r and i'm in love with the fit! the top of the dress fits under my arms perfectly! the waist of the dress also hits nicely. usually the waist of regular sized dresses falls below my natural waistline due to my short</v>
      </c>
      <c r="F2050" s="13">
        <f>IFERROR(__xludf.DUMMYFUNCTION("""COMPUTED_VALUE"""),5.0)</f>
        <v>5</v>
      </c>
      <c r="G2050" s="13">
        <f>IFERROR(__xludf.DUMMYFUNCTION("""COMPUTED_VALUE"""),1.0)</f>
        <v>1</v>
      </c>
      <c r="H2050" s="13">
        <f>IFERROR(__xludf.DUMMYFUNCTION("""COMPUTED_VALUE"""),0.0)</f>
        <v>0</v>
      </c>
      <c r="I2050" s="13" t="str">
        <f>IFERROR(__xludf.DUMMYFUNCTION("""COMPUTED_VALUE"""),"General Petite")</f>
        <v>General Petite</v>
      </c>
      <c r="J2050" s="13" t="str">
        <f>IFERROR(__xludf.DUMMYFUNCTION("""COMPUTED_VALUE"""),"Dresses")</f>
        <v>Dresses</v>
      </c>
      <c r="K2050" s="13" t="str">
        <f>IFERROR(__xludf.DUMMYFUNCTION("""COMPUTED_VALUE"""),"Dresses")</f>
        <v>Dresses</v>
      </c>
      <c r="L2050" s="13"/>
    </row>
    <row r="2051">
      <c r="A2051" s="13">
        <f>IFERROR(__xludf.DUMMYFUNCTION("""COMPUTED_VALUE"""),2049.0)</f>
        <v>2049</v>
      </c>
      <c r="B2051" s="13">
        <f>IFERROR(__xludf.DUMMYFUNCTION("""COMPUTED_VALUE"""),1092.0)</f>
        <v>1092</v>
      </c>
      <c r="C2051" s="13">
        <f>IFERROR(__xludf.DUMMYFUNCTION("""COMPUTED_VALUE"""),39.0)</f>
        <v>39</v>
      </c>
      <c r="D2051" s="12" t="str">
        <f>IFERROR(__xludf.DUMMYFUNCTION("""COMPUTED_VALUE"""),"Flowy, functional ,dressy")</f>
        <v>Flowy, functional ,dressy</v>
      </c>
      <c r="E2051" s="12" t="str">
        <f>IFERROR(__xludf.DUMMYFUNCTION("""COMPUTED_VALUE"""),"I love the ease of this dress. the style can be dressed up or down. the straps are inset a little which doesn't work for every body type. the thin material can get caught and snag easily but otherwise this dress is a simple chic addition to my closet. the"&amp;" length is just right, not too long like some other maxi dresses. the lining underneath ends at the perfect length as well. the top part is lined well so it can be worn with or without a bra. i am normally a 4 or 6 in dresses. the waistband hits")</f>
        <v>I love the ease of this dress. the style can be dressed up or down. the straps are inset a little which doesn't work for every body type. the thin material can get caught and snag easily but otherwise this dress is a simple chic addition to my closet. the length is just right, not too long like some other maxi dresses. the lining underneath ends at the perfect length as well. the top part is lined well so it can be worn with or without a bra. i am normally a 4 or 6 in dresses. the waistband hits</v>
      </c>
      <c r="F2051" s="13">
        <f>IFERROR(__xludf.DUMMYFUNCTION("""COMPUTED_VALUE"""),5.0)</f>
        <v>5</v>
      </c>
      <c r="G2051" s="13">
        <f>IFERROR(__xludf.DUMMYFUNCTION("""COMPUTED_VALUE"""),1.0)</f>
        <v>1</v>
      </c>
      <c r="H2051" s="13">
        <f>IFERROR(__xludf.DUMMYFUNCTION("""COMPUTED_VALUE"""),0.0)</f>
        <v>0</v>
      </c>
      <c r="I2051" s="13" t="str">
        <f>IFERROR(__xludf.DUMMYFUNCTION("""COMPUTED_VALUE"""),"General Petite")</f>
        <v>General Petite</v>
      </c>
      <c r="J2051" s="13" t="str">
        <f>IFERROR(__xludf.DUMMYFUNCTION("""COMPUTED_VALUE"""),"Dresses")</f>
        <v>Dresses</v>
      </c>
      <c r="K2051" s="13" t="str">
        <f>IFERROR(__xludf.DUMMYFUNCTION("""COMPUTED_VALUE"""),"Dresses")</f>
        <v>Dresses</v>
      </c>
      <c r="L2051" s="13"/>
    </row>
    <row r="2052">
      <c r="A2052" s="13">
        <f>IFERROR(__xludf.DUMMYFUNCTION("""COMPUTED_VALUE"""),2050.0)</f>
        <v>2050</v>
      </c>
      <c r="B2052" s="13">
        <f>IFERROR(__xludf.DUMMYFUNCTION("""COMPUTED_VALUE"""),872.0)</f>
        <v>872</v>
      </c>
      <c r="C2052" s="13">
        <f>IFERROR(__xludf.DUMMYFUNCTION("""COMPUTED_VALUE"""),41.0)</f>
        <v>41</v>
      </c>
      <c r="D2052" s="12"/>
      <c r="E2052" s="12" t="str">
        <f>IFERROR(__xludf.DUMMYFUNCTION("""COMPUTED_VALUE"""),"Dig this top but a little different from what i was expecting. the outside is indeed a bit stiff and scratchy but it is lined ... but definitely would've appreciated a softer fabric. however, the cut is cute and flattering and the pattern is adorable so i"&amp;"t's staying in my closet. perhaps not the thing to wear to snuggle up with someone though!")</f>
        <v>Dig this top but a little different from what i was expecting. the outside is indeed a bit stiff and scratchy but it is lined ... but definitely would've appreciated a softer fabric. however, the cut is cute and flattering and the pattern is adorable so it's staying in my closet. perhaps not the thing to wear to snuggle up with someone though!</v>
      </c>
      <c r="F2052" s="13">
        <f>IFERROR(__xludf.DUMMYFUNCTION("""COMPUTED_VALUE"""),4.0)</f>
        <v>4</v>
      </c>
      <c r="G2052" s="13">
        <f>IFERROR(__xludf.DUMMYFUNCTION("""COMPUTED_VALUE"""),1.0)</f>
        <v>1</v>
      </c>
      <c r="H2052" s="13">
        <f>IFERROR(__xludf.DUMMYFUNCTION("""COMPUTED_VALUE"""),0.0)</f>
        <v>0</v>
      </c>
      <c r="I2052" s="13" t="str">
        <f>IFERROR(__xludf.DUMMYFUNCTION("""COMPUTED_VALUE"""),"General Petite")</f>
        <v>General Petite</v>
      </c>
      <c r="J2052" s="13" t="str">
        <f>IFERROR(__xludf.DUMMYFUNCTION("""COMPUTED_VALUE"""),"Tops")</f>
        <v>Tops</v>
      </c>
      <c r="K2052" s="13" t="str">
        <f>IFERROR(__xludf.DUMMYFUNCTION("""COMPUTED_VALUE"""),"Knits")</f>
        <v>Knits</v>
      </c>
      <c r="L2052" s="13"/>
    </row>
    <row r="2053">
      <c r="A2053" s="13">
        <f>IFERROR(__xludf.DUMMYFUNCTION("""COMPUTED_VALUE"""),2051.0)</f>
        <v>2051</v>
      </c>
      <c r="B2053" s="13">
        <f>IFERROR(__xludf.DUMMYFUNCTION("""COMPUTED_VALUE"""),1072.0)</f>
        <v>1072</v>
      </c>
      <c r="C2053" s="13">
        <f>IFERROR(__xludf.DUMMYFUNCTION("""COMPUTED_VALUE"""),37.0)</f>
        <v>37</v>
      </c>
      <c r="D2053" s="12" t="str">
        <f>IFERROR(__xludf.DUMMYFUNCTION("""COMPUTED_VALUE"""),"Not for me")</f>
        <v>Not for me</v>
      </c>
      <c r="E2053" s="12" t="str">
        <f>IFERROR(__xludf.DUMMYFUNCTION("""COMPUTED_VALUE"""),"I purchased this based on previous reviews. the quality of the dress and the print is excellent. the dress fit me perfect in the front however there were so much extra fabric in the back that it made me look extremely large. i understand it's a shirt dres"&amp;"s however the back would need to be taken in like 6 inches. for someone who is looking for a more boxy full coverage dress this is more for them")</f>
        <v>I purchased this based on previous reviews. the quality of the dress and the print is excellent. the dress fit me perfect in the front however there were so much extra fabric in the back that it made me look extremely large. i understand it's a shirt dress however the back would need to be taken in like 6 inches. for someone who is looking for a more boxy full coverage dress this is more for them</v>
      </c>
      <c r="F2053" s="13">
        <f>IFERROR(__xludf.DUMMYFUNCTION("""COMPUTED_VALUE"""),4.0)</f>
        <v>4</v>
      </c>
      <c r="G2053" s="13">
        <f>IFERROR(__xludf.DUMMYFUNCTION("""COMPUTED_VALUE"""),0.0)</f>
        <v>0</v>
      </c>
      <c r="H2053" s="13">
        <f>IFERROR(__xludf.DUMMYFUNCTION("""COMPUTED_VALUE"""),2.0)</f>
        <v>2</v>
      </c>
      <c r="I2053" s="13" t="str">
        <f>IFERROR(__xludf.DUMMYFUNCTION("""COMPUTED_VALUE"""),"General Petite")</f>
        <v>General Petite</v>
      </c>
      <c r="J2053" s="13" t="str">
        <f>IFERROR(__xludf.DUMMYFUNCTION("""COMPUTED_VALUE"""),"Dresses")</f>
        <v>Dresses</v>
      </c>
      <c r="K2053" s="13" t="str">
        <f>IFERROR(__xludf.DUMMYFUNCTION("""COMPUTED_VALUE"""),"Dresses")</f>
        <v>Dresses</v>
      </c>
      <c r="L2053" s="13"/>
    </row>
    <row r="2054">
      <c r="A2054" s="13">
        <f>IFERROR(__xludf.DUMMYFUNCTION("""COMPUTED_VALUE"""),2052.0)</f>
        <v>2052</v>
      </c>
      <c r="B2054" s="13">
        <f>IFERROR(__xludf.DUMMYFUNCTION("""COMPUTED_VALUE"""),850.0)</f>
        <v>850</v>
      </c>
      <c r="C2054" s="13">
        <f>IFERROR(__xludf.DUMMYFUNCTION("""COMPUTED_VALUE"""),26.0)</f>
        <v>26</v>
      </c>
      <c r="D2054" s="12" t="str">
        <f>IFERROR(__xludf.DUMMYFUNCTION("""COMPUTED_VALUE"""),"Very flattering")</f>
        <v>Very flattering</v>
      </c>
      <c r="E2054" s="12" t="str">
        <f>IFERROR(__xludf.DUMMYFUNCTION("""COMPUTED_VALUE"""),"I usually don't even consider this style of shirt, but i was intrigued by its soft fabric and texture. honestly, i love this shirt! it is so flattering and a perfect staple for any closet! i can wait to wear it out and about!")</f>
        <v>I usually don't even consider this style of shirt, but i was intrigued by its soft fabric and texture. honestly, i love this shirt! it is so flattering and a perfect staple for any closet! i can wait to wear it out and about!</v>
      </c>
      <c r="F2054" s="13">
        <f>IFERROR(__xludf.DUMMYFUNCTION("""COMPUTED_VALUE"""),5.0)</f>
        <v>5</v>
      </c>
      <c r="G2054" s="13">
        <f>IFERROR(__xludf.DUMMYFUNCTION("""COMPUTED_VALUE"""),1.0)</f>
        <v>1</v>
      </c>
      <c r="H2054" s="13">
        <f>IFERROR(__xludf.DUMMYFUNCTION("""COMPUTED_VALUE"""),1.0)</f>
        <v>1</v>
      </c>
      <c r="I2054" s="13" t="str">
        <f>IFERROR(__xludf.DUMMYFUNCTION("""COMPUTED_VALUE"""),"General Petite")</f>
        <v>General Petite</v>
      </c>
      <c r="J2054" s="13" t="str">
        <f>IFERROR(__xludf.DUMMYFUNCTION("""COMPUTED_VALUE"""),"Tops")</f>
        <v>Tops</v>
      </c>
      <c r="K2054" s="13" t="str">
        <f>IFERROR(__xludf.DUMMYFUNCTION("""COMPUTED_VALUE"""),"Blouses")</f>
        <v>Blouses</v>
      </c>
      <c r="L2054" s="13"/>
    </row>
    <row r="2055">
      <c r="A2055" s="13">
        <f>IFERROR(__xludf.DUMMYFUNCTION("""COMPUTED_VALUE"""),2053.0)</f>
        <v>2053</v>
      </c>
      <c r="B2055" s="13">
        <f>IFERROR(__xludf.DUMMYFUNCTION("""COMPUTED_VALUE"""),1072.0)</f>
        <v>1072</v>
      </c>
      <c r="C2055" s="13">
        <f>IFERROR(__xludf.DUMMYFUNCTION("""COMPUTED_VALUE"""),33.0)</f>
        <v>33</v>
      </c>
      <c r="D2055" s="12" t="str">
        <f>IFERROR(__xludf.DUMMYFUNCTION("""COMPUTED_VALUE"""),"Huge")</f>
        <v>Huge</v>
      </c>
      <c r="E2055" s="12" t="str">
        <f>IFERROR(__xludf.DUMMYFUNCTION("""COMPUTED_VALUE"""),"I am between a xs and s but figured i would order down based on the reviews. well, it's still huge. i have about 5 inches that i can take in from the side. i have ordered the xxs and am hoping it will look more flattering. i love the colors and design, bu"&amp;"t as it is it does not do anything for me. for reference i am 124 lbs, 32d, 5'5"".")</f>
        <v>I am between a xs and s but figured i would order down based on the reviews. well, it's still huge. i have about 5 inches that i can take in from the side. i have ordered the xxs and am hoping it will look more flattering. i love the colors and design, but as it is it does not do anything for me. for reference i am 124 lbs, 32d, 5'5".</v>
      </c>
      <c r="F2055" s="13">
        <f>IFERROR(__xludf.DUMMYFUNCTION("""COMPUTED_VALUE"""),4.0)</f>
        <v>4</v>
      </c>
      <c r="G2055" s="13">
        <f>IFERROR(__xludf.DUMMYFUNCTION("""COMPUTED_VALUE"""),1.0)</f>
        <v>1</v>
      </c>
      <c r="H2055" s="13">
        <f>IFERROR(__xludf.DUMMYFUNCTION("""COMPUTED_VALUE"""),0.0)</f>
        <v>0</v>
      </c>
      <c r="I2055" s="13" t="str">
        <f>IFERROR(__xludf.DUMMYFUNCTION("""COMPUTED_VALUE"""),"General Petite")</f>
        <v>General Petite</v>
      </c>
      <c r="J2055" s="13" t="str">
        <f>IFERROR(__xludf.DUMMYFUNCTION("""COMPUTED_VALUE"""),"Dresses")</f>
        <v>Dresses</v>
      </c>
      <c r="K2055" s="13" t="str">
        <f>IFERROR(__xludf.DUMMYFUNCTION("""COMPUTED_VALUE"""),"Dresses")</f>
        <v>Dresses</v>
      </c>
      <c r="L2055" s="13"/>
    </row>
    <row r="2056">
      <c r="A2056" s="13">
        <f>IFERROR(__xludf.DUMMYFUNCTION("""COMPUTED_VALUE"""),2054.0)</f>
        <v>2054</v>
      </c>
      <c r="B2056" s="13">
        <f>IFERROR(__xludf.DUMMYFUNCTION("""COMPUTED_VALUE"""),1092.0)</f>
        <v>1092</v>
      </c>
      <c r="C2056" s="13">
        <f>IFERROR(__xludf.DUMMYFUNCTION("""COMPUTED_VALUE"""),39.0)</f>
        <v>39</v>
      </c>
      <c r="D2056" s="12" t="str">
        <f>IFERROR(__xludf.DUMMYFUNCTION("""COMPUTED_VALUE"""),"Runs big in bust")</f>
        <v>Runs big in bust</v>
      </c>
      <c r="E2056" s="12" t="str">
        <f>IFERROR(__xludf.DUMMYFUNCTION("""COMPUTED_VALUE"""),"The first reviewer said it was small in the bust, but the 0p i ordered fit everywhere, rib cage and all, but was gaping at the bust (in the back). i would say overall it was true to size but if i sized down, it would be too snug in the rib cage. i am 30dd"&amp;" for reference there and waist is 26.5 inches,
otherwise, the make is very pretty, i like the texture in the fabric, the color is very pretty as well. embroidery seemed high quality, but i decided to pass on it, even on sale, since it didn't")</f>
        <v>The first reviewer said it was small in the bust, but the 0p i ordered fit everywhere, rib cage and all, but was gaping at the bust (in the back). i would say overall it was true to size but if i sized down, it would be too snug in the rib cage. i am 30dd for reference there and waist is 26.5 inches,
otherwise, the make is very pretty, i like the texture in the fabric, the color is very pretty as well. embroidery seemed high quality, but i decided to pass on it, even on sale, since it didn't</v>
      </c>
      <c r="F2056" s="13">
        <f>IFERROR(__xludf.DUMMYFUNCTION("""COMPUTED_VALUE"""),4.0)</f>
        <v>4</v>
      </c>
      <c r="G2056" s="13">
        <f>IFERROR(__xludf.DUMMYFUNCTION("""COMPUTED_VALUE"""),1.0)</f>
        <v>1</v>
      </c>
      <c r="H2056" s="13">
        <f>IFERROR(__xludf.DUMMYFUNCTION("""COMPUTED_VALUE"""),1.0)</f>
        <v>1</v>
      </c>
      <c r="I2056" s="13" t="str">
        <f>IFERROR(__xludf.DUMMYFUNCTION("""COMPUTED_VALUE"""),"General Petite")</f>
        <v>General Petite</v>
      </c>
      <c r="J2056" s="13" t="str">
        <f>IFERROR(__xludf.DUMMYFUNCTION("""COMPUTED_VALUE"""),"Dresses")</f>
        <v>Dresses</v>
      </c>
      <c r="K2056" s="13" t="str">
        <f>IFERROR(__xludf.DUMMYFUNCTION("""COMPUTED_VALUE"""),"Dresses")</f>
        <v>Dresses</v>
      </c>
      <c r="L2056" s="13"/>
    </row>
    <row r="2057">
      <c r="A2057" s="13">
        <f>IFERROR(__xludf.DUMMYFUNCTION("""COMPUTED_VALUE"""),2055.0)</f>
        <v>2055</v>
      </c>
      <c r="B2057" s="13">
        <f>IFERROR(__xludf.DUMMYFUNCTION("""COMPUTED_VALUE"""),896.0)</f>
        <v>896</v>
      </c>
      <c r="C2057" s="13">
        <f>IFERROR(__xludf.DUMMYFUNCTION("""COMPUTED_VALUE"""),39.0)</f>
        <v>39</v>
      </c>
      <c r="D2057" s="12" t="str">
        <f>IFERROR(__xludf.DUMMYFUNCTION("""COMPUTED_VALUE"""),"Finally saw it in person")</f>
        <v>Finally saw it in person</v>
      </c>
      <c r="E2057" s="12" t="str">
        <f>IFERROR(__xludf.DUMMYFUNCTION("""COMPUTED_VALUE"""),"I had my eye on this for a while, and my store finally got it in (in tmie for the 40% off sweaters). too bad hte petite size was already sold out by then, however good thing isthe xs stil lfit me in a nice way. i wil lnever know about petite, decided to j"&amp;"sut purchase as is (they don't have xxs either#. the fit is on hte looser comfortable side. the red color is rich, and the design is subtle, adn will nto fall apart, so it add some interest to an otherwise typical pullover. will look nice with j")</f>
        <v>I had my eye on this for a while, and my store finally got it in (in tmie for the 40% off sweaters). too bad hte petite size was already sold out by then, however good thing isthe xs stil lfit me in a nice way. i wil lnever know about petite, decided to jsut purchase as is (they don't have xxs either#. the fit is on hte looser comfortable side. the red color is rich, and the design is subtle, adn will nto fall apart, so it add some interest to an otherwise typical pullover. will look nice with j</v>
      </c>
      <c r="F2057" s="13">
        <f>IFERROR(__xludf.DUMMYFUNCTION("""COMPUTED_VALUE"""),5.0)</f>
        <v>5</v>
      </c>
      <c r="G2057" s="13">
        <f>IFERROR(__xludf.DUMMYFUNCTION("""COMPUTED_VALUE"""),1.0)</f>
        <v>1</v>
      </c>
      <c r="H2057" s="13">
        <f>IFERROR(__xludf.DUMMYFUNCTION("""COMPUTED_VALUE"""),0.0)</f>
        <v>0</v>
      </c>
      <c r="I2057" s="13" t="str">
        <f>IFERROR(__xludf.DUMMYFUNCTION("""COMPUTED_VALUE"""),"General")</f>
        <v>General</v>
      </c>
      <c r="J2057" s="13" t="str">
        <f>IFERROR(__xludf.DUMMYFUNCTION("""COMPUTED_VALUE"""),"Tops")</f>
        <v>Tops</v>
      </c>
      <c r="K2057" s="13" t="str">
        <f>IFERROR(__xludf.DUMMYFUNCTION("""COMPUTED_VALUE"""),"Fine gauge")</f>
        <v>Fine gauge</v>
      </c>
      <c r="L2057" s="13"/>
    </row>
    <row r="2058">
      <c r="A2058" s="13">
        <f>IFERROR(__xludf.DUMMYFUNCTION("""COMPUTED_VALUE"""),2056.0)</f>
        <v>2056</v>
      </c>
      <c r="B2058" s="13">
        <f>IFERROR(__xludf.DUMMYFUNCTION("""COMPUTED_VALUE"""),1072.0)</f>
        <v>1072</v>
      </c>
      <c r="C2058" s="13">
        <f>IFERROR(__xludf.DUMMYFUNCTION("""COMPUTED_VALUE"""),58.0)</f>
        <v>58</v>
      </c>
      <c r="D2058" s="12" t="str">
        <f>IFERROR(__xludf.DUMMYFUNCTION("""COMPUTED_VALUE"""),"Go to dress")</f>
        <v>Go to dress</v>
      </c>
      <c r="E2058" s="12" t="str">
        <f>IFERROR(__xludf.DUMMYFUNCTION("""COMPUTED_VALUE"""),"This is a great dress for those days where you just want to throw something on but still look put together. it hangs so well and feels so comfortable yet it has a style that is a combination of bohemian and part sophisticated . the colors are muted but th"&amp;"ey work so well. i wear it with flat strap sandals and have also paired it with wedges. i receive tons of compliments and have to make sure my daughter doesn't try to borrow it. would highly recommend.")</f>
        <v>This is a great dress for those days where you just want to throw something on but still look put together. it hangs so well and feels so comfortable yet it has a style that is a combination of bohemian and part sophisticated . the colors are muted but they work so well. i wear it with flat strap sandals and have also paired it with wedges. i receive tons of compliments and have to make sure my daughter doesn't try to borrow it. would highly recommend.</v>
      </c>
      <c r="F2058" s="13">
        <f>IFERROR(__xludf.DUMMYFUNCTION("""COMPUTED_VALUE"""),5.0)</f>
        <v>5</v>
      </c>
      <c r="G2058" s="13">
        <f>IFERROR(__xludf.DUMMYFUNCTION("""COMPUTED_VALUE"""),1.0)</f>
        <v>1</v>
      </c>
      <c r="H2058" s="13">
        <f>IFERROR(__xludf.DUMMYFUNCTION("""COMPUTED_VALUE"""),1.0)</f>
        <v>1</v>
      </c>
      <c r="I2058" s="13" t="str">
        <f>IFERROR(__xludf.DUMMYFUNCTION("""COMPUTED_VALUE"""),"General Petite")</f>
        <v>General Petite</v>
      </c>
      <c r="J2058" s="13" t="str">
        <f>IFERROR(__xludf.DUMMYFUNCTION("""COMPUTED_VALUE"""),"Dresses")</f>
        <v>Dresses</v>
      </c>
      <c r="K2058" s="13" t="str">
        <f>IFERROR(__xludf.DUMMYFUNCTION("""COMPUTED_VALUE"""),"Dresses")</f>
        <v>Dresses</v>
      </c>
      <c r="L2058" s="13"/>
    </row>
    <row r="2059">
      <c r="A2059" s="13">
        <f>IFERROR(__xludf.DUMMYFUNCTION("""COMPUTED_VALUE"""),2057.0)</f>
        <v>2057</v>
      </c>
      <c r="B2059" s="13">
        <f>IFERROR(__xludf.DUMMYFUNCTION("""COMPUTED_VALUE"""),862.0)</f>
        <v>862</v>
      </c>
      <c r="C2059" s="13">
        <f>IFERROR(__xludf.DUMMYFUNCTION("""COMPUTED_VALUE"""),42.0)</f>
        <v>42</v>
      </c>
      <c r="D2059" s="12" t="str">
        <f>IFERROR(__xludf.DUMMYFUNCTION("""COMPUTED_VALUE"""),"Too big!")</f>
        <v>Too big!</v>
      </c>
      <c r="E2059" s="12" t="str">
        <f>IFERROR(__xludf.DUMMYFUNCTION("""COMPUTED_VALUE"""),"I wear a size 4 and i ordered the small for this top. it is huge and gave me a maternity-look that i wasn't going for. i was hoping for a loose, body-skimming fit as shown on the model in the picture but that wasn't happening with this top.")</f>
        <v>I wear a size 4 and i ordered the small for this top. it is huge and gave me a maternity-look that i wasn't going for. i was hoping for a loose, body-skimming fit as shown on the model in the picture but that wasn't happening with this top.</v>
      </c>
      <c r="F2059" s="13">
        <f>IFERROR(__xludf.DUMMYFUNCTION("""COMPUTED_VALUE"""),3.0)</f>
        <v>3</v>
      </c>
      <c r="G2059" s="13">
        <f>IFERROR(__xludf.DUMMYFUNCTION("""COMPUTED_VALUE"""),0.0)</f>
        <v>0</v>
      </c>
      <c r="H2059" s="13">
        <f>IFERROR(__xludf.DUMMYFUNCTION("""COMPUTED_VALUE"""),10.0)</f>
        <v>10</v>
      </c>
      <c r="I2059" s="13" t="str">
        <f>IFERROR(__xludf.DUMMYFUNCTION("""COMPUTED_VALUE"""),"General")</f>
        <v>General</v>
      </c>
      <c r="J2059" s="13" t="str">
        <f>IFERROR(__xludf.DUMMYFUNCTION("""COMPUTED_VALUE"""),"Tops")</f>
        <v>Tops</v>
      </c>
      <c r="K2059" s="13" t="str">
        <f>IFERROR(__xludf.DUMMYFUNCTION("""COMPUTED_VALUE"""),"Knits")</f>
        <v>Knits</v>
      </c>
      <c r="L2059" s="13"/>
    </row>
    <row r="2060">
      <c r="A2060" s="13">
        <f>IFERROR(__xludf.DUMMYFUNCTION("""COMPUTED_VALUE"""),2058.0)</f>
        <v>2058</v>
      </c>
      <c r="B2060" s="13">
        <f>IFERROR(__xludf.DUMMYFUNCTION("""COMPUTED_VALUE"""),862.0)</f>
        <v>862</v>
      </c>
      <c r="C2060" s="13">
        <f>IFERROR(__xludf.DUMMYFUNCTION("""COMPUTED_VALUE"""),57.0)</f>
        <v>57</v>
      </c>
      <c r="D2060" s="12"/>
      <c r="E2060" s="12" t="str">
        <f>IFERROR(__xludf.DUMMYFUNCTION("""COMPUTED_VALUE"""),"Love this layering piece! a little low cut for my personal comfort, but a tank underneath works great.")</f>
        <v>Love this layering piece! a little low cut for my personal comfort, but a tank underneath works great.</v>
      </c>
      <c r="F2060" s="13">
        <f>IFERROR(__xludf.DUMMYFUNCTION("""COMPUTED_VALUE"""),5.0)</f>
        <v>5</v>
      </c>
      <c r="G2060" s="13">
        <f>IFERROR(__xludf.DUMMYFUNCTION("""COMPUTED_VALUE"""),1.0)</f>
        <v>1</v>
      </c>
      <c r="H2060" s="13">
        <f>IFERROR(__xludf.DUMMYFUNCTION("""COMPUTED_VALUE"""),0.0)</f>
        <v>0</v>
      </c>
      <c r="I2060" s="13" t="str">
        <f>IFERROR(__xludf.DUMMYFUNCTION("""COMPUTED_VALUE"""),"General")</f>
        <v>General</v>
      </c>
      <c r="J2060" s="13" t="str">
        <f>IFERROR(__xludf.DUMMYFUNCTION("""COMPUTED_VALUE"""),"Tops")</f>
        <v>Tops</v>
      </c>
      <c r="K2060" s="13" t="str">
        <f>IFERROR(__xludf.DUMMYFUNCTION("""COMPUTED_VALUE"""),"Knits")</f>
        <v>Knits</v>
      </c>
      <c r="L2060" s="13"/>
    </row>
    <row r="2061">
      <c r="A2061" s="13">
        <f>IFERROR(__xludf.DUMMYFUNCTION("""COMPUTED_VALUE"""),2059.0)</f>
        <v>2059</v>
      </c>
      <c r="B2061" s="13">
        <f>IFERROR(__xludf.DUMMYFUNCTION("""COMPUTED_VALUE"""),1072.0)</f>
        <v>1072</v>
      </c>
      <c r="C2061" s="13">
        <f>IFERROR(__xludf.DUMMYFUNCTION("""COMPUTED_VALUE"""),38.0)</f>
        <v>38</v>
      </c>
      <c r="D2061" s="12" t="str">
        <f>IFERROR(__xludf.DUMMYFUNCTION("""COMPUTED_VALUE"""),"Love this dress!!!")</f>
        <v>Love this dress!!!</v>
      </c>
      <c r="E2061" s="12" t="str">
        <f>IFERROR(__xludf.DUMMYFUNCTION("""COMPUTED_VALUE"""),"I originally purchased a small after reading some of the reviews. although it did fit, i felt it was just slightly snug across the chest and upper arms. i returned for a medium (my usual size) and it was perfect. it had the same look and flow as what you "&amp;"see in the model pics. i love love love that it is long-sleeved and has pockets!!!!! i went ahead and ordered the other print as well! i wore the first one to work with some knee high boots and got many compliments. highly recommend!")</f>
        <v>I originally purchased a small after reading some of the reviews. although it did fit, i felt it was just slightly snug across the chest and upper arms. i returned for a medium (my usual size) and it was perfect. it had the same look and flow as what you see in the model pics. i love love love that it is long-sleeved and has pockets!!!!! i went ahead and ordered the other print as well! i wore the first one to work with some knee high boots and got many compliments. highly recommend!</v>
      </c>
      <c r="F2061" s="13">
        <f>IFERROR(__xludf.DUMMYFUNCTION("""COMPUTED_VALUE"""),5.0)</f>
        <v>5</v>
      </c>
      <c r="G2061" s="13">
        <f>IFERROR(__xludf.DUMMYFUNCTION("""COMPUTED_VALUE"""),1.0)</f>
        <v>1</v>
      </c>
      <c r="H2061" s="13">
        <f>IFERROR(__xludf.DUMMYFUNCTION("""COMPUTED_VALUE"""),0.0)</f>
        <v>0</v>
      </c>
      <c r="I2061" s="13" t="str">
        <f>IFERROR(__xludf.DUMMYFUNCTION("""COMPUTED_VALUE"""),"General Petite")</f>
        <v>General Petite</v>
      </c>
      <c r="J2061" s="13" t="str">
        <f>IFERROR(__xludf.DUMMYFUNCTION("""COMPUTED_VALUE"""),"Dresses")</f>
        <v>Dresses</v>
      </c>
      <c r="K2061" s="13" t="str">
        <f>IFERROR(__xludf.DUMMYFUNCTION("""COMPUTED_VALUE"""),"Dresses")</f>
        <v>Dresses</v>
      </c>
      <c r="L2061" s="13"/>
    </row>
    <row r="2062">
      <c r="A2062" s="13">
        <f>IFERROR(__xludf.DUMMYFUNCTION("""COMPUTED_VALUE"""),2060.0)</f>
        <v>2060</v>
      </c>
      <c r="B2062" s="13">
        <f>IFERROR(__xludf.DUMMYFUNCTION("""COMPUTED_VALUE"""),1092.0)</f>
        <v>1092</v>
      </c>
      <c r="C2062" s="13">
        <f>IFERROR(__xludf.DUMMYFUNCTION("""COMPUTED_VALUE"""),41.0)</f>
        <v>41</v>
      </c>
      <c r="D2062" s="12" t="str">
        <f>IFERROR(__xludf.DUMMYFUNCTION("""COMPUTED_VALUE"""),"Absolutely beautiful")</f>
        <v>Absolutely beautiful</v>
      </c>
      <c r="E2062" s="12" t="str">
        <f>IFERROR(__xludf.DUMMYFUNCTION("""COMPUTED_VALUE"""),"Love love love this dress.  fits like a glove. beautiful details. amazing quality. i'm so happy with this dress and know i'll have it for years. :)")</f>
        <v>Love love love this dress.  fits like a glove. beautiful details. amazing quality. i'm so happy with this dress and know i'll have it for years. :)</v>
      </c>
      <c r="F2062" s="13">
        <f>IFERROR(__xludf.DUMMYFUNCTION("""COMPUTED_VALUE"""),5.0)</f>
        <v>5</v>
      </c>
      <c r="G2062" s="13">
        <f>IFERROR(__xludf.DUMMYFUNCTION("""COMPUTED_VALUE"""),1.0)</f>
        <v>1</v>
      </c>
      <c r="H2062" s="13">
        <f>IFERROR(__xludf.DUMMYFUNCTION("""COMPUTED_VALUE"""),0.0)</f>
        <v>0</v>
      </c>
      <c r="I2062" s="13" t="str">
        <f>IFERROR(__xludf.DUMMYFUNCTION("""COMPUTED_VALUE"""),"General Petite")</f>
        <v>General Petite</v>
      </c>
      <c r="J2062" s="13" t="str">
        <f>IFERROR(__xludf.DUMMYFUNCTION("""COMPUTED_VALUE"""),"Dresses")</f>
        <v>Dresses</v>
      </c>
      <c r="K2062" s="13" t="str">
        <f>IFERROR(__xludf.DUMMYFUNCTION("""COMPUTED_VALUE"""),"Dresses")</f>
        <v>Dresses</v>
      </c>
      <c r="L2062" s="13"/>
    </row>
    <row r="2063">
      <c r="A2063" s="13">
        <f>IFERROR(__xludf.DUMMYFUNCTION("""COMPUTED_VALUE"""),2061.0)</f>
        <v>2061</v>
      </c>
      <c r="B2063" s="13">
        <f>IFERROR(__xludf.DUMMYFUNCTION("""COMPUTED_VALUE"""),1126.0)</f>
        <v>1126</v>
      </c>
      <c r="C2063" s="13">
        <f>IFERROR(__xludf.DUMMYFUNCTION("""COMPUTED_VALUE"""),61.0)</f>
        <v>61</v>
      </c>
      <c r="D2063" s="12"/>
      <c r="E2063" s="12" t="str">
        <f>IFERROR(__xludf.DUMMYFUNCTION("""COMPUTED_VALUE"""),"This jacket is gorgeous! the design is visually very interesting. the fabric is light enough that i can wear it to work and keep it on all day.")</f>
        <v>This jacket is gorgeous! the design is visually very interesting. the fabric is light enough that i can wear it to work and keep it on all day.</v>
      </c>
      <c r="F2063" s="13">
        <f>IFERROR(__xludf.DUMMYFUNCTION("""COMPUTED_VALUE"""),5.0)</f>
        <v>5</v>
      </c>
      <c r="G2063" s="13">
        <f>IFERROR(__xludf.DUMMYFUNCTION("""COMPUTED_VALUE"""),1.0)</f>
        <v>1</v>
      </c>
      <c r="H2063" s="13">
        <f>IFERROR(__xludf.DUMMYFUNCTION("""COMPUTED_VALUE"""),1.0)</f>
        <v>1</v>
      </c>
      <c r="I2063" s="13" t="str">
        <f>IFERROR(__xludf.DUMMYFUNCTION("""COMPUTED_VALUE"""),"General")</f>
        <v>General</v>
      </c>
      <c r="J2063" s="13" t="str">
        <f>IFERROR(__xludf.DUMMYFUNCTION("""COMPUTED_VALUE"""),"Jackets")</f>
        <v>Jackets</v>
      </c>
      <c r="K2063" s="13" t="str">
        <f>IFERROR(__xludf.DUMMYFUNCTION("""COMPUTED_VALUE"""),"Outerwear")</f>
        <v>Outerwear</v>
      </c>
      <c r="L2063" s="13"/>
    </row>
    <row r="2064">
      <c r="A2064" s="13">
        <f>IFERROR(__xludf.DUMMYFUNCTION("""COMPUTED_VALUE"""),2062.0)</f>
        <v>2062</v>
      </c>
      <c r="B2064" s="13">
        <f>IFERROR(__xludf.DUMMYFUNCTION("""COMPUTED_VALUE"""),896.0)</f>
        <v>896</v>
      </c>
      <c r="C2064" s="13">
        <f>IFERROR(__xludf.DUMMYFUNCTION("""COMPUTED_VALUE"""),39.0)</f>
        <v>39</v>
      </c>
      <c r="D2064" s="12"/>
      <c r="E2064" s="12" t="str">
        <f>IFERROR(__xludf.DUMMYFUNCTION("""COMPUTED_VALUE"""),"Love this sweater! the abstract floral design adds an understated romantic touch, the red is a beautiful rich red, and the cotton is super soft and comfy. i've tried it on with pencil skirts and jeans, and it looks great with both. i'm considering buying "&amp;"it in the off white too, but it does have some cons. one is the waist band hits me where it does on the model and if you look closely you can see where the sweater poof out over the band a bit--it does that on me too, unless i turn the band up t")</f>
        <v>Love this sweater! the abstract floral design adds an understated romantic touch, the red is a beautiful rich red, and the cotton is super soft and comfy. i've tried it on with pencil skirts and jeans, and it looks great with both. i'm considering buying it in the off white too, but it does have some cons. one is the waist band hits me where it does on the model and if you look closely you can see where the sweater poof out over the band a bit--it does that on me too, unless i turn the band up t</v>
      </c>
      <c r="F2064" s="13">
        <f>IFERROR(__xludf.DUMMYFUNCTION("""COMPUTED_VALUE"""),5.0)</f>
        <v>5</v>
      </c>
      <c r="G2064" s="13">
        <f>IFERROR(__xludf.DUMMYFUNCTION("""COMPUTED_VALUE"""),1.0)</f>
        <v>1</v>
      </c>
      <c r="H2064" s="13">
        <f>IFERROR(__xludf.DUMMYFUNCTION("""COMPUTED_VALUE"""),6.0)</f>
        <v>6</v>
      </c>
      <c r="I2064" s="13" t="str">
        <f>IFERROR(__xludf.DUMMYFUNCTION("""COMPUTED_VALUE"""),"General")</f>
        <v>General</v>
      </c>
      <c r="J2064" s="13" t="str">
        <f>IFERROR(__xludf.DUMMYFUNCTION("""COMPUTED_VALUE"""),"Tops")</f>
        <v>Tops</v>
      </c>
      <c r="K2064" s="13" t="str">
        <f>IFERROR(__xludf.DUMMYFUNCTION("""COMPUTED_VALUE"""),"Fine gauge")</f>
        <v>Fine gauge</v>
      </c>
      <c r="L2064" s="13"/>
    </row>
    <row r="2065">
      <c r="A2065" s="13">
        <f>IFERROR(__xludf.DUMMYFUNCTION("""COMPUTED_VALUE"""),2063.0)</f>
        <v>2063</v>
      </c>
      <c r="B2065" s="13">
        <f>IFERROR(__xludf.DUMMYFUNCTION("""COMPUTED_VALUE"""),872.0)</f>
        <v>872</v>
      </c>
      <c r="C2065" s="13">
        <f>IFERROR(__xludf.DUMMYFUNCTION("""COMPUTED_VALUE"""),26.0)</f>
        <v>26</v>
      </c>
      <c r="D2065" s="12"/>
      <c r="E2065" s="12"/>
      <c r="F2065" s="13">
        <f>IFERROR(__xludf.DUMMYFUNCTION("""COMPUTED_VALUE"""),3.0)</f>
        <v>3</v>
      </c>
      <c r="G2065" s="13">
        <f>IFERROR(__xludf.DUMMYFUNCTION("""COMPUTED_VALUE"""),0.0)</f>
        <v>0</v>
      </c>
      <c r="H2065" s="13">
        <f>IFERROR(__xludf.DUMMYFUNCTION("""COMPUTED_VALUE"""),0.0)</f>
        <v>0</v>
      </c>
      <c r="I2065" s="13" t="str">
        <f>IFERROR(__xludf.DUMMYFUNCTION("""COMPUTED_VALUE"""),"General Petite")</f>
        <v>General Petite</v>
      </c>
      <c r="J2065" s="13" t="str">
        <f>IFERROR(__xludf.DUMMYFUNCTION("""COMPUTED_VALUE"""),"Tops")</f>
        <v>Tops</v>
      </c>
      <c r="K2065" s="13" t="str">
        <f>IFERROR(__xludf.DUMMYFUNCTION("""COMPUTED_VALUE"""),"Knits")</f>
        <v>Knits</v>
      </c>
      <c r="L2065" s="13"/>
    </row>
    <row r="2066">
      <c r="A2066" s="13">
        <f>IFERROR(__xludf.DUMMYFUNCTION("""COMPUTED_VALUE"""),2064.0)</f>
        <v>2064</v>
      </c>
      <c r="B2066" s="13">
        <f>IFERROR(__xludf.DUMMYFUNCTION("""COMPUTED_VALUE"""),896.0)</f>
        <v>896</v>
      </c>
      <c r="C2066" s="13">
        <f>IFERROR(__xludf.DUMMYFUNCTION("""COMPUTED_VALUE"""),63.0)</f>
        <v>63</v>
      </c>
      <c r="D2066" s="12" t="str">
        <f>IFERROR(__xludf.DUMMYFUNCTION("""COMPUTED_VALUE"""),"Love this sweater!!")</f>
        <v>Love this sweater!!</v>
      </c>
      <c r="E2066" s="12" t="str">
        <f>IFERROR(__xludf.DUMMYFUNCTION("""COMPUTED_VALUE"""),"I am totally in love with this sweater!! it is lightweight, comfortable, and very versatile. throw on a pair of jeans and it is casual. throw on dark slacks or a skirt and it is dressy. the design does not become the focus of the sweater but rather takes "&amp;"it up a notch making it a fun piece to wear. the color is not a light red, but rather a rich cabernet wine color. this sweater is well on its way to becoming one of my all time favorites!!")</f>
        <v>I am totally in love with this sweater!! it is lightweight, comfortable, and very versatile. throw on a pair of jeans and it is casual. throw on dark slacks or a skirt and it is dressy. the design does not become the focus of the sweater but rather takes it up a notch making it a fun piece to wear. the color is not a light red, but rather a rich cabernet wine color. this sweater is well on its way to becoming one of my all time favorites!!</v>
      </c>
      <c r="F2066" s="13">
        <f>IFERROR(__xludf.DUMMYFUNCTION("""COMPUTED_VALUE"""),5.0)</f>
        <v>5</v>
      </c>
      <c r="G2066" s="13">
        <f>IFERROR(__xludf.DUMMYFUNCTION("""COMPUTED_VALUE"""),1.0)</f>
        <v>1</v>
      </c>
      <c r="H2066" s="13">
        <f>IFERROR(__xludf.DUMMYFUNCTION("""COMPUTED_VALUE"""),4.0)</f>
        <v>4</v>
      </c>
      <c r="I2066" s="13" t="str">
        <f>IFERROR(__xludf.DUMMYFUNCTION("""COMPUTED_VALUE"""),"General")</f>
        <v>General</v>
      </c>
      <c r="J2066" s="13" t="str">
        <f>IFERROR(__xludf.DUMMYFUNCTION("""COMPUTED_VALUE"""),"Tops")</f>
        <v>Tops</v>
      </c>
      <c r="K2066" s="13" t="str">
        <f>IFERROR(__xludf.DUMMYFUNCTION("""COMPUTED_VALUE"""),"Fine gauge")</f>
        <v>Fine gauge</v>
      </c>
      <c r="L2066" s="13"/>
    </row>
    <row r="2067">
      <c r="A2067" s="13">
        <f>IFERROR(__xludf.DUMMYFUNCTION("""COMPUTED_VALUE"""),2065.0)</f>
        <v>2065</v>
      </c>
      <c r="B2067" s="13">
        <f>IFERROR(__xludf.DUMMYFUNCTION("""COMPUTED_VALUE"""),872.0)</f>
        <v>872</v>
      </c>
      <c r="C2067" s="13">
        <f>IFERROR(__xludf.DUMMYFUNCTION("""COMPUTED_VALUE"""),23.0)</f>
        <v>23</v>
      </c>
      <c r="D2067" s="12" t="str">
        <f>IFERROR(__xludf.DUMMYFUNCTION("""COMPUTED_VALUE"""),"Love!")</f>
        <v>Love!</v>
      </c>
      <c r="E2067" s="12" t="str">
        <f>IFERROR(__xludf.DUMMYFUNCTION("""COMPUTED_VALUE"""),"I was very nervous to buy this top, but because it was on such an excellent sale i went for it- tops like this usually end in me showing a ridiculous amount of cleavage or not being able to zip (i am a 32ddd) it past my waist. i ordered a small based on t"&amp;"he other reviews and it fits perfectly! the wrap top is perfect and shows off my curves without showing too much. the fabric is very unique and the whole top is lined with a nice nylon/cotton blend so it is very soft and comfortable to wear. def")</f>
        <v>I was very nervous to buy this top, but because it was on such an excellent sale i went for it- tops like this usually end in me showing a ridiculous amount of cleavage or not being able to zip (i am a 32ddd) it past my waist. i ordered a small based on the other reviews and it fits perfectly! the wrap top is perfect and shows off my curves without showing too much. the fabric is very unique and the whole top is lined with a nice nylon/cotton blend so it is very soft and comfortable to wear. def</v>
      </c>
      <c r="F2067" s="13">
        <f>IFERROR(__xludf.DUMMYFUNCTION("""COMPUTED_VALUE"""),5.0)</f>
        <v>5</v>
      </c>
      <c r="G2067" s="13">
        <f>IFERROR(__xludf.DUMMYFUNCTION("""COMPUTED_VALUE"""),1.0)</f>
        <v>1</v>
      </c>
      <c r="H2067" s="13">
        <f>IFERROR(__xludf.DUMMYFUNCTION("""COMPUTED_VALUE"""),0.0)</f>
        <v>0</v>
      </c>
      <c r="I2067" s="13" t="str">
        <f>IFERROR(__xludf.DUMMYFUNCTION("""COMPUTED_VALUE"""),"General Petite")</f>
        <v>General Petite</v>
      </c>
      <c r="J2067" s="13" t="str">
        <f>IFERROR(__xludf.DUMMYFUNCTION("""COMPUTED_VALUE"""),"Tops")</f>
        <v>Tops</v>
      </c>
      <c r="K2067" s="13" t="str">
        <f>IFERROR(__xludf.DUMMYFUNCTION("""COMPUTED_VALUE"""),"Knits")</f>
        <v>Knits</v>
      </c>
      <c r="L2067" s="13"/>
    </row>
    <row r="2068">
      <c r="A2068" s="13">
        <f>IFERROR(__xludf.DUMMYFUNCTION("""COMPUTED_VALUE"""),2066.0)</f>
        <v>2066</v>
      </c>
      <c r="B2068" s="13">
        <f>IFERROR(__xludf.DUMMYFUNCTION("""COMPUTED_VALUE"""),1072.0)</f>
        <v>1072</v>
      </c>
      <c r="C2068" s="13">
        <f>IFERROR(__xludf.DUMMYFUNCTION("""COMPUTED_VALUE"""),59.0)</f>
        <v>59</v>
      </c>
      <c r="D2068" s="12" t="str">
        <f>IFERROR(__xludf.DUMMYFUNCTION("""COMPUTED_VALUE"""),"A bit big")</f>
        <v>A bit big</v>
      </c>
      <c r="E2068" s="12" t="str">
        <f>IFERROR(__xludf.DUMMYFUNCTION("""COMPUTED_VALUE"""),"I really loved the colors in this dress and was looking for a long sleeve dress. this style may just be big fitting but the sleeves were way too long and the dress was just shapeless on me. i usually wear a small or a size 4 in clothing and the size small"&amp;" in this dress was way too big. the x-small may have been a better fit but this dress was on backorder and i just received it right before we are going on a trip. there's no time to order the x-small but maybe i can look at it again when we retu")</f>
        <v>I really loved the colors in this dress and was looking for a long sleeve dress. this style may just be big fitting but the sleeves were way too long and the dress was just shapeless on me. i usually wear a small or a size 4 in clothing and the size small in this dress was way too big. the x-small may have been a better fit but this dress was on backorder and i just received it right before we are going on a trip. there's no time to order the x-small but maybe i can look at it again when we retu</v>
      </c>
      <c r="F2068" s="13">
        <f>IFERROR(__xludf.DUMMYFUNCTION("""COMPUTED_VALUE"""),4.0)</f>
        <v>4</v>
      </c>
      <c r="G2068" s="13">
        <f>IFERROR(__xludf.DUMMYFUNCTION("""COMPUTED_VALUE"""),1.0)</f>
        <v>1</v>
      </c>
      <c r="H2068" s="13">
        <f>IFERROR(__xludf.DUMMYFUNCTION("""COMPUTED_VALUE"""),4.0)</f>
        <v>4</v>
      </c>
      <c r="I2068" s="13" t="str">
        <f>IFERROR(__xludf.DUMMYFUNCTION("""COMPUTED_VALUE"""),"General Petite")</f>
        <v>General Petite</v>
      </c>
      <c r="J2068" s="13" t="str">
        <f>IFERROR(__xludf.DUMMYFUNCTION("""COMPUTED_VALUE"""),"Dresses")</f>
        <v>Dresses</v>
      </c>
      <c r="K2068" s="13" t="str">
        <f>IFERROR(__xludf.DUMMYFUNCTION("""COMPUTED_VALUE"""),"Dresses")</f>
        <v>Dresses</v>
      </c>
      <c r="L2068" s="13"/>
    </row>
    <row r="2069">
      <c r="A2069" s="13">
        <f>IFERROR(__xludf.DUMMYFUNCTION("""COMPUTED_VALUE"""),2067.0)</f>
        <v>2067</v>
      </c>
      <c r="B2069" s="13">
        <f>IFERROR(__xludf.DUMMYFUNCTION("""COMPUTED_VALUE"""),850.0)</f>
        <v>850</v>
      </c>
      <c r="C2069" s="13">
        <f>IFERROR(__xludf.DUMMYFUNCTION("""COMPUTED_VALUE"""),63.0)</f>
        <v>63</v>
      </c>
      <c r="D2069" s="12" t="str">
        <f>IFERROR(__xludf.DUMMYFUNCTION("""COMPUTED_VALUE"""),"Gorgeous top but very high-waisted")</f>
        <v>Gorgeous top but very high-waisted</v>
      </c>
      <c r="E2069" s="12" t="str">
        <f>IFERROR(__xludf.DUMMYFUNCTION("""COMPUTED_VALUE"""),"I love everything about this blouse except for one thing: the peplum just hits way too high up on the body, and i am only 5'4"". 106 and ordered a regular size 2 (not petite) which fits perfectly except for this. it is made of a beautiful textured fabric "&amp;"and is very nice quality. i adore peplums and own many and like the peplum to begin near the waist. however, others may not mind the higher waist and in that case it may work for them. i really hated to send it back it was so pretty but it just w")</f>
        <v>I love everything about this blouse except for one thing: the peplum just hits way too high up on the body, and i am only 5'4". 106 and ordered a regular size 2 (not petite) which fits perfectly except for this. it is made of a beautiful textured fabric and is very nice quality. i adore peplums and own many and like the peplum to begin near the waist. however, others may not mind the higher waist and in that case it may work for them. i really hated to send it back it was so pretty but it just w</v>
      </c>
      <c r="F2069" s="13">
        <f>IFERROR(__xludf.DUMMYFUNCTION("""COMPUTED_VALUE"""),4.0)</f>
        <v>4</v>
      </c>
      <c r="G2069" s="13">
        <f>IFERROR(__xludf.DUMMYFUNCTION("""COMPUTED_VALUE"""),1.0)</f>
        <v>1</v>
      </c>
      <c r="H2069" s="13">
        <f>IFERROR(__xludf.DUMMYFUNCTION("""COMPUTED_VALUE"""),19.0)</f>
        <v>19</v>
      </c>
      <c r="I2069" s="13" t="str">
        <f>IFERROR(__xludf.DUMMYFUNCTION("""COMPUTED_VALUE"""),"General Petite")</f>
        <v>General Petite</v>
      </c>
      <c r="J2069" s="13" t="str">
        <f>IFERROR(__xludf.DUMMYFUNCTION("""COMPUTED_VALUE"""),"Tops")</f>
        <v>Tops</v>
      </c>
      <c r="K2069" s="13" t="str">
        <f>IFERROR(__xludf.DUMMYFUNCTION("""COMPUTED_VALUE"""),"Blouses")</f>
        <v>Blouses</v>
      </c>
      <c r="L2069" s="13"/>
    </row>
    <row r="2070">
      <c r="A2070" s="13">
        <f>IFERROR(__xludf.DUMMYFUNCTION("""COMPUTED_VALUE"""),2068.0)</f>
        <v>2068</v>
      </c>
      <c r="B2070" s="13">
        <f>IFERROR(__xludf.DUMMYFUNCTION("""COMPUTED_VALUE"""),872.0)</f>
        <v>872</v>
      </c>
      <c r="C2070" s="13">
        <f>IFERROR(__xludf.DUMMYFUNCTION("""COMPUTED_VALUE"""),42.0)</f>
        <v>42</v>
      </c>
      <c r="D2070" s="12" t="str">
        <f>IFERROR(__xludf.DUMMYFUNCTION("""COMPUTED_VALUE"""),"Too cute but ...")</f>
        <v>Too cute but ...</v>
      </c>
      <c r="E2070" s="12" t="str">
        <f>IFERROR(__xludf.DUMMYFUNCTION("""COMPUTED_VALUE"""),"Super cute, flattering design but the material is itchy so it's going back:(")</f>
        <v>Super cute, flattering design but the material is itchy so it's going back:(</v>
      </c>
      <c r="F2070" s="13">
        <f>IFERROR(__xludf.DUMMYFUNCTION("""COMPUTED_VALUE"""),3.0)</f>
        <v>3</v>
      </c>
      <c r="G2070" s="13">
        <f>IFERROR(__xludf.DUMMYFUNCTION("""COMPUTED_VALUE"""),0.0)</f>
        <v>0</v>
      </c>
      <c r="H2070" s="13">
        <f>IFERROR(__xludf.DUMMYFUNCTION("""COMPUTED_VALUE"""),0.0)</f>
        <v>0</v>
      </c>
      <c r="I2070" s="13" t="str">
        <f>IFERROR(__xludf.DUMMYFUNCTION("""COMPUTED_VALUE"""),"General Petite")</f>
        <v>General Petite</v>
      </c>
      <c r="J2070" s="13" t="str">
        <f>IFERROR(__xludf.DUMMYFUNCTION("""COMPUTED_VALUE"""),"Tops")</f>
        <v>Tops</v>
      </c>
      <c r="K2070" s="13" t="str">
        <f>IFERROR(__xludf.DUMMYFUNCTION("""COMPUTED_VALUE"""),"Knits")</f>
        <v>Knits</v>
      </c>
      <c r="L2070" s="13"/>
    </row>
    <row r="2071">
      <c r="A2071" s="13">
        <f>IFERROR(__xludf.DUMMYFUNCTION("""COMPUTED_VALUE"""),2069.0)</f>
        <v>2069</v>
      </c>
      <c r="B2071" s="13">
        <f>IFERROR(__xludf.DUMMYFUNCTION("""COMPUTED_VALUE"""),1126.0)</f>
        <v>1126</v>
      </c>
      <c r="C2071" s="13">
        <f>IFERROR(__xludf.DUMMYFUNCTION("""COMPUTED_VALUE"""),51.0)</f>
        <v>51</v>
      </c>
      <c r="D2071" s="12" t="str">
        <f>IFERROR(__xludf.DUMMYFUNCTION("""COMPUTED_VALUE"""),"Surprisingly amazing")</f>
        <v>Surprisingly amazing</v>
      </c>
      <c r="E2071" s="12" t="str">
        <f>IFERROR(__xludf.DUMMYFUNCTION("""COMPUTED_VALUE"""),"I tried this on at the store in the regular size it came in and thought maybe it has some potential is i ordered it for me in a petite since that's what i am. i ignored the package when i first got it thinking it wouldn't really look right but omg, it's 1"&amp;"00% amazing and flattering. wear it with skinny jeans, leggings, jeggings, whatever and it's just super awesome on dressed up or down. i'd buy this over and over again without a doubt.")</f>
        <v>I tried this on at the store in the regular size it came in and thought maybe it has some potential is i ordered it for me in a petite since that's what i am. i ignored the package when i first got it thinking it wouldn't really look right but omg, it's 100% amazing and flattering. wear it with skinny jeans, leggings, jeggings, whatever and it's just super awesome on dressed up or down. i'd buy this over and over again without a doubt.</v>
      </c>
      <c r="F2071" s="13">
        <f>IFERROR(__xludf.DUMMYFUNCTION("""COMPUTED_VALUE"""),5.0)</f>
        <v>5</v>
      </c>
      <c r="G2071" s="13">
        <f>IFERROR(__xludf.DUMMYFUNCTION("""COMPUTED_VALUE"""),1.0)</f>
        <v>1</v>
      </c>
      <c r="H2071" s="13">
        <f>IFERROR(__xludf.DUMMYFUNCTION("""COMPUTED_VALUE"""),3.0)</f>
        <v>3</v>
      </c>
      <c r="I2071" s="13" t="str">
        <f>IFERROR(__xludf.DUMMYFUNCTION("""COMPUTED_VALUE"""),"General")</f>
        <v>General</v>
      </c>
      <c r="J2071" s="13" t="str">
        <f>IFERROR(__xludf.DUMMYFUNCTION("""COMPUTED_VALUE"""),"Jackets")</f>
        <v>Jackets</v>
      </c>
      <c r="K2071" s="13" t="str">
        <f>IFERROR(__xludf.DUMMYFUNCTION("""COMPUTED_VALUE"""),"Outerwear")</f>
        <v>Outerwear</v>
      </c>
      <c r="L2071" s="13"/>
    </row>
    <row r="2072">
      <c r="A2072" s="13">
        <f>IFERROR(__xludf.DUMMYFUNCTION("""COMPUTED_VALUE"""),2070.0)</f>
        <v>2070</v>
      </c>
      <c r="B2072" s="13">
        <f>IFERROR(__xludf.DUMMYFUNCTION("""COMPUTED_VALUE"""),850.0)</f>
        <v>850</v>
      </c>
      <c r="C2072" s="13">
        <f>IFERROR(__xludf.DUMMYFUNCTION("""COMPUTED_VALUE"""),23.0)</f>
        <v>23</v>
      </c>
      <c r="D2072" s="12" t="str">
        <f>IFERROR(__xludf.DUMMYFUNCTION("""COMPUTED_VALUE"""),"The most versatile top.")</f>
        <v>The most versatile top.</v>
      </c>
      <c r="E2072" s="12" t="str">
        <f>IFERROR(__xludf.DUMMYFUNCTION("""COMPUTED_VALUE"""),"I bought this shirt to wear to work (i'm a teacher). this shirt is so amazing. i'm able to pair it with work pants to dress it up, and in denim to dress it down. the cut is incredible, with the peplum waist coming right below my breasts a little above my "&amp;"waist. the length is perfect, and it just seems to create the most perfect shape. the material is high quality, and i just love the fabric texture. it's very soft, and gives a tiny bit of stretch, but not much. i did size up in this shirt (i'm u")</f>
        <v>I bought this shirt to wear to work (i'm a teacher). this shirt is so amazing. i'm able to pair it with work pants to dress it up, and in denim to dress it down. the cut is incredible, with the peplum waist coming right below my breasts a little above my waist. the length is perfect, and it just seems to create the most perfect shape. the material is high quality, and i just love the fabric texture. it's very soft, and gives a tiny bit of stretch, but not much. i did size up in this shirt (i'm u</v>
      </c>
      <c r="F2072" s="13">
        <f>IFERROR(__xludf.DUMMYFUNCTION("""COMPUTED_VALUE"""),5.0)</f>
        <v>5</v>
      </c>
      <c r="G2072" s="13">
        <f>IFERROR(__xludf.DUMMYFUNCTION("""COMPUTED_VALUE"""),1.0)</f>
        <v>1</v>
      </c>
      <c r="H2072" s="13">
        <f>IFERROR(__xludf.DUMMYFUNCTION("""COMPUTED_VALUE"""),6.0)</f>
        <v>6</v>
      </c>
      <c r="I2072" s="13" t="str">
        <f>IFERROR(__xludf.DUMMYFUNCTION("""COMPUTED_VALUE"""),"General Petite")</f>
        <v>General Petite</v>
      </c>
      <c r="J2072" s="13" t="str">
        <f>IFERROR(__xludf.DUMMYFUNCTION("""COMPUTED_VALUE"""),"Tops")</f>
        <v>Tops</v>
      </c>
      <c r="K2072" s="13" t="str">
        <f>IFERROR(__xludf.DUMMYFUNCTION("""COMPUTED_VALUE"""),"Blouses")</f>
        <v>Blouses</v>
      </c>
      <c r="L2072" s="13"/>
    </row>
    <row r="2073">
      <c r="A2073" s="13">
        <f>IFERROR(__xludf.DUMMYFUNCTION("""COMPUTED_VALUE"""),2071.0)</f>
        <v>2071</v>
      </c>
      <c r="B2073" s="13">
        <f>IFERROR(__xludf.DUMMYFUNCTION("""COMPUTED_VALUE"""),862.0)</f>
        <v>862</v>
      </c>
      <c r="C2073" s="13">
        <f>IFERROR(__xludf.DUMMYFUNCTION("""COMPUTED_VALUE"""),23.0)</f>
        <v>23</v>
      </c>
      <c r="D2073" s="12" t="str">
        <f>IFERROR(__xludf.DUMMYFUNCTION("""COMPUTED_VALUE"""),"My go-to shirt")</f>
        <v>My go-to shirt</v>
      </c>
      <c r="E2073" s="12" t="str">
        <f>IFERROR(__xludf.DUMMYFUNCTION("""COMPUTED_VALUE"""),"I honestly bought this shirt on a whim the other day in my local retailer. i was drawn to the color and the swing. first of all, this shirt is incredibly soft and lightweight. i love the flow of the loose peplum. the straps are nicely placed, because they"&amp;"'re wider and accentuate my arms (and cover my bra straps). i love the little v neck detail. it shows a little cleavage when bent or hunched over, but the top stays conservative when truly upright. i wore this shirt 3 days in a row last week, and")</f>
        <v>I honestly bought this shirt on a whim the other day in my local retailer. i was drawn to the color and the swing. first of all, this shirt is incredibly soft and lightweight. i love the flow of the loose peplum. the straps are nicely placed, because they're wider and accentuate my arms (and cover my bra straps). i love the little v neck detail. it shows a little cleavage when bent or hunched over, but the top stays conservative when truly upright. i wore this shirt 3 days in a row last week, and</v>
      </c>
      <c r="F2073" s="13">
        <f>IFERROR(__xludf.DUMMYFUNCTION("""COMPUTED_VALUE"""),5.0)</f>
        <v>5</v>
      </c>
      <c r="G2073" s="13">
        <f>IFERROR(__xludf.DUMMYFUNCTION("""COMPUTED_VALUE"""),1.0)</f>
        <v>1</v>
      </c>
      <c r="H2073" s="13">
        <f>IFERROR(__xludf.DUMMYFUNCTION("""COMPUTED_VALUE"""),21.0)</f>
        <v>21</v>
      </c>
      <c r="I2073" s="13" t="str">
        <f>IFERROR(__xludf.DUMMYFUNCTION("""COMPUTED_VALUE"""),"General")</f>
        <v>General</v>
      </c>
      <c r="J2073" s="13" t="str">
        <f>IFERROR(__xludf.DUMMYFUNCTION("""COMPUTED_VALUE"""),"Tops")</f>
        <v>Tops</v>
      </c>
      <c r="K2073" s="13" t="str">
        <f>IFERROR(__xludf.DUMMYFUNCTION("""COMPUTED_VALUE"""),"Knits")</f>
        <v>Knits</v>
      </c>
      <c r="L2073" s="13"/>
    </row>
    <row r="2074">
      <c r="A2074" s="13">
        <f>IFERROR(__xludf.DUMMYFUNCTION("""COMPUTED_VALUE"""),2072.0)</f>
        <v>2072</v>
      </c>
      <c r="B2074" s="13">
        <f>IFERROR(__xludf.DUMMYFUNCTION("""COMPUTED_VALUE"""),1072.0)</f>
        <v>1072</v>
      </c>
      <c r="C2074" s="13">
        <f>IFERROR(__xludf.DUMMYFUNCTION("""COMPUTED_VALUE"""),33.0)</f>
        <v>33</v>
      </c>
      <c r="D2074" s="12" t="str">
        <f>IFERROR(__xludf.DUMMYFUNCTION("""COMPUTED_VALUE"""),"Lovely!")</f>
        <v>Lovely!</v>
      </c>
      <c r="E2074" s="12" t="str">
        <f>IFERROR(__xludf.DUMMYFUNCTION("""COMPUTED_VALUE"""),"Comfortable, relaxed fit. i am very top heavy and the generous cut of this dress worked well!")</f>
        <v>Comfortable, relaxed fit. i am very top heavy and the generous cut of this dress worked well!</v>
      </c>
      <c r="F2074" s="13">
        <f>IFERROR(__xludf.DUMMYFUNCTION("""COMPUTED_VALUE"""),5.0)</f>
        <v>5</v>
      </c>
      <c r="G2074" s="13">
        <f>IFERROR(__xludf.DUMMYFUNCTION("""COMPUTED_VALUE"""),1.0)</f>
        <v>1</v>
      </c>
      <c r="H2074" s="13">
        <f>IFERROR(__xludf.DUMMYFUNCTION("""COMPUTED_VALUE"""),0.0)</f>
        <v>0</v>
      </c>
      <c r="I2074" s="13" t="str">
        <f>IFERROR(__xludf.DUMMYFUNCTION("""COMPUTED_VALUE"""),"General Petite")</f>
        <v>General Petite</v>
      </c>
      <c r="J2074" s="13" t="str">
        <f>IFERROR(__xludf.DUMMYFUNCTION("""COMPUTED_VALUE"""),"Dresses")</f>
        <v>Dresses</v>
      </c>
      <c r="K2074" s="13" t="str">
        <f>IFERROR(__xludf.DUMMYFUNCTION("""COMPUTED_VALUE"""),"Dresses")</f>
        <v>Dresses</v>
      </c>
      <c r="L2074" s="13"/>
    </row>
    <row r="2075">
      <c r="A2075" s="13">
        <f>IFERROR(__xludf.DUMMYFUNCTION("""COMPUTED_VALUE"""),2073.0)</f>
        <v>2073</v>
      </c>
      <c r="B2075" s="13">
        <f>IFERROR(__xludf.DUMMYFUNCTION("""COMPUTED_VALUE"""),862.0)</f>
        <v>862</v>
      </c>
      <c r="C2075" s="13">
        <f>IFERROR(__xludf.DUMMYFUNCTION("""COMPUTED_VALUE"""),64.0)</f>
        <v>64</v>
      </c>
      <c r="D2075" s="12" t="str">
        <f>IFERROR(__xludf.DUMMYFUNCTION("""COMPUTED_VALUE"""),"Versatile!")</f>
        <v>Versatile!</v>
      </c>
      <c r="E2075" s="12" t="str">
        <f>IFERROR(__xludf.DUMMYFUNCTION("""COMPUTED_VALUE"""),"This top is comfortable and flattering. i really like the simplicity- a wearable basic summer top, with a cute twist, just enough to make it contemporary, but not overstated.")</f>
        <v>This top is comfortable and flattering. i really like the simplicity- a wearable basic summer top, with a cute twist, just enough to make it contemporary, but not overstated.</v>
      </c>
      <c r="F2075" s="13">
        <f>IFERROR(__xludf.DUMMYFUNCTION("""COMPUTED_VALUE"""),5.0)</f>
        <v>5</v>
      </c>
      <c r="G2075" s="13">
        <f>IFERROR(__xludf.DUMMYFUNCTION("""COMPUTED_VALUE"""),1.0)</f>
        <v>1</v>
      </c>
      <c r="H2075" s="13">
        <f>IFERROR(__xludf.DUMMYFUNCTION("""COMPUTED_VALUE"""),0.0)</f>
        <v>0</v>
      </c>
      <c r="I2075" s="13" t="str">
        <f>IFERROR(__xludf.DUMMYFUNCTION("""COMPUTED_VALUE"""),"General")</f>
        <v>General</v>
      </c>
      <c r="J2075" s="13" t="str">
        <f>IFERROR(__xludf.DUMMYFUNCTION("""COMPUTED_VALUE"""),"Tops")</f>
        <v>Tops</v>
      </c>
      <c r="K2075" s="13" t="str">
        <f>IFERROR(__xludf.DUMMYFUNCTION("""COMPUTED_VALUE"""),"Knits")</f>
        <v>Knits</v>
      </c>
      <c r="L2075" s="13"/>
    </row>
    <row r="2076">
      <c r="A2076" s="13">
        <f>IFERROR(__xludf.DUMMYFUNCTION("""COMPUTED_VALUE"""),2074.0)</f>
        <v>2074</v>
      </c>
      <c r="B2076" s="13">
        <f>IFERROR(__xludf.DUMMYFUNCTION("""COMPUTED_VALUE"""),1072.0)</f>
        <v>1072</v>
      </c>
      <c r="C2076" s="13">
        <f>IFERROR(__xludf.DUMMYFUNCTION("""COMPUTED_VALUE"""),33.0)</f>
        <v>33</v>
      </c>
      <c r="D2076" s="12" t="str">
        <f>IFERROR(__xludf.DUMMYFUNCTION("""COMPUTED_VALUE"""),"Beautiful dress - runs huge!")</f>
        <v>Beautiful dress - runs huge!</v>
      </c>
      <c r="E2076" s="12" t="str">
        <f>IFERROR(__xludf.DUMMYFUNCTION("""COMPUTED_VALUE"""),"I fell in love with this dress online and went to try on in the store. i'm 5'6, 128 lbs with some boobs, usually a s or size 4. i tried on the s and xs, and ended up buying the xs - and i've never worn an xs in my life. it is long and loose, hanging right"&amp;" at my knees. the body is roomy, and i am thinking of having it taken in a couple of inches at the waist. there is pleating in the front that begins just below my natural waist and extends out to the hips, plus pockets (!!!). the sleeves are lon")</f>
        <v>I fell in love with this dress online and went to try on in the store. i'm 5'6, 128 lbs with some boobs, usually a s or size 4. i tried on the s and xs, and ended up buying the xs - and i've never worn an xs in my life. it is long and loose, hanging right at my knees. the body is roomy, and i am thinking of having it taken in a couple of inches at the waist. there is pleating in the front that begins just below my natural waist and extends out to the hips, plus pockets (!!!). the sleeves are lon</v>
      </c>
      <c r="F2076" s="13">
        <f>IFERROR(__xludf.DUMMYFUNCTION("""COMPUTED_VALUE"""),5.0)</f>
        <v>5</v>
      </c>
      <c r="G2076" s="13">
        <f>IFERROR(__xludf.DUMMYFUNCTION("""COMPUTED_VALUE"""),1.0)</f>
        <v>1</v>
      </c>
      <c r="H2076" s="13">
        <f>IFERROR(__xludf.DUMMYFUNCTION("""COMPUTED_VALUE"""),14.0)</f>
        <v>14</v>
      </c>
      <c r="I2076" s="13" t="str">
        <f>IFERROR(__xludf.DUMMYFUNCTION("""COMPUTED_VALUE"""),"General Petite")</f>
        <v>General Petite</v>
      </c>
      <c r="J2076" s="13" t="str">
        <f>IFERROR(__xludf.DUMMYFUNCTION("""COMPUTED_VALUE"""),"Dresses")</f>
        <v>Dresses</v>
      </c>
      <c r="K2076" s="13" t="str">
        <f>IFERROR(__xludf.DUMMYFUNCTION("""COMPUTED_VALUE"""),"Dresses")</f>
        <v>Dresses</v>
      </c>
      <c r="L2076" s="13"/>
    </row>
    <row r="2077">
      <c r="A2077" s="13">
        <f>IFERROR(__xludf.DUMMYFUNCTION("""COMPUTED_VALUE"""),2075.0)</f>
        <v>2075</v>
      </c>
      <c r="B2077" s="13">
        <f>IFERROR(__xludf.DUMMYFUNCTION("""COMPUTED_VALUE"""),1072.0)</f>
        <v>1072</v>
      </c>
      <c r="C2077" s="13">
        <f>IFERROR(__xludf.DUMMYFUNCTION("""COMPUTED_VALUE"""),40.0)</f>
        <v>40</v>
      </c>
      <c r="D2077" s="12" t="str">
        <f>IFERROR(__xludf.DUMMYFUNCTION("""COMPUTED_VALUE"""),"Great dress with a little help added!")</f>
        <v>Great dress with a little help added!</v>
      </c>
      <c r="E2077" s="12" t="str">
        <f>IFERROR(__xludf.DUMMYFUNCTION("""COMPUTED_VALUE"""),"This dress is comfortable and the pattern is really nice with some good attention to detail on the lace trim and pockets. i ordered this in my usual pxs (i am 5'2""), but this definitely runs very large. it is a shirt style dress so i didn't expect it to "&amp;"be fitted, but off the hanger it was just too shapeless and sack-like for me. i really wanted it to work, so i took it to my tailor and she added a beautiful navy rope-like tie attached to both sides in the back of the dress. it looks amazing, an")</f>
        <v>This dress is comfortable and the pattern is really nice with some good attention to detail on the lace trim and pockets. i ordered this in my usual pxs (i am 5'2"), but this definitely runs very large. it is a shirt style dress so i didn't expect it to be fitted, but off the hanger it was just too shapeless and sack-like for me. i really wanted it to work, so i took it to my tailor and she added a beautiful navy rope-like tie attached to both sides in the back of the dress. it looks amazing, an</v>
      </c>
      <c r="F2077" s="13">
        <f>IFERROR(__xludf.DUMMYFUNCTION("""COMPUTED_VALUE"""),4.0)</f>
        <v>4</v>
      </c>
      <c r="G2077" s="13">
        <f>IFERROR(__xludf.DUMMYFUNCTION("""COMPUTED_VALUE"""),1.0)</f>
        <v>1</v>
      </c>
      <c r="H2077" s="13">
        <f>IFERROR(__xludf.DUMMYFUNCTION("""COMPUTED_VALUE"""),0.0)</f>
        <v>0</v>
      </c>
      <c r="I2077" s="13" t="str">
        <f>IFERROR(__xludf.DUMMYFUNCTION("""COMPUTED_VALUE"""),"General Petite")</f>
        <v>General Petite</v>
      </c>
      <c r="J2077" s="13" t="str">
        <f>IFERROR(__xludf.DUMMYFUNCTION("""COMPUTED_VALUE"""),"Dresses")</f>
        <v>Dresses</v>
      </c>
      <c r="K2077" s="13" t="str">
        <f>IFERROR(__xludf.DUMMYFUNCTION("""COMPUTED_VALUE"""),"Dresses")</f>
        <v>Dresses</v>
      </c>
      <c r="L2077" s="13"/>
    </row>
    <row r="2078">
      <c r="A2078" s="13">
        <f>IFERROR(__xludf.DUMMYFUNCTION("""COMPUTED_VALUE"""),2076.0)</f>
        <v>2076</v>
      </c>
      <c r="B2078" s="13">
        <f>IFERROR(__xludf.DUMMYFUNCTION("""COMPUTED_VALUE"""),896.0)</f>
        <v>896</v>
      </c>
      <c r="C2078" s="13">
        <f>IFERROR(__xludf.DUMMYFUNCTION("""COMPUTED_VALUE"""),60.0)</f>
        <v>60</v>
      </c>
      <c r="D2078" s="12" t="str">
        <f>IFERROR(__xludf.DUMMYFUNCTION("""COMPUTED_VALUE"""),"Super sweater")</f>
        <v>Super sweater</v>
      </c>
      <c r="E2078" s="12" t="str">
        <f>IFERROR(__xludf.DUMMYFUNCTION("""COMPUTED_VALUE"""),"This will be a favorite sweater this winter. it has a loose but flattering fit. i purchased the red (a deep rusty red), and it fits me exactly as it does the model pictured...slightly loose but flattering, mid hip, open neckline. you can't tell in the pic"&amp;"ture, but the neckline is rolled. i am 5'2"", 140 lbs., just a bit fluffy. the small fits me perfectly. i think that you could size down from your regular size if you prefer a closer fit. the sleeves are at the top of my hands, just below the wri")</f>
        <v>This will be a favorite sweater this winter. it has a loose but flattering fit. i purchased the red (a deep rusty red), and it fits me exactly as it does the model pictured...slightly loose but flattering, mid hip, open neckline. you can't tell in the picture, but the neckline is rolled. i am 5'2", 140 lbs., just a bit fluffy. the small fits me perfectly. i think that you could size down from your regular size if you prefer a closer fit. the sleeves are at the top of my hands, just below the wri</v>
      </c>
      <c r="F2078" s="13">
        <f>IFERROR(__xludf.DUMMYFUNCTION("""COMPUTED_VALUE"""),5.0)</f>
        <v>5</v>
      </c>
      <c r="G2078" s="13">
        <f>IFERROR(__xludf.DUMMYFUNCTION("""COMPUTED_VALUE"""),1.0)</f>
        <v>1</v>
      </c>
      <c r="H2078" s="13">
        <f>IFERROR(__xludf.DUMMYFUNCTION("""COMPUTED_VALUE"""),1.0)</f>
        <v>1</v>
      </c>
      <c r="I2078" s="13" t="str">
        <f>IFERROR(__xludf.DUMMYFUNCTION("""COMPUTED_VALUE"""),"General")</f>
        <v>General</v>
      </c>
      <c r="J2078" s="13" t="str">
        <f>IFERROR(__xludf.DUMMYFUNCTION("""COMPUTED_VALUE"""),"Tops")</f>
        <v>Tops</v>
      </c>
      <c r="K2078" s="13" t="str">
        <f>IFERROR(__xludf.DUMMYFUNCTION("""COMPUTED_VALUE"""),"Fine gauge")</f>
        <v>Fine gauge</v>
      </c>
      <c r="L2078" s="13"/>
    </row>
    <row r="2079">
      <c r="A2079" s="13">
        <f>IFERROR(__xludf.DUMMYFUNCTION("""COMPUTED_VALUE"""),2077.0)</f>
        <v>2077</v>
      </c>
      <c r="B2079" s="13">
        <f>IFERROR(__xludf.DUMMYFUNCTION("""COMPUTED_VALUE"""),872.0)</f>
        <v>872</v>
      </c>
      <c r="C2079" s="13">
        <f>IFERROR(__xludf.DUMMYFUNCTION("""COMPUTED_VALUE"""),36.0)</f>
        <v>36</v>
      </c>
      <c r="D2079" s="12" t="str">
        <f>IFERROR(__xludf.DUMMYFUNCTION("""COMPUTED_VALUE"""),"Poor fabric quality")</f>
        <v>Poor fabric quality</v>
      </c>
      <c r="E2079" s="12" t="str">
        <f>IFERROR(__xludf.DUMMYFUNCTION("""COMPUTED_VALUE"""),"Looks great in the picture but when i got this in the mail the fabric was so stiff! shaking it out did nothing-almost like it was dipped in drying glue. i got this for $10 which is so cheap and i still returned it!")</f>
        <v>Looks great in the picture but when i got this in the mail the fabric was so stiff! shaking it out did nothing-almost like it was dipped in drying glue. i got this for $10 which is so cheap and i still returned it!</v>
      </c>
      <c r="F2079" s="13">
        <f>IFERROR(__xludf.DUMMYFUNCTION("""COMPUTED_VALUE"""),1.0)</f>
        <v>1</v>
      </c>
      <c r="G2079" s="13">
        <f>IFERROR(__xludf.DUMMYFUNCTION("""COMPUTED_VALUE"""),0.0)</f>
        <v>0</v>
      </c>
      <c r="H2079" s="13">
        <f>IFERROR(__xludf.DUMMYFUNCTION("""COMPUTED_VALUE"""),0.0)</f>
        <v>0</v>
      </c>
      <c r="I2079" s="13" t="str">
        <f>IFERROR(__xludf.DUMMYFUNCTION("""COMPUTED_VALUE"""),"General Petite")</f>
        <v>General Petite</v>
      </c>
      <c r="J2079" s="13" t="str">
        <f>IFERROR(__xludf.DUMMYFUNCTION("""COMPUTED_VALUE"""),"Tops")</f>
        <v>Tops</v>
      </c>
      <c r="K2079" s="13" t="str">
        <f>IFERROR(__xludf.DUMMYFUNCTION("""COMPUTED_VALUE"""),"Knits")</f>
        <v>Knits</v>
      </c>
      <c r="L2079" s="13"/>
    </row>
    <row r="2080">
      <c r="A2080" s="13">
        <f>IFERROR(__xludf.DUMMYFUNCTION("""COMPUTED_VALUE"""),2078.0)</f>
        <v>2078</v>
      </c>
      <c r="B2080" s="13">
        <f>IFERROR(__xludf.DUMMYFUNCTION("""COMPUTED_VALUE"""),1072.0)</f>
        <v>1072</v>
      </c>
      <c r="C2080" s="13">
        <f>IFERROR(__xludf.DUMMYFUNCTION("""COMPUTED_VALUE"""),35.0)</f>
        <v>35</v>
      </c>
      <c r="D2080" s="12" t="str">
        <f>IFERROR(__xludf.DUMMYFUNCTION("""COMPUTED_VALUE"""),"A hit!")</f>
        <v>A hit!</v>
      </c>
      <c r="E2080" s="12" t="str">
        <f>IFERROR(__xludf.DUMMYFUNCTION("""COMPUTED_VALUE"""),"I bought this dress in the green. it runs big - i usually take a s and had to return for xs - i am 5'5"" and 125. it flows beautifully and can be dressed up with heels or worn completely casual with flip flops. worth every penny!!")</f>
        <v>I bought this dress in the green. it runs big - i usually take a s and had to return for xs - i am 5'5" and 125. it flows beautifully and can be dressed up with heels or worn completely casual with flip flops. worth every penny!!</v>
      </c>
      <c r="F2080" s="13">
        <f>IFERROR(__xludf.DUMMYFUNCTION("""COMPUTED_VALUE"""),5.0)</f>
        <v>5</v>
      </c>
      <c r="G2080" s="13">
        <f>IFERROR(__xludf.DUMMYFUNCTION("""COMPUTED_VALUE"""),1.0)</f>
        <v>1</v>
      </c>
      <c r="H2080" s="13">
        <f>IFERROR(__xludf.DUMMYFUNCTION("""COMPUTED_VALUE"""),3.0)</f>
        <v>3</v>
      </c>
      <c r="I2080" s="13" t="str">
        <f>IFERROR(__xludf.DUMMYFUNCTION("""COMPUTED_VALUE"""),"General Petite")</f>
        <v>General Petite</v>
      </c>
      <c r="J2080" s="13" t="str">
        <f>IFERROR(__xludf.DUMMYFUNCTION("""COMPUTED_VALUE"""),"Dresses")</f>
        <v>Dresses</v>
      </c>
      <c r="K2080" s="13" t="str">
        <f>IFERROR(__xludf.DUMMYFUNCTION("""COMPUTED_VALUE"""),"Dresses")</f>
        <v>Dresses</v>
      </c>
      <c r="L2080" s="13"/>
    </row>
    <row r="2081">
      <c r="A2081" s="13">
        <f>IFERROR(__xludf.DUMMYFUNCTION("""COMPUTED_VALUE"""),2079.0)</f>
        <v>2079</v>
      </c>
      <c r="B2081" s="13">
        <f>IFERROR(__xludf.DUMMYFUNCTION("""COMPUTED_VALUE"""),1072.0)</f>
        <v>1072</v>
      </c>
      <c r="C2081" s="13">
        <f>IFERROR(__xludf.DUMMYFUNCTION("""COMPUTED_VALUE"""),68.0)</f>
        <v>68</v>
      </c>
      <c r="D2081" s="12" t="str">
        <f>IFERROR(__xludf.DUMMYFUNCTION("""COMPUTED_VALUE"""),"Beautiful dress--if you can figure out your size!")</f>
        <v>Beautiful dress--if you can figure out your size!</v>
      </c>
      <c r="E2081" s="12" t="str">
        <f>IFERROR(__xludf.DUMMYFUNCTION("""COMPUTED_VALUE"""),"For a brand called ""tiny""--this dress was really big. i ordered my usual m and it was like a sack--virtually no shape to it at all. i haven't been a small in many decades, so i'm really hesitant to order it again. i'm afraid i'll be like goldilocks--""t"&amp;"oo big!"", ""too small!""--but i'm probably going to give it a whirl because the green print is so pretty, and i l like that it has sleeves to protect from sun. and pockets! lots of good qualities, just putting them together in a wearable size seems t")</f>
        <v>For a brand called "tiny"--this dress was really big. i ordered my usual m and it was like a sack--virtually no shape to it at all. i haven't been a small in many decades, so i'm really hesitant to order it again. i'm afraid i'll be like goldilocks--"too big!", "too small!"--but i'm probably going to give it a whirl because the green print is so pretty, and i l like that it has sleeves to protect from sun. and pockets! lots of good qualities, just putting them together in a wearable size seems t</v>
      </c>
      <c r="F2081" s="13">
        <f>IFERROR(__xludf.DUMMYFUNCTION("""COMPUTED_VALUE"""),4.0)</f>
        <v>4</v>
      </c>
      <c r="G2081" s="13">
        <f>IFERROR(__xludf.DUMMYFUNCTION("""COMPUTED_VALUE"""),1.0)</f>
        <v>1</v>
      </c>
      <c r="H2081" s="13">
        <f>IFERROR(__xludf.DUMMYFUNCTION("""COMPUTED_VALUE"""),1.0)</f>
        <v>1</v>
      </c>
      <c r="I2081" s="13" t="str">
        <f>IFERROR(__xludf.DUMMYFUNCTION("""COMPUTED_VALUE"""),"General Petite")</f>
        <v>General Petite</v>
      </c>
      <c r="J2081" s="13" t="str">
        <f>IFERROR(__xludf.DUMMYFUNCTION("""COMPUTED_VALUE"""),"Dresses")</f>
        <v>Dresses</v>
      </c>
      <c r="K2081" s="13" t="str">
        <f>IFERROR(__xludf.DUMMYFUNCTION("""COMPUTED_VALUE"""),"Dresses")</f>
        <v>Dresses</v>
      </c>
      <c r="L2081" s="13"/>
    </row>
    <row r="2082">
      <c r="A2082" s="13">
        <f>IFERROR(__xludf.DUMMYFUNCTION("""COMPUTED_VALUE"""),2080.0)</f>
        <v>2080</v>
      </c>
      <c r="B2082" s="13">
        <f>IFERROR(__xludf.DUMMYFUNCTION("""COMPUTED_VALUE"""),850.0)</f>
        <v>850</v>
      </c>
      <c r="C2082" s="13">
        <f>IFERROR(__xludf.DUMMYFUNCTION("""COMPUTED_VALUE"""),53.0)</f>
        <v>53</v>
      </c>
      <c r="D2082" s="12" t="str">
        <f>IFERROR(__xludf.DUMMYFUNCTION("""COMPUTED_VALUE"""),"Love it!")</f>
        <v>Love it!</v>
      </c>
      <c r="E2082" s="12" t="str">
        <f>IFERROR(__xludf.DUMMYFUNCTION("""COMPUTED_VALUE"""),"This tank runs very true to size. i ordered my usual size 8, which fits like a glove. couldn't go any smaller. very pretty fabric which is lined above the peplum. i personally like the higher peplum, but it's a personal choice. great purchase!")</f>
        <v>This tank runs very true to size. i ordered my usual size 8, which fits like a glove. couldn't go any smaller. very pretty fabric which is lined above the peplum. i personally like the higher peplum, but it's a personal choice. great purchase!</v>
      </c>
      <c r="F2082" s="13">
        <f>IFERROR(__xludf.DUMMYFUNCTION("""COMPUTED_VALUE"""),5.0)</f>
        <v>5</v>
      </c>
      <c r="G2082" s="13">
        <f>IFERROR(__xludf.DUMMYFUNCTION("""COMPUTED_VALUE"""),1.0)</f>
        <v>1</v>
      </c>
      <c r="H2082" s="13">
        <f>IFERROR(__xludf.DUMMYFUNCTION("""COMPUTED_VALUE"""),3.0)</f>
        <v>3</v>
      </c>
      <c r="I2082" s="13" t="str">
        <f>IFERROR(__xludf.DUMMYFUNCTION("""COMPUTED_VALUE"""),"General Petite")</f>
        <v>General Petite</v>
      </c>
      <c r="J2082" s="13" t="str">
        <f>IFERROR(__xludf.DUMMYFUNCTION("""COMPUTED_VALUE"""),"Tops")</f>
        <v>Tops</v>
      </c>
      <c r="K2082" s="13" t="str">
        <f>IFERROR(__xludf.DUMMYFUNCTION("""COMPUTED_VALUE"""),"Blouses")</f>
        <v>Blouses</v>
      </c>
      <c r="L2082" s="13"/>
    </row>
    <row r="2083">
      <c r="A2083" s="13">
        <f>IFERROR(__xludf.DUMMYFUNCTION("""COMPUTED_VALUE"""),2081.0)</f>
        <v>2081</v>
      </c>
      <c r="B2083" s="13">
        <f>IFERROR(__xludf.DUMMYFUNCTION("""COMPUTED_VALUE"""),912.0)</f>
        <v>912</v>
      </c>
      <c r="C2083" s="13">
        <f>IFERROR(__xludf.DUMMYFUNCTION("""COMPUTED_VALUE"""),32.0)</f>
        <v>32</v>
      </c>
      <c r="D2083" s="12"/>
      <c r="E2083" s="12"/>
      <c r="F2083" s="13">
        <f>IFERROR(__xludf.DUMMYFUNCTION("""COMPUTED_VALUE"""),5.0)</f>
        <v>5</v>
      </c>
      <c r="G2083" s="13">
        <f>IFERROR(__xludf.DUMMYFUNCTION("""COMPUTED_VALUE"""),1.0)</f>
        <v>1</v>
      </c>
      <c r="H2083" s="13">
        <f>IFERROR(__xludf.DUMMYFUNCTION("""COMPUTED_VALUE"""),0.0)</f>
        <v>0</v>
      </c>
      <c r="I2083" s="13" t="str">
        <f>IFERROR(__xludf.DUMMYFUNCTION("""COMPUTED_VALUE"""),"General")</f>
        <v>General</v>
      </c>
      <c r="J2083" s="13" t="str">
        <f>IFERROR(__xludf.DUMMYFUNCTION("""COMPUTED_VALUE"""),"Tops")</f>
        <v>Tops</v>
      </c>
      <c r="K2083" s="13" t="str">
        <f>IFERROR(__xludf.DUMMYFUNCTION("""COMPUTED_VALUE"""),"Fine gauge")</f>
        <v>Fine gauge</v>
      </c>
      <c r="L2083" s="13"/>
    </row>
    <row r="2084">
      <c r="A2084" s="13">
        <f>IFERROR(__xludf.DUMMYFUNCTION("""COMPUTED_VALUE"""),2082.0)</f>
        <v>2082</v>
      </c>
      <c r="B2084" s="13">
        <f>IFERROR(__xludf.DUMMYFUNCTION("""COMPUTED_VALUE"""),912.0)</f>
        <v>912</v>
      </c>
      <c r="C2084" s="13">
        <f>IFERROR(__xludf.DUMMYFUNCTION("""COMPUTED_VALUE"""),70.0)</f>
        <v>70</v>
      </c>
      <c r="D2084" s="12" t="str">
        <f>IFERROR(__xludf.DUMMYFUNCTION("""COMPUTED_VALUE"""),"Versatile vest")</f>
        <v>Versatile vest</v>
      </c>
      <c r="E2084" s="12" t="str">
        <f>IFERROR(__xludf.DUMMYFUNCTION("""COMPUTED_VALUE"""),"I love the black and grey version of the vest but decided too try it in plum. the plum color is used only on the lapels and inside of the garment. it has no finished seams but it is like a soft boiled wool so it wouldn't ravel. the seam in the waistline a"&amp;"rea breaks up the design and adds more interest.")</f>
        <v>I love the black and grey version of the vest but decided too try it in plum. the plum color is used only on the lapels and inside of the garment. it has no finished seams but it is like a soft boiled wool so it wouldn't ravel. the seam in the waistline area breaks up the design and adds more interest.</v>
      </c>
      <c r="F2084" s="13">
        <f>IFERROR(__xludf.DUMMYFUNCTION("""COMPUTED_VALUE"""),4.0)</f>
        <v>4</v>
      </c>
      <c r="G2084" s="13">
        <f>IFERROR(__xludf.DUMMYFUNCTION("""COMPUTED_VALUE"""),1.0)</f>
        <v>1</v>
      </c>
      <c r="H2084" s="13">
        <f>IFERROR(__xludf.DUMMYFUNCTION("""COMPUTED_VALUE"""),4.0)</f>
        <v>4</v>
      </c>
      <c r="I2084" s="13" t="str">
        <f>IFERROR(__xludf.DUMMYFUNCTION("""COMPUTED_VALUE"""),"General")</f>
        <v>General</v>
      </c>
      <c r="J2084" s="13" t="str">
        <f>IFERROR(__xludf.DUMMYFUNCTION("""COMPUTED_VALUE"""),"Tops")</f>
        <v>Tops</v>
      </c>
      <c r="K2084" s="13" t="str">
        <f>IFERROR(__xludf.DUMMYFUNCTION("""COMPUTED_VALUE"""),"Fine gauge")</f>
        <v>Fine gauge</v>
      </c>
      <c r="L2084" s="13"/>
    </row>
    <row r="2085">
      <c r="A2085" s="13">
        <f>IFERROR(__xludf.DUMMYFUNCTION("""COMPUTED_VALUE"""),2083.0)</f>
        <v>2083</v>
      </c>
      <c r="B2085" s="13">
        <f>IFERROR(__xludf.DUMMYFUNCTION("""COMPUTED_VALUE"""),896.0)</f>
        <v>896</v>
      </c>
      <c r="C2085" s="13">
        <f>IFERROR(__xludf.DUMMYFUNCTION("""COMPUTED_VALUE"""),28.0)</f>
        <v>28</v>
      </c>
      <c r="D2085" s="12" t="str">
        <f>IFERROR(__xludf.DUMMYFUNCTION("""COMPUTED_VALUE"""),"Bought for my sister, she loves it!")</f>
        <v>Bought for my sister, she loves it!</v>
      </c>
      <c r="E2085" s="12" t="str">
        <f>IFERROR(__xludf.DUMMYFUNCTION("""COMPUTED_VALUE"""),"This was a christmas gift to my sister. she liked it so much she wore it the day after opening it. very cute design, lovely deep red color. only thing to look out for is the potential of fabric to snag - looks like it may do so easily if wearing long jewe"&amp;"lry. may run a bit large, but the medium for her well (slightly loose fitting garment). she is 5'7 and would probably wear a large in a typical shirt.")</f>
        <v>This was a christmas gift to my sister. she liked it so much she wore it the day after opening it. very cute design, lovely deep red color. only thing to look out for is the potential of fabric to snag - looks like it may do so easily if wearing long jewelry. may run a bit large, but the medium for her well (slightly loose fitting garment). she is 5'7 and would probably wear a large in a typical shirt.</v>
      </c>
      <c r="F2085" s="13">
        <f>IFERROR(__xludf.DUMMYFUNCTION("""COMPUTED_VALUE"""),5.0)</f>
        <v>5</v>
      </c>
      <c r="G2085" s="13">
        <f>IFERROR(__xludf.DUMMYFUNCTION("""COMPUTED_VALUE"""),1.0)</f>
        <v>1</v>
      </c>
      <c r="H2085" s="13">
        <f>IFERROR(__xludf.DUMMYFUNCTION("""COMPUTED_VALUE"""),0.0)</f>
        <v>0</v>
      </c>
      <c r="I2085" s="13" t="str">
        <f>IFERROR(__xludf.DUMMYFUNCTION("""COMPUTED_VALUE"""),"General")</f>
        <v>General</v>
      </c>
      <c r="J2085" s="13" t="str">
        <f>IFERROR(__xludf.DUMMYFUNCTION("""COMPUTED_VALUE"""),"Tops")</f>
        <v>Tops</v>
      </c>
      <c r="K2085" s="13" t="str">
        <f>IFERROR(__xludf.DUMMYFUNCTION("""COMPUTED_VALUE"""),"Fine gauge")</f>
        <v>Fine gauge</v>
      </c>
      <c r="L2085" s="13"/>
    </row>
    <row r="2086">
      <c r="A2086" s="13">
        <f>IFERROR(__xludf.DUMMYFUNCTION("""COMPUTED_VALUE"""),2084.0)</f>
        <v>2084</v>
      </c>
      <c r="B2086" s="13">
        <f>IFERROR(__xludf.DUMMYFUNCTION("""COMPUTED_VALUE"""),1126.0)</f>
        <v>1126</v>
      </c>
      <c r="C2086" s="13">
        <f>IFERROR(__xludf.DUMMYFUNCTION("""COMPUTED_VALUE"""),38.0)</f>
        <v>38</v>
      </c>
      <c r="D2086" s="12" t="str">
        <f>IFERROR(__xludf.DUMMYFUNCTION("""COMPUTED_VALUE"""),"Nice design but quality isses")</f>
        <v>Nice design but quality isses</v>
      </c>
      <c r="E2086" s="12" t="str">
        <f>IFERROR(__xludf.DUMMYFUNCTION("""COMPUTED_VALUE"""),"I tried this jacket on and it was definitely cute but a couple things to note. it's a wool acrylic blend and it was already starting to pill from being tried on in the store. also, it's unlined. i thought the price point was high given its fibers and unli"&amp;"ned. given its hem, i wonder how much longevity the piece has and how quickly it might start to look dated too.")</f>
        <v>I tried this jacket on and it was definitely cute but a couple things to note. it's a wool acrylic blend and it was already starting to pill from being tried on in the store. also, it's unlined. i thought the price point was high given its fibers and unlined. given its hem, i wonder how much longevity the piece has and how quickly it might start to look dated too.</v>
      </c>
      <c r="F2086" s="13">
        <f>IFERROR(__xludf.DUMMYFUNCTION("""COMPUTED_VALUE"""),3.0)</f>
        <v>3</v>
      </c>
      <c r="G2086" s="13">
        <f>IFERROR(__xludf.DUMMYFUNCTION("""COMPUTED_VALUE"""),0.0)</f>
        <v>0</v>
      </c>
      <c r="H2086" s="13">
        <f>IFERROR(__xludf.DUMMYFUNCTION("""COMPUTED_VALUE"""),1.0)</f>
        <v>1</v>
      </c>
      <c r="I2086" s="13" t="str">
        <f>IFERROR(__xludf.DUMMYFUNCTION("""COMPUTED_VALUE"""),"General")</f>
        <v>General</v>
      </c>
      <c r="J2086" s="13" t="str">
        <f>IFERROR(__xludf.DUMMYFUNCTION("""COMPUTED_VALUE"""),"Jackets")</f>
        <v>Jackets</v>
      </c>
      <c r="K2086" s="13" t="str">
        <f>IFERROR(__xludf.DUMMYFUNCTION("""COMPUTED_VALUE"""),"Outerwear")</f>
        <v>Outerwear</v>
      </c>
      <c r="L2086" s="13"/>
    </row>
    <row r="2087">
      <c r="A2087" s="13">
        <f>IFERROR(__xludf.DUMMYFUNCTION("""COMPUTED_VALUE"""),2085.0)</f>
        <v>2085</v>
      </c>
      <c r="B2087" s="13">
        <f>IFERROR(__xludf.DUMMYFUNCTION("""COMPUTED_VALUE"""),862.0)</f>
        <v>862</v>
      </c>
      <c r="C2087" s="13">
        <f>IFERROR(__xludf.DUMMYFUNCTION("""COMPUTED_VALUE"""),21.0)</f>
        <v>21</v>
      </c>
      <c r="D2087" s="12" t="str">
        <f>IFERROR(__xludf.DUMMYFUNCTION("""COMPUTED_VALUE"""),"Perfect shirt")</f>
        <v>Perfect shirt</v>
      </c>
      <c r="E2087" s="12" t="str">
        <f>IFERROR(__xludf.DUMMYFUNCTION("""COMPUTED_VALUE"""),"I absolutely adore this shirt!!! the pinkish rosey color is beautiful and ended up being better than i had imagined. i will say that the shirt is a bit more casual than i thought it was going to be, the way it hangs or something..not really sure. nonethel"&amp;"ess, it is perfect. can be dressed up or down, which is the best quality to have in any piece of clothing! i can tell i'm going to get a lot of wear out of it.")</f>
        <v>I absolutely adore this shirt!!! the pinkish rosey color is beautiful and ended up being better than i had imagined. i will say that the shirt is a bit more casual than i thought it was going to be, the way it hangs or something..not really sure. nonetheless, it is perfect. can be dressed up or down, which is the best quality to have in any piece of clothing! i can tell i'm going to get a lot of wear out of it.</v>
      </c>
      <c r="F2087" s="13">
        <f>IFERROR(__xludf.DUMMYFUNCTION("""COMPUTED_VALUE"""),5.0)</f>
        <v>5</v>
      </c>
      <c r="G2087" s="13">
        <f>IFERROR(__xludf.DUMMYFUNCTION("""COMPUTED_VALUE"""),1.0)</f>
        <v>1</v>
      </c>
      <c r="H2087" s="13">
        <f>IFERROR(__xludf.DUMMYFUNCTION("""COMPUTED_VALUE"""),0.0)</f>
        <v>0</v>
      </c>
      <c r="I2087" s="13" t="str">
        <f>IFERROR(__xludf.DUMMYFUNCTION("""COMPUTED_VALUE"""),"General")</f>
        <v>General</v>
      </c>
      <c r="J2087" s="13" t="str">
        <f>IFERROR(__xludf.DUMMYFUNCTION("""COMPUTED_VALUE"""),"Tops")</f>
        <v>Tops</v>
      </c>
      <c r="K2087" s="13" t="str">
        <f>IFERROR(__xludf.DUMMYFUNCTION("""COMPUTED_VALUE"""),"Knits")</f>
        <v>Knits</v>
      </c>
      <c r="L2087" s="13"/>
    </row>
    <row r="2088">
      <c r="A2088" s="13">
        <f>IFERROR(__xludf.DUMMYFUNCTION("""COMPUTED_VALUE"""),2086.0)</f>
        <v>2086</v>
      </c>
      <c r="B2088" s="13">
        <f>IFERROR(__xludf.DUMMYFUNCTION("""COMPUTED_VALUE"""),1072.0)</f>
        <v>1072</v>
      </c>
      <c r="C2088" s="13">
        <f>IFERROR(__xludf.DUMMYFUNCTION("""COMPUTED_VALUE"""),41.0)</f>
        <v>41</v>
      </c>
      <c r="D2088" s="12" t="str">
        <f>IFERROR(__xludf.DUMMYFUNCTION("""COMPUTED_VALUE"""),"No shape")</f>
        <v>No shape</v>
      </c>
      <c r="E2088" s="12" t="str">
        <f>IFERROR(__xludf.DUMMYFUNCTION("""COMPUTED_VALUE"""),"This dress looked super cute in the picture and on the model. i ordered the petite style and it was still so big and way too loose. no shape whatsoever! i unfortunately had to return it. i love loose dresses but this one was way too big, loose and had no "&amp;"shape at all.")</f>
        <v>This dress looked super cute in the picture and on the model. i ordered the petite style and it was still so big and way too loose. no shape whatsoever! i unfortunately had to return it. i love loose dresses but this one was way too big, loose and had no shape at all.</v>
      </c>
      <c r="F2088" s="13">
        <f>IFERROR(__xludf.DUMMYFUNCTION("""COMPUTED_VALUE"""),2.0)</f>
        <v>2</v>
      </c>
      <c r="G2088" s="13">
        <f>IFERROR(__xludf.DUMMYFUNCTION("""COMPUTED_VALUE"""),0.0)</f>
        <v>0</v>
      </c>
      <c r="H2088" s="13">
        <f>IFERROR(__xludf.DUMMYFUNCTION("""COMPUTED_VALUE"""),2.0)</f>
        <v>2</v>
      </c>
      <c r="I2088" s="13" t="str">
        <f>IFERROR(__xludf.DUMMYFUNCTION("""COMPUTED_VALUE"""),"General Petite")</f>
        <v>General Petite</v>
      </c>
      <c r="J2088" s="13" t="str">
        <f>IFERROR(__xludf.DUMMYFUNCTION("""COMPUTED_VALUE"""),"Dresses")</f>
        <v>Dresses</v>
      </c>
      <c r="K2088" s="13" t="str">
        <f>IFERROR(__xludf.DUMMYFUNCTION("""COMPUTED_VALUE"""),"Dresses")</f>
        <v>Dresses</v>
      </c>
      <c r="L2088" s="13"/>
    </row>
    <row r="2089">
      <c r="A2089" s="13">
        <f>IFERROR(__xludf.DUMMYFUNCTION("""COMPUTED_VALUE"""),2087.0)</f>
        <v>2087</v>
      </c>
      <c r="B2089" s="13">
        <f>IFERROR(__xludf.DUMMYFUNCTION("""COMPUTED_VALUE"""),872.0)</f>
        <v>872</v>
      </c>
      <c r="C2089" s="13">
        <f>IFERROR(__xludf.DUMMYFUNCTION("""COMPUTED_VALUE"""),32.0)</f>
        <v>32</v>
      </c>
      <c r="D2089" s="12" t="str">
        <f>IFERROR(__xludf.DUMMYFUNCTION("""COMPUTED_VALUE"""),"Very cute")</f>
        <v>Very cute</v>
      </c>
      <c r="E2089" s="12" t="str">
        <f>IFERROR(__xludf.DUMMYFUNCTION("""COMPUTED_VALUE"""),"Very versatile top! i feel like i could dress it up or down. fits very nice and the material is soft.")</f>
        <v>Very versatile top! i feel like i could dress it up or down. fits very nice and the material is soft.</v>
      </c>
      <c r="F2089" s="13">
        <f>IFERROR(__xludf.DUMMYFUNCTION("""COMPUTED_VALUE"""),5.0)</f>
        <v>5</v>
      </c>
      <c r="G2089" s="13">
        <f>IFERROR(__xludf.DUMMYFUNCTION("""COMPUTED_VALUE"""),1.0)</f>
        <v>1</v>
      </c>
      <c r="H2089" s="13">
        <f>IFERROR(__xludf.DUMMYFUNCTION("""COMPUTED_VALUE"""),0.0)</f>
        <v>0</v>
      </c>
      <c r="I2089" s="13" t="str">
        <f>IFERROR(__xludf.DUMMYFUNCTION("""COMPUTED_VALUE"""),"General Petite")</f>
        <v>General Petite</v>
      </c>
      <c r="J2089" s="13" t="str">
        <f>IFERROR(__xludf.DUMMYFUNCTION("""COMPUTED_VALUE"""),"Tops")</f>
        <v>Tops</v>
      </c>
      <c r="K2089" s="13" t="str">
        <f>IFERROR(__xludf.DUMMYFUNCTION("""COMPUTED_VALUE"""),"Knits")</f>
        <v>Knits</v>
      </c>
      <c r="L2089" s="13"/>
    </row>
    <row r="2090">
      <c r="A2090" s="13">
        <f>IFERROR(__xludf.DUMMYFUNCTION("""COMPUTED_VALUE"""),2088.0)</f>
        <v>2088</v>
      </c>
      <c r="B2090" s="13">
        <f>IFERROR(__xludf.DUMMYFUNCTION("""COMPUTED_VALUE"""),912.0)</f>
        <v>912</v>
      </c>
      <c r="C2090" s="13">
        <f>IFERROR(__xludf.DUMMYFUNCTION("""COMPUTED_VALUE"""),50.0)</f>
        <v>50</v>
      </c>
      <c r="D2090" s="12" t="str">
        <f>IFERROR(__xludf.DUMMYFUNCTION("""COMPUTED_VALUE"""),"Love this wool seamed vest")</f>
        <v>Love this wool seamed vest</v>
      </c>
      <c r="E2090" s="12" t="str">
        <f>IFERROR(__xludf.DUMMYFUNCTION("""COMPUTED_VALUE"""),"I feel fabulous in this plum and charcoal vest. i am 5/9"" and the m'l is the perfect length and size. i was initially attracted by the external seams (and color) and was delighted with the silhouette and soft structure of the wool blend fabric. it is ver"&amp;"satile and yet a kind of signature piece that i will wear with joy. .")</f>
        <v>I feel fabulous in this plum and charcoal vest. i am 5/9" and the m'l is the perfect length and size. i was initially attracted by the external seams (and color) and was delighted with the silhouette and soft structure of the wool blend fabric. it is versatile and yet a kind of signature piece that i will wear with joy. .</v>
      </c>
      <c r="F2090" s="13">
        <f>IFERROR(__xludf.DUMMYFUNCTION("""COMPUTED_VALUE"""),5.0)</f>
        <v>5</v>
      </c>
      <c r="G2090" s="13">
        <f>IFERROR(__xludf.DUMMYFUNCTION("""COMPUTED_VALUE"""),1.0)</f>
        <v>1</v>
      </c>
      <c r="H2090" s="13">
        <f>IFERROR(__xludf.DUMMYFUNCTION("""COMPUTED_VALUE"""),3.0)</f>
        <v>3</v>
      </c>
      <c r="I2090" s="13" t="str">
        <f>IFERROR(__xludf.DUMMYFUNCTION("""COMPUTED_VALUE"""),"General")</f>
        <v>General</v>
      </c>
      <c r="J2090" s="13" t="str">
        <f>IFERROR(__xludf.DUMMYFUNCTION("""COMPUTED_VALUE"""),"Tops")</f>
        <v>Tops</v>
      </c>
      <c r="K2090" s="13" t="str">
        <f>IFERROR(__xludf.DUMMYFUNCTION("""COMPUTED_VALUE"""),"Fine gauge")</f>
        <v>Fine gauge</v>
      </c>
      <c r="L2090" s="13"/>
    </row>
    <row r="2091">
      <c r="A2091" s="13">
        <f>IFERROR(__xludf.DUMMYFUNCTION("""COMPUTED_VALUE"""),2089.0)</f>
        <v>2089</v>
      </c>
      <c r="B2091" s="13">
        <f>IFERROR(__xludf.DUMMYFUNCTION("""COMPUTED_VALUE"""),862.0)</f>
        <v>862</v>
      </c>
      <c r="C2091" s="13">
        <f>IFERROR(__xludf.DUMMYFUNCTION("""COMPUTED_VALUE"""),37.0)</f>
        <v>37</v>
      </c>
      <c r="D2091" s="12" t="str">
        <f>IFERROR(__xludf.DUMMYFUNCTION("""COMPUTED_VALUE"""),"Good summer tank")</f>
        <v>Good summer tank</v>
      </c>
      <c r="E2091" s="12" t="str">
        <f>IFERROR(__xludf.DUMMYFUNCTION("""COMPUTED_VALUE"""),"This will be a great summer staple.  good fit and very comfortable.  may go back and buy another color")</f>
        <v>This will be a great summer staple.  good fit and very comfortable.  may go back and buy another color</v>
      </c>
      <c r="F2091" s="13">
        <f>IFERROR(__xludf.DUMMYFUNCTION("""COMPUTED_VALUE"""),5.0)</f>
        <v>5</v>
      </c>
      <c r="G2091" s="13">
        <f>IFERROR(__xludf.DUMMYFUNCTION("""COMPUTED_VALUE"""),1.0)</f>
        <v>1</v>
      </c>
      <c r="H2091" s="13">
        <f>IFERROR(__xludf.DUMMYFUNCTION("""COMPUTED_VALUE"""),0.0)</f>
        <v>0</v>
      </c>
      <c r="I2091" s="13" t="str">
        <f>IFERROR(__xludf.DUMMYFUNCTION("""COMPUTED_VALUE"""),"General")</f>
        <v>General</v>
      </c>
      <c r="J2091" s="13" t="str">
        <f>IFERROR(__xludf.DUMMYFUNCTION("""COMPUTED_VALUE"""),"Tops")</f>
        <v>Tops</v>
      </c>
      <c r="K2091" s="13" t="str">
        <f>IFERROR(__xludf.DUMMYFUNCTION("""COMPUTED_VALUE"""),"Knits")</f>
        <v>Knits</v>
      </c>
      <c r="L2091" s="13"/>
    </row>
    <row r="2092">
      <c r="A2092" s="13">
        <f>IFERROR(__xludf.DUMMYFUNCTION("""COMPUTED_VALUE"""),2090.0)</f>
        <v>2090</v>
      </c>
      <c r="B2092" s="13">
        <f>IFERROR(__xludf.DUMMYFUNCTION("""COMPUTED_VALUE"""),1072.0)</f>
        <v>1072</v>
      </c>
      <c r="C2092" s="13">
        <f>IFERROR(__xludf.DUMMYFUNCTION("""COMPUTED_VALUE"""),39.0)</f>
        <v>39</v>
      </c>
      <c r="D2092" s="12" t="str">
        <f>IFERROR(__xludf.DUMMYFUNCTION("""COMPUTED_VALUE"""),"Love!")</f>
        <v>Love!</v>
      </c>
      <c r="E2092" s="12" t="str">
        <f>IFERROR(__xludf.DUMMYFUNCTION("""COMPUTED_VALUE"""),"This dress is a vintage 20s drop hem style, not meant to be tight to form.  that said, the bottom is loose so may want to size down.  5'2, 145 lbs= s.  i bought the neutral- navy pattern and it is absolutely gorgeus!  hints of peach and beautiful lace det"&amp;"ail.  i literally got compliments all day long- from friends and strangers.  i paired it with a dark denim jacket.  absolute must have for sale price.")</f>
        <v>This dress is a vintage 20s drop hem style, not meant to be tight to form.  that said, the bottom is loose so may want to size down.  5'2, 145 lbs= s.  i bought the neutral- navy pattern and it is absolutely gorgeus!  hints of peach and beautiful lace detail.  i literally got compliments all day long- from friends and strangers.  i paired it with a dark denim jacket.  absolute must have for sale price.</v>
      </c>
      <c r="F2092" s="13">
        <f>IFERROR(__xludf.DUMMYFUNCTION("""COMPUTED_VALUE"""),5.0)</f>
        <v>5</v>
      </c>
      <c r="G2092" s="13">
        <f>IFERROR(__xludf.DUMMYFUNCTION("""COMPUTED_VALUE"""),1.0)</f>
        <v>1</v>
      </c>
      <c r="H2092" s="13">
        <f>IFERROR(__xludf.DUMMYFUNCTION("""COMPUTED_VALUE"""),0.0)</f>
        <v>0</v>
      </c>
      <c r="I2092" s="13" t="str">
        <f>IFERROR(__xludf.DUMMYFUNCTION("""COMPUTED_VALUE"""),"General Petite")</f>
        <v>General Petite</v>
      </c>
      <c r="J2092" s="13" t="str">
        <f>IFERROR(__xludf.DUMMYFUNCTION("""COMPUTED_VALUE"""),"Dresses")</f>
        <v>Dresses</v>
      </c>
      <c r="K2092" s="13" t="str">
        <f>IFERROR(__xludf.DUMMYFUNCTION("""COMPUTED_VALUE"""),"Dresses")</f>
        <v>Dresses</v>
      </c>
      <c r="L2092" s="13"/>
    </row>
    <row r="2093">
      <c r="A2093" s="13">
        <f>IFERROR(__xludf.DUMMYFUNCTION("""COMPUTED_VALUE"""),2091.0)</f>
        <v>2091</v>
      </c>
      <c r="B2093" s="13">
        <f>IFERROR(__xludf.DUMMYFUNCTION("""COMPUTED_VALUE"""),862.0)</f>
        <v>862</v>
      </c>
      <c r="C2093" s="13">
        <f>IFERROR(__xludf.DUMMYFUNCTION("""COMPUTED_VALUE"""),28.0)</f>
        <v>28</v>
      </c>
      <c r="D2093" s="12" t="str">
        <f>IFERROR(__xludf.DUMMYFUNCTION("""COMPUTED_VALUE"""),"Shrinks, shrinks, shrinks")</f>
        <v>Shrinks, shrinks, shrinks</v>
      </c>
      <c r="E2093" s="12" t="str">
        <f>IFERROR(__xludf.DUMMYFUNCTION("""COMPUTED_VALUE"""),"I purchased this top in the rose and steel blue colors even though the majority of reviews says it shrinks even when you wash per the instructions. i called the local retailer store first to see if it could be returned if this happened and they said yes, "&amp;"no problem. well the reviews are correct. i washed just the rose colored top so i could compare it to the steel blue if it did shrink. i am returning them this evening. i will not take the time or spend the money to dry clean a tank. it is made ve")</f>
        <v>I purchased this top in the rose and steel blue colors even though the majority of reviews says it shrinks even when you wash per the instructions. i called the local retailer store first to see if it could be returned if this happened and they said yes, no problem. well the reviews are correct. i washed just the rose colored top so i could compare it to the steel blue if it did shrink. i am returning them this evening. i will not take the time or spend the money to dry clean a tank. it is made ve</v>
      </c>
      <c r="F2093" s="13">
        <f>IFERROR(__xludf.DUMMYFUNCTION("""COMPUTED_VALUE"""),1.0)</f>
        <v>1</v>
      </c>
      <c r="G2093" s="13">
        <f>IFERROR(__xludf.DUMMYFUNCTION("""COMPUTED_VALUE"""),0.0)</f>
        <v>0</v>
      </c>
      <c r="H2093" s="13">
        <f>IFERROR(__xludf.DUMMYFUNCTION("""COMPUTED_VALUE"""),1.0)</f>
        <v>1</v>
      </c>
      <c r="I2093" s="13" t="str">
        <f>IFERROR(__xludf.DUMMYFUNCTION("""COMPUTED_VALUE"""),"General")</f>
        <v>General</v>
      </c>
      <c r="J2093" s="13" t="str">
        <f>IFERROR(__xludf.DUMMYFUNCTION("""COMPUTED_VALUE"""),"Tops")</f>
        <v>Tops</v>
      </c>
      <c r="K2093" s="13" t="str">
        <f>IFERROR(__xludf.DUMMYFUNCTION("""COMPUTED_VALUE"""),"Knits")</f>
        <v>Knits</v>
      </c>
      <c r="L2093" s="13"/>
    </row>
    <row r="2094">
      <c r="A2094" s="13">
        <f>IFERROR(__xludf.DUMMYFUNCTION("""COMPUTED_VALUE"""),2092.0)</f>
        <v>2092</v>
      </c>
      <c r="B2094" s="13">
        <f>IFERROR(__xludf.DUMMYFUNCTION("""COMPUTED_VALUE"""),1092.0)</f>
        <v>1092</v>
      </c>
      <c r="C2094" s="13">
        <f>IFERROR(__xludf.DUMMYFUNCTION("""COMPUTED_VALUE"""),51.0)</f>
        <v>51</v>
      </c>
      <c r="D2094" s="12" t="str">
        <f>IFERROR(__xludf.DUMMYFUNCTION("""COMPUTED_VALUE"""),"Beautiful")</f>
        <v>Beautiful</v>
      </c>
      <c r="E2094" s="12" t="str">
        <f>IFERROR(__xludf.DUMMYFUNCTION("""COMPUTED_VALUE"""),"This dress is very flattering. i am writing a review to share my experience regarding sizing. i am 5'7"" and wear 34a.  i tried on a size 0 that was at the store as a return and there was about a 3 inch gap to get the side zip closed. although i  normally"&amp;" wear a size 2, i ordered size 4 because of my experience with the dress at the store.  the size 4 is slightly big across the bust but looks ok. i think the size 2 would've been too tight.")</f>
        <v>This dress is very flattering. i am writing a review to share my experience regarding sizing. i am 5'7" and wear 34a.  i tried on a size 0 that was at the store as a return and there was about a 3 inch gap to get the side zip closed. although i  normally wear a size 2, i ordered size 4 because of my experience with the dress at the store.  the size 4 is slightly big across the bust but looks ok. i think the size 2 would've been too tight.</v>
      </c>
      <c r="F2094" s="13">
        <f>IFERROR(__xludf.DUMMYFUNCTION("""COMPUTED_VALUE"""),5.0)</f>
        <v>5</v>
      </c>
      <c r="G2094" s="13">
        <f>IFERROR(__xludf.DUMMYFUNCTION("""COMPUTED_VALUE"""),1.0)</f>
        <v>1</v>
      </c>
      <c r="H2094" s="13">
        <f>IFERROR(__xludf.DUMMYFUNCTION("""COMPUTED_VALUE"""),3.0)</f>
        <v>3</v>
      </c>
      <c r="I2094" s="13" t="str">
        <f>IFERROR(__xludf.DUMMYFUNCTION("""COMPUTED_VALUE"""),"General Petite")</f>
        <v>General Petite</v>
      </c>
      <c r="J2094" s="13" t="str">
        <f>IFERROR(__xludf.DUMMYFUNCTION("""COMPUTED_VALUE"""),"Dresses")</f>
        <v>Dresses</v>
      </c>
      <c r="K2094" s="13" t="str">
        <f>IFERROR(__xludf.DUMMYFUNCTION("""COMPUTED_VALUE"""),"Dresses")</f>
        <v>Dresses</v>
      </c>
      <c r="L2094" s="13"/>
    </row>
    <row r="2095">
      <c r="A2095" s="13">
        <f>IFERROR(__xludf.DUMMYFUNCTION("""COMPUTED_VALUE"""),2093.0)</f>
        <v>2093</v>
      </c>
      <c r="B2095" s="13">
        <f>IFERROR(__xludf.DUMMYFUNCTION("""COMPUTED_VALUE"""),896.0)</f>
        <v>896</v>
      </c>
      <c r="C2095" s="13">
        <f>IFERROR(__xludf.DUMMYFUNCTION("""COMPUTED_VALUE"""),48.0)</f>
        <v>48</v>
      </c>
      <c r="D2095" s="12" t="str">
        <f>IFERROR(__xludf.DUMMYFUNCTION("""COMPUTED_VALUE"""),"Gorgeous")</f>
        <v>Gorgeous</v>
      </c>
      <c r="E2095" s="12" t="str">
        <f>IFERROR(__xludf.DUMMYFUNCTION("""COMPUTED_VALUE"""),"Love this sweater! great for work. very soft and comfortable. color is gorgeous!")</f>
        <v>Love this sweater! great for work. very soft and comfortable. color is gorgeous!</v>
      </c>
      <c r="F2095" s="13">
        <f>IFERROR(__xludf.DUMMYFUNCTION("""COMPUTED_VALUE"""),5.0)</f>
        <v>5</v>
      </c>
      <c r="G2095" s="13">
        <f>IFERROR(__xludf.DUMMYFUNCTION("""COMPUTED_VALUE"""),1.0)</f>
        <v>1</v>
      </c>
      <c r="H2095" s="13">
        <f>IFERROR(__xludf.DUMMYFUNCTION("""COMPUTED_VALUE"""),0.0)</f>
        <v>0</v>
      </c>
      <c r="I2095" s="13" t="str">
        <f>IFERROR(__xludf.DUMMYFUNCTION("""COMPUTED_VALUE"""),"General")</f>
        <v>General</v>
      </c>
      <c r="J2095" s="13" t="str">
        <f>IFERROR(__xludf.DUMMYFUNCTION("""COMPUTED_VALUE"""),"Tops")</f>
        <v>Tops</v>
      </c>
      <c r="K2095" s="13" t="str">
        <f>IFERROR(__xludf.DUMMYFUNCTION("""COMPUTED_VALUE"""),"Fine gauge")</f>
        <v>Fine gauge</v>
      </c>
      <c r="L2095" s="13"/>
    </row>
    <row r="2096">
      <c r="A2096" s="13">
        <f>IFERROR(__xludf.DUMMYFUNCTION("""COMPUTED_VALUE"""),2094.0)</f>
        <v>2094</v>
      </c>
      <c r="B2096" s="13">
        <f>IFERROR(__xludf.DUMMYFUNCTION("""COMPUTED_VALUE"""),872.0)</f>
        <v>872</v>
      </c>
      <c r="C2096" s="13">
        <f>IFERROR(__xludf.DUMMYFUNCTION("""COMPUTED_VALUE"""),36.0)</f>
        <v>36</v>
      </c>
      <c r="D2096" s="12" t="str">
        <f>IFERROR(__xludf.DUMMYFUNCTION("""COMPUTED_VALUE"""),"Upholstery fabric")</f>
        <v>Upholstery fabric</v>
      </c>
      <c r="E2096" s="12" t="str">
        <f>IFERROR(__xludf.DUMMYFUNCTION("""COMPUTED_VALUE"""),"Super thick material and it's lined with cotton so as not to be scratchy on the skin. it looks cute on, hopefully it will soften over time. almost thick like upholstery fabric.")</f>
        <v>Super thick material and it's lined with cotton so as not to be scratchy on the skin. it looks cute on, hopefully it will soften over time. almost thick like upholstery fabric.</v>
      </c>
      <c r="F2096" s="13">
        <f>IFERROR(__xludf.DUMMYFUNCTION("""COMPUTED_VALUE"""),4.0)</f>
        <v>4</v>
      </c>
      <c r="G2096" s="13">
        <f>IFERROR(__xludf.DUMMYFUNCTION("""COMPUTED_VALUE"""),1.0)</f>
        <v>1</v>
      </c>
      <c r="H2096" s="13">
        <f>IFERROR(__xludf.DUMMYFUNCTION("""COMPUTED_VALUE"""),1.0)</f>
        <v>1</v>
      </c>
      <c r="I2096" s="13" t="str">
        <f>IFERROR(__xludf.DUMMYFUNCTION("""COMPUTED_VALUE"""),"General Petite")</f>
        <v>General Petite</v>
      </c>
      <c r="J2096" s="13" t="str">
        <f>IFERROR(__xludf.DUMMYFUNCTION("""COMPUTED_VALUE"""),"Tops")</f>
        <v>Tops</v>
      </c>
      <c r="K2096" s="13" t="str">
        <f>IFERROR(__xludf.DUMMYFUNCTION("""COMPUTED_VALUE"""),"Knits")</f>
        <v>Knits</v>
      </c>
      <c r="L2096" s="13"/>
    </row>
    <row r="2097">
      <c r="A2097" s="13">
        <f>IFERROR(__xludf.DUMMYFUNCTION("""COMPUTED_VALUE"""),2095.0)</f>
        <v>2095</v>
      </c>
      <c r="B2097" s="13">
        <f>IFERROR(__xludf.DUMMYFUNCTION("""COMPUTED_VALUE"""),1072.0)</f>
        <v>1072</v>
      </c>
      <c r="C2097" s="13">
        <f>IFERROR(__xludf.DUMMYFUNCTION("""COMPUTED_VALUE"""),36.0)</f>
        <v>36</v>
      </c>
      <c r="D2097" s="12" t="str">
        <f>IFERROR(__xludf.DUMMYFUNCTION("""COMPUTED_VALUE"""),"Short dress? long sleeves? yes, please!")</f>
        <v>Short dress? long sleeves? yes, please!</v>
      </c>
      <c r="E2097" s="12" t="str">
        <f>IFERROR(__xludf.DUMMYFUNCTION("""COMPUTED_VALUE"""),"I love tiny's aesthetic--sweet, feminine, yet always with a slightly sexy edge. this dress doesn't disappoint! during 90% of the year, i'm always cold. finding cute dresses with long-sleeves is almost as challenging as finding a unicorn. this dress is nea"&amp;"r casual perfection. i plan to wear it on breezy summer nights on a cruise to greece i have coming up. it would also be a perfect spring/fall dress before the seasons change or could be worn in winder with tights and a cardigan. see, near perfec")</f>
        <v>I love tiny's aesthetic--sweet, feminine, yet always with a slightly sexy edge. this dress doesn't disappoint! during 90% of the year, i'm always cold. finding cute dresses with long-sleeves is almost as challenging as finding a unicorn. this dress is near casual perfection. i plan to wear it on breezy summer nights on a cruise to greece i have coming up. it would also be a perfect spring/fall dress before the seasons change or could be worn in winder with tights and a cardigan. see, near perfec</v>
      </c>
      <c r="F2097" s="13">
        <f>IFERROR(__xludf.DUMMYFUNCTION("""COMPUTED_VALUE"""),5.0)</f>
        <v>5</v>
      </c>
      <c r="G2097" s="13">
        <f>IFERROR(__xludf.DUMMYFUNCTION("""COMPUTED_VALUE"""),1.0)</f>
        <v>1</v>
      </c>
      <c r="H2097" s="13">
        <f>IFERROR(__xludf.DUMMYFUNCTION("""COMPUTED_VALUE"""),2.0)</f>
        <v>2</v>
      </c>
      <c r="I2097" s="13" t="str">
        <f>IFERROR(__xludf.DUMMYFUNCTION("""COMPUTED_VALUE"""),"General Petite")</f>
        <v>General Petite</v>
      </c>
      <c r="J2097" s="13" t="str">
        <f>IFERROR(__xludf.DUMMYFUNCTION("""COMPUTED_VALUE"""),"Dresses")</f>
        <v>Dresses</v>
      </c>
      <c r="K2097" s="13" t="str">
        <f>IFERROR(__xludf.DUMMYFUNCTION("""COMPUTED_VALUE"""),"Dresses")</f>
        <v>Dresses</v>
      </c>
      <c r="L2097" s="13"/>
    </row>
    <row r="2098">
      <c r="A2098" s="13">
        <f>IFERROR(__xludf.DUMMYFUNCTION("""COMPUTED_VALUE"""),2096.0)</f>
        <v>2096</v>
      </c>
      <c r="B2098" s="13">
        <f>IFERROR(__xludf.DUMMYFUNCTION("""COMPUTED_VALUE"""),850.0)</f>
        <v>850</v>
      </c>
      <c r="C2098" s="13">
        <f>IFERROR(__xludf.DUMMYFUNCTION("""COMPUTED_VALUE"""),24.0)</f>
        <v>24</v>
      </c>
      <c r="D2098" s="12" t="str">
        <f>IFERROR(__xludf.DUMMYFUNCTION("""COMPUTED_VALUE"""),"Great top, runs a little short")</f>
        <v>Great top, runs a little short</v>
      </c>
      <c r="E2098" s="12" t="str">
        <f>IFERROR(__xludf.DUMMYFUNCTION("""COMPUTED_VALUE"""),"Love peplums and love this top! the quality and fabric is beautiful. i did have to size up because it ran a little too short on me, but otherwise great top. really cute to pair with a statement necklace as well!")</f>
        <v>Love peplums and love this top! the quality and fabric is beautiful. i did have to size up because it ran a little too short on me, but otherwise great top. really cute to pair with a statement necklace as well!</v>
      </c>
      <c r="F2098" s="13">
        <f>IFERROR(__xludf.DUMMYFUNCTION("""COMPUTED_VALUE"""),4.0)</f>
        <v>4</v>
      </c>
      <c r="G2098" s="13">
        <f>IFERROR(__xludf.DUMMYFUNCTION("""COMPUTED_VALUE"""),1.0)</f>
        <v>1</v>
      </c>
      <c r="H2098" s="13">
        <f>IFERROR(__xludf.DUMMYFUNCTION("""COMPUTED_VALUE"""),1.0)</f>
        <v>1</v>
      </c>
      <c r="I2098" s="13" t="str">
        <f>IFERROR(__xludf.DUMMYFUNCTION("""COMPUTED_VALUE"""),"General Petite")</f>
        <v>General Petite</v>
      </c>
      <c r="J2098" s="13" t="str">
        <f>IFERROR(__xludf.DUMMYFUNCTION("""COMPUTED_VALUE"""),"Tops")</f>
        <v>Tops</v>
      </c>
      <c r="K2098" s="13" t="str">
        <f>IFERROR(__xludf.DUMMYFUNCTION("""COMPUTED_VALUE"""),"Blouses")</f>
        <v>Blouses</v>
      </c>
      <c r="L2098" s="13"/>
    </row>
    <row r="2099">
      <c r="A2099" s="13">
        <f>IFERROR(__xludf.DUMMYFUNCTION("""COMPUTED_VALUE"""),2097.0)</f>
        <v>2097</v>
      </c>
      <c r="B2099" s="13">
        <f>IFERROR(__xludf.DUMMYFUNCTION("""COMPUTED_VALUE"""),1072.0)</f>
        <v>1072</v>
      </c>
      <c r="C2099" s="13">
        <f>IFERROR(__xludf.DUMMYFUNCTION("""COMPUTED_VALUE"""),39.0)</f>
        <v>39</v>
      </c>
      <c r="D2099" s="12" t="str">
        <f>IFERROR(__xludf.DUMMYFUNCTION("""COMPUTED_VALUE"""),"Obsessed")</f>
        <v>Obsessed</v>
      </c>
      <c r="E2099" s="12" t="str">
        <f>IFERROR(__xludf.DUMMYFUNCTION("""COMPUTED_VALUE"""),"I've already worn this dress 4 times and i bought 3 weeks ago. easy to wear, comfortable and flattering. i love and wish it was available it more patterns.")</f>
        <v>I've already worn this dress 4 times and i bought 3 weeks ago. easy to wear, comfortable and flattering. i love and wish it was available it more patterns.</v>
      </c>
      <c r="F2099" s="13">
        <f>IFERROR(__xludf.DUMMYFUNCTION("""COMPUTED_VALUE"""),5.0)</f>
        <v>5</v>
      </c>
      <c r="G2099" s="13">
        <f>IFERROR(__xludf.DUMMYFUNCTION("""COMPUTED_VALUE"""),1.0)</f>
        <v>1</v>
      </c>
      <c r="H2099" s="13">
        <f>IFERROR(__xludf.DUMMYFUNCTION("""COMPUTED_VALUE"""),1.0)</f>
        <v>1</v>
      </c>
      <c r="I2099" s="13" t="str">
        <f>IFERROR(__xludf.DUMMYFUNCTION("""COMPUTED_VALUE"""),"General Petite")</f>
        <v>General Petite</v>
      </c>
      <c r="J2099" s="13" t="str">
        <f>IFERROR(__xludf.DUMMYFUNCTION("""COMPUTED_VALUE"""),"Dresses")</f>
        <v>Dresses</v>
      </c>
      <c r="K2099" s="13" t="str">
        <f>IFERROR(__xludf.DUMMYFUNCTION("""COMPUTED_VALUE"""),"Dresses")</f>
        <v>Dresses</v>
      </c>
      <c r="L2099" s="13"/>
    </row>
    <row r="2100">
      <c r="A2100" s="13">
        <f>IFERROR(__xludf.DUMMYFUNCTION("""COMPUTED_VALUE"""),2098.0)</f>
        <v>2098</v>
      </c>
      <c r="B2100" s="13">
        <f>IFERROR(__xludf.DUMMYFUNCTION("""COMPUTED_VALUE"""),896.0)</f>
        <v>896</v>
      </c>
      <c r="C2100" s="13">
        <f>IFERROR(__xludf.DUMMYFUNCTION("""COMPUTED_VALUE"""),46.0)</f>
        <v>46</v>
      </c>
      <c r="D2100" s="12" t="str">
        <f>IFERROR(__xludf.DUMMYFUNCTION("""COMPUTED_VALUE"""),"Great classic look for fall")</f>
        <v>Great classic look for fall</v>
      </c>
      <c r="E2100" s="12" t="str">
        <f>IFERROR(__xludf.DUMMYFUNCTION("""COMPUTED_VALUE"""),"I was really drawn to this burgundy color on this sweater, but wasn't all that impressed with the style. as soon i tried it on, wow it is very flattering. the color is gorgeous, i can see myself using it with jeans, pencil skirts, pants. for reference it "&amp;"does run large, i am usually a x large but i got a large and fits beautifully.")</f>
        <v>I was really drawn to this burgundy color on this sweater, but wasn't all that impressed with the style. as soon i tried it on, wow it is very flattering. the color is gorgeous, i can see myself using it with jeans, pencil skirts, pants. for reference it does run large, i am usually a x large but i got a large and fits beautifully.</v>
      </c>
      <c r="F2100" s="13">
        <f>IFERROR(__xludf.DUMMYFUNCTION("""COMPUTED_VALUE"""),5.0)</f>
        <v>5</v>
      </c>
      <c r="G2100" s="13">
        <f>IFERROR(__xludf.DUMMYFUNCTION("""COMPUTED_VALUE"""),1.0)</f>
        <v>1</v>
      </c>
      <c r="H2100" s="13">
        <f>IFERROR(__xludf.DUMMYFUNCTION("""COMPUTED_VALUE"""),1.0)</f>
        <v>1</v>
      </c>
      <c r="I2100" s="13" t="str">
        <f>IFERROR(__xludf.DUMMYFUNCTION("""COMPUTED_VALUE"""),"General")</f>
        <v>General</v>
      </c>
      <c r="J2100" s="13" t="str">
        <f>IFERROR(__xludf.DUMMYFUNCTION("""COMPUTED_VALUE"""),"Tops")</f>
        <v>Tops</v>
      </c>
      <c r="K2100" s="13" t="str">
        <f>IFERROR(__xludf.DUMMYFUNCTION("""COMPUTED_VALUE"""),"Fine gauge")</f>
        <v>Fine gauge</v>
      </c>
      <c r="L2100" s="13"/>
    </row>
    <row r="2101">
      <c r="A2101" s="13">
        <f>IFERROR(__xludf.DUMMYFUNCTION("""COMPUTED_VALUE"""),2099.0)</f>
        <v>2099</v>
      </c>
      <c r="B2101" s="13">
        <f>IFERROR(__xludf.DUMMYFUNCTION("""COMPUTED_VALUE"""),1092.0)</f>
        <v>1092</v>
      </c>
      <c r="C2101" s="13">
        <f>IFERROR(__xludf.DUMMYFUNCTION("""COMPUTED_VALUE"""),27.0)</f>
        <v>27</v>
      </c>
      <c r="D2101" s="12" t="str">
        <f>IFERROR(__xludf.DUMMYFUNCTION("""COMPUTED_VALUE"""),"Love it!")</f>
        <v>Love it!</v>
      </c>
      <c r="E2101" s="12" t="str">
        <f>IFERROR(__xludf.DUMMYFUNCTION("""COMPUTED_VALUE"""),"Love this dress! it's even prettier in person. i found the sizing a little bit on the large side, but i read that many others had the opposite problem, particularly in the bust where i'm small/average for my size. even though it's a little big on me, it l"&amp;"ooks and feels great.")</f>
        <v>Love this dress! it's even prettier in person. i found the sizing a little bit on the large side, but i read that many others had the opposite problem, particularly in the bust where i'm small/average for my size. even though it's a little big on me, it looks and feels great.</v>
      </c>
      <c r="F2101" s="13">
        <f>IFERROR(__xludf.DUMMYFUNCTION("""COMPUTED_VALUE"""),5.0)</f>
        <v>5</v>
      </c>
      <c r="G2101" s="13">
        <f>IFERROR(__xludf.DUMMYFUNCTION("""COMPUTED_VALUE"""),1.0)</f>
        <v>1</v>
      </c>
      <c r="H2101" s="13">
        <f>IFERROR(__xludf.DUMMYFUNCTION("""COMPUTED_VALUE"""),0.0)</f>
        <v>0</v>
      </c>
      <c r="I2101" s="13" t="str">
        <f>IFERROR(__xludf.DUMMYFUNCTION("""COMPUTED_VALUE"""),"General Petite")</f>
        <v>General Petite</v>
      </c>
      <c r="J2101" s="13" t="str">
        <f>IFERROR(__xludf.DUMMYFUNCTION("""COMPUTED_VALUE"""),"Dresses")</f>
        <v>Dresses</v>
      </c>
      <c r="K2101" s="13" t="str">
        <f>IFERROR(__xludf.DUMMYFUNCTION("""COMPUTED_VALUE"""),"Dresses")</f>
        <v>Dresses</v>
      </c>
      <c r="L2101" s="13"/>
    </row>
    <row r="2102">
      <c r="A2102" s="13">
        <f>IFERROR(__xludf.DUMMYFUNCTION("""COMPUTED_VALUE"""),2100.0)</f>
        <v>2100</v>
      </c>
      <c r="B2102" s="13">
        <f>IFERROR(__xludf.DUMMYFUNCTION("""COMPUTED_VALUE"""),862.0)</f>
        <v>862</v>
      </c>
      <c r="C2102" s="13">
        <f>IFERROR(__xludf.DUMMYFUNCTION("""COMPUTED_VALUE"""),34.0)</f>
        <v>34</v>
      </c>
      <c r="D2102" s="12"/>
      <c r="E2102" s="12" t="str">
        <f>IFERROR(__xludf.DUMMYFUNCTION("""COMPUTED_VALUE"""),"Has anybody washed this shirt a second time? just curious if it continues to shrink.")</f>
        <v>Has anybody washed this shirt a second time? just curious if it continues to shrink.</v>
      </c>
      <c r="F2102" s="13">
        <f>IFERROR(__xludf.DUMMYFUNCTION("""COMPUTED_VALUE"""),3.0)</f>
        <v>3</v>
      </c>
      <c r="G2102" s="13">
        <f>IFERROR(__xludf.DUMMYFUNCTION("""COMPUTED_VALUE"""),0.0)</f>
        <v>0</v>
      </c>
      <c r="H2102" s="13">
        <f>IFERROR(__xludf.DUMMYFUNCTION("""COMPUTED_VALUE"""),0.0)</f>
        <v>0</v>
      </c>
      <c r="I2102" s="13" t="str">
        <f>IFERROR(__xludf.DUMMYFUNCTION("""COMPUTED_VALUE"""),"General")</f>
        <v>General</v>
      </c>
      <c r="J2102" s="13" t="str">
        <f>IFERROR(__xludf.DUMMYFUNCTION("""COMPUTED_VALUE"""),"Tops")</f>
        <v>Tops</v>
      </c>
      <c r="K2102" s="13" t="str">
        <f>IFERROR(__xludf.DUMMYFUNCTION("""COMPUTED_VALUE"""),"Knits")</f>
        <v>Knits</v>
      </c>
      <c r="L2102" s="13"/>
    </row>
    <row r="2103">
      <c r="A2103" s="13">
        <f>IFERROR(__xludf.DUMMYFUNCTION("""COMPUTED_VALUE"""),2101.0)</f>
        <v>2101</v>
      </c>
      <c r="B2103" s="13">
        <f>IFERROR(__xludf.DUMMYFUNCTION("""COMPUTED_VALUE"""),1092.0)</f>
        <v>1092</v>
      </c>
      <c r="C2103" s="13">
        <f>IFERROR(__xludf.DUMMYFUNCTION("""COMPUTED_VALUE"""),41.0)</f>
        <v>41</v>
      </c>
      <c r="D2103" s="12" t="str">
        <f>IFERROR(__xludf.DUMMYFUNCTION("""COMPUTED_VALUE"""),"Beautiful")</f>
        <v>Beautiful</v>
      </c>
      <c r="E2103" s="12" t="str">
        <f>IFERROR(__xludf.DUMMYFUNCTION("""COMPUTED_VALUE"""),"This dress is beautiful in person. i am 5'1 and was afraid it would be too long but it was perfect. i only need 2 inch heel and it will be fine.  details on the flowers are really nice. one more plus it machine washable.")</f>
        <v>This dress is beautiful in person. i am 5'1 and was afraid it would be too long but it was perfect. i only need 2 inch heel and it will be fine.  details on the flowers are really nice. one more plus it machine washable.</v>
      </c>
      <c r="F2103" s="13">
        <f>IFERROR(__xludf.DUMMYFUNCTION("""COMPUTED_VALUE"""),5.0)</f>
        <v>5</v>
      </c>
      <c r="G2103" s="13">
        <f>IFERROR(__xludf.DUMMYFUNCTION("""COMPUTED_VALUE"""),1.0)</f>
        <v>1</v>
      </c>
      <c r="H2103" s="13">
        <f>IFERROR(__xludf.DUMMYFUNCTION("""COMPUTED_VALUE"""),0.0)</f>
        <v>0</v>
      </c>
      <c r="I2103" s="13" t="str">
        <f>IFERROR(__xludf.DUMMYFUNCTION("""COMPUTED_VALUE"""),"General Petite")</f>
        <v>General Petite</v>
      </c>
      <c r="J2103" s="13" t="str">
        <f>IFERROR(__xludf.DUMMYFUNCTION("""COMPUTED_VALUE"""),"Dresses")</f>
        <v>Dresses</v>
      </c>
      <c r="K2103" s="13" t="str">
        <f>IFERROR(__xludf.DUMMYFUNCTION("""COMPUTED_VALUE"""),"Dresses")</f>
        <v>Dresses</v>
      </c>
      <c r="L2103" s="13"/>
    </row>
    <row r="2104">
      <c r="A2104" s="13">
        <f>IFERROR(__xludf.DUMMYFUNCTION("""COMPUTED_VALUE"""),2102.0)</f>
        <v>2102</v>
      </c>
      <c r="B2104" s="13">
        <f>IFERROR(__xludf.DUMMYFUNCTION("""COMPUTED_VALUE"""),1092.0)</f>
        <v>1092</v>
      </c>
      <c r="C2104" s="13">
        <f>IFERROR(__xludf.DUMMYFUNCTION("""COMPUTED_VALUE"""),29.0)</f>
        <v>29</v>
      </c>
      <c r="D2104" s="12"/>
      <c r="E2104" s="12" t="str">
        <f>IFERROR(__xludf.DUMMYFUNCTION("""COMPUTED_VALUE"""),"I love, love, love this absolutely stunning dress. the only problem was that the zipper was very difficult to maneuver, and when it finally went up, the watch it was attached the lining of the dress made a bump in the dress, which was very unflattering on"&amp;" an otherwise very flattering dress. i tried on multiple versions of this dress and had the same design issue with each. i ended up returning it because it bothered me so much.")</f>
        <v>I love, love, love this absolutely stunning dress. the only problem was that the zipper was very difficult to maneuver, and when it finally went up, the watch it was attached the lining of the dress made a bump in the dress, which was very unflattering on an otherwise very flattering dress. i tried on multiple versions of this dress and had the same design issue with each. i ended up returning it because it bothered me so much.</v>
      </c>
      <c r="F2104" s="13">
        <f>IFERROR(__xludf.DUMMYFUNCTION("""COMPUTED_VALUE"""),3.0)</f>
        <v>3</v>
      </c>
      <c r="G2104" s="13">
        <f>IFERROR(__xludf.DUMMYFUNCTION("""COMPUTED_VALUE"""),0.0)</f>
        <v>0</v>
      </c>
      <c r="H2104" s="13">
        <f>IFERROR(__xludf.DUMMYFUNCTION("""COMPUTED_VALUE"""),1.0)</f>
        <v>1</v>
      </c>
      <c r="I2104" s="13" t="str">
        <f>IFERROR(__xludf.DUMMYFUNCTION("""COMPUTED_VALUE"""),"General Petite")</f>
        <v>General Petite</v>
      </c>
      <c r="J2104" s="13" t="str">
        <f>IFERROR(__xludf.DUMMYFUNCTION("""COMPUTED_VALUE"""),"Dresses")</f>
        <v>Dresses</v>
      </c>
      <c r="K2104" s="13" t="str">
        <f>IFERROR(__xludf.DUMMYFUNCTION("""COMPUTED_VALUE"""),"Dresses")</f>
        <v>Dresses</v>
      </c>
      <c r="L2104" s="13"/>
    </row>
    <row r="2105">
      <c r="A2105" s="13">
        <f>IFERROR(__xludf.DUMMYFUNCTION("""COMPUTED_VALUE"""),2103.0)</f>
        <v>2103</v>
      </c>
      <c r="B2105" s="13">
        <f>IFERROR(__xludf.DUMMYFUNCTION("""COMPUTED_VALUE"""),912.0)</f>
        <v>912</v>
      </c>
      <c r="C2105" s="13">
        <f>IFERROR(__xludf.DUMMYFUNCTION("""COMPUTED_VALUE"""),49.0)</f>
        <v>49</v>
      </c>
      <c r="D2105" s="12"/>
      <c r="E2105" s="12"/>
      <c r="F2105" s="13">
        <f>IFERROR(__xludf.DUMMYFUNCTION("""COMPUTED_VALUE"""),5.0)</f>
        <v>5</v>
      </c>
      <c r="G2105" s="13">
        <f>IFERROR(__xludf.DUMMYFUNCTION("""COMPUTED_VALUE"""),1.0)</f>
        <v>1</v>
      </c>
      <c r="H2105" s="13">
        <f>IFERROR(__xludf.DUMMYFUNCTION("""COMPUTED_VALUE"""),0.0)</f>
        <v>0</v>
      </c>
      <c r="I2105" s="13" t="str">
        <f>IFERROR(__xludf.DUMMYFUNCTION("""COMPUTED_VALUE"""),"General")</f>
        <v>General</v>
      </c>
      <c r="J2105" s="13" t="str">
        <f>IFERROR(__xludf.DUMMYFUNCTION("""COMPUTED_VALUE"""),"Tops")</f>
        <v>Tops</v>
      </c>
      <c r="K2105" s="13" t="str">
        <f>IFERROR(__xludf.DUMMYFUNCTION("""COMPUTED_VALUE"""),"Fine gauge")</f>
        <v>Fine gauge</v>
      </c>
      <c r="L2105" s="13"/>
    </row>
    <row r="2106">
      <c r="A2106" s="13">
        <f>IFERROR(__xludf.DUMMYFUNCTION("""COMPUTED_VALUE"""),2104.0)</f>
        <v>2104</v>
      </c>
      <c r="B2106" s="13">
        <f>IFERROR(__xludf.DUMMYFUNCTION("""COMPUTED_VALUE"""),896.0)</f>
        <v>896</v>
      </c>
      <c r="C2106" s="13">
        <f>IFERROR(__xludf.DUMMYFUNCTION("""COMPUTED_VALUE"""),37.0)</f>
        <v>37</v>
      </c>
      <c r="D2106" s="12" t="str">
        <f>IFERROR(__xludf.DUMMYFUNCTION("""COMPUTED_VALUE"""),"Poor shape for my body type")</f>
        <v>Poor shape for my body type</v>
      </c>
      <c r="E2106" s="12" t="str">
        <f>IFERROR(__xludf.DUMMYFUNCTION("""COMPUTED_VALUE"""),"Purchased because i wanted a deep red sweater, and this one was the perfect color. unfortunately i am on the curvier side, with 34g chest, 155lbs 5' 5"", and the med was too big, (i usually wear m or l at retailer.) also the fit ended up being boxy on my "&amp;"body type.")</f>
        <v>Purchased because i wanted a deep red sweater, and this one was the perfect color. unfortunately i am on the curvier side, with 34g chest, 155lbs 5' 5", and the med was too big, (i usually wear m or l at retailer.) also the fit ended up being boxy on my body type.</v>
      </c>
      <c r="F2106" s="13">
        <f>IFERROR(__xludf.DUMMYFUNCTION("""COMPUTED_VALUE"""),3.0)</f>
        <v>3</v>
      </c>
      <c r="G2106" s="13">
        <f>IFERROR(__xludf.DUMMYFUNCTION("""COMPUTED_VALUE"""),0.0)</f>
        <v>0</v>
      </c>
      <c r="H2106" s="13">
        <f>IFERROR(__xludf.DUMMYFUNCTION("""COMPUTED_VALUE"""),0.0)</f>
        <v>0</v>
      </c>
      <c r="I2106" s="13" t="str">
        <f>IFERROR(__xludf.DUMMYFUNCTION("""COMPUTED_VALUE"""),"General")</f>
        <v>General</v>
      </c>
      <c r="J2106" s="13" t="str">
        <f>IFERROR(__xludf.DUMMYFUNCTION("""COMPUTED_VALUE"""),"Tops")</f>
        <v>Tops</v>
      </c>
      <c r="K2106" s="13" t="str">
        <f>IFERROR(__xludf.DUMMYFUNCTION("""COMPUTED_VALUE"""),"Fine gauge")</f>
        <v>Fine gauge</v>
      </c>
      <c r="L2106" s="13"/>
    </row>
    <row r="2107">
      <c r="A2107" s="13">
        <f>IFERROR(__xludf.DUMMYFUNCTION("""COMPUTED_VALUE"""),2105.0)</f>
        <v>2105</v>
      </c>
      <c r="B2107" s="13">
        <f>IFERROR(__xludf.DUMMYFUNCTION("""COMPUTED_VALUE"""),896.0)</f>
        <v>896</v>
      </c>
      <c r="C2107" s="13">
        <f>IFERROR(__xludf.DUMMYFUNCTION("""COMPUTED_VALUE"""),35.0)</f>
        <v>35</v>
      </c>
      <c r="D2107" s="12" t="str">
        <f>IFERROR(__xludf.DUMMYFUNCTION("""COMPUTED_VALUE"""),"Its a keeper")</f>
        <v>Its a keeper</v>
      </c>
      <c r="E2107" s="12" t="str">
        <f>IFERROR(__xludf.DUMMYFUNCTION("""COMPUTED_VALUE"""),"I'm not usually a fan of simple crewneck sweaters but this one has some nice added details that make it a keeper. the dark red oxblood color is really nice (it manages to be a red sweater without feeling overly holiday), the detailing at shoulder/chest is"&amp;" interesting yet subtle enough to not be distracting and doesn't feel bulky at all, the dropped shoulder seams are done correctly and without the body becoming boxy. it does feel like it might run a tad bit large, but only very slightly, not eno")</f>
        <v>I'm not usually a fan of simple crewneck sweaters but this one has some nice added details that make it a keeper. the dark red oxblood color is really nice (it manages to be a red sweater without feeling overly holiday), the detailing at shoulder/chest is interesting yet subtle enough to not be distracting and doesn't feel bulky at all, the dropped shoulder seams are done correctly and without the body becoming boxy. it does feel like it might run a tad bit large, but only very slightly, not eno</v>
      </c>
      <c r="F2107" s="13">
        <f>IFERROR(__xludf.DUMMYFUNCTION("""COMPUTED_VALUE"""),4.0)</f>
        <v>4</v>
      </c>
      <c r="G2107" s="13">
        <f>IFERROR(__xludf.DUMMYFUNCTION("""COMPUTED_VALUE"""),1.0)</f>
        <v>1</v>
      </c>
      <c r="H2107" s="13">
        <f>IFERROR(__xludf.DUMMYFUNCTION("""COMPUTED_VALUE"""),0.0)</f>
        <v>0</v>
      </c>
      <c r="I2107" s="13" t="str">
        <f>IFERROR(__xludf.DUMMYFUNCTION("""COMPUTED_VALUE"""),"General")</f>
        <v>General</v>
      </c>
      <c r="J2107" s="13" t="str">
        <f>IFERROR(__xludf.DUMMYFUNCTION("""COMPUTED_VALUE"""),"Tops")</f>
        <v>Tops</v>
      </c>
      <c r="K2107" s="13" t="str">
        <f>IFERROR(__xludf.DUMMYFUNCTION("""COMPUTED_VALUE"""),"Fine gauge")</f>
        <v>Fine gauge</v>
      </c>
      <c r="L2107" s="13"/>
    </row>
    <row r="2108">
      <c r="A2108" s="13">
        <f>IFERROR(__xludf.DUMMYFUNCTION("""COMPUTED_VALUE"""),2106.0)</f>
        <v>2106</v>
      </c>
      <c r="B2108" s="13">
        <f>IFERROR(__xludf.DUMMYFUNCTION("""COMPUTED_VALUE"""),1092.0)</f>
        <v>1092</v>
      </c>
      <c r="C2108" s="13">
        <f>IFERROR(__xludf.DUMMYFUNCTION("""COMPUTED_VALUE"""),37.0)</f>
        <v>37</v>
      </c>
      <c r="D2108" s="12" t="str">
        <f>IFERROR(__xludf.DUMMYFUNCTION("""COMPUTED_VALUE"""),"Weird fit in the bust")</f>
        <v>Weird fit in the bust</v>
      </c>
      <c r="E2108" s="12" t="str">
        <f>IFERROR(__xludf.DUMMYFUNCTION("""COMPUTED_VALUE"""),"I own many retailer dresses but the sizing can be odd. i usually wear a size 4-6 and i have a floreat maxi dress size 4 that works well. i am 34c and based on the reviews i decided to order a size 6. the dress fits well except for he bust area that is ver"&amp;"y snug/couldn't even get the zipper up. i will probably have to order a size 10 to be able to close the zipper on the bust area but it will be huge everywhere else.the fabric seems very delicate and may develop runs easily. it's a shame because th")</f>
        <v>I own many retailer dresses but the sizing can be odd. i usually wear a size 4-6 and i have a floreat maxi dress size 4 that works well. i am 34c and based on the reviews i decided to order a size 6. the dress fits well except for he bust area that is very snug/couldn't even get the zipper up. i will probably have to order a size 10 to be able to close the zipper on the bust area but it will be huge everywhere else.the fabric seems very delicate and may develop runs easily. it's a shame because th</v>
      </c>
      <c r="F2108" s="13">
        <f>IFERROR(__xludf.DUMMYFUNCTION("""COMPUTED_VALUE"""),2.0)</f>
        <v>2</v>
      </c>
      <c r="G2108" s="13">
        <f>IFERROR(__xludf.DUMMYFUNCTION("""COMPUTED_VALUE"""),0.0)</f>
        <v>0</v>
      </c>
      <c r="H2108" s="13">
        <f>IFERROR(__xludf.DUMMYFUNCTION("""COMPUTED_VALUE"""),0.0)</f>
        <v>0</v>
      </c>
      <c r="I2108" s="13" t="str">
        <f>IFERROR(__xludf.DUMMYFUNCTION("""COMPUTED_VALUE"""),"General Petite")</f>
        <v>General Petite</v>
      </c>
      <c r="J2108" s="13" t="str">
        <f>IFERROR(__xludf.DUMMYFUNCTION("""COMPUTED_VALUE"""),"Dresses")</f>
        <v>Dresses</v>
      </c>
      <c r="K2108" s="13" t="str">
        <f>IFERROR(__xludf.DUMMYFUNCTION("""COMPUTED_VALUE"""),"Dresses")</f>
        <v>Dresses</v>
      </c>
      <c r="L2108" s="13"/>
    </row>
    <row r="2109">
      <c r="A2109" s="13">
        <f>IFERROR(__xludf.DUMMYFUNCTION("""COMPUTED_VALUE"""),2107.0)</f>
        <v>2107</v>
      </c>
      <c r="B2109" s="13">
        <f>IFERROR(__xludf.DUMMYFUNCTION("""COMPUTED_VALUE"""),1126.0)</f>
        <v>1126</v>
      </c>
      <c r="C2109" s="13">
        <f>IFERROR(__xludf.DUMMYFUNCTION("""COMPUTED_VALUE"""),32.0)</f>
        <v>32</v>
      </c>
      <c r="D2109" s="12" t="str">
        <f>IFERROR(__xludf.DUMMYFUNCTION("""COMPUTED_VALUE"""),"Cute style, very wide")</f>
        <v>Cute style, very wide</v>
      </c>
      <c r="E2109" s="12" t="str">
        <f>IFERROR(__xludf.DUMMYFUNCTION("""COMPUTED_VALUE"""),"Great coat. love the length but it definitely runs big. i got a m even though i would normally be a l and it's roomy. fabric has pulles under the arms after 1 wear but overall quality is good. very warm. great look for work w. black pants.")</f>
        <v>Great coat. love the length but it definitely runs big. i got a m even though i would normally be a l and it's roomy. fabric has pulles under the arms after 1 wear but overall quality is good. very warm. great look for work w. black pants.</v>
      </c>
      <c r="F2109" s="13">
        <f>IFERROR(__xludf.DUMMYFUNCTION("""COMPUTED_VALUE"""),4.0)</f>
        <v>4</v>
      </c>
      <c r="G2109" s="13">
        <f>IFERROR(__xludf.DUMMYFUNCTION("""COMPUTED_VALUE"""),1.0)</f>
        <v>1</v>
      </c>
      <c r="H2109" s="13">
        <f>IFERROR(__xludf.DUMMYFUNCTION("""COMPUTED_VALUE"""),1.0)</f>
        <v>1</v>
      </c>
      <c r="I2109" s="13" t="str">
        <f>IFERROR(__xludf.DUMMYFUNCTION("""COMPUTED_VALUE"""),"General")</f>
        <v>General</v>
      </c>
      <c r="J2109" s="13" t="str">
        <f>IFERROR(__xludf.DUMMYFUNCTION("""COMPUTED_VALUE"""),"Jackets")</f>
        <v>Jackets</v>
      </c>
      <c r="K2109" s="13" t="str">
        <f>IFERROR(__xludf.DUMMYFUNCTION("""COMPUTED_VALUE"""),"Outerwear")</f>
        <v>Outerwear</v>
      </c>
      <c r="L2109" s="13"/>
    </row>
    <row r="2110">
      <c r="A2110" s="13">
        <f>IFERROR(__xludf.DUMMYFUNCTION("""COMPUTED_VALUE"""),2108.0)</f>
        <v>2108</v>
      </c>
      <c r="B2110" s="13">
        <f>IFERROR(__xludf.DUMMYFUNCTION("""COMPUTED_VALUE"""),1126.0)</f>
        <v>1126</v>
      </c>
      <c r="C2110" s="13">
        <f>IFERROR(__xludf.DUMMYFUNCTION("""COMPUTED_VALUE"""),30.0)</f>
        <v>30</v>
      </c>
      <c r="D2110" s="12" t="str">
        <f>IFERROR(__xludf.DUMMYFUNCTION("""COMPUTED_VALUE"""),"Great coat")</f>
        <v>Great coat</v>
      </c>
      <c r="E2110" s="12" t="str">
        <f>IFERROR(__xludf.DUMMYFUNCTION("""COMPUTED_VALUE"""),"I got this coat to throw over slacks at work with the ac, and it's perfect. the picture online is less flattering than in person. found that the medium was too large in shoulders and arm length, small was right for 140lb, 5'8"", typical size 6.")</f>
        <v>I got this coat to throw over slacks at work with the ac, and it's perfect. the picture online is less flattering than in person. found that the medium was too large in shoulders and arm length, small was right for 140lb, 5'8", typical size 6.</v>
      </c>
      <c r="F2110" s="13">
        <f>IFERROR(__xludf.DUMMYFUNCTION("""COMPUTED_VALUE"""),5.0)</f>
        <v>5</v>
      </c>
      <c r="G2110" s="13">
        <f>IFERROR(__xludf.DUMMYFUNCTION("""COMPUTED_VALUE"""),1.0)</f>
        <v>1</v>
      </c>
      <c r="H2110" s="13">
        <f>IFERROR(__xludf.DUMMYFUNCTION("""COMPUTED_VALUE"""),0.0)</f>
        <v>0</v>
      </c>
      <c r="I2110" s="13" t="str">
        <f>IFERROR(__xludf.DUMMYFUNCTION("""COMPUTED_VALUE"""),"General")</f>
        <v>General</v>
      </c>
      <c r="J2110" s="13" t="str">
        <f>IFERROR(__xludf.DUMMYFUNCTION("""COMPUTED_VALUE"""),"Jackets")</f>
        <v>Jackets</v>
      </c>
      <c r="K2110" s="13" t="str">
        <f>IFERROR(__xludf.DUMMYFUNCTION("""COMPUTED_VALUE"""),"Outerwear")</f>
        <v>Outerwear</v>
      </c>
      <c r="L2110" s="13"/>
    </row>
    <row r="2111">
      <c r="A2111" s="13">
        <f>IFERROR(__xludf.DUMMYFUNCTION("""COMPUTED_VALUE"""),2109.0)</f>
        <v>2109</v>
      </c>
      <c r="B2111" s="13">
        <f>IFERROR(__xludf.DUMMYFUNCTION("""COMPUTED_VALUE"""),1092.0)</f>
        <v>1092</v>
      </c>
      <c r="C2111" s="13">
        <f>IFERROR(__xludf.DUMMYFUNCTION("""COMPUTED_VALUE"""),36.0)</f>
        <v>36</v>
      </c>
      <c r="D2111" s="12"/>
      <c r="E2111" s="12" t="str">
        <f>IFERROR(__xludf.DUMMYFUNCTION("""COMPUTED_VALUE"""),"This dress is adorable. i found it to be true to size, but i do have a small bust so perhaps that helped with the sizing issue the other reviewer encountered. i love the embroidery throughout, it beautifully constructed and feels lush. i'm 5'9"" and the d"&amp;"ress falls to my ankles, but that's ok because it will look beautiful with heels or flats. i love the dress and cant wait to wear but gave it a 4-star rating because of the side zipper. it is extremely hard to zip up past your waist because of th")</f>
        <v>This dress is adorable. i found it to be true to size, but i do have a small bust so perhaps that helped with the sizing issue the other reviewer encountered. i love the embroidery throughout, it beautifully constructed and feels lush. i'm 5'9" and the dress falls to my ankles, but that's ok because it will look beautiful with heels or flats. i love the dress and cant wait to wear but gave it a 4-star rating because of the side zipper. it is extremely hard to zip up past your waist because of th</v>
      </c>
      <c r="F2111" s="13">
        <f>IFERROR(__xludf.DUMMYFUNCTION("""COMPUTED_VALUE"""),4.0)</f>
        <v>4</v>
      </c>
      <c r="G2111" s="13">
        <f>IFERROR(__xludf.DUMMYFUNCTION("""COMPUTED_VALUE"""),1.0)</f>
        <v>1</v>
      </c>
      <c r="H2111" s="13">
        <f>IFERROR(__xludf.DUMMYFUNCTION("""COMPUTED_VALUE"""),6.0)</f>
        <v>6</v>
      </c>
      <c r="I2111" s="13" t="str">
        <f>IFERROR(__xludf.DUMMYFUNCTION("""COMPUTED_VALUE"""),"General Petite")</f>
        <v>General Petite</v>
      </c>
      <c r="J2111" s="13" t="str">
        <f>IFERROR(__xludf.DUMMYFUNCTION("""COMPUTED_VALUE"""),"Dresses")</f>
        <v>Dresses</v>
      </c>
      <c r="K2111" s="13" t="str">
        <f>IFERROR(__xludf.DUMMYFUNCTION("""COMPUTED_VALUE"""),"Dresses")</f>
        <v>Dresses</v>
      </c>
      <c r="L2111" s="13"/>
    </row>
    <row r="2112">
      <c r="A2112" s="13">
        <f>IFERROR(__xludf.DUMMYFUNCTION("""COMPUTED_VALUE"""),2110.0)</f>
        <v>2110</v>
      </c>
      <c r="B2112" s="13">
        <f>IFERROR(__xludf.DUMMYFUNCTION("""COMPUTED_VALUE"""),862.0)</f>
        <v>862</v>
      </c>
      <c r="C2112" s="13">
        <f>IFERROR(__xludf.DUMMYFUNCTION("""COMPUTED_VALUE"""),66.0)</f>
        <v>66</v>
      </c>
      <c r="D2112" s="12" t="str">
        <f>IFERROR(__xludf.DUMMYFUNCTION("""COMPUTED_VALUE"""),"Loved it, but...")</f>
        <v>Loved it, but...</v>
      </c>
      <c r="E2112" s="12" t="str">
        <f>IFERROR(__xludf.DUMMYFUNCTION("""COMPUTED_VALUE"""),"I fell in love with this cute top, however after reading reviews, i am going to return it. seems there is a problem with it shrinking after following washing instructions. who wants to dry clean a tank top? not me, sadly. too bad. style was cute and color"&amp;" was awesome.")</f>
        <v>I fell in love with this cute top, however after reading reviews, i am going to return it. seems there is a problem with it shrinking after following washing instructions. who wants to dry clean a tank top? not me, sadly. too bad. style was cute and color was awesome.</v>
      </c>
      <c r="F2112" s="13">
        <f>IFERROR(__xludf.DUMMYFUNCTION("""COMPUTED_VALUE"""),2.0)</f>
        <v>2</v>
      </c>
      <c r="G2112" s="13">
        <f>IFERROR(__xludf.DUMMYFUNCTION("""COMPUTED_VALUE"""),0.0)</f>
        <v>0</v>
      </c>
      <c r="H2112" s="13">
        <f>IFERROR(__xludf.DUMMYFUNCTION("""COMPUTED_VALUE"""),2.0)</f>
        <v>2</v>
      </c>
      <c r="I2112" s="13" t="str">
        <f>IFERROR(__xludf.DUMMYFUNCTION("""COMPUTED_VALUE"""),"General")</f>
        <v>General</v>
      </c>
      <c r="J2112" s="13" t="str">
        <f>IFERROR(__xludf.DUMMYFUNCTION("""COMPUTED_VALUE"""),"Tops")</f>
        <v>Tops</v>
      </c>
      <c r="K2112" s="13" t="str">
        <f>IFERROR(__xludf.DUMMYFUNCTION("""COMPUTED_VALUE"""),"Knits")</f>
        <v>Knits</v>
      </c>
      <c r="L2112" s="13"/>
    </row>
    <row r="2113">
      <c r="A2113" s="13">
        <f>IFERROR(__xludf.DUMMYFUNCTION("""COMPUTED_VALUE"""),2111.0)</f>
        <v>2111</v>
      </c>
      <c r="B2113" s="13">
        <f>IFERROR(__xludf.DUMMYFUNCTION("""COMPUTED_VALUE"""),1068.0)</f>
        <v>1068</v>
      </c>
      <c r="C2113" s="13">
        <f>IFERROR(__xludf.DUMMYFUNCTION("""COMPUTED_VALUE"""),44.0)</f>
        <v>44</v>
      </c>
      <c r="D2113" s="12"/>
      <c r="E2113" s="12" t="str">
        <f>IFERROR(__xludf.DUMMYFUNCTION("""COMPUTED_VALUE"""),"Love the fabric, so soft and comfortable. it gives a very flattering silhouette. love those pants.")</f>
        <v>Love the fabric, so soft and comfortable. it gives a very flattering silhouette. love those pants.</v>
      </c>
      <c r="F2113" s="13">
        <f>IFERROR(__xludf.DUMMYFUNCTION("""COMPUTED_VALUE"""),5.0)</f>
        <v>5</v>
      </c>
      <c r="G2113" s="13">
        <f>IFERROR(__xludf.DUMMYFUNCTION("""COMPUTED_VALUE"""),1.0)</f>
        <v>1</v>
      </c>
      <c r="H2113" s="13">
        <f>IFERROR(__xludf.DUMMYFUNCTION("""COMPUTED_VALUE"""),6.0)</f>
        <v>6</v>
      </c>
      <c r="I2113" s="13" t="str">
        <f>IFERROR(__xludf.DUMMYFUNCTION("""COMPUTED_VALUE"""),"General")</f>
        <v>General</v>
      </c>
      <c r="J2113" s="13" t="str">
        <f>IFERROR(__xludf.DUMMYFUNCTION("""COMPUTED_VALUE"""),"Bottoms")</f>
        <v>Bottoms</v>
      </c>
      <c r="K2113" s="13" t="str">
        <f>IFERROR(__xludf.DUMMYFUNCTION("""COMPUTED_VALUE"""),"Pants")</f>
        <v>Pants</v>
      </c>
      <c r="L2113" s="13"/>
    </row>
    <row r="2114">
      <c r="A2114" s="13">
        <f>IFERROR(__xludf.DUMMYFUNCTION("""COMPUTED_VALUE"""),2112.0)</f>
        <v>2112</v>
      </c>
      <c r="B2114" s="13">
        <f>IFERROR(__xludf.DUMMYFUNCTION("""COMPUTED_VALUE"""),1111.0)</f>
        <v>1111</v>
      </c>
      <c r="C2114" s="13">
        <f>IFERROR(__xludf.DUMMYFUNCTION("""COMPUTED_VALUE"""),56.0)</f>
        <v>56</v>
      </c>
      <c r="D2114" s="12" t="str">
        <f>IFERROR(__xludf.DUMMYFUNCTION("""COMPUTED_VALUE"""),"Very unfortunate")</f>
        <v>Very unfortunate</v>
      </c>
      <c r="E2114" s="12" t="str">
        <f>IFERROR(__xludf.DUMMYFUNCTION("""COMPUTED_VALUE"""),"This dress is so beautiful in person! but the quality was very upsetting. i had two buttons come off before even putting it on. i was so excited to get his dress for my wedding shower and then i couldn't wear it :(")</f>
        <v>This dress is so beautiful in person! but the quality was very upsetting. i had two buttons come off before even putting it on. i was so excited to get his dress for my wedding shower and then i couldn't wear it :(</v>
      </c>
      <c r="F2114" s="13">
        <f>IFERROR(__xludf.DUMMYFUNCTION("""COMPUTED_VALUE"""),1.0)</f>
        <v>1</v>
      </c>
      <c r="G2114" s="13">
        <f>IFERROR(__xludf.DUMMYFUNCTION("""COMPUTED_VALUE"""),0.0)</f>
        <v>0</v>
      </c>
      <c r="H2114" s="13">
        <f>IFERROR(__xludf.DUMMYFUNCTION("""COMPUTED_VALUE"""),3.0)</f>
        <v>3</v>
      </c>
      <c r="I2114" s="13" t="str">
        <f>IFERROR(__xludf.DUMMYFUNCTION("""COMPUTED_VALUE"""),"General")</f>
        <v>General</v>
      </c>
      <c r="J2114" s="13" t="str">
        <f>IFERROR(__xludf.DUMMYFUNCTION("""COMPUTED_VALUE"""),"Dresses")</f>
        <v>Dresses</v>
      </c>
      <c r="K2114" s="13" t="str">
        <f>IFERROR(__xludf.DUMMYFUNCTION("""COMPUTED_VALUE"""),"Dresses")</f>
        <v>Dresses</v>
      </c>
      <c r="L2114" s="13"/>
    </row>
    <row r="2115">
      <c r="A2115" s="13">
        <f>IFERROR(__xludf.DUMMYFUNCTION("""COMPUTED_VALUE"""),2113.0)</f>
        <v>2113</v>
      </c>
      <c r="B2115" s="13">
        <f>IFERROR(__xludf.DUMMYFUNCTION("""COMPUTED_VALUE"""),896.0)</f>
        <v>896</v>
      </c>
      <c r="C2115" s="13">
        <f>IFERROR(__xludf.DUMMYFUNCTION("""COMPUTED_VALUE"""),44.0)</f>
        <v>44</v>
      </c>
      <c r="D2115" s="12" t="str">
        <f>IFERROR(__xludf.DUMMYFUNCTION("""COMPUTED_VALUE"""),"Rust not red")</f>
        <v>Rust not red</v>
      </c>
      <c r="E2115" s="12" t="str">
        <f>IFERROR(__xludf.DUMMYFUNCTION("""COMPUTED_VALUE"""),"But if that works for you it is a cute pattern. this is a lighter weight sweater but good for fall.")</f>
        <v>But if that works for you it is a cute pattern. this is a lighter weight sweater but good for fall.</v>
      </c>
      <c r="F2115" s="13">
        <f>IFERROR(__xludf.DUMMYFUNCTION("""COMPUTED_VALUE"""),4.0)</f>
        <v>4</v>
      </c>
      <c r="G2115" s="13">
        <f>IFERROR(__xludf.DUMMYFUNCTION("""COMPUTED_VALUE"""),1.0)</f>
        <v>1</v>
      </c>
      <c r="H2115" s="13">
        <f>IFERROR(__xludf.DUMMYFUNCTION("""COMPUTED_VALUE"""),0.0)</f>
        <v>0</v>
      </c>
      <c r="I2115" s="13" t="str">
        <f>IFERROR(__xludf.DUMMYFUNCTION("""COMPUTED_VALUE"""),"General")</f>
        <v>General</v>
      </c>
      <c r="J2115" s="13" t="str">
        <f>IFERROR(__xludf.DUMMYFUNCTION("""COMPUTED_VALUE"""),"Tops")</f>
        <v>Tops</v>
      </c>
      <c r="K2115" s="13" t="str">
        <f>IFERROR(__xludf.DUMMYFUNCTION("""COMPUTED_VALUE"""),"Fine gauge")</f>
        <v>Fine gauge</v>
      </c>
      <c r="L2115" s="13"/>
    </row>
    <row r="2116">
      <c r="A2116" s="13">
        <f>IFERROR(__xludf.DUMMYFUNCTION("""COMPUTED_VALUE"""),2114.0)</f>
        <v>2114</v>
      </c>
      <c r="B2116" s="13">
        <f>IFERROR(__xludf.DUMMYFUNCTION("""COMPUTED_VALUE"""),1092.0)</f>
        <v>1092</v>
      </c>
      <c r="C2116" s="13">
        <f>IFERROR(__xludf.DUMMYFUNCTION("""COMPUTED_VALUE"""),38.0)</f>
        <v>38</v>
      </c>
      <c r="D2116" s="12" t="str">
        <f>IFERROR(__xludf.DUMMYFUNCTION("""COMPUTED_VALUE"""),"Runs small in bust")</f>
        <v>Runs small in bust</v>
      </c>
      <c r="E2116" s="12" t="str">
        <f>IFERROR(__xludf.DUMMYFUNCTION("""COMPUTED_VALUE"""),"I wanted this dress so bad for a trip to hawaii. i sized up when i saw the side zip because i'm a little larger in the top than bottom, but whoa... even when sizing up, i think i would have needed to size up like 3x to get this to work. the dress is adora"&amp;"ble, and if you have a smaller bust, it will work for you... so sad it wouldn't work for me.")</f>
        <v>I wanted this dress so bad for a trip to hawaii. i sized up when i saw the side zip because i'm a little larger in the top than bottom, but whoa... even when sizing up, i think i would have needed to size up like 3x to get this to work. the dress is adorable, and if you have a smaller bust, it will work for you... so sad it wouldn't work for me.</v>
      </c>
      <c r="F2116" s="13">
        <f>IFERROR(__xludf.DUMMYFUNCTION("""COMPUTED_VALUE"""),3.0)</f>
        <v>3</v>
      </c>
      <c r="G2116" s="13">
        <f>IFERROR(__xludf.DUMMYFUNCTION("""COMPUTED_VALUE"""),0.0)</f>
        <v>0</v>
      </c>
      <c r="H2116" s="13">
        <f>IFERROR(__xludf.DUMMYFUNCTION("""COMPUTED_VALUE"""),29.0)</f>
        <v>29</v>
      </c>
      <c r="I2116" s="13" t="str">
        <f>IFERROR(__xludf.DUMMYFUNCTION("""COMPUTED_VALUE"""),"General Petite")</f>
        <v>General Petite</v>
      </c>
      <c r="J2116" s="13" t="str">
        <f>IFERROR(__xludf.DUMMYFUNCTION("""COMPUTED_VALUE"""),"Dresses")</f>
        <v>Dresses</v>
      </c>
      <c r="K2116" s="13" t="str">
        <f>IFERROR(__xludf.DUMMYFUNCTION("""COMPUTED_VALUE"""),"Dresses")</f>
        <v>Dresses</v>
      </c>
      <c r="L2116" s="13"/>
    </row>
    <row r="2117">
      <c r="A2117" s="13">
        <f>IFERROR(__xludf.DUMMYFUNCTION("""COMPUTED_VALUE"""),2115.0)</f>
        <v>2115</v>
      </c>
      <c r="B2117" s="13">
        <f>IFERROR(__xludf.DUMMYFUNCTION("""COMPUTED_VALUE"""),912.0)</f>
        <v>912</v>
      </c>
      <c r="C2117" s="13">
        <f>IFERROR(__xludf.DUMMYFUNCTION("""COMPUTED_VALUE"""),68.0)</f>
        <v>68</v>
      </c>
      <c r="D2117" s="12" t="str">
        <f>IFERROR(__xludf.DUMMYFUNCTION("""COMPUTED_VALUE"""),"Great style, not so great workmanship")</f>
        <v>Great style, not so great workmanship</v>
      </c>
      <c r="E2117" s="12" t="str">
        <f>IFERROR(__xludf.DUMMYFUNCTION("""COMPUTED_VALUE"""),"This vest is soft, flattering, and versatile. but both pockets were sewn incorrectly, with broken seams on the bottoms so if you used them, things would fall out. i'm keeping it but had to pay a seamstress to fix it. for the price, i'd expect better quali"&amp;"ty. recommended conditionally..")</f>
        <v>This vest is soft, flattering, and versatile. but both pockets were sewn incorrectly, with broken seams on the bottoms so if you used them, things would fall out. i'm keeping it but had to pay a seamstress to fix it. for the price, i'd expect better quality. recommended conditionally..</v>
      </c>
      <c r="F2117" s="13">
        <f>IFERROR(__xludf.DUMMYFUNCTION("""COMPUTED_VALUE"""),4.0)</f>
        <v>4</v>
      </c>
      <c r="G2117" s="13">
        <f>IFERROR(__xludf.DUMMYFUNCTION("""COMPUTED_VALUE"""),1.0)</f>
        <v>1</v>
      </c>
      <c r="H2117" s="13">
        <f>IFERROR(__xludf.DUMMYFUNCTION("""COMPUTED_VALUE"""),8.0)</f>
        <v>8</v>
      </c>
      <c r="I2117" s="13" t="str">
        <f>IFERROR(__xludf.DUMMYFUNCTION("""COMPUTED_VALUE"""),"General")</f>
        <v>General</v>
      </c>
      <c r="J2117" s="13" t="str">
        <f>IFERROR(__xludf.DUMMYFUNCTION("""COMPUTED_VALUE"""),"Tops")</f>
        <v>Tops</v>
      </c>
      <c r="K2117" s="13" t="str">
        <f>IFERROR(__xludf.DUMMYFUNCTION("""COMPUTED_VALUE"""),"Fine gauge")</f>
        <v>Fine gauge</v>
      </c>
      <c r="L2117" s="13"/>
    </row>
    <row r="2118">
      <c r="A2118" s="13">
        <f>IFERROR(__xludf.DUMMYFUNCTION("""COMPUTED_VALUE"""),2116.0)</f>
        <v>2116</v>
      </c>
      <c r="B2118" s="13">
        <f>IFERROR(__xludf.DUMMYFUNCTION("""COMPUTED_VALUE"""),1092.0)</f>
        <v>1092</v>
      </c>
      <c r="C2118" s="13">
        <f>IFERROR(__xludf.DUMMYFUNCTION("""COMPUTED_VALUE"""),41.0)</f>
        <v>41</v>
      </c>
      <c r="D2118" s="12" t="str">
        <f>IFERROR(__xludf.DUMMYFUNCTION("""COMPUTED_VALUE"""),"That unique retailer dress")</f>
        <v>That unique retailer dress</v>
      </c>
      <c r="E2118" s="12" t="str">
        <f>IFERROR(__xludf.DUMMYFUNCTION("""COMPUTED_VALUE"""),"This dress is gorgeous- it's one of those retailer dresses that i find worth the price because of how unique and beautiful it is! i found it to fit tts. although the zipper does take a good tug to get over the fabric seam, it fits perfectly. if you have a"&amp;" bigger chest (d+), i would foresee this dress being too snug. however, i am a c and it fits just right! i wore it to a backyard wedding with flat sandals and simple gold hoops, but i love the idea of styling it with a jacket and some wedges or bo")</f>
        <v>This dress is gorgeous- it's one of those retailer dresses that i find worth the price because of how unique and beautiful it is! i found it to fit tts. although the zipper does take a good tug to get over the fabric seam, it fits perfectly. if you have a bigger chest (d+), i would foresee this dress being too snug. however, i am a c and it fits just right! i wore it to a backyard wedding with flat sandals and simple gold hoops, but i love the idea of styling it with a jacket and some wedges or bo</v>
      </c>
      <c r="F2118" s="13">
        <f>IFERROR(__xludf.DUMMYFUNCTION("""COMPUTED_VALUE"""),5.0)</f>
        <v>5</v>
      </c>
      <c r="G2118" s="13">
        <f>IFERROR(__xludf.DUMMYFUNCTION("""COMPUTED_VALUE"""),1.0)</f>
        <v>1</v>
      </c>
      <c r="H2118" s="13">
        <f>IFERROR(__xludf.DUMMYFUNCTION("""COMPUTED_VALUE"""),5.0)</f>
        <v>5</v>
      </c>
      <c r="I2118" s="13" t="str">
        <f>IFERROR(__xludf.DUMMYFUNCTION("""COMPUTED_VALUE"""),"General Petite")</f>
        <v>General Petite</v>
      </c>
      <c r="J2118" s="13" t="str">
        <f>IFERROR(__xludf.DUMMYFUNCTION("""COMPUTED_VALUE"""),"Dresses")</f>
        <v>Dresses</v>
      </c>
      <c r="K2118" s="13" t="str">
        <f>IFERROR(__xludf.DUMMYFUNCTION("""COMPUTED_VALUE"""),"Dresses")</f>
        <v>Dresses</v>
      </c>
      <c r="L2118" s="13"/>
    </row>
    <row r="2119">
      <c r="A2119" s="13">
        <f>IFERROR(__xludf.DUMMYFUNCTION("""COMPUTED_VALUE"""),2117.0)</f>
        <v>2117</v>
      </c>
      <c r="B2119" s="13">
        <f>IFERROR(__xludf.DUMMYFUNCTION("""COMPUTED_VALUE"""),1092.0)</f>
        <v>1092</v>
      </c>
      <c r="C2119" s="13">
        <f>IFERROR(__xludf.DUMMYFUNCTION("""COMPUTED_VALUE"""),34.0)</f>
        <v>34</v>
      </c>
      <c r="D2119" s="12" t="str">
        <f>IFERROR(__xludf.DUMMYFUNCTION("""COMPUTED_VALUE"""),"Size up!")</f>
        <v>Size up!</v>
      </c>
      <c r="E2119" s="12" t="str">
        <f>IFERROR(__xludf.DUMMYFUNCTION("""COMPUTED_VALUE"""),"I am normally a size 4/6p in all things retailer but read the reviews and opted to go petite on the maxi and size up. i went with the 8p and even with a 32d bust, had no trouble zipping and it fit beautifully. the band is a tad loose, but any tighter woul"&amp;"dn't have fit in the bust. this dress hangs beautifully and is incredibly flattering, especially for those of us with an athletic build.")</f>
        <v>I am normally a size 4/6p in all things retailer but read the reviews and opted to go petite on the maxi and size up. i went with the 8p and even with a 32d bust, had no trouble zipping and it fit beautifully. the band is a tad loose, but any tighter wouldn't have fit in the bust. this dress hangs beautifully and is incredibly flattering, especially for those of us with an athletic build.</v>
      </c>
      <c r="F2119" s="13">
        <f>IFERROR(__xludf.DUMMYFUNCTION("""COMPUTED_VALUE"""),5.0)</f>
        <v>5</v>
      </c>
      <c r="G2119" s="13">
        <f>IFERROR(__xludf.DUMMYFUNCTION("""COMPUTED_VALUE"""),1.0)</f>
        <v>1</v>
      </c>
      <c r="H2119" s="13">
        <f>IFERROR(__xludf.DUMMYFUNCTION("""COMPUTED_VALUE"""),1.0)</f>
        <v>1</v>
      </c>
      <c r="I2119" s="13" t="str">
        <f>IFERROR(__xludf.DUMMYFUNCTION("""COMPUTED_VALUE"""),"General Petite")</f>
        <v>General Petite</v>
      </c>
      <c r="J2119" s="13" t="str">
        <f>IFERROR(__xludf.DUMMYFUNCTION("""COMPUTED_VALUE"""),"Dresses")</f>
        <v>Dresses</v>
      </c>
      <c r="K2119" s="13" t="str">
        <f>IFERROR(__xludf.DUMMYFUNCTION("""COMPUTED_VALUE"""),"Dresses")</f>
        <v>Dresses</v>
      </c>
      <c r="L2119" s="13"/>
    </row>
    <row r="2120">
      <c r="A2120" s="13">
        <f>IFERROR(__xludf.DUMMYFUNCTION("""COMPUTED_VALUE"""),2118.0)</f>
        <v>2118</v>
      </c>
      <c r="B2120" s="13">
        <f>IFERROR(__xludf.DUMMYFUNCTION("""COMPUTED_VALUE"""),1072.0)</f>
        <v>1072</v>
      </c>
      <c r="C2120" s="13">
        <f>IFERROR(__xludf.DUMMYFUNCTION("""COMPUTED_VALUE"""),65.0)</f>
        <v>65</v>
      </c>
      <c r="D2120" s="12"/>
      <c r="E2120" s="12" t="str">
        <f>IFERROR(__xludf.DUMMYFUNCTION("""COMPUTED_VALUE"""),"I've received so many complements when i wear this tunic. it's so comfortable and fits great. the fabric is light and feels good against my skin. this is, by far, my most favorite purchase from retailer and i wear it all the time with my leggings. love, l"&amp;"ove, love this tunic/dress!!")</f>
        <v>I've received so many complements when i wear this tunic. it's so comfortable and fits great. the fabric is light and feels good against my skin. this is, by far, my most favorite purchase from retailer and i wear it all the time with my leggings. love, love, love this tunic/dress!!</v>
      </c>
      <c r="F2120" s="13">
        <f>IFERROR(__xludf.DUMMYFUNCTION("""COMPUTED_VALUE"""),5.0)</f>
        <v>5</v>
      </c>
      <c r="G2120" s="13">
        <f>IFERROR(__xludf.DUMMYFUNCTION("""COMPUTED_VALUE"""),1.0)</f>
        <v>1</v>
      </c>
      <c r="H2120" s="13">
        <f>IFERROR(__xludf.DUMMYFUNCTION("""COMPUTED_VALUE"""),1.0)</f>
        <v>1</v>
      </c>
      <c r="I2120" s="13" t="str">
        <f>IFERROR(__xludf.DUMMYFUNCTION("""COMPUTED_VALUE"""),"General Petite")</f>
        <v>General Petite</v>
      </c>
      <c r="J2120" s="13" t="str">
        <f>IFERROR(__xludf.DUMMYFUNCTION("""COMPUTED_VALUE"""),"Dresses")</f>
        <v>Dresses</v>
      </c>
      <c r="K2120" s="13" t="str">
        <f>IFERROR(__xludf.DUMMYFUNCTION("""COMPUTED_VALUE"""),"Dresses")</f>
        <v>Dresses</v>
      </c>
      <c r="L2120" s="13"/>
    </row>
    <row r="2121">
      <c r="A2121" s="13">
        <f>IFERROR(__xludf.DUMMYFUNCTION("""COMPUTED_VALUE"""),2119.0)</f>
        <v>2119</v>
      </c>
      <c r="B2121" s="13">
        <f>IFERROR(__xludf.DUMMYFUNCTION("""COMPUTED_VALUE"""),862.0)</f>
        <v>862</v>
      </c>
      <c r="C2121" s="13">
        <f>IFERROR(__xludf.DUMMYFUNCTION("""COMPUTED_VALUE"""),84.0)</f>
        <v>84</v>
      </c>
      <c r="D2121" s="12" t="str">
        <f>IFERROR(__xludf.DUMMYFUNCTION("""COMPUTED_VALUE"""),"Wanted to love")</f>
        <v>Wanted to love</v>
      </c>
      <c r="E2121" s="12" t="str">
        <f>IFERROR(__xludf.DUMMYFUNCTION("""COMPUTED_VALUE"""),"I wanted to love this top. the color is wonderful in the pink and the material is silky soft. it is huge though, i am a 34 dd and bought my usual small! i am going to exchange for an xs and am hoping it fits.")</f>
        <v>I wanted to love this top. the color is wonderful in the pink and the material is silky soft. it is huge though, i am a 34 dd and bought my usual small! i am going to exchange for an xs and am hoping it fits.</v>
      </c>
      <c r="F2121" s="13">
        <f>IFERROR(__xludf.DUMMYFUNCTION("""COMPUTED_VALUE"""),3.0)</f>
        <v>3</v>
      </c>
      <c r="G2121" s="13">
        <f>IFERROR(__xludf.DUMMYFUNCTION("""COMPUTED_VALUE"""),1.0)</f>
        <v>1</v>
      </c>
      <c r="H2121" s="13">
        <f>IFERROR(__xludf.DUMMYFUNCTION("""COMPUTED_VALUE"""),1.0)</f>
        <v>1</v>
      </c>
      <c r="I2121" s="13" t="str">
        <f>IFERROR(__xludf.DUMMYFUNCTION("""COMPUTED_VALUE"""),"General")</f>
        <v>General</v>
      </c>
      <c r="J2121" s="13" t="str">
        <f>IFERROR(__xludf.DUMMYFUNCTION("""COMPUTED_VALUE"""),"Tops")</f>
        <v>Tops</v>
      </c>
      <c r="K2121" s="13" t="str">
        <f>IFERROR(__xludf.DUMMYFUNCTION("""COMPUTED_VALUE"""),"Knits")</f>
        <v>Knits</v>
      </c>
      <c r="L2121" s="13"/>
    </row>
    <row r="2122">
      <c r="A2122" s="13">
        <f>IFERROR(__xludf.DUMMYFUNCTION("""COMPUTED_VALUE"""),2120.0)</f>
        <v>2120</v>
      </c>
      <c r="B2122" s="13">
        <f>IFERROR(__xludf.DUMMYFUNCTION("""COMPUTED_VALUE"""),850.0)</f>
        <v>850</v>
      </c>
      <c r="C2122" s="13">
        <f>IFERROR(__xludf.DUMMYFUNCTION("""COMPUTED_VALUE"""),44.0)</f>
        <v>44</v>
      </c>
      <c r="D2122" s="12" t="str">
        <f>IFERROR(__xludf.DUMMYFUNCTION("""COMPUTED_VALUE"""),"Love, love, love")</f>
        <v>Love, love, love</v>
      </c>
      <c r="E2122" s="12" t="str">
        <f>IFERROR(__xludf.DUMMYFUNCTION("""COMPUTED_VALUE"""),"I tried this top on at store and didn't want to buy at full price even though it made my heart skip a beat with how adorable it was. it is even cuter on. so when i saw it finally went on sale and i got an additional 20% off i immediately ordered!!!! it is"&amp;" flowy, comfortable and fun. wore it today layered with a black turtleneck and long black vest.")</f>
        <v>I tried this top on at store and didn't want to buy at full price even though it made my heart skip a beat with how adorable it was. it is even cuter on. so when i saw it finally went on sale and i got an additional 20% off i immediately ordered!!!! it is flowy, comfortable and fun. wore it today layered with a black turtleneck and long black vest.</v>
      </c>
      <c r="F2122" s="13">
        <f>IFERROR(__xludf.DUMMYFUNCTION("""COMPUTED_VALUE"""),5.0)</f>
        <v>5</v>
      </c>
      <c r="G2122" s="13">
        <f>IFERROR(__xludf.DUMMYFUNCTION("""COMPUTED_VALUE"""),1.0)</f>
        <v>1</v>
      </c>
      <c r="H2122" s="13">
        <f>IFERROR(__xludf.DUMMYFUNCTION("""COMPUTED_VALUE"""),0.0)</f>
        <v>0</v>
      </c>
      <c r="I2122" s="13" t="str">
        <f>IFERROR(__xludf.DUMMYFUNCTION("""COMPUTED_VALUE"""),"General Petite")</f>
        <v>General Petite</v>
      </c>
      <c r="J2122" s="13" t="str">
        <f>IFERROR(__xludf.DUMMYFUNCTION("""COMPUTED_VALUE"""),"Tops")</f>
        <v>Tops</v>
      </c>
      <c r="K2122" s="13" t="str">
        <f>IFERROR(__xludf.DUMMYFUNCTION("""COMPUTED_VALUE"""),"Blouses")</f>
        <v>Blouses</v>
      </c>
      <c r="L2122" s="13"/>
    </row>
    <row r="2123">
      <c r="A2123" s="13">
        <f>IFERROR(__xludf.DUMMYFUNCTION("""COMPUTED_VALUE"""),2121.0)</f>
        <v>2121</v>
      </c>
      <c r="B2123" s="13">
        <f>IFERROR(__xludf.DUMMYFUNCTION("""COMPUTED_VALUE"""),850.0)</f>
        <v>850</v>
      </c>
      <c r="C2123" s="13">
        <f>IFERROR(__xludf.DUMMYFUNCTION("""COMPUTED_VALUE"""),60.0)</f>
        <v>60</v>
      </c>
      <c r="D2123" s="12" t="str">
        <f>IFERROR(__xludf.DUMMYFUNCTION("""COMPUTED_VALUE"""),"Lovely, but it is tight in the chest.")</f>
        <v>Lovely, but it is tight in the chest.</v>
      </c>
      <c r="E2123" s="12" t="str">
        <f>IFERROR(__xludf.DUMMYFUNCTION("""COMPUTED_VALUE"""),"I have to agree with another reviewer that this runs slightly small. i'm 5'8, an athletic pear with narrow shoulders, 34c, and usually a 6 in tops at retailer. since the top looks a little short on the model, i sized up to an 8, since i'd rather have it b"&amp;"e flowy and a little longer. i'm very glad i did because it hits at my low hip, and if it were any smaller, it'd be too tight in my chest. since it doesn't stretch, you need some space for your arms to move. if i could do it again, i'd actually si")</f>
        <v>I have to agree with another reviewer that this runs slightly small. i'm 5'8, an athletic pear with narrow shoulders, 34c, and usually a 6 in tops at retailer. since the top looks a little short on the model, i sized up to an 8, since i'd rather have it be flowy and a little longer. i'm very glad i did because it hits at my low hip, and if it were any smaller, it'd be too tight in my chest. since it doesn't stretch, you need some space for your arms to move. if i could do it again, i'd actually si</v>
      </c>
      <c r="F2123" s="13">
        <f>IFERROR(__xludf.DUMMYFUNCTION("""COMPUTED_VALUE"""),4.0)</f>
        <v>4</v>
      </c>
      <c r="G2123" s="13">
        <f>IFERROR(__xludf.DUMMYFUNCTION("""COMPUTED_VALUE"""),1.0)</f>
        <v>1</v>
      </c>
      <c r="H2123" s="13">
        <f>IFERROR(__xludf.DUMMYFUNCTION("""COMPUTED_VALUE"""),3.0)</f>
        <v>3</v>
      </c>
      <c r="I2123" s="13" t="str">
        <f>IFERROR(__xludf.DUMMYFUNCTION("""COMPUTED_VALUE"""),"General Petite")</f>
        <v>General Petite</v>
      </c>
      <c r="J2123" s="13" t="str">
        <f>IFERROR(__xludf.DUMMYFUNCTION("""COMPUTED_VALUE"""),"Tops")</f>
        <v>Tops</v>
      </c>
      <c r="K2123" s="13" t="str">
        <f>IFERROR(__xludf.DUMMYFUNCTION("""COMPUTED_VALUE"""),"Blouses")</f>
        <v>Blouses</v>
      </c>
      <c r="L2123" s="13"/>
    </row>
    <row r="2124">
      <c r="A2124" s="13">
        <f>IFERROR(__xludf.DUMMYFUNCTION("""COMPUTED_VALUE"""),2122.0)</f>
        <v>2122</v>
      </c>
      <c r="B2124" s="13">
        <f>IFERROR(__xludf.DUMMYFUNCTION("""COMPUTED_VALUE"""),912.0)</f>
        <v>912</v>
      </c>
      <c r="C2124" s="13">
        <f>IFERROR(__xludf.DUMMYFUNCTION("""COMPUTED_VALUE"""),39.0)</f>
        <v>39</v>
      </c>
      <c r="D2124" s="12"/>
      <c r="E2124" s="12" t="str">
        <f>IFERROR(__xludf.DUMMYFUNCTION("""COMPUTED_VALUE"""),"I ordered the gray/plum colorway and while i'm disappointed in the large percent acrylic fabrication, the vest is very soft and warm. the unfinished raw seams add visual interest and i'm tempted to remove all the care tags and wear this inside out for a d"&amp;"ifferent look. i am worried that excess pilling will be an issue so i will update my review if the quality deteriorates beyond a simple lint shave.")</f>
        <v>I ordered the gray/plum colorway and while i'm disappointed in the large percent acrylic fabrication, the vest is very soft and warm. the unfinished raw seams add visual interest and i'm tempted to remove all the care tags and wear this inside out for a different look. i am worried that excess pilling will be an issue so i will update my review if the quality deteriorates beyond a simple lint shave.</v>
      </c>
      <c r="F2124" s="13">
        <f>IFERROR(__xludf.DUMMYFUNCTION("""COMPUTED_VALUE"""),4.0)</f>
        <v>4</v>
      </c>
      <c r="G2124" s="13">
        <f>IFERROR(__xludf.DUMMYFUNCTION("""COMPUTED_VALUE"""),1.0)</f>
        <v>1</v>
      </c>
      <c r="H2124" s="13">
        <f>IFERROR(__xludf.DUMMYFUNCTION("""COMPUTED_VALUE"""),0.0)</f>
        <v>0</v>
      </c>
      <c r="I2124" s="13" t="str">
        <f>IFERROR(__xludf.DUMMYFUNCTION("""COMPUTED_VALUE"""),"General")</f>
        <v>General</v>
      </c>
      <c r="J2124" s="13" t="str">
        <f>IFERROR(__xludf.DUMMYFUNCTION("""COMPUTED_VALUE"""),"Tops")</f>
        <v>Tops</v>
      </c>
      <c r="K2124" s="13" t="str">
        <f>IFERROR(__xludf.DUMMYFUNCTION("""COMPUTED_VALUE"""),"Fine gauge")</f>
        <v>Fine gauge</v>
      </c>
      <c r="L2124" s="13"/>
    </row>
    <row r="2125">
      <c r="A2125" s="13">
        <f>IFERROR(__xludf.DUMMYFUNCTION("""COMPUTED_VALUE"""),2123.0)</f>
        <v>2123</v>
      </c>
      <c r="B2125" s="13">
        <f>IFERROR(__xludf.DUMMYFUNCTION("""COMPUTED_VALUE"""),1072.0)</f>
        <v>1072</v>
      </c>
      <c r="C2125" s="13">
        <f>IFERROR(__xludf.DUMMYFUNCTION("""COMPUTED_VALUE"""),39.0)</f>
        <v>39</v>
      </c>
      <c r="D2125" s="12" t="str">
        <f>IFERROR(__xludf.DUMMYFUNCTION("""COMPUTED_VALUE"""),"Another tiny success")</f>
        <v>Another tiny success</v>
      </c>
      <c r="E2125" s="12" t="str">
        <f>IFERROR(__xludf.DUMMYFUNCTION("""COMPUTED_VALUE"""),"Tiny are experts at making busy bohemian shirtdresses that look casual but retain a feminine drape.  it skims over my trouble spots without adding bulk.  this is my fourth dress from this label and it does not disappoint.  for my frame and style i chose t"&amp;"ts but those of slender &amp; petite builds may want to size down.  for reference i am 5'3"" 140# 36dd.")</f>
        <v>Tiny are experts at making busy bohemian shirtdresses that look casual but retain a feminine drape.  it skims over my trouble spots without adding bulk.  this is my fourth dress from this label and it does not disappoint.  for my frame and style i chose tts but those of slender &amp; petite builds may want to size down.  for reference i am 5'3" 140# 36dd.</v>
      </c>
      <c r="F2125" s="13">
        <f>IFERROR(__xludf.DUMMYFUNCTION("""COMPUTED_VALUE"""),5.0)</f>
        <v>5</v>
      </c>
      <c r="G2125" s="13">
        <f>IFERROR(__xludf.DUMMYFUNCTION("""COMPUTED_VALUE"""),1.0)</f>
        <v>1</v>
      </c>
      <c r="H2125" s="13">
        <f>IFERROR(__xludf.DUMMYFUNCTION("""COMPUTED_VALUE"""),94.0)</f>
        <v>94</v>
      </c>
      <c r="I2125" s="13" t="str">
        <f>IFERROR(__xludf.DUMMYFUNCTION("""COMPUTED_VALUE"""),"General Petite")</f>
        <v>General Petite</v>
      </c>
      <c r="J2125" s="13" t="str">
        <f>IFERROR(__xludf.DUMMYFUNCTION("""COMPUTED_VALUE"""),"Dresses")</f>
        <v>Dresses</v>
      </c>
      <c r="K2125" s="13" t="str">
        <f>IFERROR(__xludf.DUMMYFUNCTION("""COMPUTED_VALUE"""),"Dresses")</f>
        <v>Dresses</v>
      </c>
      <c r="L2125" s="13"/>
    </row>
    <row r="2126">
      <c r="A2126" s="13">
        <f>IFERROR(__xludf.DUMMYFUNCTION("""COMPUTED_VALUE"""),2124.0)</f>
        <v>2124</v>
      </c>
      <c r="B2126" s="13">
        <f>IFERROR(__xludf.DUMMYFUNCTION("""COMPUTED_VALUE"""),1092.0)</f>
        <v>1092</v>
      </c>
      <c r="C2126" s="13">
        <f>IFERROR(__xludf.DUMMYFUNCTION("""COMPUTED_VALUE"""),39.0)</f>
        <v>39</v>
      </c>
      <c r="D2126" s="12" t="str">
        <f>IFERROR(__xludf.DUMMYFUNCTION("""COMPUTED_VALUE"""),"Bummed out")</f>
        <v>Bummed out</v>
      </c>
      <c r="E2126" s="12" t="str">
        <f>IFERROR(__xludf.DUMMYFUNCTION("""COMPUTED_VALUE"""),"Embroidered tulips look like they were plucked when comparing the dresses in the product photos. took a chance any way, came out disappointed because i couldn't zip up the bodice. i hate side zips and when you pair a cheap zipper with delicate material, r"&amp;"ecipe for disaster! i am top and back heavy so though i lost weight and went down a cup size, my back is too wide for the 12p. for reference i'm 135# 36d 38/28/35.")</f>
        <v>Embroidered tulips look like they were plucked when comparing the dresses in the product photos. took a chance any way, came out disappointed because i couldn't zip up the bodice. i hate side zips and when you pair a cheap zipper with delicate material, recipe for disaster! i am top and back heavy so though i lost weight and went down a cup size, my back is too wide for the 12p. for reference i'm 135# 36d 38/28/35.</v>
      </c>
      <c r="F2126" s="13">
        <f>IFERROR(__xludf.DUMMYFUNCTION("""COMPUTED_VALUE"""),3.0)</f>
        <v>3</v>
      </c>
      <c r="G2126" s="13">
        <f>IFERROR(__xludf.DUMMYFUNCTION("""COMPUTED_VALUE"""),0.0)</f>
        <v>0</v>
      </c>
      <c r="H2126" s="13">
        <f>IFERROR(__xludf.DUMMYFUNCTION("""COMPUTED_VALUE"""),2.0)</f>
        <v>2</v>
      </c>
      <c r="I2126" s="13" t="str">
        <f>IFERROR(__xludf.DUMMYFUNCTION("""COMPUTED_VALUE"""),"General Petite")</f>
        <v>General Petite</v>
      </c>
      <c r="J2126" s="13" t="str">
        <f>IFERROR(__xludf.DUMMYFUNCTION("""COMPUTED_VALUE"""),"Dresses")</f>
        <v>Dresses</v>
      </c>
      <c r="K2126" s="13" t="str">
        <f>IFERROR(__xludf.DUMMYFUNCTION("""COMPUTED_VALUE"""),"Dresses")</f>
        <v>Dresses</v>
      </c>
      <c r="L2126" s="13"/>
    </row>
    <row r="2127">
      <c r="A2127" s="13">
        <f>IFERROR(__xludf.DUMMYFUNCTION("""COMPUTED_VALUE"""),2125.0)</f>
        <v>2125</v>
      </c>
      <c r="B2127" s="13">
        <f>IFERROR(__xludf.DUMMYFUNCTION("""COMPUTED_VALUE"""),850.0)</f>
        <v>850</v>
      </c>
      <c r="C2127" s="13">
        <f>IFERROR(__xludf.DUMMYFUNCTION("""COMPUTED_VALUE"""),27.0)</f>
        <v>27</v>
      </c>
      <c r="D2127" s="12" t="str">
        <f>IFERROR(__xludf.DUMMYFUNCTION("""COMPUTED_VALUE"""),"Love it")</f>
        <v>Love it</v>
      </c>
      <c r="E2127" s="12" t="str">
        <f>IFERROR(__xludf.DUMMYFUNCTION("""COMPUTED_VALUE"""),"Love it- super cute. can wear it to work with blazer or out at night. i'm 5'3"" and got a size small, a little shorter in the front but that seems to be style, fits great")</f>
        <v>Love it- super cute. can wear it to work with blazer or out at night. i'm 5'3" and got a size small, a little shorter in the front but that seems to be style, fits great</v>
      </c>
      <c r="F2127" s="13">
        <f>IFERROR(__xludf.DUMMYFUNCTION("""COMPUTED_VALUE"""),5.0)</f>
        <v>5</v>
      </c>
      <c r="G2127" s="13">
        <f>IFERROR(__xludf.DUMMYFUNCTION("""COMPUTED_VALUE"""),1.0)</f>
        <v>1</v>
      </c>
      <c r="H2127" s="13">
        <f>IFERROR(__xludf.DUMMYFUNCTION("""COMPUTED_VALUE"""),0.0)</f>
        <v>0</v>
      </c>
      <c r="I2127" s="13" t="str">
        <f>IFERROR(__xludf.DUMMYFUNCTION("""COMPUTED_VALUE"""),"General Petite")</f>
        <v>General Petite</v>
      </c>
      <c r="J2127" s="13" t="str">
        <f>IFERROR(__xludf.DUMMYFUNCTION("""COMPUTED_VALUE"""),"Tops")</f>
        <v>Tops</v>
      </c>
      <c r="K2127" s="13" t="str">
        <f>IFERROR(__xludf.DUMMYFUNCTION("""COMPUTED_VALUE"""),"Blouses")</f>
        <v>Blouses</v>
      </c>
      <c r="L2127" s="13"/>
    </row>
    <row r="2128">
      <c r="A2128" s="13">
        <f>IFERROR(__xludf.DUMMYFUNCTION("""COMPUTED_VALUE"""),2126.0)</f>
        <v>2126</v>
      </c>
      <c r="B2128" s="13">
        <f>IFERROR(__xludf.DUMMYFUNCTION("""COMPUTED_VALUE"""),872.0)</f>
        <v>872</v>
      </c>
      <c r="C2128" s="13">
        <f>IFERROR(__xludf.DUMMYFUNCTION("""COMPUTED_VALUE"""),56.0)</f>
        <v>56</v>
      </c>
      <c r="D2128" s="12" t="str">
        <f>IFERROR(__xludf.DUMMYFUNCTION("""COMPUTED_VALUE"""),"Not kind to curves")</f>
        <v>Not kind to curves</v>
      </c>
      <c r="E2128" s="12" t="str">
        <f>IFERROR(__xludf.DUMMYFUNCTION("""COMPUTED_VALUE"""),"Wanted to love this top, and could imagine lots of outfits with it. the wide shoulders made my arms/shoulders look big. the ruching and extra flap landed at an odd place, accentuating my belly. it did arrive very wrinkled, although a previous reviewer sai"&amp;"d she found it to be a wrinkle free garment. maybe that made the look worse. overall i felt that it made me look 15 lbs heavier than i am, so back it goes. i am 5'7"", 160lbs, 34dddd, and the size large was the correct size.")</f>
        <v>Wanted to love this top, and could imagine lots of outfits with it. the wide shoulders made my arms/shoulders look big. the ruching and extra flap landed at an odd place, accentuating my belly. it did arrive very wrinkled, although a previous reviewer said she found it to be a wrinkle free garment. maybe that made the look worse. overall i felt that it made me look 15 lbs heavier than i am, so back it goes. i am 5'7", 160lbs, 34dddd, and the size large was the correct size.</v>
      </c>
      <c r="F2128" s="13">
        <f>IFERROR(__xludf.DUMMYFUNCTION("""COMPUTED_VALUE"""),2.0)</f>
        <v>2</v>
      </c>
      <c r="G2128" s="13">
        <f>IFERROR(__xludf.DUMMYFUNCTION("""COMPUTED_VALUE"""),0.0)</f>
        <v>0</v>
      </c>
      <c r="H2128" s="13">
        <f>IFERROR(__xludf.DUMMYFUNCTION("""COMPUTED_VALUE"""),7.0)</f>
        <v>7</v>
      </c>
      <c r="I2128" s="13" t="str">
        <f>IFERROR(__xludf.DUMMYFUNCTION("""COMPUTED_VALUE"""),"General Petite")</f>
        <v>General Petite</v>
      </c>
      <c r="J2128" s="13" t="str">
        <f>IFERROR(__xludf.DUMMYFUNCTION("""COMPUTED_VALUE"""),"Tops")</f>
        <v>Tops</v>
      </c>
      <c r="K2128" s="13" t="str">
        <f>IFERROR(__xludf.DUMMYFUNCTION("""COMPUTED_VALUE"""),"Knits")</f>
        <v>Knits</v>
      </c>
      <c r="L2128" s="13"/>
    </row>
    <row r="2129">
      <c r="A2129" s="13">
        <f>IFERROR(__xludf.DUMMYFUNCTION("""COMPUTED_VALUE"""),2127.0)</f>
        <v>2127</v>
      </c>
      <c r="B2129" s="13">
        <f>IFERROR(__xludf.DUMMYFUNCTION("""COMPUTED_VALUE"""),1072.0)</f>
        <v>1072</v>
      </c>
      <c r="C2129" s="13">
        <f>IFERROR(__xludf.DUMMYFUNCTION("""COMPUTED_VALUE"""),60.0)</f>
        <v>60</v>
      </c>
      <c r="D2129" s="12" t="str">
        <f>IFERROR(__xludf.DUMMYFUNCTION("""COMPUTED_VALUE"""),"Perfectly adorable!!!!!")</f>
        <v>Perfectly adorable!!!!!</v>
      </c>
      <c r="E2129" s="12" t="str">
        <f>IFERROR(__xludf.DUMMYFUNCTION("""COMPUTED_VALUE"""),"This is the perfect dress! for summer, fall, winter or spring, it is flattering and looks cute with booties, flip flops, brogues or barefoot! runs a teeny bit large - i wear a small to medium and the small is perfect! i might just buy the other color it c"&amp;"omes in!!!!")</f>
        <v>This is the perfect dress! for summer, fall, winter or spring, it is flattering and looks cute with booties, flip flops, brogues or barefoot! runs a teeny bit large - i wear a small to medium and the small is perfect! i might just buy the other color it comes in!!!!</v>
      </c>
      <c r="F2129" s="13">
        <f>IFERROR(__xludf.DUMMYFUNCTION("""COMPUTED_VALUE"""),5.0)</f>
        <v>5</v>
      </c>
      <c r="G2129" s="13">
        <f>IFERROR(__xludf.DUMMYFUNCTION("""COMPUTED_VALUE"""),1.0)</f>
        <v>1</v>
      </c>
      <c r="H2129" s="13">
        <f>IFERROR(__xludf.DUMMYFUNCTION("""COMPUTED_VALUE"""),0.0)</f>
        <v>0</v>
      </c>
      <c r="I2129" s="13" t="str">
        <f>IFERROR(__xludf.DUMMYFUNCTION("""COMPUTED_VALUE"""),"General Petite")</f>
        <v>General Petite</v>
      </c>
      <c r="J2129" s="13" t="str">
        <f>IFERROR(__xludf.DUMMYFUNCTION("""COMPUTED_VALUE"""),"Dresses")</f>
        <v>Dresses</v>
      </c>
      <c r="K2129" s="13" t="str">
        <f>IFERROR(__xludf.DUMMYFUNCTION("""COMPUTED_VALUE"""),"Dresses")</f>
        <v>Dresses</v>
      </c>
      <c r="L2129" s="13"/>
    </row>
    <row r="2130">
      <c r="A2130" s="13">
        <f>IFERROR(__xludf.DUMMYFUNCTION("""COMPUTED_VALUE"""),2128.0)</f>
        <v>2128</v>
      </c>
      <c r="B2130" s="13">
        <f>IFERROR(__xludf.DUMMYFUNCTION("""COMPUTED_VALUE"""),862.0)</f>
        <v>862</v>
      </c>
      <c r="C2130" s="13">
        <f>IFERROR(__xludf.DUMMYFUNCTION("""COMPUTED_VALUE"""),35.0)</f>
        <v>35</v>
      </c>
      <c r="D2130" s="12" t="str">
        <f>IFERROR(__xludf.DUMMYFUNCTION("""COMPUTED_VALUE"""),"Cute top....but shrinks horribly!")</f>
        <v>Cute top....but shrinks horribly!</v>
      </c>
      <c r="E2130" s="12" t="str">
        <f>IFERROR(__xludf.DUMMYFUNCTION("""COMPUTED_VALUE"""),"I bought this top and it ran huge, i had to get an extra small. well then i wash it according to the instructions and it shrunk horribly! like its so small now my 3 yr old could probably wear it! i'm so sad, i really liked this top....but for it to shrink"&amp;" after one wear is not acceptable.")</f>
        <v>I bought this top and it ran huge, i had to get an extra small. well then i wash it according to the instructions and it shrunk horribly! like its so small now my 3 yr old could probably wear it! i'm so sad, i really liked this top....but for it to shrink after one wear is not acceptable.</v>
      </c>
      <c r="F2130" s="13">
        <f>IFERROR(__xludf.DUMMYFUNCTION("""COMPUTED_VALUE"""),1.0)</f>
        <v>1</v>
      </c>
      <c r="G2130" s="13">
        <f>IFERROR(__xludf.DUMMYFUNCTION("""COMPUTED_VALUE"""),0.0)</f>
        <v>0</v>
      </c>
      <c r="H2130" s="13">
        <f>IFERROR(__xludf.DUMMYFUNCTION("""COMPUTED_VALUE"""),10.0)</f>
        <v>10</v>
      </c>
      <c r="I2130" s="13" t="str">
        <f>IFERROR(__xludf.DUMMYFUNCTION("""COMPUTED_VALUE"""),"General")</f>
        <v>General</v>
      </c>
      <c r="J2130" s="13" t="str">
        <f>IFERROR(__xludf.DUMMYFUNCTION("""COMPUTED_VALUE"""),"Tops")</f>
        <v>Tops</v>
      </c>
      <c r="K2130" s="13" t="str">
        <f>IFERROR(__xludf.DUMMYFUNCTION("""COMPUTED_VALUE"""),"Knits")</f>
        <v>Knits</v>
      </c>
      <c r="L2130" s="13"/>
    </row>
    <row r="2131">
      <c r="A2131" s="13">
        <f>IFERROR(__xludf.DUMMYFUNCTION("""COMPUTED_VALUE"""),2129.0)</f>
        <v>2129</v>
      </c>
      <c r="B2131" s="13">
        <f>IFERROR(__xludf.DUMMYFUNCTION("""COMPUTED_VALUE"""),862.0)</f>
        <v>862</v>
      </c>
      <c r="C2131" s="13">
        <f>IFERROR(__xludf.DUMMYFUNCTION("""COMPUTED_VALUE"""),60.0)</f>
        <v>60</v>
      </c>
      <c r="D2131" s="12" t="str">
        <f>IFERROR(__xludf.DUMMYFUNCTION("""COMPUTED_VALUE"""),"Great tank")</f>
        <v>Great tank</v>
      </c>
      <c r="E2131" s="12" t="str">
        <f>IFERROR(__xludf.DUMMYFUNCTION("""COMPUTED_VALUE"""),"For me to buy a tank top it better be special and this is. flattering without being skintight, it camouflages that little back bacon you sometimes get from a bra. the v-neck is low and is the same in the back. great length, super soft and the best part is"&amp;" you can wear a bra! i haven't washed this yet, but based on other reviews i'll probably hand wash and air dry. the only issue is the tag flops out every now and then.")</f>
        <v>For me to buy a tank top it better be special and this is. flattering without being skintight, it camouflages that little back bacon you sometimes get from a bra. the v-neck is low and is the same in the back. great length, super soft and the best part is you can wear a bra! i haven't washed this yet, but based on other reviews i'll probably hand wash and air dry. the only issue is the tag flops out every now and then.</v>
      </c>
      <c r="F2131" s="13">
        <f>IFERROR(__xludf.DUMMYFUNCTION("""COMPUTED_VALUE"""),5.0)</f>
        <v>5</v>
      </c>
      <c r="G2131" s="13">
        <f>IFERROR(__xludf.DUMMYFUNCTION("""COMPUTED_VALUE"""),1.0)</f>
        <v>1</v>
      </c>
      <c r="H2131" s="13">
        <f>IFERROR(__xludf.DUMMYFUNCTION("""COMPUTED_VALUE"""),0.0)</f>
        <v>0</v>
      </c>
      <c r="I2131" s="13" t="str">
        <f>IFERROR(__xludf.DUMMYFUNCTION("""COMPUTED_VALUE"""),"General")</f>
        <v>General</v>
      </c>
      <c r="J2131" s="13" t="str">
        <f>IFERROR(__xludf.DUMMYFUNCTION("""COMPUTED_VALUE"""),"Tops")</f>
        <v>Tops</v>
      </c>
      <c r="K2131" s="13" t="str">
        <f>IFERROR(__xludf.DUMMYFUNCTION("""COMPUTED_VALUE"""),"Knits")</f>
        <v>Knits</v>
      </c>
      <c r="L2131" s="13"/>
    </row>
    <row r="2132">
      <c r="A2132" s="13">
        <f>IFERROR(__xludf.DUMMYFUNCTION("""COMPUTED_VALUE"""),2130.0)</f>
        <v>2130</v>
      </c>
      <c r="B2132" s="13">
        <f>IFERROR(__xludf.DUMMYFUNCTION("""COMPUTED_VALUE"""),872.0)</f>
        <v>872</v>
      </c>
      <c r="C2132" s="13">
        <f>IFERROR(__xludf.DUMMYFUNCTION("""COMPUTED_VALUE"""),34.0)</f>
        <v>34</v>
      </c>
      <c r="D2132" s="12" t="str">
        <f>IFERROR(__xludf.DUMMYFUNCTION("""COMPUTED_VALUE"""),"Flattering a comfortable")</f>
        <v>Flattering a comfortable</v>
      </c>
      <c r="E2132" s="12" t="str">
        <f>IFERROR(__xludf.DUMMYFUNCTION("""COMPUTED_VALUE"""),"This top looks just as it does on the model and it fit just as they said it would. i needed a nice shirt to wear with jeans and camouflage my new-mommy tummy and this was perfect! it's really comfortable and fun, too!")</f>
        <v>This top looks just as it does on the model and it fit just as they said it would. i needed a nice shirt to wear with jeans and camouflage my new-mommy tummy and this was perfect! it's really comfortable and fun, too!</v>
      </c>
      <c r="F2132" s="13">
        <f>IFERROR(__xludf.DUMMYFUNCTION("""COMPUTED_VALUE"""),5.0)</f>
        <v>5</v>
      </c>
      <c r="G2132" s="13">
        <f>IFERROR(__xludf.DUMMYFUNCTION("""COMPUTED_VALUE"""),1.0)</f>
        <v>1</v>
      </c>
      <c r="H2132" s="13">
        <f>IFERROR(__xludf.DUMMYFUNCTION("""COMPUTED_VALUE"""),0.0)</f>
        <v>0</v>
      </c>
      <c r="I2132" s="13" t="str">
        <f>IFERROR(__xludf.DUMMYFUNCTION("""COMPUTED_VALUE"""),"General Petite")</f>
        <v>General Petite</v>
      </c>
      <c r="J2132" s="13" t="str">
        <f>IFERROR(__xludf.DUMMYFUNCTION("""COMPUTED_VALUE"""),"Tops")</f>
        <v>Tops</v>
      </c>
      <c r="K2132" s="13" t="str">
        <f>IFERROR(__xludf.DUMMYFUNCTION("""COMPUTED_VALUE"""),"Knits")</f>
        <v>Knits</v>
      </c>
      <c r="L2132" s="13"/>
    </row>
    <row r="2133">
      <c r="A2133" s="13">
        <f>IFERROR(__xludf.DUMMYFUNCTION("""COMPUTED_VALUE"""),2131.0)</f>
        <v>2131</v>
      </c>
      <c r="B2133" s="13">
        <f>IFERROR(__xludf.DUMMYFUNCTION("""COMPUTED_VALUE"""),862.0)</f>
        <v>862</v>
      </c>
      <c r="C2133" s="13">
        <f>IFERROR(__xludf.DUMMYFUNCTION("""COMPUTED_VALUE"""),54.0)</f>
        <v>54</v>
      </c>
      <c r="D2133" s="12"/>
      <c r="E2133" s="12" t="str">
        <f>IFERROR(__xludf.DUMMYFUNCTION("""COMPUTED_VALUE"""),"I love everything about this top! the fabric, the color, the fit! great top for spring and summer!")</f>
        <v>I love everything about this top! the fabric, the color, the fit! great top for spring and summer!</v>
      </c>
      <c r="F2133" s="13">
        <f>IFERROR(__xludf.DUMMYFUNCTION("""COMPUTED_VALUE"""),5.0)</f>
        <v>5</v>
      </c>
      <c r="G2133" s="13">
        <f>IFERROR(__xludf.DUMMYFUNCTION("""COMPUTED_VALUE"""),1.0)</f>
        <v>1</v>
      </c>
      <c r="H2133" s="13">
        <f>IFERROR(__xludf.DUMMYFUNCTION("""COMPUTED_VALUE"""),0.0)</f>
        <v>0</v>
      </c>
      <c r="I2133" s="13" t="str">
        <f>IFERROR(__xludf.DUMMYFUNCTION("""COMPUTED_VALUE"""),"General")</f>
        <v>General</v>
      </c>
      <c r="J2133" s="13" t="str">
        <f>IFERROR(__xludf.DUMMYFUNCTION("""COMPUTED_VALUE"""),"Tops")</f>
        <v>Tops</v>
      </c>
      <c r="K2133" s="13" t="str">
        <f>IFERROR(__xludf.DUMMYFUNCTION("""COMPUTED_VALUE"""),"Knits")</f>
        <v>Knits</v>
      </c>
      <c r="L2133" s="13"/>
    </row>
    <row r="2134">
      <c r="A2134" s="13">
        <f>IFERROR(__xludf.DUMMYFUNCTION("""COMPUTED_VALUE"""),2132.0)</f>
        <v>2132</v>
      </c>
      <c r="B2134" s="13">
        <f>IFERROR(__xludf.DUMMYFUNCTION("""COMPUTED_VALUE"""),872.0)</f>
        <v>872</v>
      </c>
      <c r="C2134" s="13">
        <f>IFERROR(__xludf.DUMMYFUNCTION("""COMPUTED_VALUE"""),25.0)</f>
        <v>25</v>
      </c>
      <c r="D2134" s="12" t="str">
        <f>IFERROR(__xludf.DUMMYFUNCTION("""COMPUTED_VALUE"""),"Fabric is very stiff....")</f>
        <v>Fabric is very stiff....</v>
      </c>
      <c r="E2134" s="12" t="str">
        <f>IFERROR(__xludf.DUMMYFUNCTION("""COMPUTED_VALUE"""),"I had hopes for this shirt but was disappointed in the fabric...it's very stiff and heavy for a summer blouse. will be returning it.")</f>
        <v>I had hopes for this shirt but was disappointed in the fabric...it's very stiff and heavy for a summer blouse. will be returning it.</v>
      </c>
      <c r="F2134" s="13">
        <f>IFERROR(__xludf.DUMMYFUNCTION("""COMPUTED_VALUE"""),1.0)</f>
        <v>1</v>
      </c>
      <c r="G2134" s="13">
        <f>IFERROR(__xludf.DUMMYFUNCTION("""COMPUTED_VALUE"""),0.0)</f>
        <v>0</v>
      </c>
      <c r="H2134" s="13">
        <f>IFERROR(__xludf.DUMMYFUNCTION("""COMPUTED_VALUE"""),0.0)</f>
        <v>0</v>
      </c>
      <c r="I2134" s="13" t="str">
        <f>IFERROR(__xludf.DUMMYFUNCTION("""COMPUTED_VALUE"""),"General Petite")</f>
        <v>General Petite</v>
      </c>
      <c r="J2134" s="13" t="str">
        <f>IFERROR(__xludf.DUMMYFUNCTION("""COMPUTED_VALUE"""),"Tops")</f>
        <v>Tops</v>
      </c>
      <c r="K2134" s="13" t="str">
        <f>IFERROR(__xludf.DUMMYFUNCTION("""COMPUTED_VALUE"""),"Knits")</f>
        <v>Knits</v>
      </c>
      <c r="L2134" s="13"/>
    </row>
    <row r="2135">
      <c r="A2135" s="13">
        <f>IFERROR(__xludf.DUMMYFUNCTION("""COMPUTED_VALUE"""),2133.0)</f>
        <v>2133</v>
      </c>
      <c r="B2135" s="13">
        <f>IFERROR(__xludf.DUMMYFUNCTION("""COMPUTED_VALUE"""),896.0)</f>
        <v>896</v>
      </c>
      <c r="C2135" s="13">
        <f>IFERROR(__xludf.DUMMYFUNCTION("""COMPUTED_VALUE"""),42.0)</f>
        <v>42</v>
      </c>
      <c r="D2135" s="12" t="str">
        <f>IFERROR(__xludf.DUMMYFUNCTION("""COMPUTED_VALUE"""),"Just ok")</f>
        <v>Just ok</v>
      </c>
      <c r="E2135" s="12" t="str">
        <f>IFERROR(__xludf.DUMMYFUNCTION("""COMPUTED_VALUE"""),"I usually wear petite which this was not so a little big for me. but nice color and good quality, but pricey for what it is. it's more like a $45 sweater not $100+")</f>
        <v>I usually wear petite which this was not so a little big for me. but nice color and good quality, but pricey for what it is. it's more like a $45 sweater not $100+</v>
      </c>
      <c r="F2135" s="13">
        <f>IFERROR(__xludf.DUMMYFUNCTION("""COMPUTED_VALUE"""),3.0)</f>
        <v>3</v>
      </c>
      <c r="G2135" s="13">
        <f>IFERROR(__xludf.DUMMYFUNCTION("""COMPUTED_VALUE"""),1.0)</f>
        <v>1</v>
      </c>
      <c r="H2135" s="13">
        <f>IFERROR(__xludf.DUMMYFUNCTION("""COMPUTED_VALUE"""),2.0)</f>
        <v>2</v>
      </c>
      <c r="I2135" s="13" t="str">
        <f>IFERROR(__xludf.DUMMYFUNCTION("""COMPUTED_VALUE"""),"General")</f>
        <v>General</v>
      </c>
      <c r="J2135" s="13" t="str">
        <f>IFERROR(__xludf.DUMMYFUNCTION("""COMPUTED_VALUE"""),"Tops")</f>
        <v>Tops</v>
      </c>
      <c r="K2135" s="13" t="str">
        <f>IFERROR(__xludf.DUMMYFUNCTION("""COMPUTED_VALUE"""),"Fine gauge")</f>
        <v>Fine gauge</v>
      </c>
      <c r="L2135" s="13"/>
    </row>
    <row r="2136">
      <c r="A2136" s="13">
        <f>IFERROR(__xludf.DUMMYFUNCTION("""COMPUTED_VALUE"""),2134.0)</f>
        <v>2134</v>
      </c>
      <c r="B2136" s="13">
        <f>IFERROR(__xludf.DUMMYFUNCTION("""COMPUTED_VALUE"""),1072.0)</f>
        <v>1072</v>
      </c>
      <c r="C2136" s="13">
        <f>IFERROR(__xludf.DUMMYFUNCTION("""COMPUTED_VALUE"""),36.0)</f>
        <v>36</v>
      </c>
      <c r="D2136" s="12" t="str">
        <f>IFERROR(__xludf.DUMMYFUNCTION("""COMPUTED_VALUE"""),"Effortless")</f>
        <v>Effortless</v>
      </c>
      <c r="E2136" s="12" t="str">
        <f>IFERROR(__xludf.DUMMYFUNCTION("""COMPUTED_VALUE"""),"Another reviewer said it best, ""i love the way this dress makes me feel."" i couldn't agree more. the lines are perfect and effortless. 
with all the different reviews on size, i went into the store to try it on. i am usually always a s or m at retailer "&amp;"and a s fit perfectly. i think sizing down any more takes away from the casual look of the dress. i am 5' 5"", 130, and have a small bust.")</f>
        <v>Another reviewer said it best, "i love the way this dress makes me feel." i couldn't agree more. the lines are perfect and effortless. 
with all the different reviews on size, i went into the store to try it on. i am usually always a s or m at retailer and a s fit perfectly. i think sizing down any more takes away from the casual look of the dress. i am 5' 5", 130, and have a small bust.</v>
      </c>
      <c r="F2136" s="13">
        <f>IFERROR(__xludf.DUMMYFUNCTION("""COMPUTED_VALUE"""),5.0)</f>
        <v>5</v>
      </c>
      <c r="G2136" s="13">
        <f>IFERROR(__xludf.DUMMYFUNCTION("""COMPUTED_VALUE"""),1.0)</f>
        <v>1</v>
      </c>
      <c r="H2136" s="13">
        <f>IFERROR(__xludf.DUMMYFUNCTION("""COMPUTED_VALUE"""),0.0)</f>
        <v>0</v>
      </c>
      <c r="I2136" s="13" t="str">
        <f>IFERROR(__xludf.DUMMYFUNCTION("""COMPUTED_VALUE"""),"General Petite")</f>
        <v>General Petite</v>
      </c>
      <c r="J2136" s="13" t="str">
        <f>IFERROR(__xludf.DUMMYFUNCTION("""COMPUTED_VALUE"""),"Dresses")</f>
        <v>Dresses</v>
      </c>
      <c r="K2136" s="13" t="str">
        <f>IFERROR(__xludf.DUMMYFUNCTION("""COMPUTED_VALUE"""),"Dresses")</f>
        <v>Dresses</v>
      </c>
      <c r="L2136" s="13"/>
    </row>
    <row r="2137">
      <c r="A2137" s="13">
        <f>IFERROR(__xludf.DUMMYFUNCTION("""COMPUTED_VALUE"""),2135.0)</f>
        <v>2135</v>
      </c>
      <c r="B2137" s="13">
        <f>IFERROR(__xludf.DUMMYFUNCTION("""COMPUTED_VALUE"""),896.0)</f>
        <v>896</v>
      </c>
      <c r="C2137" s="13">
        <f>IFERROR(__xludf.DUMMYFUNCTION("""COMPUTED_VALUE"""),34.0)</f>
        <v>34</v>
      </c>
      <c r="D2137" s="12" t="str">
        <f>IFERROR(__xludf.DUMMYFUNCTION("""COMPUTED_VALUE"""),"Beautiful color, pretty design, nice fabric")</f>
        <v>Beautiful color, pretty design, nice fabric</v>
      </c>
      <c r="E2137" s="12" t="str">
        <f>IFERROR(__xludf.DUMMYFUNCTION("""COMPUTED_VALUE"""),"I got this in the wine, which is a beautiful color. the design is nice and looks expensive (but i'm not sure how it will hold up), the fabric is very nice, medium weight and drapes well. it is a little boxy but would be nice to layer over a button down.")</f>
        <v>I got this in the wine, which is a beautiful color. the design is nice and looks expensive (but i'm not sure how it will hold up), the fabric is very nice, medium weight and drapes well. it is a little boxy but would be nice to layer over a button down.</v>
      </c>
      <c r="F2137" s="13">
        <f>IFERROR(__xludf.DUMMYFUNCTION("""COMPUTED_VALUE"""),5.0)</f>
        <v>5</v>
      </c>
      <c r="G2137" s="13">
        <f>IFERROR(__xludf.DUMMYFUNCTION("""COMPUTED_VALUE"""),1.0)</f>
        <v>1</v>
      </c>
      <c r="H2137" s="13">
        <f>IFERROR(__xludf.DUMMYFUNCTION("""COMPUTED_VALUE"""),0.0)</f>
        <v>0</v>
      </c>
      <c r="I2137" s="13" t="str">
        <f>IFERROR(__xludf.DUMMYFUNCTION("""COMPUTED_VALUE"""),"General")</f>
        <v>General</v>
      </c>
      <c r="J2137" s="13" t="str">
        <f>IFERROR(__xludf.DUMMYFUNCTION("""COMPUTED_VALUE"""),"Tops")</f>
        <v>Tops</v>
      </c>
      <c r="K2137" s="13" t="str">
        <f>IFERROR(__xludf.DUMMYFUNCTION("""COMPUTED_VALUE"""),"Fine gauge")</f>
        <v>Fine gauge</v>
      </c>
      <c r="L2137" s="13"/>
    </row>
    <row r="2138">
      <c r="A2138" s="13">
        <f>IFERROR(__xludf.DUMMYFUNCTION("""COMPUTED_VALUE"""),2136.0)</f>
        <v>2136</v>
      </c>
      <c r="B2138" s="13">
        <f>IFERROR(__xludf.DUMMYFUNCTION("""COMPUTED_VALUE"""),1126.0)</f>
        <v>1126</v>
      </c>
      <c r="C2138" s="13">
        <f>IFERROR(__xludf.DUMMYFUNCTION("""COMPUTED_VALUE"""),33.0)</f>
        <v>33</v>
      </c>
      <c r="D2138" s="12" t="str">
        <f>IFERROR(__xludf.DUMMYFUNCTION("""COMPUTED_VALUE"""),"Chic")</f>
        <v>Chic</v>
      </c>
      <c r="E2138" s="12" t="str">
        <f>IFERROR(__xludf.DUMMYFUNCTION("""COMPUTED_VALUE"""),"Love this. can be a jacket or blazer syle. fits well.")</f>
        <v>Love this. can be a jacket or blazer syle. fits well.</v>
      </c>
      <c r="F2138" s="13">
        <f>IFERROR(__xludf.DUMMYFUNCTION("""COMPUTED_VALUE"""),5.0)</f>
        <v>5</v>
      </c>
      <c r="G2138" s="13">
        <f>IFERROR(__xludf.DUMMYFUNCTION("""COMPUTED_VALUE"""),1.0)</f>
        <v>1</v>
      </c>
      <c r="H2138" s="13">
        <f>IFERROR(__xludf.DUMMYFUNCTION("""COMPUTED_VALUE"""),0.0)</f>
        <v>0</v>
      </c>
      <c r="I2138" s="13" t="str">
        <f>IFERROR(__xludf.DUMMYFUNCTION("""COMPUTED_VALUE"""),"General")</f>
        <v>General</v>
      </c>
      <c r="J2138" s="13" t="str">
        <f>IFERROR(__xludf.DUMMYFUNCTION("""COMPUTED_VALUE"""),"Jackets")</f>
        <v>Jackets</v>
      </c>
      <c r="K2138" s="13" t="str">
        <f>IFERROR(__xludf.DUMMYFUNCTION("""COMPUTED_VALUE"""),"Outerwear")</f>
        <v>Outerwear</v>
      </c>
      <c r="L2138" s="13"/>
    </row>
    <row r="2139">
      <c r="A2139" s="13">
        <f>IFERROR(__xludf.DUMMYFUNCTION("""COMPUTED_VALUE"""),2137.0)</f>
        <v>2137</v>
      </c>
      <c r="B2139" s="13">
        <f>IFERROR(__xludf.DUMMYFUNCTION("""COMPUTED_VALUE"""),1072.0)</f>
        <v>1072</v>
      </c>
      <c r="C2139" s="13">
        <f>IFERROR(__xludf.DUMMYFUNCTION("""COMPUTED_VALUE"""),41.0)</f>
        <v>41</v>
      </c>
      <c r="D2139" s="12" t="str">
        <f>IFERROR(__xludf.DUMMYFUNCTION("""COMPUTED_VALUE"""),"So pretty!")</f>
        <v>So pretty!</v>
      </c>
      <c r="E2139" s="12" t="str">
        <f>IFERROR(__xludf.DUMMYFUNCTION("""COMPUTED_VALUE"""),"The colors, style and fit were great. this dress you could wear on many different occasions. all around great piece to own!")</f>
        <v>The colors, style and fit were great. this dress you could wear on many different occasions. all around great piece to own!</v>
      </c>
      <c r="F2139" s="13">
        <f>IFERROR(__xludf.DUMMYFUNCTION("""COMPUTED_VALUE"""),5.0)</f>
        <v>5</v>
      </c>
      <c r="G2139" s="13">
        <f>IFERROR(__xludf.DUMMYFUNCTION("""COMPUTED_VALUE"""),1.0)</f>
        <v>1</v>
      </c>
      <c r="H2139" s="13">
        <f>IFERROR(__xludf.DUMMYFUNCTION("""COMPUTED_VALUE"""),0.0)</f>
        <v>0</v>
      </c>
      <c r="I2139" s="13" t="str">
        <f>IFERROR(__xludf.DUMMYFUNCTION("""COMPUTED_VALUE"""),"General Petite")</f>
        <v>General Petite</v>
      </c>
      <c r="J2139" s="13" t="str">
        <f>IFERROR(__xludf.DUMMYFUNCTION("""COMPUTED_VALUE"""),"Dresses")</f>
        <v>Dresses</v>
      </c>
      <c r="K2139" s="13" t="str">
        <f>IFERROR(__xludf.DUMMYFUNCTION("""COMPUTED_VALUE"""),"Dresses")</f>
        <v>Dresses</v>
      </c>
      <c r="L2139" s="13"/>
    </row>
    <row r="2140">
      <c r="A2140" s="13">
        <f>IFERROR(__xludf.DUMMYFUNCTION("""COMPUTED_VALUE"""),2138.0)</f>
        <v>2138</v>
      </c>
      <c r="B2140" s="13">
        <f>IFERROR(__xludf.DUMMYFUNCTION("""COMPUTED_VALUE"""),850.0)</f>
        <v>850</v>
      </c>
      <c r="C2140" s="13">
        <f>IFERROR(__xludf.DUMMYFUNCTION("""COMPUTED_VALUE"""),42.0)</f>
        <v>42</v>
      </c>
      <c r="D2140" s="12" t="str">
        <f>IFERROR(__xludf.DUMMYFUNCTION("""COMPUTED_VALUE"""),"Too much pep in this peplum...")</f>
        <v>Too much pep in this peplum...</v>
      </c>
      <c r="E2140" s="12" t="str">
        <f>IFERROR(__xludf.DUMMYFUNCTION("""COMPUTED_VALUE"""),"I love a good peplum top, and was so excited when it arrived, but was sad to find the flare on the peplum was a little too much. i'm not sure why it was so unflattering, because in every other way, it fit like a dream, but it seemed like either there was "&amp;"too much or too little fabric around the waist to have it hang properly. it had to go back.")</f>
        <v>I love a good peplum top, and was so excited when it arrived, but was sad to find the flare on the peplum was a little too much. i'm not sure why it was so unflattering, because in every other way, it fit like a dream, but it seemed like either there was too much or too little fabric around the waist to have it hang properly. it had to go back.</v>
      </c>
      <c r="F2140" s="13">
        <f>IFERROR(__xludf.DUMMYFUNCTION("""COMPUTED_VALUE"""),3.0)</f>
        <v>3</v>
      </c>
      <c r="G2140" s="13">
        <f>IFERROR(__xludf.DUMMYFUNCTION("""COMPUTED_VALUE"""),0.0)</f>
        <v>0</v>
      </c>
      <c r="H2140" s="13">
        <f>IFERROR(__xludf.DUMMYFUNCTION("""COMPUTED_VALUE"""),1.0)</f>
        <v>1</v>
      </c>
      <c r="I2140" s="13" t="str">
        <f>IFERROR(__xludf.DUMMYFUNCTION("""COMPUTED_VALUE"""),"General Petite")</f>
        <v>General Petite</v>
      </c>
      <c r="J2140" s="13" t="str">
        <f>IFERROR(__xludf.DUMMYFUNCTION("""COMPUTED_VALUE"""),"Tops")</f>
        <v>Tops</v>
      </c>
      <c r="K2140" s="13" t="str">
        <f>IFERROR(__xludf.DUMMYFUNCTION("""COMPUTED_VALUE"""),"Blouses")</f>
        <v>Blouses</v>
      </c>
      <c r="L2140" s="13"/>
    </row>
    <row r="2141">
      <c r="A2141" s="13">
        <f>IFERROR(__xludf.DUMMYFUNCTION("""COMPUTED_VALUE"""),2139.0)</f>
        <v>2139</v>
      </c>
      <c r="B2141" s="13">
        <f>IFERROR(__xludf.DUMMYFUNCTION("""COMPUTED_VALUE"""),872.0)</f>
        <v>872</v>
      </c>
      <c r="C2141" s="13">
        <f>IFERROR(__xludf.DUMMYFUNCTION("""COMPUTED_VALUE"""),38.0)</f>
        <v>38</v>
      </c>
      <c r="D2141" s="12"/>
      <c r="E2141" s="12" t="str">
        <f>IFERROR(__xludf.DUMMYFUNCTION("""COMPUTED_VALUE"""),"This top is super cute and is very flattering. however, i have trouble getting in and out of it. there is one zipper on the side but it almost seems like it needs to go higher up in order to help you put it on and take it off.")</f>
        <v>This top is super cute and is very flattering. however, i have trouble getting in and out of it. there is one zipper on the side but it almost seems like it needs to go higher up in order to help you put it on and take it off.</v>
      </c>
      <c r="F2141" s="13">
        <f>IFERROR(__xludf.DUMMYFUNCTION("""COMPUTED_VALUE"""),4.0)</f>
        <v>4</v>
      </c>
      <c r="G2141" s="13">
        <f>IFERROR(__xludf.DUMMYFUNCTION("""COMPUTED_VALUE"""),1.0)</f>
        <v>1</v>
      </c>
      <c r="H2141" s="13">
        <f>IFERROR(__xludf.DUMMYFUNCTION("""COMPUTED_VALUE"""),2.0)</f>
        <v>2</v>
      </c>
      <c r="I2141" s="13" t="str">
        <f>IFERROR(__xludf.DUMMYFUNCTION("""COMPUTED_VALUE"""),"General Petite")</f>
        <v>General Petite</v>
      </c>
      <c r="J2141" s="13" t="str">
        <f>IFERROR(__xludf.DUMMYFUNCTION("""COMPUTED_VALUE"""),"Tops")</f>
        <v>Tops</v>
      </c>
      <c r="K2141" s="13" t="str">
        <f>IFERROR(__xludf.DUMMYFUNCTION("""COMPUTED_VALUE"""),"Knits")</f>
        <v>Knits</v>
      </c>
      <c r="L2141" s="13"/>
    </row>
    <row r="2142">
      <c r="A2142" s="13">
        <f>IFERROR(__xludf.DUMMYFUNCTION("""COMPUTED_VALUE"""),2140.0)</f>
        <v>2140</v>
      </c>
      <c r="B2142" s="13">
        <f>IFERROR(__xludf.DUMMYFUNCTION("""COMPUTED_VALUE"""),1072.0)</f>
        <v>1072</v>
      </c>
      <c r="C2142" s="13">
        <f>IFERROR(__xludf.DUMMYFUNCTION("""COMPUTED_VALUE"""),52.0)</f>
        <v>52</v>
      </c>
      <c r="D2142" s="12" t="str">
        <f>IFERROR(__xludf.DUMMYFUNCTION("""COMPUTED_VALUE"""),"Lovely dress")</f>
        <v>Lovely dress</v>
      </c>
      <c r="E2142" s="12" t="str">
        <f>IFERROR(__xludf.DUMMYFUNCTION("""COMPUTED_VALUE"""),"This dress is very striking, especially in the green color way i purchased. flow and loose, very feminine but not ""cute"". well made and very much in style this season. i returned it because it wasn't quite suitable for me-1 size up would have been a bet"&amp;"ter. fit overall.")</f>
        <v>This dress is very striking, especially in the green color way i purchased. flow and loose, very feminine but not "cute". well made and very much in style this season. i returned it because it wasn't quite suitable for me-1 size up would have been a better. fit overall.</v>
      </c>
      <c r="F2142" s="13">
        <f>IFERROR(__xludf.DUMMYFUNCTION("""COMPUTED_VALUE"""),4.0)</f>
        <v>4</v>
      </c>
      <c r="G2142" s="13">
        <f>IFERROR(__xludf.DUMMYFUNCTION("""COMPUTED_VALUE"""),1.0)</f>
        <v>1</v>
      </c>
      <c r="H2142" s="13">
        <f>IFERROR(__xludf.DUMMYFUNCTION("""COMPUTED_VALUE"""),0.0)</f>
        <v>0</v>
      </c>
      <c r="I2142" s="13" t="str">
        <f>IFERROR(__xludf.DUMMYFUNCTION("""COMPUTED_VALUE"""),"General Petite")</f>
        <v>General Petite</v>
      </c>
      <c r="J2142" s="13" t="str">
        <f>IFERROR(__xludf.DUMMYFUNCTION("""COMPUTED_VALUE"""),"Dresses")</f>
        <v>Dresses</v>
      </c>
      <c r="K2142" s="13" t="str">
        <f>IFERROR(__xludf.DUMMYFUNCTION("""COMPUTED_VALUE"""),"Dresses")</f>
        <v>Dresses</v>
      </c>
      <c r="L2142" s="13"/>
    </row>
    <row r="2143">
      <c r="A2143" s="13">
        <f>IFERROR(__xludf.DUMMYFUNCTION("""COMPUTED_VALUE"""),2141.0)</f>
        <v>2141</v>
      </c>
      <c r="B2143" s="13">
        <f>IFERROR(__xludf.DUMMYFUNCTION("""COMPUTED_VALUE"""),1072.0)</f>
        <v>1072</v>
      </c>
      <c r="C2143" s="13">
        <f>IFERROR(__xludf.DUMMYFUNCTION("""COMPUTED_VALUE"""),58.0)</f>
        <v>58</v>
      </c>
      <c r="D2143" s="12" t="str">
        <f>IFERROR(__xludf.DUMMYFUNCTION("""COMPUTED_VALUE"""),"Great fabric")</f>
        <v>Great fabric</v>
      </c>
      <c r="E2143" s="12" t="str">
        <f>IFERROR(__xludf.DUMMYFUNCTION("""COMPUTED_VALUE"""),"I ordered my usual size small and it was very large on my 5'5"", 112# frame.  my daughter loved it so she scored.  i ordered another one in xs, perfect though the sleeves run long! i have long arms.  can be dressy or casual.")</f>
        <v>I ordered my usual size small and it was very large on my 5'5", 112# frame.  my daughter loved it so she scored.  i ordered another one in xs, perfect though the sleeves run long! i have long arms.  can be dressy or casual.</v>
      </c>
      <c r="F2143" s="13">
        <f>IFERROR(__xludf.DUMMYFUNCTION("""COMPUTED_VALUE"""),5.0)</f>
        <v>5</v>
      </c>
      <c r="G2143" s="13">
        <f>IFERROR(__xludf.DUMMYFUNCTION("""COMPUTED_VALUE"""),1.0)</f>
        <v>1</v>
      </c>
      <c r="H2143" s="13">
        <f>IFERROR(__xludf.DUMMYFUNCTION("""COMPUTED_VALUE"""),27.0)</f>
        <v>27</v>
      </c>
      <c r="I2143" s="13" t="str">
        <f>IFERROR(__xludf.DUMMYFUNCTION("""COMPUTED_VALUE"""),"General Petite")</f>
        <v>General Petite</v>
      </c>
      <c r="J2143" s="13" t="str">
        <f>IFERROR(__xludf.DUMMYFUNCTION("""COMPUTED_VALUE"""),"Dresses")</f>
        <v>Dresses</v>
      </c>
      <c r="K2143" s="13" t="str">
        <f>IFERROR(__xludf.DUMMYFUNCTION("""COMPUTED_VALUE"""),"Dresses")</f>
        <v>Dresses</v>
      </c>
      <c r="L2143" s="13"/>
    </row>
    <row r="2144">
      <c r="A2144" s="13">
        <f>IFERROR(__xludf.DUMMYFUNCTION("""COMPUTED_VALUE"""),2142.0)</f>
        <v>2142</v>
      </c>
      <c r="B2144" s="13">
        <f>IFERROR(__xludf.DUMMYFUNCTION("""COMPUTED_VALUE"""),872.0)</f>
        <v>872</v>
      </c>
      <c r="C2144" s="13">
        <f>IFERROR(__xludf.DUMMYFUNCTION("""COMPUTED_VALUE"""),21.0)</f>
        <v>21</v>
      </c>
      <c r="D2144" s="12" t="str">
        <f>IFERROR(__xludf.DUMMYFUNCTION("""COMPUTED_VALUE"""),"The perfect purple piece")</f>
        <v>The perfect purple piece</v>
      </c>
      <c r="E2144" s="12" t="str">
        <f>IFERROR(__xludf.DUMMYFUNCTION("""COMPUTED_VALUE"""),"I got the dark purple color of this top and it is perfect! i wear it all the time. it's comfortable and it's cute! plus if it gets cold i can throw a warm sweater on top of it.")</f>
        <v>I got the dark purple color of this top and it is perfect! i wear it all the time. it's comfortable and it's cute! plus if it gets cold i can throw a warm sweater on top of it.</v>
      </c>
      <c r="F2144" s="13">
        <f>IFERROR(__xludf.DUMMYFUNCTION("""COMPUTED_VALUE"""),5.0)</f>
        <v>5</v>
      </c>
      <c r="G2144" s="13">
        <f>IFERROR(__xludf.DUMMYFUNCTION("""COMPUTED_VALUE"""),1.0)</f>
        <v>1</v>
      </c>
      <c r="H2144" s="13">
        <f>IFERROR(__xludf.DUMMYFUNCTION("""COMPUTED_VALUE"""),0.0)</f>
        <v>0</v>
      </c>
      <c r="I2144" s="13" t="str">
        <f>IFERROR(__xludf.DUMMYFUNCTION("""COMPUTED_VALUE"""),"General Petite")</f>
        <v>General Petite</v>
      </c>
      <c r="J2144" s="13" t="str">
        <f>IFERROR(__xludf.DUMMYFUNCTION("""COMPUTED_VALUE"""),"Tops")</f>
        <v>Tops</v>
      </c>
      <c r="K2144" s="13" t="str">
        <f>IFERROR(__xludf.DUMMYFUNCTION("""COMPUTED_VALUE"""),"Knits")</f>
        <v>Knits</v>
      </c>
      <c r="L2144" s="13"/>
    </row>
    <row r="2145">
      <c r="A2145" s="13">
        <f>IFERROR(__xludf.DUMMYFUNCTION("""COMPUTED_VALUE"""),2143.0)</f>
        <v>2143</v>
      </c>
      <c r="B2145" s="13">
        <f>IFERROR(__xludf.DUMMYFUNCTION("""COMPUTED_VALUE"""),1089.0)</f>
        <v>1089</v>
      </c>
      <c r="C2145" s="13">
        <f>IFERROR(__xludf.DUMMYFUNCTION("""COMPUTED_VALUE"""),34.0)</f>
        <v>34</v>
      </c>
      <c r="D2145" s="12" t="str">
        <f>IFERROR(__xludf.DUMMYFUNCTION("""COMPUTED_VALUE"""),"Gorgeous and flattering dress by maeve")</f>
        <v>Gorgeous and flattering dress by maeve</v>
      </c>
      <c r="E2145" s="12" t="str">
        <f>IFERROR(__xludf.DUMMYFUNCTION("""COMPUTED_VALUE"""),"This dress looks beautiful on. it's very flattering and comfortable to wear. it runs true to maeve's dress sizing which for me means in these dresses i always get one size larger than what i normally wear. on my 5'3"" height the regular was just above the"&amp;" knee. great for giving you the illusion of the figure you want even if you don't have it naturally !")</f>
        <v>This dress looks beautiful on. it's very flattering and comfortable to wear. it runs true to maeve's dress sizing which for me means in these dresses i always get one size larger than what i normally wear. on my 5'3" height the regular was just above the knee. great for giving you the illusion of the figure you want even if you don't have it naturally !</v>
      </c>
      <c r="F2145" s="13">
        <f>IFERROR(__xludf.DUMMYFUNCTION("""COMPUTED_VALUE"""),5.0)</f>
        <v>5</v>
      </c>
      <c r="G2145" s="13">
        <f>IFERROR(__xludf.DUMMYFUNCTION("""COMPUTED_VALUE"""),1.0)</f>
        <v>1</v>
      </c>
      <c r="H2145" s="13">
        <f>IFERROR(__xludf.DUMMYFUNCTION("""COMPUTED_VALUE"""),15.0)</f>
        <v>15</v>
      </c>
      <c r="I2145" s="13" t="str">
        <f>IFERROR(__xludf.DUMMYFUNCTION("""COMPUTED_VALUE"""),"General Petite")</f>
        <v>General Petite</v>
      </c>
      <c r="J2145" s="13" t="str">
        <f>IFERROR(__xludf.DUMMYFUNCTION("""COMPUTED_VALUE"""),"Dresses")</f>
        <v>Dresses</v>
      </c>
      <c r="K2145" s="13" t="str">
        <f>IFERROR(__xludf.DUMMYFUNCTION("""COMPUTED_VALUE"""),"Dresses")</f>
        <v>Dresses</v>
      </c>
      <c r="L2145" s="13"/>
    </row>
    <row r="2146">
      <c r="A2146" s="13">
        <f>IFERROR(__xludf.DUMMYFUNCTION("""COMPUTED_VALUE"""),2144.0)</f>
        <v>2144</v>
      </c>
      <c r="B2146" s="13">
        <f>IFERROR(__xludf.DUMMYFUNCTION("""COMPUTED_VALUE"""),911.0)</f>
        <v>911</v>
      </c>
      <c r="C2146" s="13">
        <f>IFERROR(__xludf.DUMMYFUNCTION("""COMPUTED_VALUE"""),46.0)</f>
        <v>46</v>
      </c>
      <c r="D2146" s="12" t="str">
        <f>IFERROR(__xludf.DUMMYFUNCTION("""COMPUTED_VALUE"""),"Almost but not quite")</f>
        <v>Almost but not quite</v>
      </c>
      <c r="E2146" s="12" t="str">
        <f>IFERROR(__xludf.DUMMYFUNCTION("""COMPUTED_VALUE"""),"I am returning. i really liked the appearance in the photo and i love aqua, but the biggest problem for me is the shape. it's pretty boxy and it's hard to tell from the photo, but it has a batwing shape. i also wish the lighter portion were more ivory (le"&amp;"ss yellow in it), but that's based on what looks better against my skin tone. i found it to run true to size, but i thought it was unflattering (made me look wide).")</f>
        <v>I am returning. i really liked the appearance in the photo and i love aqua, but the biggest problem for me is the shape. it's pretty boxy and it's hard to tell from the photo, but it has a batwing shape. i also wish the lighter portion were more ivory (less yellow in it), but that's based on what looks better against my skin tone. i found it to run true to size, but i thought it was unflattering (made me look wide).</v>
      </c>
      <c r="F2146" s="13">
        <f>IFERROR(__xludf.DUMMYFUNCTION("""COMPUTED_VALUE"""),3.0)</f>
        <v>3</v>
      </c>
      <c r="G2146" s="13">
        <f>IFERROR(__xludf.DUMMYFUNCTION("""COMPUTED_VALUE"""),0.0)</f>
        <v>0</v>
      </c>
      <c r="H2146" s="13">
        <f>IFERROR(__xludf.DUMMYFUNCTION("""COMPUTED_VALUE"""),0.0)</f>
        <v>0</v>
      </c>
      <c r="I2146" s="13" t="str">
        <f>IFERROR(__xludf.DUMMYFUNCTION("""COMPUTED_VALUE"""),"General")</f>
        <v>General</v>
      </c>
      <c r="J2146" s="13" t="str">
        <f>IFERROR(__xludf.DUMMYFUNCTION("""COMPUTED_VALUE"""),"Tops")</f>
        <v>Tops</v>
      </c>
      <c r="K2146" s="13" t="str">
        <f>IFERROR(__xludf.DUMMYFUNCTION("""COMPUTED_VALUE"""),"Fine gauge")</f>
        <v>Fine gauge</v>
      </c>
      <c r="L2146" s="13"/>
    </row>
    <row r="2147">
      <c r="A2147" s="13">
        <f>IFERROR(__xludf.DUMMYFUNCTION("""COMPUTED_VALUE"""),2145.0)</f>
        <v>2145</v>
      </c>
      <c r="B2147" s="13">
        <f>IFERROR(__xludf.DUMMYFUNCTION("""COMPUTED_VALUE"""),872.0)</f>
        <v>872</v>
      </c>
      <c r="C2147" s="13">
        <f>IFERROR(__xludf.DUMMYFUNCTION("""COMPUTED_VALUE"""),30.0)</f>
        <v>30</v>
      </c>
      <c r="D2147" s="12" t="str">
        <f>IFERROR(__xludf.DUMMYFUNCTION("""COMPUTED_VALUE"""),"Great every day long-sleeved tee")</f>
        <v>Great every day long-sleeved tee</v>
      </c>
      <c r="E2147" s="12" t="str">
        <f>IFERROR(__xludf.DUMMYFUNCTION("""COMPUTED_VALUE"""),"I absolutely love this tee! i normally don't buy two of the same thing, but i bought it in both black and mauve during a december sale. i ordered a size small, and it fits tts. it can be worn with leggings or skinny jeans/cords. i love pairing it with ski"&amp;"nny jeans and boots best. it's very slimming and so soft.")</f>
        <v>I absolutely love this tee! i normally don't buy two of the same thing, but i bought it in both black and mauve during a december sale. i ordered a size small, and it fits tts. it can be worn with leggings or skinny jeans/cords. i love pairing it with skinny jeans and boots best. it's very slimming and so soft.</v>
      </c>
      <c r="F2147" s="13">
        <f>IFERROR(__xludf.DUMMYFUNCTION("""COMPUTED_VALUE"""),5.0)</f>
        <v>5</v>
      </c>
      <c r="G2147" s="13">
        <f>IFERROR(__xludf.DUMMYFUNCTION("""COMPUTED_VALUE"""),1.0)</f>
        <v>1</v>
      </c>
      <c r="H2147" s="13">
        <f>IFERROR(__xludf.DUMMYFUNCTION("""COMPUTED_VALUE"""),0.0)</f>
        <v>0</v>
      </c>
      <c r="I2147" s="13" t="str">
        <f>IFERROR(__xludf.DUMMYFUNCTION("""COMPUTED_VALUE"""),"General Petite")</f>
        <v>General Petite</v>
      </c>
      <c r="J2147" s="13" t="str">
        <f>IFERROR(__xludf.DUMMYFUNCTION("""COMPUTED_VALUE"""),"Tops")</f>
        <v>Tops</v>
      </c>
      <c r="K2147" s="13" t="str">
        <f>IFERROR(__xludf.DUMMYFUNCTION("""COMPUTED_VALUE"""),"Knits")</f>
        <v>Knits</v>
      </c>
      <c r="L2147" s="13"/>
    </row>
    <row r="2148">
      <c r="A2148" s="13">
        <f>IFERROR(__xludf.DUMMYFUNCTION("""COMPUTED_VALUE"""),2146.0)</f>
        <v>2146</v>
      </c>
      <c r="B2148" s="13">
        <f>IFERROR(__xludf.DUMMYFUNCTION("""COMPUTED_VALUE"""),872.0)</f>
        <v>872</v>
      </c>
      <c r="C2148" s="13">
        <f>IFERROR(__xludf.DUMMYFUNCTION("""COMPUTED_VALUE"""),60.0)</f>
        <v>60</v>
      </c>
      <c r="D2148" s="12" t="str">
        <f>IFERROR(__xludf.DUMMYFUNCTION("""COMPUTED_VALUE"""),"Amazing!")</f>
        <v>Amazing!</v>
      </c>
      <c r="E2148" s="12" t="str">
        <f>IFERROR(__xludf.DUMMYFUNCTION("""COMPUTED_VALUE"""),"This tee is amazing! it is so soft and comfortable. and is great for those of us who are tall, it has great length! i went with a medium because i didn't want it too tight. i really hope that retailer restocks soon because i want to buy one in every color"&amp;"!")</f>
        <v>This tee is amazing! it is so soft and comfortable. and is great for those of us who are tall, it has great length! i went with a medium because i didn't want it too tight. i really hope that retailer restocks soon because i want to buy one in every color!</v>
      </c>
      <c r="F2148" s="13">
        <f>IFERROR(__xludf.DUMMYFUNCTION("""COMPUTED_VALUE"""),5.0)</f>
        <v>5</v>
      </c>
      <c r="G2148" s="13">
        <f>IFERROR(__xludf.DUMMYFUNCTION("""COMPUTED_VALUE"""),1.0)</f>
        <v>1</v>
      </c>
      <c r="H2148" s="13">
        <f>IFERROR(__xludf.DUMMYFUNCTION("""COMPUTED_VALUE"""),0.0)</f>
        <v>0</v>
      </c>
      <c r="I2148" s="13" t="str">
        <f>IFERROR(__xludf.DUMMYFUNCTION("""COMPUTED_VALUE"""),"General Petite")</f>
        <v>General Petite</v>
      </c>
      <c r="J2148" s="13" t="str">
        <f>IFERROR(__xludf.DUMMYFUNCTION("""COMPUTED_VALUE"""),"Tops")</f>
        <v>Tops</v>
      </c>
      <c r="K2148" s="13" t="str">
        <f>IFERROR(__xludf.DUMMYFUNCTION("""COMPUTED_VALUE"""),"Knits")</f>
        <v>Knits</v>
      </c>
      <c r="L2148" s="13"/>
    </row>
    <row r="2149">
      <c r="A2149" s="13">
        <f>IFERROR(__xludf.DUMMYFUNCTION("""COMPUTED_VALUE"""),2147.0)</f>
        <v>2147</v>
      </c>
      <c r="B2149" s="13">
        <f>IFERROR(__xludf.DUMMYFUNCTION("""COMPUTED_VALUE"""),872.0)</f>
        <v>872</v>
      </c>
      <c r="C2149" s="13">
        <f>IFERROR(__xludf.DUMMYFUNCTION("""COMPUTED_VALUE"""),29.0)</f>
        <v>29</v>
      </c>
      <c r="D2149" s="12"/>
      <c r="E2149" s="12" t="str">
        <f>IFERROR(__xludf.DUMMYFUNCTION("""COMPUTED_VALUE"""),"Super comfortable!! i am 34 weeks pregnant and i works great for me now and i think it will be perfect post baby also!")</f>
        <v>Super comfortable!! i am 34 weeks pregnant and i works great for me now and i think it will be perfect post baby also!</v>
      </c>
      <c r="F2149" s="13">
        <f>IFERROR(__xludf.DUMMYFUNCTION("""COMPUTED_VALUE"""),5.0)</f>
        <v>5</v>
      </c>
      <c r="G2149" s="13">
        <f>IFERROR(__xludf.DUMMYFUNCTION("""COMPUTED_VALUE"""),1.0)</f>
        <v>1</v>
      </c>
      <c r="H2149" s="13">
        <f>IFERROR(__xludf.DUMMYFUNCTION("""COMPUTED_VALUE"""),0.0)</f>
        <v>0</v>
      </c>
      <c r="I2149" s="13" t="str">
        <f>IFERROR(__xludf.DUMMYFUNCTION("""COMPUTED_VALUE"""),"General Petite")</f>
        <v>General Petite</v>
      </c>
      <c r="J2149" s="13" t="str">
        <f>IFERROR(__xludf.DUMMYFUNCTION("""COMPUTED_VALUE"""),"Tops")</f>
        <v>Tops</v>
      </c>
      <c r="K2149" s="13" t="str">
        <f>IFERROR(__xludf.DUMMYFUNCTION("""COMPUTED_VALUE"""),"Knits")</f>
        <v>Knits</v>
      </c>
      <c r="L2149" s="13"/>
    </row>
    <row r="2150">
      <c r="A2150" s="13">
        <f>IFERROR(__xludf.DUMMYFUNCTION("""COMPUTED_VALUE"""),2148.0)</f>
        <v>2148</v>
      </c>
      <c r="B2150" s="13">
        <f>IFERROR(__xludf.DUMMYFUNCTION("""COMPUTED_VALUE"""),872.0)</f>
        <v>872</v>
      </c>
      <c r="C2150" s="13">
        <f>IFERROR(__xludf.DUMMYFUNCTION("""COMPUTED_VALUE"""),68.0)</f>
        <v>68</v>
      </c>
      <c r="D2150" s="12" t="str">
        <f>IFERROR(__xludf.DUMMYFUNCTION("""COMPUTED_VALUE"""),"Best basic ever")</f>
        <v>Best basic ever</v>
      </c>
      <c r="E2150" s="12" t="str">
        <f>IFERROR(__xludf.DUMMYFUNCTION("""COMPUTED_VALUE"""),"Like the other reviewers, this is my new favorite tee. it's so freaking soft, and the ribbon down the back just gives a little added flare. pure+good has been one of my staple brands for basics for a while, and i will definitely be buying more colors in t"&amp;"his. the length is perfect for leggings, and it would be cute with jeans too.")</f>
        <v>Like the other reviewers, this is my new favorite tee. it's so freaking soft, and the ribbon down the back just gives a little added flare. pure+good has been one of my staple brands for basics for a while, and i will definitely be buying more colors in this. the length is perfect for leggings, and it would be cute with jeans too.</v>
      </c>
      <c r="F2150" s="13">
        <f>IFERROR(__xludf.DUMMYFUNCTION("""COMPUTED_VALUE"""),5.0)</f>
        <v>5</v>
      </c>
      <c r="G2150" s="13">
        <f>IFERROR(__xludf.DUMMYFUNCTION("""COMPUTED_VALUE"""),1.0)</f>
        <v>1</v>
      </c>
      <c r="H2150" s="13">
        <f>IFERROR(__xludf.DUMMYFUNCTION("""COMPUTED_VALUE"""),3.0)</f>
        <v>3</v>
      </c>
      <c r="I2150" s="13" t="str">
        <f>IFERROR(__xludf.DUMMYFUNCTION("""COMPUTED_VALUE"""),"General Petite")</f>
        <v>General Petite</v>
      </c>
      <c r="J2150" s="13" t="str">
        <f>IFERROR(__xludf.DUMMYFUNCTION("""COMPUTED_VALUE"""),"Tops")</f>
        <v>Tops</v>
      </c>
      <c r="K2150" s="13" t="str">
        <f>IFERROR(__xludf.DUMMYFUNCTION("""COMPUTED_VALUE"""),"Knits")</f>
        <v>Knits</v>
      </c>
      <c r="L2150" s="13"/>
    </row>
    <row r="2151">
      <c r="A2151" s="13">
        <f>IFERROR(__xludf.DUMMYFUNCTION("""COMPUTED_VALUE"""),2149.0)</f>
        <v>2149</v>
      </c>
      <c r="B2151" s="13">
        <f>IFERROR(__xludf.DUMMYFUNCTION("""COMPUTED_VALUE"""),1082.0)</f>
        <v>1082</v>
      </c>
      <c r="C2151" s="13">
        <f>IFERROR(__xludf.DUMMYFUNCTION("""COMPUTED_VALUE"""),36.0)</f>
        <v>36</v>
      </c>
      <c r="D2151" s="12"/>
      <c r="E2151" s="12"/>
      <c r="F2151" s="13">
        <f>IFERROR(__xludf.DUMMYFUNCTION("""COMPUTED_VALUE"""),1.0)</f>
        <v>1</v>
      </c>
      <c r="G2151" s="13">
        <f>IFERROR(__xludf.DUMMYFUNCTION("""COMPUTED_VALUE"""),0.0)</f>
        <v>0</v>
      </c>
      <c r="H2151" s="13">
        <f>IFERROR(__xludf.DUMMYFUNCTION("""COMPUTED_VALUE"""),0.0)</f>
        <v>0</v>
      </c>
      <c r="I2151" s="13" t="str">
        <f>IFERROR(__xludf.DUMMYFUNCTION("""COMPUTED_VALUE"""),"General")</f>
        <v>General</v>
      </c>
      <c r="J2151" s="13" t="str">
        <f>IFERROR(__xludf.DUMMYFUNCTION("""COMPUTED_VALUE"""),"Dresses")</f>
        <v>Dresses</v>
      </c>
      <c r="K2151" s="13" t="str">
        <f>IFERROR(__xludf.DUMMYFUNCTION("""COMPUTED_VALUE"""),"Dresses")</f>
        <v>Dresses</v>
      </c>
      <c r="L2151" s="13"/>
    </row>
    <row r="2152">
      <c r="A2152" s="13">
        <f>IFERROR(__xludf.DUMMYFUNCTION("""COMPUTED_VALUE"""),2150.0)</f>
        <v>2150</v>
      </c>
      <c r="B2152" s="13">
        <f>IFERROR(__xludf.DUMMYFUNCTION("""COMPUTED_VALUE"""),872.0)</f>
        <v>872</v>
      </c>
      <c r="C2152" s="13">
        <f>IFERROR(__xludf.DUMMYFUNCTION("""COMPUTED_VALUE"""),35.0)</f>
        <v>35</v>
      </c>
      <c r="D2152" s="12" t="str">
        <f>IFERROR(__xludf.DUMMYFUNCTION("""COMPUTED_VALUE"""),"Perfect until washed")</f>
        <v>Perfect until washed</v>
      </c>
      <c r="E2152" s="12" t="str">
        <f>IFERROR(__xludf.DUMMYFUNCTION("""COMPUTED_VALUE"""),"Loved this shirt so much that i bought in 3 colors. love the luxurious feel of the silky, flowing fabric that flatters in all the best ways. however, after washing per instructions, the fabric lost its good qualities and turned into a blah, pilled mess th"&amp;"at gathers at the seams (especially the bottom seam). tried dry cleaning another shirt and it came out the same way as washing. looks like a cheap, lackluster layering top now and definitely won't last another season. so disappointed - if you ca")</f>
        <v>Loved this shirt so much that i bought in 3 colors. love the luxurious feel of the silky, flowing fabric that flatters in all the best ways. however, after washing per instructions, the fabric lost its good qualities and turned into a blah, pilled mess that gathers at the seams (especially the bottom seam). tried dry cleaning another shirt and it came out the same way as washing. looks like a cheap, lackluster layering top now and definitely won't last another season. so disappointed - if you ca</v>
      </c>
      <c r="F2152" s="13">
        <f>IFERROR(__xludf.DUMMYFUNCTION("""COMPUTED_VALUE"""),3.0)</f>
        <v>3</v>
      </c>
      <c r="G2152" s="13">
        <f>IFERROR(__xludf.DUMMYFUNCTION("""COMPUTED_VALUE"""),0.0)</f>
        <v>0</v>
      </c>
      <c r="H2152" s="13">
        <f>IFERROR(__xludf.DUMMYFUNCTION("""COMPUTED_VALUE"""),0.0)</f>
        <v>0</v>
      </c>
      <c r="I2152" s="13" t="str">
        <f>IFERROR(__xludf.DUMMYFUNCTION("""COMPUTED_VALUE"""),"General Petite")</f>
        <v>General Petite</v>
      </c>
      <c r="J2152" s="13" t="str">
        <f>IFERROR(__xludf.DUMMYFUNCTION("""COMPUTED_VALUE"""),"Tops")</f>
        <v>Tops</v>
      </c>
      <c r="K2152" s="13" t="str">
        <f>IFERROR(__xludf.DUMMYFUNCTION("""COMPUTED_VALUE"""),"Knits")</f>
        <v>Knits</v>
      </c>
      <c r="L2152" s="13"/>
    </row>
    <row r="2153">
      <c r="A2153" s="13">
        <f>IFERROR(__xludf.DUMMYFUNCTION("""COMPUTED_VALUE"""),2151.0)</f>
        <v>2151</v>
      </c>
      <c r="B2153" s="13">
        <f>IFERROR(__xludf.DUMMYFUNCTION("""COMPUTED_VALUE"""),867.0)</f>
        <v>867</v>
      </c>
      <c r="C2153" s="13">
        <f>IFERROR(__xludf.DUMMYFUNCTION("""COMPUTED_VALUE"""),53.0)</f>
        <v>53</v>
      </c>
      <c r="D2153" s="12"/>
      <c r="E2153" s="12" t="str">
        <f>IFERROR(__xludf.DUMMYFUNCTION("""COMPUTED_VALUE"""),"Cute top and flattering to wear. fits nicely and i'd say true to size. can't wait to wear it.")</f>
        <v>Cute top and flattering to wear. fits nicely and i'd say true to size. can't wait to wear it.</v>
      </c>
      <c r="F2153" s="13">
        <f>IFERROR(__xludf.DUMMYFUNCTION("""COMPUTED_VALUE"""),5.0)</f>
        <v>5</v>
      </c>
      <c r="G2153" s="13">
        <f>IFERROR(__xludf.DUMMYFUNCTION("""COMPUTED_VALUE"""),1.0)</f>
        <v>1</v>
      </c>
      <c r="H2153" s="13">
        <f>IFERROR(__xludf.DUMMYFUNCTION("""COMPUTED_VALUE"""),0.0)</f>
        <v>0</v>
      </c>
      <c r="I2153" s="13" t="str">
        <f>IFERROR(__xludf.DUMMYFUNCTION("""COMPUTED_VALUE"""),"General")</f>
        <v>General</v>
      </c>
      <c r="J2153" s="13" t="str">
        <f>IFERROR(__xludf.DUMMYFUNCTION("""COMPUTED_VALUE"""),"Tops")</f>
        <v>Tops</v>
      </c>
      <c r="K2153" s="13" t="str">
        <f>IFERROR(__xludf.DUMMYFUNCTION("""COMPUTED_VALUE"""),"Knits")</f>
        <v>Knits</v>
      </c>
      <c r="L2153" s="13"/>
    </row>
    <row r="2154">
      <c r="A2154" s="13">
        <f>IFERROR(__xludf.DUMMYFUNCTION("""COMPUTED_VALUE"""),2152.0)</f>
        <v>2152</v>
      </c>
      <c r="B2154" s="13">
        <f>IFERROR(__xludf.DUMMYFUNCTION("""COMPUTED_VALUE"""),940.0)</f>
        <v>940</v>
      </c>
      <c r="C2154" s="13">
        <f>IFERROR(__xludf.DUMMYFUNCTION("""COMPUTED_VALUE"""),37.0)</f>
        <v>37</v>
      </c>
      <c r="D2154" s="12" t="str">
        <f>IFERROR(__xludf.DUMMYFUNCTION("""COMPUTED_VALUE"""),"Not for me")</f>
        <v>Not for me</v>
      </c>
      <c r="E2154" s="12" t="str">
        <f>IFERROR(__xludf.DUMMYFUNCTION("""COMPUTED_VALUE"""),"It breaks my heart to say this but i had to return for shape issues. i am not a fan of dolman sleeves (they make me look big and bulky) and i wished i would have known that prior to purchasing. it is unfortunate because it is a really beautiful knit and q"&amp;"uality. i could see this working better on someone tall and thin.")</f>
        <v>It breaks my heart to say this but i had to return for shape issues. i am not a fan of dolman sleeves (they make me look big and bulky) and i wished i would have known that prior to purchasing. it is unfortunate because it is a really beautiful knit and quality. i could see this working better on someone tall and thin.</v>
      </c>
      <c r="F2154" s="13">
        <f>IFERROR(__xludf.DUMMYFUNCTION("""COMPUTED_VALUE"""),3.0)</f>
        <v>3</v>
      </c>
      <c r="G2154" s="13">
        <f>IFERROR(__xludf.DUMMYFUNCTION("""COMPUTED_VALUE"""),0.0)</f>
        <v>0</v>
      </c>
      <c r="H2154" s="13">
        <f>IFERROR(__xludf.DUMMYFUNCTION("""COMPUTED_VALUE"""),2.0)</f>
        <v>2</v>
      </c>
      <c r="I2154" s="13" t="str">
        <f>IFERROR(__xludf.DUMMYFUNCTION("""COMPUTED_VALUE"""),"General")</f>
        <v>General</v>
      </c>
      <c r="J2154" s="13" t="str">
        <f>IFERROR(__xludf.DUMMYFUNCTION("""COMPUTED_VALUE"""),"Tops")</f>
        <v>Tops</v>
      </c>
      <c r="K2154" s="13" t="str">
        <f>IFERROR(__xludf.DUMMYFUNCTION("""COMPUTED_VALUE"""),"Sweaters")</f>
        <v>Sweaters</v>
      </c>
      <c r="L2154" s="13"/>
    </row>
    <row r="2155">
      <c r="A2155" s="13">
        <f>IFERROR(__xludf.DUMMYFUNCTION("""COMPUTED_VALUE"""),2153.0)</f>
        <v>2153</v>
      </c>
      <c r="B2155" s="13">
        <f>IFERROR(__xludf.DUMMYFUNCTION("""COMPUTED_VALUE"""),1086.0)</f>
        <v>1086</v>
      </c>
      <c r="C2155" s="13">
        <f>IFERROR(__xludf.DUMMYFUNCTION("""COMPUTED_VALUE"""),67.0)</f>
        <v>67</v>
      </c>
      <c r="D2155" s="12" t="str">
        <f>IFERROR(__xludf.DUMMYFUNCTION("""COMPUTED_VALUE"""),"Love it but. . .")</f>
        <v>Love it but. . .</v>
      </c>
      <c r="E2155" s="12" t="str">
        <f>IFERROR(__xludf.DUMMYFUNCTION("""COMPUTED_VALUE"""),"At 5'5"" (almost), 122lbs., i always wear a size small. however this dress runs large (no, i am not smaller than i was 6 months ago) and it looked like a dumpy sack on me. too bad, i really wanted it to fit! it is a slightly heavier fabric than anticipate"&amp;"d, and would be an excellent travel dress. i may try the xs. . .")</f>
        <v>At 5'5" (almost), 122lbs., i always wear a size small. however this dress runs large (no, i am not smaller than i was 6 months ago) and it looked like a dumpy sack on me. too bad, i really wanted it to fit! it is a slightly heavier fabric than anticipated, and would be an excellent travel dress. i may try the xs. . .</v>
      </c>
      <c r="F2155" s="13">
        <f>IFERROR(__xludf.DUMMYFUNCTION("""COMPUTED_VALUE"""),3.0)</f>
        <v>3</v>
      </c>
      <c r="G2155" s="13">
        <f>IFERROR(__xludf.DUMMYFUNCTION("""COMPUTED_VALUE"""),0.0)</f>
        <v>0</v>
      </c>
      <c r="H2155" s="13">
        <f>IFERROR(__xludf.DUMMYFUNCTION("""COMPUTED_VALUE"""),0.0)</f>
        <v>0</v>
      </c>
      <c r="I2155" s="13" t="str">
        <f>IFERROR(__xludf.DUMMYFUNCTION("""COMPUTED_VALUE"""),"General Petite")</f>
        <v>General Petite</v>
      </c>
      <c r="J2155" s="13" t="str">
        <f>IFERROR(__xludf.DUMMYFUNCTION("""COMPUTED_VALUE"""),"Dresses")</f>
        <v>Dresses</v>
      </c>
      <c r="K2155" s="13" t="str">
        <f>IFERROR(__xludf.DUMMYFUNCTION("""COMPUTED_VALUE"""),"Dresses")</f>
        <v>Dresses</v>
      </c>
      <c r="L2155" s="13"/>
    </row>
    <row r="2156">
      <c r="A2156" s="13">
        <f>IFERROR(__xludf.DUMMYFUNCTION("""COMPUTED_VALUE"""),2154.0)</f>
        <v>2154</v>
      </c>
      <c r="B2156" s="13">
        <f>IFERROR(__xludf.DUMMYFUNCTION("""COMPUTED_VALUE"""),160.0)</f>
        <v>160</v>
      </c>
      <c r="C2156" s="13">
        <f>IFERROR(__xludf.DUMMYFUNCTION("""COMPUTED_VALUE"""),23.0)</f>
        <v>23</v>
      </c>
      <c r="D2156" s="12"/>
      <c r="E2156" s="12" t="str">
        <f>IFERROR(__xludf.DUMMYFUNCTION("""COMPUTED_VALUE"""),"Well fitting bra, comfortable (not itchy), lace doesn't show through tops.")</f>
        <v>Well fitting bra, comfortable (not itchy), lace doesn't show through tops.</v>
      </c>
      <c r="F2156" s="13">
        <f>IFERROR(__xludf.DUMMYFUNCTION("""COMPUTED_VALUE"""),5.0)</f>
        <v>5</v>
      </c>
      <c r="G2156" s="13">
        <f>IFERROR(__xludf.DUMMYFUNCTION("""COMPUTED_VALUE"""),1.0)</f>
        <v>1</v>
      </c>
      <c r="H2156" s="13">
        <f>IFERROR(__xludf.DUMMYFUNCTION("""COMPUTED_VALUE"""),1.0)</f>
        <v>1</v>
      </c>
      <c r="I2156" s="13" t="str">
        <f>IFERROR(__xludf.DUMMYFUNCTION("""COMPUTED_VALUE"""),"Initmates")</f>
        <v>Initmates</v>
      </c>
      <c r="J2156" s="13" t="str">
        <f>IFERROR(__xludf.DUMMYFUNCTION("""COMPUTED_VALUE"""),"Intimate")</f>
        <v>Intimate</v>
      </c>
      <c r="K2156" s="13" t="str">
        <f>IFERROR(__xludf.DUMMYFUNCTION("""COMPUTED_VALUE"""),"Intimates")</f>
        <v>Intimates</v>
      </c>
      <c r="L2156" s="13"/>
    </row>
    <row r="2157">
      <c r="A2157" s="13">
        <f>IFERROR(__xludf.DUMMYFUNCTION("""COMPUTED_VALUE"""),2155.0)</f>
        <v>2155</v>
      </c>
      <c r="B2157" s="13">
        <f>IFERROR(__xludf.DUMMYFUNCTION("""COMPUTED_VALUE"""),872.0)</f>
        <v>872</v>
      </c>
      <c r="C2157" s="13">
        <f>IFERROR(__xludf.DUMMYFUNCTION("""COMPUTED_VALUE"""),25.0)</f>
        <v>25</v>
      </c>
      <c r="D2157" s="12" t="str">
        <f>IFERROR(__xludf.DUMMYFUNCTION("""COMPUTED_VALUE"""),"Soft &amp; versatile tee")</f>
        <v>Soft &amp; versatile tee</v>
      </c>
      <c r="E2157" s="12" t="str">
        <f>IFERROR(__xludf.DUMMYFUNCTION("""COMPUTED_VALUE"""),"Purchased in the light grey and was so excited, i wore it the very next day. the back detailing and pocket make it more unique than a regular tee and the fabric is slightly heavy (in a good way) so it hangs beautifully. easily can be dressed up or down. n"&amp;"ew favorite tee!")</f>
        <v>Purchased in the light grey and was so excited, i wore it the very next day. the back detailing and pocket make it more unique than a regular tee and the fabric is slightly heavy (in a good way) so it hangs beautifully. easily can be dressed up or down. new favorite tee!</v>
      </c>
      <c r="F2157" s="13">
        <f>IFERROR(__xludf.DUMMYFUNCTION("""COMPUTED_VALUE"""),5.0)</f>
        <v>5</v>
      </c>
      <c r="G2157" s="13">
        <f>IFERROR(__xludf.DUMMYFUNCTION("""COMPUTED_VALUE"""),1.0)</f>
        <v>1</v>
      </c>
      <c r="H2157" s="13">
        <f>IFERROR(__xludf.DUMMYFUNCTION("""COMPUTED_VALUE"""),0.0)</f>
        <v>0</v>
      </c>
      <c r="I2157" s="13" t="str">
        <f>IFERROR(__xludf.DUMMYFUNCTION("""COMPUTED_VALUE"""),"General Petite")</f>
        <v>General Petite</v>
      </c>
      <c r="J2157" s="13" t="str">
        <f>IFERROR(__xludf.DUMMYFUNCTION("""COMPUTED_VALUE"""),"Tops")</f>
        <v>Tops</v>
      </c>
      <c r="K2157" s="13" t="str">
        <f>IFERROR(__xludf.DUMMYFUNCTION("""COMPUTED_VALUE"""),"Knits")</f>
        <v>Knits</v>
      </c>
      <c r="L2157" s="13"/>
    </row>
    <row r="2158">
      <c r="A2158" s="13">
        <f>IFERROR(__xludf.DUMMYFUNCTION("""COMPUTED_VALUE"""),2156.0)</f>
        <v>2156</v>
      </c>
      <c r="B2158" s="13">
        <f>IFERROR(__xludf.DUMMYFUNCTION("""COMPUTED_VALUE"""),872.0)</f>
        <v>872</v>
      </c>
      <c r="C2158" s="13">
        <f>IFERROR(__xludf.DUMMYFUNCTION("""COMPUTED_VALUE"""),62.0)</f>
        <v>62</v>
      </c>
      <c r="D2158" s="12" t="str">
        <f>IFERROR(__xludf.DUMMYFUNCTION("""COMPUTED_VALUE"""),"Need them all!")</f>
        <v>Need them all!</v>
      </c>
      <c r="E2158" s="12" t="str">
        <f>IFERROR(__xludf.DUMMYFUNCTION("""COMPUTED_VALUE"""),"Ordered this on a whim while taking advantage of a promotion, and now need one in every color! the weight and cut is perfect for fall/winter/summer - not too heavy, but not sheer/tissue thin; fitted enough to look super cute with leggings or skinny jeans."&amp;" fabric has a nice quality feel to it - i have similar shirts from the past that have held up well in the wash. i'm anticipating the same with this.")</f>
        <v>Ordered this on a whim while taking advantage of a promotion, and now need one in every color! the weight and cut is perfect for fall/winter/summer - not too heavy, but not sheer/tissue thin; fitted enough to look super cute with leggings or skinny jeans. fabric has a nice quality feel to it - i have similar shirts from the past that have held up well in the wash. i'm anticipating the same with this.</v>
      </c>
      <c r="F2158" s="13">
        <f>IFERROR(__xludf.DUMMYFUNCTION("""COMPUTED_VALUE"""),5.0)</f>
        <v>5</v>
      </c>
      <c r="G2158" s="13">
        <f>IFERROR(__xludf.DUMMYFUNCTION("""COMPUTED_VALUE"""),1.0)</f>
        <v>1</v>
      </c>
      <c r="H2158" s="13">
        <f>IFERROR(__xludf.DUMMYFUNCTION("""COMPUTED_VALUE"""),1.0)</f>
        <v>1</v>
      </c>
      <c r="I2158" s="13" t="str">
        <f>IFERROR(__xludf.DUMMYFUNCTION("""COMPUTED_VALUE"""),"General Petite")</f>
        <v>General Petite</v>
      </c>
      <c r="J2158" s="13" t="str">
        <f>IFERROR(__xludf.DUMMYFUNCTION("""COMPUTED_VALUE"""),"Tops")</f>
        <v>Tops</v>
      </c>
      <c r="K2158" s="13" t="str">
        <f>IFERROR(__xludf.DUMMYFUNCTION("""COMPUTED_VALUE"""),"Knits")</f>
        <v>Knits</v>
      </c>
      <c r="L2158" s="13"/>
    </row>
    <row r="2159">
      <c r="A2159" s="13">
        <f>IFERROR(__xludf.DUMMYFUNCTION("""COMPUTED_VALUE"""),2157.0)</f>
        <v>2157</v>
      </c>
      <c r="B2159" s="13">
        <f>IFERROR(__xludf.DUMMYFUNCTION("""COMPUTED_VALUE"""),872.0)</f>
        <v>872</v>
      </c>
      <c r="C2159" s="13">
        <f>IFERROR(__xludf.DUMMYFUNCTION("""COMPUTED_VALUE"""),35.0)</f>
        <v>35</v>
      </c>
      <c r="D2159" s="12" t="str">
        <f>IFERROR(__xludf.DUMMYFUNCTION("""COMPUTED_VALUE"""),"Best. tee. ever.")</f>
        <v>Best. tee. ever.</v>
      </c>
      <c r="E2159" s="12" t="str">
        <f>IFERROR(__xludf.DUMMYFUNCTION("""COMPUTED_VALUE"""),"Oh my! i love this tee. it is super soft. i love how it doesn't look like a sack with no shape. i can't wait to get more colors. i am tall plus have a long torso and it still is long enough for me so this is definitely a win!")</f>
        <v>Oh my! i love this tee. it is super soft. i love how it doesn't look like a sack with no shape. i can't wait to get more colors. i am tall plus have a long torso and it still is long enough for me so this is definitely a win!</v>
      </c>
      <c r="F2159" s="13">
        <f>IFERROR(__xludf.DUMMYFUNCTION("""COMPUTED_VALUE"""),5.0)</f>
        <v>5</v>
      </c>
      <c r="G2159" s="13">
        <f>IFERROR(__xludf.DUMMYFUNCTION("""COMPUTED_VALUE"""),1.0)</f>
        <v>1</v>
      </c>
      <c r="H2159" s="13">
        <f>IFERROR(__xludf.DUMMYFUNCTION("""COMPUTED_VALUE"""),0.0)</f>
        <v>0</v>
      </c>
      <c r="I2159" s="13" t="str">
        <f>IFERROR(__xludf.DUMMYFUNCTION("""COMPUTED_VALUE"""),"General Petite")</f>
        <v>General Petite</v>
      </c>
      <c r="J2159" s="13" t="str">
        <f>IFERROR(__xludf.DUMMYFUNCTION("""COMPUTED_VALUE"""),"Tops")</f>
        <v>Tops</v>
      </c>
      <c r="K2159" s="13" t="str">
        <f>IFERROR(__xludf.DUMMYFUNCTION("""COMPUTED_VALUE"""),"Knits")</f>
        <v>Knits</v>
      </c>
      <c r="L2159" s="13"/>
    </row>
    <row r="2160">
      <c r="A2160" s="13">
        <f>IFERROR(__xludf.DUMMYFUNCTION("""COMPUTED_VALUE"""),2158.0)</f>
        <v>2158</v>
      </c>
      <c r="B2160" s="13">
        <f>IFERROR(__xludf.DUMMYFUNCTION("""COMPUTED_VALUE"""),1052.0)</f>
        <v>1052</v>
      </c>
      <c r="C2160" s="13">
        <f>IFERROR(__xludf.DUMMYFUNCTION("""COMPUTED_VALUE"""),46.0)</f>
        <v>46</v>
      </c>
      <c r="D2160" s="12" t="str">
        <f>IFERROR(__xludf.DUMMYFUNCTION("""COMPUTED_VALUE"""),"Love, but different colors fit differently")</f>
        <v>Love, but different colors fit differently</v>
      </c>
      <c r="E2160" s="12" t="str">
        <f>IFERROR(__xludf.DUMMYFUNCTION("""COMPUTED_VALUE"""),"I love these joggers. they are stylish, comfortable and high quality. my one complaint is that the sizing appears different for different colors. 
i got them in the green/moss color,. i immediately wore them casually with flats, a t, &amp; a long silver neck"&amp;"lace. that night, i literally just changed into a long, flowy silk cami and high suede black shoes with the joggers and wore them out- feeling comfy and pulled together (favorite combination). 
i loved them so much i decided to try the othe")</f>
        <v>I love these joggers. they are stylish, comfortable and high quality. my one complaint is that the sizing appears different for different colors. 
i got them in the green/moss color,. i immediately wore them casually with flats, a t, &amp; a long silver necklace. that night, i literally just changed into a long, flowy silk cami and high suede black shoes with the joggers and wore them out- feeling comfy and pulled together (favorite combination). 
i loved them so much i decided to try the othe</v>
      </c>
      <c r="F2160" s="13">
        <f>IFERROR(__xludf.DUMMYFUNCTION("""COMPUTED_VALUE"""),4.0)</f>
        <v>4</v>
      </c>
      <c r="G2160" s="13">
        <f>IFERROR(__xludf.DUMMYFUNCTION("""COMPUTED_VALUE"""),1.0)</f>
        <v>1</v>
      </c>
      <c r="H2160" s="13">
        <f>IFERROR(__xludf.DUMMYFUNCTION("""COMPUTED_VALUE"""),1.0)</f>
        <v>1</v>
      </c>
      <c r="I2160" s="13" t="str">
        <f>IFERROR(__xludf.DUMMYFUNCTION("""COMPUTED_VALUE"""),"General")</f>
        <v>General</v>
      </c>
      <c r="J2160" s="13" t="str">
        <f>IFERROR(__xludf.DUMMYFUNCTION("""COMPUTED_VALUE"""),"Bottoms")</f>
        <v>Bottoms</v>
      </c>
      <c r="K2160" s="13" t="str">
        <f>IFERROR(__xludf.DUMMYFUNCTION("""COMPUTED_VALUE"""),"Pants")</f>
        <v>Pants</v>
      </c>
      <c r="L2160" s="13"/>
    </row>
    <row r="2161">
      <c r="A2161" s="13">
        <f>IFERROR(__xludf.DUMMYFUNCTION("""COMPUTED_VALUE"""),2159.0)</f>
        <v>2159</v>
      </c>
      <c r="B2161" s="13">
        <f>IFERROR(__xludf.DUMMYFUNCTION("""COMPUTED_VALUE"""),1086.0)</f>
        <v>1086</v>
      </c>
      <c r="C2161" s="13">
        <f>IFERROR(__xludf.DUMMYFUNCTION("""COMPUTED_VALUE"""),39.0)</f>
        <v>39</v>
      </c>
      <c r="D2161" s="12" t="str">
        <f>IFERROR(__xludf.DUMMYFUNCTION("""COMPUTED_VALUE"""),"Lovely color")</f>
        <v>Lovely color</v>
      </c>
      <c r="E2161" s="12" t="str">
        <f>IFERROR(__xludf.DUMMYFUNCTION("""COMPUTED_VALUE"""),"I ordered this as it was either in stylist pick or top rated, cant' remember which, but i must say, ti was very nice on. a little loose, but the petite sizes are sold out, so i ordered the xs (petite might have been too short...) the cut is feminine, not "&amp;"figure hugging, but still flattering. i can see wearing this in the fall with boots and a cardigan, not just summer with sandals, so i decided to keep it.
 115 lbs, 30dd, 26.5 in waist.")</f>
        <v>I ordered this as it was either in stylist pick or top rated, cant' remember which, but i must say, ti was very nice on. a little loose, but the petite sizes are sold out, so i ordered the xs (petite might have been too short...) the cut is feminine, not figure hugging, but still flattering. i can see wearing this in the fall with boots and a cardigan, not just summer with sandals, so i decided to keep it.
 115 lbs, 30dd, 26.5 in waist.</v>
      </c>
      <c r="F2161" s="13">
        <f>IFERROR(__xludf.DUMMYFUNCTION("""COMPUTED_VALUE"""),4.0)</f>
        <v>4</v>
      </c>
      <c r="G2161" s="13">
        <f>IFERROR(__xludf.DUMMYFUNCTION("""COMPUTED_VALUE"""),1.0)</f>
        <v>1</v>
      </c>
      <c r="H2161" s="13">
        <f>IFERROR(__xludf.DUMMYFUNCTION("""COMPUTED_VALUE"""),2.0)</f>
        <v>2</v>
      </c>
      <c r="I2161" s="13" t="str">
        <f>IFERROR(__xludf.DUMMYFUNCTION("""COMPUTED_VALUE"""),"General Petite")</f>
        <v>General Petite</v>
      </c>
      <c r="J2161" s="13" t="str">
        <f>IFERROR(__xludf.DUMMYFUNCTION("""COMPUTED_VALUE"""),"Dresses")</f>
        <v>Dresses</v>
      </c>
      <c r="K2161" s="13" t="str">
        <f>IFERROR(__xludf.DUMMYFUNCTION("""COMPUTED_VALUE"""),"Dresses")</f>
        <v>Dresses</v>
      </c>
      <c r="L2161" s="13"/>
    </row>
    <row r="2162">
      <c r="A2162" s="13">
        <f>IFERROR(__xludf.DUMMYFUNCTION("""COMPUTED_VALUE"""),2160.0)</f>
        <v>2160</v>
      </c>
      <c r="B2162" s="13">
        <f>IFERROR(__xludf.DUMMYFUNCTION("""COMPUTED_VALUE"""),872.0)</f>
        <v>872</v>
      </c>
      <c r="C2162" s="13">
        <f>IFERROR(__xludf.DUMMYFUNCTION("""COMPUTED_VALUE"""),65.0)</f>
        <v>65</v>
      </c>
      <c r="D2162" s="12"/>
      <c r="E2162" s="12"/>
      <c r="F2162" s="13">
        <f>IFERROR(__xludf.DUMMYFUNCTION("""COMPUTED_VALUE"""),5.0)</f>
        <v>5</v>
      </c>
      <c r="G2162" s="13">
        <f>IFERROR(__xludf.DUMMYFUNCTION("""COMPUTED_VALUE"""),1.0)</f>
        <v>1</v>
      </c>
      <c r="H2162" s="13">
        <f>IFERROR(__xludf.DUMMYFUNCTION("""COMPUTED_VALUE"""),0.0)</f>
        <v>0</v>
      </c>
      <c r="I2162" s="13" t="str">
        <f>IFERROR(__xludf.DUMMYFUNCTION("""COMPUTED_VALUE"""),"General Petite")</f>
        <v>General Petite</v>
      </c>
      <c r="J2162" s="13" t="str">
        <f>IFERROR(__xludf.DUMMYFUNCTION("""COMPUTED_VALUE"""),"Tops")</f>
        <v>Tops</v>
      </c>
      <c r="K2162" s="13" t="str">
        <f>IFERROR(__xludf.DUMMYFUNCTION("""COMPUTED_VALUE"""),"Knits")</f>
        <v>Knits</v>
      </c>
      <c r="L2162" s="13"/>
    </row>
    <row r="2163">
      <c r="A2163" s="13">
        <f>IFERROR(__xludf.DUMMYFUNCTION("""COMPUTED_VALUE"""),2161.0)</f>
        <v>2161</v>
      </c>
      <c r="B2163" s="13">
        <f>IFERROR(__xludf.DUMMYFUNCTION("""COMPUTED_VALUE"""),872.0)</f>
        <v>872</v>
      </c>
      <c r="C2163" s="13">
        <f>IFERROR(__xludf.DUMMYFUNCTION("""COMPUTED_VALUE"""),30.0)</f>
        <v>30</v>
      </c>
      <c r="D2163" s="12" t="str">
        <f>IFERROR(__xludf.DUMMYFUNCTION("""COMPUTED_VALUE"""),"Comfort and style to the max!")</f>
        <v>Comfort and style to the max!</v>
      </c>
      <c r="E2163" s="12" t="str">
        <f>IFERROR(__xludf.DUMMYFUNCTION("""COMPUTED_VALUE"""),"Love this shirt. i am 5'8 and have a slender torso and the small fits perfectly. i love that it's long so you can wear it as a single shirt or use it as an extra layer. i also have a grey druzy necklace to dress this puppy up. purchased it in black and th"&amp;"is will be a new staple.")</f>
        <v>Love this shirt. i am 5'8 and have a slender torso and the small fits perfectly. i love that it's long so you can wear it as a single shirt or use it as an extra layer. i also have a grey druzy necklace to dress this puppy up. purchased it in black and this will be a new staple.</v>
      </c>
      <c r="F2163" s="13">
        <f>IFERROR(__xludf.DUMMYFUNCTION("""COMPUTED_VALUE"""),5.0)</f>
        <v>5</v>
      </c>
      <c r="G2163" s="13">
        <f>IFERROR(__xludf.DUMMYFUNCTION("""COMPUTED_VALUE"""),1.0)</f>
        <v>1</v>
      </c>
      <c r="H2163" s="13">
        <f>IFERROR(__xludf.DUMMYFUNCTION("""COMPUTED_VALUE"""),0.0)</f>
        <v>0</v>
      </c>
      <c r="I2163" s="13" t="str">
        <f>IFERROR(__xludf.DUMMYFUNCTION("""COMPUTED_VALUE"""),"General Petite")</f>
        <v>General Petite</v>
      </c>
      <c r="J2163" s="13" t="str">
        <f>IFERROR(__xludf.DUMMYFUNCTION("""COMPUTED_VALUE"""),"Tops")</f>
        <v>Tops</v>
      </c>
      <c r="K2163" s="13" t="str">
        <f>IFERROR(__xludf.DUMMYFUNCTION("""COMPUTED_VALUE"""),"Knits")</f>
        <v>Knits</v>
      </c>
      <c r="L2163" s="13"/>
    </row>
    <row r="2164">
      <c r="A2164" s="13">
        <f>IFERROR(__xludf.DUMMYFUNCTION("""COMPUTED_VALUE"""),2162.0)</f>
        <v>2162</v>
      </c>
      <c r="B2164" s="13">
        <f>IFERROR(__xludf.DUMMYFUNCTION("""COMPUTED_VALUE"""),872.0)</f>
        <v>872</v>
      </c>
      <c r="C2164" s="13">
        <f>IFERROR(__xludf.DUMMYFUNCTION("""COMPUTED_VALUE"""),48.0)</f>
        <v>48</v>
      </c>
      <c r="D2164" s="12" t="str">
        <f>IFERROR(__xludf.DUMMYFUNCTION("""COMPUTED_VALUE"""),"Nice but 5% spandex makes it a bit clingy")</f>
        <v>Nice but 5% spandex makes it a bit clingy</v>
      </c>
      <c r="E2164" s="12" t="str">
        <f>IFERROR(__xludf.DUMMYFUNCTION("""COMPUTED_VALUE"""),"This top is much nicer than expected.....the fabric and style are great. i am a size small or medium, and got the small. from the front, it was great. not so much from the back for me. i'm larger on top than bottom and the 5% spandex made it too clingy ar"&amp;"ound the dreaded bra fat area. i don't wear spanx. i wish retailer would be more specific with the fabric content. if i'd known it was 5% spandex, i would have ordered a size medium. i am thinking about doing this because the top is really")</f>
        <v>This top is much nicer than expected.....the fabric and style are great. i am a size small or medium, and got the small. from the front, it was great. not so much from the back for me. i'm larger on top than bottom and the 5% spandex made it too clingy around the dreaded bra fat area. i don't wear spanx. i wish retailer would be more specific with the fabric content. if i'd known it was 5% spandex, i would have ordered a size medium. i am thinking about doing this because the top is really</v>
      </c>
      <c r="F2164" s="13">
        <f>IFERROR(__xludf.DUMMYFUNCTION("""COMPUTED_VALUE"""),4.0)</f>
        <v>4</v>
      </c>
      <c r="G2164" s="13">
        <f>IFERROR(__xludf.DUMMYFUNCTION("""COMPUTED_VALUE"""),1.0)</f>
        <v>1</v>
      </c>
      <c r="H2164" s="13">
        <f>IFERROR(__xludf.DUMMYFUNCTION("""COMPUTED_VALUE"""),2.0)</f>
        <v>2</v>
      </c>
      <c r="I2164" s="13" t="str">
        <f>IFERROR(__xludf.DUMMYFUNCTION("""COMPUTED_VALUE"""),"General Petite")</f>
        <v>General Petite</v>
      </c>
      <c r="J2164" s="13" t="str">
        <f>IFERROR(__xludf.DUMMYFUNCTION("""COMPUTED_VALUE"""),"Tops")</f>
        <v>Tops</v>
      </c>
      <c r="K2164" s="13" t="str">
        <f>IFERROR(__xludf.DUMMYFUNCTION("""COMPUTED_VALUE"""),"Knits")</f>
        <v>Knits</v>
      </c>
      <c r="L2164" s="13"/>
    </row>
    <row r="2165">
      <c r="A2165" s="13">
        <f>IFERROR(__xludf.DUMMYFUNCTION("""COMPUTED_VALUE"""),2163.0)</f>
        <v>2163</v>
      </c>
      <c r="B2165" s="13">
        <f>IFERROR(__xludf.DUMMYFUNCTION("""COMPUTED_VALUE"""),984.0)</f>
        <v>984</v>
      </c>
      <c r="C2165" s="13">
        <f>IFERROR(__xludf.DUMMYFUNCTION("""COMPUTED_VALUE"""),59.0)</f>
        <v>59</v>
      </c>
      <c r="D2165" s="12" t="str">
        <f>IFERROR(__xludf.DUMMYFUNCTION("""COMPUTED_VALUE"""),"Cute...")</f>
        <v>Cute...</v>
      </c>
      <c r="E2165" s="12" t="str">
        <f>IFERROR(__xludf.DUMMYFUNCTION("""COMPUTED_VALUE"""),"This jacket was a gift for my daughter,it fit like a glove and she loved it !")</f>
        <v>This jacket was a gift for my daughter,it fit like a glove and she loved it !</v>
      </c>
      <c r="F2165" s="13">
        <f>IFERROR(__xludf.DUMMYFUNCTION("""COMPUTED_VALUE"""),5.0)</f>
        <v>5</v>
      </c>
      <c r="G2165" s="13">
        <f>IFERROR(__xludf.DUMMYFUNCTION("""COMPUTED_VALUE"""),1.0)</f>
        <v>1</v>
      </c>
      <c r="H2165" s="13">
        <f>IFERROR(__xludf.DUMMYFUNCTION("""COMPUTED_VALUE"""),1.0)</f>
        <v>1</v>
      </c>
      <c r="I2165" s="13" t="str">
        <f>IFERROR(__xludf.DUMMYFUNCTION("""COMPUTED_VALUE"""),"General")</f>
        <v>General</v>
      </c>
      <c r="J2165" s="13" t="str">
        <f>IFERROR(__xludf.DUMMYFUNCTION("""COMPUTED_VALUE"""),"Jackets")</f>
        <v>Jackets</v>
      </c>
      <c r="K2165" s="13" t="str">
        <f>IFERROR(__xludf.DUMMYFUNCTION("""COMPUTED_VALUE"""),"Jackets")</f>
        <v>Jackets</v>
      </c>
      <c r="L2165" s="13"/>
    </row>
    <row r="2166">
      <c r="A2166" s="13">
        <f>IFERROR(__xludf.DUMMYFUNCTION("""COMPUTED_VALUE"""),2164.0)</f>
        <v>2164</v>
      </c>
      <c r="B2166" s="13">
        <f>IFERROR(__xludf.DUMMYFUNCTION("""COMPUTED_VALUE"""),867.0)</f>
        <v>867</v>
      </c>
      <c r="C2166" s="13">
        <f>IFERROR(__xludf.DUMMYFUNCTION("""COMPUTED_VALUE"""),53.0)</f>
        <v>53</v>
      </c>
      <c r="D2166" s="12" t="str">
        <f>IFERROR(__xludf.DUMMYFUNCTION("""COMPUTED_VALUE"""),"Confortable - simple")</f>
        <v>Confortable - simple</v>
      </c>
      <c r="E2166" s="12" t="str">
        <f>IFERROR(__xludf.DUMMYFUNCTION("""COMPUTED_VALUE"""),"This top is so soft and comfortable. i bought it on sale, so would i have paid $60 for it . . . . not sure. fits true to size, what can i say its a simple top, well made and so soft.")</f>
        <v>This top is so soft and comfortable. i bought it on sale, so would i have paid $60 for it . . . . not sure. fits true to size, what can i say its a simple top, well made and so soft.</v>
      </c>
      <c r="F2166" s="13">
        <f>IFERROR(__xludf.DUMMYFUNCTION("""COMPUTED_VALUE"""),5.0)</f>
        <v>5</v>
      </c>
      <c r="G2166" s="13">
        <f>IFERROR(__xludf.DUMMYFUNCTION("""COMPUTED_VALUE"""),1.0)</f>
        <v>1</v>
      </c>
      <c r="H2166" s="13">
        <f>IFERROR(__xludf.DUMMYFUNCTION("""COMPUTED_VALUE"""),0.0)</f>
        <v>0</v>
      </c>
      <c r="I2166" s="13" t="str">
        <f>IFERROR(__xludf.DUMMYFUNCTION("""COMPUTED_VALUE"""),"General Petite")</f>
        <v>General Petite</v>
      </c>
      <c r="J2166" s="13" t="str">
        <f>IFERROR(__xludf.DUMMYFUNCTION("""COMPUTED_VALUE"""),"Tops")</f>
        <v>Tops</v>
      </c>
      <c r="K2166" s="13" t="str">
        <f>IFERROR(__xludf.DUMMYFUNCTION("""COMPUTED_VALUE"""),"Knits")</f>
        <v>Knits</v>
      </c>
      <c r="L2166" s="13"/>
    </row>
    <row r="2167">
      <c r="A2167" s="13">
        <f>IFERROR(__xludf.DUMMYFUNCTION("""COMPUTED_VALUE"""),2165.0)</f>
        <v>2165</v>
      </c>
      <c r="B2167" s="13">
        <f>IFERROR(__xludf.DUMMYFUNCTION("""COMPUTED_VALUE"""),940.0)</f>
        <v>940</v>
      </c>
      <c r="C2167" s="13">
        <f>IFERROR(__xludf.DUMMYFUNCTION("""COMPUTED_VALUE"""),46.0)</f>
        <v>46</v>
      </c>
      <c r="D2167" s="12" t="str">
        <f>IFERROR(__xludf.DUMMYFUNCTION("""COMPUTED_VALUE"""),"Didn't fit well for me, awkward and dull")</f>
        <v>Didn't fit well for me, awkward and dull</v>
      </c>
      <c r="E2167" s="12" t="str">
        <f>IFERROR(__xludf.DUMMYFUNCTION("""COMPUTED_VALUE"""),"I ordered this and hoped it would be a fun &amp; whimsical sweater for this winter. instead, it's just strange. it didn't fit well. too short in the overall length &amp; in the sleeves. the shades of the yarn were drab. it also didn't seem made to last. it looked"&amp;" like it would pill/snag in a short amount of time. i returned it. i'd love to see a style similar to this executed better in the future. having a unique sleeve is a cute idea.")</f>
        <v>I ordered this and hoped it would be a fun &amp; whimsical sweater for this winter. instead, it's just strange. it didn't fit well. too short in the overall length &amp; in the sleeves. the shades of the yarn were drab. it also didn't seem made to last. it looked like it would pill/snag in a short amount of time. i returned it. i'd love to see a style similar to this executed better in the future. having a unique sleeve is a cute idea.</v>
      </c>
      <c r="F2167" s="13">
        <f>IFERROR(__xludf.DUMMYFUNCTION("""COMPUTED_VALUE"""),2.0)</f>
        <v>2</v>
      </c>
      <c r="G2167" s="13">
        <f>IFERROR(__xludf.DUMMYFUNCTION("""COMPUTED_VALUE"""),0.0)</f>
        <v>0</v>
      </c>
      <c r="H2167" s="13">
        <f>IFERROR(__xludf.DUMMYFUNCTION("""COMPUTED_VALUE"""),2.0)</f>
        <v>2</v>
      </c>
      <c r="I2167" s="13" t="str">
        <f>IFERROR(__xludf.DUMMYFUNCTION("""COMPUTED_VALUE"""),"General")</f>
        <v>General</v>
      </c>
      <c r="J2167" s="13" t="str">
        <f>IFERROR(__xludf.DUMMYFUNCTION("""COMPUTED_VALUE"""),"Tops")</f>
        <v>Tops</v>
      </c>
      <c r="K2167" s="13" t="str">
        <f>IFERROR(__xludf.DUMMYFUNCTION("""COMPUTED_VALUE"""),"Sweaters")</f>
        <v>Sweaters</v>
      </c>
      <c r="L2167" s="13"/>
    </row>
    <row r="2168">
      <c r="A2168" s="13">
        <f>IFERROR(__xludf.DUMMYFUNCTION("""COMPUTED_VALUE"""),2166.0)</f>
        <v>2166</v>
      </c>
      <c r="B2168" s="13">
        <f>IFERROR(__xludf.DUMMYFUNCTION("""COMPUTED_VALUE"""),872.0)</f>
        <v>872</v>
      </c>
      <c r="C2168" s="13">
        <f>IFERROR(__xludf.DUMMYFUNCTION("""COMPUTED_VALUE"""),33.0)</f>
        <v>33</v>
      </c>
      <c r="D2168" s="12" t="str">
        <f>IFERROR(__xludf.DUMMYFUNCTION("""COMPUTED_VALUE"""),"Luxurious basic tee")</f>
        <v>Luxurious basic tee</v>
      </c>
      <c r="E2168" s="12" t="str">
        <f>IFERROR(__xludf.DUMMYFUNCTION("""COMPUTED_VALUE"""),"I love simplicity in clothing and this tee fits the bill! i put it on and instantly feel basic elegance.")</f>
        <v>I love simplicity in clothing and this tee fits the bill! i put it on and instantly feel basic elegance.</v>
      </c>
      <c r="F2168" s="13">
        <f>IFERROR(__xludf.DUMMYFUNCTION("""COMPUTED_VALUE"""),5.0)</f>
        <v>5</v>
      </c>
      <c r="G2168" s="13">
        <f>IFERROR(__xludf.DUMMYFUNCTION("""COMPUTED_VALUE"""),1.0)</f>
        <v>1</v>
      </c>
      <c r="H2168" s="13">
        <f>IFERROR(__xludf.DUMMYFUNCTION("""COMPUTED_VALUE"""),0.0)</f>
        <v>0</v>
      </c>
      <c r="I2168" s="13" t="str">
        <f>IFERROR(__xludf.DUMMYFUNCTION("""COMPUTED_VALUE"""),"General Petite")</f>
        <v>General Petite</v>
      </c>
      <c r="J2168" s="13" t="str">
        <f>IFERROR(__xludf.DUMMYFUNCTION("""COMPUTED_VALUE"""),"Tops")</f>
        <v>Tops</v>
      </c>
      <c r="K2168" s="13" t="str">
        <f>IFERROR(__xludf.DUMMYFUNCTION("""COMPUTED_VALUE"""),"Knits")</f>
        <v>Knits</v>
      </c>
      <c r="L2168" s="13"/>
    </row>
    <row r="2169">
      <c r="A2169" s="13">
        <f>IFERROR(__xludf.DUMMYFUNCTION("""COMPUTED_VALUE"""),2167.0)</f>
        <v>2167</v>
      </c>
      <c r="B2169" s="13">
        <f>IFERROR(__xludf.DUMMYFUNCTION("""COMPUTED_VALUE"""),872.0)</f>
        <v>872</v>
      </c>
      <c r="C2169" s="13">
        <f>IFERROR(__xludf.DUMMYFUNCTION("""COMPUTED_VALUE"""),49.0)</f>
        <v>49</v>
      </c>
      <c r="D2169" s="12" t="str">
        <f>IFERROR(__xludf.DUMMYFUNCTION("""COMPUTED_VALUE"""),"Awesome shirt")</f>
        <v>Awesome shirt</v>
      </c>
      <c r="E2169" s="12" t="str">
        <f>IFERROR(__xludf.DUMMYFUNCTION("""COMPUTED_VALUE"""),"I am 5'10"", 130 pounds. a medium is a perfect fit for me. i love it! not so sheer that i feel that i need to wear a cami underneath, sleeves are long, and it is so, so, so soft. the scoop neck shows just the right amount without being too revealing. i am"&amp;" buying one in every color.")</f>
        <v>I am 5'10", 130 pounds. a medium is a perfect fit for me. i love it! not so sheer that i feel that i need to wear a cami underneath, sleeves are long, and it is so, so, so soft. the scoop neck shows just the right amount without being too revealing. i am buying one in every color.</v>
      </c>
      <c r="F2169" s="13">
        <f>IFERROR(__xludf.DUMMYFUNCTION("""COMPUTED_VALUE"""),5.0)</f>
        <v>5</v>
      </c>
      <c r="G2169" s="13">
        <f>IFERROR(__xludf.DUMMYFUNCTION("""COMPUTED_VALUE"""),1.0)</f>
        <v>1</v>
      </c>
      <c r="H2169" s="13">
        <f>IFERROR(__xludf.DUMMYFUNCTION("""COMPUTED_VALUE"""),0.0)</f>
        <v>0</v>
      </c>
      <c r="I2169" s="13" t="str">
        <f>IFERROR(__xludf.DUMMYFUNCTION("""COMPUTED_VALUE"""),"General")</f>
        <v>General</v>
      </c>
      <c r="J2169" s="13" t="str">
        <f>IFERROR(__xludf.DUMMYFUNCTION("""COMPUTED_VALUE"""),"Tops")</f>
        <v>Tops</v>
      </c>
      <c r="K2169" s="13" t="str">
        <f>IFERROR(__xludf.DUMMYFUNCTION("""COMPUTED_VALUE"""),"Knits")</f>
        <v>Knits</v>
      </c>
      <c r="L2169" s="13"/>
    </row>
    <row r="2170">
      <c r="A2170" s="13">
        <f>IFERROR(__xludf.DUMMYFUNCTION("""COMPUTED_VALUE"""),2168.0)</f>
        <v>2168</v>
      </c>
      <c r="B2170" s="13">
        <f>IFERROR(__xludf.DUMMYFUNCTION("""COMPUTED_VALUE"""),867.0)</f>
        <v>867</v>
      </c>
      <c r="C2170" s="13">
        <f>IFERROR(__xludf.DUMMYFUNCTION("""COMPUTED_VALUE"""),36.0)</f>
        <v>36</v>
      </c>
      <c r="D2170" s="12" t="str">
        <f>IFERROR(__xludf.DUMMYFUNCTION("""COMPUTED_VALUE"""),"Beautiful")</f>
        <v>Beautiful</v>
      </c>
      <c r="E2170" s="12" t="str">
        <f>IFERROR(__xludf.DUMMYFUNCTION("""COMPUTED_VALUE"""),"Fits great! love soft material. love with skinny jeans brown boots")</f>
        <v>Fits great! love soft material. love with skinny jeans brown boots</v>
      </c>
      <c r="F2170" s="13">
        <f>IFERROR(__xludf.DUMMYFUNCTION("""COMPUTED_VALUE"""),5.0)</f>
        <v>5</v>
      </c>
      <c r="G2170" s="13">
        <f>IFERROR(__xludf.DUMMYFUNCTION("""COMPUTED_VALUE"""),1.0)</f>
        <v>1</v>
      </c>
      <c r="H2170" s="13">
        <f>IFERROR(__xludf.DUMMYFUNCTION("""COMPUTED_VALUE"""),0.0)</f>
        <v>0</v>
      </c>
      <c r="I2170" s="13" t="str">
        <f>IFERROR(__xludf.DUMMYFUNCTION("""COMPUTED_VALUE"""),"General Petite")</f>
        <v>General Petite</v>
      </c>
      <c r="J2170" s="13" t="str">
        <f>IFERROR(__xludf.DUMMYFUNCTION("""COMPUTED_VALUE"""),"Tops")</f>
        <v>Tops</v>
      </c>
      <c r="K2170" s="13" t="str">
        <f>IFERROR(__xludf.DUMMYFUNCTION("""COMPUTED_VALUE"""),"Knits")</f>
        <v>Knits</v>
      </c>
      <c r="L2170" s="13"/>
    </row>
    <row r="2171">
      <c r="A2171" s="13">
        <f>IFERROR(__xludf.DUMMYFUNCTION("""COMPUTED_VALUE"""),2169.0)</f>
        <v>2169</v>
      </c>
      <c r="B2171" s="13">
        <f>IFERROR(__xludf.DUMMYFUNCTION("""COMPUTED_VALUE"""),1086.0)</f>
        <v>1086</v>
      </c>
      <c r="C2171" s="13">
        <f>IFERROR(__xludf.DUMMYFUNCTION("""COMPUTED_VALUE"""),36.0)</f>
        <v>36</v>
      </c>
      <c r="D2171" s="12"/>
      <c r="E2171" s="12" t="str">
        <f>IFERROR(__xludf.DUMMYFUNCTION("""COMPUTED_VALUE"""),"I really like this dress. i'm 5'8"" and about 135 so i bought a small. i am small chested, so i plan on wearing a bandeau bra underneath it because the arm holes are a little low. the material is very nice though. perfect for dressing up with cute jewelry"&amp;"!")</f>
        <v>I really like this dress. i'm 5'8" and about 135 so i bought a small. i am small chested, so i plan on wearing a bandeau bra underneath it because the arm holes are a little low. the material is very nice though. perfect for dressing up with cute jewelry!</v>
      </c>
      <c r="F2171" s="13">
        <f>IFERROR(__xludf.DUMMYFUNCTION("""COMPUTED_VALUE"""),4.0)</f>
        <v>4</v>
      </c>
      <c r="G2171" s="13">
        <f>IFERROR(__xludf.DUMMYFUNCTION("""COMPUTED_VALUE"""),1.0)</f>
        <v>1</v>
      </c>
      <c r="H2171" s="13">
        <f>IFERROR(__xludf.DUMMYFUNCTION("""COMPUTED_VALUE"""),8.0)</f>
        <v>8</v>
      </c>
      <c r="I2171" s="13" t="str">
        <f>IFERROR(__xludf.DUMMYFUNCTION("""COMPUTED_VALUE"""),"General Petite")</f>
        <v>General Petite</v>
      </c>
      <c r="J2171" s="13" t="str">
        <f>IFERROR(__xludf.DUMMYFUNCTION("""COMPUTED_VALUE"""),"Dresses")</f>
        <v>Dresses</v>
      </c>
      <c r="K2171" s="13" t="str">
        <f>IFERROR(__xludf.DUMMYFUNCTION("""COMPUTED_VALUE"""),"Dresses")</f>
        <v>Dresses</v>
      </c>
      <c r="L2171" s="13"/>
    </row>
    <row r="2172">
      <c r="A2172" s="13">
        <f>IFERROR(__xludf.DUMMYFUNCTION("""COMPUTED_VALUE"""),2170.0)</f>
        <v>2170</v>
      </c>
      <c r="B2172" s="13">
        <f>IFERROR(__xludf.DUMMYFUNCTION("""COMPUTED_VALUE"""),1094.0)</f>
        <v>1094</v>
      </c>
      <c r="C2172" s="13">
        <f>IFERROR(__xludf.DUMMYFUNCTION("""COMPUTED_VALUE"""),39.0)</f>
        <v>39</v>
      </c>
      <c r="D2172" s="12" t="str">
        <f>IFERROR(__xludf.DUMMYFUNCTION("""COMPUTED_VALUE"""),"Great summer dress")</f>
        <v>Great summer dress</v>
      </c>
      <c r="E2172" s="12" t="str">
        <f>IFERROR(__xludf.DUMMYFUNCTION("""COMPUTED_VALUE"""),"I bought this dress in a sm for a cruise i'm taking soon. i don't have much of a waist, kind of straight like a board, and this dress is very flattering on my figure. the skirt fits snug and the top drapes nicely over my waist. very pretty and flowy. i bo"&amp;"ught the multi color stripe dress and the vertical stripes enhance the beauty of the dress.")</f>
        <v>I bought this dress in a sm for a cruise i'm taking soon. i don't have much of a waist, kind of straight like a board, and this dress is very flattering on my figure. the skirt fits snug and the top drapes nicely over my waist. very pretty and flowy. i bought the multi color stripe dress and the vertical stripes enhance the beauty of the dress.</v>
      </c>
      <c r="F2172" s="13">
        <f>IFERROR(__xludf.DUMMYFUNCTION("""COMPUTED_VALUE"""),5.0)</f>
        <v>5</v>
      </c>
      <c r="G2172" s="13">
        <f>IFERROR(__xludf.DUMMYFUNCTION("""COMPUTED_VALUE"""),1.0)</f>
        <v>1</v>
      </c>
      <c r="H2172" s="13">
        <f>IFERROR(__xludf.DUMMYFUNCTION("""COMPUTED_VALUE"""),0.0)</f>
        <v>0</v>
      </c>
      <c r="I2172" s="13" t="str">
        <f>IFERROR(__xludf.DUMMYFUNCTION("""COMPUTED_VALUE"""),"General")</f>
        <v>General</v>
      </c>
      <c r="J2172" s="13" t="str">
        <f>IFERROR(__xludf.DUMMYFUNCTION("""COMPUTED_VALUE"""),"Dresses")</f>
        <v>Dresses</v>
      </c>
      <c r="K2172" s="13" t="str">
        <f>IFERROR(__xludf.DUMMYFUNCTION("""COMPUTED_VALUE"""),"Dresses")</f>
        <v>Dresses</v>
      </c>
      <c r="L2172" s="13"/>
    </row>
    <row r="2173">
      <c r="A2173" s="13">
        <f>IFERROR(__xludf.DUMMYFUNCTION("""COMPUTED_VALUE"""),2171.0)</f>
        <v>2171</v>
      </c>
      <c r="B2173" s="13">
        <f>IFERROR(__xludf.DUMMYFUNCTION("""COMPUTED_VALUE"""),876.0)</f>
        <v>876</v>
      </c>
      <c r="C2173" s="13">
        <f>IFERROR(__xludf.DUMMYFUNCTION("""COMPUTED_VALUE"""),51.0)</f>
        <v>51</v>
      </c>
      <c r="D2173" s="12" t="str">
        <f>IFERROR(__xludf.DUMMYFUNCTION("""COMPUTED_VALUE"""),"Lovely detail")</f>
        <v>Lovely detail</v>
      </c>
      <c r="E2173" s="12" t="str">
        <f>IFERROR(__xludf.DUMMYFUNCTION("""COMPUTED_VALUE"""),"I was pleasantly surprised when i tried this on. i tried it because of the detail but didn't hold out much hope because it looked frumpy on the hanger. i was very wrong. it fits beautifully. it drapes nicely, hugs the shoulders perfectly and doesn't droop"&amp;" open due to the embellishments. there is a tiny closure where the fabric crosses in the front so you are not exposed. i liked that feature very much. the sleeves are 3/4 on me, but i like it - nice change of pace. this is a very different style")</f>
        <v>I was pleasantly surprised when i tried this on. i tried it because of the detail but didn't hold out much hope because it looked frumpy on the hanger. i was very wrong. it fits beautifully. it drapes nicely, hugs the shoulders perfectly and doesn't droop open due to the embellishments. there is a tiny closure where the fabric crosses in the front so you are not exposed. i liked that feature very much. the sleeves are 3/4 on me, but i like it - nice change of pace. this is a very different style</v>
      </c>
      <c r="F2173" s="13">
        <f>IFERROR(__xludf.DUMMYFUNCTION("""COMPUTED_VALUE"""),4.0)</f>
        <v>4</v>
      </c>
      <c r="G2173" s="13">
        <f>IFERROR(__xludf.DUMMYFUNCTION("""COMPUTED_VALUE"""),1.0)</f>
        <v>1</v>
      </c>
      <c r="H2173" s="13">
        <f>IFERROR(__xludf.DUMMYFUNCTION("""COMPUTED_VALUE"""),0.0)</f>
        <v>0</v>
      </c>
      <c r="I2173" s="13" t="str">
        <f>IFERROR(__xludf.DUMMYFUNCTION("""COMPUTED_VALUE"""),"General Petite")</f>
        <v>General Petite</v>
      </c>
      <c r="J2173" s="13" t="str">
        <f>IFERROR(__xludf.DUMMYFUNCTION("""COMPUTED_VALUE"""),"Tops")</f>
        <v>Tops</v>
      </c>
      <c r="K2173" s="13" t="str">
        <f>IFERROR(__xludf.DUMMYFUNCTION("""COMPUTED_VALUE"""),"Knits")</f>
        <v>Knits</v>
      </c>
      <c r="L2173" s="13"/>
    </row>
    <row r="2174">
      <c r="A2174" s="13">
        <f>IFERROR(__xludf.DUMMYFUNCTION("""COMPUTED_VALUE"""),2172.0)</f>
        <v>2172</v>
      </c>
      <c r="B2174" s="13">
        <f>IFERROR(__xludf.DUMMYFUNCTION("""COMPUTED_VALUE"""),867.0)</f>
        <v>867</v>
      </c>
      <c r="C2174" s="13">
        <f>IFERROR(__xludf.DUMMYFUNCTION("""COMPUTED_VALUE"""),35.0)</f>
        <v>35</v>
      </c>
      <c r="D2174" s="12" t="str">
        <f>IFERROR(__xludf.DUMMYFUNCTION("""COMPUTED_VALUE"""),"Comfortable top")</f>
        <v>Comfortable top</v>
      </c>
      <c r="E2174" s="12" t="str">
        <f>IFERROR(__xludf.DUMMYFUNCTION("""COMPUTED_VALUE"""),"This top feels great on. it just drapes well and isn't clingy. i refused to buy maternity tops, because i wanted to wear the tops after pregnancy. though i bought this top post pregnancy it would have worked great because of the length.")</f>
        <v>This top feels great on. it just drapes well and isn't clingy. i refused to buy maternity tops, because i wanted to wear the tops after pregnancy. though i bought this top post pregnancy it would have worked great because of the length.</v>
      </c>
      <c r="F2174" s="13">
        <f>IFERROR(__xludf.DUMMYFUNCTION("""COMPUTED_VALUE"""),4.0)</f>
        <v>4</v>
      </c>
      <c r="G2174" s="13">
        <f>IFERROR(__xludf.DUMMYFUNCTION("""COMPUTED_VALUE"""),1.0)</f>
        <v>1</v>
      </c>
      <c r="H2174" s="13">
        <f>IFERROR(__xludf.DUMMYFUNCTION("""COMPUTED_VALUE"""),0.0)</f>
        <v>0</v>
      </c>
      <c r="I2174" s="13" t="str">
        <f>IFERROR(__xludf.DUMMYFUNCTION("""COMPUTED_VALUE"""),"General Petite")</f>
        <v>General Petite</v>
      </c>
      <c r="J2174" s="13" t="str">
        <f>IFERROR(__xludf.DUMMYFUNCTION("""COMPUTED_VALUE"""),"Tops")</f>
        <v>Tops</v>
      </c>
      <c r="K2174" s="13" t="str">
        <f>IFERROR(__xludf.DUMMYFUNCTION("""COMPUTED_VALUE"""),"Knits")</f>
        <v>Knits</v>
      </c>
      <c r="L2174" s="13"/>
    </row>
    <row r="2175">
      <c r="A2175" s="13">
        <f>IFERROR(__xludf.DUMMYFUNCTION("""COMPUTED_VALUE"""),2173.0)</f>
        <v>2173</v>
      </c>
      <c r="B2175" s="13">
        <f>IFERROR(__xludf.DUMMYFUNCTION("""COMPUTED_VALUE"""),872.0)</f>
        <v>872</v>
      </c>
      <c r="C2175" s="13">
        <f>IFERROR(__xludf.DUMMYFUNCTION("""COMPUTED_VALUE"""),38.0)</f>
        <v>38</v>
      </c>
      <c r="D2175" s="12" t="str">
        <f>IFERROR(__xludf.DUMMYFUNCTION("""COMPUTED_VALUE"""),"Favorite go to top")</f>
        <v>Favorite go to top</v>
      </c>
      <c r="E2175" s="12" t="str">
        <f>IFERROR(__xludf.DUMMYFUNCTION("""COMPUTED_VALUE"""),"Comfortable casual, hip. i have the black &amp; white color which is a bit thicker than the other colors which i prefer as i recently had a baby and need a little extra fabric. i wish the fabric was a bit softer but the cut is so flattering there was no way i"&amp;" was sending it back. i wish the other colors were in the same thicker fabric and i would have ordered more. my new go to top. the black ribbon on the back is my favorite part.")</f>
        <v>Comfortable casual, hip. i have the black &amp; white color which is a bit thicker than the other colors which i prefer as i recently had a baby and need a little extra fabric. i wish the fabric was a bit softer but the cut is so flattering there was no way i was sending it back. i wish the other colors were in the same thicker fabric and i would have ordered more. my new go to top. the black ribbon on the back is my favorite part.</v>
      </c>
      <c r="F2175" s="13">
        <f>IFERROR(__xludf.DUMMYFUNCTION("""COMPUTED_VALUE"""),5.0)</f>
        <v>5</v>
      </c>
      <c r="G2175" s="13">
        <f>IFERROR(__xludf.DUMMYFUNCTION("""COMPUTED_VALUE"""),1.0)</f>
        <v>1</v>
      </c>
      <c r="H2175" s="13">
        <f>IFERROR(__xludf.DUMMYFUNCTION("""COMPUTED_VALUE"""),0.0)</f>
        <v>0</v>
      </c>
      <c r="I2175" s="13" t="str">
        <f>IFERROR(__xludf.DUMMYFUNCTION("""COMPUTED_VALUE"""),"General")</f>
        <v>General</v>
      </c>
      <c r="J2175" s="13" t="str">
        <f>IFERROR(__xludf.DUMMYFUNCTION("""COMPUTED_VALUE"""),"Tops")</f>
        <v>Tops</v>
      </c>
      <c r="K2175" s="13" t="str">
        <f>IFERROR(__xludf.DUMMYFUNCTION("""COMPUTED_VALUE"""),"Knits")</f>
        <v>Knits</v>
      </c>
      <c r="L2175" s="13"/>
    </row>
    <row r="2176">
      <c r="A2176" s="13">
        <f>IFERROR(__xludf.DUMMYFUNCTION("""COMPUTED_VALUE"""),2174.0)</f>
        <v>2174</v>
      </c>
      <c r="B2176" s="13">
        <f>IFERROR(__xludf.DUMMYFUNCTION("""COMPUTED_VALUE"""),1089.0)</f>
        <v>1089</v>
      </c>
      <c r="C2176" s="13">
        <f>IFERROR(__xludf.DUMMYFUNCTION("""COMPUTED_VALUE"""),59.0)</f>
        <v>59</v>
      </c>
      <c r="D2176" s="12"/>
      <c r="E2176" s="12"/>
      <c r="F2176" s="13">
        <f>IFERROR(__xludf.DUMMYFUNCTION("""COMPUTED_VALUE"""),5.0)</f>
        <v>5</v>
      </c>
      <c r="G2176" s="13">
        <f>IFERROR(__xludf.DUMMYFUNCTION("""COMPUTED_VALUE"""),1.0)</f>
        <v>1</v>
      </c>
      <c r="H2176" s="13">
        <f>IFERROR(__xludf.DUMMYFUNCTION("""COMPUTED_VALUE"""),0.0)</f>
        <v>0</v>
      </c>
      <c r="I2176" s="13" t="str">
        <f>IFERROR(__xludf.DUMMYFUNCTION("""COMPUTED_VALUE"""),"General Petite")</f>
        <v>General Petite</v>
      </c>
      <c r="J2176" s="13" t="str">
        <f>IFERROR(__xludf.DUMMYFUNCTION("""COMPUTED_VALUE"""),"Dresses")</f>
        <v>Dresses</v>
      </c>
      <c r="K2176" s="13" t="str">
        <f>IFERROR(__xludf.DUMMYFUNCTION("""COMPUTED_VALUE"""),"Dresses")</f>
        <v>Dresses</v>
      </c>
      <c r="L2176" s="13"/>
    </row>
    <row r="2177">
      <c r="A2177" s="13">
        <f>IFERROR(__xludf.DUMMYFUNCTION("""COMPUTED_VALUE"""),2175.0)</f>
        <v>2175</v>
      </c>
      <c r="B2177" s="13">
        <f>IFERROR(__xludf.DUMMYFUNCTION("""COMPUTED_VALUE"""),1072.0)</f>
        <v>1072</v>
      </c>
      <c r="C2177" s="13">
        <f>IFERROR(__xludf.DUMMYFUNCTION("""COMPUTED_VALUE"""),73.0)</f>
        <v>73</v>
      </c>
      <c r="D2177" s="12"/>
      <c r="E2177" s="12" t="str">
        <f>IFERROR(__xludf.DUMMYFUNCTION("""COMPUTED_VALUE"""),"This dress is gorgeous in the photograph. and very pretty when it arrived, however, it is very dark in color. you would only notice the blue in bright light or perhaps outside in the sun. the fit was small. i could not get the tie around the waist to look"&amp;" right and feel comfortable, so sadly i had to return it. 
i applaud retailer for the excellent and attractive packaging. that was almost enough to sell the dress. it came in a very nice white box inside a larger box. tissue paper and fol")</f>
        <v>This dress is gorgeous in the photograph. and very pretty when it arrived, however, it is very dark in color. you would only notice the blue in bright light or perhaps outside in the sun. the fit was small. i could not get the tie around the waist to look right and feel comfortable, so sadly i had to return it. 
i applaud retailer for the excellent and attractive packaging. that was almost enough to sell the dress. it came in a very nice white box inside a larger box. tissue paper and fol</v>
      </c>
      <c r="F2177" s="13">
        <f>IFERROR(__xludf.DUMMYFUNCTION("""COMPUTED_VALUE"""),4.0)</f>
        <v>4</v>
      </c>
      <c r="G2177" s="13">
        <f>IFERROR(__xludf.DUMMYFUNCTION("""COMPUTED_VALUE"""),1.0)</f>
        <v>1</v>
      </c>
      <c r="H2177" s="13">
        <f>IFERROR(__xludf.DUMMYFUNCTION("""COMPUTED_VALUE"""),1.0)</f>
        <v>1</v>
      </c>
      <c r="I2177" s="13" t="str">
        <f>IFERROR(__xludf.DUMMYFUNCTION("""COMPUTED_VALUE"""),"General Petite")</f>
        <v>General Petite</v>
      </c>
      <c r="J2177" s="13" t="str">
        <f>IFERROR(__xludf.DUMMYFUNCTION("""COMPUTED_VALUE"""),"Dresses")</f>
        <v>Dresses</v>
      </c>
      <c r="K2177" s="13" t="str">
        <f>IFERROR(__xludf.DUMMYFUNCTION("""COMPUTED_VALUE"""),"Dresses")</f>
        <v>Dresses</v>
      </c>
      <c r="L2177" s="13"/>
    </row>
    <row r="2178">
      <c r="A2178" s="13">
        <f>IFERROR(__xludf.DUMMYFUNCTION("""COMPUTED_VALUE"""),2176.0)</f>
        <v>2176</v>
      </c>
      <c r="B2178" s="13">
        <f>IFERROR(__xludf.DUMMYFUNCTION("""COMPUTED_VALUE"""),867.0)</f>
        <v>867</v>
      </c>
      <c r="C2178" s="13">
        <f>IFERROR(__xludf.DUMMYFUNCTION("""COMPUTED_VALUE"""),63.0)</f>
        <v>63</v>
      </c>
      <c r="D2178" s="12" t="str">
        <f>IFERROR(__xludf.DUMMYFUNCTION("""COMPUTED_VALUE"""),"Cutest ever!")</f>
        <v>Cutest ever!</v>
      </c>
      <c r="E2178" s="12" t="str">
        <f>IFERROR(__xludf.DUMMYFUNCTION("""COMPUTED_VALUE"""),"This is one of the cutest tops i've ever gotten from retailer. the material is very soft and flowing. it fits true to size and hange beautifully. love it. i should have gotten he turquoise one too!")</f>
        <v>This is one of the cutest tops i've ever gotten from retailer. the material is very soft and flowing. it fits true to size and hange beautifully. love it. i should have gotten he turquoise one too!</v>
      </c>
      <c r="F2178" s="13">
        <f>IFERROR(__xludf.DUMMYFUNCTION("""COMPUTED_VALUE"""),5.0)</f>
        <v>5</v>
      </c>
      <c r="G2178" s="13">
        <f>IFERROR(__xludf.DUMMYFUNCTION("""COMPUTED_VALUE"""),1.0)</f>
        <v>1</v>
      </c>
      <c r="H2178" s="13">
        <f>IFERROR(__xludf.DUMMYFUNCTION("""COMPUTED_VALUE"""),1.0)</f>
        <v>1</v>
      </c>
      <c r="I2178" s="13" t="str">
        <f>IFERROR(__xludf.DUMMYFUNCTION("""COMPUTED_VALUE"""),"General Petite")</f>
        <v>General Petite</v>
      </c>
      <c r="J2178" s="13" t="str">
        <f>IFERROR(__xludf.DUMMYFUNCTION("""COMPUTED_VALUE"""),"Tops")</f>
        <v>Tops</v>
      </c>
      <c r="K2178" s="13" t="str">
        <f>IFERROR(__xludf.DUMMYFUNCTION("""COMPUTED_VALUE"""),"Knits")</f>
        <v>Knits</v>
      </c>
      <c r="L2178" s="13"/>
    </row>
    <row r="2179">
      <c r="A2179" s="13">
        <f>IFERROR(__xludf.DUMMYFUNCTION("""COMPUTED_VALUE"""),2177.0)</f>
        <v>2177</v>
      </c>
      <c r="B2179" s="13">
        <f>IFERROR(__xludf.DUMMYFUNCTION("""COMPUTED_VALUE"""),872.0)</f>
        <v>872</v>
      </c>
      <c r="C2179" s="13">
        <f>IFERROR(__xludf.DUMMYFUNCTION("""COMPUTED_VALUE"""),28.0)</f>
        <v>28</v>
      </c>
      <c r="D2179" s="12"/>
      <c r="E2179" s="12" t="str">
        <f>IFERROR(__xludf.DUMMYFUNCTION("""COMPUTED_VALUE"""),"Love this shirt. it fits great and can be easily layered!")</f>
        <v>Love this shirt. it fits great and can be easily layered!</v>
      </c>
      <c r="F2179" s="13">
        <f>IFERROR(__xludf.DUMMYFUNCTION("""COMPUTED_VALUE"""),5.0)</f>
        <v>5</v>
      </c>
      <c r="G2179" s="13">
        <f>IFERROR(__xludf.DUMMYFUNCTION("""COMPUTED_VALUE"""),1.0)</f>
        <v>1</v>
      </c>
      <c r="H2179" s="13">
        <f>IFERROR(__xludf.DUMMYFUNCTION("""COMPUTED_VALUE"""),1.0)</f>
        <v>1</v>
      </c>
      <c r="I2179" s="13" t="str">
        <f>IFERROR(__xludf.DUMMYFUNCTION("""COMPUTED_VALUE"""),"General")</f>
        <v>General</v>
      </c>
      <c r="J2179" s="13" t="str">
        <f>IFERROR(__xludf.DUMMYFUNCTION("""COMPUTED_VALUE"""),"Tops")</f>
        <v>Tops</v>
      </c>
      <c r="K2179" s="13" t="str">
        <f>IFERROR(__xludf.DUMMYFUNCTION("""COMPUTED_VALUE"""),"Knits")</f>
        <v>Knits</v>
      </c>
      <c r="L2179" s="13"/>
    </row>
    <row r="2180">
      <c r="A2180" s="13">
        <f>IFERROR(__xludf.DUMMYFUNCTION("""COMPUTED_VALUE"""),2178.0)</f>
        <v>2178</v>
      </c>
      <c r="B2180" s="13">
        <f>IFERROR(__xludf.DUMMYFUNCTION("""COMPUTED_VALUE"""),872.0)</f>
        <v>872</v>
      </c>
      <c r="C2180" s="13">
        <f>IFERROR(__xludf.DUMMYFUNCTION("""COMPUTED_VALUE"""),32.0)</f>
        <v>32</v>
      </c>
      <c r="D2180" s="12"/>
      <c r="E2180" s="12" t="str">
        <f>IFERROR(__xludf.DUMMYFUNCTION("""COMPUTED_VALUE"""),"Agree with the other reviewers. this top is excellent. great length, weight &amp; bounce to it, flattering without being clingy. i'm 5'10"" with a long torso, so i'm always in the market for tops with longer hemlines and decent material without being too tigh"&amp;"t or clingy. this one i love! i bought it in black, then went back for the turquoise, then two more... if that doesn't tell you what a great shirt this is, i don't know what will.")</f>
        <v>Agree with the other reviewers. this top is excellent. great length, weight &amp; bounce to it, flattering without being clingy. i'm 5'10" with a long torso, so i'm always in the market for tops with longer hemlines and decent material without being too tight or clingy. this one i love! i bought it in black, then went back for the turquoise, then two more... if that doesn't tell you what a great shirt this is, i don't know what will.</v>
      </c>
      <c r="F2180" s="13">
        <f>IFERROR(__xludf.DUMMYFUNCTION("""COMPUTED_VALUE"""),5.0)</f>
        <v>5</v>
      </c>
      <c r="G2180" s="13">
        <f>IFERROR(__xludf.DUMMYFUNCTION("""COMPUTED_VALUE"""),1.0)</f>
        <v>1</v>
      </c>
      <c r="H2180" s="13">
        <f>IFERROR(__xludf.DUMMYFUNCTION("""COMPUTED_VALUE"""),0.0)</f>
        <v>0</v>
      </c>
      <c r="I2180" s="13" t="str">
        <f>IFERROR(__xludf.DUMMYFUNCTION("""COMPUTED_VALUE"""),"General")</f>
        <v>General</v>
      </c>
      <c r="J2180" s="13" t="str">
        <f>IFERROR(__xludf.DUMMYFUNCTION("""COMPUTED_VALUE"""),"Tops")</f>
        <v>Tops</v>
      </c>
      <c r="K2180" s="13" t="str">
        <f>IFERROR(__xludf.DUMMYFUNCTION("""COMPUTED_VALUE"""),"Knits")</f>
        <v>Knits</v>
      </c>
      <c r="L2180" s="13"/>
    </row>
    <row r="2181">
      <c r="A2181" s="13">
        <f>IFERROR(__xludf.DUMMYFUNCTION("""COMPUTED_VALUE"""),2179.0)</f>
        <v>2179</v>
      </c>
      <c r="B2181" s="13">
        <f>IFERROR(__xludf.DUMMYFUNCTION("""COMPUTED_VALUE"""),872.0)</f>
        <v>872</v>
      </c>
      <c r="C2181" s="13">
        <f>IFERROR(__xludf.DUMMYFUNCTION("""COMPUTED_VALUE"""),44.0)</f>
        <v>44</v>
      </c>
      <c r="D2181" s="12" t="str">
        <f>IFERROR(__xludf.DUMMYFUNCTION("""COMPUTED_VALUE"""),"Too long")</f>
        <v>Too long</v>
      </c>
      <c r="E2181" s="12" t="str">
        <f>IFERROR(__xludf.DUMMYFUNCTION("""COMPUTED_VALUE"""),"Great color, soft fabric, but waaaaay too long. more like a night shirt than a t-shirt.")</f>
        <v>Great color, soft fabric, but waaaaay too long. more like a night shirt than a t-shirt.</v>
      </c>
      <c r="F2181" s="13">
        <f>IFERROR(__xludf.DUMMYFUNCTION("""COMPUTED_VALUE"""),2.0)</f>
        <v>2</v>
      </c>
      <c r="G2181" s="13">
        <f>IFERROR(__xludf.DUMMYFUNCTION("""COMPUTED_VALUE"""),0.0)</f>
        <v>0</v>
      </c>
      <c r="H2181" s="13">
        <f>IFERROR(__xludf.DUMMYFUNCTION("""COMPUTED_VALUE"""),1.0)</f>
        <v>1</v>
      </c>
      <c r="I2181" s="13" t="str">
        <f>IFERROR(__xludf.DUMMYFUNCTION("""COMPUTED_VALUE"""),"General")</f>
        <v>General</v>
      </c>
      <c r="J2181" s="13" t="str">
        <f>IFERROR(__xludf.DUMMYFUNCTION("""COMPUTED_VALUE"""),"Tops")</f>
        <v>Tops</v>
      </c>
      <c r="K2181" s="13" t="str">
        <f>IFERROR(__xludf.DUMMYFUNCTION("""COMPUTED_VALUE"""),"Knits")</f>
        <v>Knits</v>
      </c>
      <c r="L2181" s="13"/>
    </row>
    <row r="2182">
      <c r="A2182" s="13">
        <f>IFERROR(__xludf.DUMMYFUNCTION("""COMPUTED_VALUE"""),2180.0)</f>
        <v>2180</v>
      </c>
      <c r="B2182" s="13">
        <f>IFERROR(__xludf.DUMMYFUNCTION("""COMPUTED_VALUE"""),872.0)</f>
        <v>872</v>
      </c>
      <c r="C2182" s="13">
        <f>IFERROR(__xludf.DUMMYFUNCTION("""COMPUTED_VALUE"""),26.0)</f>
        <v>26</v>
      </c>
      <c r="D2182" s="12" t="str">
        <f>IFERROR(__xludf.DUMMYFUNCTION("""COMPUTED_VALUE"""),"Oversized and unflattering")</f>
        <v>Oversized and unflattering</v>
      </c>
      <c r="E2182" s="12" t="str">
        <f>IFERROR(__xludf.DUMMYFUNCTION("""COMPUTED_VALUE"""),"I was hoping to find a slimming and cozy sweater, unfortunately this one was baggy and material was really bulky. one of those occasions where i would have never purchased this in person but online you can't quite tell the style and fit. i returned this i"&amp;"tem.")</f>
        <v>I was hoping to find a slimming and cozy sweater, unfortunately this one was baggy and material was really bulky. one of those occasions where i would have never purchased this in person but online you can't quite tell the style and fit. i returned this item.</v>
      </c>
      <c r="F2182" s="13">
        <f>IFERROR(__xludf.DUMMYFUNCTION("""COMPUTED_VALUE"""),3.0)</f>
        <v>3</v>
      </c>
      <c r="G2182" s="13">
        <f>IFERROR(__xludf.DUMMYFUNCTION("""COMPUTED_VALUE"""),0.0)</f>
        <v>0</v>
      </c>
      <c r="H2182" s="13">
        <f>IFERROR(__xludf.DUMMYFUNCTION("""COMPUTED_VALUE"""),0.0)</f>
        <v>0</v>
      </c>
      <c r="I2182" s="13" t="str">
        <f>IFERROR(__xludf.DUMMYFUNCTION("""COMPUTED_VALUE"""),"General")</f>
        <v>General</v>
      </c>
      <c r="J2182" s="13" t="str">
        <f>IFERROR(__xludf.DUMMYFUNCTION("""COMPUTED_VALUE"""),"Tops")</f>
        <v>Tops</v>
      </c>
      <c r="K2182" s="13" t="str">
        <f>IFERROR(__xludf.DUMMYFUNCTION("""COMPUTED_VALUE"""),"Knits")</f>
        <v>Knits</v>
      </c>
      <c r="L2182" s="13"/>
    </row>
    <row r="2183">
      <c r="A2183" s="13">
        <f>IFERROR(__xludf.DUMMYFUNCTION("""COMPUTED_VALUE"""),2181.0)</f>
        <v>2181</v>
      </c>
      <c r="B2183" s="13">
        <f>IFERROR(__xludf.DUMMYFUNCTION("""COMPUTED_VALUE"""),872.0)</f>
        <v>872</v>
      </c>
      <c r="C2183" s="13">
        <f>IFERROR(__xludf.DUMMYFUNCTION("""COMPUTED_VALUE"""),42.0)</f>
        <v>42</v>
      </c>
      <c r="D2183" s="12"/>
      <c r="E2183" s="12" t="str">
        <f>IFERROR(__xludf.DUMMYFUNCTION("""COMPUTED_VALUE"""),"I need one in every color. so super soft.")</f>
        <v>I need one in every color. so super soft.</v>
      </c>
      <c r="F2183" s="13">
        <f>IFERROR(__xludf.DUMMYFUNCTION("""COMPUTED_VALUE"""),5.0)</f>
        <v>5</v>
      </c>
      <c r="G2183" s="13">
        <f>IFERROR(__xludf.DUMMYFUNCTION("""COMPUTED_VALUE"""),1.0)</f>
        <v>1</v>
      </c>
      <c r="H2183" s="13">
        <f>IFERROR(__xludf.DUMMYFUNCTION("""COMPUTED_VALUE"""),1.0)</f>
        <v>1</v>
      </c>
      <c r="I2183" s="13" t="str">
        <f>IFERROR(__xludf.DUMMYFUNCTION("""COMPUTED_VALUE"""),"General")</f>
        <v>General</v>
      </c>
      <c r="J2183" s="13" t="str">
        <f>IFERROR(__xludf.DUMMYFUNCTION("""COMPUTED_VALUE"""),"Tops")</f>
        <v>Tops</v>
      </c>
      <c r="K2183" s="13" t="str">
        <f>IFERROR(__xludf.DUMMYFUNCTION("""COMPUTED_VALUE"""),"Knits")</f>
        <v>Knits</v>
      </c>
      <c r="L2183" s="13"/>
    </row>
    <row r="2184">
      <c r="A2184" s="13">
        <f>IFERROR(__xludf.DUMMYFUNCTION("""COMPUTED_VALUE"""),2182.0)</f>
        <v>2182</v>
      </c>
      <c r="B2184" s="13">
        <f>IFERROR(__xludf.DUMMYFUNCTION("""COMPUTED_VALUE"""),876.0)</f>
        <v>876</v>
      </c>
      <c r="C2184" s="13">
        <f>IFERROR(__xludf.DUMMYFUNCTION("""COMPUTED_VALUE"""),48.0)</f>
        <v>48</v>
      </c>
      <c r="D2184" s="12"/>
      <c r="E2184" s="12" t="str">
        <f>IFERROR(__xludf.DUMMYFUNCTION("""COMPUTED_VALUE"""),"Very pretty blouse with nice detail. needs to be worn with a camisole however.")</f>
        <v>Very pretty blouse with nice detail. needs to be worn with a camisole however.</v>
      </c>
      <c r="F2184" s="13">
        <f>IFERROR(__xludf.DUMMYFUNCTION("""COMPUTED_VALUE"""),4.0)</f>
        <v>4</v>
      </c>
      <c r="G2184" s="13">
        <f>IFERROR(__xludf.DUMMYFUNCTION("""COMPUTED_VALUE"""),1.0)</f>
        <v>1</v>
      </c>
      <c r="H2184" s="13">
        <f>IFERROR(__xludf.DUMMYFUNCTION("""COMPUTED_VALUE"""),0.0)</f>
        <v>0</v>
      </c>
      <c r="I2184" s="13" t="str">
        <f>IFERROR(__xludf.DUMMYFUNCTION("""COMPUTED_VALUE"""),"General Petite")</f>
        <v>General Petite</v>
      </c>
      <c r="J2184" s="13" t="str">
        <f>IFERROR(__xludf.DUMMYFUNCTION("""COMPUTED_VALUE"""),"Tops")</f>
        <v>Tops</v>
      </c>
      <c r="K2184" s="13" t="str">
        <f>IFERROR(__xludf.DUMMYFUNCTION("""COMPUTED_VALUE"""),"Knits")</f>
        <v>Knits</v>
      </c>
      <c r="L2184" s="13"/>
    </row>
    <row r="2185">
      <c r="A2185" s="13">
        <f>IFERROR(__xludf.DUMMYFUNCTION("""COMPUTED_VALUE"""),2183.0)</f>
        <v>2183</v>
      </c>
      <c r="B2185" s="13">
        <f>IFERROR(__xludf.DUMMYFUNCTION("""COMPUTED_VALUE"""),872.0)</f>
        <v>872</v>
      </c>
      <c r="C2185" s="13">
        <f>IFERROR(__xludf.DUMMYFUNCTION("""COMPUTED_VALUE"""),32.0)</f>
        <v>32</v>
      </c>
      <c r="D2185" s="12"/>
      <c r="E2185" s="12" t="str">
        <f>IFERROR(__xludf.DUMMYFUNCTION("""COMPUTED_VALUE"""),"Got this shirt on sale and i hope they restock so i can buy more. super comfy and flattering at the same time. i have some extra baby weight and it camouflages that well. i'm normally a 6-8 but i'm an 8-10 right now and the medium was perfect. i'm 5'6"" a"&amp;"nd its plenty long enough to wear with leggings. a great shirt and i'll be sure to watch out for this one to come back. please restock!")</f>
        <v>Got this shirt on sale and i hope they restock so i can buy more. super comfy and flattering at the same time. i have some extra baby weight and it camouflages that well. i'm normally a 6-8 but i'm an 8-10 right now and the medium was perfect. i'm 5'6" and its plenty long enough to wear with leggings. a great shirt and i'll be sure to watch out for this one to come back. please restock!</v>
      </c>
      <c r="F2185" s="13">
        <f>IFERROR(__xludf.DUMMYFUNCTION("""COMPUTED_VALUE"""),5.0)</f>
        <v>5</v>
      </c>
      <c r="G2185" s="13">
        <f>IFERROR(__xludf.DUMMYFUNCTION("""COMPUTED_VALUE"""),1.0)</f>
        <v>1</v>
      </c>
      <c r="H2185" s="13">
        <f>IFERROR(__xludf.DUMMYFUNCTION("""COMPUTED_VALUE"""),0.0)</f>
        <v>0</v>
      </c>
      <c r="I2185" s="13" t="str">
        <f>IFERROR(__xludf.DUMMYFUNCTION("""COMPUTED_VALUE"""),"General")</f>
        <v>General</v>
      </c>
      <c r="J2185" s="13" t="str">
        <f>IFERROR(__xludf.DUMMYFUNCTION("""COMPUTED_VALUE"""),"Tops")</f>
        <v>Tops</v>
      </c>
      <c r="K2185" s="13" t="str">
        <f>IFERROR(__xludf.DUMMYFUNCTION("""COMPUTED_VALUE"""),"Knits")</f>
        <v>Knits</v>
      </c>
      <c r="L2185" s="13"/>
    </row>
    <row r="2186">
      <c r="A2186" s="13">
        <f>IFERROR(__xludf.DUMMYFUNCTION("""COMPUTED_VALUE"""),2184.0)</f>
        <v>2184</v>
      </c>
      <c r="B2186" s="13">
        <f>IFERROR(__xludf.DUMMYFUNCTION("""COMPUTED_VALUE"""),1086.0)</f>
        <v>1086</v>
      </c>
      <c r="C2186" s="13">
        <f>IFERROR(__xludf.DUMMYFUNCTION("""COMPUTED_VALUE"""),52.0)</f>
        <v>52</v>
      </c>
      <c r="D2186" s="12" t="str">
        <f>IFERROR(__xludf.DUMMYFUNCTION("""COMPUTED_VALUE"""),"Perfection")</f>
        <v>Perfection</v>
      </c>
      <c r="E2186" s="12" t="str">
        <f>IFERROR(__xludf.DUMMYFUNCTION("""COMPUTED_VALUE"""),"Easy to wear.  the fabric is super soft and the shape is very flattering.   i really like the shirt hem at the bottom.")</f>
        <v>Easy to wear.  the fabric is super soft and the shape is very flattering.   i really like the shirt hem at the bottom.</v>
      </c>
      <c r="F2186" s="13">
        <f>IFERROR(__xludf.DUMMYFUNCTION("""COMPUTED_VALUE"""),5.0)</f>
        <v>5</v>
      </c>
      <c r="G2186" s="13">
        <f>IFERROR(__xludf.DUMMYFUNCTION("""COMPUTED_VALUE"""),1.0)</f>
        <v>1</v>
      </c>
      <c r="H2186" s="13">
        <f>IFERROR(__xludf.DUMMYFUNCTION("""COMPUTED_VALUE"""),9.0)</f>
        <v>9</v>
      </c>
      <c r="I2186" s="13" t="str">
        <f>IFERROR(__xludf.DUMMYFUNCTION("""COMPUTED_VALUE"""),"General Petite")</f>
        <v>General Petite</v>
      </c>
      <c r="J2186" s="13" t="str">
        <f>IFERROR(__xludf.DUMMYFUNCTION("""COMPUTED_VALUE"""),"Dresses")</f>
        <v>Dresses</v>
      </c>
      <c r="K2186" s="13" t="str">
        <f>IFERROR(__xludf.DUMMYFUNCTION("""COMPUTED_VALUE"""),"Dresses")</f>
        <v>Dresses</v>
      </c>
      <c r="L2186" s="13"/>
    </row>
    <row r="2187">
      <c r="A2187" s="13">
        <f>IFERROR(__xludf.DUMMYFUNCTION("""COMPUTED_VALUE"""),2185.0)</f>
        <v>2185</v>
      </c>
      <c r="B2187" s="13">
        <f>IFERROR(__xludf.DUMMYFUNCTION("""COMPUTED_VALUE"""),146.0)</f>
        <v>146</v>
      </c>
      <c r="C2187" s="13">
        <f>IFERROR(__xludf.DUMMYFUNCTION("""COMPUTED_VALUE"""),31.0)</f>
        <v>31</v>
      </c>
      <c r="D2187" s="12"/>
      <c r="E2187" s="12" t="str">
        <f>IFERROR(__xludf.DUMMYFUNCTION("""COMPUTED_VALUE"""),"Love these pajama bottoms. they are so comfortable and the print is fun and unique. i highly recommend. they run true to size and have a great length. they look short on the model but mine are perfect.")</f>
        <v>Love these pajama bottoms. they are so comfortable and the print is fun and unique. i highly recommend. they run true to size and have a great length. they look short on the model but mine are perfect.</v>
      </c>
      <c r="F2187" s="13">
        <f>IFERROR(__xludf.DUMMYFUNCTION("""COMPUTED_VALUE"""),5.0)</f>
        <v>5</v>
      </c>
      <c r="G2187" s="13">
        <f>IFERROR(__xludf.DUMMYFUNCTION("""COMPUTED_VALUE"""),1.0)</f>
        <v>1</v>
      </c>
      <c r="H2187" s="13">
        <f>IFERROR(__xludf.DUMMYFUNCTION("""COMPUTED_VALUE"""),10.0)</f>
        <v>10</v>
      </c>
      <c r="I2187" s="13" t="str">
        <f>IFERROR(__xludf.DUMMYFUNCTION("""COMPUTED_VALUE"""),"General Petite")</f>
        <v>General Petite</v>
      </c>
      <c r="J2187" s="13" t="str">
        <f>IFERROR(__xludf.DUMMYFUNCTION("""COMPUTED_VALUE"""),"Intimate")</f>
        <v>Intimate</v>
      </c>
      <c r="K2187" s="13" t="str">
        <f>IFERROR(__xludf.DUMMYFUNCTION("""COMPUTED_VALUE"""),"Lounge")</f>
        <v>Lounge</v>
      </c>
      <c r="L2187" s="13"/>
    </row>
    <row r="2188">
      <c r="A2188" s="13">
        <f>IFERROR(__xludf.DUMMYFUNCTION("""COMPUTED_VALUE"""),2186.0)</f>
        <v>2186</v>
      </c>
      <c r="B2188" s="13">
        <f>IFERROR(__xludf.DUMMYFUNCTION("""COMPUTED_VALUE"""),872.0)</f>
        <v>872</v>
      </c>
      <c r="C2188" s="13">
        <f>IFERROR(__xludf.DUMMYFUNCTION("""COMPUTED_VALUE"""),32.0)</f>
        <v>32</v>
      </c>
      <c r="D2188" s="12" t="str">
        <f>IFERROR(__xludf.DUMMYFUNCTION("""COMPUTED_VALUE"""),"Perfection")</f>
        <v>Perfection</v>
      </c>
      <c r="E2188" s="12" t="str">
        <f>IFERROR(__xludf.DUMMYFUNCTION("""COMPUTED_VALUE"""),"I almost never take the time to write reviews but this shirt is amazing... it's a super soft, stretchy, substantial fabric that is incredibly flattering. it falls perfectly and is insanely comfortable. i am 5'5"" 120 lbs and usually wear an xs or s in ret"&amp;"ailer tops... i went with the xs and it is a perfect fit. love it so much i bought it in 4 colors... i am now completely broke but these shirts will be in constant rotation.")</f>
        <v>I almost never take the time to write reviews but this shirt is amazing... it's a super soft, stretchy, substantial fabric that is incredibly flattering. it falls perfectly and is insanely comfortable. i am 5'5" 120 lbs and usually wear an xs or s in retailer tops... i went with the xs and it is a perfect fit. love it so much i bought it in 4 colors... i am now completely broke but these shirts will be in constant rotation.</v>
      </c>
      <c r="F2188" s="13">
        <f>IFERROR(__xludf.DUMMYFUNCTION("""COMPUTED_VALUE"""),5.0)</f>
        <v>5</v>
      </c>
      <c r="G2188" s="13">
        <f>IFERROR(__xludf.DUMMYFUNCTION("""COMPUTED_VALUE"""),1.0)</f>
        <v>1</v>
      </c>
      <c r="H2188" s="13">
        <f>IFERROR(__xludf.DUMMYFUNCTION("""COMPUTED_VALUE"""),0.0)</f>
        <v>0</v>
      </c>
      <c r="I2188" s="13" t="str">
        <f>IFERROR(__xludf.DUMMYFUNCTION("""COMPUTED_VALUE"""),"General")</f>
        <v>General</v>
      </c>
      <c r="J2188" s="13" t="str">
        <f>IFERROR(__xludf.DUMMYFUNCTION("""COMPUTED_VALUE"""),"Tops")</f>
        <v>Tops</v>
      </c>
      <c r="K2188" s="13" t="str">
        <f>IFERROR(__xludf.DUMMYFUNCTION("""COMPUTED_VALUE"""),"Knits")</f>
        <v>Knits</v>
      </c>
      <c r="L2188" s="13"/>
    </row>
    <row r="2189">
      <c r="A2189" s="13">
        <f>IFERROR(__xludf.DUMMYFUNCTION("""COMPUTED_VALUE"""),2187.0)</f>
        <v>2187</v>
      </c>
      <c r="B2189" s="13">
        <f>IFERROR(__xludf.DUMMYFUNCTION("""COMPUTED_VALUE"""),867.0)</f>
        <v>867</v>
      </c>
      <c r="C2189" s="13">
        <f>IFERROR(__xludf.DUMMYFUNCTION("""COMPUTED_VALUE"""),51.0)</f>
        <v>51</v>
      </c>
      <c r="D2189" s="12" t="str">
        <f>IFERROR(__xludf.DUMMYFUNCTION("""COMPUTED_VALUE"""),"Very pretty top")</f>
        <v>Very pretty top</v>
      </c>
      <c r="E2189" s="12" t="str">
        <f>IFERROR(__xludf.DUMMYFUNCTION("""COMPUTED_VALUE"""),"This is a beautiful top, however, my top did not match the one in the picture, it's so odd, the stripes are completely different, it's ok, because it's very pretty, but i do like the one pictured better. it's too short on me for leggings and boots, but it"&amp;"'s great with skinny jeans. very pretty and soft material.")</f>
        <v>This is a beautiful top, however, my top did not match the one in the picture, it's so odd, the stripes are completely different, it's ok, because it's very pretty, but i do like the one pictured better. it's too short on me for leggings and boots, but it's great with skinny jeans. very pretty and soft material.</v>
      </c>
      <c r="F2189" s="13">
        <f>IFERROR(__xludf.DUMMYFUNCTION("""COMPUTED_VALUE"""),4.0)</f>
        <v>4</v>
      </c>
      <c r="G2189" s="13">
        <f>IFERROR(__xludf.DUMMYFUNCTION("""COMPUTED_VALUE"""),1.0)</f>
        <v>1</v>
      </c>
      <c r="H2189" s="13">
        <f>IFERROR(__xludf.DUMMYFUNCTION("""COMPUTED_VALUE"""),0.0)</f>
        <v>0</v>
      </c>
      <c r="I2189" s="13" t="str">
        <f>IFERROR(__xludf.DUMMYFUNCTION("""COMPUTED_VALUE"""),"General Petite")</f>
        <v>General Petite</v>
      </c>
      <c r="J2189" s="13" t="str">
        <f>IFERROR(__xludf.DUMMYFUNCTION("""COMPUTED_VALUE"""),"Tops")</f>
        <v>Tops</v>
      </c>
      <c r="K2189" s="13" t="str">
        <f>IFERROR(__xludf.DUMMYFUNCTION("""COMPUTED_VALUE"""),"Knits")</f>
        <v>Knits</v>
      </c>
      <c r="L2189" s="13"/>
    </row>
    <row r="2190">
      <c r="A2190" s="13">
        <f>IFERROR(__xludf.DUMMYFUNCTION("""COMPUTED_VALUE"""),2188.0)</f>
        <v>2188</v>
      </c>
      <c r="B2190" s="13">
        <f>IFERROR(__xludf.DUMMYFUNCTION("""COMPUTED_VALUE"""),984.0)</f>
        <v>984</v>
      </c>
      <c r="C2190" s="13">
        <f>IFERROR(__xludf.DUMMYFUNCTION("""COMPUTED_VALUE"""),40.0)</f>
        <v>40</v>
      </c>
      <c r="D2190" s="12" t="str">
        <f>IFERROR(__xludf.DUMMYFUNCTION("""COMPUTED_VALUE"""),"Perfect denim jacket")</f>
        <v>Perfect denim jacket</v>
      </c>
      <c r="E2190" s="12" t="str">
        <f>IFERROR(__xludf.DUMMYFUNCTION("""COMPUTED_VALUE"""),"I am so glad i had read the other reviews of this jacket which prompted me to order. great fit and cut with a hint of stretch, nice styling details, great vintage color. i wasn't in love with the price but after receiving the jacket i would gladly pay the"&amp;" price again. will definitely be in my wardrobe rotation for years to come!")</f>
        <v>I am so glad i had read the other reviews of this jacket which prompted me to order. great fit and cut with a hint of stretch, nice styling details, great vintage color. i wasn't in love with the price but after receiving the jacket i would gladly pay the price again. will definitely be in my wardrobe rotation for years to come!</v>
      </c>
      <c r="F2190" s="13">
        <f>IFERROR(__xludf.DUMMYFUNCTION("""COMPUTED_VALUE"""),5.0)</f>
        <v>5</v>
      </c>
      <c r="G2190" s="13">
        <f>IFERROR(__xludf.DUMMYFUNCTION("""COMPUTED_VALUE"""),1.0)</f>
        <v>1</v>
      </c>
      <c r="H2190" s="13">
        <f>IFERROR(__xludf.DUMMYFUNCTION("""COMPUTED_VALUE"""),1.0)</f>
        <v>1</v>
      </c>
      <c r="I2190" s="13" t="str">
        <f>IFERROR(__xludf.DUMMYFUNCTION("""COMPUTED_VALUE"""),"General")</f>
        <v>General</v>
      </c>
      <c r="J2190" s="13" t="str">
        <f>IFERROR(__xludf.DUMMYFUNCTION("""COMPUTED_VALUE"""),"Jackets")</f>
        <v>Jackets</v>
      </c>
      <c r="K2190" s="13" t="str">
        <f>IFERROR(__xludf.DUMMYFUNCTION("""COMPUTED_VALUE"""),"Jackets")</f>
        <v>Jackets</v>
      </c>
      <c r="L2190" s="13"/>
    </row>
    <row r="2191">
      <c r="A2191" s="13">
        <f>IFERROR(__xludf.DUMMYFUNCTION("""COMPUTED_VALUE"""),2189.0)</f>
        <v>2189</v>
      </c>
      <c r="B2191" s="13">
        <f>IFERROR(__xludf.DUMMYFUNCTION("""COMPUTED_VALUE"""),872.0)</f>
        <v>872</v>
      </c>
      <c r="C2191" s="13">
        <f>IFERROR(__xludf.DUMMYFUNCTION("""COMPUTED_VALUE"""),35.0)</f>
        <v>35</v>
      </c>
      <c r="D2191" s="12" t="str">
        <f>IFERROR(__xludf.DUMMYFUNCTION("""COMPUTED_VALUE"""),"Everyday staple")</f>
        <v>Everyday staple</v>
      </c>
      <c r="E2191" s="12" t="str">
        <f>IFERROR(__xludf.DUMMYFUNCTION("""COMPUTED_VALUE"""),"This shirt is amazingly soft and has such a great cut, especially for me being curvy. i love to pair this with cute leggings or tight ankle jeans with my boots. recently wore on a casual date with the hubby and he loved it paired with my dark brown leathe"&amp;"r jacket and dark jeans. 
only reason i gave it 4 stars was that the shirt tends to stretch out a little at the bottom is seems as you wear it throughout the day - it is still a great shirt and if possible i would buy more. 
need to bring")</f>
        <v>This shirt is amazingly soft and has such a great cut, especially for me being curvy. i love to pair this with cute leggings or tight ankle jeans with my boots. recently wore on a casual date with the hubby and he loved it paired with my dark brown leather jacket and dark jeans. 
only reason i gave it 4 stars was that the shirt tends to stretch out a little at the bottom is seems as you wear it throughout the day - it is still a great shirt and if possible i would buy more. 
need to bring</v>
      </c>
      <c r="F2191" s="13">
        <f>IFERROR(__xludf.DUMMYFUNCTION("""COMPUTED_VALUE"""),4.0)</f>
        <v>4</v>
      </c>
      <c r="G2191" s="13">
        <f>IFERROR(__xludf.DUMMYFUNCTION("""COMPUTED_VALUE"""),1.0)</f>
        <v>1</v>
      </c>
      <c r="H2191" s="13">
        <f>IFERROR(__xludf.DUMMYFUNCTION("""COMPUTED_VALUE"""),0.0)</f>
        <v>0</v>
      </c>
      <c r="I2191" s="13" t="str">
        <f>IFERROR(__xludf.DUMMYFUNCTION("""COMPUTED_VALUE"""),"General")</f>
        <v>General</v>
      </c>
      <c r="J2191" s="13" t="str">
        <f>IFERROR(__xludf.DUMMYFUNCTION("""COMPUTED_VALUE"""),"Tops")</f>
        <v>Tops</v>
      </c>
      <c r="K2191" s="13" t="str">
        <f>IFERROR(__xludf.DUMMYFUNCTION("""COMPUTED_VALUE"""),"Knits")</f>
        <v>Knits</v>
      </c>
      <c r="L2191" s="13"/>
    </row>
    <row r="2192">
      <c r="A2192" s="13">
        <f>IFERROR(__xludf.DUMMYFUNCTION("""COMPUTED_VALUE"""),2190.0)</f>
        <v>2190</v>
      </c>
      <c r="B2192" s="13">
        <f>IFERROR(__xludf.DUMMYFUNCTION("""COMPUTED_VALUE"""),876.0)</f>
        <v>876</v>
      </c>
      <c r="C2192" s="13">
        <f>IFERROR(__xludf.DUMMYFUNCTION("""COMPUTED_VALUE"""),56.0)</f>
        <v>56</v>
      </c>
      <c r="D2192" s="12" t="str">
        <f>IFERROR(__xludf.DUMMYFUNCTION("""COMPUTED_VALUE"""),"Pretty but...")</f>
        <v>Pretty but...</v>
      </c>
      <c r="E2192" s="12" t="str">
        <f>IFERROR(__xludf.DUMMYFUNCTION("""COMPUTED_VALUE"""),"This shirt is pretty but wasn't worth the price in my opinion. the shirt does a pretty decent job of staying closed at least, and the embroidering is pretty, but i could tell the material wouldn't last very long.
also i like my shirts loose fitting, but "&amp;"this one looks more boxy than flowy. i'd probably still buy it if it were cheaper.")</f>
        <v>This shirt is pretty but wasn't worth the price in my opinion. the shirt does a pretty decent job of staying closed at least, and the embroidering is pretty, but i could tell the material wouldn't last very long.
also i like my shirts loose fitting, but this one looks more boxy than flowy. i'd probably still buy it if it were cheaper.</v>
      </c>
      <c r="F2192" s="13">
        <f>IFERROR(__xludf.DUMMYFUNCTION("""COMPUTED_VALUE"""),4.0)</f>
        <v>4</v>
      </c>
      <c r="G2192" s="13">
        <f>IFERROR(__xludf.DUMMYFUNCTION("""COMPUTED_VALUE"""),1.0)</f>
        <v>1</v>
      </c>
      <c r="H2192" s="13">
        <f>IFERROR(__xludf.DUMMYFUNCTION("""COMPUTED_VALUE"""),0.0)</f>
        <v>0</v>
      </c>
      <c r="I2192" s="13" t="str">
        <f>IFERROR(__xludf.DUMMYFUNCTION("""COMPUTED_VALUE"""),"General Petite")</f>
        <v>General Petite</v>
      </c>
      <c r="J2192" s="13" t="str">
        <f>IFERROR(__xludf.DUMMYFUNCTION("""COMPUTED_VALUE"""),"Tops")</f>
        <v>Tops</v>
      </c>
      <c r="K2192" s="13" t="str">
        <f>IFERROR(__xludf.DUMMYFUNCTION("""COMPUTED_VALUE"""),"Knits")</f>
        <v>Knits</v>
      </c>
      <c r="L2192" s="13"/>
    </row>
    <row r="2193">
      <c r="A2193" s="13">
        <f>IFERROR(__xludf.DUMMYFUNCTION("""COMPUTED_VALUE"""),2191.0)</f>
        <v>2191</v>
      </c>
      <c r="B2193" s="13">
        <f>IFERROR(__xludf.DUMMYFUNCTION("""COMPUTED_VALUE"""),872.0)</f>
        <v>872</v>
      </c>
      <c r="C2193" s="13">
        <f>IFERROR(__xludf.DUMMYFUNCTION("""COMPUTED_VALUE"""),37.0)</f>
        <v>37</v>
      </c>
      <c r="D2193" s="12" t="str">
        <f>IFERROR(__xludf.DUMMYFUNCTION("""COMPUTED_VALUE"""),"Amazing")</f>
        <v>Amazing</v>
      </c>
      <c r="E2193" s="12" t="str">
        <f>IFERROR(__xludf.DUMMYFUNCTION("""COMPUTED_VALUE"""),"This shirt looks and feels fabulous. i got black and white and received a ton of compliments. wore with boots and leggings and fun jewelry.")</f>
        <v>This shirt looks and feels fabulous. i got black and white and received a ton of compliments. wore with boots and leggings and fun jewelry.</v>
      </c>
      <c r="F2193" s="13">
        <f>IFERROR(__xludf.DUMMYFUNCTION("""COMPUTED_VALUE"""),5.0)</f>
        <v>5</v>
      </c>
      <c r="G2193" s="13">
        <f>IFERROR(__xludf.DUMMYFUNCTION("""COMPUTED_VALUE"""),1.0)</f>
        <v>1</v>
      </c>
      <c r="H2193" s="13">
        <f>IFERROR(__xludf.DUMMYFUNCTION("""COMPUTED_VALUE"""),0.0)</f>
        <v>0</v>
      </c>
      <c r="I2193" s="13" t="str">
        <f>IFERROR(__xludf.DUMMYFUNCTION("""COMPUTED_VALUE"""),"General")</f>
        <v>General</v>
      </c>
      <c r="J2193" s="13" t="str">
        <f>IFERROR(__xludf.DUMMYFUNCTION("""COMPUTED_VALUE"""),"Tops")</f>
        <v>Tops</v>
      </c>
      <c r="K2193" s="13" t="str">
        <f>IFERROR(__xludf.DUMMYFUNCTION("""COMPUTED_VALUE"""),"Knits")</f>
        <v>Knits</v>
      </c>
      <c r="L2193" s="13"/>
    </row>
    <row r="2194">
      <c r="A2194" s="13">
        <f>IFERROR(__xludf.DUMMYFUNCTION("""COMPUTED_VALUE"""),2192.0)</f>
        <v>2192</v>
      </c>
      <c r="B2194" s="13">
        <f>IFERROR(__xludf.DUMMYFUNCTION("""COMPUTED_VALUE"""),867.0)</f>
        <v>867</v>
      </c>
      <c r="C2194" s="13">
        <f>IFERROR(__xludf.DUMMYFUNCTION("""COMPUTED_VALUE"""),46.0)</f>
        <v>46</v>
      </c>
      <c r="D2194" s="12"/>
      <c r="E2194" s="12" t="str">
        <f>IFERROR(__xludf.DUMMYFUNCTION("""COMPUTED_VALUE"""),"This is the perfect casual top to wear alone or layered with a cardigan. love it!")</f>
        <v>This is the perfect casual top to wear alone or layered with a cardigan. love it!</v>
      </c>
      <c r="F2194" s="13">
        <f>IFERROR(__xludf.DUMMYFUNCTION("""COMPUTED_VALUE"""),5.0)</f>
        <v>5</v>
      </c>
      <c r="G2194" s="13">
        <f>IFERROR(__xludf.DUMMYFUNCTION("""COMPUTED_VALUE"""),1.0)</f>
        <v>1</v>
      </c>
      <c r="H2194" s="13">
        <f>IFERROR(__xludf.DUMMYFUNCTION("""COMPUTED_VALUE"""),0.0)</f>
        <v>0</v>
      </c>
      <c r="I2194" s="13" t="str">
        <f>IFERROR(__xludf.DUMMYFUNCTION("""COMPUTED_VALUE"""),"General Petite")</f>
        <v>General Petite</v>
      </c>
      <c r="J2194" s="13" t="str">
        <f>IFERROR(__xludf.DUMMYFUNCTION("""COMPUTED_VALUE"""),"Tops")</f>
        <v>Tops</v>
      </c>
      <c r="K2194" s="13" t="str">
        <f>IFERROR(__xludf.DUMMYFUNCTION("""COMPUTED_VALUE"""),"Knits")</f>
        <v>Knits</v>
      </c>
      <c r="L2194" s="13"/>
    </row>
    <row r="2195">
      <c r="A2195" s="13">
        <f>IFERROR(__xludf.DUMMYFUNCTION("""COMPUTED_VALUE"""),2193.0)</f>
        <v>2193</v>
      </c>
      <c r="B2195" s="13">
        <f>IFERROR(__xludf.DUMMYFUNCTION("""COMPUTED_VALUE"""),1052.0)</f>
        <v>1052</v>
      </c>
      <c r="C2195" s="13">
        <f>IFERROR(__xludf.DUMMYFUNCTION("""COMPUTED_VALUE"""),67.0)</f>
        <v>67</v>
      </c>
      <c r="D2195" s="12"/>
      <c r="E2195" s="12" t="str">
        <f>IFERROR(__xludf.DUMMYFUNCTION("""COMPUTED_VALUE"""),"I love joggers, best style to come along in awhile. i think these are well made and i like the fabric. i just wish the leg were cut a bit slimmer but that's just a matter of preference. i definitely like them and will keep and wear.")</f>
        <v>I love joggers, best style to come along in awhile. i think these are well made and i like the fabric. i just wish the leg were cut a bit slimmer but that's just a matter of preference. i definitely like them and will keep and wear.</v>
      </c>
      <c r="F2195" s="13">
        <f>IFERROR(__xludf.DUMMYFUNCTION("""COMPUTED_VALUE"""),5.0)</f>
        <v>5</v>
      </c>
      <c r="G2195" s="13">
        <f>IFERROR(__xludf.DUMMYFUNCTION("""COMPUTED_VALUE"""),1.0)</f>
        <v>1</v>
      </c>
      <c r="H2195" s="13">
        <f>IFERROR(__xludf.DUMMYFUNCTION("""COMPUTED_VALUE"""),1.0)</f>
        <v>1</v>
      </c>
      <c r="I2195" s="13" t="str">
        <f>IFERROR(__xludf.DUMMYFUNCTION("""COMPUTED_VALUE"""),"General")</f>
        <v>General</v>
      </c>
      <c r="J2195" s="13" t="str">
        <f>IFERROR(__xludf.DUMMYFUNCTION("""COMPUTED_VALUE"""),"Bottoms")</f>
        <v>Bottoms</v>
      </c>
      <c r="K2195" s="13" t="str">
        <f>IFERROR(__xludf.DUMMYFUNCTION("""COMPUTED_VALUE"""),"Pants")</f>
        <v>Pants</v>
      </c>
      <c r="L2195" s="13"/>
    </row>
    <row r="2196">
      <c r="A2196" s="13">
        <f>IFERROR(__xludf.DUMMYFUNCTION("""COMPUTED_VALUE"""),2194.0)</f>
        <v>2194</v>
      </c>
      <c r="B2196" s="13">
        <f>IFERROR(__xludf.DUMMYFUNCTION("""COMPUTED_VALUE"""),940.0)</f>
        <v>940</v>
      </c>
      <c r="C2196" s="13">
        <f>IFERROR(__xludf.DUMMYFUNCTION("""COMPUTED_VALUE"""),38.0)</f>
        <v>38</v>
      </c>
      <c r="D2196" s="12" t="str">
        <f>IFERROR(__xludf.DUMMYFUNCTION("""COMPUTED_VALUE"""),"Ok, but...")</f>
        <v>Ok, but...</v>
      </c>
      <c r="E2196" s="12" t="str">
        <f>IFERROR(__xludf.DUMMYFUNCTION("""COMPUTED_VALUE"""),"Gorgeous detail on the sleeve. adorable pattern. unfortunately, it is a little too cropped &amp; it's not actually sleeves. it's a cape style. wasn't expecting, but still really cute.")</f>
        <v>Gorgeous detail on the sleeve. adorable pattern. unfortunately, it is a little too cropped &amp; it's not actually sleeves. it's a cape style. wasn't expecting, but still really cute.</v>
      </c>
      <c r="F2196" s="13">
        <f>IFERROR(__xludf.DUMMYFUNCTION("""COMPUTED_VALUE"""),4.0)</f>
        <v>4</v>
      </c>
      <c r="G2196" s="13">
        <f>IFERROR(__xludf.DUMMYFUNCTION("""COMPUTED_VALUE"""),1.0)</f>
        <v>1</v>
      </c>
      <c r="H2196" s="13">
        <f>IFERROR(__xludf.DUMMYFUNCTION("""COMPUTED_VALUE"""),9.0)</f>
        <v>9</v>
      </c>
      <c r="I2196" s="13" t="str">
        <f>IFERROR(__xludf.DUMMYFUNCTION("""COMPUTED_VALUE"""),"General")</f>
        <v>General</v>
      </c>
      <c r="J2196" s="13" t="str">
        <f>IFERROR(__xludf.DUMMYFUNCTION("""COMPUTED_VALUE"""),"Tops")</f>
        <v>Tops</v>
      </c>
      <c r="K2196" s="13" t="str">
        <f>IFERROR(__xludf.DUMMYFUNCTION("""COMPUTED_VALUE"""),"Sweaters")</f>
        <v>Sweaters</v>
      </c>
      <c r="L2196" s="13"/>
    </row>
    <row r="2197">
      <c r="A2197" s="13">
        <f>IFERROR(__xludf.DUMMYFUNCTION("""COMPUTED_VALUE"""),2195.0)</f>
        <v>2195</v>
      </c>
      <c r="B2197" s="13">
        <f>IFERROR(__xludf.DUMMYFUNCTION("""COMPUTED_VALUE"""),146.0)</f>
        <v>146</v>
      </c>
      <c r="C2197" s="13">
        <f>IFERROR(__xludf.DUMMYFUNCTION("""COMPUTED_VALUE"""),33.0)</f>
        <v>33</v>
      </c>
      <c r="D2197" s="12"/>
      <c r="E2197" s="12" t="str">
        <f>IFERROR(__xludf.DUMMYFUNCTION("""COMPUTED_VALUE"""),"Beautiful colors. lightweight flannel, so a great pair of sleep pants that can be worn year round. i ordered a s, my typical size, which turned out to be quite large on me. hopefully the xs will fit better.")</f>
        <v>Beautiful colors. lightweight flannel, so a great pair of sleep pants that can be worn year round. i ordered a s, my typical size, which turned out to be quite large on me. hopefully the xs will fit better.</v>
      </c>
      <c r="F2197" s="13">
        <f>IFERROR(__xludf.DUMMYFUNCTION("""COMPUTED_VALUE"""),5.0)</f>
        <v>5</v>
      </c>
      <c r="G2197" s="13">
        <f>IFERROR(__xludf.DUMMYFUNCTION("""COMPUTED_VALUE"""),1.0)</f>
        <v>1</v>
      </c>
      <c r="H2197" s="13">
        <f>IFERROR(__xludf.DUMMYFUNCTION("""COMPUTED_VALUE"""),0.0)</f>
        <v>0</v>
      </c>
      <c r="I2197" s="13" t="str">
        <f>IFERROR(__xludf.DUMMYFUNCTION("""COMPUTED_VALUE"""),"General Petite")</f>
        <v>General Petite</v>
      </c>
      <c r="J2197" s="13" t="str">
        <f>IFERROR(__xludf.DUMMYFUNCTION("""COMPUTED_VALUE"""),"Intimate")</f>
        <v>Intimate</v>
      </c>
      <c r="K2197" s="13" t="str">
        <f>IFERROR(__xludf.DUMMYFUNCTION("""COMPUTED_VALUE"""),"Lounge")</f>
        <v>Lounge</v>
      </c>
      <c r="L2197" s="13"/>
    </row>
    <row r="2198">
      <c r="A2198" s="13">
        <f>IFERROR(__xludf.DUMMYFUNCTION("""COMPUTED_VALUE"""),2196.0)</f>
        <v>2196</v>
      </c>
      <c r="B2198" s="13">
        <f>IFERROR(__xludf.DUMMYFUNCTION("""COMPUTED_VALUE"""),1086.0)</f>
        <v>1086</v>
      </c>
      <c r="C2198" s="13">
        <f>IFERROR(__xludf.DUMMYFUNCTION("""COMPUTED_VALUE"""),46.0)</f>
        <v>46</v>
      </c>
      <c r="D2198" s="12" t="str">
        <f>IFERROR(__xludf.DUMMYFUNCTION("""COMPUTED_VALUE"""),"Run don't walk to buy this")</f>
        <v>Run don't walk to buy this</v>
      </c>
      <c r="E2198" s="12" t="str">
        <f>IFERROR(__xludf.DUMMYFUNCTION("""COMPUTED_VALUE"""),"Although i wish this was not so dark blue for summer, it is the most fabulous cut, super sexy with the tie neckline and love the side pockets... and did i mention the fabric is ridiculously soft? i just wish it was more of a blue denim blue but nonetheles"&amp;"s, i could not walk away from the store without this. i am 5'9, 142 lbs and medium fit me perfect for length in the leg.")</f>
        <v>Although i wish this was not so dark blue for summer, it is the most fabulous cut, super sexy with the tie neckline and love the side pockets... and did i mention the fabric is ridiculously soft? i just wish it was more of a blue denim blue but nonetheless, i could not walk away from the store without this. i am 5'9, 142 lbs and medium fit me perfect for length in the leg.</v>
      </c>
      <c r="F2198" s="13">
        <f>IFERROR(__xludf.DUMMYFUNCTION("""COMPUTED_VALUE"""),5.0)</f>
        <v>5</v>
      </c>
      <c r="G2198" s="13">
        <f>IFERROR(__xludf.DUMMYFUNCTION("""COMPUTED_VALUE"""),1.0)</f>
        <v>1</v>
      </c>
      <c r="H2198" s="13">
        <f>IFERROR(__xludf.DUMMYFUNCTION("""COMPUTED_VALUE"""),4.0)</f>
        <v>4</v>
      </c>
      <c r="I2198" s="13" t="str">
        <f>IFERROR(__xludf.DUMMYFUNCTION("""COMPUTED_VALUE"""),"General Petite")</f>
        <v>General Petite</v>
      </c>
      <c r="J2198" s="13" t="str">
        <f>IFERROR(__xludf.DUMMYFUNCTION("""COMPUTED_VALUE"""),"Dresses")</f>
        <v>Dresses</v>
      </c>
      <c r="K2198" s="13" t="str">
        <f>IFERROR(__xludf.DUMMYFUNCTION("""COMPUTED_VALUE"""),"Dresses")</f>
        <v>Dresses</v>
      </c>
      <c r="L2198" s="13"/>
    </row>
    <row r="2199">
      <c r="A2199" s="13">
        <f>IFERROR(__xludf.DUMMYFUNCTION("""COMPUTED_VALUE"""),2197.0)</f>
        <v>2197</v>
      </c>
      <c r="B2199" s="13">
        <f>IFERROR(__xludf.DUMMYFUNCTION("""COMPUTED_VALUE"""),940.0)</f>
        <v>940</v>
      </c>
      <c r="C2199" s="13">
        <f>IFERROR(__xludf.DUMMYFUNCTION("""COMPUTED_VALUE"""),34.0)</f>
        <v>34</v>
      </c>
      <c r="D2199" s="12" t="str">
        <f>IFERROR(__xludf.DUMMYFUNCTION("""COMPUTED_VALUE"""),"Want to like it....")</f>
        <v>Want to like it....</v>
      </c>
      <c r="E2199" s="12" t="str">
        <f>IFERROR(__xludf.DUMMYFUNCTION("""COMPUTED_VALUE"""),"This is soooo much more cropped than it looks in the picture. the fabric is super soft and design is cute. i really wanted to like this, but it just doesn't fit as shown. the back is halfway up by back and i am shortwaisted...")</f>
        <v>This is soooo much more cropped than it looks in the picture. the fabric is super soft and design is cute. i really wanted to like this, but it just doesn't fit as shown. the back is halfway up by back and i am shortwaisted...</v>
      </c>
      <c r="F2199" s="13">
        <f>IFERROR(__xludf.DUMMYFUNCTION("""COMPUTED_VALUE"""),3.0)</f>
        <v>3</v>
      </c>
      <c r="G2199" s="13">
        <f>IFERROR(__xludf.DUMMYFUNCTION("""COMPUTED_VALUE"""),0.0)</f>
        <v>0</v>
      </c>
      <c r="H2199" s="13">
        <f>IFERROR(__xludf.DUMMYFUNCTION("""COMPUTED_VALUE"""),2.0)</f>
        <v>2</v>
      </c>
      <c r="I2199" s="13" t="str">
        <f>IFERROR(__xludf.DUMMYFUNCTION("""COMPUTED_VALUE"""),"General")</f>
        <v>General</v>
      </c>
      <c r="J2199" s="13" t="str">
        <f>IFERROR(__xludf.DUMMYFUNCTION("""COMPUTED_VALUE"""),"Tops")</f>
        <v>Tops</v>
      </c>
      <c r="K2199" s="13" t="str">
        <f>IFERROR(__xludf.DUMMYFUNCTION("""COMPUTED_VALUE"""),"Sweaters")</f>
        <v>Sweaters</v>
      </c>
      <c r="L2199" s="13"/>
    </row>
    <row r="2200">
      <c r="A2200" s="13">
        <f>IFERROR(__xludf.DUMMYFUNCTION("""COMPUTED_VALUE"""),2198.0)</f>
        <v>2198</v>
      </c>
      <c r="B2200" s="13">
        <f>IFERROR(__xludf.DUMMYFUNCTION("""COMPUTED_VALUE"""),872.0)</f>
        <v>872</v>
      </c>
      <c r="C2200" s="13">
        <f>IFERROR(__xludf.DUMMYFUNCTION("""COMPUTED_VALUE"""),63.0)</f>
        <v>63</v>
      </c>
      <c r="D2200" s="12" t="str">
        <f>IFERROR(__xludf.DUMMYFUNCTION("""COMPUTED_VALUE"""),"What happened?")</f>
        <v>What happened?</v>
      </c>
      <c r="E2200" s="12" t="str">
        <f>IFERROR(__xludf.DUMMYFUNCTION("""COMPUTED_VALUE"""),"I purchased this item in the gray heather color and loved it so much i wanted to buy every other color. the fabric was cottony and felt very soft and cushy against my skin, and the gray color was from the combination of black and white fibers. i ordered t"&amp;"he light gray and the red online and could not wait for them to arrive. but the other colors were not even in the same material, but a very shiny and synthetic feeling fabric, with just a single color weave that did not have the same feel or tex")</f>
        <v>I purchased this item in the gray heather color and loved it so much i wanted to buy every other color. the fabric was cottony and felt very soft and cushy against my skin, and the gray color was from the combination of black and white fibers. i ordered the light gray and the red online and could not wait for them to arrive. but the other colors were not even in the same material, but a very shiny and synthetic feeling fabric, with just a single color weave that did not have the same feel or tex</v>
      </c>
      <c r="F2200" s="13">
        <f>IFERROR(__xludf.DUMMYFUNCTION("""COMPUTED_VALUE"""),1.0)</f>
        <v>1</v>
      </c>
      <c r="G2200" s="13">
        <f>IFERROR(__xludf.DUMMYFUNCTION("""COMPUTED_VALUE"""),0.0)</f>
        <v>0</v>
      </c>
      <c r="H2200" s="13">
        <f>IFERROR(__xludf.DUMMYFUNCTION("""COMPUTED_VALUE"""),0.0)</f>
        <v>0</v>
      </c>
      <c r="I2200" s="13" t="str">
        <f>IFERROR(__xludf.DUMMYFUNCTION("""COMPUTED_VALUE"""),"General")</f>
        <v>General</v>
      </c>
      <c r="J2200" s="13" t="str">
        <f>IFERROR(__xludf.DUMMYFUNCTION("""COMPUTED_VALUE"""),"Tops")</f>
        <v>Tops</v>
      </c>
      <c r="K2200" s="13" t="str">
        <f>IFERROR(__xludf.DUMMYFUNCTION("""COMPUTED_VALUE"""),"Knits")</f>
        <v>Knits</v>
      </c>
      <c r="L2200" s="13"/>
    </row>
    <row r="2201">
      <c r="A2201" s="13">
        <f>IFERROR(__xludf.DUMMYFUNCTION("""COMPUTED_VALUE"""),2199.0)</f>
        <v>2199</v>
      </c>
      <c r="B2201" s="13">
        <f>IFERROR(__xludf.DUMMYFUNCTION("""COMPUTED_VALUE"""),872.0)</f>
        <v>872</v>
      </c>
      <c r="C2201" s="13">
        <f>IFERROR(__xludf.DUMMYFUNCTION("""COMPUTED_VALUE"""),34.0)</f>
        <v>34</v>
      </c>
      <c r="D2201" s="12" t="str">
        <f>IFERROR(__xludf.DUMMYFUNCTION("""COMPUTED_VALUE"""),"Perfect long sleeve tee!")</f>
        <v>Perfect long sleeve tee!</v>
      </c>
      <c r="E2201" s="12" t="str">
        <f>IFERROR(__xludf.DUMMYFUNCTION("""COMPUTED_VALUE"""),"I've been looking for a staple long-sleeve tee for a while now, and i think i've found it! i bought this tee in my usual retailer size of medium and the fit is perfect. the material is soft, the cut highlights an hourglass figure without clinging in the w"&amp;"rong places. the sleeves are long enough, which can sometimes be a problem for me. the length is perfect to wear with leggings without being too long. i'll be back for more colors!")</f>
        <v>I've been looking for a staple long-sleeve tee for a while now, and i think i've found it! i bought this tee in my usual retailer size of medium and the fit is perfect. the material is soft, the cut highlights an hourglass figure without clinging in the wrong places. the sleeves are long enough, which can sometimes be a problem for me. the length is perfect to wear with leggings without being too long. i'll be back for more colors!</v>
      </c>
      <c r="F2201" s="13">
        <f>IFERROR(__xludf.DUMMYFUNCTION("""COMPUTED_VALUE"""),5.0)</f>
        <v>5</v>
      </c>
      <c r="G2201" s="13">
        <f>IFERROR(__xludf.DUMMYFUNCTION("""COMPUTED_VALUE"""),1.0)</f>
        <v>1</v>
      </c>
      <c r="H2201" s="13">
        <f>IFERROR(__xludf.DUMMYFUNCTION("""COMPUTED_VALUE"""),0.0)</f>
        <v>0</v>
      </c>
      <c r="I2201" s="13" t="str">
        <f>IFERROR(__xludf.DUMMYFUNCTION("""COMPUTED_VALUE"""),"General")</f>
        <v>General</v>
      </c>
      <c r="J2201" s="13" t="str">
        <f>IFERROR(__xludf.DUMMYFUNCTION("""COMPUTED_VALUE"""),"Tops")</f>
        <v>Tops</v>
      </c>
      <c r="K2201" s="13" t="str">
        <f>IFERROR(__xludf.DUMMYFUNCTION("""COMPUTED_VALUE"""),"Knits")</f>
        <v>Knits</v>
      </c>
      <c r="L2201" s="13"/>
    </row>
    <row r="2202">
      <c r="A2202" s="13">
        <f>IFERROR(__xludf.DUMMYFUNCTION("""COMPUTED_VALUE"""),2200.0)</f>
        <v>2200</v>
      </c>
      <c r="B2202" s="13">
        <f>IFERROR(__xludf.DUMMYFUNCTION("""COMPUTED_VALUE"""),940.0)</f>
        <v>940</v>
      </c>
      <c r="C2202" s="13">
        <f>IFERROR(__xludf.DUMMYFUNCTION("""COMPUTED_VALUE"""),50.0)</f>
        <v>50</v>
      </c>
      <c r="D2202" s="12" t="str">
        <f>IFERROR(__xludf.DUMMYFUNCTION("""COMPUTED_VALUE"""),"Adorable but not really a cardigan more a capelet")</f>
        <v>Adorable but not really a cardigan more a capelet</v>
      </c>
      <c r="E2202" s="12" t="str">
        <f>IFERROR(__xludf.DUMMYFUNCTION("""COMPUTED_VALUE"""),"I gave this 4 stars instead of five because the picture really does give you the impression that this ""cardigan"" has sleeves but actually it's a cape with a few stitches above the wrist. it's also quite short, i'm only 5 5"" and it hits me above my wais"&amp;"t. this picture was clearly shot with the front pulled down, i bet if we saw the back it would be high above her waist. also, one of the buttons fell off the first time i wore it. i heard it fall thankfully so it was easy enough to sew back on but")</f>
        <v>I gave this 4 stars instead of five because the picture really does give you the impression that this "cardigan" has sleeves but actually it's a cape with a few stitches above the wrist. it's also quite short, i'm only 5 5" and it hits me above my waist. this picture was clearly shot with the front pulled down, i bet if we saw the back it would be high above her waist. also, one of the buttons fell off the first time i wore it. i heard it fall thankfully so it was easy enough to sew back on but</v>
      </c>
      <c r="F2202" s="13">
        <f>IFERROR(__xludf.DUMMYFUNCTION("""COMPUTED_VALUE"""),4.0)</f>
        <v>4</v>
      </c>
      <c r="G2202" s="13">
        <f>IFERROR(__xludf.DUMMYFUNCTION("""COMPUTED_VALUE"""),1.0)</f>
        <v>1</v>
      </c>
      <c r="H2202" s="13">
        <f>IFERROR(__xludf.DUMMYFUNCTION("""COMPUTED_VALUE"""),2.0)</f>
        <v>2</v>
      </c>
      <c r="I2202" s="13" t="str">
        <f>IFERROR(__xludf.DUMMYFUNCTION("""COMPUTED_VALUE"""),"General")</f>
        <v>General</v>
      </c>
      <c r="J2202" s="13" t="str">
        <f>IFERROR(__xludf.DUMMYFUNCTION("""COMPUTED_VALUE"""),"Tops")</f>
        <v>Tops</v>
      </c>
      <c r="K2202" s="13" t="str">
        <f>IFERROR(__xludf.DUMMYFUNCTION("""COMPUTED_VALUE"""),"Sweaters")</f>
        <v>Sweaters</v>
      </c>
      <c r="L2202" s="13"/>
    </row>
    <row r="2203">
      <c r="A2203" s="13">
        <f>IFERROR(__xludf.DUMMYFUNCTION("""COMPUTED_VALUE"""),2201.0)</f>
        <v>2201</v>
      </c>
      <c r="B2203" s="13">
        <f>IFERROR(__xludf.DUMMYFUNCTION("""COMPUTED_VALUE"""),872.0)</f>
        <v>872</v>
      </c>
      <c r="C2203" s="13">
        <f>IFERROR(__xludf.DUMMYFUNCTION("""COMPUTED_VALUE"""),36.0)</f>
        <v>36</v>
      </c>
      <c r="D2203" s="12" t="str">
        <f>IFERROR(__xludf.DUMMYFUNCTION("""COMPUTED_VALUE"""),"Love this top")</f>
        <v>Love this top</v>
      </c>
      <c r="E2203" s="12" t="str">
        <f>IFERROR(__xludf.DUMMYFUNCTION("""COMPUTED_VALUE"""),"I love this top, it's long enough to to wear with leggings and the ribbon in the back really dresses it up. the only negative is that the material pulls easy and only on the space dye color, not the solids but i still love it! for reference i ordered xs a"&amp;"nd it fits perfectly i am 5'2 125lbs")</f>
        <v>I love this top, it's long enough to to wear with leggings and the ribbon in the back really dresses it up. the only negative is that the material pulls easy and only on the space dye color, not the solids but i still love it! for reference i ordered xs and it fits perfectly i am 5'2 125lbs</v>
      </c>
      <c r="F2203" s="13">
        <f>IFERROR(__xludf.DUMMYFUNCTION("""COMPUTED_VALUE"""),5.0)</f>
        <v>5</v>
      </c>
      <c r="G2203" s="13">
        <f>IFERROR(__xludf.DUMMYFUNCTION("""COMPUTED_VALUE"""),1.0)</f>
        <v>1</v>
      </c>
      <c r="H2203" s="13">
        <f>IFERROR(__xludf.DUMMYFUNCTION("""COMPUTED_VALUE"""),1.0)</f>
        <v>1</v>
      </c>
      <c r="I2203" s="13" t="str">
        <f>IFERROR(__xludf.DUMMYFUNCTION("""COMPUTED_VALUE"""),"General")</f>
        <v>General</v>
      </c>
      <c r="J2203" s="13" t="str">
        <f>IFERROR(__xludf.DUMMYFUNCTION("""COMPUTED_VALUE"""),"Tops")</f>
        <v>Tops</v>
      </c>
      <c r="K2203" s="13" t="str">
        <f>IFERROR(__xludf.DUMMYFUNCTION("""COMPUTED_VALUE"""),"Knits")</f>
        <v>Knits</v>
      </c>
      <c r="L2203" s="13"/>
    </row>
    <row r="2204">
      <c r="A2204" s="13">
        <f>IFERROR(__xludf.DUMMYFUNCTION("""COMPUTED_VALUE"""),2202.0)</f>
        <v>2202</v>
      </c>
      <c r="B2204" s="13">
        <f>IFERROR(__xludf.DUMMYFUNCTION("""COMPUTED_VALUE"""),870.0)</f>
        <v>870</v>
      </c>
      <c r="C2204" s="13">
        <f>IFERROR(__xludf.DUMMYFUNCTION("""COMPUTED_VALUE"""),39.0)</f>
        <v>39</v>
      </c>
      <c r="D2204" s="12" t="str">
        <f>IFERROR(__xludf.DUMMYFUNCTION("""COMPUTED_VALUE"""),"Lovely")</f>
        <v>Lovely</v>
      </c>
      <c r="E2204" s="12" t="str">
        <f>IFERROR(__xludf.DUMMYFUNCTION("""COMPUTED_VALUE"""),"I purchased this shell in black. the embellishments and construction of the top are of a good quality, like as shown. i am 5'4"", 120# and typically purchase an xs. this ran a bit bigger than i was expecting from the reviews, but i am overall happy with t"&amp;"he top. the center slit may be too revealing for those with a smaller bust.")</f>
        <v>I purchased this shell in black. the embellishments and construction of the top are of a good quality, like as shown. i am 5'4", 120# and typically purchase an xs. this ran a bit bigger than i was expecting from the reviews, but i am overall happy with the top. the center slit may be too revealing for those with a smaller bust.</v>
      </c>
      <c r="F2204" s="13">
        <f>IFERROR(__xludf.DUMMYFUNCTION("""COMPUTED_VALUE"""),4.0)</f>
        <v>4</v>
      </c>
      <c r="G2204" s="13">
        <f>IFERROR(__xludf.DUMMYFUNCTION("""COMPUTED_VALUE"""),1.0)</f>
        <v>1</v>
      </c>
      <c r="H2204" s="13">
        <f>IFERROR(__xludf.DUMMYFUNCTION("""COMPUTED_VALUE"""),0.0)</f>
        <v>0</v>
      </c>
      <c r="I2204" s="13" t="str">
        <f>IFERROR(__xludf.DUMMYFUNCTION("""COMPUTED_VALUE"""),"General")</f>
        <v>General</v>
      </c>
      <c r="J2204" s="13" t="str">
        <f>IFERROR(__xludf.DUMMYFUNCTION("""COMPUTED_VALUE"""),"Tops")</f>
        <v>Tops</v>
      </c>
      <c r="K2204" s="13" t="str">
        <f>IFERROR(__xludf.DUMMYFUNCTION("""COMPUTED_VALUE"""),"Knits")</f>
        <v>Knits</v>
      </c>
      <c r="L2204" s="13"/>
    </row>
    <row r="2205">
      <c r="A2205" s="13">
        <f>IFERROR(__xludf.DUMMYFUNCTION("""COMPUTED_VALUE"""),2203.0)</f>
        <v>2203</v>
      </c>
      <c r="B2205" s="13">
        <f>IFERROR(__xludf.DUMMYFUNCTION("""COMPUTED_VALUE"""),1086.0)</f>
        <v>1086</v>
      </c>
      <c r="C2205" s="13">
        <f>IFERROR(__xludf.DUMMYFUNCTION("""COMPUTED_VALUE"""),44.0)</f>
        <v>44</v>
      </c>
      <c r="D2205" s="12" t="str">
        <f>IFERROR(__xludf.DUMMYFUNCTION("""COMPUTED_VALUE"""),"Huge")</f>
        <v>Huge</v>
      </c>
      <c r="E2205" s="12" t="str">
        <f>IFERROR(__xludf.DUMMYFUNCTION("""COMPUTED_VALUE"""),"This dress will unfortunately be returned...so cute online and looks like a sack in person.  runs very large, arm holes are very low.  not flattering.")</f>
        <v>This dress will unfortunately be returned...so cute online and looks like a sack in person.  runs very large, arm holes are very low.  not flattering.</v>
      </c>
      <c r="F2205" s="13">
        <f>IFERROR(__xludf.DUMMYFUNCTION("""COMPUTED_VALUE"""),1.0)</f>
        <v>1</v>
      </c>
      <c r="G2205" s="13">
        <f>IFERROR(__xludf.DUMMYFUNCTION("""COMPUTED_VALUE"""),0.0)</f>
        <v>0</v>
      </c>
      <c r="H2205" s="13">
        <f>IFERROR(__xludf.DUMMYFUNCTION("""COMPUTED_VALUE"""),1.0)</f>
        <v>1</v>
      </c>
      <c r="I2205" s="13" t="str">
        <f>IFERROR(__xludf.DUMMYFUNCTION("""COMPUTED_VALUE"""),"General Petite")</f>
        <v>General Petite</v>
      </c>
      <c r="J2205" s="13" t="str">
        <f>IFERROR(__xludf.DUMMYFUNCTION("""COMPUTED_VALUE"""),"Dresses")</f>
        <v>Dresses</v>
      </c>
      <c r="K2205" s="13" t="str">
        <f>IFERROR(__xludf.DUMMYFUNCTION("""COMPUTED_VALUE"""),"Dresses")</f>
        <v>Dresses</v>
      </c>
      <c r="L2205" s="13"/>
    </row>
    <row r="2206">
      <c r="A2206" s="13">
        <f>IFERROR(__xludf.DUMMYFUNCTION("""COMPUTED_VALUE"""),2204.0)</f>
        <v>2204</v>
      </c>
      <c r="B2206" s="13">
        <f>IFERROR(__xludf.DUMMYFUNCTION("""COMPUTED_VALUE"""),940.0)</f>
        <v>940</v>
      </c>
      <c r="C2206" s="13">
        <f>IFERROR(__xludf.DUMMYFUNCTION("""COMPUTED_VALUE"""),48.0)</f>
        <v>48</v>
      </c>
      <c r="D2206" s="12"/>
      <c r="E2206" s="12" t="str">
        <f>IFERROR(__xludf.DUMMYFUNCTION("""COMPUTED_VALUE"""),"Just received this and absolutely love it! i tried the vienne cardigan in the store and i assumed this one would fit the same (since online exclusive), which it does. this one though has the whimsical left grey sleeve with trees, a fence and sheep on the "&amp;"sleeve - very cute. it's a traditional knit design with a twist of modern design being the cape style. it is a bit cropped but fits well and the hood lays nicely. there were a few too many stray threads when i received that i needed to cut off.")</f>
        <v>Just received this and absolutely love it! i tried the vienne cardigan in the store and i assumed this one would fit the same (since online exclusive), which it does. this one though has the whimsical left grey sleeve with trees, a fence and sheep on the sleeve - very cute. it's a traditional knit design with a twist of modern design being the cape style. it is a bit cropped but fits well and the hood lays nicely. there were a few too many stray threads when i received that i needed to cut off.</v>
      </c>
      <c r="F2206" s="13">
        <f>IFERROR(__xludf.DUMMYFUNCTION("""COMPUTED_VALUE"""),5.0)</f>
        <v>5</v>
      </c>
      <c r="G2206" s="13">
        <f>IFERROR(__xludf.DUMMYFUNCTION("""COMPUTED_VALUE"""),1.0)</f>
        <v>1</v>
      </c>
      <c r="H2206" s="13">
        <f>IFERROR(__xludf.DUMMYFUNCTION("""COMPUTED_VALUE"""),2.0)</f>
        <v>2</v>
      </c>
      <c r="I2206" s="13" t="str">
        <f>IFERROR(__xludf.DUMMYFUNCTION("""COMPUTED_VALUE"""),"General")</f>
        <v>General</v>
      </c>
      <c r="J2206" s="13" t="str">
        <f>IFERROR(__xludf.DUMMYFUNCTION("""COMPUTED_VALUE"""),"Tops")</f>
        <v>Tops</v>
      </c>
      <c r="K2206" s="13" t="str">
        <f>IFERROR(__xludf.DUMMYFUNCTION("""COMPUTED_VALUE"""),"Sweaters")</f>
        <v>Sweaters</v>
      </c>
      <c r="L2206" s="13"/>
    </row>
    <row r="2207">
      <c r="A2207" s="13">
        <f>IFERROR(__xludf.DUMMYFUNCTION("""COMPUTED_VALUE"""),2205.0)</f>
        <v>2205</v>
      </c>
      <c r="B2207" s="13">
        <f>IFERROR(__xludf.DUMMYFUNCTION("""COMPUTED_VALUE"""),1086.0)</f>
        <v>1086</v>
      </c>
      <c r="C2207" s="13">
        <f>IFERROR(__xludf.DUMMYFUNCTION("""COMPUTED_VALUE"""),44.0)</f>
        <v>44</v>
      </c>
      <c r="D2207" s="12" t="str">
        <f>IFERROR(__xludf.DUMMYFUNCTION("""COMPUTED_VALUE"""),"Only suits smaller chest")</f>
        <v>Only suits smaller chest</v>
      </c>
      <c r="E2207" s="12" t="str">
        <f>IFERROR(__xludf.DUMMYFUNCTION("""COMPUTED_VALUE"""),"If you have any cleavage this dress will look awful. the ties drop pretty low &amp; look trashy over cleavage. recommend otherwise - good fabric cool look")</f>
        <v>If you have any cleavage this dress will look awful. the ties drop pretty low &amp; look trashy over cleavage. recommend otherwise - good fabric cool look</v>
      </c>
      <c r="F2207" s="13">
        <f>IFERROR(__xludf.DUMMYFUNCTION("""COMPUTED_VALUE"""),2.0)</f>
        <v>2</v>
      </c>
      <c r="G2207" s="13">
        <f>IFERROR(__xludf.DUMMYFUNCTION("""COMPUTED_VALUE"""),1.0)</f>
        <v>1</v>
      </c>
      <c r="H2207" s="13">
        <f>IFERROR(__xludf.DUMMYFUNCTION("""COMPUTED_VALUE"""),1.0)</f>
        <v>1</v>
      </c>
      <c r="I2207" s="13" t="str">
        <f>IFERROR(__xludf.DUMMYFUNCTION("""COMPUTED_VALUE"""),"General Petite")</f>
        <v>General Petite</v>
      </c>
      <c r="J2207" s="13" t="str">
        <f>IFERROR(__xludf.DUMMYFUNCTION("""COMPUTED_VALUE"""),"Dresses")</f>
        <v>Dresses</v>
      </c>
      <c r="K2207" s="13" t="str">
        <f>IFERROR(__xludf.DUMMYFUNCTION("""COMPUTED_VALUE"""),"Dresses")</f>
        <v>Dresses</v>
      </c>
      <c r="L2207" s="13"/>
    </row>
    <row r="2208">
      <c r="A2208" s="13">
        <f>IFERROR(__xludf.DUMMYFUNCTION("""COMPUTED_VALUE"""),2206.0)</f>
        <v>2206</v>
      </c>
      <c r="B2208" s="13">
        <f>IFERROR(__xludf.DUMMYFUNCTION("""COMPUTED_VALUE"""),1102.0)</f>
        <v>1102</v>
      </c>
      <c r="C2208" s="13">
        <f>IFERROR(__xludf.DUMMYFUNCTION("""COMPUTED_VALUE"""),57.0)</f>
        <v>57</v>
      </c>
      <c r="D2208" s="12"/>
      <c r="E2208" s="12" t="str">
        <f>IFERROR(__xludf.DUMMYFUNCTION("""COMPUTED_VALUE"""),"What i liked:
1. midweight fabric. it's not lined and when i read polyester in the description, i was worried that it might be thin, but this is a stretchy midweight fabric.
2. pretty pretty print
what i did not like:
1. i don't know what dress the model"&amp;" is wearing, but this was an empire waist dress on me. i'm 5'7"". because it was empire waist, the long hem makes this look like a maternity dress on me.
2. the sleeves are cut oddly. they look too wide for the dress, even on this model.
3")</f>
        <v>What i liked:
1. midweight fabric. it's not lined and when i read polyester in the description, i was worried that it might be thin, but this is a stretchy midweight fabric.
2. pretty pretty print
what i did not like:
1. i don't know what dress the model is wearing, but this was an empire waist dress on me. i'm 5'7". because it was empire waist, the long hem makes this look like a maternity dress on me.
2. the sleeves are cut oddly. they look too wide for the dress, even on this model.
3</v>
      </c>
      <c r="F2208" s="13">
        <f>IFERROR(__xludf.DUMMYFUNCTION("""COMPUTED_VALUE"""),3.0)</f>
        <v>3</v>
      </c>
      <c r="G2208" s="13">
        <f>IFERROR(__xludf.DUMMYFUNCTION("""COMPUTED_VALUE"""),1.0)</f>
        <v>1</v>
      </c>
      <c r="H2208" s="13">
        <f>IFERROR(__xludf.DUMMYFUNCTION("""COMPUTED_VALUE"""),11.0)</f>
        <v>11</v>
      </c>
      <c r="I2208" s="13" t="str">
        <f>IFERROR(__xludf.DUMMYFUNCTION("""COMPUTED_VALUE"""),"General Petite")</f>
        <v>General Petite</v>
      </c>
      <c r="J2208" s="13" t="str">
        <f>IFERROR(__xludf.DUMMYFUNCTION("""COMPUTED_VALUE"""),"Dresses")</f>
        <v>Dresses</v>
      </c>
      <c r="K2208" s="13" t="str">
        <f>IFERROR(__xludf.DUMMYFUNCTION("""COMPUTED_VALUE"""),"Dresses")</f>
        <v>Dresses</v>
      </c>
      <c r="L2208"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1.25"/>
    <col customWidth="1" min="3" max="3" width="22.75"/>
  </cols>
  <sheetData>
    <row r="1">
      <c r="C1" s="15"/>
      <c r="D1" s="15"/>
      <c r="E1" s="15"/>
      <c r="F1" s="15"/>
      <c r="G1" s="15"/>
      <c r="H1" s="15"/>
      <c r="I1" s="15"/>
      <c r="J1" s="15"/>
      <c r="K1" s="15"/>
      <c r="L1" s="15"/>
      <c r="M1" s="15"/>
      <c r="N1" s="15"/>
      <c r="O1" s="15"/>
      <c r="P1" s="15"/>
      <c r="Q1" s="15"/>
      <c r="R1" s="15"/>
      <c r="S1" s="15"/>
      <c r="T1" s="15"/>
      <c r="U1" s="15"/>
      <c r="V1" s="15"/>
      <c r="W1" s="15"/>
      <c r="X1" s="15"/>
      <c r="Y1" s="15"/>
    </row>
    <row r="2"/>
    <row r="3"/>
    <row r="4"/>
    <row r="5"/>
    <row r="6"/>
    <row r="7"/>
    <row r="8"/>
    <row r="9"/>
    <row r="10"/>
    <row r="11"/>
    <row r="12"/>
    <row r="13"/>
    <row r="14"/>
    <row r="15"/>
    <row r="16"/>
    <row r="17"/>
    <row r="18"/>
    <row r="19"/>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5.0"/>
  </cols>
  <sheetData>
    <row r="1"/>
    <row r="2"/>
    <row r="3"/>
    <row r="4"/>
    <row r="5"/>
    <row r="6"/>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sheetData>
  <drawing r:id="rId2"/>
</worksheet>
</file>